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emf" ContentType="image/x-emf"/>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threadedComments/threadedComment1.xml" ContentType="application/vnd.ms-excel.threadedcomments+xml"/>
  <Override PartName="/xl/comments11.xml" ContentType="application/vnd.openxmlformats-officedocument.spreadsheetml.comments+xml"/>
  <Override PartName="/xl/threadedComments/threadedComment2.xml" ContentType="application/vnd.ms-excel.threadedcomments+xml"/>
  <Override PartName="/xl/comments12.xml" ContentType="application/vnd.openxmlformats-officedocument.spreadsheetml.comments+xml"/>
  <Override PartName="/xl/threadedComments/threadedComment3.xml" ContentType="application/vnd.ms-excel.threadedcomments+xml"/>
  <Override PartName="/xl/comments13.xml" ContentType="application/vnd.openxmlformats-officedocument.spreadsheetml.comments+xml"/>
  <Override PartName="/xl/comments14.xml" ContentType="application/vnd.openxmlformats-officedocument.spreadsheetml.comments+xml"/>
  <Override PartName="/xl/threadedComments/threadedComment4.xml" ContentType="application/vnd.ms-excel.threadedcomments+xml"/>
  <Override PartName="/xl/comments15.xml" ContentType="application/vnd.openxmlformats-officedocument.spreadsheetml.comments+xml"/>
  <Override PartName="/xl/comments16.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updateLinks="never" codeName="ThisWorkbook" defaultThemeVersion="124226"/>
  <mc:AlternateContent xmlns:mc="http://schemas.openxmlformats.org/markup-compatibility/2006">
    <mc:Choice Requires="x15">
      <x15ac:absPath xmlns:x15ac="http://schemas.microsoft.com/office/spreadsheetml/2010/11/ac" url="https://lincolnshirecc.sharepoint.com/sites/FinancialServices/Childrens/Children's Education/Head of Service SEND (Sheridan Dodsworth)/Sheridan Dodsworth/Special Schools/23-24 Special Schools/23-24 Budget Shares/"/>
    </mc:Choice>
  </mc:AlternateContent>
  <xr:revisionPtr revIDLastSave="0" documentId="8_{9C3959FB-236A-47DE-B011-5BC42CDFB6A4}" xr6:coauthVersionLast="47" xr6:coauthVersionMax="47" xr10:uidLastSave="{00000000-0000-0000-0000-000000000000}"/>
  <workbookProtection workbookAlgorithmName="SHA-512" workbookHashValue="3P3u8RF+l4K2sDqusAceNV/6unVt2+/TcYKr16z1f5PdTDAwY2I8cIfzDaSqErMYFowYaPABln8hFF4jeGLAhQ==" workbookSaltValue="7sgTMy8PAhmbowq0c/i7sQ==" workbookSpinCount="100000" lockStructure="1"/>
  <bookViews>
    <workbookView xWindow="-28920" yWindow="-1740" windowWidth="29040" windowHeight="17640" tabRatio="943" firstSheet="20" activeTab="20" xr2:uid="{00000000-000D-0000-FFFF-FFFF00000000}"/>
  </bookViews>
  <sheets>
    <sheet name="Budget Req 1516" sheetId="77" state="hidden" r:id="rId1"/>
    <sheet name="Budget Req 1617" sheetId="82" state="hidden" r:id="rId2"/>
    <sheet name="Funding Model" sheetId="4" state="hidden" r:id="rId3"/>
    <sheet name="2016-17 Funding Summary" sheetId="61" state="hidden" r:id="rId4"/>
    <sheet name="2016-17 Funding Detail" sheetId="74" state="hidden" r:id="rId5"/>
    <sheet name="Band Calculations 1617" sheetId="78" state="hidden" r:id="rId6"/>
    <sheet name="2016-17 Other Funding" sheetId="81" state="hidden" r:id="rId7"/>
    <sheet name="2015-16 Funding Summary" sheetId="80" state="hidden" r:id="rId8"/>
    <sheet name="2015-16 Funding Detail" sheetId="79" state="hidden" r:id="rId9"/>
    <sheet name="Band Calculations 1516" sheetId="73" state="hidden" r:id="rId10"/>
    <sheet name="2014-15 Funding Detail" sheetId="69" state="hidden" r:id="rId11"/>
    <sheet name="2013-14 Funding (4)" sheetId="68" state="hidden" r:id="rId12"/>
    <sheet name="2012-13 Top-ups" sheetId="51" state="hidden" r:id="rId13"/>
    <sheet name="Band Calculations 1415" sheetId="66" state="hidden" r:id="rId14"/>
    <sheet name="Band Calculations" sheetId="17" state="hidden" r:id="rId15"/>
    <sheet name="2015-16 Other Funding" sheetId="60" state="hidden" r:id="rId16"/>
    <sheet name="Revised Band Returns" sheetId="41" state="hidden" r:id="rId17"/>
    <sheet name="FSM Calculation 1516" sheetId="75" state="hidden" r:id="rId18"/>
    <sheet name="DSG US 1415" sheetId="70" state="hidden" r:id="rId19"/>
    <sheet name="DSG US 1516" sheetId="76" state="hidden" r:id="rId20"/>
    <sheet name="Front Sheet - Please Read First" sheetId="63" r:id="rId21"/>
    <sheet name="ISB Weightings" sheetId="65" r:id="rId22"/>
    <sheet name="Budget Shares" sheetId="58" r:id="rId23"/>
    <sheet name="2017-18 Funding Summary" sheetId="83" state="hidden" r:id="rId24"/>
    <sheet name="2017-18 Funding Detail" sheetId="84" state="hidden" r:id="rId25"/>
    <sheet name="Band Calculations 1718" sheetId="85" state="hidden" r:id="rId26"/>
    <sheet name="2017-18 Other Funding" sheetId="86" state="hidden" r:id="rId27"/>
    <sheet name="FSM Calculation 1718" sheetId="87" state="hidden" r:id="rId28"/>
    <sheet name="Budget Requirement 1718" sheetId="89" state="hidden" r:id="rId29"/>
    <sheet name="Funding Summary" sheetId="90" r:id="rId30"/>
    <sheet name="Funding Detail - Rebase" sheetId="91" state="hidden" r:id="rId31"/>
    <sheet name="Band Calculations - Rebase" sheetId="92" state="hidden" r:id="rId32"/>
    <sheet name="Revised Bands - Rebase" sheetId="93" state="hidden" r:id="rId33"/>
    <sheet name="1819 Funding Detail" sheetId="94" state="hidden" r:id="rId34"/>
    <sheet name="1819 Band Calculations" sheetId="95" state="hidden" r:id="rId35"/>
    <sheet name="1819 Revised Bands" sheetId="96" state="hidden" r:id="rId36"/>
    <sheet name="FSM Calculation 1819" sheetId="100" state="hidden" r:id="rId37"/>
    <sheet name="2018-19 Other Funding" sheetId="101" state="hidden" r:id="rId38"/>
    <sheet name="1819 DSG 1718 Underspend" sheetId="102" state="hidden" r:id="rId39"/>
    <sheet name="1819 Budget Requirement" sheetId="103" state="hidden" r:id="rId40"/>
    <sheet name="1920 Budget Requirement" sheetId="105" state="hidden" r:id="rId41"/>
    <sheet name="1920 Funding Detail" sheetId="104" state="hidden" r:id="rId42"/>
    <sheet name="1920 Band Calculations" sheetId="108" state="hidden" r:id="rId43"/>
    <sheet name="1920 Band Moderations" sheetId="107" state="hidden" r:id="rId44"/>
    <sheet name="1920 Other Funding" sheetId="106" state="hidden" r:id="rId45"/>
    <sheet name="1920 FSM Calculation" sheetId="109" state="hidden" r:id="rId46"/>
    <sheet name="Band Values" sheetId="110" state="hidden" r:id="rId47"/>
    <sheet name="2021 Budget Requirement" sheetId="111" state="hidden" r:id="rId48"/>
    <sheet name="2223 Budget Requirement" sheetId="146" state="hidden" r:id="rId49"/>
    <sheet name="2324 Budget Requirement" sheetId="151" state="hidden" r:id="rId50"/>
    <sheet name="2223 Funding Detail" sheetId="120" state="hidden" r:id="rId51"/>
    <sheet name="2324 Funding Detail" sheetId="148" state="hidden" r:id="rId52"/>
    <sheet name="2324 MFG Protection" sheetId="155" state="hidden" r:id="rId53"/>
    <sheet name="2223 MFG Protection" sheetId="137" state="hidden" r:id="rId54"/>
    <sheet name="2122 MFG Protection" sheetId="125" state="hidden" r:id="rId55"/>
    <sheet name="Local Protection" sheetId="119" r:id="rId56"/>
    <sheet name="MFG DfE Protection" sheetId="160" r:id="rId57"/>
    <sheet name="2122 3% MFG Calculation" sheetId="159" state="hidden" r:id="rId58"/>
    <sheet name="3.4% Allocations" sheetId="158" state="hidden" r:id="rId59"/>
    <sheet name="2021 Band Calculations" sheetId="113" state="hidden" r:id="rId60"/>
    <sheet name="2021 FSM Calculation" sheetId="114" state="hidden" r:id="rId61"/>
    <sheet name="2021 Other Funding" sheetId="115" state="hidden" r:id="rId62"/>
    <sheet name="2021 Band Moderations" sheetId="116" state="hidden" r:id="rId63"/>
    <sheet name="MFG Tab" sheetId="117" state="hidden" r:id="rId64"/>
    <sheet name="2122 Budget Requirement" sheetId="124" state="hidden" r:id="rId65"/>
    <sheet name="2122 Funding Detail" sheetId="136" state="hidden" r:id="rId66"/>
    <sheet name="School Size Ranges (2223)" sheetId="156" state="hidden" r:id="rId67"/>
    <sheet name="School Size Ranges (2324)" sheetId="142" state="hidden" r:id="rId68"/>
    <sheet name="2122 Band Calculations" sheetId="135" state="hidden" r:id="rId69"/>
    <sheet name="2021 Funding Detail" sheetId="112" state="hidden" r:id="rId70"/>
    <sheet name="202021 MFG Protection" sheetId="118" state="hidden" r:id="rId71"/>
    <sheet name="2122 Group Sizes" sheetId="98" state="hidden" r:id="rId72"/>
    <sheet name="2223 Group Sizes" sheetId="141" state="hidden" r:id="rId73"/>
    <sheet name="2122 FSM Calculation" sheetId="123" state="hidden" r:id="rId74"/>
    <sheet name="2324 FSM Calculation" sheetId="157" state="hidden" r:id="rId75"/>
    <sheet name="2223 FSM Calculation" sheetId="143" state="hidden" r:id="rId76"/>
    <sheet name="2122 Other Funding" sheetId="122" state="hidden" r:id="rId77"/>
    <sheet name="Other Funding" sheetId="144" state="hidden" r:id="rId78"/>
    <sheet name="2122 Band Values" sheetId="127" state="hidden" r:id="rId79"/>
    <sheet name="2223 Band Values" sheetId="138" state="hidden" r:id="rId80"/>
    <sheet name="2324 Band Values" sheetId="150" state="hidden" r:id="rId81"/>
    <sheet name="2122 Teachers Pay Scales" sheetId="128" state="hidden" r:id="rId82"/>
    <sheet name="2223 Teachers Pay Scales" sheetId="140" state="hidden" r:id="rId83"/>
    <sheet name="2324 Teacher's Pay Scales" sheetId="153" state="hidden" r:id="rId84"/>
    <sheet name="2122 TA Pay Scales" sheetId="129" state="hidden" r:id="rId85"/>
    <sheet name="2223 TA Pay Scales" sheetId="139" state="hidden" r:id="rId86"/>
    <sheet name="2324 TA Pay Scales" sheetId="152" state="hidden" r:id="rId87"/>
    <sheet name="2122 GLEA Pay Scales" sheetId="130" state="hidden" r:id="rId88"/>
    <sheet name="2122 Pay &amp; Pension Allocations" sheetId="131" state="hidden" r:id="rId89"/>
    <sheet name="Pay &amp; Pension Workings" sheetId="132" state="hidden" r:id="rId90"/>
    <sheet name="TA Workings" sheetId="133" state="hidden" r:id="rId91"/>
    <sheet name="2122 Band Moderations" sheetId="126" state="hidden" r:id="rId92"/>
    <sheet name="2223 Band Calculations" sheetId="121" state="hidden" r:id="rId93"/>
    <sheet name="2324 Band Calculations" sheetId="149" state="hidden" r:id="rId94"/>
    <sheet name="2223 Band Moderations" sheetId="145" state="hidden" r:id="rId95"/>
    <sheet name="2122 OLEA Placements" sheetId="134" state="hidden" r:id="rId96"/>
    <sheet name="2324 Band Moderations" sheetId="154" state="hidden" r:id="rId97"/>
    <sheet name="OLEA Placements" sheetId="147" state="hidden" r:id="rId98"/>
  </sheets>
  <externalReferences>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s>
  <definedNames>
    <definedName name="a">[1]Detailed_Output!$A$4:$U$230</definedName>
    <definedName name="AAHel" localSheetId="89">#REF!</definedName>
    <definedName name="AAHel" localSheetId="90">#REF!</definedName>
    <definedName name="AAHel">#REF!</definedName>
    <definedName name="ABSG" localSheetId="89">#REF!</definedName>
    <definedName name="ABSG" localSheetId="90">#REF!</definedName>
    <definedName name="ABSG">#REF!</definedName>
    <definedName name="Acad_months">[2]Academies!$B$29:$B$40</definedName>
    <definedName name="AST" localSheetId="89">#REF!</definedName>
    <definedName name="AST" localSheetId="90">#REF!</definedName>
    <definedName name="AST">#REF!</definedName>
    <definedName name="BasketNo" localSheetId="89">#REF!</definedName>
    <definedName name="BasketNo" localSheetId="90">#REF!</definedName>
    <definedName name="BasketNo">#REF!</definedName>
    <definedName name="BasketUoF_UnAdj" localSheetId="89">#REF!</definedName>
    <definedName name="BasketUoF_UnAdj" localSheetId="90">#REF!</definedName>
    <definedName name="BasketUoF_UnAdj">#REF!</definedName>
    <definedName name="DATA1" localSheetId="89">#REF!</definedName>
    <definedName name="DATA1" localSheetId="90">#REF!</definedName>
    <definedName name="DATA1">#REF!</definedName>
    <definedName name="DATA10" localSheetId="12">#REF!</definedName>
    <definedName name="DATA10" localSheetId="11">#REF!</definedName>
    <definedName name="DATA10" localSheetId="10">#REF!</definedName>
    <definedName name="DATA10" localSheetId="4">#REF!</definedName>
    <definedName name="DATA10" localSheetId="3">#REF!</definedName>
    <definedName name="DATA10" localSheetId="13">#REF!</definedName>
    <definedName name="DATA10" localSheetId="9">#REF!</definedName>
    <definedName name="DATA10" localSheetId="0">#REF!</definedName>
    <definedName name="DATA10" localSheetId="19">#REF!</definedName>
    <definedName name="DATA10" localSheetId="89">#REF!</definedName>
    <definedName name="DATA10" localSheetId="90">#REF!</definedName>
    <definedName name="DATA10">#REF!</definedName>
    <definedName name="DATA11" localSheetId="89">#REF!</definedName>
    <definedName name="DATA11" localSheetId="90">#REF!</definedName>
    <definedName name="DATA11">#REF!</definedName>
    <definedName name="DATA12" localSheetId="89">#REF!</definedName>
    <definedName name="DATA12" localSheetId="90">#REF!</definedName>
    <definedName name="DATA12">#REF!</definedName>
    <definedName name="DATA13" localSheetId="12">#REF!</definedName>
    <definedName name="DATA13" localSheetId="11">#REF!</definedName>
    <definedName name="DATA13" localSheetId="10">#REF!</definedName>
    <definedName name="DATA13" localSheetId="4">#REF!</definedName>
    <definedName name="DATA13" localSheetId="3">#REF!</definedName>
    <definedName name="DATA13" localSheetId="13">#REF!</definedName>
    <definedName name="DATA13" localSheetId="9">#REF!</definedName>
    <definedName name="DATA13" localSheetId="0">#REF!</definedName>
    <definedName name="DATA13" localSheetId="19">#REF!</definedName>
    <definedName name="DATA13" localSheetId="89">#REF!</definedName>
    <definedName name="DATA13" localSheetId="90">#REF!</definedName>
    <definedName name="DATA13">#REF!</definedName>
    <definedName name="DATA14" localSheetId="12">'[3]Staffing Est.'!#REF!</definedName>
    <definedName name="DATA14" localSheetId="11">'[3]Staffing Est.'!#REF!</definedName>
    <definedName name="DATA14" localSheetId="10">'[3]Staffing Est.'!#REF!</definedName>
    <definedName name="DATA14" localSheetId="4">'[3]Staffing Est.'!#REF!</definedName>
    <definedName name="DATA14" localSheetId="3">'[3]Staffing Est.'!#REF!</definedName>
    <definedName name="DATA14" localSheetId="13">'[3]Staffing Est.'!#REF!</definedName>
    <definedName name="DATA14" localSheetId="9">'[3]Staffing Est.'!#REF!</definedName>
    <definedName name="DATA14" localSheetId="0">'[3]Staffing Est.'!#REF!</definedName>
    <definedName name="DATA14" localSheetId="19">'[3]Staffing Est.'!#REF!</definedName>
    <definedName name="DATA14" localSheetId="89">'[3]Staffing Est.'!#REF!</definedName>
    <definedName name="DATA14" localSheetId="90">'[3]Staffing Est.'!#REF!</definedName>
    <definedName name="DATA14">'[3]Staffing Est.'!#REF!</definedName>
    <definedName name="DATA2" localSheetId="89">#REF!</definedName>
    <definedName name="DATA2" localSheetId="90">#REF!</definedName>
    <definedName name="DATA2">#REF!</definedName>
    <definedName name="DATA3" localSheetId="89">#REF!</definedName>
    <definedName name="DATA3" localSheetId="90">#REF!</definedName>
    <definedName name="DATA3">#REF!</definedName>
    <definedName name="DATA4" localSheetId="89">#REF!</definedName>
    <definedName name="DATA4" localSheetId="90">#REF!</definedName>
    <definedName name="DATA4">#REF!</definedName>
    <definedName name="DATA5" localSheetId="89">#REF!</definedName>
    <definedName name="DATA5" localSheetId="90">#REF!</definedName>
    <definedName name="DATA5">#REF!</definedName>
    <definedName name="DATA6" localSheetId="89">#REF!</definedName>
    <definedName name="DATA6" localSheetId="90">#REF!</definedName>
    <definedName name="DATA6">#REF!</definedName>
    <definedName name="DATA7" localSheetId="89">#REF!</definedName>
    <definedName name="DATA7" localSheetId="90">#REF!</definedName>
    <definedName name="DATA7">#REF!</definedName>
    <definedName name="DATA8" localSheetId="89">#REF!</definedName>
    <definedName name="DATA8" localSheetId="90">#REF!</definedName>
    <definedName name="DATA8">#REF!</definedName>
    <definedName name="DATA9" localSheetId="12">#REF!</definedName>
    <definedName name="DATA9" localSheetId="11">#REF!</definedName>
    <definedName name="DATA9" localSheetId="10">#REF!</definedName>
    <definedName name="DATA9" localSheetId="4">#REF!</definedName>
    <definedName name="DATA9" localSheetId="3">#REF!</definedName>
    <definedName name="DATA9" localSheetId="13">#REF!</definedName>
    <definedName name="DATA9" localSheetId="9">#REF!</definedName>
    <definedName name="DATA9" localSheetId="0">#REF!</definedName>
    <definedName name="DATA9" localSheetId="19">#REF!</definedName>
    <definedName name="DATA9" localSheetId="89">#REF!</definedName>
    <definedName name="DATA9" localSheetId="90">#REF!</definedName>
    <definedName name="DATA9">#REF!</definedName>
    <definedName name="DDLIST" localSheetId="89">#REF!</definedName>
    <definedName name="DDLIST" localSheetId="90">#REF!</definedName>
    <definedName name="DDLIST">#REF!</definedName>
    <definedName name="DETAIL" localSheetId="2">#REF!</definedName>
    <definedName name="FSM_uc" localSheetId="89">#REF!</definedName>
    <definedName name="FSM_uc" localSheetId="90">#REF!</definedName>
    <definedName name="FSM_uc">#REF!</definedName>
    <definedName name="FSM_UC_FUTURE" localSheetId="89">#REF!</definedName>
    <definedName name="FSM_UC_FUTURE" localSheetId="90">#REF!</definedName>
    <definedName name="FSM_UC_FUTURE">#REF!</definedName>
    <definedName name="FTEall">[4]FTEall!$B$11:$S$160</definedName>
    <definedName name="gg" localSheetId="11">[5]Section52!#REF!</definedName>
    <definedName name="gg" localSheetId="10">[5]Section52!#REF!</definedName>
    <definedName name="gg" localSheetId="4">[5]Section52!#REF!</definedName>
    <definedName name="gg" localSheetId="9">[5]Section52!#REF!</definedName>
    <definedName name="gg" localSheetId="19">[5]Section52!#REF!</definedName>
    <definedName name="gg" localSheetId="89">[5]Section52!#REF!</definedName>
    <definedName name="gg" localSheetId="90">[5]Section52!#REF!</definedName>
    <definedName name="gg">[5]Section52!#REF!</definedName>
    <definedName name="Gross_S52" localSheetId="89">#REF!</definedName>
    <definedName name="Gross_S52" localSheetId="90">#REF!</definedName>
    <definedName name="Gross_S52">#REF!</definedName>
    <definedName name="Indicator" localSheetId="0">[6]CodeSet!$A$1:$A$2</definedName>
    <definedName name="Indicator">[6]CodeSet!$A$1:$A$2</definedName>
    <definedName name="Indicator2" localSheetId="0">[6]CodeSet!$A$4:$A$6</definedName>
    <definedName name="Indicator2">[6]CodeSet!$A$4:$A$6</definedName>
    <definedName name="LA_Choice">[7]Instructions!$E$20</definedName>
    <definedName name="LEA_Choice">[8]Instructions!$D$6</definedName>
    <definedName name="LEAcount" localSheetId="89">#REF!</definedName>
    <definedName name="LEAcount" localSheetId="90">#REF!</definedName>
    <definedName name="LEAcount">#REF!</definedName>
    <definedName name="LIG">[9]LIG!$A$5:$J$154</definedName>
    <definedName name="ListLAs">'[10]LACSEG All LAs'!$A$4:$A$153</definedName>
    <definedName name="Meals" localSheetId="89">#REF!</definedName>
    <definedName name="Meals" localSheetId="90">#REF!</definedName>
    <definedName name="Meals">#REF!</definedName>
    <definedName name="MealsHel" localSheetId="89">#REF!</definedName>
    <definedName name="MealsHel" localSheetId="90">#REF!</definedName>
    <definedName name="MealsHel">#REF!</definedName>
    <definedName name="Mealsold" localSheetId="12">[5]Section52!#REF!</definedName>
    <definedName name="Mealsold" localSheetId="11">[5]Section52!#REF!</definedName>
    <definedName name="Mealsold" localSheetId="10">[5]Section52!#REF!</definedName>
    <definedName name="Mealsold" localSheetId="4">[5]Section52!#REF!</definedName>
    <definedName name="Mealsold" localSheetId="3">[5]Section52!#REF!</definedName>
    <definedName name="Mealsold" localSheetId="13">[5]Section52!#REF!</definedName>
    <definedName name="Mealsold" localSheetId="9">[5]Section52!#REF!</definedName>
    <definedName name="Mealsold" localSheetId="0">[5]Section52!#REF!</definedName>
    <definedName name="Mealsold" localSheetId="19">[5]Section52!#REF!</definedName>
    <definedName name="Mealsold" localSheetId="89">[5]Section52!#REF!</definedName>
    <definedName name="Mealsold" localSheetId="90">[5]Section52!#REF!</definedName>
    <definedName name="Mealsold">[5]Section52!#REF!</definedName>
    <definedName name="Names_Lookup">'[7]Background data'!$A$6:$Q$155</definedName>
    <definedName name="NI" localSheetId="2">#REF!</definedName>
    <definedName name="OLE_LINK1" localSheetId="21">'ISB Weightings'!#REF!</definedName>
    <definedName name="OLE_LINK3" localSheetId="21">'ISB Weightings'!#REF!</definedName>
    <definedName name="OptionsHel" localSheetId="89">#REF!</definedName>
    <definedName name="OptionsHel" localSheetId="90">#REF!</definedName>
    <definedName name="OptionsHel">#REF!</definedName>
    <definedName name="p" localSheetId="4">#REF!</definedName>
    <definedName name="p" localSheetId="9">#REF!</definedName>
    <definedName name="p" localSheetId="19">#REF!</definedName>
    <definedName name="p" localSheetId="89">#REF!</definedName>
    <definedName name="p" localSheetId="90">#REF!</definedName>
    <definedName name="p">#REF!</definedName>
    <definedName name="Phase_split">[9]all_asc!$A$12:$V$179</definedName>
    <definedName name="_xlnm.Print_Area" localSheetId="12">'2012-13 Top-ups'!$B$1:$Z$46</definedName>
    <definedName name="_xlnm.Print_Area" localSheetId="11">'2013-14 Funding (4)'!$A$1:$AE$27</definedName>
    <definedName name="_xlnm.Print_Area" localSheetId="10">'2014-15 Funding Detail'!$A$1:$AB$26</definedName>
    <definedName name="_xlnm.Print_Area" localSheetId="15">'2015-16 Other Funding'!$A$1:$Y$26</definedName>
    <definedName name="_xlnm.Print_Area" localSheetId="4">'2016-17 Funding Detail'!$A$1:$AJ$26</definedName>
    <definedName name="_xlnm.Print_Area" localSheetId="3">'2016-17 Funding Summary'!$A$1:$I$146</definedName>
    <definedName name="_xlnm.Print_Area" localSheetId="13">'Band Calculations 1415'!$A$1:$U$128</definedName>
    <definedName name="_xlnm.Print_Area" localSheetId="9">'Band Calculations 1516'!$A$1:$AM$130</definedName>
    <definedName name="_xlnm.Print_Area" localSheetId="22">'Budget Shares'!$A$1:$H$117</definedName>
    <definedName name="_xlnm.Print_Area" localSheetId="20">'Front Sheet - Please Read First'!$A$1:$B$37</definedName>
    <definedName name="_xlnm.Print_Area" localSheetId="2">'Funding Model'!$A$1:$J$39</definedName>
    <definedName name="_xlnm.Print_Area" localSheetId="29">'Funding Summary'!$A$1:$H$120</definedName>
    <definedName name="_xlnm.Print_Area" localSheetId="21">'ISB Weightings'!$B$1:$B$182</definedName>
    <definedName name="_xlnm.Print_Area" localSheetId="55">'Local Protection'!$A$1:$O$26</definedName>
    <definedName name="_xlnm.Print_Area" localSheetId="16">'Revised Band Returns'!$A$1:$T$56</definedName>
    <definedName name="PTR" localSheetId="89">#REF!</definedName>
    <definedName name="PTR" localSheetId="90">#REF!</definedName>
    <definedName name="PTR">#REF!</definedName>
    <definedName name="PYEAR">'[11]Basic Information'!$G$14</definedName>
    <definedName name="qry_nor_list_a3_and_a4_cohorts_joined" localSheetId="89">#REF!</definedName>
    <definedName name="qry_nor_list_a3_and_a4_cohorts_joined" localSheetId="90">#REF!</definedName>
    <definedName name="qry_nor_list_a3_and_a4_cohorts_joined">#REF!</definedName>
    <definedName name="Query2" localSheetId="89">#REF!</definedName>
    <definedName name="Query2" localSheetId="90">#REF!</definedName>
    <definedName name="Query2">#REF!</definedName>
    <definedName name="Query3" localSheetId="89">#REF!</definedName>
    <definedName name="Query3" localSheetId="90">#REF!</definedName>
    <definedName name="Query3">#REF!</definedName>
    <definedName name="Query4" localSheetId="89">#REF!</definedName>
    <definedName name="Query4" localSheetId="90">#REF!</definedName>
    <definedName name="Query4">#REF!</definedName>
    <definedName name="recoupamount">'[12]Academy Recoupment'!$D$39</definedName>
    <definedName name="SALARY">#N/A</definedName>
    <definedName name="school">'[13]FTE data'!$A$3:$BR$379</definedName>
    <definedName name="schools" localSheetId="89">#REF!</definedName>
    <definedName name="schools" localSheetId="90">#REF!</definedName>
    <definedName name="schools">#REF!</definedName>
    <definedName name="SchTypeList" localSheetId="0">[6]CodeSet!$C$1:$C$10</definedName>
    <definedName name="SchTypeList">[6]CodeSet!$C$1:$C$10</definedName>
    <definedName name="sec_asc" localSheetId="89">#REF!</definedName>
    <definedName name="sec_asc" localSheetId="90">#REF!</definedName>
    <definedName name="sec_asc">#REF!</definedName>
    <definedName name="SEC_S52" localSheetId="89">#REF!</definedName>
    <definedName name="SEC_S52" localSheetId="90">#REF!</definedName>
    <definedName name="SEC_S52">#REF!</definedName>
    <definedName name="SEN" localSheetId="89">#REF!</definedName>
    <definedName name="SEN" localSheetId="90">#REF!</definedName>
    <definedName name="SEN">#REF!</definedName>
    <definedName name="TableOne">'[9]S52 Sec'!$A$11:$CO$161</definedName>
    <definedName name="TableOneGross">'[4]S52 Gross'!$A$11:$CY$161</definedName>
    <definedName name="TableOneSec">'[4]S52 Sec'!$A$11:$CW$161</definedName>
    <definedName name="TEST1" localSheetId="89">#REF!</definedName>
    <definedName name="TEST1" localSheetId="90">#REF!</definedName>
    <definedName name="TEST1">#REF!</definedName>
    <definedName name="TESTHKEY" localSheetId="89">#REF!</definedName>
    <definedName name="TESTHKEY" localSheetId="90">#REF!</definedName>
    <definedName name="TESTHKEY">#REF!</definedName>
    <definedName name="TESTKEYS" localSheetId="89">#REF!</definedName>
    <definedName name="TESTKEYS" localSheetId="90">#REF!</definedName>
    <definedName name="TESTKEYS">#REF!</definedName>
    <definedName name="TESTVKEY" localSheetId="89">#REF!</definedName>
    <definedName name="TESTVKEY" localSheetId="90">#REF!</definedName>
    <definedName name="TESTVKEY">#REF!</definedName>
    <definedName name="UoF_Adj" localSheetId="89">#REF!</definedName>
    <definedName name="UoF_Adj" localSheetId="90">#REF!</definedName>
    <definedName name="UoF_Adj">#REF!</definedName>
    <definedName name="UoFHel" localSheetId="89">#REF!</definedName>
    <definedName name="UoFHel" localSheetId="90">#REF!</definedName>
    <definedName name="UoFHel">#REF!</definedName>
    <definedName name="YEAR1">'[11]Basic Information'!$G$8</definedName>
    <definedName name="YEAR2">'[11]Basic Information'!$G$10</definedName>
    <definedName name="YEAR3">'[11]Basic Information'!$G$11</definedName>
    <definedName name="YEAR4">'[11]Basic Information'!$G$12</definedName>
    <definedName name="YEAR5">'[11]Basic Information'!$G$13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8" i="58" l="1"/>
  <c r="G24" i="58"/>
  <c r="E15" i="58"/>
  <c r="L15" i="148"/>
  <c r="D6" i="119" l="1"/>
  <c r="D7" i="119"/>
  <c r="D8" i="119"/>
  <c r="D9" i="119"/>
  <c r="D10" i="119"/>
  <c r="D11" i="119"/>
  <c r="D12" i="119"/>
  <c r="G36" i="58" l="1"/>
  <c r="AJ15" i="159"/>
  <c r="AH13" i="159" l="1"/>
  <c r="C12" i="160" l="1"/>
  <c r="AM15" i="159" l="1"/>
  <c r="E13" i="160"/>
  <c r="W15" i="159"/>
  <c r="AC15" i="159" s="1"/>
  <c r="X24" i="159"/>
  <c r="AU26" i="159" l="1"/>
  <c r="AV26" i="159" s="1"/>
  <c r="K24" i="159" s="1"/>
  <c r="J9" i="160" s="1"/>
  <c r="AS26" i="159"/>
  <c r="AT26" i="159" s="1"/>
  <c r="J24" i="159" s="1"/>
  <c r="I9" i="160" s="1"/>
  <c r="AQ26" i="159"/>
  <c r="AR26" i="159" s="1"/>
  <c r="I24" i="159" s="1"/>
  <c r="H9" i="160" s="1"/>
  <c r="AO26" i="159"/>
  <c r="AP26" i="159" s="1"/>
  <c r="H24" i="159" s="1"/>
  <c r="G9" i="160" s="1"/>
  <c r="AM26" i="159"/>
  <c r="AN26" i="159" s="1"/>
  <c r="G24" i="159" s="1"/>
  <c r="F9" i="160" s="1"/>
  <c r="AK26" i="159"/>
  <c r="AL26" i="159" s="1"/>
  <c r="F24" i="159" s="1"/>
  <c r="E9" i="160" s="1"/>
  <c r="AI26" i="159"/>
  <c r="AX26" i="159" s="1"/>
  <c r="AH26" i="159"/>
  <c r="AJ26" i="159" l="1"/>
  <c r="AY26" i="159" l="1"/>
  <c r="E24" i="159"/>
  <c r="D9" i="160" s="1"/>
  <c r="G3" i="160"/>
  <c r="AI22" i="159" l="1"/>
  <c r="AH22" i="159"/>
  <c r="AG22" i="159"/>
  <c r="AF22" i="159"/>
  <c r="AE22" i="159"/>
  <c r="U22" i="159"/>
  <c r="K22" i="159"/>
  <c r="J22" i="159"/>
  <c r="I22" i="159"/>
  <c r="H22" i="159"/>
  <c r="G22" i="159"/>
  <c r="F22" i="159"/>
  <c r="E22" i="159"/>
  <c r="AI21" i="159"/>
  <c r="AH21" i="159"/>
  <c r="AG21" i="159"/>
  <c r="AF21" i="159"/>
  <c r="AE21" i="159"/>
  <c r="U21" i="159"/>
  <c r="K21" i="159"/>
  <c r="J21" i="159"/>
  <c r="I21" i="159"/>
  <c r="H21" i="159"/>
  <c r="G21" i="159"/>
  <c r="F21" i="159"/>
  <c r="E21" i="159"/>
  <c r="AI20" i="159"/>
  <c r="AH20" i="159"/>
  <c r="AG20" i="159"/>
  <c r="AF20" i="159"/>
  <c r="AE20" i="159"/>
  <c r="U20" i="159"/>
  <c r="K20" i="159"/>
  <c r="J20" i="159"/>
  <c r="I20" i="159"/>
  <c r="H20" i="159"/>
  <c r="G20" i="159"/>
  <c r="F20" i="159"/>
  <c r="E20" i="159"/>
  <c r="AI19" i="159"/>
  <c r="AH19" i="159"/>
  <c r="AG19" i="159"/>
  <c r="AF19" i="159"/>
  <c r="AE19" i="159"/>
  <c r="U19" i="159"/>
  <c r="K19" i="159"/>
  <c r="J19" i="159"/>
  <c r="I19" i="159"/>
  <c r="H19" i="159"/>
  <c r="G19" i="159"/>
  <c r="F19" i="159"/>
  <c r="E19" i="159"/>
  <c r="B19" i="159"/>
  <c r="AI18" i="159"/>
  <c r="AH18" i="159"/>
  <c r="AG18" i="159"/>
  <c r="AF18" i="159"/>
  <c r="AE18" i="159"/>
  <c r="U18" i="159"/>
  <c r="K18" i="159"/>
  <c r="J18" i="159"/>
  <c r="I18" i="159"/>
  <c r="H18" i="159"/>
  <c r="G18" i="159"/>
  <c r="F18" i="159"/>
  <c r="E18" i="159"/>
  <c r="AI17" i="159"/>
  <c r="AH17" i="159"/>
  <c r="AG17" i="159"/>
  <c r="AF17" i="159"/>
  <c r="AE17" i="159"/>
  <c r="U17" i="159"/>
  <c r="T17" i="159"/>
  <c r="K17" i="159"/>
  <c r="J17" i="159"/>
  <c r="I17" i="159"/>
  <c r="H17" i="159"/>
  <c r="G17" i="159"/>
  <c r="F17" i="159"/>
  <c r="E17" i="159"/>
  <c r="D17" i="159"/>
  <c r="AI16" i="159"/>
  <c r="AH16" i="159"/>
  <c r="AG16" i="159"/>
  <c r="AF16" i="159"/>
  <c r="AE16" i="159"/>
  <c r="U16" i="159"/>
  <c r="K16" i="159"/>
  <c r="J16" i="159"/>
  <c r="I16" i="159"/>
  <c r="H16" i="159"/>
  <c r="G16" i="159"/>
  <c r="F16" i="159"/>
  <c r="E16" i="159"/>
  <c r="AI14" i="159"/>
  <c r="AH14" i="159"/>
  <c r="AG14" i="159"/>
  <c r="AF14" i="159"/>
  <c r="AE14" i="159"/>
  <c r="U14" i="159"/>
  <c r="K14" i="159"/>
  <c r="J14" i="159"/>
  <c r="I14" i="159"/>
  <c r="H14" i="159"/>
  <c r="G14" i="159"/>
  <c r="F14" i="159"/>
  <c r="E14" i="159"/>
  <c r="AI13" i="159"/>
  <c r="AG13" i="159"/>
  <c r="AF13" i="159"/>
  <c r="AE13" i="159"/>
  <c r="K13" i="159"/>
  <c r="J13" i="159"/>
  <c r="I13" i="159"/>
  <c r="H13" i="159"/>
  <c r="G13" i="159"/>
  <c r="F13" i="159"/>
  <c r="E13" i="159"/>
  <c r="AI12" i="159"/>
  <c r="AH12" i="159"/>
  <c r="AG12" i="159"/>
  <c r="AF12" i="159"/>
  <c r="AE12" i="159"/>
  <c r="U12" i="159"/>
  <c r="K12" i="159"/>
  <c r="J12" i="159"/>
  <c r="I12" i="159"/>
  <c r="H12" i="159"/>
  <c r="G12" i="159"/>
  <c r="F12" i="159"/>
  <c r="E12" i="159"/>
  <c r="AI11" i="159"/>
  <c r="AH11" i="159"/>
  <c r="AG11" i="159"/>
  <c r="AF11" i="159"/>
  <c r="AE11" i="159"/>
  <c r="U11" i="159"/>
  <c r="K11" i="159"/>
  <c r="J11" i="159"/>
  <c r="I11" i="159"/>
  <c r="H11" i="159"/>
  <c r="G11" i="159"/>
  <c r="F11" i="159"/>
  <c r="E11" i="159"/>
  <c r="AI10" i="159"/>
  <c r="AH10" i="159"/>
  <c r="AG10" i="159"/>
  <c r="AF10" i="159"/>
  <c r="AE10" i="159"/>
  <c r="U10" i="159"/>
  <c r="K10" i="159"/>
  <c r="J10" i="159"/>
  <c r="I10" i="159"/>
  <c r="H10" i="159"/>
  <c r="G10" i="159"/>
  <c r="F10" i="159"/>
  <c r="E10" i="159"/>
  <c r="AI9" i="159"/>
  <c r="AH9" i="159"/>
  <c r="AG9" i="159"/>
  <c r="AF9" i="159"/>
  <c r="AE9" i="159"/>
  <c r="U9" i="159"/>
  <c r="K9" i="159"/>
  <c r="J9" i="159"/>
  <c r="I9" i="159"/>
  <c r="H9" i="159"/>
  <c r="G9" i="159"/>
  <c r="F9" i="159"/>
  <c r="E9" i="159"/>
  <c r="AI8" i="159"/>
  <c r="AI24" i="159" s="1"/>
  <c r="G13" i="160" s="1"/>
  <c r="AH8" i="159"/>
  <c r="AG8" i="159"/>
  <c r="AG24" i="159" s="1"/>
  <c r="D13" i="160" s="1"/>
  <c r="AF8" i="159"/>
  <c r="AF24" i="159" s="1"/>
  <c r="AE8" i="159"/>
  <c r="U8" i="159"/>
  <c r="K8" i="159"/>
  <c r="J8" i="159"/>
  <c r="I8" i="159"/>
  <c r="H8" i="159"/>
  <c r="G8" i="159"/>
  <c r="F8" i="159"/>
  <c r="E8" i="159"/>
  <c r="AI7" i="159"/>
  <c r="AH7" i="159"/>
  <c r="AG7" i="159"/>
  <c r="AF7" i="159"/>
  <c r="AE7" i="159"/>
  <c r="U7" i="159"/>
  <c r="K7" i="159"/>
  <c r="J7" i="159"/>
  <c r="I7" i="159"/>
  <c r="H7" i="159"/>
  <c r="G7" i="159"/>
  <c r="F7" i="159"/>
  <c r="E7" i="159"/>
  <c r="AI6" i="159"/>
  <c r="AH6" i="159"/>
  <c r="AG6" i="159"/>
  <c r="AF6" i="159"/>
  <c r="AE6" i="159"/>
  <c r="U6" i="159"/>
  <c r="K6" i="159"/>
  <c r="J6" i="159"/>
  <c r="I6" i="159"/>
  <c r="H6" i="159"/>
  <c r="G6" i="159"/>
  <c r="F6" i="159"/>
  <c r="E6" i="159"/>
  <c r="AI5" i="159"/>
  <c r="AH5" i="159"/>
  <c r="AG5" i="159"/>
  <c r="AF5" i="159"/>
  <c r="AE5" i="159"/>
  <c r="U5" i="159"/>
  <c r="K5" i="159"/>
  <c r="J5" i="159"/>
  <c r="I5" i="159"/>
  <c r="H5" i="159"/>
  <c r="G5" i="159"/>
  <c r="F5" i="159"/>
  <c r="E5" i="159"/>
  <c r="U24" i="159" l="1"/>
  <c r="F12" i="160" s="1"/>
  <c r="AH24" i="159"/>
  <c r="F13" i="160" s="1"/>
  <c r="AJ9" i="159"/>
  <c r="AJ12" i="159"/>
  <c r="AJ13" i="159"/>
  <c r="AJ5" i="159"/>
  <c r="AJ18" i="159"/>
  <c r="AJ7" i="159"/>
  <c r="AJ14" i="159"/>
  <c r="AJ17" i="159"/>
  <c r="AJ6" i="159"/>
  <c r="AJ16" i="159"/>
  <c r="AJ8" i="159"/>
  <c r="AJ20" i="159"/>
  <c r="AJ22" i="159"/>
  <c r="AJ10" i="159"/>
  <c r="AJ11" i="159"/>
  <c r="AJ19" i="159"/>
  <c r="AJ21" i="159"/>
  <c r="AB17" i="159"/>
  <c r="AJ24" i="159" l="1"/>
  <c r="H13" i="160" s="1"/>
  <c r="AM17" i="159"/>
  <c r="L19" i="159"/>
  <c r="N19" i="159"/>
  <c r="R19" i="159"/>
  <c r="M19" i="159"/>
  <c r="O19" i="159"/>
  <c r="Q19" i="159"/>
  <c r="P19" i="159"/>
  <c r="C18" i="159" l="1"/>
  <c r="C20" i="159"/>
  <c r="C12" i="159"/>
  <c r="C6" i="159"/>
  <c r="C17" i="159"/>
  <c r="C5" i="159"/>
  <c r="C10" i="159"/>
  <c r="C9" i="159"/>
  <c r="C13" i="159"/>
  <c r="C22" i="159"/>
  <c r="C8" i="159"/>
  <c r="C16" i="159"/>
  <c r="C11" i="159"/>
  <c r="C14" i="159"/>
  <c r="C7" i="159"/>
  <c r="C24" i="159" l="1"/>
  <c r="C9" i="160" s="1"/>
  <c r="C19" i="159"/>
  <c r="C21" i="159"/>
  <c r="Y10" i="159"/>
  <c r="Y21" i="159"/>
  <c r="Y5" i="159" l="1"/>
  <c r="Y9" i="159"/>
  <c r="Y6" i="159"/>
  <c r="Y11" i="159"/>
  <c r="Y8" i="159"/>
  <c r="Y24" i="159" s="1"/>
  <c r="Y20" i="159"/>
  <c r="Y12" i="159"/>
  <c r="Y17" i="159"/>
  <c r="Y14" i="159"/>
  <c r="Y16" i="159"/>
  <c r="Y19" i="159"/>
  <c r="Y7" i="159"/>
  <c r="Y18" i="159"/>
  <c r="Y13" i="159"/>
  <c r="Y22" i="159"/>
  <c r="S14" i="159" l="1"/>
  <c r="S9" i="159"/>
  <c r="S10" i="159"/>
  <c r="S11" i="159" l="1"/>
  <c r="S8" i="159"/>
  <c r="S24" i="159" s="1"/>
  <c r="S6" i="159"/>
  <c r="S18" i="159"/>
  <c r="S12" i="159"/>
  <c r="S13" i="159"/>
  <c r="S7" i="159"/>
  <c r="S17" i="159"/>
  <c r="S16" i="159"/>
  <c r="S20" i="159"/>
  <c r="S22" i="159"/>
  <c r="S19" i="159"/>
  <c r="S21" i="159"/>
  <c r="D12" i="160" l="1"/>
  <c r="S5" i="159"/>
  <c r="V20" i="159" l="1"/>
  <c r="V6" i="159" l="1"/>
  <c r="V7" i="159" l="1"/>
  <c r="V8" i="159" l="1"/>
  <c r="V9" i="159" l="1"/>
  <c r="V10" i="159" l="1"/>
  <c r="V11" i="159" l="1"/>
  <c r="V5" i="159"/>
  <c r="V16" i="159" l="1"/>
  <c r="V12" i="159"/>
  <c r="V17" i="159" l="1"/>
  <c r="V13" i="159" l="1"/>
  <c r="V18" i="159"/>
  <c r="V19" i="159" l="1"/>
  <c r="V14" i="159"/>
  <c r="V24" i="159" l="1"/>
  <c r="G12" i="160" s="1"/>
  <c r="V21" i="159"/>
  <c r="V22" i="159" l="1"/>
  <c r="W17" i="159" l="1"/>
  <c r="AC17" i="159" l="1"/>
  <c r="AN17" i="159" s="1"/>
  <c r="AO17" i="159" s="1"/>
  <c r="AK17" i="159"/>
  <c r="AL17" i="159" s="1"/>
  <c r="Z17" i="159"/>
  <c r="AA17" i="159"/>
  <c r="D9" i="159" l="1"/>
  <c r="T9" i="159"/>
  <c r="T7" i="159"/>
  <c r="D7" i="159"/>
  <c r="D22" i="159"/>
  <c r="D18" i="159"/>
  <c r="D11" i="159"/>
  <c r="D10" i="159"/>
  <c r="D6" i="159"/>
  <c r="D20" i="159"/>
  <c r="T10" i="159" l="1"/>
  <c r="T18" i="159"/>
  <c r="T19" i="159"/>
  <c r="D19" i="159"/>
  <c r="T21" i="159"/>
  <c r="T22" i="159"/>
  <c r="T6" i="159"/>
  <c r="T11" i="159"/>
  <c r="D21" i="159"/>
  <c r="T20" i="159"/>
  <c r="AB10" i="159"/>
  <c r="AM10" i="159" s="1"/>
  <c r="W22" i="159"/>
  <c r="W7" i="159"/>
  <c r="W9" i="159"/>
  <c r="W21" i="159"/>
  <c r="W20" i="159"/>
  <c r="AK20" i="159" s="1"/>
  <c r="AL20" i="159" s="1"/>
  <c r="AB20" i="159"/>
  <c r="AB22" i="159"/>
  <c r="AM22" i="159" s="1"/>
  <c r="D5" i="159"/>
  <c r="D14" i="159"/>
  <c r="D8" i="159"/>
  <c r="D12" i="159"/>
  <c r="AB18" i="159"/>
  <c r="AM18" i="159" s="1"/>
  <c r="D16" i="159"/>
  <c r="D13" i="159"/>
  <c r="AB6" i="159"/>
  <c r="AM6" i="159" s="1"/>
  <c r="AB11" i="159"/>
  <c r="AM11" i="159" s="1"/>
  <c r="AB7" i="159"/>
  <c r="AB9" i="159"/>
  <c r="AM9" i="159" s="1"/>
  <c r="AK7" i="159" l="1"/>
  <c r="AL7" i="159" s="1"/>
  <c r="T13" i="159"/>
  <c r="W13" i="159" s="1"/>
  <c r="AC7" i="159"/>
  <c r="AM7" i="159"/>
  <c r="AC22" i="159"/>
  <c r="AN22" i="159" s="1"/>
  <c r="AO22" i="159" s="1"/>
  <c r="AK22" i="159"/>
  <c r="AL22" i="159" s="1"/>
  <c r="T16" i="159"/>
  <c r="T12" i="159"/>
  <c r="AC20" i="159"/>
  <c r="AM20" i="159"/>
  <c r="W19" i="159"/>
  <c r="T14" i="159"/>
  <c r="AK21" i="159"/>
  <c r="AL21" i="159" s="1"/>
  <c r="AB19" i="159"/>
  <c r="AM19" i="159" s="1"/>
  <c r="T8" i="159"/>
  <c r="T5" i="159"/>
  <c r="AC9" i="159"/>
  <c r="AN9" i="159" s="1"/>
  <c r="AO9" i="159" s="1"/>
  <c r="AK9" i="159"/>
  <c r="AL9" i="159" s="1"/>
  <c r="AB16" i="159"/>
  <c r="W8" i="159"/>
  <c r="W14" i="159"/>
  <c r="W12" i="159"/>
  <c r="AB14" i="159"/>
  <c r="AM14" i="159" s="1"/>
  <c r="W16" i="159"/>
  <c r="AB5" i="159"/>
  <c r="AM5" i="159" s="1"/>
  <c r="AB8" i="159"/>
  <c r="AB24" i="159" s="1"/>
  <c r="AA20" i="159"/>
  <c r="Z20" i="159"/>
  <c r="AA8" i="159"/>
  <c r="Z16" i="159"/>
  <c r="Z21" i="159"/>
  <c r="AA21" i="159"/>
  <c r="Z7" i="159"/>
  <c r="AA7" i="159"/>
  <c r="AA9" i="159"/>
  <c r="Z9" i="159"/>
  <c r="AA22" i="159"/>
  <c r="Z22" i="159"/>
  <c r="W10" i="159"/>
  <c r="W6" i="159"/>
  <c r="W18" i="159"/>
  <c r="W11" i="159"/>
  <c r="AN7" i="159" l="1"/>
  <c r="AO7" i="159" s="1"/>
  <c r="J13" i="160"/>
  <c r="J12" i="160"/>
  <c r="AK16" i="159"/>
  <c r="AL16" i="159" s="1"/>
  <c r="AK12" i="159"/>
  <c r="AL12" i="159" s="1"/>
  <c r="T24" i="159"/>
  <c r="E12" i="160" s="1"/>
  <c r="AK8" i="159"/>
  <c r="AL8" i="159" s="1"/>
  <c r="W24" i="159"/>
  <c r="AN20" i="159"/>
  <c r="AO20" i="159" s="1"/>
  <c r="AC16" i="159"/>
  <c r="AM16" i="159"/>
  <c r="AB13" i="159"/>
  <c r="AM13" i="159" s="1"/>
  <c r="AC6" i="159"/>
  <c r="AN6" i="159" s="1"/>
  <c r="AO6" i="159" s="1"/>
  <c r="AK6" i="159"/>
  <c r="AL6" i="159" s="1"/>
  <c r="Z19" i="159"/>
  <c r="AC11" i="159"/>
  <c r="AN11" i="159" s="1"/>
  <c r="AO11" i="159" s="1"/>
  <c r="AK11" i="159"/>
  <c r="AL11" i="159" s="1"/>
  <c r="AC18" i="159"/>
  <c r="AN18" i="159" s="1"/>
  <c r="AO18" i="159" s="1"/>
  <c r="AK18" i="159"/>
  <c r="AL18" i="159" s="1"/>
  <c r="AB12" i="159"/>
  <c r="AC10" i="159"/>
  <c r="AN10" i="159" s="1"/>
  <c r="AO10" i="159" s="1"/>
  <c r="AK10" i="159"/>
  <c r="AL10" i="159" s="1"/>
  <c r="AK13" i="159"/>
  <c r="AL13" i="159" s="1"/>
  <c r="AC19" i="159"/>
  <c r="AN19" i="159" s="1"/>
  <c r="AO19" i="159" s="1"/>
  <c r="AK19" i="159"/>
  <c r="AL19" i="159" s="1"/>
  <c r="AC8" i="159"/>
  <c r="AM8" i="159"/>
  <c r="AA19" i="159"/>
  <c r="AB21" i="159"/>
  <c r="AC14" i="159"/>
  <c r="AN14" i="159" s="1"/>
  <c r="AO14" i="159" s="1"/>
  <c r="AK14" i="159"/>
  <c r="AL14" i="159" s="1"/>
  <c r="Z8" i="159"/>
  <c r="AA14" i="159"/>
  <c r="Z14" i="159"/>
  <c r="Z13" i="159"/>
  <c r="AA16" i="159"/>
  <c r="AA13" i="159"/>
  <c r="AA24" i="159"/>
  <c r="AA18" i="159"/>
  <c r="Z18" i="159"/>
  <c r="AA6" i="159"/>
  <c r="Z6" i="159"/>
  <c r="AA11" i="159"/>
  <c r="Z11" i="159"/>
  <c r="AA12" i="159"/>
  <c r="Z12" i="159"/>
  <c r="AA10" i="159"/>
  <c r="Z10" i="159"/>
  <c r="AK24" i="159" l="1"/>
  <c r="H12" i="160"/>
  <c r="Z24" i="159"/>
  <c r="AN16" i="159"/>
  <c r="AO16" i="159" s="1"/>
  <c r="AN8" i="159"/>
  <c r="AO8" i="159" s="1"/>
  <c r="AC13" i="159"/>
  <c r="AN13" i="159" s="1"/>
  <c r="AO13" i="159" s="1"/>
  <c r="AM21" i="159"/>
  <c r="AC21" i="159"/>
  <c r="W5" i="159"/>
  <c r="AC24" i="159"/>
  <c r="L9" i="160" s="1"/>
  <c r="AC12" i="159"/>
  <c r="AM12" i="159"/>
  <c r="AA5" i="159"/>
  <c r="Z5" i="159"/>
  <c r="AM24" i="159" l="1"/>
  <c r="L12" i="160" s="1"/>
  <c r="AN21" i="159"/>
  <c r="AO21" i="159" s="1"/>
  <c r="AC5" i="159"/>
  <c r="AN5" i="159" s="1"/>
  <c r="AK5" i="159"/>
  <c r="AL5" i="159" s="1"/>
  <c r="AN12" i="159"/>
  <c r="AO12" i="159" s="1"/>
  <c r="AO5" i="159" l="1"/>
  <c r="D25" i="90"/>
  <c r="AN24" i="159"/>
  <c r="L15" i="160" s="1"/>
  <c r="G17" i="90"/>
  <c r="O49" i="158"/>
  <c r="G49" i="158"/>
  <c r="F49" i="158"/>
  <c r="D49" i="158"/>
  <c r="H47" i="158"/>
  <c r="I47" i="158" s="1"/>
  <c r="J47" i="158" s="1"/>
  <c r="K47" i="158" s="1"/>
  <c r="L47" i="158" s="1"/>
  <c r="M47" i="158" s="1"/>
  <c r="H46" i="158"/>
  <c r="I46" i="158" s="1"/>
  <c r="J46" i="158" s="1"/>
  <c r="K46" i="158" s="1"/>
  <c r="E46" i="158"/>
  <c r="H45" i="158"/>
  <c r="I45" i="158" s="1"/>
  <c r="J45" i="158" s="1"/>
  <c r="K45" i="158" s="1"/>
  <c r="E45" i="158"/>
  <c r="H44" i="158"/>
  <c r="I44" i="158" s="1"/>
  <c r="J44" i="158" s="1"/>
  <c r="K44" i="158" s="1"/>
  <c r="E44" i="158"/>
  <c r="H43" i="158"/>
  <c r="I43" i="158" s="1"/>
  <c r="J43" i="158" s="1"/>
  <c r="K43" i="158" s="1"/>
  <c r="E43" i="158"/>
  <c r="H42" i="158"/>
  <c r="I42" i="158" s="1"/>
  <c r="J42" i="158" s="1"/>
  <c r="K42" i="158" s="1"/>
  <c r="E42" i="158"/>
  <c r="H41" i="158"/>
  <c r="I41" i="158" s="1"/>
  <c r="J41" i="158" s="1"/>
  <c r="K41" i="158" s="1"/>
  <c r="E41" i="158"/>
  <c r="H40" i="158"/>
  <c r="I40" i="158" s="1"/>
  <c r="J40" i="158" s="1"/>
  <c r="K40" i="158" s="1"/>
  <c r="E40" i="158"/>
  <c r="H39" i="158"/>
  <c r="I39" i="158" s="1"/>
  <c r="J39" i="158" s="1"/>
  <c r="K39" i="158" s="1"/>
  <c r="E39" i="158"/>
  <c r="L39" i="158" s="1"/>
  <c r="M39" i="158" s="1"/>
  <c r="H38" i="158"/>
  <c r="I38" i="158" s="1"/>
  <c r="J38" i="158" s="1"/>
  <c r="K38" i="158" s="1"/>
  <c r="E38" i="158"/>
  <c r="H37" i="158"/>
  <c r="I37" i="158" s="1"/>
  <c r="J37" i="158" s="1"/>
  <c r="K37" i="158" s="1"/>
  <c r="E37" i="158"/>
  <c r="H36" i="158"/>
  <c r="I36" i="158" s="1"/>
  <c r="J36" i="158" s="1"/>
  <c r="K36" i="158" s="1"/>
  <c r="E36" i="158"/>
  <c r="H35" i="158"/>
  <c r="I35" i="158" s="1"/>
  <c r="J35" i="158" s="1"/>
  <c r="K35" i="158" s="1"/>
  <c r="E35" i="158"/>
  <c r="H34" i="158"/>
  <c r="I34" i="158" s="1"/>
  <c r="J34" i="158" s="1"/>
  <c r="K34" i="158" s="1"/>
  <c r="E34" i="158"/>
  <c r="H33" i="158"/>
  <c r="I33" i="158" s="1"/>
  <c r="J33" i="158" s="1"/>
  <c r="K33" i="158" s="1"/>
  <c r="E33" i="158"/>
  <c r="H32" i="158"/>
  <c r="I32" i="158" s="1"/>
  <c r="J32" i="158" s="1"/>
  <c r="K32" i="158" s="1"/>
  <c r="E32" i="158"/>
  <c r="H31" i="158"/>
  <c r="I31" i="158" s="1"/>
  <c r="J31" i="158" s="1"/>
  <c r="K31" i="158" s="1"/>
  <c r="E31" i="158"/>
  <c r="L31" i="158" s="1"/>
  <c r="M31" i="158" s="1"/>
  <c r="H30" i="158"/>
  <c r="E30" i="158"/>
  <c r="U26" i="158"/>
  <c r="T26" i="158"/>
  <c r="V25" i="158"/>
  <c r="V24" i="158"/>
  <c r="V23" i="158"/>
  <c r="V22" i="158"/>
  <c r="P22" i="158"/>
  <c r="O22" i="158"/>
  <c r="V21" i="158"/>
  <c r="D21" i="158"/>
  <c r="V20" i="158"/>
  <c r="G19" i="158" s="1"/>
  <c r="V19" i="158"/>
  <c r="G18" i="158" s="1"/>
  <c r="F19" i="158"/>
  <c r="E19" i="158"/>
  <c r="V18" i="158"/>
  <c r="G17" i="158" s="1"/>
  <c r="F18" i="158"/>
  <c r="E18" i="158"/>
  <c r="V17" i="158"/>
  <c r="G16" i="158" s="1"/>
  <c r="F17" i="158"/>
  <c r="E17" i="158"/>
  <c r="V16" i="158"/>
  <c r="G15" i="158" s="1"/>
  <c r="F16" i="158"/>
  <c r="E16" i="158"/>
  <c r="V15" i="158"/>
  <c r="G14" i="158" s="1"/>
  <c r="F15" i="158"/>
  <c r="E15" i="158"/>
  <c r="V14" i="158"/>
  <c r="G13" i="158" s="1"/>
  <c r="F14" i="158"/>
  <c r="E14" i="158"/>
  <c r="V13" i="158"/>
  <c r="F13" i="158"/>
  <c r="E13" i="158"/>
  <c r="V12" i="158"/>
  <c r="G11" i="158" s="1"/>
  <c r="F12" i="158"/>
  <c r="E12" i="158"/>
  <c r="V11" i="158"/>
  <c r="G10" i="158" s="1"/>
  <c r="F11" i="158"/>
  <c r="E11" i="158"/>
  <c r="V10" i="158"/>
  <c r="G9" i="158" s="1"/>
  <c r="F10" i="158"/>
  <c r="E10" i="158"/>
  <c r="V9" i="158"/>
  <c r="G8" i="158" s="1"/>
  <c r="F9" i="158"/>
  <c r="E9" i="158"/>
  <c r="V8" i="158"/>
  <c r="G7" i="158" s="1"/>
  <c r="F8" i="158"/>
  <c r="H8" i="158" s="1"/>
  <c r="I8" i="158" s="1"/>
  <c r="J8" i="158" s="1"/>
  <c r="E8" i="158"/>
  <c r="V7" i="158"/>
  <c r="G6" i="158" s="1"/>
  <c r="F7" i="158"/>
  <c r="E7" i="158"/>
  <c r="V6" i="158"/>
  <c r="F6" i="158"/>
  <c r="E6" i="158"/>
  <c r="V5" i="158"/>
  <c r="G5" i="158" s="1"/>
  <c r="F5" i="158"/>
  <c r="E5" i="158"/>
  <c r="V4" i="158"/>
  <c r="G4" i="158" s="1"/>
  <c r="F4" i="158"/>
  <c r="E4" i="158"/>
  <c r="V3" i="158"/>
  <c r="F3" i="158"/>
  <c r="E3" i="158"/>
  <c r="L34" i="158" l="1"/>
  <c r="M34" i="158" s="1"/>
  <c r="H19" i="158"/>
  <c r="I19" i="158" s="1"/>
  <c r="J19" i="158" s="1"/>
  <c r="K19" i="158" s="1"/>
  <c r="L19" i="158" s="1"/>
  <c r="L42" i="158"/>
  <c r="M42" i="158" s="1"/>
  <c r="E21" i="158"/>
  <c r="H18" i="158"/>
  <c r="I18" i="158" s="1"/>
  <c r="J18" i="158" s="1"/>
  <c r="K18" i="158" s="1"/>
  <c r="L18" i="158" s="1"/>
  <c r="L41" i="158"/>
  <c r="M41" i="158" s="1"/>
  <c r="L35" i="158"/>
  <c r="M35" i="158" s="1"/>
  <c r="K8" i="158"/>
  <c r="L8" i="158" s="1"/>
  <c r="L43" i="158"/>
  <c r="M43" i="158" s="1"/>
  <c r="G12" i="158"/>
  <c r="H12" i="158" s="1"/>
  <c r="I12" i="158" s="1"/>
  <c r="J12" i="158" s="1"/>
  <c r="K12" i="158" s="1"/>
  <c r="L12" i="158" s="1"/>
  <c r="H17" i="158"/>
  <c r="I17" i="158" s="1"/>
  <c r="J17" i="158" s="1"/>
  <c r="K17" i="158" s="1"/>
  <c r="L17" i="158" s="1"/>
  <c r="H7" i="158"/>
  <c r="I7" i="158" s="1"/>
  <c r="J7" i="158" s="1"/>
  <c r="K7" i="158" s="1"/>
  <c r="L7" i="158" s="1"/>
  <c r="H11" i="158"/>
  <c r="I11" i="158" s="1"/>
  <c r="J11" i="158" s="1"/>
  <c r="K11" i="158" s="1"/>
  <c r="L11" i="158" s="1"/>
  <c r="H15" i="158"/>
  <c r="I15" i="158" s="1"/>
  <c r="J15" i="158" s="1"/>
  <c r="K15" i="158" s="1"/>
  <c r="L15" i="158" s="1"/>
  <c r="H13" i="158"/>
  <c r="I13" i="158" s="1"/>
  <c r="J13" i="158" s="1"/>
  <c r="K13" i="158" s="1"/>
  <c r="L13" i="158" s="1"/>
  <c r="H6" i="158"/>
  <c r="I6" i="158" s="1"/>
  <c r="J6" i="158" s="1"/>
  <c r="K6" i="158" s="1"/>
  <c r="L6" i="158" s="1"/>
  <c r="H14" i="158"/>
  <c r="I14" i="158" s="1"/>
  <c r="J14" i="158" s="1"/>
  <c r="K14" i="158" s="1"/>
  <c r="L14" i="158" s="1"/>
  <c r="L38" i="158"/>
  <c r="M38" i="158" s="1"/>
  <c r="L40" i="158"/>
  <c r="M40" i="158" s="1"/>
  <c r="H5" i="158"/>
  <c r="I5" i="158" s="1"/>
  <c r="J5" i="158" s="1"/>
  <c r="K5" i="158" s="1"/>
  <c r="L5" i="158" s="1"/>
  <c r="L33" i="158"/>
  <c r="M33" i="158" s="1"/>
  <c r="L32" i="158"/>
  <c r="M32" i="158" s="1"/>
  <c r="F21" i="158"/>
  <c r="H49" i="158"/>
  <c r="H10" i="158"/>
  <c r="I10" i="158" s="1"/>
  <c r="J10" i="158" s="1"/>
  <c r="K10" i="158" s="1"/>
  <c r="L10" i="158" s="1"/>
  <c r="V26" i="158"/>
  <c r="L36" i="158"/>
  <c r="M36" i="158" s="1"/>
  <c r="L37" i="158"/>
  <c r="M37" i="158" s="1"/>
  <c r="L44" i="158"/>
  <c r="M44" i="158" s="1"/>
  <c r="H16" i="158"/>
  <c r="I16" i="158" s="1"/>
  <c r="J16" i="158" s="1"/>
  <c r="K16" i="158" s="1"/>
  <c r="L16" i="158" s="1"/>
  <c r="L45" i="158"/>
  <c r="M45" i="158" s="1"/>
  <c r="L46" i="158"/>
  <c r="M46" i="158" s="1"/>
  <c r="H9" i="158"/>
  <c r="I9" i="158" s="1"/>
  <c r="J9" i="158" s="1"/>
  <c r="K9" i="158" s="1"/>
  <c r="L9" i="158" s="1"/>
  <c r="I30" i="158"/>
  <c r="E49" i="158"/>
  <c r="G3" i="158"/>
  <c r="H4" i="158"/>
  <c r="I4" i="158" s="1"/>
  <c r="J4" i="158" s="1"/>
  <c r="K4" i="158" s="1"/>
  <c r="L4" i="158" s="1"/>
  <c r="H3" i="158" l="1"/>
  <c r="G21" i="158"/>
  <c r="I49" i="158"/>
  <c r="J30" i="158"/>
  <c r="K30" i="158" l="1"/>
  <c r="J49" i="158"/>
  <c r="I3" i="158"/>
  <c r="H21" i="158"/>
  <c r="I21" i="158" l="1"/>
  <c r="J3" i="158"/>
  <c r="K49" i="158"/>
  <c r="L30" i="158"/>
  <c r="L49" i="158" l="1"/>
  <c r="M30" i="158"/>
  <c r="M49" i="158" s="1"/>
  <c r="K3" i="158"/>
  <c r="J21" i="158"/>
  <c r="L3" i="158" l="1"/>
  <c r="L21" i="158" s="1"/>
  <c r="K21" i="158"/>
  <c r="E15" i="148" l="1"/>
  <c r="C15" i="148"/>
  <c r="D15" i="148"/>
  <c r="D53" i="90" l="1"/>
  <c r="D52" i="90"/>
  <c r="D51" i="90"/>
  <c r="D50" i="90"/>
  <c r="D49" i="90"/>
  <c r="D48" i="90"/>
  <c r="D47" i="90"/>
  <c r="K30" i="142"/>
  <c r="J13" i="148"/>
  <c r="R6" i="149" l="1"/>
  <c r="G13" i="148" l="1"/>
  <c r="P72" i="148"/>
  <c r="M6" i="119" l="1"/>
  <c r="J8" i="148"/>
  <c r="C31" i="157"/>
  <c r="E24" i="157"/>
  <c r="D27" i="157"/>
  <c r="D20" i="157"/>
  <c r="J11" i="148" s="1"/>
  <c r="D19" i="157"/>
  <c r="J9" i="148" s="1"/>
  <c r="D18" i="157"/>
  <c r="J15" i="148" s="1"/>
  <c r="D17" i="157"/>
  <c r="D16" i="157"/>
  <c r="J16" i="148" s="1"/>
  <c r="D15" i="157"/>
  <c r="J14" i="148" s="1"/>
  <c r="D14" i="157"/>
  <c r="J17" i="148" s="1"/>
  <c r="D13" i="157"/>
  <c r="J6" i="148" s="1"/>
  <c r="D12" i="157"/>
  <c r="J7" i="148" s="1"/>
  <c r="D11" i="157"/>
  <c r="J18" i="148" s="1"/>
  <c r="D10" i="157"/>
  <c r="J20" i="148" s="1"/>
  <c r="D9" i="157"/>
  <c r="J19" i="148" s="1"/>
  <c r="D8" i="157"/>
  <c r="J4" i="148" s="1"/>
  <c r="D7" i="157"/>
  <c r="D6" i="157"/>
  <c r="J10" i="148" s="1"/>
  <c r="D5" i="157"/>
  <c r="J5" i="148" s="1"/>
  <c r="D4" i="157"/>
  <c r="J12" i="148" s="1"/>
  <c r="D47" i="148"/>
  <c r="K102" i="156"/>
  <c r="I99" i="156"/>
  <c r="I98" i="156" s="1"/>
  <c r="I97" i="156"/>
  <c r="I96" i="156" s="1"/>
  <c r="I95" i="156"/>
  <c r="I94" i="156" s="1"/>
  <c r="I93" i="156"/>
  <c r="I92" i="156"/>
  <c r="I91" i="156"/>
  <c r="K86" i="156"/>
  <c r="I78" i="156"/>
  <c r="I77" i="156" s="1"/>
  <c r="E78" i="156"/>
  <c r="D78" i="156" s="1"/>
  <c r="H77" i="156"/>
  <c r="F77" i="156"/>
  <c r="I76" i="156"/>
  <c r="I75" i="156" s="1"/>
  <c r="E76" i="156"/>
  <c r="H75" i="156"/>
  <c r="F75" i="156"/>
  <c r="I74" i="156"/>
  <c r="I73" i="156" s="1"/>
  <c r="E74" i="156"/>
  <c r="D76" i="156" s="1"/>
  <c r="D74" i="156"/>
  <c r="L73" i="156"/>
  <c r="J73" i="156"/>
  <c r="H73" i="156"/>
  <c r="F73" i="156"/>
  <c r="I72" i="156"/>
  <c r="E72" i="156"/>
  <c r="L71" i="156"/>
  <c r="J71" i="156"/>
  <c r="I71" i="156"/>
  <c r="H71" i="156"/>
  <c r="F71" i="156"/>
  <c r="I70" i="156"/>
  <c r="K63" i="156"/>
  <c r="I54" i="156"/>
  <c r="H54" i="156"/>
  <c r="I52" i="156"/>
  <c r="H52" i="156"/>
  <c r="J50" i="156"/>
  <c r="I50" i="156"/>
  <c r="H50" i="156"/>
  <c r="J48" i="156"/>
  <c r="I48" i="156"/>
  <c r="H48" i="156"/>
  <c r="B41" i="156"/>
  <c r="E40" i="156"/>
  <c r="F40" i="156" s="1"/>
  <c r="A40" i="156"/>
  <c r="E39" i="156"/>
  <c r="F39" i="156" s="1"/>
  <c r="A39" i="156"/>
  <c r="E38" i="156"/>
  <c r="F38" i="156" s="1"/>
  <c r="A38" i="156"/>
  <c r="E37" i="156"/>
  <c r="F37" i="156" s="1"/>
  <c r="A37" i="156"/>
  <c r="E36" i="156"/>
  <c r="F36" i="156" s="1"/>
  <c r="A36" i="156"/>
  <c r="E35" i="156"/>
  <c r="F35" i="156" s="1"/>
  <c r="A35" i="156"/>
  <c r="E34" i="156"/>
  <c r="F34" i="156" s="1"/>
  <c r="G34" i="156" s="1"/>
  <c r="A34" i="156"/>
  <c r="E33" i="156"/>
  <c r="F33" i="156" s="1"/>
  <c r="G33" i="156" s="1"/>
  <c r="A33" i="156"/>
  <c r="F32" i="156"/>
  <c r="E32" i="156"/>
  <c r="F31" i="156"/>
  <c r="E31" i="156"/>
  <c r="F30" i="156"/>
  <c r="E30" i="156"/>
  <c r="D19" i="156"/>
  <c r="D17" i="156"/>
  <c r="D15" i="156"/>
  <c r="D13" i="156"/>
  <c r="D11" i="156"/>
  <c r="D9" i="156"/>
  <c r="D7" i="156"/>
  <c r="G15" i="148"/>
  <c r="M38" i="142"/>
  <c r="I38" i="142"/>
  <c r="L38" i="142" s="1"/>
  <c r="H38" i="142"/>
  <c r="H37" i="142" s="1"/>
  <c r="M37" i="142"/>
  <c r="M36" i="142"/>
  <c r="I36" i="142"/>
  <c r="L36" i="142" s="1"/>
  <c r="H36" i="142"/>
  <c r="M35" i="142"/>
  <c r="H35" i="142"/>
  <c r="M34" i="142"/>
  <c r="L34" i="142"/>
  <c r="K34" i="142"/>
  <c r="J34" i="142"/>
  <c r="J33" i="142" s="1"/>
  <c r="I34" i="142"/>
  <c r="H34" i="142"/>
  <c r="M33" i="142"/>
  <c r="L33" i="142"/>
  <c r="K33" i="142"/>
  <c r="I33" i="142"/>
  <c r="H33" i="142"/>
  <c r="M32" i="142"/>
  <c r="L32" i="142"/>
  <c r="K32" i="142"/>
  <c r="J32" i="142"/>
  <c r="J31" i="142" s="1"/>
  <c r="I32" i="142"/>
  <c r="H32" i="142"/>
  <c r="M31" i="142"/>
  <c r="L31" i="142"/>
  <c r="K31" i="142"/>
  <c r="I31" i="142"/>
  <c r="H31" i="142"/>
  <c r="M30" i="142"/>
  <c r="L30" i="142"/>
  <c r="J30" i="142"/>
  <c r="H30" i="142"/>
  <c r="E40" i="142"/>
  <c r="E39" i="142"/>
  <c r="E38" i="142"/>
  <c r="E37" i="142"/>
  <c r="E36" i="142"/>
  <c r="E35" i="142"/>
  <c r="E34" i="142"/>
  <c r="E33" i="142"/>
  <c r="E32" i="142"/>
  <c r="E31" i="142"/>
  <c r="E30" i="142"/>
  <c r="B4" i="155"/>
  <c r="B5" i="155"/>
  <c r="B6" i="155"/>
  <c r="B7" i="155"/>
  <c r="B9" i="155"/>
  <c r="B11" i="155"/>
  <c r="B13" i="155"/>
  <c r="B14" i="155"/>
  <c r="D14" i="155"/>
  <c r="B15" i="155"/>
  <c r="B16" i="155"/>
  <c r="B18" i="155"/>
  <c r="B20" i="155"/>
  <c r="B22" i="155"/>
  <c r="B23" i="155"/>
  <c r="D23" i="155"/>
  <c r="B24" i="155"/>
  <c r="B25" i="155"/>
  <c r="B27" i="155"/>
  <c r="B29" i="155"/>
  <c r="B31" i="155"/>
  <c r="L31" i="155"/>
  <c r="B32" i="155"/>
  <c r="D32" i="155"/>
  <c r="E32" i="155"/>
  <c r="F32" i="155" s="1"/>
  <c r="B33" i="155"/>
  <c r="B34" i="155"/>
  <c r="B36" i="155"/>
  <c r="B38" i="155"/>
  <c r="B40" i="155"/>
  <c r="B41" i="155"/>
  <c r="D41" i="155"/>
  <c r="B42" i="155"/>
  <c r="B43" i="155"/>
  <c r="B45" i="155"/>
  <c r="B47" i="155"/>
  <c r="B49" i="155"/>
  <c r="B50" i="155"/>
  <c r="D50" i="155"/>
  <c r="B51" i="155"/>
  <c r="B52" i="155"/>
  <c r="B54" i="155"/>
  <c r="B56" i="155"/>
  <c r="B58" i="155"/>
  <c r="L58" i="155"/>
  <c r="B59" i="155"/>
  <c r="D59" i="155"/>
  <c r="B60" i="155"/>
  <c r="B61" i="155"/>
  <c r="B63" i="155"/>
  <c r="B65" i="155"/>
  <c r="B67" i="155"/>
  <c r="B68" i="155"/>
  <c r="D68" i="155"/>
  <c r="B69" i="155"/>
  <c r="B70" i="155"/>
  <c r="B72" i="155"/>
  <c r="B74" i="155"/>
  <c r="B76" i="155"/>
  <c r="B77" i="155"/>
  <c r="D77" i="155"/>
  <c r="B78" i="155"/>
  <c r="B79" i="155"/>
  <c r="B81" i="155"/>
  <c r="B83" i="155"/>
  <c r="B85" i="155"/>
  <c r="B86" i="155"/>
  <c r="D86" i="155"/>
  <c r="B87" i="155"/>
  <c r="B88" i="155"/>
  <c r="B90" i="155"/>
  <c r="B92" i="155"/>
  <c r="B94" i="155"/>
  <c r="B95" i="155"/>
  <c r="D95" i="155"/>
  <c r="B96" i="155"/>
  <c r="B97" i="155"/>
  <c r="B99" i="155"/>
  <c r="B101" i="155"/>
  <c r="B103" i="155"/>
  <c r="B104" i="155"/>
  <c r="D104" i="155"/>
  <c r="B105" i="155"/>
  <c r="B106" i="155"/>
  <c r="B108" i="155"/>
  <c r="B110" i="155"/>
  <c r="B112" i="155"/>
  <c r="B113" i="155"/>
  <c r="D113" i="155"/>
  <c r="B114" i="155"/>
  <c r="B115" i="155"/>
  <c r="B117" i="155"/>
  <c r="B119" i="155"/>
  <c r="B121" i="155"/>
  <c r="B122" i="155"/>
  <c r="D122" i="155"/>
  <c r="B123" i="155"/>
  <c r="B124" i="155"/>
  <c r="B126" i="155"/>
  <c r="B128" i="155"/>
  <c r="B130" i="155"/>
  <c r="B131" i="155"/>
  <c r="D131" i="155"/>
  <c r="B132" i="155"/>
  <c r="B133" i="155"/>
  <c r="B135" i="155"/>
  <c r="B137" i="155"/>
  <c r="B139" i="155"/>
  <c r="B140" i="155"/>
  <c r="D140" i="155"/>
  <c r="B141" i="155"/>
  <c r="B142" i="155"/>
  <c r="B144" i="155"/>
  <c r="B146" i="155"/>
  <c r="B148" i="155"/>
  <c r="B149" i="155"/>
  <c r="D149" i="155"/>
  <c r="B150" i="155"/>
  <c r="B151" i="155"/>
  <c r="B153" i="155"/>
  <c r="B155" i="155"/>
  <c r="B157" i="155"/>
  <c r="B158" i="155"/>
  <c r="D158" i="155"/>
  <c r="B159" i="155"/>
  <c r="B160" i="155"/>
  <c r="B162" i="155"/>
  <c r="B164" i="155"/>
  <c r="S23" i="154"/>
  <c r="F23" i="154"/>
  <c r="S58" i="154"/>
  <c r="S59" i="154"/>
  <c r="S60" i="154"/>
  <c r="S61" i="154"/>
  <c r="S62" i="154"/>
  <c r="S63" i="154"/>
  <c r="S64" i="154"/>
  <c r="S65" i="154"/>
  <c r="S66" i="154"/>
  <c r="S67" i="154"/>
  <c r="S68" i="154"/>
  <c r="S69" i="154"/>
  <c r="S70" i="154"/>
  <c r="S71" i="154"/>
  <c r="S72" i="154"/>
  <c r="S73" i="154"/>
  <c r="Q58" i="154"/>
  <c r="Q59" i="154"/>
  <c r="Q60" i="154"/>
  <c r="Q61" i="154"/>
  <c r="Q62" i="154"/>
  <c r="Q63" i="154"/>
  <c r="Q64" i="154"/>
  <c r="Q65" i="154"/>
  <c r="Q66" i="154"/>
  <c r="Q67" i="154"/>
  <c r="Q68" i="154"/>
  <c r="Q69" i="154"/>
  <c r="Q70" i="154"/>
  <c r="Q71" i="154"/>
  <c r="Q72" i="154"/>
  <c r="Q73" i="154"/>
  <c r="O58" i="154"/>
  <c r="O59" i="154"/>
  <c r="O60" i="154"/>
  <c r="O61" i="154"/>
  <c r="O62" i="154"/>
  <c r="O63" i="154"/>
  <c r="O64" i="154"/>
  <c r="O65" i="154"/>
  <c r="O66" i="154"/>
  <c r="O67" i="154"/>
  <c r="O68" i="154"/>
  <c r="O69" i="154"/>
  <c r="O70" i="154"/>
  <c r="O71" i="154"/>
  <c r="O72" i="154"/>
  <c r="O73" i="154"/>
  <c r="M58" i="154"/>
  <c r="M59" i="154"/>
  <c r="M60" i="154"/>
  <c r="M61" i="154"/>
  <c r="M62" i="154"/>
  <c r="M63" i="154"/>
  <c r="M64" i="154"/>
  <c r="M65" i="154"/>
  <c r="M66" i="154"/>
  <c r="M67" i="154"/>
  <c r="M68" i="154"/>
  <c r="M69" i="154"/>
  <c r="M70" i="154"/>
  <c r="M71" i="154"/>
  <c r="M72" i="154"/>
  <c r="M73" i="154"/>
  <c r="K58" i="154"/>
  <c r="K59" i="154"/>
  <c r="K60" i="154"/>
  <c r="K61" i="154"/>
  <c r="K62" i="154"/>
  <c r="K63" i="154"/>
  <c r="K64" i="154"/>
  <c r="K65" i="154"/>
  <c r="K66" i="154"/>
  <c r="K67" i="154"/>
  <c r="K68" i="154"/>
  <c r="K69" i="154"/>
  <c r="K70" i="154"/>
  <c r="K71" i="154"/>
  <c r="K72" i="154"/>
  <c r="K73" i="154"/>
  <c r="I58" i="154"/>
  <c r="I59" i="154"/>
  <c r="I60" i="154"/>
  <c r="I61" i="154"/>
  <c r="I62" i="154"/>
  <c r="I63" i="154"/>
  <c r="I64" i="154"/>
  <c r="I65" i="154"/>
  <c r="I66" i="154"/>
  <c r="I67" i="154"/>
  <c r="I68" i="154"/>
  <c r="I69" i="154"/>
  <c r="I70" i="154"/>
  <c r="I71" i="154"/>
  <c r="I72" i="154"/>
  <c r="I73" i="154"/>
  <c r="G58" i="154"/>
  <c r="G59" i="154"/>
  <c r="G60" i="154"/>
  <c r="G61" i="154"/>
  <c r="G62" i="154"/>
  <c r="G63" i="154"/>
  <c r="G64" i="154"/>
  <c r="G65" i="154"/>
  <c r="G66" i="154"/>
  <c r="G67" i="154"/>
  <c r="G68" i="154"/>
  <c r="G69" i="154"/>
  <c r="G70" i="154"/>
  <c r="G71" i="154"/>
  <c r="G72" i="154"/>
  <c r="G73" i="154"/>
  <c r="S57" i="154"/>
  <c r="Q57" i="154"/>
  <c r="O57" i="154"/>
  <c r="M57" i="154"/>
  <c r="K57" i="154"/>
  <c r="I57" i="154"/>
  <c r="G57" i="154"/>
  <c r="R58" i="154"/>
  <c r="R59" i="154"/>
  <c r="R60" i="154"/>
  <c r="R61" i="154"/>
  <c r="R62" i="154"/>
  <c r="R63" i="154"/>
  <c r="R64" i="154"/>
  <c r="R65" i="154"/>
  <c r="R66" i="154"/>
  <c r="R67" i="154"/>
  <c r="R68" i="154"/>
  <c r="R69" i="154"/>
  <c r="R70" i="154"/>
  <c r="R71" i="154"/>
  <c r="R72" i="154"/>
  <c r="R73" i="154"/>
  <c r="P58" i="154"/>
  <c r="P59" i="154"/>
  <c r="P60" i="154"/>
  <c r="P61" i="154"/>
  <c r="P62" i="154"/>
  <c r="P63" i="154"/>
  <c r="P64" i="154"/>
  <c r="P65" i="154"/>
  <c r="P66" i="154"/>
  <c r="P67" i="154"/>
  <c r="P68" i="154"/>
  <c r="P69" i="154"/>
  <c r="P70" i="154"/>
  <c r="P71" i="154"/>
  <c r="P72" i="154"/>
  <c r="P73" i="154"/>
  <c r="N58" i="154"/>
  <c r="N59" i="154"/>
  <c r="N60" i="154"/>
  <c r="N61" i="154"/>
  <c r="N62" i="154"/>
  <c r="N63" i="154"/>
  <c r="N64" i="154"/>
  <c r="N65" i="154"/>
  <c r="N66" i="154"/>
  <c r="N67" i="154"/>
  <c r="N68" i="154"/>
  <c r="N69" i="154"/>
  <c r="N70" i="154"/>
  <c r="N71" i="154"/>
  <c r="N72" i="154"/>
  <c r="N73" i="154"/>
  <c r="L58" i="154"/>
  <c r="L59" i="154"/>
  <c r="L60" i="154"/>
  <c r="L61" i="154"/>
  <c r="L62" i="154"/>
  <c r="L63" i="154"/>
  <c r="L64" i="154"/>
  <c r="L65" i="154"/>
  <c r="L66" i="154"/>
  <c r="L67" i="154"/>
  <c r="L68" i="154"/>
  <c r="L69" i="154"/>
  <c r="L70" i="154"/>
  <c r="L71" i="154"/>
  <c r="L72" i="154"/>
  <c r="L73" i="154"/>
  <c r="J58" i="154"/>
  <c r="J59" i="154"/>
  <c r="J60" i="154"/>
  <c r="J61" i="154"/>
  <c r="J62" i="154"/>
  <c r="J63" i="154"/>
  <c r="J64" i="154"/>
  <c r="J65" i="154"/>
  <c r="J66" i="154"/>
  <c r="J67" i="154"/>
  <c r="J68" i="154"/>
  <c r="J69" i="154"/>
  <c r="J70" i="154"/>
  <c r="J71" i="154"/>
  <c r="J72" i="154"/>
  <c r="J73" i="154"/>
  <c r="R57" i="154"/>
  <c r="P57" i="154"/>
  <c r="N57" i="154"/>
  <c r="L57" i="154"/>
  <c r="J57" i="154"/>
  <c r="H58" i="154"/>
  <c r="H59" i="154"/>
  <c r="H60" i="154"/>
  <c r="H61" i="154"/>
  <c r="H62" i="154"/>
  <c r="H63" i="154"/>
  <c r="H64" i="154"/>
  <c r="H65" i="154"/>
  <c r="H66" i="154"/>
  <c r="H67" i="154"/>
  <c r="H68" i="154"/>
  <c r="H69" i="154"/>
  <c r="H70" i="154"/>
  <c r="H71" i="154"/>
  <c r="H72" i="154"/>
  <c r="H73" i="154"/>
  <c r="H57" i="154"/>
  <c r="F58" i="154"/>
  <c r="F59" i="154"/>
  <c r="F60" i="154"/>
  <c r="F61" i="154"/>
  <c r="F62" i="154"/>
  <c r="F63" i="154"/>
  <c r="F64" i="154"/>
  <c r="F65" i="154"/>
  <c r="F66" i="154"/>
  <c r="F67" i="154"/>
  <c r="F68" i="154"/>
  <c r="F69" i="154"/>
  <c r="F70" i="154"/>
  <c r="F71" i="154"/>
  <c r="F72" i="154"/>
  <c r="F73" i="154"/>
  <c r="F57" i="154"/>
  <c r="E58" i="154"/>
  <c r="E59" i="154"/>
  <c r="E60" i="154"/>
  <c r="E61" i="154"/>
  <c r="E62" i="154"/>
  <c r="E63" i="154"/>
  <c r="E64" i="154"/>
  <c r="E65" i="154"/>
  <c r="E66" i="154"/>
  <c r="E67" i="154"/>
  <c r="E68" i="154"/>
  <c r="E69" i="154"/>
  <c r="E70" i="154"/>
  <c r="E71" i="154"/>
  <c r="E72" i="154"/>
  <c r="E73" i="154"/>
  <c r="E57" i="154"/>
  <c r="D22" i="157" l="1"/>
  <c r="D29" i="157" s="1"/>
  <c r="G35" i="156"/>
  <c r="G37" i="156"/>
  <c r="G39" i="156"/>
  <c r="G36" i="156"/>
  <c r="G38" i="156"/>
  <c r="G40" i="156"/>
  <c r="I35" i="142"/>
  <c r="L35" i="142" s="1"/>
  <c r="I37" i="142"/>
  <c r="L37" i="142" s="1"/>
  <c r="K32" i="155"/>
  <c r="J32" i="155"/>
  <c r="L32" i="155"/>
  <c r="I32" i="155"/>
  <c r="H32" i="155"/>
  <c r="G32" i="155"/>
  <c r="N14" i="154"/>
  <c r="U17" i="154"/>
  <c r="U16" i="154"/>
  <c r="U15" i="154"/>
  <c r="U9" i="154"/>
  <c r="G14" i="154"/>
  <c r="I14" i="154"/>
  <c r="K14" i="154"/>
  <c r="M14" i="154"/>
  <c r="J81" i="149" l="1"/>
  <c r="J165" i="149" s="1"/>
  <c r="I81" i="149"/>
  <c r="I165" i="149" s="1"/>
  <c r="H81" i="149"/>
  <c r="H165" i="149" s="1"/>
  <c r="G81" i="149"/>
  <c r="G165" i="149" s="1"/>
  <c r="F81" i="149"/>
  <c r="F165" i="149" s="1"/>
  <c r="E81" i="149"/>
  <c r="E165" i="149" s="1"/>
  <c r="D81" i="149"/>
  <c r="D165" i="149" s="1"/>
  <c r="J80" i="149"/>
  <c r="J164" i="149" s="1"/>
  <c r="I80" i="149"/>
  <c r="I164" i="149" s="1"/>
  <c r="H80" i="149"/>
  <c r="H164" i="149" s="1"/>
  <c r="G80" i="149"/>
  <c r="G164" i="149" s="1"/>
  <c r="F80" i="149"/>
  <c r="F164" i="149" s="1"/>
  <c r="E80" i="149"/>
  <c r="E164" i="149" s="1"/>
  <c r="D80" i="149"/>
  <c r="D164" i="149" s="1"/>
  <c r="J79" i="149"/>
  <c r="J163" i="149" s="1"/>
  <c r="I79" i="149"/>
  <c r="I163" i="149" s="1"/>
  <c r="H79" i="149"/>
  <c r="H163" i="149" s="1"/>
  <c r="G79" i="149"/>
  <c r="G163" i="149" s="1"/>
  <c r="F79" i="149"/>
  <c r="F163" i="149" s="1"/>
  <c r="E79" i="149"/>
  <c r="E163" i="149" s="1"/>
  <c r="D79" i="149"/>
  <c r="D163" i="149" s="1"/>
  <c r="G78" i="149"/>
  <c r="G162" i="149" s="1"/>
  <c r="F78" i="149"/>
  <c r="F162" i="149" s="1"/>
  <c r="E78" i="149"/>
  <c r="E162" i="149" s="1"/>
  <c r="D78" i="149"/>
  <c r="D162" i="149" s="1"/>
  <c r="J73" i="149"/>
  <c r="J157" i="149" s="1"/>
  <c r="I73" i="149"/>
  <c r="I157" i="149" s="1"/>
  <c r="H73" i="149"/>
  <c r="H157" i="149" s="1"/>
  <c r="G73" i="149"/>
  <c r="G157" i="149" s="1"/>
  <c r="F73" i="149"/>
  <c r="F157" i="149" s="1"/>
  <c r="E73" i="149"/>
  <c r="E157" i="149" s="1"/>
  <c r="D73" i="149"/>
  <c r="D157" i="149" s="1"/>
  <c r="J60" i="149"/>
  <c r="I60" i="149"/>
  <c r="H60" i="149"/>
  <c r="G60" i="149"/>
  <c r="F60" i="149"/>
  <c r="E60" i="149"/>
  <c r="D60" i="149"/>
  <c r="J59" i="149"/>
  <c r="I59" i="149"/>
  <c r="H59" i="149"/>
  <c r="G59" i="149"/>
  <c r="F59" i="149"/>
  <c r="E59" i="149"/>
  <c r="D59" i="149"/>
  <c r="J58" i="149"/>
  <c r="I58" i="149"/>
  <c r="H58" i="149"/>
  <c r="G58" i="149"/>
  <c r="F58" i="149"/>
  <c r="E58" i="149"/>
  <c r="D58" i="149"/>
  <c r="G57" i="149"/>
  <c r="F57" i="149"/>
  <c r="E57" i="149"/>
  <c r="D57" i="149"/>
  <c r="J52" i="149"/>
  <c r="I52" i="149"/>
  <c r="H52" i="149"/>
  <c r="G52" i="149"/>
  <c r="F52" i="149"/>
  <c r="E52" i="149"/>
  <c r="D52" i="149"/>
  <c r="J39" i="149"/>
  <c r="I39" i="149"/>
  <c r="H39" i="149"/>
  <c r="G39" i="149"/>
  <c r="F39" i="149"/>
  <c r="E39" i="149"/>
  <c r="D39" i="149"/>
  <c r="J38" i="149"/>
  <c r="I38" i="149"/>
  <c r="H38" i="149"/>
  <c r="G38" i="149"/>
  <c r="F38" i="149"/>
  <c r="E38" i="149"/>
  <c r="D38" i="149"/>
  <c r="J37" i="149"/>
  <c r="I37" i="149"/>
  <c r="H37" i="149"/>
  <c r="G37" i="149"/>
  <c r="F37" i="149"/>
  <c r="E37" i="149"/>
  <c r="D37" i="149"/>
  <c r="G36" i="149"/>
  <c r="F36" i="149"/>
  <c r="E36" i="149"/>
  <c r="D36" i="149"/>
  <c r="J31" i="149"/>
  <c r="I31" i="149"/>
  <c r="H31" i="149"/>
  <c r="G31" i="149"/>
  <c r="F31" i="149"/>
  <c r="E31" i="149"/>
  <c r="D31" i="149"/>
  <c r="J10" i="149"/>
  <c r="J16" i="149"/>
  <c r="J17" i="149"/>
  <c r="J18" i="149"/>
  <c r="I10" i="149"/>
  <c r="I16" i="149"/>
  <c r="I17" i="149"/>
  <c r="I18" i="149"/>
  <c r="H10" i="149"/>
  <c r="H16" i="149"/>
  <c r="H17" i="149"/>
  <c r="H18" i="149"/>
  <c r="G10" i="149"/>
  <c r="G15" i="149"/>
  <c r="G16" i="149"/>
  <c r="G17" i="149"/>
  <c r="G18" i="149"/>
  <c r="F10" i="149"/>
  <c r="F15" i="149"/>
  <c r="F16" i="149"/>
  <c r="F17" i="149"/>
  <c r="F18" i="149"/>
  <c r="E10" i="149"/>
  <c r="E15" i="149"/>
  <c r="E16" i="149"/>
  <c r="E17" i="149"/>
  <c r="E18" i="149"/>
  <c r="D10" i="149"/>
  <c r="D15" i="149"/>
  <c r="D16" i="149"/>
  <c r="D17" i="149"/>
  <c r="D18" i="149"/>
  <c r="E40" i="154" l="1"/>
  <c r="R40" i="154"/>
  <c r="P40" i="154"/>
  <c r="N40" i="154"/>
  <c r="L40" i="154"/>
  <c r="J40" i="154"/>
  <c r="H40" i="154"/>
  <c r="F40" i="154"/>
  <c r="C6" i="151"/>
  <c r="L6" i="151" s="1"/>
  <c r="L10" i="151"/>
  <c r="L12" i="151"/>
  <c r="L14" i="151"/>
  <c r="L15" i="151"/>
  <c r="L19" i="151"/>
  <c r="L20" i="151"/>
  <c r="N29" i="120" l="1"/>
  <c r="E14" i="145"/>
  <c r="R14" i="145"/>
  <c r="P14" i="145"/>
  <c r="N14" i="145"/>
  <c r="L14" i="145"/>
  <c r="J14" i="145"/>
  <c r="H14" i="145"/>
  <c r="F14" i="145"/>
  <c r="E51" i="147"/>
  <c r="K57" i="121"/>
  <c r="K15" i="121"/>
  <c r="G5" i="154"/>
  <c r="R23" i="154"/>
  <c r="R24" i="154" s="1"/>
  <c r="P23" i="154"/>
  <c r="P24" i="154" s="1"/>
  <c r="N23" i="154"/>
  <c r="N24" i="154" s="1"/>
  <c r="L23" i="154"/>
  <c r="L24" i="154" s="1"/>
  <c r="J23" i="154"/>
  <c r="H23" i="154"/>
  <c r="H24" i="154" s="1"/>
  <c r="S21" i="154"/>
  <c r="Q21" i="154"/>
  <c r="O21" i="154"/>
  <c r="M21" i="154"/>
  <c r="K21" i="154"/>
  <c r="I21" i="154"/>
  <c r="G21" i="154"/>
  <c r="S20" i="154"/>
  <c r="Q20" i="154"/>
  <c r="O20" i="154"/>
  <c r="M20" i="154"/>
  <c r="K20" i="154"/>
  <c r="I20" i="154"/>
  <c r="G20" i="154"/>
  <c r="S19" i="154"/>
  <c r="Q19" i="154"/>
  <c r="O19" i="154"/>
  <c r="M19" i="154"/>
  <c r="K19" i="154"/>
  <c r="I19" i="154"/>
  <c r="G19" i="154"/>
  <c r="S18" i="154"/>
  <c r="Q18" i="154"/>
  <c r="O18" i="154"/>
  <c r="M18" i="154"/>
  <c r="K18" i="154"/>
  <c r="I18" i="154"/>
  <c r="G18" i="154"/>
  <c r="E17" i="154"/>
  <c r="E16" i="154"/>
  <c r="E15" i="154"/>
  <c r="S13" i="154"/>
  <c r="Q13" i="154"/>
  <c r="O13" i="154"/>
  <c r="M13" i="154"/>
  <c r="K13" i="154"/>
  <c r="I13" i="154"/>
  <c r="G13" i="154"/>
  <c r="S12" i="154"/>
  <c r="Q12" i="154"/>
  <c r="O12" i="154"/>
  <c r="M12" i="154"/>
  <c r="K12" i="154"/>
  <c r="I12" i="154"/>
  <c r="G12" i="154"/>
  <c r="S11" i="154"/>
  <c r="Q11" i="154"/>
  <c r="O11" i="154"/>
  <c r="M11" i="154"/>
  <c r="K11" i="154"/>
  <c r="I11" i="154"/>
  <c r="G11" i="154"/>
  <c r="S10" i="154"/>
  <c r="Q10" i="154"/>
  <c r="O10" i="154"/>
  <c r="M10" i="154"/>
  <c r="K10" i="154"/>
  <c r="I10" i="154"/>
  <c r="G10" i="154"/>
  <c r="E9" i="154"/>
  <c r="S8" i="154"/>
  <c r="Q8" i="154"/>
  <c r="O8" i="154"/>
  <c r="M8" i="154"/>
  <c r="K8" i="154"/>
  <c r="I8" i="154"/>
  <c r="G8" i="154"/>
  <c r="S7" i="154"/>
  <c r="Q7" i="154"/>
  <c r="O7" i="154"/>
  <c r="M7" i="154"/>
  <c r="K7" i="154"/>
  <c r="I7" i="154"/>
  <c r="G7" i="154"/>
  <c r="S6" i="154"/>
  <c r="Q6" i="154"/>
  <c r="O6" i="154"/>
  <c r="M6" i="154"/>
  <c r="K6" i="154"/>
  <c r="I6" i="154"/>
  <c r="G6" i="154"/>
  <c r="S5" i="154"/>
  <c r="Q5" i="154"/>
  <c r="O5" i="154"/>
  <c r="M5" i="154"/>
  <c r="K5" i="154"/>
  <c r="I5" i="154"/>
  <c r="R49" i="154"/>
  <c r="R50" i="154" s="1"/>
  <c r="P49" i="154"/>
  <c r="P50" i="154" s="1"/>
  <c r="N49" i="154"/>
  <c r="N50" i="154" s="1"/>
  <c r="L49" i="154"/>
  <c r="L50" i="154" s="1"/>
  <c r="J49" i="154"/>
  <c r="H49" i="154"/>
  <c r="H50" i="154" s="1"/>
  <c r="F49" i="154"/>
  <c r="F50" i="154" s="1"/>
  <c r="S47" i="154"/>
  <c r="Q47" i="154"/>
  <c r="O47" i="154"/>
  <c r="M47" i="154"/>
  <c r="K47" i="154"/>
  <c r="I47" i="154"/>
  <c r="G47" i="154"/>
  <c r="S46" i="154"/>
  <c r="Q46" i="154"/>
  <c r="O46" i="154"/>
  <c r="M46" i="154"/>
  <c r="K46" i="154"/>
  <c r="I46" i="154"/>
  <c r="G46" i="154"/>
  <c r="S45" i="154"/>
  <c r="Q45" i="154"/>
  <c r="O45" i="154"/>
  <c r="M45" i="154"/>
  <c r="K45" i="154"/>
  <c r="I45" i="154"/>
  <c r="G45" i="154"/>
  <c r="S44" i="154"/>
  <c r="Q44" i="154"/>
  <c r="O44" i="154"/>
  <c r="M44" i="154"/>
  <c r="K44" i="154"/>
  <c r="I44" i="154"/>
  <c r="G44" i="154"/>
  <c r="U43" i="154"/>
  <c r="E43" i="154"/>
  <c r="U42" i="154"/>
  <c r="E42" i="154"/>
  <c r="U41" i="154"/>
  <c r="E41" i="154"/>
  <c r="S40" i="154"/>
  <c r="Q40" i="154"/>
  <c r="O40" i="154"/>
  <c r="M40" i="154"/>
  <c r="K40" i="154"/>
  <c r="I40" i="154"/>
  <c r="G40" i="154"/>
  <c r="S39" i="154"/>
  <c r="Q39" i="154"/>
  <c r="O39" i="154"/>
  <c r="M39" i="154"/>
  <c r="K39" i="154"/>
  <c r="I39" i="154"/>
  <c r="G39" i="154"/>
  <c r="S38" i="154"/>
  <c r="Q38" i="154"/>
  <c r="O38" i="154"/>
  <c r="M38" i="154"/>
  <c r="K38" i="154"/>
  <c r="I38" i="154"/>
  <c r="G38" i="154"/>
  <c r="S37" i="154"/>
  <c r="Q37" i="154"/>
  <c r="O37" i="154"/>
  <c r="M37" i="154"/>
  <c r="K37" i="154"/>
  <c r="I37" i="154"/>
  <c r="G37" i="154"/>
  <c r="S36" i="154"/>
  <c r="Q36" i="154"/>
  <c r="O36" i="154"/>
  <c r="M36" i="154"/>
  <c r="K36" i="154"/>
  <c r="I36" i="154"/>
  <c r="G36" i="154"/>
  <c r="U35" i="154"/>
  <c r="E35" i="154"/>
  <c r="S34" i="154"/>
  <c r="Q34" i="154"/>
  <c r="O34" i="154"/>
  <c r="M34" i="154"/>
  <c r="K34" i="154"/>
  <c r="I34" i="154"/>
  <c r="G34" i="154"/>
  <c r="S33" i="154"/>
  <c r="Q33" i="154"/>
  <c r="O33" i="154"/>
  <c r="M33" i="154"/>
  <c r="K33" i="154"/>
  <c r="I33" i="154"/>
  <c r="G33" i="154"/>
  <c r="S32" i="154"/>
  <c r="Q32" i="154"/>
  <c r="O32" i="154"/>
  <c r="M32" i="154"/>
  <c r="K32" i="154"/>
  <c r="I32" i="154"/>
  <c r="G32" i="154"/>
  <c r="S31" i="154"/>
  <c r="Q31" i="154"/>
  <c r="O31" i="154"/>
  <c r="M31" i="154"/>
  <c r="K31" i="154"/>
  <c r="I31" i="154"/>
  <c r="G31" i="154"/>
  <c r="E23" i="154" l="1"/>
  <c r="H61" i="149"/>
  <c r="H19" i="149"/>
  <c r="H40" i="149"/>
  <c r="H82" i="149"/>
  <c r="H166" i="149" s="1"/>
  <c r="D61" i="149"/>
  <c r="D40" i="149"/>
  <c r="D19" i="149"/>
  <c r="D82" i="149"/>
  <c r="D166" i="149" s="1"/>
  <c r="J61" i="149"/>
  <c r="J19" i="149"/>
  <c r="J40" i="149"/>
  <c r="J82" i="149"/>
  <c r="J166" i="149" s="1"/>
  <c r="I61" i="149"/>
  <c r="I19" i="149"/>
  <c r="I82" i="149"/>
  <c r="I166" i="149" s="1"/>
  <c r="I40" i="149"/>
  <c r="G82" i="149"/>
  <c r="G166" i="149" s="1"/>
  <c r="G19" i="149"/>
  <c r="G40" i="149"/>
  <c r="G61" i="149"/>
  <c r="F61" i="149"/>
  <c r="F82" i="149"/>
  <c r="F166" i="149" s="1"/>
  <c r="F19" i="149"/>
  <c r="F40" i="149"/>
  <c r="U18" i="154"/>
  <c r="E40" i="149"/>
  <c r="E61" i="149"/>
  <c r="E82" i="149"/>
  <c r="E166" i="149" s="1"/>
  <c r="E19" i="149"/>
  <c r="D11" i="149"/>
  <c r="D74" i="149"/>
  <c r="D158" i="149" s="1"/>
  <c r="D53" i="149"/>
  <c r="D32" i="149"/>
  <c r="J32" i="149"/>
  <c r="J11" i="149"/>
  <c r="J74" i="149"/>
  <c r="J158" i="149" s="1"/>
  <c r="J53" i="149"/>
  <c r="I53" i="149"/>
  <c r="I32" i="149"/>
  <c r="I11" i="149"/>
  <c r="I74" i="149"/>
  <c r="I158" i="149" s="1"/>
  <c r="H74" i="149"/>
  <c r="H158" i="149" s="1"/>
  <c r="H11" i="149"/>
  <c r="H53" i="149"/>
  <c r="H32" i="149"/>
  <c r="G53" i="149"/>
  <c r="G74" i="149"/>
  <c r="G158" i="149" s="1"/>
  <c r="G32" i="149"/>
  <c r="G11" i="149"/>
  <c r="F74" i="149"/>
  <c r="F158" i="149" s="1"/>
  <c r="F32" i="149"/>
  <c r="F53" i="149"/>
  <c r="F11" i="149"/>
  <c r="U10" i="154"/>
  <c r="E53" i="149"/>
  <c r="E11" i="149"/>
  <c r="E32" i="149"/>
  <c r="E74" i="149"/>
  <c r="E158" i="149" s="1"/>
  <c r="J20" i="149"/>
  <c r="J41" i="149"/>
  <c r="J62" i="149"/>
  <c r="J83" i="149"/>
  <c r="J167" i="149" s="1"/>
  <c r="I20" i="149"/>
  <c r="I83" i="149"/>
  <c r="I167" i="149" s="1"/>
  <c r="I62" i="149"/>
  <c r="I41" i="149"/>
  <c r="H83" i="149"/>
  <c r="H167" i="149" s="1"/>
  <c r="H62" i="149"/>
  <c r="H41" i="149"/>
  <c r="H20" i="149"/>
  <c r="G20" i="149"/>
  <c r="G83" i="149"/>
  <c r="G167" i="149" s="1"/>
  <c r="G41" i="149"/>
  <c r="G62" i="149"/>
  <c r="F41" i="149"/>
  <c r="F83" i="149"/>
  <c r="F167" i="149" s="1"/>
  <c r="F20" i="149"/>
  <c r="F62" i="149"/>
  <c r="E83" i="149"/>
  <c r="E167" i="149" s="1"/>
  <c r="E41" i="149"/>
  <c r="E20" i="149"/>
  <c r="E62" i="149"/>
  <c r="U19" i="154"/>
  <c r="D62" i="149"/>
  <c r="D20" i="149"/>
  <c r="D83" i="149"/>
  <c r="D167" i="149" s="1"/>
  <c r="D41" i="149"/>
  <c r="F22" i="149"/>
  <c r="F85" i="149"/>
  <c r="F169" i="149" s="1"/>
  <c r="F43" i="149"/>
  <c r="F64" i="149"/>
  <c r="I22" i="149"/>
  <c r="I43" i="149"/>
  <c r="I64" i="149"/>
  <c r="I85" i="149"/>
  <c r="I169" i="149" s="1"/>
  <c r="J22" i="149"/>
  <c r="J85" i="149"/>
  <c r="J169" i="149" s="1"/>
  <c r="J64" i="149"/>
  <c r="J43" i="149"/>
  <c r="H85" i="149"/>
  <c r="H169" i="149" s="1"/>
  <c r="H64" i="149"/>
  <c r="H43" i="149"/>
  <c r="H22" i="149"/>
  <c r="G85" i="149"/>
  <c r="G169" i="149" s="1"/>
  <c r="G43" i="149"/>
  <c r="G22" i="149"/>
  <c r="G64" i="149"/>
  <c r="E43" i="149"/>
  <c r="E22" i="149"/>
  <c r="E85" i="149"/>
  <c r="E169" i="149" s="1"/>
  <c r="E64" i="149"/>
  <c r="U21" i="154"/>
  <c r="D64" i="149"/>
  <c r="D85" i="149"/>
  <c r="D169" i="149" s="1"/>
  <c r="D43" i="149"/>
  <c r="D22" i="149"/>
  <c r="I63" i="149"/>
  <c r="I21" i="149"/>
  <c r="I84" i="149"/>
  <c r="I168" i="149" s="1"/>
  <c r="I42" i="149"/>
  <c r="J42" i="149"/>
  <c r="J63" i="149"/>
  <c r="J84" i="149"/>
  <c r="J168" i="149" s="1"/>
  <c r="J21" i="149"/>
  <c r="H21" i="149"/>
  <c r="H84" i="149"/>
  <c r="H168" i="149" s="1"/>
  <c r="H42" i="149"/>
  <c r="H63" i="149"/>
  <c r="G84" i="149"/>
  <c r="G168" i="149" s="1"/>
  <c r="G63" i="149"/>
  <c r="G42" i="149"/>
  <c r="G21" i="149"/>
  <c r="F84" i="149"/>
  <c r="F168" i="149" s="1"/>
  <c r="F63" i="149"/>
  <c r="F42" i="149"/>
  <c r="F21" i="149"/>
  <c r="E84" i="149"/>
  <c r="E168" i="149" s="1"/>
  <c r="E21" i="149"/>
  <c r="E63" i="149"/>
  <c r="E42" i="149"/>
  <c r="U20" i="154"/>
  <c r="D21" i="149"/>
  <c r="D42" i="149"/>
  <c r="D84" i="149"/>
  <c r="D168" i="149" s="1"/>
  <c r="D63" i="149"/>
  <c r="J71" i="149"/>
  <c r="J155" i="149" s="1"/>
  <c r="J8" i="149"/>
  <c r="J29" i="149"/>
  <c r="J50" i="149"/>
  <c r="I50" i="149"/>
  <c r="I71" i="149"/>
  <c r="I155" i="149" s="1"/>
  <c r="I8" i="149"/>
  <c r="I29" i="149"/>
  <c r="H50" i="149"/>
  <c r="H8" i="149"/>
  <c r="H71" i="149"/>
  <c r="H155" i="149" s="1"/>
  <c r="H29" i="149"/>
  <c r="G8" i="149"/>
  <c r="G29" i="149"/>
  <c r="G50" i="149"/>
  <c r="G71" i="149"/>
  <c r="G155" i="149" s="1"/>
  <c r="F8" i="149"/>
  <c r="F71" i="149"/>
  <c r="F155" i="149" s="1"/>
  <c r="F50" i="149"/>
  <c r="F29" i="149"/>
  <c r="E29" i="149"/>
  <c r="E8" i="149"/>
  <c r="E50" i="149"/>
  <c r="E71" i="149"/>
  <c r="E155" i="149" s="1"/>
  <c r="U7" i="154"/>
  <c r="D50" i="149"/>
  <c r="D71" i="149"/>
  <c r="D155" i="149" s="1"/>
  <c r="D29" i="149"/>
  <c r="D8" i="149"/>
  <c r="J70" i="149"/>
  <c r="J154" i="149" s="1"/>
  <c r="J49" i="149"/>
  <c r="J28" i="149"/>
  <c r="J7" i="149"/>
  <c r="I70" i="149"/>
  <c r="I154" i="149" s="1"/>
  <c r="I28" i="149"/>
  <c r="I49" i="149"/>
  <c r="I7" i="149"/>
  <c r="H70" i="149"/>
  <c r="H154" i="149" s="1"/>
  <c r="H7" i="149"/>
  <c r="H28" i="149"/>
  <c r="H49" i="149"/>
  <c r="G49" i="149"/>
  <c r="G28" i="149"/>
  <c r="G70" i="149"/>
  <c r="G154" i="149" s="1"/>
  <c r="G7" i="149"/>
  <c r="F7" i="149"/>
  <c r="F28" i="149"/>
  <c r="F49" i="149"/>
  <c r="F70" i="149"/>
  <c r="F154" i="149" s="1"/>
  <c r="E28" i="149"/>
  <c r="E7" i="149"/>
  <c r="E70" i="149"/>
  <c r="E154" i="149" s="1"/>
  <c r="E49" i="149"/>
  <c r="U6" i="154"/>
  <c r="D28" i="149"/>
  <c r="D7" i="149"/>
  <c r="D49" i="149"/>
  <c r="D70" i="149"/>
  <c r="D154" i="149" s="1"/>
  <c r="H33" i="149"/>
  <c r="H12" i="149"/>
  <c r="H75" i="149"/>
  <c r="H159" i="149" s="1"/>
  <c r="H54" i="149"/>
  <c r="J33" i="149"/>
  <c r="J12" i="149"/>
  <c r="J75" i="149"/>
  <c r="J159" i="149" s="1"/>
  <c r="J54" i="149"/>
  <c r="I54" i="149"/>
  <c r="I12" i="149"/>
  <c r="I75" i="149"/>
  <c r="I159" i="149" s="1"/>
  <c r="I33" i="149"/>
  <c r="G33" i="149"/>
  <c r="G54" i="149"/>
  <c r="G12" i="149"/>
  <c r="G75" i="149"/>
  <c r="G159" i="149" s="1"/>
  <c r="F75" i="149"/>
  <c r="F159" i="149" s="1"/>
  <c r="F33" i="149"/>
  <c r="F54" i="149"/>
  <c r="F12" i="149"/>
  <c r="E75" i="149"/>
  <c r="E159" i="149" s="1"/>
  <c r="E54" i="149"/>
  <c r="E12" i="149"/>
  <c r="E33" i="149"/>
  <c r="U11" i="154"/>
  <c r="D75" i="149"/>
  <c r="D159" i="149" s="1"/>
  <c r="D54" i="149"/>
  <c r="D33" i="149"/>
  <c r="D12" i="149"/>
  <c r="G72" i="149"/>
  <c r="G156" i="149" s="1"/>
  <c r="G51" i="149"/>
  <c r="G30" i="149"/>
  <c r="G9" i="149"/>
  <c r="J72" i="149"/>
  <c r="J156" i="149" s="1"/>
  <c r="J30" i="149"/>
  <c r="J9" i="149"/>
  <c r="J51" i="149"/>
  <c r="I72" i="149"/>
  <c r="I156" i="149" s="1"/>
  <c r="I51" i="149"/>
  <c r="I30" i="149"/>
  <c r="I9" i="149"/>
  <c r="H72" i="149"/>
  <c r="H156" i="149" s="1"/>
  <c r="H30" i="149"/>
  <c r="H51" i="149"/>
  <c r="H9" i="149"/>
  <c r="F51" i="149"/>
  <c r="F72" i="149"/>
  <c r="F156" i="149" s="1"/>
  <c r="F9" i="149"/>
  <c r="F30" i="149"/>
  <c r="E72" i="149"/>
  <c r="E156" i="149" s="1"/>
  <c r="E30" i="149"/>
  <c r="E9" i="149"/>
  <c r="E51" i="149"/>
  <c r="U8" i="154"/>
  <c r="D30" i="149"/>
  <c r="D51" i="149"/>
  <c r="D72" i="149"/>
  <c r="D156" i="149" s="1"/>
  <c r="D9" i="149"/>
  <c r="G27" i="149"/>
  <c r="G69" i="149"/>
  <c r="G153" i="149" s="1"/>
  <c r="G48" i="149"/>
  <c r="G6" i="149"/>
  <c r="D36" i="90" s="1"/>
  <c r="H6" i="149"/>
  <c r="D37" i="90" s="1"/>
  <c r="H69" i="149"/>
  <c r="H153" i="149" s="1"/>
  <c r="H48" i="149"/>
  <c r="H27" i="149"/>
  <c r="J27" i="149"/>
  <c r="J6" i="149"/>
  <c r="D39" i="90" s="1"/>
  <c r="J69" i="149"/>
  <c r="J153" i="149" s="1"/>
  <c r="J48" i="149"/>
  <c r="I69" i="149"/>
  <c r="I153" i="149" s="1"/>
  <c r="I48" i="149"/>
  <c r="I6" i="149"/>
  <c r="D38" i="90" s="1"/>
  <c r="I27" i="149"/>
  <c r="F69" i="149"/>
  <c r="F153" i="149" s="1"/>
  <c r="F27" i="149"/>
  <c r="F6" i="149"/>
  <c r="D35" i="90" s="1"/>
  <c r="F48" i="149"/>
  <c r="E69" i="149"/>
  <c r="E153" i="149" s="1"/>
  <c r="E6" i="149"/>
  <c r="D34" i="90" s="1"/>
  <c r="E27" i="149"/>
  <c r="E48" i="149"/>
  <c r="U5" i="154"/>
  <c r="D48" i="149"/>
  <c r="D69" i="149"/>
  <c r="D153" i="149" s="1"/>
  <c r="D27" i="149"/>
  <c r="D6" i="149"/>
  <c r="D33" i="90" s="1"/>
  <c r="J35" i="149"/>
  <c r="J14" i="149"/>
  <c r="J77" i="149"/>
  <c r="J161" i="149" s="1"/>
  <c r="J56" i="149"/>
  <c r="I56" i="149"/>
  <c r="I35" i="149"/>
  <c r="I14" i="149"/>
  <c r="I77" i="149"/>
  <c r="I161" i="149" s="1"/>
  <c r="H56" i="149"/>
  <c r="H35" i="149"/>
  <c r="H14" i="149"/>
  <c r="H77" i="149"/>
  <c r="H161" i="149" s="1"/>
  <c r="G77" i="149"/>
  <c r="G161" i="149" s="1"/>
  <c r="G35" i="149"/>
  <c r="G14" i="149"/>
  <c r="G56" i="149"/>
  <c r="F77" i="149"/>
  <c r="F161" i="149" s="1"/>
  <c r="F14" i="149"/>
  <c r="F35" i="149"/>
  <c r="F56" i="149"/>
  <c r="E56" i="149"/>
  <c r="E77" i="149"/>
  <c r="E161" i="149" s="1"/>
  <c r="E14" i="149"/>
  <c r="E35" i="149"/>
  <c r="U13" i="154"/>
  <c r="D35" i="149"/>
  <c r="D56" i="149"/>
  <c r="D77" i="149"/>
  <c r="D161" i="149" s="1"/>
  <c r="D14" i="149"/>
  <c r="H13" i="149"/>
  <c r="H34" i="149"/>
  <c r="H76" i="149"/>
  <c r="H160" i="149" s="1"/>
  <c r="H55" i="149"/>
  <c r="J76" i="149"/>
  <c r="J160" i="149" s="1"/>
  <c r="J55" i="149"/>
  <c r="J13" i="149"/>
  <c r="J34" i="149"/>
  <c r="U12" i="154"/>
  <c r="I55" i="149"/>
  <c r="I34" i="149"/>
  <c r="I76" i="149"/>
  <c r="I160" i="149" s="1"/>
  <c r="I13" i="149"/>
  <c r="G76" i="149"/>
  <c r="G160" i="149" s="1"/>
  <c r="G34" i="149"/>
  <c r="G13" i="149"/>
  <c r="G55" i="149"/>
  <c r="F76" i="149"/>
  <c r="F160" i="149" s="1"/>
  <c r="F34" i="149"/>
  <c r="F13" i="149"/>
  <c r="F55" i="149"/>
  <c r="E55" i="149"/>
  <c r="E76" i="149"/>
  <c r="E160" i="149" s="1"/>
  <c r="E13" i="149"/>
  <c r="E34" i="149"/>
  <c r="D13" i="149"/>
  <c r="D34" i="149"/>
  <c r="D55" i="149"/>
  <c r="D76" i="149"/>
  <c r="D160" i="149" s="1"/>
  <c r="S14" i="154"/>
  <c r="G23" i="154"/>
  <c r="M23" i="154"/>
  <c r="F24" i="154"/>
  <c r="K49" i="154"/>
  <c r="K50" i="154" s="1"/>
  <c r="M49" i="154"/>
  <c r="M50" i="154" s="1"/>
  <c r="N75" i="154"/>
  <c r="I23" i="154"/>
  <c r="K23" i="154"/>
  <c r="O14" i="154"/>
  <c r="Q14" i="154"/>
  <c r="U33" i="154"/>
  <c r="L75" i="154"/>
  <c r="J75" i="154"/>
  <c r="P75" i="154"/>
  <c r="U39" i="154"/>
  <c r="U40" i="154"/>
  <c r="R75" i="154"/>
  <c r="U45" i="154"/>
  <c r="Q49" i="154"/>
  <c r="Q50" i="154" s="1"/>
  <c r="F75" i="154"/>
  <c r="I49" i="154"/>
  <c r="I50" i="154" s="1"/>
  <c r="H75" i="154"/>
  <c r="G49" i="154"/>
  <c r="G50" i="154" s="1"/>
  <c r="O49" i="154"/>
  <c r="O50" i="154" s="1"/>
  <c r="U31" i="154"/>
  <c r="U34" i="154"/>
  <c r="U37" i="154"/>
  <c r="U46" i="154"/>
  <c r="U32" i="154"/>
  <c r="U38" i="154"/>
  <c r="U47" i="154"/>
  <c r="U44" i="154"/>
  <c r="E49" i="154"/>
  <c r="U36" i="154"/>
  <c r="G171" i="149" l="1"/>
  <c r="F171" i="149"/>
  <c r="E171" i="149"/>
  <c r="D171" i="149"/>
  <c r="J15" i="149"/>
  <c r="J78" i="149"/>
  <c r="J162" i="149" s="1"/>
  <c r="J171" i="149" s="1"/>
  <c r="J57" i="149"/>
  <c r="J36" i="149"/>
  <c r="U14" i="154"/>
  <c r="Q23" i="154"/>
  <c r="I78" i="149"/>
  <c r="I162" i="149" s="1"/>
  <c r="I171" i="149" s="1"/>
  <c r="I57" i="149"/>
  <c r="I15" i="149"/>
  <c r="I36" i="149"/>
  <c r="O23" i="154"/>
  <c r="H78" i="149"/>
  <c r="H162" i="149" s="1"/>
  <c r="H171" i="149" s="1"/>
  <c r="H57" i="149"/>
  <c r="H36" i="149"/>
  <c r="H15" i="149"/>
  <c r="E75" i="154"/>
  <c r="K15" i="149" l="1"/>
  <c r="E21" i="147"/>
  <c r="E20" i="147"/>
  <c r="E19" i="147"/>
  <c r="E18" i="147"/>
  <c r="E17" i="147"/>
  <c r="E16" i="147"/>
  <c r="E15" i="147"/>
  <c r="E14" i="147"/>
  <c r="E13" i="147"/>
  <c r="E12" i="147"/>
  <c r="E11" i="147"/>
  <c r="E10" i="147"/>
  <c r="E9" i="147"/>
  <c r="E8" i="147"/>
  <c r="E7" i="147"/>
  <c r="E6" i="147"/>
  <c r="E5" i="147"/>
  <c r="S37" i="147"/>
  <c r="R37" i="147"/>
  <c r="Q37" i="147"/>
  <c r="P37" i="147"/>
  <c r="O37" i="147"/>
  <c r="K37" i="147"/>
  <c r="N35" i="147"/>
  <c r="J35" i="147"/>
  <c r="N33" i="147"/>
  <c r="J33" i="147"/>
  <c r="N31" i="147"/>
  <c r="J31" i="147"/>
  <c r="N29" i="147"/>
  <c r="J29" i="147"/>
  <c r="N27" i="147"/>
  <c r="J27" i="147"/>
  <c r="N25" i="147"/>
  <c r="J25" i="147"/>
  <c r="N24" i="147"/>
  <c r="J24" i="147"/>
  <c r="N22" i="147"/>
  <c r="J22" i="147"/>
  <c r="N20" i="147"/>
  <c r="J20" i="147"/>
  <c r="N18" i="147"/>
  <c r="J18" i="147"/>
  <c r="N16" i="147"/>
  <c r="J16" i="147"/>
  <c r="N14" i="147"/>
  <c r="J14" i="147"/>
  <c r="N12" i="147"/>
  <c r="J12" i="147"/>
  <c r="N11" i="147"/>
  <c r="J11" i="147"/>
  <c r="N9" i="147"/>
  <c r="J9" i="147"/>
  <c r="N7" i="147"/>
  <c r="J7" i="147"/>
  <c r="N5" i="147"/>
  <c r="J5" i="147"/>
  <c r="E23" i="147" l="1"/>
  <c r="N37" i="147"/>
  <c r="J37" i="147"/>
  <c r="M34" i="153" l="1"/>
  <c r="I34" i="153"/>
  <c r="P33" i="153"/>
  <c r="R33" i="153" s="1"/>
  <c r="M33" i="153"/>
  <c r="G33" i="153" s="1"/>
  <c r="K33" i="153" s="1"/>
  <c r="I33" i="153"/>
  <c r="M32" i="153"/>
  <c r="G32" i="153" s="1"/>
  <c r="K32" i="153" s="1"/>
  <c r="I32" i="153"/>
  <c r="M31" i="153"/>
  <c r="P31" i="153" s="1"/>
  <c r="R31" i="153" s="1"/>
  <c r="I31" i="153"/>
  <c r="G31" i="153"/>
  <c r="K31" i="153" s="1"/>
  <c r="M30" i="153"/>
  <c r="I30" i="153"/>
  <c r="P29" i="153"/>
  <c r="R29" i="153" s="1"/>
  <c r="M29" i="153"/>
  <c r="G29" i="153" s="1"/>
  <c r="K29" i="153" s="1"/>
  <c r="I29" i="153"/>
  <c r="M25" i="153"/>
  <c r="G25" i="153" s="1"/>
  <c r="K25" i="153" s="1"/>
  <c r="I25" i="153"/>
  <c r="M24" i="153"/>
  <c r="P24" i="153" s="1"/>
  <c r="R24" i="153" s="1"/>
  <c r="I24" i="153"/>
  <c r="G24" i="153"/>
  <c r="K24" i="153" s="1"/>
  <c r="M23" i="153"/>
  <c r="I23" i="153"/>
  <c r="P21" i="153"/>
  <c r="R21" i="153" s="1"/>
  <c r="M21" i="153"/>
  <c r="G21" i="153" s="1"/>
  <c r="K21" i="153" s="1"/>
  <c r="I21" i="153"/>
  <c r="M20" i="153"/>
  <c r="I20" i="153"/>
  <c r="G20" i="153"/>
  <c r="K20" i="153" s="1"/>
  <c r="M19" i="153"/>
  <c r="P19" i="153" s="1"/>
  <c r="R19" i="153" s="1"/>
  <c r="I19" i="153"/>
  <c r="G19" i="153"/>
  <c r="K19" i="153" s="1"/>
  <c r="M18" i="153"/>
  <c r="I18" i="153"/>
  <c r="P17" i="153"/>
  <c r="R17" i="153" s="1"/>
  <c r="M17" i="153"/>
  <c r="G17" i="153" s="1"/>
  <c r="K17" i="153" s="1"/>
  <c r="I17" i="153"/>
  <c r="M16" i="153"/>
  <c r="G16" i="153" s="1"/>
  <c r="K16" i="153" s="1"/>
  <c r="I16" i="153"/>
  <c r="R30" i="153" l="1"/>
  <c r="G18" i="153"/>
  <c r="K18" i="153" s="1"/>
  <c r="P20" i="153"/>
  <c r="R20" i="153" s="1"/>
  <c r="P25" i="153"/>
  <c r="G30" i="153"/>
  <c r="K30" i="153" s="1"/>
  <c r="P32" i="153"/>
  <c r="G34" i="153"/>
  <c r="K34" i="153" s="1"/>
  <c r="P16" i="153"/>
  <c r="G23" i="153"/>
  <c r="K23" i="153" s="1"/>
  <c r="R16" i="153"/>
  <c r="R25" i="153"/>
  <c r="R32" i="153"/>
  <c r="P23" i="153"/>
  <c r="R23" i="153" s="1"/>
  <c r="P30" i="153"/>
  <c r="P34" i="153"/>
  <c r="R34" i="153" s="1"/>
  <c r="P18" i="153"/>
  <c r="R18" i="153" s="1"/>
  <c r="F39" i="152" l="1"/>
  <c r="N39" i="152" s="1"/>
  <c r="F38" i="152"/>
  <c r="N38" i="152" s="1"/>
  <c r="F37" i="152"/>
  <c r="N37" i="152" s="1"/>
  <c r="F36" i="152"/>
  <c r="J36" i="152" s="1"/>
  <c r="F35" i="152"/>
  <c r="H35" i="152" s="1"/>
  <c r="F34" i="152"/>
  <c r="N34" i="152" s="1"/>
  <c r="F33" i="152"/>
  <c r="N33" i="152" s="1"/>
  <c r="F32" i="152"/>
  <c r="N32" i="152" s="1"/>
  <c r="F31" i="152"/>
  <c r="N31" i="152" s="1"/>
  <c r="F30" i="152"/>
  <c r="N30" i="152" s="1"/>
  <c r="F29" i="152"/>
  <c r="N29" i="152" s="1"/>
  <c r="R29" i="152" s="1"/>
  <c r="F28" i="152"/>
  <c r="J28" i="152" s="1"/>
  <c r="F27" i="152"/>
  <c r="H27" i="152" s="1"/>
  <c r="F26" i="152"/>
  <c r="N26" i="152" s="1"/>
  <c r="F25" i="152"/>
  <c r="H25" i="152" s="1"/>
  <c r="F24" i="152"/>
  <c r="J24" i="152" s="1"/>
  <c r="F23" i="152"/>
  <c r="H23" i="152" s="1"/>
  <c r="F22" i="152"/>
  <c r="N22" i="152" s="1"/>
  <c r="F21" i="152"/>
  <c r="N21" i="152" s="1"/>
  <c r="R21" i="152" s="1"/>
  <c r="F20" i="152"/>
  <c r="J20" i="152" s="1"/>
  <c r="H11" i="152"/>
  <c r="C11" i="152"/>
  <c r="D10" i="152"/>
  <c r="C10" i="152"/>
  <c r="N35" i="152" l="1"/>
  <c r="N36" i="152"/>
  <c r="R37" i="152"/>
  <c r="T37" i="152" s="1"/>
  <c r="H33" i="152"/>
  <c r="N20" i="152"/>
  <c r="H26" i="152"/>
  <c r="N28" i="152"/>
  <c r="R28" i="152" s="1"/>
  <c r="T28" i="152" s="1"/>
  <c r="J26" i="152"/>
  <c r="H34" i="152"/>
  <c r="J34" i="152"/>
  <c r="J27" i="152"/>
  <c r="L27" i="152" s="1"/>
  <c r="N27" i="152"/>
  <c r="J35" i="152"/>
  <c r="L35" i="152" s="1"/>
  <c r="R32" i="152"/>
  <c r="T32" i="152" s="1"/>
  <c r="R33" i="152"/>
  <c r="T33" i="152" s="1"/>
  <c r="R30" i="152"/>
  <c r="T30" i="152" s="1"/>
  <c r="R22" i="152"/>
  <c r="T22" i="152" s="1"/>
  <c r="R31" i="152"/>
  <c r="T31" i="152" s="1"/>
  <c r="R38" i="152"/>
  <c r="T38" i="152" s="1"/>
  <c r="R39" i="152"/>
  <c r="T39" i="152" s="1"/>
  <c r="H24" i="152"/>
  <c r="L24" i="152" s="1"/>
  <c r="J25" i="152"/>
  <c r="L25" i="152" s="1"/>
  <c r="T29" i="152"/>
  <c r="H32" i="152"/>
  <c r="J33" i="152"/>
  <c r="L33" i="152" s="1"/>
  <c r="R36" i="152"/>
  <c r="T36" i="152" s="1"/>
  <c r="H31" i="152"/>
  <c r="J32" i="152"/>
  <c r="R35" i="152"/>
  <c r="T35" i="152" s="1"/>
  <c r="H39" i="152"/>
  <c r="H22" i="152"/>
  <c r="J23" i="152"/>
  <c r="L23" i="152" s="1"/>
  <c r="N25" i="152"/>
  <c r="R26" i="152"/>
  <c r="T26" i="152" s="1"/>
  <c r="H30" i="152"/>
  <c r="J31" i="152"/>
  <c r="R34" i="152"/>
  <c r="T34" i="152" s="1"/>
  <c r="H38" i="152"/>
  <c r="J39" i="152"/>
  <c r="T21" i="152"/>
  <c r="H21" i="152"/>
  <c r="J22" i="152"/>
  <c r="N24" i="152"/>
  <c r="H29" i="152"/>
  <c r="J30" i="152"/>
  <c r="H37" i="152"/>
  <c r="J38" i="152"/>
  <c r="H20" i="152"/>
  <c r="L20" i="152" s="1"/>
  <c r="J21" i="152"/>
  <c r="N23" i="152"/>
  <c r="H28" i="152"/>
  <c r="L28" i="152" s="1"/>
  <c r="J29" i="152"/>
  <c r="H36" i="152"/>
  <c r="L36" i="152" s="1"/>
  <c r="J37" i="152"/>
  <c r="R20" i="152"/>
  <c r="T20" i="152" s="1"/>
  <c r="L38" i="152" l="1"/>
  <c r="L22" i="152"/>
  <c r="L21" i="152"/>
  <c r="L39" i="152"/>
  <c r="L29" i="152"/>
  <c r="L32" i="152"/>
  <c r="L30" i="152"/>
  <c r="L31" i="152"/>
  <c r="L34" i="152"/>
  <c r="R27" i="152"/>
  <c r="T27" i="152" s="1"/>
  <c r="L26" i="152"/>
  <c r="L37" i="152"/>
  <c r="R25" i="152"/>
  <c r="T25" i="152" s="1"/>
  <c r="R23" i="152"/>
  <c r="T23" i="152" s="1"/>
  <c r="R24" i="152"/>
  <c r="T24" i="152" s="1"/>
  <c r="E13" i="151" l="1"/>
  <c r="E12" i="151"/>
  <c r="C14" i="151"/>
  <c r="C12" i="151"/>
  <c r="C10" i="151"/>
  <c r="M18" i="144"/>
  <c r="M10" i="144"/>
  <c r="G20" i="151"/>
  <c r="G19" i="151"/>
  <c r="E14" i="151"/>
  <c r="G13" i="151"/>
  <c r="D48" i="58"/>
  <c r="D47" i="58"/>
  <c r="D46" i="58"/>
  <c r="D43" i="58"/>
  <c r="D42" i="58"/>
  <c r="E27" i="58"/>
  <c r="E26" i="58"/>
  <c r="E23" i="58"/>
  <c r="E22" i="58"/>
  <c r="E12" i="58"/>
  <c r="E11" i="58"/>
  <c r="E8" i="58"/>
  <c r="E7" i="58"/>
  <c r="BR30" i="150"/>
  <c r="BI30" i="150"/>
  <c r="BH30" i="150"/>
  <c r="AX30" i="150"/>
  <c r="L30" i="150"/>
  <c r="BR28" i="150"/>
  <c r="BI28" i="150"/>
  <c r="BH28" i="150"/>
  <c r="AZ28" i="150"/>
  <c r="AX28" i="150"/>
  <c r="BR26" i="150"/>
  <c r="BH26" i="150"/>
  <c r="AZ26" i="150"/>
  <c r="BI26" i="150" s="1"/>
  <c r="AX26" i="150"/>
  <c r="BI24" i="150"/>
  <c r="AZ24" i="150"/>
  <c r="BA24" i="150" s="1"/>
  <c r="AK24" i="150"/>
  <c r="P24" i="150"/>
  <c r="AV23" i="150"/>
  <c r="BR22" i="150"/>
  <c r="BI22" i="150"/>
  <c r="BH22" i="150"/>
  <c r="AZ22" i="150"/>
  <c r="AX22" i="150"/>
  <c r="AP22" i="150"/>
  <c r="AN22" i="150"/>
  <c r="AJ22" i="150"/>
  <c r="AI22" i="150"/>
  <c r="AG22" i="150"/>
  <c r="Q22" i="150"/>
  <c r="P22" i="150"/>
  <c r="R22" i="150" s="1"/>
  <c r="E22" i="150"/>
  <c r="C22" i="150"/>
  <c r="AV21" i="150"/>
  <c r="BE20" i="150"/>
  <c r="AV20" i="150"/>
  <c r="AQ20" i="150"/>
  <c r="P20" i="150"/>
  <c r="N20" i="150"/>
  <c r="AV19" i="150"/>
  <c r="AV18" i="150"/>
  <c r="BR17" i="150"/>
  <c r="BH17" i="150"/>
  <c r="AZ17" i="150"/>
  <c r="AX17" i="150"/>
  <c r="AP17" i="150"/>
  <c r="AN17" i="150"/>
  <c r="AM17" i="150" s="1"/>
  <c r="AI17" i="150"/>
  <c r="AJ17" i="150" s="1"/>
  <c r="AG17" i="150"/>
  <c r="AC17" i="150"/>
  <c r="AA17" i="150"/>
  <c r="W17" i="150"/>
  <c r="U17" i="150"/>
  <c r="Q17" i="150"/>
  <c r="E17" i="150"/>
  <c r="C17" i="150"/>
  <c r="P17" i="150" s="1"/>
  <c r="R17" i="150" s="1"/>
  <c r="AV16" i="150"/>
  <c r="AM16" i="150"/>
  <c r="AV15" i="150"/>
  <c r="AM15" i="150"/>
  <c r="BR14" i="150"/>
  <c r="BI14" i="150"/>
  <c r="BH14" i="150"/>
  <c r="AZ14" i="150"/>
  <c r="AX14" i="150"/>
  <c r="AP14" i="150"/>
  <c r="AN14" i="150"/>
  <c r="AI14" i="150"/>
  <c r="AG14" i="150"/>
  <c r="AJ14" i="150" s="1"/>
  <c r="AC14" i="150"/>
  <c r="AA14" i="150"/>
  <c r="W14" i="150"/>
  <c r="U14" i="150"/>
  <c r="Q14" i="150"/>
  <c r="E14" i="150"/>
  <c r="C14" i="150"/>
  <c r="P14" i="150" s="1"/>
  <c r="R14" i="150" s="1"/>
  <c r="AV13" i="150"/>
  <c r="AM13" i="150"/>
  <c r="AV12" i="150"/>
  <c r="AM12" i="150"/>
  <c r="BR11" i="150"/>
  <c r="BI11" i="150"/>
  <c r="BH11" i="150"/>
  <c r="AZ11" i="150"/>
  <c r="AX11" i="150"/>
  <c r="AP11" i="150"/>
  <c r="AN11" i="150"/>
  <c r="AM11" i="150"/>
  <c r="AJ11" i="150"/>
  <c r="AI11" i="150"/>
  <c r="AG11" i="150"/>
  <c r="AC11" i="150"/>
  <c r="AA11" i="150"/>
  <c r="W11" i="150"/>
  <c r="U11" i="150"/>
  <c r="Q11" i="150"/>
  <c r="E11" i="150"/>
  <c r="C11" i="150"/>
  <c r="P11" i="150" s="1"/>
  <c r="R11" i="150" s="1"/>
  <c r="AV10" i="150"/>
  <c r="AM10" i="150"/>
  <c r="AV9" i="150"/>
  <c r="AM9" i="150"/>
  <c r="BR8" i="150"/>
  <c r="BI8" i="150"/>
  <c r="BH8" i="150"/>
  <c r="AZ8" i="150"/>
  <c r="AX8" i="150"/>
  <c r="AP8" i="150"/>
  <c r="AN8" i="150"/>
  <c r="AM8" i="150"/>
  <c r="AI8" i="150"/>
  <c r="AG8" i="150"/>
  <c r="AJ8" i="150" s="1"/>
  <c r="AC8" i="150"/>
  <c r="AA8" i="150"/>
  <c r="W8" i="150"/>
  <c r="U8" i="150"/>
  <c r="Q8" i="150"/>
  <c r="P8" i="150"/>
  <c r="R8" i="150" s="1"/>
  <c r="E8" i="150"/>
  <c r="C8" i="150"/>
  <c r="AV7" i="150"/>
  <c r="AM7" i="150"/>
  <c r="AV6" i="150"/>
  <c r="AM6" i="150"/>
  <c r="BR5" i="150"/>
  <c r="BH5" i="150"/>
  <c r="AZ5" i="150"/>
  <c r="AX5" i="150"/>
  <c r="AP5" i="150"/>
  <c r="AN5" i="150"/>
  <c r="AM5" i="150" s="1"/>
  <c r="AI5" i="150"/>
  <c r="AJ5" i="150" s="1"/>
  <c r="AG5" i="150"/>
  <c r="AC5" i="150"/>
  <c r="AA5" i="150"/>
  <c r="W5" i="150"/>
  <c r="U5" i="150"/>
  <c r="Q5" i="150"/>
  <c r="E5" i="150"/>
  <c r="C5" i="150"/>
  <c r="P5" i="150" s="1"/>
  <c r="R5" i="150" s="1"/>
  <c r="G42" i="90"/>
  <c r="G41" i="90"/>
  <c r="G39" i="90"/>
  <c r="G38" i="90"/>
  <c r="T147" i="149"/>
  <c r="T146" i="149"/>
  <c r="T145" i="149"/>
  <c r="T144" i="149"/>
  <c r="T143" i="149"/>
  <c r="T142" i="149"/>
  <c r="T141" i="149"/>
  <c r="T140" i="149"/>
  <c r="T139" i="149"/>
  <c r="T138" i="149"/>
  <c r="T137" i="149"/>
  <c r="T136" i="149"/>
  <c r="T135" i="149"/>
  <c r="T134" i="149"/>
  <c r="T133" i="149"/>
  <c r="T132" i="149"/>
  <c r="T131" i="149"/>
  <c r="T130" i="149"/>
  <c r="AA124" i="149"/>
  <c r="Z124" i="149"/>
  <c r="S122" i="149"/>
  <c r="M20" i="148" s="1"/>
  <c r="E158" i="155" s="1"/>
  <c r="O122" i="149"/>
  <c r="N122" i="149"/>
  <c r="L122" i="149"/>
  <c r="K122" i="149"/>
  <c r="S121" i="149"/>
  <c r="M19" i="148" s="1"/>
  <c r="E149" i="155" s="1"/>
  <c r="O121" i="149"/>
  <c r="N121" i="149"/>
  <c r="L121" i="149"/>
  <c r="K121" i="149"/>
  <c r="S120" i="149"/>
  <c r="M18" i="148" s="1"/>
  <c r="E140" i="155" s="1"/>
  <c r="O120" i="149"/>
  <c r="N120" i="149"/>
  <c r="L120" i="149"/>
  <c r="K120" i="149"/>
  <c r="S119" i="149"/>
  <c r="M17" i="148" s="1"/>
  <c r="E131" i="155" s="1"/>
  <c r="O119" i="149"/>
  <c r="N119" i="149"/>
  <c r="L119" i="149"/>
  <c r="K119" i="149"/>
  <c r="S118" i="149"/>
  <c r="M16" i="148" s="1"/>
  <c r="E122" i="155" s="1"/>
  <c r="O118" i="149"/>
  <c r="N118" i="149"/>
  <c r="L118" i="149"/>
  <c r="K118" i="149"/>
  <c r="S117" i="149"/>
  <c r="M15" i="148" s="1"/>
  <c r="E113" i="155" s="1"/>
  <c r="O117" i="149"/>
  <c r="N117" i="149"/>
  <c r="P117" i="149" s="1"/>
  <c r="L117" i="149"/>
  <c r="K117" i="149"/>
  <c r="S116" i="149"/>
  <c r="M14" i="148" s="1"/>
  <c r="E104" i="155" s="1"/>
  <c r="O116" i="149"/>
  <c r="N116" i="149"/>
  <c r="L116" i="149"/>
  <c r="K116" i="149"/>
  <c r="S115" i="149"/>
  <c r="M13" i="148" s="1"/>
  <c r="N36" i="148" s="1"/>
  <c r="O115" i="149"/>
  <c r="N115" i="149"/>
  <c r="L115" i="149"/>
  <c r="K115" i="149"/>
  <c r="S114" i="149"/>
  <c r="M12" i="148" s="1"/>
  <c r="E86" i="155" s="1"/>
  <c r="O114" i="149"/>
  <c r="N114" i="149"/>
  <c r="L114" i="149"/>
  <c r="K114" i="149"/>
  <c r="S113" i="149"/>
  <c r="M11" i="148" s="1"/>
  <c r="E77" i="155" s="1"/>
  <c r="O113" i="149"/>
  <c r="N113" i="149"/>
  <c r="L113" i="149"/>
  <c r="K113" i="149"/>
  <c r="S112" i="149"/>
  <c r="M10" i="148" s="1"/>
  <c r="E68" i="155" s="1"/>
  <c r="O112" i="149"/>
  <c r="N112" i="149"/>
  <c r="L112" i="149"/>
  <c r="K112" i="149"/>
  <c r="S111" i="149"/>
  <c r="M9" i="148" s="1"/>
  <c r="E59" i="155" s="1"/>
  <c r="O111" i="149"/>
  <c r="N111" i="149"/>
  <c r="L111" i="149"/>
  <c r="K111" i="149"/>
  <c r="S110" i="149"/>
  <c r="M8" i="148" s="1"/>
  <c r="E50" i="155" s="1"/>
  <c r="O110" i="149"/>
  <c r="N110" i="149"/>
  <c r="L110" i="149"/>
  <c r="K110" i="149"/>
  <c r="S109" i="149"/>
  <c r="M7" i="148" s="1"/>
  <c r="E41" i="155" s="1"/>
  <c r="O109" i="149"/>
  <c r="N109" i="149"/>
  <c r="L109" i="149"/>
  <c r="K109" i="149"/>
  <c r="S108" i="149"/>
  <c r="M6" i="148" s="1"/>
  <c r="E23" i="155" s="1"/>
  <c r="O108" i="149"/>
  <c r="N108" i="149"/>
  <c r="L108" i="149"/>
  <c r="K108" i="149"/>
  <c r="S107" i="149"/>
  <c r="M5" i="148" s="1"/>
  <c r="E14" i="155" s="1"/>
  <c r="O107" i="149"/>
  <c r="N107" i="149"/>
  <c r="L107" i="149"/>
  <c r="K107" i="149"/>
  <c r="S106" i="149"/>
  <c r="M4" i="148" s="1"/>
  <c r="E5" i="155" s="1"/>
  <c r="O106" i="149"/>
  <c r="N106" i="149"/>
  <c r="P106" i="149" s="1"/>
  <c r="L106" i="149"/>
  <c r="K106" i="149"/>
  <c r="O105" i="149"/>
  <c r="N105" i="149"/>
  <c r="L105" i="149"/>
  <c r="K105" i="149"/>
  <c r="H105" i="149"/>
  <c r="G105" i="149"/>
  <c r="E105" i="149"/>
  <c r="D105" i="149"/>
  <c r="O85" i="149"/>
  <c r="O84" i="149"/>
  <c r="O83" i="149"/>
  <c r="O82" i="149"/>
  <c r="O81" i="149"/>
  <c r="O80" i="149"/>
  <c r="O79" i="149"/>
  <c r="O78" i="149"/>
  <c r="O77" i="149"/>
  <c r="O76" i="149"/>
  <c r="O75" i="149"/>
  <c r="O74" i="149"/>
  <c r="O73" i="149"/>
  <c r="G12" i="58" s="1"/>
  <c r="O72" i="149"/>
  <c r="O71" i="149"/>
  <c r="O70" i="149"/>
  <c r="O69" i="149"/>
  <c r="O64" i="149"/>
  <c r="O63" i="149"/>
  <c r="O62" i="149"/>
  <c r="O61" i="149"/>
  <c r="O60" i="149"/>
  <c r="O59" i="149"/>
  <c r="O58" i="149"/>
  <c r="O57" i="149"/>
  <c r="O56" i="149"/>
  <c r="O55" i="149"/>
  <c r="O54" i="149"/>
  <c r="O53" i="149"/>
  <c r="O52" i="149"/>
  <c r="G8" i="58" s="1"/>
  <c r="O51" i="149"/>
  <c r="O50" i="149"/>
  <c r="O49" i="149"/>
  <c r="O48" i="149"/>
  <c r="O43" i="149"/>
  <c r="O42" i="149"/>
  <c r="O41" i="149"/>
  <c r="O40" i="149"/>
  <c r="O39" i="149"/>
  <c r="O38" i="149"/>
  <c r="O37" i="149"/>
  <c r="O36" i="149"/>
  <c r="O35" i="149"/>
  <c r="O34" i="149"/>
  <c r="O33" i="149"/>
  <c r="O32" i="149"/>
  <c r="O31" i="149"/>
  <c r="O30" i="149"/>
  <c r="O29" i="149"/>
  <c r="O28" i="149"/>
  <c r="O27" i="149"/>
  <c r="O22" i="149"/>
  <c r="O21" i="149"/>
  <c r="O20" i="149"/>
  <c r="O19" i="149"/>
  <c r="O18" i="149"/>
  <c r="O17" i="149"/>
  <c r="O16" i="149"/>
  <c r="O15" i="149"/>
  <c r="O14" i="149"/>
  <c r="O13" i="149"/>
  <c r="V113" i="149" s="1"/>
  <c r="O12" i="149"/>
  <c r="V112" i="149" s="1"/>
  <c r="O11" i="149"/>
  <c r="O10" i="149"/>
  <c r="O9" i="149"/>
  <c r="O8" i="149"/>
  <c r="O7" i="149"/>
  <c r="O6" i="149"/>
  <c r="G29" i="90"/>
  <c r="G28" i="90"/>
  <c r="G27" i="90"/>
  <c r="T18" i="144"/>
  <c r="V59" i="144"/>
  <c r="U61" i="144"/>
  <c r="T61" i="144"/>
  <c r="T10" i="144"/>
  <c r="S61" i="144"/>
  <c r="S59" i="144"/>
  <c r="S24" i="144"/>
  <c r="V24" i="144" s="1"/>
  <c r="S23" i="144"/>
  <c r="S21" i="144"/>
  <c r="V21" i="144" s="1"/>
  <c r="S20" i="144"/>
  <c r="V20" i="144" s="1"/>
  <c r="S17" i="144"/>
  <c r="S14" i="144"/>
  <c r="S12" i="144"/>
  <c r="V12" i="144" s="1"/>
  <c r="S7" i="144"/>
  <c r="V25" i="144"/>
  <c r="V23" i="144"/>
  <c r="V22" i="144"/>
  <c r="U20" i="144"/>
  <c r="U26" i="144" s="1"/>
  <c r="V19" i="144"/>
  <c r="V18" i="144"/>
  <c r="V16" i="144"/>
  <c r="V15" i="144"/>
  <c r="V13" i="144"/>
  <c r="V11" i="144"/>
  <c r="T26" i="144"/>
  <c r="V9" i="144"/>
  <c r="V8" i="144"/>
  <c r="V7" i="144"/>
  <c r="G24" i="90"/>
  <c r="G23" i="90"/>
  <c r="F77" i="155" l="1"/>
  <c r="J77" i="155"/>
  <c r="G77" i="155"/>
  <c r="K77" i="155"/>
  <c r="H77" i="155"/>
  <c r="I77" i="155"/>
  <c r="H59" i="155"/>
  <c r="I59" i="155"/>
  <c r="F59" i="155"/>
  <c r="J59" i="155"/>
  <c r="G59" i="155"/>
  <c r="K59" i="155"/>
  <c r="F50" i="155"/>
  <c r="J50" i="155"/>
  <c r="G50" i="155"/>
  <c r="K50" i="155"/>
  <c r="H50" i="155"/>
  <c r="I50" i="155"/>
  <c r="I68" i="155"/>
  <c r="F68" i="155"/>
  <c r="J68" i="155"/>
  <c r="G68" i="155"/>
  <c r="K68" i="155"/>
  <c r="H68" i="155"/>
  <c r="F14" i="155"/>
  <c r="L14" i="155"/>
  <c r="G14" i="155"/>
  <c r="H14" i="155"/>
  <c r="I14" i="155"/>
  <c r="J14" i="155"/>
  <c r="K14" i="155"/>
  <c r="L59" i="155"/>
  <c r="X14" i="154"/>
  <c r="Y14" i="154" s="1"/>
  <c r="E95" i="155"/>
  <c r="F131" i="155"/>
  <c r="L131" i="155"/>
  <c r="G131" i="155"/>
  <c r="K131" i="155"/>
  <c r="H131" i="155"/>
  <c r="I131" i="155"/>
  <c r="J131" i="155"/>
  <c r="L50" i="155"/>
  <c r="F122" i="155"/>
  <c r="K122" i="155"/>
  <c r="L122" i="155"/>
  <c r="G122" i="155"/>
  <c r="H122" i="155"/>
  <c r="I122" i="155"/>
  <c r="J122" i="155"/>
  <c r="F158" i="155"/>
  <c r="L158" i="155"/>
  <c r="G158" i="155"/>
  <c r="H158" i="155"/>
  <c r="I158" i="155"/>
  <c r="K158" i="155"/>
  <c r="J158" i="155"/>
  <c r="F86" i="155"/>
  <c r="L86" i="155"/>
  <c r="G86" i="155"/>
  <c r="K86" i="155"/>
  <c r="H86" i="155"/>
  <c r="I86" i="155"/>
  <c r="J86" i="155"/>
  <c r="F5" i="155"/>
  <c r="L5" i="155"/>
  <c r="G5" i="155"/>
  <c r="H5" i="155"/>
  <c r="I5" i="155"/>
  <c r="J5" i="155"/>
  <c r="K5" i="155"/>
  <c r="L77" i="155"/>
  <c r="F113" i="155"/>
  <c r="L113" i="155"/>
  <c r="G113" i="155"/>
  <c r="H113" i="155"/>
  <c r="I113" i="155"/>
  <c r="K113" i="155"/>
  <c r="J113" i="155"/>
  <c r="F149" i="155"/>
  <c r="K149" i="155"/>
  <c r="L149" i="155"/>
  <c r="G149" i="155"/>
  <c r="H149" i="155"/>
  <c r="I149" i="155"/>
  <c r="J149" i="155"/>
  <c r="F41" i="155"/>
  <c r="L41" i="155"/>
  <c r="G41" i="155"/>
  <c r="H41" i="155"/>
  <c r="I41" i="155"/>
  <c r="K41" i="155"/>
  <c r="J41" i="155"/>
  <c r="F23" i="155"/>
  <c r="L23" i="155"/>
  <c r="K23" i="155"/>
  <c r="J23" i="155"/>
  <c r="I23" i="155"/>
  <c r="H23" i="155"/>
  <c r="G23" i="155"/>
  <c r="L68" i="155"/>
  <c r="F104" i="155"/>
  <c r="K104" i="155"/>
  <c r="L104" i="155"/>
  <c r="G104" i="155"/>
  <c r="H104" i="155"/>
  <c r="I104" i="155"/>
  <c r="J104" i="155"/>
  <c r="F140" i="155"/>
  <c r="L140" i="155"/>
  <c r="K140" i="155"/>
  <c r="G140" i="155"/>
  <c r="H140" i="155"/>
  <c r="I140" i="155"/>
  <c r="J140" i="155"/>
  <c r="O14" i="148"/>
  <c r="V114" i="149"/>
  <c r="M108" i="149"/>
  <c r="V107" i="149"/>
  <c r="M107" i="149"/>
  <c r="P108" i="149"/>
  <c r="V109" i="149"/>
  <c r="V110" i="149"/>
  <c r="G9" i="58" s="1"/>
  <c r="M109" i="149"/>
  <c r="P110" i="149"/>
  <c r="M113" i="149"/>
  <c r="M117" i="149"/>
  <c r="Q117" i="149" s="1"/>
  <c r="I15" i="148" s="1"/>
  <c r="T149" i="149"/>
  <c r="V106" i="149"/>
  <c r="V108" i="149"/>
  <c r="M118" i="149"/>
  <c r="P119" i="149"/>
  <c r="O15" i="148"/>
  <c r="O8" i="148"/>
  <c r="X10" i="154"/>
  <c r="Y10" i="154" s="1"/>
  <c r="X18" i="154"/>
  <c r="Y18" i="154" s="1"/>
  <c r="X6" i="154"/>
  <c r="Y6" i="154" s="1"/>
  <c r="X9" i="154"/>
  <c r="X13" i="154"/>
  <c r="Y13" i="154" s="1"/>
  <c r="X17" i="154"/>
  <c r="Y17" i="154" s="1"/>
  <c r="X21" i="154"/>
  <c r="Y21" i="154" s="1"/>
  <c r="X12" i="154"/>
  <c r="Y12" i="154" s="1"/>
  <c r="X16" i="154"/>
  <c r="Y16" i="154" s="1"/>
  <c r="X20" i="154"/>
  <c r="Y20" i="154" s="1"/>
  <c r="X8" i="154"/>
  <c r="Y8" i="154" s="1"/>
  <c r="X7" i="154"/>
  <c r="Y7" i="154" s="1"/>
  <c r="X5" i="154"/>
  <c r="Y5" i="154" s="1"/>
  <c r="X11" i="154"/>
  <c r="Y11" i="154" s="1"/>
  <c r="X15" i="154"/>
  <c r="Y15" i="154" s="1"/>
  <c r="X19" i="154"/>
  <c r="Y19" i="154" s="1"/>
  <c r="O16" i="148"/>
  <c r="M122" i="149"/>
  <c r="P121" i="149"/>
  <c r="M121" i="149"/>
  <c r="Q108" i="149"/>
  <c r="I6" i="148" s="1"/>
  <c r="M119" i="149"/>
  <c r="M111" i="149"/>
  <c r="P112" i="149"/>
  <c r="M115" i="149"/>
  <c r="P122" i="149"/>
  <c r="Q122" i="149" s="1"/>
  <c r="I20" i="148" s="1"/>
  <c r="M106" i="149"/>
  <c r="Q106" i="149" s="1"/>
  <c r="I4" i="148" s="1"/>
  <c r="P115" i="149"/>
  <c r="P120" i="149"/>
  <c r="V115" i="149"/>
  <c r="V116" i="149"/>
  <c r="V117" i="149"/>
  <c r="V118" i="149"/>
  <c r="V119" i="149"/>
  <c r="V120" i="149"/>
  <c r="V122" i="149"/>
  <c r="W107" i="149"/>
  <c r="X107" i="149" s="1"/>
  <c r="W108" i="149"/>
  <c r="X108" i="149" s="1"/>
  <c r="P118" i="149"/>
  <c r="P109" i="149"/>
  <c r="W109" i="149"/>
  <c r="X109" i="149" s="1"/>
  <c r="W110" i="149"/>
  <c r="G13" i="58" s="1"/>
  <c r="W111" i="149"/>
  <c r="W112" i="149"/>
  <c r="X112" i="149" s="1"/>
  <c r="W113" i="149"/>
  <c r="X113" i="149" s="1"/>
  <c r="W114" i="149"/>
  <c r="X114" i="149" s="1"/>
  <c r="P107" i="149"/>
  <c r="Q107" i="149" s="1"/>
  <c r="I5" i="148" s="1"/>
  <c r="P113" i="149"/>
  <c r="W115" i="149"/>
  <c r="W116" i="149"/>
  <c r="W117" i="149"/>
  <c r="W118" i="149"/>
  <c r="W119" i="149"/>
  <c r="W121" i="149"/>
  <c r="W122" i="149"/>
  <c r="O124" i="149"/>
  <c r="M110" i="149"/>
  <c r="P111" i="149"/>
  <c r="P116" i="149"/>
  <c r="K124" i="149"/>
  <c r="P114" i="149"/>
  <c r="M120" i="149"/>
  <c r="W106" i="149"/>
  <c r="V111" i="149"/>
  <c r="G11" i="58"/>
  <c r="S124" i="149"/>
  <c r="G7" i="58"/>
  <c r="G12" i="151"/>
  <c r="G14" i="151"/>
  <c r="C15" i="151"/>
  <c r="AK8" i="150"/>
  <c r="AK14" i="150"/>
  <c r="AK17" i="150"/>
  <c r="AK5" i="150"/>
  <c r="BI5" i="150"/>
  <c r="AK11" i="150"/>
  <c r="AM14" i="150"/>
  <c r="BI17" i="150"/>
  <c r="AK22" i="150"/>
  <c r="V121" i="149"/>
  <c r="W120" i="149"/>
  <c r="L124" i="149"/>
  <c r="M114" i="149"/>
  <c r="M116" i="149"/>
  <c r="N124" i="149"/>
  <c r="M112" i="149"/>
  <c r="S26" i="144"/>
  <c r="V26" i="144" s="1"/>
  <c r="V61" i="144" s="1"/>
  <c r="V17" i="144"/>
  <c r="V14" i="144"/>
  <c r="V10" i="144"/>
  <c r="J24" i="154" l="1"/>
  <c r="E24" i="154" s="1"/>
  <c r="F95" i="155"/>
  <c r="L95" i="155"/>
  <c r="L96" i="155" s="1"/>
  <c r="G95" i="155"/>
  <c r="H95" i="155"/>
  <c r="I95" i="155"/>
  <c r="K95" i="155"/>
  <c r="J95" i="155"/>
  <c r="Y9" i="154"/>
  <c r="Q119" i="149"/>
  <c r="I17" i="148" s="1"/>
  <c r="Q113" i="149"/>
  <c r="I11" i="148" s="1"/>
  <c r="Q118" i="149"/>
  <c r="I16" i="148" s="1"/>
  <c r="Q109" i="149"/>
  <c r="I7" i="148" s="1"/>
  <c r="Q110" i="149"/>
  <c r="I8" i="148" s="1"/>
  <c r="X106" i="149"/>
  <c r="X117" i="149"/>
  <c r="Q121" i="149"/>
  <c r="I19" i="148" s="1"/>
  <c r="P124" i="149"/>
  <c r="Q120" i="149"/>
  <c r="I18" i="148" s="1"/>
  <c r="Q112" i="149"/>
  <c r="I10" i="148" s="1"/>
  <c r="X110" i="149"/>
  <c r="G15" i="58" s="1"/>
  <c r="Q111" i="149"/>
  <c r="I9" i="148" s="1"/>
  <c r="X111" i="149"/>
  <c r="X116" i="149"/>
  <c r="Q115" i="149"/>
  <c r="I13" i="148" s="1"/>
  <c r="X121" i="149"/>
  <c r="X115" i="149"/>
  <c r="X122" i="149"/>
  <c r="Q116" i="149"/>
  <c r="I14" i="148" s="1"/>
  <c r="X119" i="149"/>
  <c r="Q114" i="149"/>
  <c r="I12" i="148" s="1"/>
  <c r="X118" i="149"/>
  <c r="W124" i="149"/>
  <c r="V124" i="149"/>
  <c r="M124" i="149"/>
  <c r="X120" i="149"/>
  <c r="O24" i="154" l="1"/>
  <c r="M24" i="154"/>
  <c r="I24" i="154"/>
  <c r="F25" i="154"/>
  <c r="G24" i="154"/>
  <c r="S24" i="154"/>
  <c r="Q24" i="154"/>
  <c r="K24" i="154"/>
  <c r="Q124" i="149"/>
  <c r="X124" i="149"/>
  <c r="X22" i="148" l="1"/>
  <c r="W22" i="148"/>
  <c r="F22" i="148"/>
  <c r="V20" i="148"/>
  <c r="S19" i="148"/>
  <c r="V17" i="148"/>
  <c r="G22" i="148"/>
  <c r="G24" i="148" s="1"/>
  <c r="V13" i="148"/>
  <c r="V10" i="148"/>
  <c r="V6" i="148"/>
  <c r="S5" i="148"/>
  <c r="L6" i="132"/>
  <c r="D112" i="132"/>
  <c r="F109" i="132"/>
  <c r="O6" i="121"/>
  <c r="E5" i="151" l="1"/>
  <c r="F72" i="148"/>
  <c r="E6" i="151"/>
  <c r="G72" i="148"/>
  <c r="V8" i="148"/>
  <c r="S18" i="148"/>
  <c r="S14" i="148"/>
  <c r="S4" i="148"/>
  <c r="S7" i="148"/>
  <c r="V4" i="148"/>
  <c r="V7" i="148"/>
  <c r="S10" i="148"/>
  <c r="V18" i="148"/>
  <c r="S15" i="148"/>
  <c r="S11" i="148"/>
  <c r="V15" i="148"/>
  <c r="D18" i="90"/>
  <c r="V11" i="148"/>
  <c r="I22" i="148"/>
  <c r="I72" i="148" s="1"/>
  <c r="S8" i="148"/>
  <c r="V19" i="148"/>
  <c r="S9" i="148"/>
  <c r="V14" i="148"/>
  <c r="S16" i="148"/>
  <c r="M22" i="148"/>
  <c r="V5" i="148"/>
  <c r="S17" i="148"/>
  <c r="V9" i="148"/>
  <c r="S12" i="148"/>
  <c r="V16" i="148"/>
  <c r="S6" i="148"/>
  <c r="S13" i="148"/>
  <c r="S20" i="148"/>
  <c r="V12" i="148"/>
  <c r="BR30" i="138"/>
  <c r="BR28" i="138"/>
  <c r="BR26" i="138"/>
  <c r="BR22" i="138"/>
  <c r="BR17" i="138"/>
  <c r="BR14" i="138"/>
  <c r="BR11" i="138"/>
  <c r="BR8" i="138"/>
  <c r="G15" i="120"/>
  <c r="H54" i="142"/>
  <c r="H52" i="142"/>
  <c r="H50" i="142"/>
  <c r="H48" i="142"/>
  <c r="M24" i="148" l="1"/>
  <c r="M72" i="148"/>
  <c r="V22" i="148"/>
  <c r="E24" i="151" s="1"/>
  <c r="S22" i="148"/>
  <c r="BR5" i="138"/>
  <c r="G176" i="140"/>
  <c r="G174" i="140"/>
  <c r="E174" i="140"/>
  <c r="I174" i="140"/>
  <c r="M174" i="140" l="1"/>
  <c r="P174" i="140" l="1"/>
  <c r="R174" i="140" s="1"/>
  <c r="K174" i="140"/>
  <c r="K63" i="142" l="1"/>
  <c r="J50" i="142"/>
  <c r="J48" i="142"/>
  <c r="I54" i="142" l="1"/>
  <c r="I52" i="142"/>
  <c r="I50" i="142"/>
  <c r="I48" i="142"/>
  <c r="F40" i="142" l="1"/>
  <c r="P92" i="132"/>
  <c r="E172" i="140"/>
  <c r="L48" i="145"/>
  <c r="L47" i="145"/>
  <c r="S5" i="145"/>
  <c r="Q5" i="145"/>
  <c r="O5" i="145"/>
  <c r="M5" i="145"/>
  <c r="G5" i="145"/>
  <c r="O26" i="144"/>
  <c r="M26" i="144"/>
  <c r="E10" i="151" s="1"/>
  <c r="J178" i="135"/>
  <c r="I178" i="135"/>
  <c r="H178" i="135"/>
  <c r="G178" i="135"/>
  <c r="F178" i="135"/>
  <c r="E178" i="135"/>
  <c r="D178" i="135"/>
  <c r="J177" i="135"/>
  <c r="I177" i="135"/>
  <c r="H177" i="135"/>
  <c r="G177" i="135"/>
  <c r="F177" i="135"/>
  <c r="E177" i="135"/>
  <c r="D177" i="135"/>
  <c r="J176" i="135"/>
  <c r="I176" i="135"/>
  <c r="H176" i="135"/>
  <c r="G176" i="135"/>
  <c r="F176" i="135"/>
  <c r="E176" i="135"/>
  <c r="D176" i="135"/>
  <c r="J170" i="135"/>
  <c r="I170" i="135"/>
  <c r="H170" i="135"/>
  <c r="G170" i="135"/>
  <c r="F170" i="135"/>
  <c r="E170" i="135"/>
  <c r="D170" i="135"/>
  <c r="J162" i="135"/>
  <c r="I162" i="135"/>
  <c r="H162" i="135"/>
  <c r="G162" i="135"/>
  <c r="F162" i="135"/>
  <c r="E162" i="135"/>
  <c r="D162" i="135"/>
  <c r="J161" i="135"/>
  <c r="I161" i="135"/>
  <c r="H161" i="135"/>
  <c r="G161" i="135"/>
  <c r="F161" i="135"/>
  <c r="E161" i="135"/>
  <c r="D161" i="135"/>
  <c r="J160" i="135"/>
  <c r="I160" i="135"/>
  <c r="H160" i="135"/>
  <c r="G160" i="135"/>
  <c r="F160" i="135"/>
  <c r="E160" i="135"/>
  <c r="D160" i="135"/>
  <c r="J159" i="135"/>
  <c r="I159" i="135"/>
  <c r="H159" i="135"/>
  <c r="G159" i="135"/>
  <c r="F159" i="135"/>
  <c r="E159" i="135"/>
  <c r="D159" i="135"/>
  <c r="J158" i="135"/>
  <c r="I158" i="135"/>
  <c r="H158" i="135"/>
  <c r="G158" i="135"/>
  <c r="F158" i="135"/>
  <c r="E158" i="135"/>
  <c r="D158" i="135"/>
  <c r="J157" i="135"/>
  <c r="I157" i="135"/>
  <c r="H157" i="135"/>
  <c r="G157" i="135"/>
  <c r="F157" i="135"/>
  <c r="E157" i="135"/>
  <c r="D157" i="135"/>
  <c r="J156" i="135"/>
  <c r="I156" i="135"/>
  <c r="H156" i="135"/>
  <c r="G156" i="135"/>
  <c r="F156" i="135"/>
  <c r="E156" i="135"/>
  <c r="D156" i="135"/>
  <c r="J155" i="135"/>
  <c r="I155" i="135"/>
  <c r="H155" i="135"/>
  <c r="G155" i="135"/>
  <c r="F155" i="135"/>
  <c r="E155" i="135"/>
  <c r="D155" i="135"/>
  <c r="J154" i="135"/>
  <c r="I154" i="135"/>
  <c r="H154" i="135"/>
  <c r="G154" i="135"/>
  <c r="F154" i="135"/>
  <c r="E154" i="135"/>
  <c r="D154" i="135"/>
  <c r="J153" i="135"/>
  <c r="I153" i="135"/>
  <c r="H153" i="135"/>
  <c r="G153" i="135"/>
  <c r="F153" i="135"/>
  <c r="E153" i="135"/>
  <c r="D153" i="135"/>
  <c r="J152" i="135"/>
  <c r="I152" i="135"/>
  <c r="H152" i="135"/>
  <c r="G152" i="135"/>
  <c r="F152" i="135"/>
  <c r="E152" i="135"/>
  <c r="D152" i="135"/>
  <c r="J151" i="135"/>
  <c r="I151" i="135"/>
  <c r="H151" i="135"/>
  <c r="G151" i="135"/>
  <c r="F151" i="135"/>
  <c r="E151" i="135"/>
  <c r="D151" i="135"/>
  <c r="J150" i="135"/>
  <c r="I150" i="135"/>
  <c r="H150" i="135"/>
  <c r="G150" i="135"/>
  <c r="F150" i="135"/>
  <c r="E150" i="135"/>
  <c r="D150" i="135"/>
  <c r="J149" i="135"/>
  <c r="I149" i="135"/>
  <c r="H149" i="135"/>
  <c r="G149" i="135"/>
  <c r="F149" i="135"/>
  <c r="E149" i="135"/>
  <c r="D149" i="135"/>
  <c r="J148" i="135"/>
  <c r="I148" i="135"/>
  <c r="H148" i="135"/>
  <c r="G148" i="135"/>
  <c r="F148" i="135"/>
  <c r="E148" i="135"/>
  <c r="D148" i="135"/>
  <c r="J147" i="135"/>
  <c r="I147" i="135"/>
  <c r="H147" i="135"/>
  <c r="G147" i="135"/>
  <c r="F147" i="135"/>
  <c r="E147" i="135"/>
  <c r="D147" i="135"/>
  <c r="J146" i="135"/>
  <c r="I146" i="135"/>
  <c r="H146" i="135"/>
  <c r="G146" i="135"/>
  <c r="F146" i="135"/>
  <c r="E146" i="135"/>
  <c r="D146" i="135"/>
  <c r="J145" i="135"/>
  <c r="I145" i="135"/>
  <c r="H145" i="135"/>
  <c r="G145" i="135"/>
  <c r="F145" i="135"/>
  <c r="E145" i="135"/>
  <c r="D145" i="135"/>
  <c r="O4" i="148" l="1"/>
  <c r="G11" i="151"/>
  <c r="G10" i="151"/>
  <c r="E15" i="151"/>
  <c r="D193" i="135"/>
  <c r="H193" i="135"/>
  <c r="F199" i="135"/>
  <c r="J199" i="135"/>
  <c r="G200" i="135"/>
  <c r="D201" i="135"/>
  <c r="H201" i="135"/>
  <c r="E193" i="135"/>
  <c r="I193" i="135"/>
  <c r="G199" i="135"/>
  <c r="D200" i="135"/>
  <c r="H200" i="135"/>
  <c r="E201" i="135"/>
  <c r="I201" i="135"/>
  <c r="F193" i="135"/>
  <c r="J193" i="135"/>
  <c r="D199" i="135"/>
  <c r="H199" i="135"/>
  <c r="E200" i="135"/>
  <c r="I200" i="135"/>
  <c r="F201" i="135"/>
  <c r="J201" i="135"/>
  <c r="G193" i="135"/>
  <c r="E199" i="135"/>
  <c r="I199" i="135"/>
  <c r="F200" i="135"/>
  <c r="J200" i="135"/>
  <c r="G201" i="135"/>
  <c r="G15" i="151" l="1"/>
  <c r="E42" i="147"/>
  <c r="C4" i="123"/>
  <c r="C20" i="143"/>
  <c r="C14" i="146"/>
  <c r="G22" i="146" l="1"/>
  <c r="G21" i="146"/>
  <c r="G19" i="146"/>
  <c r="G14" i="146"/>
  <c r="G13" i="146"/>
  <c r="G12" i="146"/>
  <c r="E14" i="146"/>
  <c r="E12" i="146"/>
  <c r="E96" i="147" l="1"/>
  <c r="E95" i="147"/>
  <c r="E94" i="147"/>
  <c r="E93" i="147"/>
  <c r="E92" i="147"/>
  <c r="E91" i="147"/>
  <c r="E90" i="147"/>
  <c r="E89" i="147"/>
  <c r="E88" i="147"/>
  <c r="E87" i="147"/>
  <c r="E86" i="147"/>
  <c r="E85" i="147"/>
  <c r="E84" i="147"/>
  <c r="E83" i="147"/>
  <c r="E82" i="147"/>
  <c r="E81" i="147"/>
  <c r="E80" i="147"/>
  <c r="E79" i="147"/>
  <c r="E58" i="147"/>
  <c r="E57" i="147"/>
  <c r="E56" i="147"/>
  <c r="E55" i="147"/>
  <c r="E54" i="147"/>
  <c r="E53" i="147"/>
  <c r="E52" i="147"/>
  <c r="E50" i="147"/>
  <c r="E49" i="147"/>
  <c r="E48" i="147"/>
  <c r="E47" i="147"/>
  <c r="E46" i="147"/>
  <c r="E45" i="147"/>
  <c r="E44" i="147"/>
  <c r="E43" i="147"/>
  <c r="S112" i="147"/>
  <c r="Q112" i="147"/>
  <c r="P112" i="147"/>
  <c r="O112" i="147"/>
  <c r="N112" i="147"/>
  <c r="K112" i="147"/>
  <c r="J110" i="147"/>
  <c r="J108" i="147"/>
  <c r="J106" i="147"/>
  <c r="J104" i="147"/>
  <c r="J102" i="147"/>
  <c r="J100" i="147"/>
  <c r="J99" i="147"/>
  <c r="J97" i="147"/>
  <c r="J96" i="147"/>
  <c r="J94" i="147"/>
  <c r="J93" i="147"/>
  <c r="J91" i="147"/>
  <c r="J89" i="147"/>
  <c r="J88" i="147"/>
  <c r="J86" i="147"/>
  <c r="J84" i="147"/>
  <c r="J83" i="147"/>
  <c r="J82" i="147"/>
  <c r="S76" i="147"/>
  <c r="R76" i="147"/>
  <c r="Q76" i="147"/>
  <c r="P76" i="147"/>
  <c r="O76" i="147"/>
  <c r="N76" i="147"/>
  <c r="K76" i="147"/>
  <c r="J76" i="147"/>
  <c r="J112" i="147" l="1"/>
  <c r="E60" i="147"/>
  <c r="E98" i="147"/>
  <c r="C12" i="146" l="1"/>
  <c r="C10" i="146"/>
  <c r="T132" i="121"/>
  <c r="T133" i="121"/>
  <c r="T134" i="121"/>
  <c r="T135" i="121"/>
  <c r="T136" i="121"/>
  <c r="T137" i="121"/>
  <c r="T138" i="121"/>
  <c r="T139" i="121"/>
  <c r="T140" i="121"/>
  <c r="T141" i="121"/>
  <c r="T142" i="121"/>
  <c r="T143" i="121"/>
  <c r="T144" i="121"/>
  <c r="T145" i="121"/>
  <c r="T146" i="121"/>
  <c r="T147" i="121"/>
  <c r="T148" i="121"/>
  <c r="T131" i="121"/>
  <c r="T150" i="121" l="1"/>
  <c r="C15" i="146"/>
  <c r="F4" i="58" l="1"/>
  <c r="J81" i="121" l="1"/>
  <c r="I81" i="121"/>
  <c r="H81" i="121"/>
  <c r="G81" i="121"/>
  <c r="F81" i="121"/>
  <c r="E81" i="121"/>
  <c r="D81" i="121"/>
  <c r="J80" i="121"/>
  <c r="I80" i="121"/>
  <c r="H80" i="121"/>
  <c r="G80" i="121"/>
  <c r="F80" i="121"/>
  <c r="E80" i="121"/>
  <c r="D80" i="121"/>
  <c r="J79" i="121"/>
  <c r="I79" i="121"/>
  <c r="H79" i="121"/>
  <c r="G79" i="121"/>
  <c r="F79" i="121"/>
  <c r="E79" i="121"/>
  <c r="D79" i="121"/>
  <c r="J73" i="121"/>
  <c r="I73" i="121"/>
  <c r="H73" i="121"/>
  <c r="G73" i="121"/>
  <c r="F73" i="121"/>
  <c r="E73" i="121"/>
  <c r="D73" i="121"/>
  <c r="J60" i="121"/>
  <c r="I60" i="121"/>
  <c r="H60" i="121"/>
  <c r="G60" i="121"/>
  <c r="F60" i="121"/>
  <c r="E60" i="121"/>
  <c r="D60" i="121"/>
  <c r="J59" i="121"/>
  <c r="I59" i="121"/>
  <c r="H59" i="121"/>
  <c r="G59" i="121"/>
  <c r="F59" i="121"/>
  <c r="E59" i="121"/>
  <c r="D59" i="121"/>
  <c r="J58" i="121"/>
  <c r="I58" i="121"/>
  <c r="H58" i="121"/>
  <c r="G58" i="121"/>
  <c r="F58" i="121"/>
  <c r="E58" i="121"/>
  <c r="D58" i="121"/>
  <c r="J52" i="121"/>
  <c r="I52" i="121"/>
  <c r="H52" i="121"/>
  <c r="G52" i="121"/>
  <c r="F52" i="121"/>
  <c r="E52" i="121"/>
  <c r="D52" i="121"/>
  <c r="J39" i="121"/>
  <c r="I39" i="121"/>
  <c r="H39" i="121"/>
  <c r="G39" i="121"/>
  <c r="F39" i="121"/>
  <c r="E39" i="121"/>
  <c r="D39" i="121"/>
  <c r="J38" i="121"/>
  <c r="I38" i="121"/>
  <c r="H38" i="121"/>
  <c r="G38" i="121"/>
  <c r="F38" i="121"/>
  <c r="E38" i="121"/>
  <c r="D38" i="121"/>
  <c r="J37" i="121"/>
  <c r="I37" i="121"/>
  <c r="H37" i="121"/>
  <c r="G37" i="121"/>
  <c r="F37" i="121"/>
  <c r="E37" i="121"/>
  <c r="D37" i="121"/>
  <c r="J31" i="121"/>
  <c r="I31" i="121"/>
  <c r="H31" i="121"/>
  <c r="G31" i="121"/>
  <c r="F31" i="121"/>
  <c r="E31" i="121"/>
  <c r="D31" i="121"/>
  <c r="J10" i="121"/>
  <c r="J16" i="121"/>
  <c r="J17" i="121"/>
  <c r="J18" i="121"/>
  <c r="I10" i="121"/>
  <c r="I16" i="121"/>
  <c r="I17" i="121"/>
  <c r="I18" i="121"/>
  <c r="H10" i="121"/>
  <c r="H16" i="121"/>
  <c r="H17" i="121"/>
  <c r="H18" i="121"/>
  <c r="G10" i="121"/>
  <c r="G16" i="121"/>
  <c r="G17" i="121"/>
  <c r="G18" i="121"/>
  <c r="F10" i="121"/>
  <c r="F16" i="121"/>
  <c r="F17" i="121"/>
  <c r="F18" i="121"/>
  <c r="E10" i="121"/>
  <c r="E16" i="121"/>
  <c r="E17" i="121"/>
  <c r="E18" i="121"/>
  <c r="D10" i="121"/>
  <c r="D16" i="121"/>
  <c r="D17" i="121"/>
  <c r="D18" i="121"/>
  <c r="E53" i="145"/>
  <c r="E54" i="145"/>
  <c r="E55" i="145"/>
  <c r="E56" i="145"/>
  <c r="E58" i="145"/>
  <c r="E59" i="145"/>
  <c r="E60" i="145"/>
  <c r="E61" i="145"/>
  <c r="E62" i="145"/>
  <c r="E66" i="145"/>
  <c r="E67" i="145"/>
  <c r="E68" i="145"/>
  <c r="E69" i="145"/>
  <c r="E52" i="145"/>
  <c r="S57" i="145"/>
  <c r="S63" i="145"/>
  <c r="S64" i="145"/>
  <c r="S65" i="145"/>
  <c r="Q57" i="145"/>
  <c r="Q63" i="145"/>
  <c r="Q64" i="145"/>
  <c r="Q65" i="145"/>
  <c r="O57" i="145"/>
  <c r="O63" i="145"/>
  <c r="O64" i="145"/>
  <c r="O65" i="145"/>
  <c r="M57" i="145"/>
  <c r="M63" i="145"/>
  <c r="M64" i="145"/>
  <c r="M65" i="145"/>
  <c r="K57" i="145"/>
  <c r="K63" i="145"/>
  <c r="K64" i="145"/>
  <c r="K65" i="145"/>
  <c r="I57" i="145"/>
  <c r="I63" i="145"/>
  <c r="I64" i="145"/>
  <c r="I65" i="145"/>
  <c r="G57" i="145"/>
  <c r="G63" i="145"/>
  <c r="G64" i="145"/>
  <c r="G65" i="145"/>
  <c r="R53" i="145"/>
  <c r="R54" i="145"/>
  <c r="R55" i="145"/>
  <c r="R56" i="145"/>
  <c r="R57" i="145"/>
  <c r="R58" i="145"/>
  <c r="R59" i="145"/>
  <c r="R60" i="145"/>
  <c r="R61" i="145"/>
  <c r="R62" i="145"/>
  <c r="R63" i="145"/>
  <c r="R64" i="145"/>
  <c r="R65" i="145"/>
  <c r="R66" i="145"/>
  <c r="R67" i="145"/>
  <c r="R68" i="145"/>
  <c r="R69" i="145"/>
  <c r="R52" i="145"/>
  <c r="P53" i="145"/>
  <c r="P54" i="145"/>
  <c r="P55" i="145"/>
  <c r="P56" i="145"/>
  <c r="P57" i="145"/>
  <c r="P58" i="145"/>
  <c r="P59" i="145"/>
  <c r="P60" i="145"/>
  <c r="P61" i="145"/>
  <c r="P62" i="145"/>
  <c r="P63" i="145"/>
  <c r="P64" i="145"/>
  <c r="P65" i="145"/>
  <c r="P66" i="145"/>
  <c r="P67" i="145"/>
  <c r="P68" i="145"/>
  <c r="P69" i="145"/>
  <c r="P52" i="145"/>
  <c r="N53" i="145"/>
  <c r="N54" i="145"/>
  <c r="N55" i="145"/>
  <c r="N56" i="145"/>
  <c r="N57" i="145"/>
  <c r="N58" i="145"/>
  <c r="N59" i="145"/>
  <c r="N60" i="145"/>
  <c r="N61" i="145"/>
  <c r="N62" i="145"/>
  <c r="N63" i="145"/>
  <c r="N64" i="145"/>
  <c r="N65" i="145"/>
  <c r="N66" i="145"/>
  <c r="N67" i="145"/>
  <c r="N68" i="145"/>
  <c r="N69" i="145"/>
  <c r="N52" i="145"/>
  <c r="L53" i="145"/>
  <c r="L54" i="145"/>
  <c r="L55" i="145"/>
  <c r="L56" i="145"/>
  <c r="L57" i="145"/>
  <c r="L58" i="145"/>
  <c r="L59" i="145"/>
  <c r="L60" i="145"/>
  <c r="L61" i="145"/>
  <c r="L62" i="145"/>
  <c r="L63" i="145"/>
  <c r="L64" i="145"/>
  <c r="L65" i="145"/>
  <c r="L66" i="145"/>
  <c r="L67" i="145"/>
  <c r="L68" i="145"/>
  <c r="L69" i="145"/>
  <c r="L52" i="145"/>
  <c r="J53" i="145"/>
  <c r="J54" i="145"/>
  <c r="J55" i="145"/>
  <c r="J56" i="145"/>
  <c r="J57" i="145"/>
  <c r="J58" i="145"/>
  <c r="J59" i="145"/>
  <c r="J60" i="145"/>
  <c r="J61" i="145"/>
  <c r="J62" i="145"/>
  <c r="J63" i="145"/>
  <c r="J64" i="145"/>
  <c r="J65" i="145"/>
  <c r="J66" i="145"/>
  <c r="J67" i="145"/>
  <c r="J68" i="145"/>
  <c r="J69" i="145"/>
  <c r="J52" i="145"/>
  <c r="H53" i="145"/>
  <c r="H54" i="145"/>
  <c r="H55" i="145"/>
  <c r="H56" i="145"/>
  <c r="H57" i="145"/>
  <c r="H58" i="145"/>
  <c r="H59" i="145"/>
  <c r="H60" i="145"/>
  <c r="H61" i="145"/>
  <c r="H62" i="145"/>
  <c r="H63" i="145"/>
  <c r="H64" i="145"/>
  <c r="H65" i="145"/>
  <c r="H66" i="145"/>
  <c r="H67" i="145"/>
  <c r="H68" i="145"/>
  <c r="H69" i="145"/>
  <c r="H52" i="145"/>
  <c r="F53" i="145"/>
  <c r="F54" i="145"/>
  <c r="F55" i="145"/>
  <c r="F56" i="145"/>
  <c r="F57" i="145"/>
  <c r="F58" i="145"/>
  <c r="F59" i="145"/>
  <c r="F60" i="145"/>
  <c r="F61" i="145"/>
  <c r="F62" i="145"/>
  <c r="F63" i="145"/>
  <c r="F64" i="145"/>
  <c r="F65" i="145"/>
  <c r="F66" i="145"/>
  <c r="F67" i="145"/>
  <c r="F68" i="145"/>
  <c r="F69" i="145"/>
  <c r="F52" i="145"/>
  <c r="U41" i="145"/>
  <c r="U40" i="145"/>
  <c r="U39" i="145"/>
  <c r="U33" i="145"/>
  <c r="R47" i="145"/>
  <c r="R48" i="145" s="1"/>
  <c r="P47" i="145"/>
  <c r="P48" i="145" s="1"/>
  <c r="N47" i="145"/>
  <c r="N48" i="145" s="1"/>
  <c r="J47" i="145"/>
  <c r="H47" i="145"/>
  <c r="H48" i="145" s="1"/>
  <c r="F47" i="145"/>
  <c r="F48" i="145" s="1"/>
  <c r="R23" i="145"/>
  <c r="R24" i="145" s="1"/>
  <c r="P23" i="145"/>
  <c r="P24" i="145" s="1"/>
  <c r="N23" i="145"/>
  <c r="N24" i="145" s="1"/>
  <c r="L23" i="145"/>
  <c r="L24" i="145" s="1"/>
  <c r="J23" i="145"/>
  <c r="H23" i="145"/>
  <c r="H24" i="145" s="1"/>
  <c r="F23" i="145"/>
  <c r="F24" i="145" s="1"/>
  <c r="U9" i="145"/>
  <c r="U15" i="145"/>
  <c r="U16" i="145"/>
  <c r="U17" i="145"/>
  <c r="N71" i="145" l="1"/>
  <c r="F71" i="145"/>
  <c r="J71" i="145"/>
  <c r="R71" i="145"/>
  <c r="L71" i="145"/>
  <c r="H71" i="145"/>
  <c r="P71" i="145"/>
  <c r="S45" i="145"/>
  <c r="Q45" i="145"/>
  <c r="O45" i="145"/>
  <c r="M45" i="145"/>
  <c r="K45" i="145"/>
  <c r="I45" i="145"/>
  <c r="G45" i="145"/>
  <c r="S44" i="145"/>
  <c r="Q44" i="145"/>
  <c r="O44" i="145"/>
  <c r="M44" i="145"/>
  <c r="K44" i="145"/>
  <c r="I44" i="145"/>
  <c r="G44" i="145"/>
  <c r="S43" i="145"/>
  <c r="Q43" i="145"/>
  <c r="O43" i="145"/>
  <c r="M43" i="145"/>
  <c r="K43" i="145"/>
  <c r="I43" i="145"/>
  <c r="G43" i="145"/>
  <c r="S42" i="145"/>
  <c r="Q42" i="145"/>
  <c r="O42" i="145"/>
  <c r="M42" i="145"/>
  <c r="K42" i="145"/>
  <c r="I42" i="145"/>
  <c r="G42" i="145"/>
  <c r="E41" i="145"/>
  <c r="E40" i="145"/>
  <c r="E39" i="145"/>
  <c r="S38" i="145"/>
  <c r="Q38" i="145"/>
  <c r="O38" i="145"/>
  <c r="M38" i="145"/>
  <c r="K38" i="145"/>
  <c r="I38" i="145"/>
  <c r="G38" i="145"/>
  <c r="S37" i="145"/>
  <c r="Q37" i="145"/>
  <c r="O37" i="145"/>
  <c r="M37" i="145"/>
  <c r="K37" i="145"/>
  <c r="I37" i="145"/>
  <c r="G37" i="145"/>
  <c r="S36" i="145"/>
  <c r="Q36" i="145"/>
  <c r="O36" i="145"/>
  <c r="M36" i="145"/>
  <c r="K36" i="145"/>
  <c r="I36" i="145"/>
  <c r="G36" i="145"/>
  <c r="S35" i="145"/>
  <c r="Q35" i="145"/>
  <c r="O35" i="145"/>
  <c r="M35" i="145"/>
  <c r="K35" i="145"/>
  <c r="I35" i="145"/>
  <c r="G35" i="145"/>
  <c r="S34" i="145"/>
  <c r="Q34" i="145"/>
  <c r="O34" i="145"/>
  <c r="M34" i="145"/>
  <c r="K34" i="145"/>
  <c r="I34" i="145"/>
  <c r="G34" i="145"/>
  <c r="E33" i="145"/>
  <c r="E47" i="145" s="1"/>
  <c r="S32" i="145"/>
  <c r="Q32" i="145"/>
  <c r="O32" i="145"/>
  <c r="M32" i="145"/>
  <c r="K32" i="145"/>
  <c r="I32" i="145"/>
  <c r="G32" i="145"/>
  <c r="S31" i="145"/>
  <c r="Q31" i="145"/>
  <c r="O31" i="145"/>
  <c r="M31" i="145"/>
  <c r="K31" i="145"/>
  <c r="I31" i="145"/>
  <c r="G31" i="145"/>
  <c r="S30" i="145"/>
  <c r="Q30" i="145"/>
  <c r="O30" i="145"/>
  <c r="M30" i="145"/>
  <c r="K30" i="145"/>
  <c r="I30" i="145"/>
  <c r="G30" i="145"/>
  <c r="S29" i="145"/>
  <c r="Q29" i="145"/>
  <c r="O29" i="145"/>
  <c r="M29" i="145"/>
  <c r="K29" i="145"/>
  <c r="I29" i="145"/>
  <c r="G29" i="145"/>
  <c r="S28" i="145"/>
  <c r="Q28" i="145"/>
  <c r="O28" i="145"/>
  <c r="M28" i="145"/>
  <c r="K28" i="145"/>
  <c r="I28" i="145"/>
  <c r="G28" i="145"/>
  <c r="S21" i="145"/>
  <c r="Q21" i="145"/>
  <c r="O21" i="145"/>
  <c r="M21" i="145"/>
  <c r="K21" i="145"/>
  <c r="I21" i="145"/>
  <c r="G21" i="145"/>
  <c r="S20" i="145"/>
  <c r="Q20" i="145"/>
  <c r="O20" i="145"/>
  <c r="M20" i="145"/>
  <c r="K20" i="145"/>
  <c r="I20" i="145"/>
  <c r="G20" i="145"/>
  <c r="S19" i="145"/>
  <c r="Q19" i="145"/>
  <c r="O19" i="145"/>
  <c r="M19" i="145"/>
  <c r="K19" i="145"/>
  <c r="I19" i="145"/>
  <c r="G19" i="145"/>
  <c r="S18" i="145"/>
  <c r="Q18" i="145"/>
  <c r="O18" i="145"/>
  <c r="M18" i="145"/>
  <c r="K18" i="145"/>
  <c r="I18" i="145"/>
  <c r="G18" i="145"/>
  <c r="E17" i="145"/>
  <c r="E65" i="145" s="1"/>
  <c r="E16" i="145"/>
  <c r="E64" i="145" s="1"/>
  <c r="E15" i="145"/>
  <c r="S13" i="145"/>
  <c r="Q13" i="145"/>
  <c r="O13" i="145"/>
  <c r="M13" i="145"/>
  <c r="K13" i="145"/>
  <c r="I13" i="145"/>
  <c r="G13" i="145"/>
  <c r="S12" i="145"/>
  <c r="Q12" i="145"/>
  <c r="O12" i="145"/>
  <c r="M12" i="145"/>
  <c r="K12" i="145"/>
  <c r="I12" i="145"/>
  <c r="G12" i="145"/>
  <c r="S11" i="145"/>
  <c r="Q11" i="145"/>
  <c r="O11" i="145"/>
  <c r="M11" i="145"/>
  <c r="K11" i="145"/>
  <c r="I11" i="145"/>
  <c r="G11" i="145"/>
  <c r="S10" i="145"/>
  <c r="Q10" i="145"/>
  <c r="O10" i="145"/>
  <c r="M10" i="145"/>
  <c r="K10" i="145"/>
  <c r="I10" i="145"/>
  <c r="G10" i="145"/>
  <c r="E9" i="145"/>
  <c r="S8" i="145"/>
  <c r="Q8" i="145"/>
  <c r="O8" i="145"/>
  <c r="M8" i="145"/>
  <c r="K8" i="145"/>
  <c r="I8" i="145"/>
  <c r="G8" i="145"/>
  <c r="S7" i="145"/>
  <c r="Q7" i="145"/>
  <c r="O7" i="145"/>
  <c r="M7" i="145"/>
  <c r="K7" i="145"/>
  <c r="I7" i="145"/>
  <c r="G7" i="145"/>
  <c r="S6" i="145"/>
  <c r="Q6" i="145"/>
  <c r="O6" i="145"/>
  <c r="M6" i="145"/>
  <c r="K6" i="145"/>
  <c r="I6" i="145"/>
  <c r="G6" i="145"/>
  <c r="K5" i="145"/>
  <c r="I5" i="145"/>
  <c r="O20" i="148" l="1"/>
  <c r="O19" i="148"/>
  <c r="O11" i="148"/>
  <c r="O17" i="148"/>
  <c r="O5" i="148"/>
  <c r="U29" i="145"/>
  <c r="U45" i="145"/>
  <c r="O18" i="148"/>
  <c r="O10" i="148"/>
  <c r="O9" i="148"/>
  <c r="U35" i="145"/>
  <c r="O7" i="148"/>
  <c r="O6" i="148"/>
  <c r="O12" i="148"/>
  <c r="O13" i="148"/>
  <c r="Q23" i="145"/>
  <c r="Q24" i="145" s="1"/>
  <c r="O23" i="145"/>
  <c r="O24" i="145" s="1"/>
  <c r="M23" i="145"/>
  <c r="M24" i="145" s="1"/>
  <c r="K23" i="145"/>
  <c r="K24" i="145" s="1"/>
  <c r="I23" i="145"/>
  <c r="I24" i="145" s="1"/>
  <c r="G23" i="145"/>
  <c r="G24" i="145" s="1"/>
  <c r="F166" i="135"/>
  <c r="F189" i="135" s="1"/>
  <c r="F70" i="121"/>
  <c r="F28" i="121"/>
  <c r="F49" i="121"/>
  <c r="F7" i="121"/>
  <c r="K53" i="145"/>
  <c r="D168" i="135"/>
  <c r="D191" i="135" s="1"/>
  <c r="G55" i="145"/>
  <c r="H168" i="135"/>
  <c r="H191" i="135" s="1"/>
  <c r="O55" i="145"/>
  <c r="E169" i="135"/>
  <c r="E192" i="135" s="1"/>
  <c r="E72" i="121"/>
  <c r="E30" i="121"/>
  <c r="E51" i="121"/>
  <c r="E9" i="121"/>
  <c r="I56" i="145"/>
  <c r="E171" i="135"/>
  <c r="E194" i="135" s="1"/>
  <c r="E53" i="121"/>
  <c r="E74" i="121"/>
  <c r="E32" i="121"/>
  <c r="E11" i="121"/>
  <c r="I58" i="145"/>
  <c r="I171" i="135"/>
  <c r="I194" i="135" s="1"/>
  <c r="I53" i="121"/>
  <c r="I11" i="121"/>
  <c r="I74" i="121"/>
  <c r="I32" i="121"/>
  <c r="Q58" i="145"/>
  <c r="F172" i="135"/>
  <c r="F195" i="135" s="1"/>
  <c r="F54" i="121"/>
  <c r="F75" i="121"/>
  <c r="F33" i="121"/>
  <c r="F12" i="121"/>
  <c r="K59" i="145"/>
  <c r="J172" i="135"/>
  <c r="J195" i="135" s="1"/>
  <c r="J54" i="121"/>
  <c r="J12" i="121"/>
  <c r="J75" i="121"/>
  <c r="J33" i="121"/>
  <c r="S59" i="145"/>
  <c r="G173" i="135"/>
  <c r="G196" i="135" s="1"/>
  <c r="G55" i="121"/>
  <c r="G76" i="121"/>
  <c r="G34" i="121"/>
  <c r="G13" i="121"/>
  <c r="M60" i="145"/>
  <c r="D174" i="135"/>
  <c r="D197" i="135" s="1"/>
  <c r="D56" i="121"/>
  <c r="D77" i="121"/>
  <c r="D35" i="121"/>
  <c r="D14" i="121"/>
  <c r="U13" i="145"/>
  <c r="G61" i="145"/>
  <c r="F165" i="135"/>
  <c r="F48" i="121"/>
  <c r="F69" i="121"/>
  <c r="F27" i="121"/>
  <c r="K52" i="145"/>
  <c r="F6" i="121"/>
  <c r="J165" i="135"/>
  <c r="J48" i="121"/>
  <c r="J27" i="121"/>
  <c r="J6" i="121"/>
  <c r="S52" i="145"/>
  <c r="J69" i="121"/>
  <c r="G166" i="135"/>
  <c r="G189" i="135" s="1"/>
  <c r="G49" i="121"/>
  <c r="G28" i="121"/>
  <c r="G7" i="121"/>
  <c r="M53" i="145"/>
  <c r="G70" i="121"/>
  <c r="D167" i="135"/>
  <c r="D190" i="135" s="1"/>
  <c r="D50" i="121"/>
  <c r="U7" i="145"/>
  <c r="D71" i="121"/>
  <c r="D8" i="121"/>
  <c r="G54" i="145"/>
  <c r="D29" i="121"/>
  <c r="H167" i="135"/>
  <c r="H190" i="135" s="1"/>
  <c r="H50" i="121"/>
  <c r="H71" i="121"/>
  <c r="H8" i="121"/>
  <c r="O54" i="145"/>
  <c r="H29" i="121"/>
  <c r="E168" i="135"/>
  <c r="E191" i="135" s="1"/>
  <c r="I55" i="145"/>
  <c r="I168" i="135"/>
  <c r="I191" i="135" s="1"/>
  <c r="Q55" i="145"/>
  <c r="F169" i="135"/>
  <c r="F192" i="135" s="1"/>
  <c r="F51" i="121"/>
  <c r="F9" i="121"/>
  <c r="F72" i="121"/>
  <c r="K56" i="145"/>
  <c r="F30" i="121"/>
  <c r="J169" i="135"/>
  <c r="J192" i="135" s="1"/>
  <c r="J51" i="121"/>
  <c r="J9" i="121"/>
  <c r="J72" i="121"/>
  <c r="S56" i="145"/>
  <c r="J30" i="121"/>
  <c r="F171" i="135"/>
  <c r="F194" i="135" s="1"/>
  <c r="F74" i="121"/>
  <c r="F32" i="121"/>
  <c r="F53" i="121"/>
  <c r="F11" i="121"/>
  <c r="K58" i="145"/>
  <c r="J171" i="135"/>
  <c r="J194" i="135" s="1"/>
  <c r="J74" i="121"/>
  <c r="J32" i="121"/>
  <c r="J53" i="121"/>
  <c r="J11" i="121"/>
  <c r="S58" i="145"/>
  <c r="G172" i="135"/>
  <c r="G195" i="135" s="1"/>
  <c r="G75" i="121"/>
  <c r="G33" i="121"/>
  <c r="M59" i="145"/>
  <c r="G54" i="121"/>
  <c r="G12" i="121"/>
  <c r="D173" i="135"/>
  <c r="D196" i="135" s="1"/>
  <c r="D76" i="121"/>
  <c r="D34" i="121"/>
  <c r="D13" i="121"/>
  <c r="G60" i="145"/>
  <c r="D55" i="121"/>
  <c r="U12" i="145"/>
  <c r="H173" i="135"/>
  <c r="H196" i="135" s="1"/>
  <c r="H76" i="121"/>
  <c r="H34" i="121"/>
  <c r="H13" i="121"/>
  <c r="O60" i="145"/>
  <c r="H55" i="121"/>
  <c r="E174" i="135"/>
  <c r="E197" i="135" s="1"/>
  <c r="E77" i="121"/>
  <c r="E35" i="121"/>
  <c r="E56" i="121"/>
  <c r="E14" i="121"/>
  <c r="I61" i="145"/>
  <c r="I174" i="135"/>
  <c r="I197" i="135" s="1"/>
  <c r="I14" i="121"/>
  <c r="I77" i="121"/>
  <c r="I35" i="121"/>
  <c r="Q61" i="145"/>
  <c r="I56" i="121"/>
  <c r="F175" i="135"/>
  <c r="F198" i="135" s="1"/>
  <c r="F78" i="121"/>
  <c r="F36" i="121"/>
  <c r="F57" i="121"/>
  <c r="K62" i="145"/>
  <c r="F15" i="121"/>
  <c r="J175" i="135"/>
  <c r="J198" i="135" s="1"/>
  <c r="J78" i="121"/>
  <c r="J36" i="121"/>
  <c r="J57" i="121"/>
  <c r="J15" i="121"/>
  <c r="S62" i="145"/>
  <c r="D179" i="135"/>
  <c r="D202" i="135" s="1"/>
  <c r="D61" i="121"/>
  <c r="D40" i="121"/>
  <c r="U18" i="145"/>
  <c r="D19" i="121"/>
  <c r="D82" i="121"/>
  <c r="G66" i="145"/>
  <c r="H179" i="135"/>
  <c r="H202" i="135" s="1"/>
  <c r="H61" i="121"/>
  <c r="H82" i="121"/>
  <c r="H19" i="121"/>
  <c r="O66" i="145"/>
  <c r="H40" i="121"/>
  <c r="E180" i="135"/>
  <c r="E203" i="135" s="1"/>
  <c r="E62" i="121"/>
  <c r="E83" i="121"/>
  <c r="E41" i="121"/>
  <c r="I67" i="145"/>
  <c r="E20" i="121"/>
  <c r="I180" i="135"/>
  <c r="I203" i="135" s="1"/>
  <c r="I62" i="121"/>
  <c r="I41" i="121"/>
  <c r="I20" i="121"/>
  <c r="I83" i="121"/>
  <c r="Q67" i="145"/>
  <c r="F181" i="135"/>
  <c r="F204" i="135" s="1"/>
  <c r="F63" i="121"/>
  <c r="F42" i="121"/>
  <c r="F21" i="121"/>
  <c r="F84" i="121"/>
  <c r="K68" i="145"/>
  <c r="J181" i="135"/>
  <c r="J204" i="135" s="1"/>
  <c r="J63" i="121"/>
  <c r="J21" i="121"/>
  <c r="J84" i="121"/>
  <c r="S68" i="145"/>
  <c r="J42" i="121"/>
  <c r="G182" i="135"/>
  <c r="G205" i="135" s="1"/>
  <c r="G64" i="121"/>
  <c r="G85" i="121"/>
  <c r="G22" i="121"/>
  <c r="M69" i="145"/>
  <c r="G43" i="121"/>
  <c r="U28" i="145"/>
  <c r="U32" i="145"/>
  <c r="U34" i="145"/>
  <c r="U38" i="145"/>
  <c r="U44" i="145"/>
  <c r="G165" i="135"/>
  <c r="G48" i="121"/>
  <c r="G69" i="121"/>
  <c r="G27" i="121"/>
  <c r="G6" i="121"/>
  <c r="M52" i="145"/>
  <c r="D166" i="135"/>
  <c r="D189" i="135" s="1"/>
  <c r="D49" i="121"/>
  <c r="D70" i="121"/>
  <c r="D28" i="121"/>
  <c r="D7" i="121"/>
  <c r="G53" i="145"/>
  <c r="U6" i="145"/>
  <c r="H166" i="135"/>
  <c r="H189" i="135" s="1"/>
  <c r="H49" i="121"/>
  <c r="H70" i="121"/>
  <c r="H28" i="121"/>
  <c r="H7" i="121"/>
  <c r="O53" i="145"/>
  <c r="E167" i="135"/>
  <c r="E190" i="135" s="1"/>
  <c r="E50" i="121"/>
  <c r="E71" i="121"/>
  <c r="E29" i="121"/>
  <c r="E8" i="121"/>
  <c r="I54" i="145"/>
  <c r="I167" i="135"/>
  <c r="I190" i="135" s="1"/>
  <c r="I50" i="121"/>
  <c r="I8" i="121"/>
  <c r="I71" i="121"/>
  <c r="I29" i="121"/>
  <c r="Q54" i="145"/>
  <c r="F168" i="135"/>
  <c r="F191" i="135" s="1"/>
  <c r="K55" i="145"/>
  <c r="J168" i="135"/>
  <c r="J191" i="135" s="1"/>
  <c r="S55" i="145"/>
  <c r="G169" i="135"/>
  <c r="G192" i="135" s="1"/>
  <c r="G51" i="121"/>
  <c r="G72" i="121"/>
  <c r="G30" i="121"/>
  <c r="G9" i="121"/>
  <c r="M56" i="145"/>
  <c r="E57" i="145"/>
  <c r="E23" i="145"/>
  <c r="G171" i="135"/>
  <c r="G194" i="135" s="1"/>
  <c r="G74" i="121"/>
  <c r="G32" i="121"/>
  <c r="G53" i="121"/>
  <c r="G11" i="121"/>
  <c r="M58" i="145"/>
  <c r="D172" i="135"/>
  <c r="D195" i="135" s="1"/>
  <c r="D75" i="121"/>
  <c r="D33" i="121"/>
  <c r="D54" i="121"/>
  <c r="D12" i="121"/>
  <c r="G59" i="145"/>
  <c r="U11" i="145"/>
  <c r="H172" i="135"/>
  <c r="H195" i="135" s="1"/>
  <c r="H75" i="121"/>
  <c r="H33" i="121"/>
  <c r="H54" i="121"/>
  <c r="O59" i="145"/>
  <c r="H12" i="121"/>
  <c r="E173" i="135"/>
  <c r="E196" i="135" s="1"/>
  <c r="E76" i="121"/>
  <c r="E34" i="121"/>
  <c r="E55" i="121"/>
  <c r="I60" i="145"/>
  <c r="E13" i="121"/>
  <c r="I173" i="135"/>
  <c r="I196" i="135" s="1"/>
  <c r="I76" i="121"/>
  <c r="I34" i="121"/>
  <c r="I55" i="121"/>
  <c r="I13" i="121"/>
  <c r="Q60" i="145"/>
  <c r="F174" i="135"/>
  <c r="F197" i="135" s="1"/>
  <c r="F77" i="121"/>
  <c r="F35" i="121"/>
  <c r="F56" i="121"/>
  <c r="K61" i="145"/>
  <c r="F14" i="121"/>
  <c r="J174" i="135"/>
  <c r="J197" i="135" s="1"/>
  <c r="J77" i="121"/>
  <c r="J35" i="121"/>
  <c r="J56" i="121"/>
  <c r="S61" i="145"/>
  <c r="J14" i="121"/>
  <c r="G175" i="135"/>
  <c r="G198" i="135" s="1"/>
  <c r="G78" i="121"/>
  <c r="G36" i="121"/>
  <c r="G57" i="121"/>
  <c r="G15" i="121"/>
  <c r="M62" i="145"/>
  <c r="E63" i="145"/>
  <c r="E179" i="135"/>
  <c r="E202" i="135" s="1"/>
  <c r="E61" i="121"/>
  <c r="E82" i="121"/>
  <c r="E40" i="121"/>
  <c r="E19" i="121"/>
  <c r="I66" i="145"/>
  <c r="I179" i="135"/>
  <c r="I202" i="135" s="1"/>
  <c r="I61" i="121"/>
  <c r="I19" i="121"/>
  <c r="I82" i="121"/>
  <c r="I40" i="121"/>
  <c r="Q66" i="145"/>
  <c r="F180" i="135"/>
  <c r="F203" i="135" s="1"/>
  <c r="F62" i="121"/>
  <c r="F83" i="121"/>
  <c r="F41" i="121"/>
  <c r="F20" i="121"/>
  <c r="K67" i="145"/>
  <c r="J180" i="135"/>
  <c r="J203" i="135" s="1"/>
  <c r="J62" i="121"/>
  <c r="J20" i="121"/>
  <c r="J83" i="121"/>
  <c r="J41" i="121"/>
  <c r="S67" i="145"/>
  <c r="G181" i="135"/>
  <c r="G204" i="135" s="1"/>
  <c r="G63" i="121"/>
  <c r="G84" i="121"/>
  <c r="G42" i="121"/>
  <c r="M68" i="145"/>
  <c r="G21" i="121"/>
  <c r="D182" i="135"/>
  <c r="D205" i="135" s="1"/>
  <c r="D64" i="121"/>
  <c r="D85" i="121"/>
  <c r="D43" i="121"/>
  <c r="G69" i="145"/>
  <c r="D22" i="121"/>
  <c r="U21" i="145"/>
  <c r="H182" i="135"/>
  <c r="H205" i="135" s="1"/>
  <c r="H64" i="121"/>
  <c r="H85" i="121"/>
  <c r="H43" i="121"/>
  <c r="H22" i="121"/>
  <c r="O69" i="145"/>
  <c r="U31" i="145"/>
  <c r="U37" i="145"/>
  <c r="U43" i="145"/>
  <c r="E165" i="135"/>
  <c r="E69" i="121"/>
  <c r="E27" i="121"/>
  <c r="E48" i="121"/>
  <c r="E6" i="121"/>
  <c r="I52" i="145"/>
  <c r="J166" i="135"/>
  <c r="J189" i="135" s="1"/>
  <c r="J70" i="121"/>
  <c r="J28" i="121"/>
  <c r="J49" i="121"/>
  <c r="J7" i="121"/>
  <c r="S53" i="145"/>
  <c r="D165" i="135"/>
  <c r="D69" i="121"/>
  <c r="D27" i="121"/>
  <c r="U5" i="145"/>
  <c r="D48" i="121"/>
  <c r="D6" i="121"/>
  <c r="G52" i="145"/>
  <c r="H165" i="135"/>
  <c r="H69" i="121"/>
  <c r="H27" i="121"/>
  <c r="H48" i="121"/>
  <c r="H6" i="121"/>
  <c r="O52" i="145"/>
  <c r="E166" i="135"/>
  <c r="E189" i="135" s="1"/>
  <c r="E70" i="121"/>
  <c r="E28" i="121"/>
  <c r="E7" i="121"/>
  <c r="I53" i="145"/>
  <c r="E49" i="121"/>
  <c r="I166" i="135"/>
  <c r="I189" i="135" s="1"/>
  <c r="I7" i="121"/>
  <c r="I70" i="121"/>
  <c r="I28" i="121"/>
  <c r="Q53" i="145"/>
  <c r="I49" i="121"/>
  <c r="F167" i="135"/>
  <c r="F190" i="135" s="1"/>
  <c r="F71" i="121"/>
  <c r="F29" i="121"/>
  <c r="F50" i="121"/>
  <c r="F8" i="121"/>
  <c r="K54" i="145"/>
  <c r="J167" i="135"/>
  <c r="J190" i="135" s="1"/>
  <c r="J71" i="121"/>
  <c r="J29" i="121"/>
  <c r="J50" i="121"/>
  <c r="J8" i="121"/>
  <c r="S54" i="145"/>
  <c r="G168" i="135"/>
  <c r="G191" i="135" s="1"/>
  <c r="M55" i="145"/>
  <c r="D169" i="135"/>
  <c r="D192" i="135" s="1"/>
  <c r="D72" i="121"/>
  <c r="D30" i="121"/>
  <c r="D9" i="121"/>
  <c r="U8" i="145"/>
  <c r="G56" i="145"/>
  <c r="D51" i="121"/>
  <c r="H169" i="135"/>
  <c r="H192" i="135" s="1"/>
  <c r="H72" i="121"/>
  <c r="H30" i="121"/>
  <c r="H9" i="121"/>
  <c r="H51" i="121"/>
  <c r="O56" i="145"/>
  <c r="D171" i="135"/>
  <c r="D194" i="135" s="1"/>
  <c r="D53" i="121"/>
  <c r="D74" i="121"/>
  <c r="U10" i="145"/>
  <c r="D32" i="121"/>
  <c r="G58" i="145"/>
  <c r="D11" i="121"/>
  <c r="H171" i="135"/>
  <c r="H194" i="135" s="1"/>
  <c r="H53" i="121"/>
  <c r="H11" i="121"/>
  <c r="H32" i="121"/>
  <c r="O58" i="145"/>
  <c r="H74" i="121"/>
  <c r="E172" i="135"/>
  <c r="E195" i="135" s="1"/>
  <c r="E54" i="121"/>
  <c r="E33" i="121"/>
  <c r="E12" i="121"/>
  <c r="E75" i="121"/>
  <c r="I59" i="145"/>
  <c r="I172" i="135"/>
  <c r="I195" i="135" s="1"/>
  <c r="I54" i="121"/>
  <c r="I75" i="121"/>
  <c r="I12" i="121"/>
  <c r="Q59" i="145"/>
  <c r="I33" i="121"/>
  <c r="F173" i="135"/>
  <c r="F196" i="135" s="1"/>
  <c r="F55" i="121"/>
  <c r="F76" i="121"/>
  <c r="F13" i="121"/>
  <c r="F34" i="121"/>
  <c r="K60" i="145"/>
  <c r="J173" i="135"/>
  <c r="J196" i="135" s="1"/>
  <c r="J55" i="121"/>
  <c r="J13" i="121"/>
  <c r="J34" i="121"/>
  <c r="S60" i="145"/>
  <c r="J76" i="121"/>
  <c r="G174" i="135"/>
  <c r="G197" i="135" s="1"/>
  <c r="G56" i="121"/>
  <c r="G35" i="121"/>
  <c r="G14" i="121"/>
  <c r="M61" i="145"/>
  <c r="G77" i="121"/>
  <c r="D175" i="135"/>
  <c r="D198" i="135" s="1"/>
  <c r="D57" i="121"/>
  <c r="U14" i="145"/>
  <c r="D78" i="121"/>
  <c r="D36" i="121"/>
  <c r="D15" i="121"/>
  <c r="G62" i="145"/>
  <c r="H175" i="135"/>
  <c r="H198" i="135" s="1"/>
  <c r="H57" i="121"/>
  <c r="H78" i="121"/>
  <c r="H36" i="121"/>
  <c r="H15" i="121"/>
  <c r="O62" i="145"/>
  <c r="F179" i="135"/>
  <c r="F202" i="135" s="1"/>
  <c r="F82" i="121"/>
  <c r="F40" i="121"/>
  <c r="K66" i="145"/>
  <c r="F61" i="121"/>
  <c r="F19" i="121"/>
  <c r="J179" i="135"/>
  <c r="J202" i="135" s="1"/>
  <c r="J82" i="121"/>
  <c r="J40" i="121"/>
  <c r="J19" i="121"/>
  <c r="J61" i="121"/>
  <c r="S66" i="145"/>
  <c r="G180" i="135"/>
  <c r="G203" i="135" s="1"/>
  <c r="G83" i="121"/>
  <c r="G41" i="121"/>
  <c r="G62" i="121"/>
  <c r="G20" i="121"/>
  <c r="M67" i="145"/>
  <c r="D181" i="135"/>
  <c r="D204" i="135" s="1"/>
  <c r="D84" i="121"/>
  <c r="D42" i="121"/>
  <c r="D63" i="121"/>
  <c r="D21" i="121"/>
  <c r="G68" i="145"/>
  <c r="U20" i="145"/>
  <c r="H181" i="135"/>
  <c r="H204" i="135" s="1"/>
  <c r="H84" i="121"/>
  <c r="H42" i="121"/>
  <c r="O68" i="145"/>
  <c r="H21" i="121"/>
  <c r="H63" i="121"/>
  <c r="E182" i="135"/>
  <c r="E205" i="135" s="1"/>
  <c r="E85" i="121"/>
  <c r="E43" i="121"/>
  <c r="E22" i="121"/>
  <c r="I69" i="145"/>
  <c r="E64" i="121"/>
  <c r="I182" i="135"/>
  <c r="I205" i="135" s="1"/>
  <c r="I22" i="121"/>
  <c r="I85" i="121"/>
  <c r="I43" i="121"/>
  <c r="Q69" i="145"/>
  <c r="I64" i="121"/>
  <c r="U30" i="145"/>
  <c r="U36" i="145"/>
  <c r="U42" i="145"/>
  <c r="I165" i="135"/>
  <c r="I69" i="121"/>
  <c r="I27" i="121"/>
  <c r="I6" i="121"/>
  <c r="I48" i="121"/>
  <c r="Q52" i="145"/>
  <c r="G167" i="135"/>
  <c r="G190" i="135" s="1"/>
  <c r="G71" i="121"/>
  <c r="G29" i="121"/>
  <c r="G50" i="121"/>
  <c r="G8" i="121"/>
  <c r="M54" i="145"/>
  <c r="I169" i="135"/>
  <c r="I192" i="135" s="1"/>
  <c r="I72" i="121"/>
  <c r="I30" i="121"/>
  <c r="I51" i="121"/>
  <c r="Q56" i="145"/>
  <c r="I9" i="121"/>
  <c r="H174" i="135"/>
  <c r="H197" i="135" s="1"/>
  <c r="H56" i="121"/>
  <c r="H77" i="121"/>
  <c r="H35" i="121"/>
  <c r="H14" i="121"/>
  <c r="O61" i="145"/>
  <c r="E175" i="135"/>
  <c r="E198" i="135" s="1"/>
  <c r="E57" i="121"/>
  <c r="E78" i="121"/>
  <c r="E36" i="121"/>
  <c r="E15" i="121"/>
  <c r="I62" i="145"/>
  <c r="I175" i="135"/>
  <c r="I198" i="135" s="1"/>
  <c r="I57" i="121"/>
  <c r="I15" i="121"/>
  <c r="I78" i="121"/>
  <c r="I36" i="121"/>
  <c r="Q62" i="145"/>
  <c r="G179" i="135"/>
  <c r="G202" i="135" s="1"/>
  <c r="G82" i="121"/>
  <c r="G40" i="121"/>
  <c r="G61" i="121"/>
  <c r="G19" i="121"/>
  <c r="M66" i="145"/>
  <c r="D180" i="135"/>
  <c r="D203" i="135" s="1"/>
  <c r="D83" i="121"/>
  <c r="D41" i="121"/>
  <c r="D62" i="121"/>
  <c r="D20" i="121"/>
  <c r="G67" i="145"/>
  <c r="U19" i="145"/>
  <c r="H180" i="135"/>
  <c r="H203" i="135" s="1"/>
  <c r="H83" i="121"/>
  <c r="H41" i="121"/>
  <c r="H62" i="121"/>
  <c r="H20" i="121"/>
  <c r="O67" i="145"/>
  <c r="E181" i="135"/>
  <c r="E204" i="135" s="1"/>
  <c r="E84" i="121"/>
  <c r="E42" i="121"/>
  <c r="E63" i="121"/>
  <c r="E21" i="121"/>
  <c r="I68" i="145"/>
  <c r="I181" i="135"/>
  <c r="I204" i="135" s="1"/>
  <c r="I84" i="121"/>
  <c r="I42" i="121"/>
  <c r="I63" i="121"/>
  <c r="I21" i="121"/>
  <c r="Q68" i="145"/>
  <c r="F182" i="135"/>
  <c r="F205" i="135" s="1"/>
  <c r="F85" i="121"/>
  <c r="F43" i="121"/>
  <c r="F64" i="121"/>
  <c r="F22" i="121"/>
  <c r="K69" i="145"/>
  <c r="J182" i="135"/>
  <c r="J205" i="135" s="1"/>
  <c r="J85" i="121"/>
  <c r="J43" i="121"/>
  <c r="J64" i="121"/>
  <c r="J22" i="121"/>
  <c r="S69" i="145"/>
  <c r="D3" i="90"/>
  <c r="G3" i="119"/>
  <c r="O18" i="144"/>
  <c r="E10" i="146"/>
  <c r="G10" i="146" s="1"/>
  <c r="O25" i="144"/>
  <c r="L24" i="144"/>
  <c r="O24" i="144" s="1"/>
  <c r="O23" i="144"/>
  <c r="L23" i="144"/>
  <c r="O22" i="144"/>
  <c r="L21" i="144"/>
  <c r="O21" i="144" s="1"/>
  <c r="N20" i="144"/>
  <c r="L20" i="144"/>
  <c r="O20" i="144" s="1"/>
  <c r="O19" i="144"/>
  <c r="L17" i="144"/>
  <c r="O17" i="144" s="1"/>
  <c r="O16" i="144"/>
  <c r="O15" i="144"/>
  <c r="O14" i="144"/>
  <c r="L14" i="144"/>
  <c r="O13" i="144"/>
  <c r="L12" i="144"/>
  <c r="O12" i="144" s="1"/>
  <c r="O11" i="144"/>
  <c r="O9" i="144"/>
  <c r="O8" i="144"/>
  <c r="O7" i="144"/>
  <c r="L7" i="144"/>
  <c r="L26" i="144" s="1"/>
  <c r="J25" i="144"/>
  <c r="G24" i="144"/>
  <c r="J24" i="144" s="1"/>
  <c r="G23" i="144"/>
  <c r="J23" i="144" s="1"/>
  <c r="J22" i="144"/>
  <c r="G21" i="144"/>
  <c r="J21" i="144" s="1"/>
  <c r="I20" i="144"/>
  <c r="G20" i="144"/>
  <c r="J20" i="144" s="1"/>
  <c r="J19" i="144"/>
  <c r="I18" i="144"/>
  <c r="I26" i="144" s="1"/>
  <c r="H18" i="144"/>
  <c r="G17" i="144"/>
  <c r="J17" i="144" s="1"/>
  <c r="J16" i="144"/>
  <c r="J15" i="144"/>
  <c r="G14" i="144"/>
  <c r="J14" i="144" s="1"/>
  <c r="J13" i="144"/>
  <c r="G12" i="144"/>
  <c r="J12" i="144" s="1"/>
  <c r="J11" i="144"/>
  <c r="H10" i="144"/>
  <c r="J9" i="144"/>
  <c r="J8" i="144"/>
  <c r="G7" i="144"/>
  <c r="C10" i="143"/>
  <c r="D10" i="143" s="1"/>
  <c r="C11" i="143"/>
  <c r="D11" i="143" s="1"/>
  <c r="C12" i="143"/>
  <c r="C13" i="143"/>
  <c r="C14" i="143"/>
  <c r="C15" i="143"/>
  <c r="D15" i="143" s="1"/>
  <c r="C16" i="143"/>
  <c r="C17" i="143"/>
  <c r="C18" i="143"/>
  <c r="D18" i="143" s="1"/>
  <c r="C19" i="143"/>
  <c r="D19" i="143" s="1"/>
  <c r="C21" i="143"/>
  <c r="C8" i="143"/>
  <c r="C7" i="143"/>
  <c r="C6" i="143"/>
  <c r="C5" i="143"/>
  <c r="C4" i="143"/>
  <c r="D28" i="143"/>
  <c r="D21" i="143"/>
  <c r="D20" i="143"/>
  <c r="D17" i="143"/>
  <c r="D16" i="143"/>
  <c r="D14" i="143"/>
  <c r="D13" i="143"/>
  <c r="D12" i="143"/>
  <c r="C9" i="143"/>
  <c r="D9" i="143" s="1"/>
  <c r="D8" i="143"/>
  <c r="D7" i="143"/>
  <c r="D6" i="143"/>
  <c r="D5" i="143"/>
  <c r="D4" i="143"/>
  <c r="J5" i="120" l="1"/>
  <c r="J13" i="120"/>
  <c r="J14" i="120"/>
  <c r="J8" i="120"/>
  <c r="J19" i="120"/>
  <c r="J10" i="120"/>
  <c r="J18" i="120"/>
  <c r="J16" i="120"/>
  <c r="J7" i="120"/>
  <c r="J9" i="120"/>
  <c r="J12" i="120"/>
  <c r="J4" i="120"/>
  <c r="B12" i="90" s="1"/>
  <c r="J6" i="120"/>
  <c r="J11" i="120"/>
  <c r="J15" i="120"/>
  <c r="J17" i="120"/>
  <c r="J20" i="120"/>
  <c r="O22" i="148"/>
  <c r="O72" i="148" s="1"/>
  <c r="E183" i="135"/>
  <c r="E184" i="135" s="1"/>
  <c r="D188" i="135"/>
  <c r="D206" i="135" s="1"/>
  <c r="D183" i="135"/>
  <c r="D184" i="135" s="1"/>
  <c r="E188" i="135"/>
  <c r="E206" i="135" s="1"/>
  <c r="H188" i="135"/>
  <c r="H206" i="135" s="1"/>
  <c r="H183" i="135"/>
  <c r="H184" i="135" s="1"/>
  <c r="F183" i="135"/>
  <c r="F184" i="135" s="1"/>
  <c r="F188" i="135"/>
  <c r="F206" i="135" s="1"/>
  <c r="I183" i="135"/>
  <c r="I184" i="135" s="1"/>
  <c r="I188" i="135"/>
  <c r="I206" i="135" s="1"/>
  <c r="E71" i="145"/>
  <c r="G188" i="135"/>
  <c r="G206" i="135" s="1"/>
  <c r="G183" i="135"/>
  <c r="G184" i="135" s="1"/>
  <c r="J188" i="135"/>
  <c r="J206" i="135" s="1"/>
  <c r="J183" i="135"/>
  <c r="J184" i="135" s="1"/>
  <c r="G11" i="146"/>
  <c r="G15" i="146" s="1"/>
  <c r="E15" i="146"/>
  <c r="O10" i="144"/>
  <c r="N26" i="144"/>
  <c r="J18" i="144"/>
  <c r="H26" i="144"/>
  <c r="G26" i="144"/>
  <c r="J26" i="144" s="1"/>
  <c r="J7" i="144"/>
  <c r="J10" i="144"/>
  <c r="D23" i="143"/>
  <c r="D30" i="143" s="1"/>
  <c r="F67" i="90"/>
  <c r="F68" i="90"/>
  <c r="F69" i="90"/>
  <c r="F70" i="90"/>
  <c r="F66" i="90"/>
  <c r="D67" i="90"/>
  <c r="D68" i="90"/>
  <c r="D69" i="90"/>
  <c r="D70" i="90"/>
  <c r="D66" i="90"/>
  <c r="B69" i="90"/>
  <c r="B70" i="90"/>
  <c r="B67" i="90"/>
  <c r="B68" i="90"/>
  <c r="B66" i="90"/>
  <c r="F57" i="90"/>
  <c r="F58" i="90"/>
  <c r="F59" i="90"/>
  <c r="F60" i="90"/>
  <c r="F61" i="90"/>
  <c r="F62" i="90"/>
  <c r="F63" i="90"/>
  <c r="F64" i="90"/>
  <c r="F56" i="90"/>
  <c r="D58" i="90"/>
  <c r="D59" i="90"/>
  <c r="D60" i="90"/>
  <c r="D61" i="90"/>
  <c r="D62" i="90"/>
  <c r="D63" i="90"/>
  <c r="D64" i="90"/>
  <c r="D57" i="90"/>
  <c r="D56" i="90"/>
  <c r="B57" i="90"/>
  <c r="B58" i="90"/>
  <c r="B59" i="90"/>
  <c r="B60" i="90"/>
  <c r="B61" i="90"/>
  <c r="B62" i="90"/>
  <c r="B63" i="90"/>
  <c r="B64" i="90"/>
  <c r="B56" i="90"/>
  <c r="J22" i="148" l="1"/>
  <c r="D12" i="90"/>
  <c r="G12" i="90"/>
  <c r="N111" i="132"/>
  <c r="E126" i="128"/>
  <c r="J24" i="148" l="1"/>
  <c r="J72" i="148"/>
  <c r="F32" i="142"/>
  <c r="F34" i="142"/>
  <c r="F37" i="142"/>
  <c r="F38" i="142"/>
  <c r="G40" i="142" s="1"/>
  <c r="W22" i="120"/>
  <c r="X22" i="120"/>
  <c r="Z125" i="121"/>
  <c r="AA125" i="121"/>
  <c r="I44" i="120"/>
  <c r="H44" i="120"/>
  <c r="J44" i="120"/>
  <c r="E44" i="120"/>
  <c r="D44" i="120"/>
  <c r="A39" i="142"/>
  <c r="A37" i="142"/>
  <c r="A35" i="142"/>
  <c r="A33" i="142"/>
  <c r="A34" i="142"/>
  <c r="A40" i="142"/>
  <c r="A38" i="142"/>
  <c r="A36" i="142"/>
  <c r="F35" i="142"/>
  <c r="F36" i="142"/>
  <c r="F39" i="142"/>
  <c r="F31" i="142"/>
  <c r="F30" i="142"/>
  <c r="B41" i="142"/>
  <c r="D9" i="142"/>
  <c r="D11" i="142"/>
  <c r="D13" i="142"/>
  <c r="D15" i="142"/>
  <c r="D17" i="142"/>
  <c r="D19" i="142"/>
  <c r="D7" i="142"/>
  <c r="P105" i="132"/>
  <c r="P102" i="132"/>
  <c r="P100" i="132"/>
  <c r="P98" i="132"/>
  <c r="P96" i="132"/>
  <c r="P94" i="132"/>
  <c r="G37" i="142" l="1"/>
  <c r="G34" i="142"/>
  <c r="F33" i="142"/>
  <c r="G33" i="142" s="1"/>
  <c r="G39" i="142"/>
  <c r="G38" i="142"/>
  <c r="G36" i="142"/>
  <c r="G35" i="142" l="1"/>
  <c r="AX5" i="127"/>
  <c r="G92" i="132"/>
  <c r="M44" i="120"/>
  <c r="E69" i="140" l="1"/>
  <c r="BH26" i="138" l="1"/>
  <c r="E153" i="140"/>
  <c r="E126" i="140"/>
  <c r="AX26" i="138"/>
  <c r="BI30" i="138"/>
  <c r="BH30" i="138"/>
  <c r="AX30" i="138"/>
  <c r="L30" i="138"/>
  <c r="I172" i="140"/>
  <c r="J66" i="141"/>
  <c r="J65" i="141"/>
  <c r="J64" i="141"/>
  <c r="J63" i="141"/>
  <c r="J62" i="141"/>
  <c r="J61" i="141"/>
  <c r="J48" i="141"/>
  <c r="J49" i="141"/>
  <c r="J50" i="141"/>
  <c r="J51" i="141"/>
  <c r="J52" i="141"/>
  <c r="J53" i="141"/>
  <c r="J54" i="141"/>
  <c r="J55" i="141"/>
  <c r="J56" i="141"/>
  <c r="J46" i="141"/>
  <c r="J47" i="141"/>
  <c r="E48" i="141" l="1"/>
  <c r="F48" i="141" s="1"/>
  <c r="Q58" i="141" s="1"/>
  <c r="E46" i="141"/>
  <c r="E47" i="141" s="1"/>
  <c r="E66" i="141"/>
  <c r="E64" i="141"/>
  <c r="E62" i="141"/>
  <c r="E65" i="141"/>
  <c r="F65" i="141" s="1"/>
  <c r="E63" i="141"/>
  <c r="E61" i="141"/>
  <c r="D65" i="141"/>
  <c r="D63" i="141"/>
  <c r="D62" i="141" s="1"/>
  <c r="D61" i="141"/>
  <c r="E93" i="141"/>
  <c r="C93" i="141"/>
  <c r="E92" i="141"/>
  <c r="C92" i="141"/>
  <c r="E91" i="141"/>
  <c r="C91" i="141"/>
  <c r="E90" i="141"/>
  <c r="C90" i="141"/>
  <c r="E89" i="141"/>
  <c r="C89" i="141"/>
  <c r="E88" i="141"/>
  <c r="C88" i="141"/>
  <c r="E87" i="141"/>
  <c r="I87" i="141" s="1"/>
  <c r="C87" i="141"/>
  <c r="E86" i="141"/>
  <c r="C86" i="141"/>
  <c r="E85" i="141"/>
  <c r="C85" i="141"/>
  <c r="E84" i="141"/>
  <c r="C84" i="141"/>
  <c r="E83" i="141"/>
  <c r="C83" i="141"/>
  <c r="E82" i="141"/>
  <c r="C82" i="141"/>
  <c r="E81" i="141"/>
  <c r="C81" i="141"/>
  <c r="E80" i="141"/>
  <c r="C80" i="141"/>
  <c r="E79" i="141"/>
  <c r="C79" i="141"/>
  <c r="E78" i="141"/>
  <c r="C78" i="141"/>
  <c r="E77" i="141"/>
  <c r="C77" i="141"/>
  <c r="E76" i="141"/>
  <c r="C76" i="141"/>
  <c r="F66" i="141"/>
  <c r="F63" i="141"/>
  <c r="A57" i="141"/>
  <c r="N56" i="141"/>
  <c r="F56" i="141"/>
  <c r="N55" i="141"/>
  <c r="E55" i="141"/>
  <c r="D55" i="141"/>
  <c r="N54" i="141"/>
  <c r="F54" i="141"/>
  <c r="Q53" i="141"/>
  <c r="N53" i="141"/>
  <c r="E53" i="141"/>
  <c r="D53" i="141"/>
  <c r="N52" i="141"/>
  <c r="F52" i="141"/>
  <c r="N51" i="141"/>
  <c r="E51" i="141"/>
  <c r="D51" i="141"/>
  <c r="N50" i="141"/>
  <c r="F50" i="141"/>
  <c r="N49" i="141"/>
  <c r="E49" i="141"/>
  <c r="D49" i="141"/>
  <c r="N48" i="141"/>
  <c r="N47" i="141"/>
  <c r="D47" i="141"/>
  <c r="F49" i="141" l="1"/>
  <c r="F62" i="141"/>
  <c r="H63" i="141" s="1"/>
  <c r="D64" i="141"/>
  <c r="F46" i="141"/>
  <c r="F47" i="141"/>
  <c r="Q49" i="141" s="1"/>
  <c r="H66" i="141"/>
  <c r="F61" i="141"/>
  <c r="H62" i="141" s="1"/>
  <c r="F55" i="141"/>
  <c r="Q65" i="141" s="1"/>
  <c r="F51" i="141"/>
  <c r="H51" i="141" s="1"/>
  <c r="F53" i="141"/>
  <c r="H53" i="141" s="1"/>
  <c r="H50" i="141"/>
  <c r="H49" i="141"/>
  <c r="H56" i="141" l="1"/>
  <c r="H52" i="141"/>
  <c r="H55" i="141"/>
  <c r="F64" i="141"/>
  <c r="H48" i="141"/>
  <c r="H47" i="141"/>
  <c r="H54" i="141"/>
  <c r="H64" i="141" l="1"/>
  <c r="H65" i="141"/>
  <c r="BH28" i="138"/>
  <c r="BH22" i="138"/>
  <c r="BH17" i="138"/>
  <c r="BH14" i="138"/>
  <c r="BH11" i="138"/>
  <c r="BH8" i="138"/>
  <c r="BH5" i="138"/>
  <c r="M172" i="140"/>
  <c r="M126" i="140"/>
  <c r="M167" i="140"/>
  <c r="I167" i="140"/>
  <c r="G167" i="140"/>
  <c r="K167" i="140" s="1"/>
  <c r="P166" i="140"/>
  <c r="R166" i="140" s="1"/>
  <c r="M166" i="140"/>
  <c r="G166" i="140" s="1"/>
  <c r="K166" i="140" s="1"/>
  <c r="I166" i="140"/>
  <c r="P165" i="140"/>
  <c r="M165" i="140"/>
  <c r="G165" i="140" s="1"/>
  <c r="K165" i="140" s="1"/>
  <c r="I165" i="140"/>
  <c r="M164" i="140"/>
  <c r="I164" i="140"/>
  <c r="G164" i="140"/>
  <c r="K164" i="140" s="1"/>
  <c r="M163" i="140"/>
  <c r="I163" i="140"/>
  <c r="G163" i="140"/>
  <c r="K163" i="140" s="1"/>
  <c r="P162" i="140"/>
  <c r="R162" i="140" s="1"/>
  <c r="M162" i="140"/>
  <c r="G162" i="140" s="1"/>
  <c r="K162" i="140" s="1"/>
  <c r="I162" i="140"/>
  <c r="P158" i="140"/>
  <c r="M158" i="140"/>
  <c r="G158" i="140" s="1"/>
  <c r="K158" i="140" s="1"/>
  <c r="I158" i="140"/>
  <c r="M157" i="140"/>
  <c r="P157" i="140" s="1"/>
  <c r="R157" i="140" s="1"/>
  <c r="I157" i="140"/>
  <c r="G157" i="140"/>
  <c r="K157" i="140" s="1"/>
  <c r="M156" i="140"/>
  <c r="I156" i="140"/>
  <c r="G156" i="140"/>
  <c r="K156" i="140" s="1"/>
  <c r="P154" i="140"/>
  <c r="R154" i="140" s="1"/>
  <c r="M154" i="140"/>
  <c r="G154" i="140" s="1"/>
  <c r="K154" i="140" s="1"/>
  <c r="I154" i="140"/>
  <c r="M153" i="140"/>
  <c r="G153" i="140" s="1"/>
  <c r="I153" i="140"/>
  <c r="M152" i="140"/>
  <c r="G152" i="140" s="1"/>
  <c r="K152" i="140" s="1"/>
  <c r="I152" i="140"/>
  <c r="P151" i="140"/>
  <c r="M151" i="140"/>
  <c r="R151" i="140" s="1"/>
  <c r="I151" i="140"/>
  <c r="G151" i="140"/>
  <c r="K151" i="140" s="1"/>
  <c r="R150" i="140"/>
  <c r="P150" i="140"/>
  <c r="M150" i="140"/>
  <c r="K150" i="140"/>
  <c r="I150" i="140"/>
  <c r="G150" i="140"/>
  <c r="M149" i="140"/>
  <c r="G149" i="140" s="1"/>
  <c r="K149" i="140" s="1"/>
  <c r="I149" i="140"/>
  <c r="M140" i="140"/>
  <c r="G140" i="140" s="1"/>
  <c r="K140" i="140" s="1"/>
  <c r="I140" i="140"/>
  <c r="P139" i="140"/>
  <c r="M139" i="140"/>
  <c r="R139" i="140" s="1"/>
  <c r="I139" i="140"/>
  <c r="G139" i="140"/>
  <c r="K139" i="140" s="1"/>
  <c r="R138" i="140"/>
  <c r="P138" i="140"/>
  <c r="M138" i="140"/>
  <c r="K138" i="140"/>
  <c r="I138" i="140"/>
  <c r="G138" i="140"/>
  <c r="M137" i="140"/>
  <c r="G137" i="140" s="1"/>
  <c r="K137" i="140" s="1"/>
  <c r="I137" i="140"/>
  <c r="M136" i="140"/>
  <c r="G136" i="140" s="1"/>
  <c r="K136" i="140" s="1"/>
  <c r="I136" i="140"/>
  <c r="P135" i="140"/>
  <c r="M135" i="140"/>
  <c r="R135" i="140" s="1"/>
  <c r="I135" i="140"/>
  <c r="G135" i="140"/>
  <c r="K135" i="140" s="1"/>
  <c r="R131" i="140"/>
  <c r="P131" i="140"/>
  <c r="M131" i="140"/>
  <c r="K131" i="140"/>
  <c r="I131" i="140"/>
  <c r="G131" i="140"/>
  <c r="M130" i="140"/>
  <c r="G130" i="140" s="1"/>
  <c r="K130" i="140" s="1"/>
  <c r="I130" i="140"/>
  <c r="M129" i="140"/>
  <c r="G129" i="140" s="1"/>
  <c r="K129" i="140" s="1"/>
  <c r="I129" i="140"/>
  <c r="P127" i="140"/>
  <c r="M127" i="140"/>
  <c r="R127" i="140" s="1"/>
  <c r="I127" i="140"/>
  <c r="G127" i="140"/>
  <c r="K127" i="140" s="1"/>
  <c r="P125" i="140"/>
  <c r="R125" i="140" s="1"/>
  <c r="M125" i="140"/>
  <c r="G125" i="140" s="1"/>
  <c r="K125" i="140" s="1"/>
  <c r="I125" i="140"/>
  <c r="P124" i="140"/>
  <c r="M124" i="140"/>
  <c r="G124" i="140" s="1"/>
  <c r="K124" i="140" s="1"/>
  <c r="I124" i="140"/>
  <c r="M123" i="140"/>
  <c r="P123" i="140" s="1"/>
  <c r="R123" i="140" s="1"/>
  <c r="I123" i="140"/>
  <c r="G123" i="140"/>
  <c r="K123" i="140" s="1"/>
  <c r="M122" i="140"/>
  <c r="I122" i="140"/>
  <c r="G122" i="140"/>
  <c r="K122" i="140" s="1"/>
  <c r="P112" i="140"/>
  <c r="R112" i="140" s="1"/>
  <c r="M112" i="140"/>
  <c r="G112" i="140" s="1"/>
  <c r="K112" i="140" s="1"/>
  <c r="I112" i="140"/>
  <c r="P111" i="140"/>
  <c r="M111" i="140"/>
  <c r="G111" i="140" s="1"/>
  <c r="K111" i="140" s="1"/>
  <c r="I111" i="140"/>
  <c r="M110" i="140"/>
  <c r="P110" i="140" s="1"/>
  <c r="R110" i="140" s="1"/>
  <c r="I110" i="140"/>
  <c r="G110" i="140"/>
  <c r="K110" i="140" s="1"/>
  <c r="M109" i="140"/>
  <c r="I109" i="140"/>
  <c r="G109" i="140"/>
  <c r="K109" i="140" s="1"/>
  <c r="P108" i="140"/>
  <c r="R108" i="140" s="1"/>
  <c r="M108" i="140"/>
  <c r="G108" i="140" s="1"/>
  <c r="K108" i="140" s="1"/>
  <c r="I108" i="140"/>
  <c r="P107" i="140"/>
  <c r="M107" i="140"/>
  <c r="G107" i="140" s="1"/>
  <c r="K107" i="140" s="1"/>
  <c r="I107" i="140"/>
  <c r="M103" i="140"/>
  <c r="P103" i="140" s="1"/>
  <c r="R103" i="140" s="1"/>
  <c r="I103" i="140"/>
  <c r="G103" i="140"/>
  <c r="K103" i="140" s="1"/>
  <c r="M102" i="140"/>
  <c r="I102" i="140"/>
  <c r="G102" i="140"/>
  <c r="K102" i="140" s="1"/>
  <c r="P101" i="140"/>
  <c r="R101" i="140" s="1"/>
  <c r="M101" i="140"/>
  <c r="G101" i="140" s="1"/>
  <c r="K101" i="140" s="1"/>
  <c r="I101" i="140"/>
  <c r="P99" i="140"/>
  <c r="M99" i="140"/>
  <c r="G99" i="140" s="1"/>
  <c r="K99" i="140" s="1"/>
  <c r="I99" i="140"/>
  <c r="M98" i="140"/>
  <c r="P98" i="140" s="1"/>
  <c r="R98" i="140" s="1"/>
  <c r="I98" i="140"/>
  <c r="G98" i="140"/>
  <c r="K98" i="140" s="1"/>
  <c r="E98" i="140"/>
  <c r="P97" i="140"/>
  <c r="R97" i="140" s="1"/>
  <c r="M97" i="140"/>
  <c r="I97" i="140"/>
  <c r="G97" i="140"/>
  <c r="K97" i="140" s="1"/>
  <c r="R96" i="140"/>
  <c r="P96" i="140"/>
  <c r="M96" i="140"/>
  <c r="K96" i="140"/>
  <c r="I96" i="140"/>
  <c r="G96" i="140"/>
  <c r="M95" i="140"/>
  <c r="G95" i="140" s="1"/>
  <c r="K95" i="140" s="1"/>
  <c r="I95" i="140"/>
  <c r="M94" i="140"/>
  <c r="G94" i="140" s="1"/>
  <c r="K94" i="140" s="1"/>
  <c r="I94" i="140"/>
  <c r="P83" i="140"/>
  <c r="M83" i="140"/>
  <c r="R83" i="140" s="1"/>
  <c r="I83" i="140"/>
  <c r="G83" i="140"/>
  <c r="K83" i="140" s="1"/>
  <c r="R82" i="140"/>
  <c r="P82" i="140"/>
  <c r="M82" i="140"/>
  <c r="K82" i="140"/>
  <c r="I82" i="140"/>
  <c r="G82" i="140"/>
  <c r="M81" i="140"/>
  <c r="I81" i="140"/>
  <c r="M80" i="140"/>
  <c r="G80" i="140" s="1"/>
  <c r="K80" i="140" s="1"/>
  <c r="I80" i="140"/>
  <c r="P79" i="140"/>
  <c r="M79" i="140"/>
  <c r="R79" i="140" s="1"/>
  <c r="I79" i="140"/>
  <c r="G79" i="140"/>
  <c r="K79" i="140" s="1"/>
  <c r="R78" i="140"/>
  <c r="P78" i="140"/>
  <c r="M78" i="140"/>
  <c r="K78" i="140"/>
  <c r="I78" i="140"/>
  <c r="G78" i="140"/>
  <c r="M74" i="140"/>
  <c r="G74" i="140" s="1"/>
  <c r="K74" i="140" s="1"/>
  <c r="I74" i="140"/>
  <c r="M73" i="140"/>
  <c r="G73" i="140" s="1"/>
  <c r="K73" i="140" s="1"/>
  <c r="I73" i="140"/>
  <c r="P72" i="140"/>
  <c r="M72" i="140"/>
  <c r="R72" i="140" s="1"/>
  <c r="I72" i="140"/>
  <c r="G72" i="140"/>
  <c r="K72" i="140" s="1"/>
  <c r="R70" i="140"/>
  <c r="P70" i="140"/>
  <c r="M70" i="140"/>
  <c r="K70" i="140"/>
  <c r="I70" i="140"/>
  <c r="G70" i="140"/>
  <c r="M69" i="140"/>
  <c r="G69" i="140" s="1"/>
  <c r="I69" i="140"/>
  <c r="M68" i="140"/>
  <c r="G68" i="140" s="1"/>
  <c r="K68" i="140" s="1"/>
  <c r="I68" i="140"/>
  <c r="M67" i="140"/>
  <c r="P67" i="140" s="1"/>
  <c r="R67" i="140" s="1"/>
  <c r="I67" i="140"/>
  <c r="G67" i="140"/>
  <c r="K67" i="140" s="1"/>
  <c r="M66" i="140"/>
  <c r="I66" i="140"/>
  <c r="G66" i="140"/>
  <c r="K66" i="140" s="1"/>
  <c r="P65" i="140"/>
  <c r="R65" i="140" s="1"/>
  <c r="M65" i="140"/>
  <c r="G65" i="140" s="1"/>
  <c r="K65" i="140" s="1"/>
  <c r="I65" i="140"/>
  <c r="M34" i="140"/>
  <c r="G34" i="140" s="1"/>
  <c r="K34" i="140" s="1"/>
  <c r="I34" i="140"/>
  <c r="M33" i="140"/>
  <c r="P33" i="140" s="1"/>
  <c r="R33" i="140" s="1"/>
  <c r="I33" i="140"/>
  <c r="G33" i="140"/>
  <c r="K33" i="140" s="1"/>
  <c r="M32" i="140"/>
  <c r="I32" i="140"/>
  <c r="G32" i="140"/>
  <c r="K32" i="140" s="1"/>
  <c r="P31" i="140"/>
  <c r="R31" i="140" s="1"/>
  <c r="M31" i="140"/>
  <c r="G31" i="140" s="1"/>
  <c r="K31" i="140" s="1"/>
  <c r="I31" i="140"/>
  <c r="M30" i="140"/>
  <c r="G30" i="140" s="1"/>
  <c r="K30" i="140" s="1"/>
  <c r="I30" i="140"/>
  <c r="M29" i="140"/>
  <c r="P29" i="140" s="1"/>
  <c r="R29" i="140" s="1"/>
  <c r="I29" i="140"/>
  <c r="G29" i="140"/>
  <c r="K29" i="140" s="1"/>
  <c r="M25" i="140"/>
  <c r="I25" i="140"/>
  <c r="G25" i="140"/>
  <c r="K25" i="140" s="1"/>
  <c r="P24" i="140"/>
  <c r="R24" i="140" s="1"/>
  <c r="M24" i="140"/>
  <c r="G24" i="140" s="1"/>
  <c r="K24" i="140" s="1"/>
  <c r="I24" i="140"/>
  <c r="M23" i="140"/>
  <c r="G23" i="140" s="1"/>
  <c r="K23" i="140" s="1"/>
  <c r="I23" i="140"/>
  <c r="M21" i="140"/>
  <c r="P21" i="140" s="1"/>
  <c r="R21" i="140" s="1"/>
  <c r="I21" i="140"/>
  <c r="G21" i="140"/>
  <c r="K21" i="140" s="1"/>
  <c r="E20" i="140"/>
  <c r="M20" i="140" s="1"/>
  <c r="E19" i="140"/>
  <c r="M19" i="140" s="1"/>
  <c r="P18" i="140"/>
  <c r="R18" i="140" s="1"/>
  <c r="M18" i="140"/>
  <c r="G18" i="140" s="1"/>
  <c r="K18" i="140" s="1"/>
  <c r="I18" i="140"/>
  <c r="M17" i="140"/>
  <c r="G17" i="140" s="1"/>
  <c r="K17" i="140" s="1"/>
  <c r="I17" i="140"/>
  <c r="M16" i="140"/>
  <c r="P16" i="140" s="1"/>
  <c r="R16" i="140" s="1"/>
  <c r="I16" i="140"/>
  <c r="G16" i="140"/>
  <c r="K16" i="140" s="1"/>
  <c r="F39" i="139"/>
  <c r="J39" i="139" s="1"/>
  <c r="F38" i="139"/>
  <c r="H38" i="139" s="1"/>
  <c r="F37" i="139"/>
  <c r="J37" i="139" s="1"/>
  <c r="F36" i="139"/>
  <c r="N36" i="139" s="1"/>
  <c r="F35" i="139"/>
  <c r="N35" i="139" s="1"/>
  <c r="F34" i="139"/>
  <c r="N34" i="139" s="1"/>
  <c r="F33" i="139"/>
  <c r="N33" i="139" s="1"/>
  <c r="F32" i="139"/>
  <c r="F31" i="139"/>
  <c r="J31" i="139" s="1"/>
  <c r="F30" i="139"/>
  <c r="H30" i="139" s="1"/>
  <c r="F29" i="139"/>
  <c r="N29" i="139" s="1"/>
  <c r="F28" i="139"/>
  <c r="J28" i="139" s="1"/>
  <c r="F27" i="139"/>
  <c r="N27" i="139" s="1"/>
  <c r="F26" i="139"/>
  <c r="J26" i="139" s="1"/>
  <c r="F25" i="139"/>
  <c r="N25" i="139" s="1"/>
  <c r="F24" i="139"/>
  <c r="F23" i="139"/>
  <c r="J23" i="139" s="1"/>
  <c r="F22" i="139"/>
  <c r="H22" i="139" s="1"/>
  <c r="F21" i="139"/>
  <c r="N21" i="139" s="1"/>
  <c r="F20" i="139"/>
  <c r="N20" i="139" s="1"/>
  <c r="H11" i="139"/>
  <c r="C11" i="139"/>
  <c r="D10" i="139"/>
  <c r="C10" i="139"/>
  <c r="G106" i="135"/>
  <c r="AZ28" i="138"/>
  <c r="BI28" i="138" s="1"/>
  <c r="AX28" i="138"/>
  <c r="AZ26" i="138"/>
  <c r="BI26" i="138" s="1"/>
  <c r="AZ24" i="138"/>
  <c r="BA24" i="138" s="1"/>
  <c r="AK24" i="138"/>
  <c r="P24" i="138"/>
  <c r="AV23" i="138"/>
  <c r="AZ22" i="138"/>
  <c r="BI22" i="138" s="1"/>
  <c r="AX22" i="138"/>
  <c r="AP22" i="138"/>
  <c r="AN22" i="138"/>
  <c r="AI22" i="138"/>
  <c r="AG22" i="138"/>
  <c r="Q22" i="138"/>
  <c r="E22" i="138"/>
  <c r="C22" i="138"/>
  <c r="P22" i="138" s="1"/>
  <c r="R22" i="138" s="1"/>
  <c r="AV21" i="138"/>
  <c r="BE20" i="138"/>
  <c r="AV20" i="138"/>
  <c r="AQ20" i="138"/>
  <c r="P20" i="138"/>
  <c r="N20" i="138"/>
  <c r="AV19" i="138"/>
  <c r="AV18" i="138"/>
  <c r="AZ17" i="138"/>
  <c r="BI17" i="138" s="1"/>
  <c r="AX17" i="138"/>
  <c r="AP17" i="138"/>
  <c r="AN17" i="138"/>
  <c r="AM17" i="138" s="1"/>
  <c r="AI17" i="138"/>
  <c r="AG17" i="138"/>
  <c r="AC17" i="138"/>
  <c r="AA17" i="138"/>
  <c r="W17" i="138"/>
  <c r="U17" i="138"/>
  <c r="Q17" i="138"/>
  <c r="E17" i="138"/>
  <c r="C17" i="138"/>
  <c r="P17" i="138" s="1"/>
  <c r="AV16" i="138"/>
  <c r="AM16" i="138"/>
  <c r="AV15" i="138"/>
  <c r="AM15" i="138"/>
  <c r="AZ14" i="138"/>
  <c r="BI14" i="138" s="1"/>
  <c r="AX14" i="138"/>
  <c r="AP14" i="138"/>
  <c r="AN14" i="138"/>
  <c r="AM14" i="138"/>
  <c r="AI14" i="138"/>
  <c r="AG14" i="138"/>
  <c r="AC14" i="138"/>
  <c r="AA14" i="138"/>
  <c r="W14" i="138"/>
  <c r="U14" i="138"/>
  <c r="Q14" i="138"/>
  <c r="E14" i="138"/>
  <c r="C14" i="138"/>
  <c r="P14" i="138" s="1"/>
  <c r="AV13" i="138"/>
  <c r="AM13" i="138"/>
  <c r="AV12" i="138"/>
  <c r="AM12" i="138"/>
  <c r="AZ11" i="138"/>
  <c r="BI11" i="138" s="1"/>
  <c r="AX11" i="138"/>
  <c r="AP11" i="138"/>
  <c r="AN11" i="138"/>
  <c r="AI11" i="138"/>
  <c r="AG11" i="138"/>
  <c r="AC11" i="138"/>
  <c r="AA11" i="138"/>
  <c r="W11" i="138"/>
  <c r="U11" i="138"/>
  <c r="Q11" i="138"/>
  <c r="E11" i="138"/>
  <c r="C11" i="138"/>
  <c r="P11" i="138" s="1"/>
  <c r="AV10" i="138"/>
  <c r="AM10" i="138"/>
  <c r="AV9" i="138"/>
  <c r="AM9" i="138"/>
  <c r="AZ8" i="138"/>
  <c r="BI8" i="138" s="1"/>
  <c r="AX8" i="138"/>
  <c r="AP8" i="138"/>
  <c r="AN8" i="138"/>
  <c r="AM8" i="138" s="1"/>
  <c r="AI8" i="138"/>
  <c r="AG8" i="138"/>
  <c r="AC8" i="138"/>
  <c r="AA8" i="138"/>
  <c r="W8" i="138"/>
  <c r="U8" i="138"/>
  <c r="Q8" i="138"/>
  <c r="E8" i="138"/>
  <c r="C8" i="138"/>
  <c r="P8" i="138" s="1"/>
  <c r="AV7" i="138"/>
  <c r="AM7" i="138"/>
  <c r="AV6" i="138"/>
  <c r="AM6" i="138"/>
  <c r="AZ5" i="138"/>
  <c r="BI5" i="138" s="1"/>
  <c r="AX5" i="138"/>
  <c r="AP5" i="138"/>
  <c r="AN5" i="138"/>
  <c r="AM5" i="138" s="1"/>
  <c r="AI5" i="138"/>
  <c r="AG5" i="138"/>
  <c r="AC5" i="138"/>
  <c r="AA5" i="138"/>
  <c r="W5" i="138"/>
  <c r="U5" i="138"/>
  <c r="Q5" i="138"/>
  <c r="E5" i="138"/>
  <c r="C5" i="138"/>
  <c r="S106" i="121"/>
  <c r="N27" i="148" s="1"/>
  <c r="D4" i="118"/>
  <c r="AJ11" i="138" l="1"/>
  <c r="AK11" i="138" s="1"/>
  <c r="H25" i="139"/>
  <c r="H37" i="139"/>
  <c r="N22" i="139"/>
  <c r="R22" i="139" s="1"/>
  <c r="T22" i="139" s="1"/>
  <c r="J29" i="139"/>
  <c r="J22" i="139"/>
  <c r="L22" i="139" s="1"/>
  <c r="N37" i="139"/>
  <c r="R37" i="139" s="1"/>
  <c r="J20" i="139"/>
  <c r="F40" i="139"/>
  <c r="F45" i="139" s="1"/>
  <c r="F43" i="139"/>
  <c r="J43" i="139" s="1"/>
  <c r="N28" i="139"/>
  <c r="R28" i="139" s="1"/>
  <c r="T28" i="139" s="1"/>
  <c r="H35" i="139"/>
  <c r="N24" i="139"/>
  <c r="R24" i="139" s="1"/>
  <c r="T24" i="139" s="1"/>
  <c r="J30" i="139"/>
  <c r="N23" i="139"/>
  <c r="R23" i="139" s="1"/>
  <c r="H27" i="139"/>
  <c r="H29" i="139"/>
  <c r="N30" i="139"/>
  <c r="R30" i="139" s="1"/>
  <c r="T30" i="139" s="1"/>
  <c r="L37" i="139"/>
  <c r="K153" i="140"/>
  <c r="P153" i="140"/>
  <c r="AJ5" i="138"/>
  <c r="R8" i="138"/>
  <c r="BI24" i="138"/>
  <c r="R11" i="138"/>
  <c r="R17" i="138"/>
  <c r="AJ8" i="138"/>
  <c r="AK8" i="138" s="1"/>
  <c r="AJ22" i="138"/>
  <c r="AK22" i="138" s="1"/>
  <c r="R21" i="139"/>
  <c r="T21" i="139" s="1"/>
  <c r="R29" i="139"/>
  <c r="T29" i="139" s="1"/>
  <c r="H21" i="139"/>
  <c r="J36" i="139"/>
  <c r="J38" i="139"/>
  <c r="L38" i="139" s="1"/>
  <c r="J21" i="139"/>
  <c r="N38" i="139"/>
  <c r="R38" i="139" s="1"/>
  <c r="T38" i="139" s="1"/>
  <c r="N31" i="139"/>
  <c r="L30" i="139"/>
  <c r="H33" i="139"/>
  <c r="N39" i="139"/>
  <c r="P172" i="140"/>
  <c r="R172" i="140" s="1"/>
  <c r="G172" i="140"/>
  <c r="K172" i="140" s="1"/>
  <c r="K69" i="140"/>
  <c r="P20" i="140"/>
  <c r="R20" i="140" s="1"/>
  <c r="G20" i="140"/>
  <c r="R66" i="140"/>
  <c r="P19" i="140"/>
  <c r="R19" i="140"/>
  <c r="G19" i="140"/>
  <c r="K19" i="140" s="1"/>
  <c r="R25" i="140"/>
  <c r="P126" i="140"/>
  <c r="R126" i="140"/>
  <c r="G126" i="140"/>
  <c r="R167" i="140"/>
  <c r="P81" i="140"/>
  <c r="R81" i="140" s="1"/>
  <c r="P95" i="140"/>
  <c r="R95" i="140" s="1"/>
  <c r="P130" i="140"/>
  <c r="R130" i="140" s="1"/>
  <c r="P137" i="140"/>
  <c r="P149" i="140"/>
  <c r="R137" i="140"/>
  <c r="R149" i="140"/>
  <c r="R17" i="140"/>
  <c r="I20" i="140"/>
  <c r="R68" i="140"/>
  <c r="P73" i="140"/>
  <c r="P80" i="140"/>
  <c r="R80" i="140" s="1"/>
  <c r="P94" i="140"/>
  <c r="R94" i="140" s="1"/>
  <c r="R99" i="140"/>
  <c r="R107" i="140"/>
  <c r="R111" i="140"/>
  <c r="R124" i="140"/>
  <c r="P129" i="140"/>
  <c r="R129" i="140" s="1"/>
  <c r="P136" i="140"/>
  <c r="R136" i="140" s="1"/>
  <c r="P140" i="140"/>
  <c r="R140" i="140" s="1"/>
  <c r="P152" i="140"/>
  <c r="R152" i="140" s="1"/>
  <c r="R153" i="140"/>
  <c r="R158" i="140"/>
  <c r="R165" i="140"/>
  <c r="P69" i="140"/>
  <c r="P34" i="140"/>
  <c r="R34" i="140" s="1"/>
  <c r="I19" i="140"/>
  <c r="K20" i="140"/>
  <c r="R73" i="140"/>
  <c r="I126" i="140"/>
  <c r="K126" i="140" s="1"/>
  <c r="P164" i="140"/>
  <c r="R164" i="140" s="1"/>
  <c r="P74" i="140"/>
  <c r="R74" i="140" s="1"/>
  <c r="P68" i="140"/>
  <c r="P17" i="140"/>
  <c r="P23" i="140"/>
  <c r="R23" i="140" s="1"/>
  <c r="P30" i="140"/>
  <c r="R30" i="140" s="1"/>
  <c r="R69" i="140"/>
  <c r="G81" i="140"/>
  <c r="K81" i="140" s="1"/>
  <c r="P25" i="140"/>
  <c r="P32" i="140"/>
  <c r="R32" i="140" s="1"/>
  <c r="P66" i="140"/>
  <c r="P102" i="140"/>
  <c r="R102" i="140" s="1"/>
  <c r="P109" i="140"/>
  <c r="R109" i="140" s="1"/>
  <c r="P122" i="140"/>
  <c r="R122" i="140" s="1"/>
  <c r="P156" i="140"/>
  <c r="R156" i="140" s="1"/>
  <c r="P163" i="140"/>
  <c r="R163" i="140" s="1"/>
  <c r="P167" i="140"/>
  <c r="R20" i="139"/>
  <c r="T20" i="139" s="1"/>
  <c r="R25" i="139"/>
  <c r="T25" i="139" s="1"/>
  <c r="R35" i="139"/>
  <c r="T35" i="139" s="1"/>
  <c r="R36" i="139"/>
  <c r="T36" i="139" s="1"/>
  <c r="R27" i="139"/>
  <c r="T27" i="139" s="1"/>
  <c r="R33" i="139"/>
  <c r="T33" i="139" s="1"/>
  <c r="R34" i="139"/>
  <c r="T34" i="139" s="1"/>
  <c r="N32" i="139"/>
  <c r="F41" i="139"/>
  <c r="H20" i="139"/>
  <c r="H28" i="139"/>
  <c r="L28" i="139" s="1"/>
  <c r="H36" i="139"/>
  <c r="H26" i="139"/>
  <c r="L26" i="139" s="1"/>
  <c r="J27" i="139"/>
  <c r="H34" i="139"/>
  <c r="J35" i="139"/>
  <c r="J34" i="139"/>
  <c r="H24" i="139"/>
  <c r="J25" i="139"/>
  <c r="L25" i="139" s="1"/>
  <c r="H32" i="139"/>
  <c r="J33" i="139"/>
  <c r="H23" i="139"/>
  <c r="L23" i="139" s="1"/>
  <c r="J24" i="139"/>
  <c r="N26" i="139"/>
  <c r="H31" i="139"/>
  <c r="L31" i="139" s="1"/>
  <c r="J32" i="139"/>
  <c r="H39" i="139"/>
  <c r="L39" i="139" s="1"/>
  <c r="R14" i="138"/>
  <c r="AJ17" i="138"/>
  <c r="AK17" i="138" s="1"/>
  <c r="AJ14" i="138"/>
  <c r="AK14" i="138" s="1"/>
  <c r="AK5" i="138"/>
  <c r="P5" i="138"/>
  <c r="R5" i="138" s="1"/>
  <c r="AM11" i="138"/>
  <c r="L174" i="137"/>
  <c r="L164" i="137"/>
  <c r="L144" i="137"/>
  <c r="L134" i="137"/>
  <c r="L124" i="137"/>
  <c r="L114" i="137"/>
  <c r="L104" i="137"/>
  <c r="L94" i="137"/>
  <c r="L84" i="137"/>
  <c r="L74" i="137"/>
  <c r="L64" i="137"/>
  <c r="L54" i="137"/>
  <c r="L44" i="137"/>
  <c r="L4" i="137"/>
  <c r="L14" i="137"/>
  <c r="L24" i="137"/>
  <c r="L34" i="137"/>
  <c r="B181" i="137"/>
  <c r="B179" i="137"/>
  <c r="B177" i="137"/>
  <c r="B176" i="137"/>
  <c r="D175" i="137"/>
  <c r="B175" i="137"/>
  <c r="B174" i="137"/>
  <c r="B171" i="137"/>
  <c r="B169" i="137"/>
  <c r="B167" i="137"/>
  <c r="B166" i="137"/>
  <c r="D165" i="137"/>
  <c r="B165" i="137"/>
  <c r="B164" i="137"/>
  <c r="B161" i="137"/>
  <c r="B159" i="137"/>
  <c r="B157" i="137"/>
  <c r="B156" i="137"/>
  <c r="D155" i="137"/>
  <c r="B155" i="137"/>
  <c r="B154" i="137"/>
  <c r="B151" i="137"/>
  <c r="B149" i="137"/>
  <c r="B147" i="137"/>
  <c r="B146" i="137"/>
  <c r="D145" i="137"/>
  <c r="B145" i="137"/>
  <c r="B144" i="137"/>
  <c r="B141" i="137"/>
  <c r="B139" i="137"/>
  <c r="B137" i="137"/>
  <c r="B136" i="137"/>
  <c r="D135" i="137"/>
  <c r="B135" i="137"/>
  <c r="B134" i="137"/>
  <c r="B131" i="137"/>
  <c r="B129" i="137"/>
  <c r="B127" i="137"/>
  <c r="B126" i="137"/>
  <c r="D125" i="137"/>
  <c r="B125" i="137"/>
  <c r="B124" i="137"/>
  <c r="B121" i="137"/>
  <c r="B119" i="137"/>
  <c r="B117" i="137"/>
  <c r="B116" i="137"/>
  <c r="D115" i="137"/>
  <c r="B115" i="137"/>
  <c r="B114" i="137"/>
  <c r="B111" i="137"/>
  <c r="B109" i="137"/>
  <c r="B107" i="137"/>
  <c r="B106" i="137"/>
  <c r="D105" i="137"/>
  <c r="B105" i="137"/>
  <c r="B104" i="137"/>
  <c r="B101" i="137"/>
  <c r="B99" i="137"/>
  <c r="B97" i="137"/>
  <c r="B96" i="137"/>
  <c r="D95" i="137"/>
  <c r="B95" i="137"/>
  <c r="B94" i="137"/>
  <c r="B91" i="137"/>
  <c r="B89" i="137"/>
  <c r="B87" i="137"/>
  <c r="B86" i="137"/>
  <c r="D85" i="137"/>
  <c r="B85" i="137"/>
  <c r="B84" i="137"/>
  <c r="B81" i="137"/>
  <c r="B79" i="137"/>
  <c r="B77" i="137"/>
  <c r="B76" i="137"/>
  <c r="D75" i="137"/>
  <c r="B75" i="137"/>
  <c r="B74" i="137"/>
  <c r="B71" i="137"/>
  <c r="B69" i="137"/>
  <c r="B67" i="137"/>
  <c r="B66" i="137"/>
  <c r="D65" i="137"/>
  <c r="B65" i="137"/>
  <c r="B64" i="137"/>
  <c r="B61" i="137"/>
  <c r="B59" i="137"/>
  <c r="B57" i="137"/>
  <c r="B56" i="137"/>
  <c r="D55" i="137"/>
  <c r="B55" i="137"/>
  <c r="B54" i="137"/>
  <c r="B51" i="137"/>
  <c r="B49" i="137"/>
  <c r="B47" i="137"/>
  <c r="B46" i="137"/>
  <c r="D45" i="137"/>
  <c r="B45" i="137"/>
  <c r="B44" i="137"/>
  <c r="B41" i="137"/>
  <c r="B39" i="137"/>
  <c r="B37" i="137"/>
  <c r="B36" i="137"/>
  <c r="D35" i="137"/>
  <c r="B35" i="137"/>
  <c r="B34" i="137"/>
  <c r="B31" i="137"/>
  <c r="B29" i="137"/>
  <c r="B27" i="137"/>
  <c r="B26" i="137"/>
  <c r="D25" i="137"/>
  <c r="B25" i="137"/>
  <c r="B24" i="137"/>
  <c r="B21" i="137"/>
  <c r="B19" i="137"/>
  <c r="B17" i="137"/>
  <c r="B16" i="137"/>
  <c r="D15" i="137"/>
  <c r="B15" i="137"/>
  <c r="B14" i="137"/>
  <c r="B11" i="137"/>
  <c r="B9" i="137"/>
  <c r="B7" i="137"/>
  <c r="B6" i="137"/>
  <c r="B5" i="137"/>
  <c r="B4" i="137"/>
  <c r="L34" i="139" l="1"/>
  <c r="L29" i="139"/>
  <c r="F47" i="139"/>
  <c r="H45" i="139"/>
  <c r="L20" i="139"/>
  <c r="L36" i="139"/>
  <c r="L27" i="139"/>
  <c r="L33" i="139"/>
  <c r="L35" i="139"/>
  <c r="T37" i="139"/>
  <c r="T23" i="139"/>
  <c r="J45" i="139"/>
  <c r="L21" i="139"/>
  <c r="L24" i="139"/>
  <c r="R31" i="139"/>
  <c r="T31" i="139" s="1"/>
  <c r="L32" i="139"/>
  <c r="R39" i="139"/>
  <c r="T39" i="139" s="1"/>
  <c r="H43" i="139"/>
  <c r="R32" i="139"/>
  <c r="T32" i="139" s="1"/>
  <c r="J40" i="139"/>
  <c r="H40" i="139"/>
  <c r="R26" i="139"/>
  <c r="T26" i="139" s="1"/>
  <c r="J41" i="139"/>
  <c r="H41" i="139"/>
  <c r="E48" i="136"/>
  <c r="D48" i="136"/>
  <c r="F42" i="136"/>
  <c r="R29" i="136"/>
  <c r="R25" i="136"/>
  <c r="M25" i="136"/>
  <c r="G23" i="136"/>
  <c r="C6" i="146" s="1"/>
  <c r="F23" i="136"/>
  <c r="C5" i="146" s="1"/>
  <c r="Q21" i="136"/>
  <c r="N21" i="136"/>
  <c r="M21" i="136"/>
  <c r="J21" i="136"/>
  <c r="I21" i="136"/>
  <c r="H21" i="136"/>
  <c r="Q20" i="136"/>
  <c r="N20" i="136"/>
  <c r="M20" i="136"/>
  <c r="J20" i="136"/>
  <c r="I20" i="136"/>
  <c r="H20" i="136"/>
  <c r="Q19" i="136"/>
  <c r="N19" i="136"/>
  <c r="M19" i="136"/>
  <c r="J19" i="136"/>
  <c r="I19" i="136"/>
  <c r="H19" i="136"/>
  <c r="Q18" i="136"/>
  <c r="N18" i="136"/>
  <c r="M18" i="136"/>
  <c r="J18" i="136"/>
  <c r="I18" i="136"/>
  <c r="H18" i="136"/>
  <c r="Q17" i="136"/>
  <c r="N17" i="136"/>
  <c r="M17" i="136"/>
  <c r="J17" i="136"/>
  <c r="I17" i="136"/>
  <c r="H17" i="136"/>
  <c r="Q16" i="136"/>
  <c r="N16" i="136"/>
  <c r="M16" i="136"/>
  <c r="J16" i="136"/>
  <c r="I16" i="136"/>
  <c r="H16" i="136"/>
  <c r="Q15" i="136"/>
  <c r="N15" i="136"/>
  <c r="M15" i="136"/>
  <c r="J15" i="136"/>
  <c r="I15" i="136"/>
  <c r="H15" i="136"/>
  <c r="Q14" i="136"/>
  <c r="N14" i="136"/>
  <c r="M14" i="136"/>
  <c r="J14" i="136"/>
  <c r="I14" i="136"/>
  <c r="H14" i="136"/>
  <c r="Q13" i="136"/>
  <c r="N13" i="136"/>
  <c r="M13" i="136"/>
  <c r="J13" i="136"/>
  <c r="I13" i="136"/>
  <c r="H13" i="136"/>
  <c r="Q12" i="136"/>
  <c r="N12" i="136"/>
  <c r="M12" i="136"/>
  <c r="J12" i="136"/>
  <c r="I12" i="136"/>
  <c r="H12" i="136"/>
  <c r="Q11" i="136"/>
  <c r="N11" i="136"/>
  <c r="M11" i="136"/>
  <c r="J11" i="136"/>
  <c r="I11" i="136"/>
  <c r="H11" i="136"/>
  <c r="Q10" i="136"/>
  <c r="N10" i="136"/>
  <c r="M10" i="136"/>
  <c r="J10" i="136"/>
  <c r="I10" i="136"/>
  <c r="H10" i="136"/>
  <c r="Q9" i="136"/>
  <c r="N9" i="136"/>
  <c r="M9" i="136"/>
  <c r="J9" i="136"/>
  <c r="I9" i="136"/>
  <c r="H9" i="136"/>
  <c r="Q8" i="136"/>
  <c r="N8" i="136"/>
  <c r="M8" i="136"/>
  <c r="J8" i="136"/>
  <c r="I8" i="136"/>
  <c r="H8" i="136"/>
  <c r="Q7" i="136"/>
  <c r="N7" i="136"/>
  <c r="M7" i="136"/>
  <c r="J7" i="136"/>
  <c r="I7" i="136"/>
  <c r="H7" i="136"/>
  <c r="Q6" i="136"/>
  <c r="N6" i="136"/>
  <c r="M6" i="136"/>
  <c r="J6" i="136"/>
  <c r="I6" i="136"/>
  <c r="H6" i="136"/>
  <c r="Q5" i="136"/>
  <c r="N5" i="136"/>
  <c r="M5" i="136"/>
  <c r="J5" i="136"/>
  <c r="I5" i="136"/>
  <c r="H5" i="136"/>
  <c r="Q4" i="136"/>
  <c r="N4" i="136"/>
  <c r="M4" i="136"/>
  <c r="J4" i="136"/>
  <c r="I4" i="136"/>
  <c r="H4" i="136"/>
  <c r="AQ129" i="135"/>
  <c r="AP129" i="135"/>
  <c r="AM129" i="135"/>
  <c r="Y129" i="135"/>
  <c r="S129" i="135"/>
  <c r="AQ128" i="135"/>
  <c r="AP128" i="135"/>
  <c r="AM128" i="135"/>
  <c r="Y128" i="135"/>
  <c r="S128" i="135"/>
  <c r="AQ127" i="135"/>
  <c r="AP127" i="135"/>
  <c r="AM127" i="135"/>
  <c r="Y127" i="135"/>
  <c r="S127" i="135"/>
  <c r="AQ126" i="135"/>
  <c r="AP126" i="135"/>
  <c r="AM126" i="135"/>
  <c r="Y126" i="135"/>
  <c r="S126" i="135"/>
  <c r="AQ125" i="135"/>
  <c r="AP125" i="135"/>
  <c r="AM125" i="135"/>
  <c r="Y125" i="135"/>
  <c r="S125" i="135"/>
  <c r="AQ124" i="135"/>
  <c r="AP124" i="135"/>
  <c r="AM124" i="135"/>
  <c r="Y124" i="135"/>
  <c r="S124" i="135"/>
  <c r="AQ123" i="135"/>
  <c r="AP123" i="135"/>
  <c r="AM123" i="135"/>
  <c r="Y123" i="135"/>
  <c r="S123" i="135"/>
  <c r="AQ122" i="135"/>
  <c r="AP122" i="135"/>
  <c r="AM122" i="135"/>
  <c r="Y122" i="135"/>
  <c r="S122" i="135"/>
  <c r="AQ121" i="135"/>
  <c r="AP121" i="135"/>
  <c r="AM121" i="135"/>
  <c r="Y121" i="135"/>
  <c r="S121" i="135"/>
  <c r="AQ120" i="135"/>
  <c r="AP120" i="135"/>
  <c r="AM120" i="135"/>
  <c r="Y120" i="135"/>
  <c r="S120" i="135"/>
  <c r="AQ119" i="135"/>
  <c r="AP119" i="135"/>
  <c r="AM119" i="135"/>
  <c r="Y119" i="135"/>
  <c r="S119" i="135"/>
  <c r="AQ118" i="135"/>
  <c r="AP118" i="135"/>
  <c r="AM118" i="135"/>
  <c r="Y118" i="135"/>
  <c r="S118" i="135"/>
  <c r="AQ117" i="135"/>
  <c r="AP117" i="135"/>
  <c r="AM117" i="135"/>
  <c r="Y117" i="135"/>
  <c r="S117" i="135"/>
  <c r="AQ116" i="135"/>
  <c r="AP116" i="135"/>
  <c r="AM116" i="135"/>
  <c r="Y116" i="135"/>
  <c r="S116" i="135"/>
  <c r="AQ115" i="135"/>
  <c r="AP115" i="135"/>
  <c r="AM115" i="135"/>
  <c r="Y115" i="135"/>
  <c r="S115" i="135"/>
  <c r="AQ114" i="135"/>
  <c r="AP114" i="135"/>
  <c r="AM114" i="135"/>
  <c r="Y114" i="135"/>
  <c r="S114" i="135"/>
  <c r="AQ113" i="135"/>
  <c r="AP113" i="135"/>
  <c r="AM113" i="135"/>
  <c r="Y113" i="135"/>
  <c r="S113" i="135"/>
  <c r="AQ112" i="135"/>
  <c r="AP112" i="135"/>
  <c r="AM112" i="135"/>
  <c r="Y112" i="135"/>
  <c r="S112" i="135"/>
  <c r="O111" i="135"/>
  <c r="N111" i="135"/>
  <c r="L111" i="135"/>
  <c r="K111" i="135"/>
  <c r="H111" i="135"/>
  <c r="G111" i="135"/>
  <c r="E111" i="135"/>
  <c r="D111" i="135"/>
  <c r="P89" i="135"/>
  <c r="AE129" i="135" s="1"/>
  <c r="O89" i="135"/>
  <c r="J89" i="135"/>
  <c r="I89" i="135"/>
  <c r="H89" i="135"/>
  <c r="G89" i="135"/>
  <c r="F89" i="135"/>
  <c r="E89" i="135"/>
  <c r="D89" i="135"/>
  <c r="P88" i="135"/>
  <c r="AE128" i="135" s="1"/>
  <c r="O88" i="135"/>
  <c r="J88" i="135"/>
  <c r="I88" i="135"/>
  <c r="H88" i="135"/>
  <c r="G88" i="135"/>
  <c r="F88" i="135"/>
  <c r="M88" i="135" s="1"/>
  <c r="O128" i="135" s="1"/>
  <c r="E88" i="135"/>
  <c r="D88" i="135"/>
  <c r="P87" i="135"/>
  <c r="AE127" i="135" s="1"/>
  <c r="O87" i="135"/>
  <c r="J87" i="135"/>
  <c r="I87" i="135"/>
  <c r="H87" i="135"/>
  <c r="G87" i="135"/>
  <c r="F87" i="135"/>
  <c r="M87" i="135" s="1"/>
  <c r="O127" i="135" s="1"/>
  <c r="E87" i="135"/>
  <c r="D87" i="135"/>
  <c r="P86" i="135"/>
  <c r="AE126" i="135" s="1"/>
  <c r="O86" i="135"/>
  <c r="J86" i="135"/>
  <c r="I86" i="135"/>
  <c r="H86" i="135"/>
  <c r="G86" i="135"/>
  <c r="F86" i="135"/>
  <c r="M86" i="135" s="1"/>
  <c r="O126" i="135" s="1"/>
  <c r="E86" i="135"/>
  <c r="D86" i="135"/>
  <c r="P85" i="135"/>
  <c r="AE125" i="135" s="1"/>
  <c r="O85" i="135"/>
  <c r="J85" i="135"/>
  <c r="I85" i="135"/>
  <c r="H85" i="135"/>
  <c r="G85" i="135"/>
  <c r="F85" i="135"/>
  <c r="M85" i="135" s="1"/>
  <c r="O125" i="135" s="1"/>
  <c r="E85" i="135"/>
  <c r="D85" i="135"/>
  <c r="P84" i="135"/>
  <c r="AE124" i="135" s="1"/>
  <c r="O84" i="135"/>
  <c r="J84" i="135"/>
  <c r="I84" i="135"/>
  <c r="H84" i="135"/>
  <c r="G84" i="135"/>
  <c r="F84" i="135"/>
  <c r="M84" i="135" s="1"/>
  <c r="O124" i="135" s="1"/>
  <c r="E84" i="135"/>
  <c r="D84" i="135"/>
  <c r="P83" i="135"/>
  <c r="AE123" i="135" s="1"/>
  <c r="O83" i="135"/>
  <c r="J83" i="135"/>
  <c r="I83" i="135"/>
  <c r="H83" i="135"/>
  <c r="G83" i="135"/>
  <c r="F83" i="135"/>
  <c r="M83" i="135" s="1"/>
  <c r="O123" i="135" s="1"/>
  <c r="E83" i="135"/>
  <c r="D83" i="135"/>
  <c r="P82" i="135"/>
  <c r="AE122" i="135" s="1"/>
  <c r="O82" i="135"/>
  <c r="J82" i="135"/>
  <c r="I82" i="135"/>
  <c r="H82" i="135"/>
  <c r="G82" i="135"/>
  <c r="F82" i="135"/>
  <c r="M82" i="135" s="1"/>
  <c r="O122" i="135" s="1"/>
  <c r="E82" i="135"/>
  <c r="D82" i="135"/>
  <c r="P81" i="135"/>
  <c r="AE121" i="135" s="1"/>
  <c r="O81" i="135"/>
  <c r="J81" i="135"/>
  <c r="I81" i="135"/>
  <c r="H81" i="135"/>
  <c r="G81" i="135"/>
  <c r="F81" i="135"/>
  <c r="M81" i="135" s="1"/>
  <c r="O121" i="135" s="1"/>
  <c r="E81" i="135"/>
  <c r="D81" i="135"/>
  <c r="P80" i="135"/>
  <c r="AE120" i="135" s="1"/>
  <c r="O80" i="135"/>
  <c r="J80" i="135"/>
  <c r="I80" i="135"/>
  <c r="H80" i="135"/>
  <c r="G80" i="135"/>
  <c r="F80" i="135"/>
  <c r="M80" i="135" s="1"/>
  <c r="O120" i="135" s="1"/>
  <c r="E80" i="135"/>
  <c r="D80" i="135"/>
  <c r="P79" i="135"/>
  <c r="AE119" i="135" s="1"/>
  <c r="O79" i="135"/>
  <c r="J79" i="135"/>
  <c r="I79" i="135"/>
  <c r="H79" i="135"/>
  <c r="G79" i="135"/>
  <c r="F79" i="135"/>
  <c r="M79" i="135" s="1"/>
  <c r="O119" i="135" s="1"/>
  <c r="E79" i="135"/>
  <c r="D79" i="135"/>
  <c r="P78" i="135"/>
  <c r="AE118" i="135" s="1"/>
  <c r="O78" i="135"/>
  <c r="J78" i="135"/>
  <c r="I78" i="135"/>
  <c r="H78" i="135"/>
  <c r="G78" i="135"/>
  <c r="F78" i="135"/>
  <c r="M78" i="135" s="1"/>
  <c r="O118" i="135" s="1"/>
  <c r="E78" i="135"/>
  <c r="D78" i="135"/>
  <c r="P77" i="135"/>
  <c r="AE117" i="135" s="1"/>
  <c r="O77" i="135"/>
  <c r="J77" i="135"/>
  <c r="I77" i="135"/>
  <c r="H77" i="135"/>
  <c r="G77" i="135"/>
  <c r="F77" i="135"/>
  <c r="M77" i="135" s="1"/>
  <c r="O117" i="135" s="1"/>
  <c r="E77" i="135"/>
  <c r="D77" i="135"/>
  <c r="P76" i="135"/>
  <c r="AE116" i="135" s="1"/>
  <c r="O76" i="135"/>
  <c r="J76" i="135"/>
  <c r="I76" i="135"/>
  <c r="H76" i="135"/>
  <c r="G76" i="135"/>
  <c r="F76" i="135"/>
  <c r="M76" i="135" s="1"/>
  <c r="O116" i="135" s="1"/>
  <c r="E76" i="135"/>
  <c r="D76" i="135"/>
  <c r="P75" i="135"/>
  <c r="AE115" i="135" s="1"/>
  <c r="O75" i="135"/>
  <c r="J75" i="135"/>
  <c r="I75" i="135"/>
  <c r="H75" i="135"/>
  <c r="G75" i="135"/>
  <c r="F75" i="135"/>
  <c r="M75" i="135" s="1"/>
  <c r="O115" i="135" s="1"/>
  <c r="E75" i="135"/>
  <c r="D75" i="135"/>
  <c r="P74" i="135"/>
  <c r="AE114" i="135" s="1"/>
  <c r="O74" i="135"/>
  <c r="J74" i="135"/>
  <c r="I74" i="135"/>
  <c r="H74" i="135"/>
  <c r="G74" i="135"/>
  <c r="F74" i="135"/>
  <c r="M74" i="135" s="1"/>
  <c r="O114" i="135" s="1"/>
  <c r="E74" i="135"/>
  <c r="D74" i="135"/>
  <c r="P73" i="135"/>
  <c r="AE113" i="135" s="1"/>
  <c r="O73" i="135"/>
  <c r="J73" i="135"/>
  <c r="I73" i="135"/>
  <c r="H73" i="135"/>
  <c r="G73" i="135"/>
  <c r="F73" i="135"/>
  <c r="M73" i="135" s="1"/>
  <c r="O113" i="135" s="1"/>
  <c r="E73" i="135"/>
  <c r="D73" i="135"/>
  <c r="P72" i="135"/>
  <c r="AE112" i="135" s="1"/>
  <c r="O72" i="135"/>
  <c r="J72" i="135"/>
  <c r="I72" i="135"/>
  <c r="H72" i="135"/>
  <c r="G72" i="135"/>
  <c r="F72" i="135"/>
  <c r="M72" i="135" s="1"/>
  <c r="O112" i="135" s="1"/>
  <c r="E72" i="135"/>
  <c r="D72" i="135"/>
  <c r="P67" i="135"/>
  <c r="AB129" i="135" s="1"/>
  <c r="O67" i="135"/>
  <c r="J67" i="135"/>
  <c r="I67" i="135"/>
  <c r="H67" i="135"/>
  <c r="G67" i="135"/>
  <c r="F67" i="135"/>
  <c r="M67" i="135" s="1"/>
  <c r="L129" i="135" s="1"/>
  <c r="E67" i="135"/>
  <c r="D67" i="135"/>
  <c r="P66" i="135"/>
  <c r="AB128" i="135" s="1"/>
  <c r="O66" i="135"/>
  <c r="J66" i="135"/>
  <c r="I66" i="135"/>
  <c r="H66" i="135"/>
  <c r="G66" i="135"/>
  <c r="F66" i="135"/>
  <c r="M66" i="135" s="1"/>
  <c r="L128" i="135" s="1"/>
  <c r="E66" i="135"/>
  <c r="D66" i="135"/>
  <c r="P65" i="135"/>
  <c r="AB127" i="135" s="1"/>
  <c r="O65" i="135"/>
  <c r="J65" i="135"/>
  <c r="I65" i="135"/>
  <c r="H65" i="135"/>
  <c r="G65" i="135"/>
  <c r="F65" i="135"/>
  <c r="M65" i="135" s="1"/>
  <c r="L127" i="135" s="1"/>
  <c r="E65" i="135"/>
  <c r="D65" i="135"/>
  <c r="P64" i="135"/>
  <c r="AB126" i="135" s="1"/>
  <c r="O64" i="135"/>
  <c r="J64" i="135"/>
  <c r="I64" i="135"/>
  <c r="H64" i="135"/>
  <c r="G64" i="135"/>
  <c r="F64" i="135"/>
  <c r="M64" i="135" s="1"/>
  <c r="L126" i="135" s="1"/>
  <c r="E64" i="135"/>
  <c r="D64" i="135"/>
  <c r="P63" i="135"/>
  <c r="AB125" i="135" s="1"/>
  <c r="O63" i="135"/>
  <c r="J63" i="135"/>
  <c r="I63" i="135"/>
  <c r="H63" i="135"/>
  <c r="G63" i="135"/>
  <c r="F63" i="135"/>
  <c r="M63" i="135" s="1"/>
  <c r="L125" i="135" s="1"/>
  <c r="E63" i="135"/>
  <c r="D63" i="135"/>
  <c r="P62" i="135"/>
  <c r="AB124" i="135" s="1"/>
  <c r="O62" i="135"/>
  <c r="J62" i="135"/>
  <c r="I62" i="135"/>
  <c r="H62" i="135"/>
  <c r="G62" i="135"/>
  <c r="F62" i="135"/>
  <c r="M62" i="135" s="1"/>
  <c r="L124" i="135" s="1"/>
  <c r="E62" i="135"/>
  <c r="D62" i="135"/>
  <c r="P61" i="135"/>
  <c r="AB123" i="135" s="1"/>
  <c r="O61" i="135"/>
  <c r="J61" i="135"/>
  <c r="I61" i="135"/>
  <c r="H61" i="135"/>
  <c r="G61" i="135"/>
  <c r="F61" i="135"/>
  <c r="M61" i="135" s="1"/>
  <c r="L123" i="135" s="1"/>
  <c r="E61" i="135"/>
  <c r="D61" i="135"/>
  <c r="P60" i="135"/>
  <c r="AB122" i="135" s="1"/>
  <c r="O60" i="135"/>
  <c r="J60" i="135"/>
  <c r="I60" i="135"/>
  <c r="H60" i="135"/>
  <c r="G60" i="135"/>
  <c r="F60" i="135"/>
  <c r="M60" i="135" s="1"/>
  <c r="L122" i="135" s="1"/>
  <c r="E60" i="135"/>
  <c r="D60" i="135"/>
  <c r="P59" i="135"/>
  <c r="AB121" i="135" s="1"/>
  <c r="O59" i="135"/>
  <c r="J59" i="135"/>
  <c r="I59" i="135"/>
  <c r="H59" i="135"/>
  <c r="G59" i="135"/>
  <c r="F59" i="135"/>
  <c r="M59" i="135" s="1"/>
  <c r="L121" i="135" s="1"/>
  <c r="E59" i="135"/>
  <c r="D59" i="135"/>
  <c r="P58" i="135"/>
  <c r="AB120" i="135" s="1"/>
  <c r="O58" i="135"/>
  <c r="J58" i="135"/>
  <c r="I58" i="135"/>
  <c r="H58" i="135"/>
  <c r="G58" i="135"/>
  <c r="F58" i="135"/>
  <c r="M58" i="135" s="1"/>
  <c r="L120" i="135" s="1"/>
  <c r="E58" i="135"/>
  <c r="D58" i="135"/>
  <c r="P57" i="135"/>
  <c r="AB119" i="135" s="1"/>
  <c r="O57" i="135"/>
  <c r="J57" i="135"/>
  <c r="I57" i="135"/>
  <c r="H57" i="135"/>
  <c r="G57" i="135"/>
  <c r="F57" i="135"/>
  <c r="M57" i="135" s="1"/>
  <c r="L119" i="135" s="1"/>
  <c r="E57" i="135"/>
  <c r="D57" i="135"/>
  <c r="P56" i="135"/>
  <c r="AB118" i="135" s="1"/>
  <c r="O56" i="135"/>
  <c r="J56" i="135"/>
  <c r="I56" i="135"/>
  <c r="H56" i="135"/>
  <c r="G56" i="135"/>
  <c r="F56" i="135"/>
  <c r="M56" i="135" s="1"/>
  <c r="L118" i="135" s="1"/>
  <c r="E56" i="135"/>
  <c r="D56" i="135"/>
  <c r="P55" i="135"/>
  <c r="AB117" i="135" s="1"/>
  <c r="O55" i="135"/>
  <c r="J55" i="135"/>
  <c r="I55" i="135"/>
  <c r="H55" i="135"/>
  <c r="G55" i="135"/>
  <c r="F55" i="135"/>
  <c r="M55" i="135" s="1"/>
  <c r="L117" i="135" s="1"/>
  <c r="E55" i="135"/>
  <c r="D55" i="135"/>
  <c r="P54" i="135"/>
  <c r="AB116" i="135" s="1"/>
  <c r="O54" i="135"/>
  <c r="J54" i="135"/>
  <c r="I54" i="135"/>
  <c r="H54" i="135"/>
  <c r="G54" i="135"/>
  <c r="F54" i="135"/>
  <c r="M54" i="135" s="1"/>
  <c r="L116" i="135" s="1"/>
  <c r="E54" i="135"/>
  <c r="D54" i="135"/>
  <c r="P53" i="135"/>
  <c r="AB115" i="135" s="1"/>
  <c r="O53" i="135"/>
  <c r="J53" i="135"/>
  <c r="I53" i="135"/>
  <c r="H53" i="135"/>
  <c r="G53" i="135"/>
  <c r="F53" i="135"/>
  <c r="M53" i="135" s="1"/>
  <c r="L115" i="135" s="1"/>
  <c r="E53" i="135"/>
  <c r="D53" i="135"/>
  <c r="P52" i="135"/>
  <c r="AB114" i="135" s="1"/>
  <c r="O52" i="135"/>
  <c r="J52" i="135"/>
  <c r="I52" i="135"/>
  <c r="H52" i="135"/>
  <c r="G52" i="135"/>
  <c r="F52" i="135"/>
  <c r="M52" i="135" s="1"/>
  <c r="L114" i="135" s="1"/>
  <c r="E52" i="135"/>
  <c r="D52" i="135"/>
  <c r="P51" i="135"/>
  <c r="AB113" i="135" s="1"/>
  <c r="O51" i="135"/>
  <c r="J51" i="135"/>
  <c r="I51" i="135"/>
  <c r="H51" i="135"/>
  <c r="G51" i="135"/>
  <c r="F51" i="135"/>
  <c r="M51" i="135" s="1"/>
  <c r="L113" i="135" s="1"/>
  <c r="E51" i="135"/>
  <c r="D51" i="135"/>
  <c r="P50" i="135"/>
  <c r="AB112" i="135" s="1"/>
  <c r="O50" i="135"/>
  <c r="J50" i="135"/>
  <c r="I50" i="135"/>
  <c r="H50" i="135"/>
  <c r="G50" i="135"/>
  <c r="F50" i="135"/>
  <c r="M50" i="135" s="1"/>
  <c r="L112" i="135" s="1"/>
  <c r="E50" i="135"/>
  <c r="D50" i="135"/>
  <c r="P45" i="135"/>
  <c r="AD129" i="135" s="1"/>
  <c r="O45" i="135"/>
  <c r="W129" i="135" s="1"/>
  <c r="J45" i="135"/>
  <c r="I45" i="135"/>
  <c r="H45" i="135"/>
  <c r="G45" i="135"/>
  <c r="F45" i="135"/>
  <c r="M45" i="135" s="1"/>
  <c r="N129" i="135" s="1"/>
  <c r="E45" i="135"/>
  <c r="D45" i="135"/>
  <c r="P44" i="135"/>
  <c r="AD128" i="135" s="1"/>
  <c r="O44" i="135"/>
  <c r="W128" i="135" s="1"/>
  <c r="J44" i="135"/>
  <c r="I44" i="135"/>
  <c r="H44" i="135"/>
  <c r="G44" i="135"/>
  <c r="F44" i="135"/>
  <c r="M44" i="135" s="1"/>
  <c r="N128" i="135" s="1"/>
  <c r="E44" i="135"/>
  <c r="D44" i="135"/>
  <c r="P43" i="135"/>
  <c r="AD127" i="135" s="1"/>
  <c r="O43" i="135"/>
  <c r="W127" i="135" s="1"/>
  <c r="J43" i="135"/>
  <c r="I43" i="135"/>
  <c r="H43" i="135"/>
  <c r="G43" i="135"/>
  <c r="F43" i="135"/>
  <c r="M43" i="135" s="1"/>
  <c r="N127" i="135" s="1"/>
  <c r="E43" i="135"/>
  <c r="D43" i="135"/>
  <c r="P42" i="135"/>
  <c r="AD126" i="135" s="1"/>
  <c r="O42" i="135"/>
  <c r="W126" i="135" s="1"/>
  <c r="J42" i="135"/>
  <c r="I42" i="135"/>
  <c r="H42" i="135"/>
  <c r="G42" i="135"/>
  <c r="F42" i="135"/>
  <c r="M42" i="135" s="1"/>
  <c r="N126" i="135" s="1"/>
  <c r="E42" i="135"/>
  <c r="D42" i="135"/>
  <c r="P41" i="135"/>
  <c r="AD125" i="135" s="1"/>
  <c r="AF125" i="135" s="1"/>
  <c r="O41" i="135"/>
  <c r="W125" i="135" s="1"/>
  <c r="J41" i="135"/>
  <c r="I41" i="135"/>
  <c r="H41" i="135"/>
  <c r="G41" i="135"/>
  <c r="F41" i="135"/>
  <c r="M41" i="135" s="1"/>
  <c r="N125" i="135" s="1"/>
  <c r="E41" i="135"/>
  <c r="D41" i="135"/>
  <c r="P40" i="135"/>
  <c r="AD124" i="135" s="1"/>
  <c r="O40" i="135"/>
  <c r="W124" i="135" s="1"/>
  <c r="J40" i="135"/>
  <c r="I40" i="135"/>
  <c r="H40" i="135"/>
  <c r="G40" i="135"/>
  <c r="F40" i="135"/>
  <c r="M40" i="135" s="1"/>
  <c r="N124" i="135" s="1"/>
  <c r="E40" i="135"/>
  <c r="D40" i="135"/>
  <c r="P39" i="135"/>
  <c r="AD123" i="135" s="1"/>
  <c r="O39" i="135"/>
  <c r="W123" i="135" s="1"/>
  <c r="J39" i="135"/>
  <c r="I39" i="135"/>
  <c r="H39" i="135"/>
  <c r="G39" i="135"/>
  <c r="F39" i="135"/>
  <c r="M39" i="135" s="1"/>
  <c r="N123" i="135" s="1"/>
  <c r="E39" i="135"/>
  <c r="D39" i="135"/>
  <c r="P38" i="135"/>
  <c r="AD122" i="135" s="1"/>
  <c r="AF122" i="135" s="1"/>
  <c r="O38" i="135"/>
  <c r="W122" i="135" s="1"/>
  <c r="J38" i="135"/>
  <c r="I38" i="135"/>
  <c r="H38" i="135"/>
  <c r="G38" i="135"/>
  <c r="F38" i="135"/>
  <c r="M38" i="135" s="1"/>
  <c r="N122" i="135" s="1"/>
  <c r="E38" i="135"/>
  <c r="D38" i="135"/>
  <c r="P37" i="135"/>
  <c r="AD121" i="135" s="1"/>
  <c r="O37" i="135"/>
  <c r="W121" i="135" s="1"/>
  <c r="J37" i="135"/>
  <c r="I37" i="135"/>
  <c r="H37" i="135"/>
  <c r="G37" i="135"/>
  <c r="F37" i="135"/>
  <c r="M37" i="135" s="1"/>
  <c r="N121" i="135" s="1"/>
  <c r="E37" i="135"/>
  <c r="D37" i="135"/>
  <c r="P36" i="135"/>
  <c r="AD120" i="135" s="1"/>
  <c r="O36" i="135"/>
  <c r="W120" i="135" s="1"/>
  <c r="J36" i="135"/>
  <c r="I36" i="135"/>
  <c r="H36" i="135"/>
  <c r="G36" i="135"/>
  <c r="F36" i="135"/>
  <c r="M36" i="135" s="1"/>
  <c r="N120" i="135" s="1"/>
  <c r="E36" i="135"/>
  <c r="D36" i="135"/>
  <c r="P35" i="135"/>
  <c r="AD119" i="135" s="1"/>
  <c r="O35" i="135"/>
  <c r="W119" i="135" s="1"/>
  <c r="J35" i="135"/>
  <c r="I35" i="135"/>
  <c r="H35" i="135"/>
  <c r="G35" i="135"/>
  <c r="F35" i="135"/>
  <c r="M35" i="135" s="1"/>
  <c r="N119" i="135" s="1"/>
  <c r="E35" i="135"/>
  <c r="D35" i="135"/>
  <c r="P34" i="135"/>
  <c r="AD118" i="135" s="1"/>
  <c r="O34" i="135"/>
  <c r="W118" i="135" s="1"/>
  <c r="J34" i="135"/>
  <c r="I34" i="135"/>
  <c r="H34" i="135"/>
  <c r="G34" i="135"/>
  <c r="F34" i="135"/>
  <c r="M34" i="135" s="1"/>
  <c r="N118" i="135" s="1"/>
  <c r="E34" i="135"/>
  <c r="D34" i="135"/>
  <c r="P33" i="135"/>
  <c r="AD117" i="135" s="1"/>
  <c r="O33" i="135"/>
  <c r="W117" i="135" s="1"/>
  <c r="J33" i="135"/>
  <c r="I33" i="135"/>
  <c r="H33" i="135"/>
  <c r="G33" i="135"/>
  <c r="F33" i="135"/>
  <c r="E33" i="135"/>
  <c r="D33" i="135"/>
  <c r="P32" i="135"/>
  <c r="AD116" i="135" s="1"/>
  <c r="O32" i="135"/>
  <c r="W116" i="135" s="1"/>
  <c r="J32" i="135"/>
  <c r="I32" i="135"/>
  <c r="H32" i="135"/>
  <c r="G32" i="135"/>
  <c r="F32" i="135"/>
  <c r="M32" i="135" s="1"/>
  <c r="N116" i="135" s="1"/>
  <c r="E32" i="135"/>
  <c r="D32" i="135"/>
  <c r="P31" i="135"/>
  <c r="AD115" i="135" s="1"/>
  <c r="O31" i="135"/>
  <c r="W115" i="135" s="1"/>
  <c r="J31" i="135"/>
  <c r="I31" i="135"/>
  <c r="H31" i="135"/>
  <c r="G31" i="135"/>
  <c r="F31" i="135"/>
  <c r="M31" i="135" s="1"/>
  <c r="N115" i="135" s="1"/>
  <c r="P115" i="135" s="1"/>
  <c r="E31" i="135"/>
  <c r="D31" i="135"/>
  <c r="P30" i="135"/>
  <c r="AD114" i="135" s="1"/>
  <c r="O30" i="135"/>
  <c r="W114" i="135" s="1"/>
  <c r="J30" i="135"/>
  <c r="I30" i="135"/>
  <c r="H30" i="135"/>
  <c r="G30" i="135"/>
  <c r="F30" i="135"/>
  <c r="M30" i="135" s="1"/>
  <c r="N114" i="135" s="1"/>
  <c r="E30" i="135"/>
  <c r="D30" i="135"/>
  <c r="P29" i="135"/>
  <c r="AD113" i="135" s="1"/>
  <c r="O29" i="135"/>
  <c r="W113" i="135" s="1"/>
  <c r="J29" i="135"/>
  <c r="I29" i="135"/>
  <c r="H29" i="135"/>
  <c r="G29" i="135"/>
  <c r="F29" i="135"/>
  <c r="M29" i="135" s="1"/>
  <c r="N113" i="135" s="1"/>
  <c r="E29" i="135"/>
  <c r="D29" i="135"/>
  <c r="P28" i="135"/>
  <c r="AD112" i="135" s="1"/>
  <c r="O28" i="135"/>
  <c r="W112" i="135" s="1"/>
  <c r="J28" i="135"/>
  <c r="I28" i="135"/>
  <c r="H28" i="135"/>
  <c r="G28" i="135"/>
  <c r="F28" i="135"/>
  <c r="M28" i="135" s="1"/>
  <c r="N112" i="135" s="1"/>
  <c r="E28" i="135"/>
  <c r="D28" i="135"/>
  <c r="P23" i="135"/>
  <c r="AA129" i="135" s="1"/>
  <c r="O23" i="135"/>
  <c r="V129" i="135" s="1"/>
  <c r="X129" i="135" s="1"/>
  <c r="J23" i="135"/>
  <c r="I23" i="135"/>
  <c r="H23" i="135"/>
  <c r="G23" i="135"/>
  <c r="F23" i="135"/>
  <c r="E23" i="135"/>
  <c r="D23" i="135"/>
  <c r="P22" i="135"/>
  <c r="AA128" i="135" s="1"/>
  <c r="O22" i="135"/>
  <c r="V128" i="135" s="1"/>
  <c r="J22" i="135"/>
  <c r="I22" i="135"/>
  <c r="H22" i="135"/>
  <c r="G22" i="135"/>
  <c r="F22" i="135"/>
  <c r="E22" i="135"/>
  <c r="D22" i="135"/>
  <c r="P21" i="135"/>
  <c r="AA127" i="135" s="1"/>
  <c r="AC127" i="135" s="1"/>
  <c r="O21" i="135"/>
  <c r="V127" i="135" s="1"/>
  <c r="J21" i="135"/>
  <c r="I21" i="135"/>
  <c r="H21" i="135"/>
  <c r="G21" i="135"/>
  <c r="F21" i="135"/>
  <c r="E21" i="135"/>
  <c r="D21" i="135"/>
  <c r="P20" i="135"/>
  <c r="AA126" i="135" s="1"/>
  <c r="O20" i="135"/>
  <c r="V126" i="135" s="1"/>
  <c r="J20" i="135"/>
  <c r="I20" i="135"/>
  <c r="H20" i="135"/>
  <c r="G20" i="135"/>
  <c r="F20" i="135"/>
  <c r="E20" i="135"/>
  <c r="D20" i="135"/>
  <c r="P19" i="135"/>
  <c r="AA125" i="135" s="1"/>
  <c r="O19" i="135"/>
  <c r="J19" i="135"/>
  <c r="I19" i="135"/>
  <c r="H19" i="135"/>
  <c r="G19" i="135"/>
  <c r="F19" i="135"/>
  <c r="E19" i="135"/>
  <c r="D19" i="135"/>
  <c r="P18" i="135"/>
  <c r="AA124" i="135" s="1"/>
  <c r="AC124" i="135" s="1"/>
  <c r="O18" i="135"/>
  <c r="V124" i="135" s="1"/>
  <c r="J18" i="135"/>
  <c r="I18" i="135"/>
  <c r="H18" i="135"/>
  <c r="G18" i="135"/>
  <c r="F18" i="135"/>
  <c r="E18" i="135"/>
  <c r="D18" i="135"/>
  <c r="P17" i="135"/>
  <c r="AA123" i="135" s="1"/>
  <c r="O17" i="135"/>
  <c r="V123" i="135" s="1"/>
  <c r="J17" i="135"/>
  <c r="I17" i="135"/>
  <c r="H17" i="135"/>
  <c r="G17" i="135"/>
  <c r="F17" i="135"/>
  <c r="E17" i="135"/>
  <c r="D17" i="135"/>
  <c r="P16" i="135"/>
  <c r="AA122" i="135" s="1"/>
  <c r="O16" i="135"/>
  <c r="V122" i="135" s="1"/>
  <c r="J16" i="135"/>
  <c r="I16" i="135"/>
  <c r="H16" i="135"/>
  <c r="G16" i="135"/>
  <c r="F16" i="135"/>
  <c r="E16" i="135"/>
  <c r="D16" i="135"/>
  <c r="P15" i="135"/>
  <c r="AA121" i="135" s="1"/>
  <c r="O15" i="135"/>
  <c r="V121" i="135" s="1"/>
  <c r="X121" i="135" s="1"/>
  <c r="J15" i="135"/>
  <c r="I15" i="135"/>
  <c r="H15" i="135"/>
  <c r="G15" i="135"/>
  <c r="F15" i="135"/>
  <c r="E15" i="135"/>
  <c r="D15" i="135"/>
  <c r="P14" i="135"/>
  <c r="AA120" i="135" s="1"/>
  <c r="O14" i="135"/>
  <c r="V120" i="135" s="1"/>
  <c r="J14" i="135"/>
  <c r="I14" i="135"/>
  <c r="H14" i="135"/>
  <c r="G14" i="135"/>
  <c r="F14" i="135"/>
  <c r="E14" i="135"/>
  <c r="D14" i="135"/>
  <c r="P13" i="135"/>
  <c r="AA119" i="135" s="1"/>
  <c r="O13" i="135"/>
  <c r="V119" i="135" s="1"/>
  <c r="J13" i="135"/>
  <c r="I13" i="135"/>
  <c r="H13" i="135"/>
  <c r="G13" i="135"/>
  <c r="F13" i="135"/>
  <c r="E13" i="135"/>
  <c r="D13" i="135"/>
  <c r="P12" i="135"/>
  <c r="AA118" i="135" s="1"/>
  <c r="O12" i="135"/>
  <c r="V118" i="135" s="1"/>
  <c r="J12" i="135"/>
  <c r="I12" i="135"/>
  <c r="H12" i="135"/>
  <c r="G12" i="135"/>
  <c r="F12" i="135"/>
  <c r="E12" i="135"/>
  <c r="D12" i="135"/>
  <c r="P11" i="135"/>
  <c r="AA117" i="135" s="1"/>
  <c r="O11" i="135"/>
  <c r="J11" i="135"/>
  <c r="I11" i="135"/>
  <c r="H11" i="135"/>
  <c r="G11" i="135"/>
  <c r="F11" i="135"/>
  <c r="M11" i="135" s="1"/>
  <c r="K117" i="135" s="1"/>
  <c r="E11" i="135"/>
  <c r="D11" i="135"/>
  <c r="P10" i="135"/>
  <c r="AA116" i="135" s="1"/>
  <c r="AC116" i="135" s="1"/>
  <c r="O10" i="135"/>
  <c r="V116" i="135" s="1"/>
  <c r="J10" i="135"/>
  <c r="I10" i="135"/>
  <c r="H10" i="135"/>
  <c r="G10" i="135"/>
  <c r="F10" i="135"/>
  <c r="E10" i="135"/>
  <c r="D10" i="135"/>
  <c r="P9" i="135"/>
  <c r="AA115" i="135" s="1"/>
  <c r="O9" i="135"/>
  <c r="V115" i="135" s="1"/>
  <c r="J9" i="135"/>
  <c r="I9" i="135"/>
  <c r="H9" i="135"/>
  <c r="G9" i="135"/>
  <c r="F9" i="135"/>
  <c r="E9" i="135"/>
  <c r="D9" i="135"/>
  <c r="P8" i="135"/>
  <c r="AA114" i="135" s="1"/>
  <c r="O8" i="135"/>
  <c r="V114" i="135" s="1"/>
  <c r="J8" i="135"/>
  <c r="I8" i="135"/>
  <c r="H8" i="135"/>
  <c r="G8" i="135"/>
  <c r="F8" i="135"/>
  <c r="E8" i="135"/>
  <c r="D8" i="135"/>
  <c r="P7" i="135"/>
  <c r="AA113" i="135" s="1"/>
  <c r="AC113" i="135" s="1"/>
  <c r="O7" i="135"/>
  <c r="V113" i="135" s="1"/>
  <c r="X113" i="135" s="1"/>
  <c r="J7" i="135"/>
  <c r="I7" i="135"/>
  <c r="H7" i="135"/>
  <c r="G7" i="135"/>
  <c r="F7" i="135"/>
  <c r="M7" i="135" s="1"/>
  <c r="K113" i="135" s="1"/>
  <c r="E7" i="135"/>
  <c r="D7" i="135"/>
  <c r="P6" i="135"/>
  <c r="AA112" i="135" s="1"/>
  <c r="O6" i="135"/>
  <c r="V112" i="135" s="1"/>
  <c r="J6" i="135"/>
  <c r="I6" i="135"/>
  <c r="H6" i="135"/>
  <c r="G6" i="135"/>
  <c r="F6" i="135"/>
  <c r="E6" i="135"/>
  <c r="D6" i="135"/>
  <c r="L45" i="139" l="1"/>
  <c r="BG11" i="150" s="1"/>
  <c r="BK11" i="150" s="1"/>
  <c r="AC123" i="135"/>
  <c r="AF121" i="135"/>
  <c r="Z113" i="135"/>
  <c r="Z129" i="135"/>
  <c r="AC114" i="135"/>
  <c r="BG22" i="150"/>
  <c r="BK22" i="150" s="1"/>
  <c r="BG14" i="150"/>
  <c r="BK14" i="150" s="1"/>
  <c r="BG30" i="150"/>
  <c r="BK30" i="150" s="1"/>
  <c r="BG5" i="150"/>
  <c r="BK5" i="150" s="1"/>
  <c r="BG26" i="150"/>
  <c r="BK26" i="150" s="1"/>
  <c r="BG17" i="150"/>
  <c r="BG8" i="150"/>
  <c r="BK8" i="150" s="1"/>
  <c r="H47" i="139"/>
  <c r="H49" i="139" s="1"/>
  <c r="J47" i="139"/>
  <c r="S4" i="136"/>
  <c r="X28" i="145"/>
  <c r="Y28" i="145" s="1"/>
  <c r="E5" i="125"/>
  <c r="J5" i="125" s="1"/>
  <c r="V5" i="136"/>
  <c r="X29" i="145"/>
  <c r="Y29" i="145" s="1"/>
  <c r="E14" i="125"/>
  <c r="J14" i="125" s="1"/>
  <c r="O6" i="136"/>
  <c r="X30" i="145"/>
  <c r="Y30" i="145" s="1"/>
  <c r="E23" i="125"/>
  <c r="H23" i="125" s="1"/>
  <c r="V7" i="136"/>
  <c r="X31" i="145"/>
  <c r="Y31" i="145" s="1"/>
  <c r="E32" i="125"/>
  <c r="H32" i="125" s="1"/>
  <c r="S8" i="136"/>
  <c r="X32" i="145"/>
  <c r="Y32" i="145" s="1"/>
  <c r="E41" i="125"/>
  <c r="H41" i="125" s="1"/>
  <c r="S9" i="136"/>
  <c r="X33" i="145"/>
  <c r="E50" i="125"/>
  <c r="H50" i="125" s="1"/>
  <c r="O10" i="136"/>
  <c r="X34" i="145"/>
  <c r="Y34" i="145" s="1"/>
  <c r="E59" i="125"/>
  <c r="H59" i="125" s="1"/>
  <c r="V11" i="136"/>
  <c r="X35" i="145"/>
  <c r="Y35" i="145" s="1"/>
  <c r="E68" i="125"/>
  <c r="H68" i="125" s="1"/>
  <c r="S12" i="136"/>
  <c r="X36" i="145"/>
  <c r="Y36" i="145" s="1"/>
  <c r="E77" i="125"/>
  <c r="H77" i="125" s="1"/>
  <c r="O13" i="136"/>
  <c r="P13" i="136" s="1"/>
  <c r="X37" i="145"/>
  <c r="Y37" i="145" s="1"/>
  <c r="E86" i="125"/>
  <c r="H86" i="125" s="1"/>
  <c r="O14" i="136"/>
  <c r="X38" i="145"/>
  <c r="Y38" i="145" s="1"/>
  <c r="E95" i="125"/>
  <c r="H95" i="125" s="1"/>
  <c r="V15" i="136"/>
  <c r="X39" i="145"/>
  <c r="Y39" i="145" s="1"/>
  <c r="E104" i="125"/>
  <c r="H104" i="125" s="1"/>
  <c r="V16" i="136"/>
  <c r="X40" i="145"/>
  <c r="Y40" i="145" s="1"/>
  <c r="E113" i="125"/>
  <c r="H113" i="125" s="1"/>
  <c r="S17" i="136"/>
  <c r="X41" i="145"/>
  <c r="Y41" i="145" s="1"/>
  <c r="E122" i="125"/>
  <c r="H122" i="125" s="1"/>
  <c r="O18" i="136"/>
  <c r="P18" i="136" s="1"/>
  <c r="X42" i="145"/>
  <c r="Y42" i="145" s="1"/>
  <c r="E131" i="125"/>
  <c r="S19" i="136"/>
  <c r="X43" i="145"/>
  <c r="Y43" i="145" s="1"/>
  <c r="E140" i="125"/>
  <c r="H140" i="125" s="1"/>
  <c r="V20" i="136"/>
  <c r="X44" i="145"/>
  <c r="Y44" i="145" s="1"/>
  <c r="E149" i="125"/>
  <c r="H149" i="125" s="1"/>
  <c r="O21" i="136"/>
  <c r="P21" i="136" s="1"/>
  <c r="X45" i="145"/>
  <c r="Y45" i="145" s="1"/>
  <c r="E158" i="125"/>
  <c r="H158" i="125" s="1"/>
  <c r="X116" i="135"/>
  <c r="X120" i="135"/>
  <c r="X128" i="135"/>
  <c r="X114" i="135"/>
  <c r="X122" i="135"/>
  <c r="X126" i="135"/>
  <c r="Z126" i="135" s="1"/>
  <c r="X115" i="135"/>
  <c r="X123" i="135"/>
  <c r="AR119" i="135"/>
  <c r="M6" i="135"/>
  <c r="K112" i="135" s="1"/>
  <c r="M112" i="135" s="1"/>
  <c r="M14" i="135"/>
  <c r="K120" i="135" s="1"/>
  <c r="M120" i="135" s="1"/>
  <c r="M8" i="135"/>
  <c r="K114" i="135" s="1"/>
  <c r="M114" i="135" s="1"/>
  <c r="M12" i="135"/>
  <c r="K118" i="135" s="1"/>
  <c r="M118" i="135" s="1"/>
  <c r="M16" i="135"/>
  <c r="K122" i="135" s="1"/>
  <c r="M20" i="135"/>
  <c r="K126" i="135" s="1"/>
  <c r="M126" i="135" s="1"/>
  <c r="H131" i="125"/>
  <c r="S131" i="135"/>
  <c r="M13" i="135"/>
  <c r="K119" i="135" s="1"/>
  <c r="M119" i="135" s="1"/>
  <c r="M17" i="135"/>
  <c r="K123" i="135" s="1"/>
  <c r="M123" i="135" s="1"/>
  <c r="M21" i="135"/>
  <c r="K127" i="135" s="1"/>
  <c r="M127" i="135" s="1"/>
  <c r="M33" i="135"/>
  <c r="N117" i="135" s="1"/>
  <c r="P117" i="135" s="1"/>
  <c r="M9" i="135"/>
  <c r="K115" i="135" s="1"/>
  <c r="M115" i="135" s="1"/>
  <c r="Q115" i="135" s="1"/>
  <c r="M18" i="135"/>
  <c r="K124" i="135" s="1"/>
  <c r="M124" i="135" s="1"/>
  <c r="M22" i="135"/>
  <c r="K128" i="135" s="1"/>
  <c r="M128" i="135" s="1"/>
  <c r="M10" i="135"/>
  <c r="K116" i="135" s="1"/>
  <c r="M116" i="135" s="1"/>
  <c r="I5" i="125"/>
  <c r="M15" i="135"/>
  <c r="K121" i="135" s="1"/>
  <c r="M121" i="135" s="1"/>
  <c r="M19" i="135"/>
  <c r="K125" i="135" s="1"/>
  <c r="M23" i="135"/>
  <c r="K129" i="135" s="1"/>
  <c r="M129" i="135" s="1"/>
  <c r="AR115" i="135"/>
  <c r="AR123" i="135"/>
  <c r="AR126" i="135"/>
  <c r="E18" i="136"/>
  <c r="D8" i="136"/>
  <c r="O5" i="136"/>
  <c r="P5" i="136" s="1"/>
  <c r="D10" i="136"/>
  <c r="S13" i="136"/>
  <c r="E13" i="136"/>
  <c r="E15" i="136"/>
  <c r="AC122" i="135"/>
  <c r="AG122" i="135" s="1"/>
  <c r="P118" i="135"/>
  <c r="AF120" i="135"/>
  <c r="AF124" i="135"/>
  <c r="AG124" i="135" s="1"/>
  <c r="AF128" i="135"/>
  <c r="AF129" i="135"/>
  <c r="AR121" i="135"/>
  <c r="AR122" i="135"/>
  <c r="AR129" i="135"/>
  <c r="AC121" i="135"/>
  <c r="AG121" i="135" s="1"/>
  <c r="AF115" i="135"/>
  <c r="AF119" i="135"/>
  <c r="AF127" i="135"/>
  <c r="AG127" i="135" s="1"/>
  <c r="E14" i="136"/>
  <c r="S15" i="136"/>
  <c r="E19" i="136"/>
  <c r="O19" i="136"/>
  <c r="P19" i="136" s="1"/>
  <c r="AC118" i="135"/>
  <c r="AC129" i="135"/>
  <c r="AC115" i="135"/>
  <c r="AR113" i="135"/>
  <c r="K16" i="136"/>
  <c r="L16" i="136" s="1"/>
  <c r="R16" i="136" s="1"/>
  <c r="U16" i="136" s="1"/>
  <c r="W16" i="136" s="1"/>
  <c r="D91" i="147" s="1"/>
  <c r="F91" i="147" s="1"/>
  <c r="P124" i="135"/>
  <c r="AR117" i="135"/>
  <c r="C4" i="136"/>
  <c r="D6" i="136"/>
  <c r="D12" i="136"/>
  <c r="C20" i="136"/>
  <c r="O20" i="136"/>
  <c r="P20" i="136" s="1"/>
  <c r="S21" i="136"/>
  <c r="AR125" i="135"/>
  <c r="C5" i="136"/>
  <c r="V9" i="136"/>
  <c r="E12" i="136"/>
  <c r="V17" i="136"/>
  <c r="C19" i="136"/>
  <c r="AF116" i="135"/>
  <c r="AI116" i="135" s="1"/>
  <c r="H23" i="136"/>
  <c r="N23" i="136"/>
  <c r="E7" i="136"/>
  <c r="O7" i="136"/>
  <c r="P7" i="136" s="1"/>
  <c r="C12" i="136"/>
  <c r="V13" i="136"/>
  <c r="C18" i="136"/>
  <c r="D19" i="136"/>
  <c r="E21" i="136"/>
  <c r="BG26" i="138"/>
  <c r="BK26" i="138" s="1"/>
  <c r="BG5" i="138"/>
  <c r="BK5" i="138" s="1"/>
  <c r="BG24" i="138"/>
  <c r="BK24" i="138" s="1"/>
  <c r="BG14" i="138"/>
  <c r="BK14" i="138" s="1"/>
  <c r="BG22" i="138"/>
  <c r="BK22" i="138" s="1"/>
  <c r="BG11" i="138"/>
  <c r="BK11" i="138" s="1"/>
  <c r="BG30" i="138"/>
  <c r="BK30" i="138" s="1"/>
  <c r="BG17" i="138"/>
  <c r="BG8" i="138"/>
  <c r="BK8" i="138" s="1"/>
  <c r="P125" i="135"/>
  <c r="P120" i="135"/>
  <c r="P123" i="135"/>
  <c r="P126" i="135"/>
  <c r="L43" i="139"/>
  <c r="L40" i="139"/>
  <c r="L41" i="139"/>
  <c r="E6" i="136"/>
  <c r="C9" i="136"/>
  <c r="E17" i="136"/>
  <c r="M113" i="135"/>
  <c r="AC117" i="135"/>
  <c r="AF126" i="135"/>
  <c r="AM131" i="135"/>
  <c r="AR120" i="135"/>
  <c r="AR124" i="135"/>
  <c r="AR127" i="135"/>
  <c r="J23" i="136"/>
  <c r="E8" i="136"/>
  <c r="K8" i="136" s="1"/>
  <c r="L8" i="136" s="1"/>
  <c r="R8" i="136" s="1"/>
  <c r="U8" i="136" s="1"/>
  <c r="E10" i="136"/>
  <c r="K10" i="136" s="1"/>
  <c r="L10" i="136" s="1"/>
  <c r="R10" i="136" s="1"/>
  <c r="C13" i="136"/>
  <c r="D14" i="136"/>
  <c r="C15" i="136"/>
  <c r="V19" i="136"/>
  <c r="C11" i="136"/>
  <c r="AF113" i="135"/>
  <c r="AG113" i="135" s="1"/>
  <c r="AF123" i="135"/>
  <c r="AI123" i="135" s="1"/>
  <c r="AR116" i="135"/>
  <c r="D20" i="136"/>
  <c r="P128" i="135"/>
  <c r="AC119" i="135"/>
  <c r="AF114" i="135"/>
  <c r="AI114" i="135" s="1"/>
  <c r="Q23" i="136"/>
  <c r="O9" i="136"/>
  <c r="P9" i="136" s="1"/>
  <c r="O11" i="136"/>
  <c r="P11" i="136" s="1"/>
  <c r="O17" i="136"/>
  <c r="P17" i="136" s="1"/>
  <c r="AB131" i="135"/>
  <c r="AC126" i="135"/>
  <c r="E5" i="136"/>
  <c r="S5" i="136"/>
  <c r="S7" i="136"/>
  <c r="O15" i="136"/>
  <c r="P15" i="136" s="1"/>
  <c r="O16" i="136"/>
  <c r="P16" i="136" s="1"/>
  <c r="I23" i="136"/>
  <c r="P121" i="135"/>
  <c r="Z123" i="135"/>
  <c r="AF118" i="135"/>
  <c r="AE131" i="135"/>
  <c r="AR114" i="135"/>
  <c r="AR118" i="135"/>
  <c r="AR128" i="135"/>
  <c r="D4" i="136"/>
  <c r="C8" i="136"/>
  <c r="E9" i="136"/>
  <c r="E11" i="136"/>
  <c r="S11" i="136"/>
  <c r="P119" i="135"/>
  <c r="P127" i="135"/>
  <c r="P122" i="135"/>
  <c r="P114" i="135"/>
  <c r="P116" i="135"/>
  <c r="V8" i="136"/>
  <c r="D5" i="136"/>
  <c r="P6" i="136"/>
  <c r="D9" i="136"/>
  <c r="P10" i="136"/>
  <c r="D13" i="136"/>
  <c r="P14" i="136"/>
  <c r="S18" i="136"/>
  <c r="E20" i="136"/>
  <c r="E4" i="136"/>
  <c r="O4" i="136"/>
  <c r="P4" i="136" s="1"/>
  <c r="S6" i="136"/>
  <c r="C7" i="136"/>
  <c r="O8" i="136"/>
  <c r="P8" i="136" s="1"/>
  <c r="S10" i="136"/>
  <c r="O12" i="136"/>
  <c r="P12" i="136" s="1"/>
  <c r="S14" i="136"/>
  <c r="D18" i="136"/>
  <c r="V18" i="136"/>
  <c r="M23" i="136"/>
  <c r="N25" i="136" s="1"/>
  <c r="V12" i="136"/>
  <c r="D7" i="136"/>
  <c r="D11" i="136"/>
  <c r="D15" i="136"/>
  <c r="S16" i="136"/>
  <c r="T16" i="136" s="1"/>
  <c r="C17" i="136"/>
  <c r="S20" i="136"/>
  <c r="C21" i="136"/>
  <c r="V4" i="136"/>
  <c r="C6" i="136"/>
  <c r="C10" i="136"/>
  <c r="C14" i="136"/>
  <c r="D17" i="136"/>
  <c r="D21" i="136"/>
  <c r="V21" i="136"/>
  <c r="V6" i="136"/>
  <c r="V10" i="136"/>
  <c r="V14" i="136"/>
  <c r="AF112" i="135"/>
  <c r="AD131" i="135"/>
  <c r="L131" i="135"/>
  <c r="W131" i="135"/>
  <c r="X118" i="135"/>
  <c r="M122" i="135"/>
  <c r="P112" i="135"/>
  <c r="N131" i="135"/>
  <c r="X112" i="135"/>
  <c r="Z116" i="135"/>
  <c r="M125" i="135"/>
  <c r="Z115" i="135"/>
  <c r="M117" i="135"/>
  <c r="AC112" i="135"/>
  <c r="AA131" i="135"/>
  <c r="V117" i="135"/>
  <c r="X117" i="135" s="1"/>
  <c r="AC120" i="135"/>
  <c r="AG120" i="135" s="1"/>
  <c r="V125" i="135"/>
  <c r="X125" i="135" s="1"/>
  <c r="AC128" i="135"/>
  <c r="Z112" i="135"/>
  <c r="Z120" i="135"/>
  <c r="AC125" i="135"/>
  <c r="AG125" i="135" s="1"/>
  <c r="Z118" i="135"/>
  <c r="Z121" i="135"/>
  <c r="P113" i="135"/>
  <c r="X119" i="135"/>
  <c r="X127" i="135"/>
  <c r="X124" i="135"/>
  <c r="AI124" i="135" s="1"/>
  <c r="AF117" i="135"/>
  <c r="Z114" i="135"/>
  <c r="Z122" i="135"/>
  <c r="Z128" i="135"/>
  <c r="AR112" i="135"/>
  <c r="M89" i="135"/>
  <c r="O129" i="135" s="1"/>
  <c r="O131" i="135" s="1"/>
  <c r="Y131" i="135"/>
  <c r="L5" i="125" l="1"/>
  <c r="AI122" i="135"/>
  <c r="F5" i="125"/>
  <c r="BG24" i="150"/>
  <c r="BK24" i="150" s="1"/>
  <c r="K5" i="125"/>
  <c r="H5" i="125"/>
  <c r="G5" i="125"/>
  <c r="F46" i="136"/>
  <c r="L47" i="139"/>
  <c r="R48" i="149"/>
  <c r="AG114" i="135"/>
  <c r="R69" i="149"/>
  <c r="R50" i="149"/>
  <c r="R57" i="149"/>
  <c r="R84" i="149"/>
  <c r="R59" i="149"/>
  <c r="R55" i="149"/>
  <c r="R78" i="149"/>
  <c r="R53" i="149"/>
  <c r="R80" i="149"/>
  <c r="R63" i="149"/>
  <c r="R82" i="149"/>
  <c r="R71" i="149"/>
  <c r="R76" i="149"/>
  <c r="R51" i="149"/>
  <c r="R61" i="149"/>
  <c r="R18" i="149"/>
  <c r="R54" i="149"/>
  <c r="R64" i="149"/>
  <c r="R85" i="149"/>
  <c r="R75" i="149"/>
  <c r="R8" i="149"/>
  <c r="R33" i="149"/>
  <c r="R58" i="149"/>
  <c r="R81" i="149"/>
  <c r="R35" i="149"/>
  <c r="R83" i="149"/>
  <c r="R73" i="149"/>
  <c r="R15" i="149"/>
  <c r="R12" i="149"/>
  <c r="R39" i="149"/>
  <c r="R70" i="149"/>
  <c r="R36" i="149"/>
  <c r="R79" i="149"/>
  <c r="R7" i="149"/>
  <c r="R27" i="149"/>
  <c r="R62" i="149"/>
  <c r="R16" i="149"/>
  <c r="R72" i="149"/>
  <c r="R11" i="149"/>
  <c r="R14" i="149"/>
  <c r="R28" i="149"/>
  <c r="R34" i="149"/>
  <c r="R10" i="149"/>
  <c r="R52" i="149"/>
  <c r="R19" i="149"/>
  <c r="R43" i="149"/>
  <c r="R13" i="149"/>
  <c r="R22" i="149"/>
  <c r="R77" i="149"/>
  <c r="R30" i="149"/>
  <c r="R20" i="149"/>
  <c r="R21" i="149"/>
  <c r="R40" i="149"/>
  <c r="R9" i="149"/>
  <c r="R41" i="149"/>
  <c r="R31" i="149"/>
  <c r="R42" i="149"/>
  <c r="R17" i="149"/>
  <c r="R74" i="149"/>
  <c r="R37" i="149"/>
  <c r="R49" i="149"/>
  <c r="R32" i="149"/>
  <c r="R60" i="149"/>
  <c r="R29" i="149"/>
  <c r="R38" i="149"/>
  <c r="R56" i="149"/>
  <c r="BS5" i="150"/>
  <c r="BT5" i="150" s="1"/>
  <c r="BS26" i="150"/>
  <c r="BT26" i="150" s="1"/>
  <c r="BS24" i="150"/>
  <c r="BT24" i="150" s="1"/>
  <c r="BS17" i="150"/>
  <c r="BT17" i="150" s="1"/>
  <c r="BS22" i="150"/>
  <c r="BT22" i="150" s="1"/>
  <c r="BS14" i="150"/>
  <c r="BT14" i="150" s="1"/>
  <c r="BS30" i="150"/>
  <c r="BT30" i="150" s="1"/>
  <c r="BS11" i="150"/>
  <c r="BT11" i="150" s="1"/>
  <c r="BS8" i="150"/>
  <c r="BT8" i="150" s="1"/>
  <c r="F45" i="136"/>
  <c r="K14" i="125"/>
  <c r="F14" i="125"/>
  <c r="G14" i="125"/>
  <c r="H14" i="125"/>
  <c r="I14" i="125"/>
  <c r="L14" i="125"/>
  <c r="BS30" i="138"/>
  <c r="BT30" i="138" s="1"/>
  <c r="BS26" i="138"/>
  <c r="BT26" i="138" s="1"/>
  <c r="BS24" i="138"/>
  <c r="BT24" i="138" s="1"/>
  <c r="BS22" i="138"/>
  <c r="BT22" i="138" s="1"/>
  <c r="BS17" i="138"/>
  <c r="BT17" i="138" s="1"/>
  <c r="BS14" i="138"/>
  <c r="BT14" i="138" s="1"/>
  <c r="BS11" i="138"/>
  <c r="BT11" i="138" s="1"/>
  <c r="BS8" i="138"/>
  <c r="BT8" i="138" s="1"/>
  <c r="BS5" i="138"/>
  <c r="BT5" i="138" s="1"/>
  <c r="F158" i="125"/>
  <c r="G158" i="125"/>
  <c r="I158" i="125"/>
  <c r="J158" i="125"/>
  <c r="K158" i="125"/>
  <c r="L158" i="125"/>
  <c r="F149" i="125"/>
  <c r="G149" i="125"/>
  <c r="I149" i="125"/>
  <c r="J149" i="125"/>
  <c r="K149" i="125"/>
  <c r="L149" i="125"/>
  <c r="F140" i="125"/>
  <c r="G140" i="125"/>
  <c r="I140" i="125"/>
  <c r="J140" i="125"/>
  <c r="K140" i="125"/>
  <c r="L140" i="125"/>
  <c r="F131" i="125"/>
  <c r="G131" i="125"/>
  <c r="I131" i="125"/>
  <c r="J131" i="125"/>
  <c r="K131" i="125"/>
  <c r="L131" i="125"/>
  <c r="F122" i="125"/>
  <c r="G122" i="125"/>
  <c r="I122" i="125"/>
  <c r="J122" i="125"/>
  <c r="K122" i="125"/>
  <c r="L122" i="125"/>
  <c r="F113" i="125"/>
  <c r="G113" i="125"/>
  <c r="I113" i="125"/>
  <c r="J113" i="125"/>
  <c r="K113" i="125"/>
  <c r="L113" i="125"/>
  <c r="F104" i="125"/>
  <c r="G104" i="125"/>
  <c r="I104" i="125"/>
  <c r="J104" i="125"/>
  <c r="K104" i="125"/>
  <c r="L104" i="125"/>
  <c r="F95" i="125"/>
  <c r="G95" i="125"/>
  <c r="I95" i="125"/>
  <c r="J95" i="125"/>
  <c r="K95" i="125"/>
  <c r="L95" i="125"/>
  <c r="F86" i="125"/>
  <c r="G86" i="125"/>
  <c r="I86" i="125"/>
  <c r="J86" i="125"/>
  <c r="K86" i="125"/>
  <c r="L86" i="125"/>
  <c r="F77" i="125"/>
  <c r="G77" i="125"/>
  <c r="I77" i="125"/>
  <c r="J77" i="125"/>
  <c r="K77" i="125"/>
  <c r="L77" i="125"/>
  <c r="F68" i="125"/>
  <c r="G68" i="125"/>
  <c r="I68" i="125"/>
  <c r="J68" i="125"/>
  <c r="K68" i="125"/>
  <c r="L68" i="125"/>
  <c r="F59" i="125"/>
  <c r="G59" i="125"/>
  <c r="I59" i="125"/>
  <c r="J59" i="125"/>
  <c r="K59" i="125"/>
  <c r="L59" i="125"/>
  <c r="F50" i="125"/>
  <c r="G50" i="125"/>
  <c r="I50" i="125"/>
  <c r="J50" i="125"/>
  <c r="K50" i="125"/>
  <c r="L50" i="125"/>
  <c r="Y33" i="145"/>
  <c r="E48" i="145"/>
  <c r="J48" i="145"/>
  <c r="F41" i="125"/>
  <c r="G41" i="125"/>
  <c r="I41" i="125"/>
  <c r="J41" i="125"/>
  <c r="K41" i="125"/>
  <c r="L41" i="125"/>
  <c r="F32" i="125"/>
  <c r="G32" i="125"/>
  <c r="I32" i="125"/>
  <c r="J32" i="125"/>
  <c r="K32" i="125"/>
  <c r="L32" i="125"/>
  <c r="F23" i="125"/>
  <c r="G23" i="125"/>
  <c r="I23" i="125"/>
  <c r="J23" i="125"/>
  <c r="K23" i="125"/>
  <c r="L23" i="125"/>
  <c r="G100" i="121"/>
  <c r="R6" i="121" s="1"/>
  <c r="G88" i="121"/>
  <c r="G90" i="121"/>
  <c r="G98" i="121"/>
  <c r="G96" i="121"/>
  <c r="Z124" i="135"/>
  <c r="AG126" i="135"/>
  <c r="AG119" i="135"/>
  <c r="K131" i="135"/>
  <c r="Q123" i="135"/>
  <c r="AG118" i="135"/>
  <c r="F31" i="136"/>
  <c r="AI113" i="135"/>
  <c r="K19" i="136"/>
  <c r="L19" i="136" s="1"/>
  <c r="R19" i="136" s="1"/>
  <c r="T19" i="136" s="1"/>
  <c r="K6" i="136"/>
  <c r="L6" i="136" s="1"/>
  <c r="R6" i="136" s="1"/>
  <c r="U6" i="136" s="1"/>
  <c r="W6" i="136" s="1"/>
  <c r="D81" i="147" s="1"/>
  <c r="F81" i="147" s="1"/>
  <c r="Q121" i="135"/>
  <c r="F34" i="136"/>
  <c r="AG116" i="135"/>
  <c r="K14" i="136"/>
  <c r="L14" i="136" s="1"/>
  <c r="R14" i="136" s="1"/>
  <c r="T14" i="136" s="1"/>
  <c r="AI121" i="135"/>
  <c r="X16" i="136"/>
  <c r="Y16" i="136" s="1"/>
  <c r="Z16" i="136" s="1"/>
  <c r="F36" i="136"/>
  <c r="AG115" i="135"/>
  <c r="AG129" i="135"/>
  <c r="Q114" i="135"/>
  <c r="AI129" i="135"/>
  <c r="AG128" i="135"/>
  <c r="AI115" i="135"/>
  <c r="F29" i="136"/>
  <c r="Q118" i="135"/>
  <c r="F37" i="136"/>
  <c r="Q120" i="135"/>
  <c r="Q128" i="135"/>
  <c r="Q124" i="135"/>
  <c r="AI126" i="135"/>
  <c r="S23" i="136"/>
  <c r="K20" i="136"/>
  <c r="L20" i="136" s="1"/>
  <c r="R20" i="136" s="1"/>
  <c r="T20" i="136" s="1"/>
  <c r="K12" i="136"/>
  <c r="L12" i="136" s="1"/>
  <c r="R12" i="136" s="1"/>
  <c r="X12" i="136" s="1"/>
  <c r="Y12" i="136" s="1"/>
  <c r="Z12" i="136" s="1"/>
  <c r="G94" i="121"/>
  <c r="Q117" i="135"/>
  <c r="Q119" i="135"/>
  <c r="Q125" i="135"/>
  <c r="Q126" i="135"/>
  <c r="Q113" i="135"/>
  <c r="AI118" i="135"/>
  <c r="Q116" i="135"/>
  <c r="AG123" i="135"/>
  <c r="D23" i="136"/>
  <c r="D50" i="136" s="1"/>
  <c r="E23" i="136"/>
  <c r="E50" i="136" s="1"/>
  <c r="AG117" i="135"/>
  <c r="AI120" i="135"/>
  <c r="Q122" i="135"/>
  <c r="T10" i="136"/>
  <c r="Q127" i="135"/>
  <c r="K5" i="136"/>
  <c r="L5" i="136" s="1"/>
  <c r="R5" i="136" s="1"/>
  <c r="F28" i="136"/>
  <c r="F35" i="136"/>
  <c r="K18" i="136"/>
  <c r="L18" i="136" s="1"/>
  <c r="R18" i="136" s="1"/>
  <c r="F38" i="136"/>
  <c r="K21" i="136"/>
  <c r="L21" i="136" s="1"/>
  <c r="R21" i="136" s="1"/>
  <c r="K17" i="136"/>
  <c r="L17" i="136" s="1"/>
  <c r="R17" i="136" s="1"/>
  <c r="F43" i="136"/>
  <c r="V23" i="136"/>
  <c r="K4" i="136"/>
  <c r="F41" i="136"/>
  <c r="K15" i="136"/>
  <c r="L15" i="136" s="1"/>
  <c r="R15" i="136" s="1"/>
  <c r="K13" i="136"/>
  <c r="L13" i="136" s="1"/>
  <c r="R13" i="136" s="1"/>
  <c r="F33" i="136"/>
  <c r="U10" i="136"/>
  <c r="W10" i="136" s="1"/>
  <c r="D85" i="147" s="1"/>
  <c r="F85" i="147" s="1"/>
  <c r="X10" i="136"/>
  <c r="Y10" i="136" s="1"/>
  <c r="Z10" i="136" s="1"/>
  <c r="F32" i="136"/>
  <c r="K11" i="136"/>
  <c r="L11" i="136" s="1"/>
  <c r="R11" i="136" s="1"/>
  <c r="F27" i="136"/>
  <c r="K7" i="136"/>
  <c r="L7" i="136" s="1"/>
  <c r="R7" i="136" s="1"/>
  <c r="F30" i="136"/>
  <c r="O23" i="136"/>
  <c r="F40" i="136"/>
  <c r="K9" i="136"/>
  <c r="L9" i="136" s="1"/>
  <c r="R9" i="136" s="1"/>
  <c r="X8" i="136"/>
  <c r="Y8" i="136" s="1"/>
  <c r="Z8" i="136" s="1"/>
  <c r="W8" i="136"/>
  <c r="D83" i="147" s="1"/>
  <c r="F83" i="147" s="1"/>
  <c r="T8" i="136"/>
  <c r="AF131" i="135"/>
  <c r="AC131" i="135"/>
  <c r="AG112" i="135"/>
  <c r="AI117" i="135"/>
  <c r="Z117" i="135"/>
  <c r="Z119" i="135"/>
  <c r="AI119" i="135"/>
  <c r="V131" i="135"/>
  <c r="AI128" i="135"/>
  <c r="AI127" i="135"/>
  <c r="Z127" i="135"/>
  <c r="AI112" i="135"/>
  <c r="X131" i="135"/>
  <c r="Q112" i="135"/>
  <c r="M131" i="135"/>
  <c r="P129" i="135"/>
  <c r="Q129" i="135" s="1"/>
  <c r="AI125" i="135"/>
  <c r="Z125" i="135"/>
  <c r="AN106" i="149" l="1"/>
  <c r="X14" i="136"/>
  <c r="Y14" i="136" s="1"/>
  <c r="Z14" i="136" s="1"/>
  <c r="U14" i="136"/>
  <c r="W14" i="136" s="1"/>
  <c r="D89" i="147" s="1"/>
  <c r="F89" i="147" s="1"/>
  <c r="AN114" i="149"/>
  <c r="N12" i="148" s="1"/>
  <c r="AN110" i="149"/>
  <c r="N8" i="148" s="1"/>
  <c r="AN113" i="149"/>
  <c r="N11" i="148" s="1"/>
  <c r="AN108" i="149"/>
  <c r="N6" i="148" s="1"/>
  <c r="AN109" i="149"/>
  <c r="N7" i="148" s="1"/>
  <c r="AN111" i="149"/>
  <c r="N9" i="148" s="1"/>
  <c r="AN119" i="149"/>
  <c r="N17" i="148" s="1"/>
  <c r="T6" i="136"/>
  <c r="AN121" i="149"/>
  <c r="N19" i="148" s="1"/>
  <c r="AN116" i="149"/>
  <c r="N14" i="148" s="1"/>
  <c r="AN112" i="149"/>
  <c r="N10" i="148" s="1"/>
  <c r="AN118" i="149"/>
  <c r="N16" i="148" s="1"/>
  <c r="AN120" i="149"/>
  <c r="N18" i="148" s="1"/>
  <c r="AN117" i="149"/>
  <c r="N15" i="148" s="1"/>
  <c r="AN115" i="149"/>
  <c r="N13" i="148" s="1"/>
  <c r="AN107" i="149"/>
  <c r="N5" i="148" s="1"/>
  <c r="AN122" i="149"/>
  <c r="N20" i="148" s="1"/>
  <c r="N4" i="148"/>
  <c r="J49" i="145"/>
  <c r="U19" i="136"/>
  <c r="W19" i="136" s="1"/>
  <c r="D94" i="147" s="1"/>
  <c r="F94" i="147" s="1"/>
  <c r="X19" i="136"/>
  <c r="Y19" i="136" s="1"/>
  <c r="Z19" i="136" s="1"/>
  <c r="R49" i="145"/>
  <c r="P49" i="145"/>
  <c r="N49" i="145"/>
  <c r="L49" i="145"/>
  <c r="H49" i="145"/>
  <c r="F49" i="145"/>
  <c r="X6" i="136"/>
  <c r="Y6" i="136" s="1"/>
  <c r="Z6" i="136" s="1"/>
  <c r="X20" i="136"/>
  <c r="Y20" i="136" s="1"/>
  <c r="Z20" i="136" s="1"/>
  <c r="U20" i="136"/>
  <c r="W20" i="136" s="1"/>
  <c r="D95" i="147" s="1"/>
  <c r="F95" i="147" s="1"/>
  <c r="AG131" i="135"/>
  <c r="U12" i="136"/>
  <c r="W12" i="136" s="1"/>
  <c r="D87" i="147" s="1"/>
  <c r="F87" i="147" s="1"/>
  <c r="T12" i="136"/>
  <c r="Z131" i="135"/>
  <c r="AI131" i="135"/>
  <c r="P131" i="135"/>
  <c r="X21" i="136"/>
  <c r="Y21" i="136" s="1"/>
  <c r="Z21" i="136" s="1"/>
  <c r="U21" i="136"/>
  <c r="W21" i="136" s="1"/>
  <c r="D96" i="147" s="1"/>
  <c r="F96" i="147" s="1"/>
  <c r="T21" i="136"/>
  <c r="K23" i="136"/>
  <c r="L4" i="136"/>
  <c r="X18" i="136"/>
  <c r="Y18" i="136" s="1"/>
  <c r="Z18" i="136" s="1"/>
  <c r="U18" i="136"/>
  <c r="W18" i="136" s="1"/>
  <c r="D93" i="147" s="1"/>
  <c r="F93" i="147" s="1"/>
  <c r="U9" i="136"/>
  <c r="W9" i="136" s="1"/>
  <c r="D84" i="147" s="1"/>
  <c r="F84" i="147" s="1"/>
  <c r="X9" i="136"/>
  <c r="Y9" i="136" s="1"/>
  <c r="Z9" i="136" s="1"/>
  <c r="T9" i="136"/>
  <c r="U13" i="136"/>
  <c r="W13" i="136" s="1"/>
  <c r="D88" i="147" s="1"/>
  <c r="F88" i="147" s="1"/>
  <c r="X13" i="136"/>
  <c r="Y13" i="136" s="1"/>
  <c r="Z13" i="136" s="1"/>
  <c r="T13" i="136"/>
  <c r="X7" i="136"/>
  <c r="Y7" i="136" s="1"/>
  <c r="Z7" i="136" s="1"/>
  <c r="U7" i="136"/>
  <c r="W7" i="136" s="1"/>
  <c r="D82" i="147" s="1"/>
  <c r="F82" i="147" s="1"/>
  <c r="T7" i="136"/>
  <c r="X11" i="136"/>
  <c r="Y11" i="136" s="1"/>
  <c r="Z11" i="136" s="1"/>
  <c r="U11" i="136"/>
  <c r="W11" i="136" s="1"/>
  <c r="D86" i="147" s="1"/>
  <c r="F86" i="147" s="1"/>
  <c r="T11" i="136"/>
  <c r="X15" i="136"/>
  <c r="Y15" i="136" s="1"/>
  <c r="Z15" i="136" s="1"/>
  <c r="U15" i="136"/>
  <c r="W15" i="136" s="1"/>
  <c r="D90" i="147" s="1"/>
  <c r="F90" i="147" s="1"/>
  <c r="T15" i="136"/>
  <c r="T18" i="136"/>
  <c r="X17" i="136"/>
  <c r="Y17" i="136" s="1"/>
  <c r="Z17" i="136" s="1"/>
  <c r="U17" i="136"/>
  <c r="W17" i="136" s="1"/>
  <c r="D92" i="147" s="1"/>
  <c r="F92" i="147" s="1"/>
  <c r="T17" i="136"/>
  <c r="U5" i="136"/>
  <c r="W5" i="136" s="1"/>
  <c r="D80" i="147" s="1"/>
  <c r="F80" i="147" s="1"/>
  <c r="X5" i="136"/>
  <c r="Y5" i="136" s="1"/>
  <c r="Z5" i="136" s="1"/>
  <c r="T5" i="136"/>
  <c r="Q131" i="135"/>
  <c r="AN124" i="149" l="1"/>
  <c r="R4" i="136"/>
  <c r="L23" i="136"/>
  <c r="R23" i="136" l="1"/>
  <c r="X4" i="136"/>
  <c r="U4" i="136"/>
  <c r="W4" i="136" s="1"/>
  <c r="D79" i="147" s="1"/>
  <c r="F79" i="147" s="1"/>
  <c r="F98" i="147" s="1"/>
  <c r="C7" i="146" s="1"/>
  <c r="T4" i="136"/>
  <c r="C4" i="146" l="1"/>
  <c r="R27" i="136"/>
  <c r="R31" i="136" s="1"/>
  <c r="R24" i="120"/>
  <c r="X23" i="136"/>
  <c r="Y4" i="136"/>
  <c r="Y23" i="136" l="1"/>
  <c r="Z4" i="136"/>
  <c r="AX28" i="127" l="1"/>
  <c r="AZ28" i="127"/>
  <c r="BN18" i="122" l="1"/>
  <c r="BL14" i="122" l="1"/>
  <c r="BL24" i="122" l="1"/>
  <c r="BL23" i="122" l="1"/>
  <c r="BL21" i="122" l="1"/>
  <c r="BL7" i="122" l="1"/>
  <c r="BL12" i="122"/>
  <c r="BL20" i="122"/>
  <c r="BM10" i="122" l="1"/>
  <c r="BM18" i="122" l="1"/>
  <c r="BL17" i="122" l="1"/>
  <c r="E56" i="134" l="1"/>
  <c r="E55" i="134"/>
  <c r="E54" i="134"/>
  <c r="E53" i="134"/>
  <c r="E52" i="134"/>
  <c r="E51" i="134"/>
  <c r="E50" i="134"/>
  <c r="E49" i="134"/>
  <c r="E48" i="134"/>
  <c r="E47" i="134"/>
  <c r="E46" i="134"/>
  <c r="E45" i="134"/>
  <c r="E44" i="134"/>
  <c r="E43" i="134"/>
  <c r="E42" i="134"/>
  <c r="E41" i="134"/>
  <c r="E40" i="134"/>
  <c r="E39" i="134"/>
  <c r="E58" i="134" s="1"/>
  <c r="E51" i="98" l="1"/>
  <c r="AZ26" i="127" l="1"/>
  <c r="E153" i="128"/>
  <c r="I153" i="128" s="1"/>
  <c r="M167" i="128"/>
  <c r="I167" i="128"/>
  <c r="P166" i="128"/>
  <c r="R166" i="128" s="1"/>
  <c r="M166" i="128"/>
  <c r="G166" i="128" s="1"/>
  <c r="K166" i="128" s="1"/>
  <c r="I166" i="128"/>
  <c r="M165" i="128"/>
  <c r="I165" i="128"/>
  <c r="M164" i="128"/>
  <c r="P164" i="128" s="1"/>
  <c r="R164" i="128" s="1"/>
  <c r="I164" i="128"/>
  <c r="G164" i="128"/>
  <c r="K164" i="128" s="1"/>
  <c r="M163" i="128"/>
  <c r="I163" i="128"/>
  <c r="M162" i="128"/>
  <c r="P162" i="128" s="1"/>
  <c r="R162" i="128" s="1"/>
  <c r="I162" i="128"/>
  <c r="G162" i="128"/>
  <c r="K162" i="128" s="1"/>
  <c r="M158" i="128"/>
  <c r="I158" i="128"/>
  <c r="P157" i="128"/>
  <c r="R157" i="128" s="1"/>
  <c r="M157" i="128"/>
  <c r="G157" i="128" s="1"/>
  <c r="K157" i="128" s="1"/>
  <c r="I157" i="128"/>
  <c r="M156" i="128"/>
  <c r="I156" i="128"/>
  <c r="M154" i="128"/>
  <c r="G154" i="128" s="1"/>
  <c r="K154" i="128" s="1"/>
  <c r="I154" i="128"/>
  <c r="M152" i="128"/>
  <c r="P152" i="128" s="1"/>
  <c r="R152" i="128" s="1"/>
  <c r="I152" i="128"/>
  <c r="M151" i="128"/>
  <c r="I151" i="128"/>
  <c r="M150" i="128"/>
  <c r="P150" i="128" s="1"/>
  <c r="R150" i="128" s="1"/>
  <c r="I150" i="128"/>
  <c r="M149" i="128"/>
  <c r="I149" i="128"/>
  <c r="P154" i="128" l="1"/>
  <c r="R154" i="128" s="1"/>
  <c r="R156" i="128"/>
  <c r="G149" i="128"/>
  <c r="K149" i="128" s="1"/>
  <c r="P149" i="128"/>
  <c r="R149" i="128" s="1"/>
  <c r="G151" i="128"/>
  <c r="K151" i="128" s="1"/>
  <c r="P151" i="128"/>
  <c r="R151" i="128" s="1"/>
  <c r="M153" i="128"/>
  <c r="G156" i="128"/>
  <c r="K156" i="128" s="1"/>
  <c r="P156" i="128"/>
  <c r="G158" i="128"/>
  <c r="K158" i="128" s="1"/>
  <c r="P158" i="128"/>
  <c r="R158" i="128" s="1"/>
  <c r="G163" i="128"/>
  <c r="K163" i="128" s="1"/>
  <c r="P163" i="128"/>
  <c r="R163" i="128" s="1"/>
  <c r="G165" i="128"/>
  <c r="K165" i="128" s="1"/>
  <c r="P165" i="128"/>
  <c r="R165" i="128" s="1"/>
  <c r="G167" i="128"/>
  <c r="K167" i="128" s="1"/>
  <c r="P167" i="128"/>
  <c r="R167" i="128" s="1"/>
  <c r="G150" i="128"/>
  <c r="K150" i="128" s="1"/>
  <c r="G152" i="128"/>
  <c r="K152" i="128" s="1"/>
  <c r="P153" i="128" l="1"/>
  <c r="R153" i="128" s="1"/>
  <c r="G153" i="128"/>
  <c r="K153" i="128" s="1"/>
  <c r="AX26" i="127" s="1"/>
  <c r="N110" i="132" s="1"/>
  <c r="J20" i="124" l="1"/>
  <c r="BE20" i="127" l="1"/>
  <c r="G104" i="132"/>
  <c r="G106" i="132"/>
  <c r="AZ8" i="127"/>
  <c r="AZ11" i="127"/>
  <c r="AZ14" i="127"/>
  <c r="AZ17" i="127"/>
  <c r="AZ22" i="127"/>
  <c r="AZ24" i="127"/>
  <c r="BA24" i="127" s="1"/>
  <c r="AZ5" i="127"/>
  <c r="I126" i="128" l="1"/>
  <c r="M140" i="128"/>
  <c r="P140" i="128" s="1"/>
  <c r="R140" i="128" s="1"/>
  <c r="I140" i="128"/>
  <c r="G140" i="128"/>
  <c r="K140" i="128" s="1"/>
  <c r="M139" i="128"/>
  <c r="I139" i="128"/>
  <c r="P138" i="128"/>
  <c r="R138" i="128" s="1"/>
  <c r="M138" i="128"/>
  <c r="I138" i="128"/>
  <c r="G138" i="128"/>
  <c r="K138" i="128" s="1"/>
  <c r="M137" i="128"/>
  <c r="I137" i="128"/>
  <c r="P136" i="128"/>
  <c r="M136" i="128"/>
  <c r="I136" i="128"/>
  <c r="M135" i="128"/>
  <c r="P135" i="128" s="1"/>
  <c r="R135" i="128" s="1"/>
  <c r="I135" i="128"/>
  <c r="M131" i="128"/>
  <c r="I131" i="128"/>
  <c r="G131" i="128"/>
  <c r="M130" i="128"/>
  <c r="I130" i="128"/>
  <c r="M129" i="128"/>
  <c r="I129" i="128"/>
  <c r="G129" i="128"/>
  <c r="K129" i="128" s="1"/>
  <c r="M127" i="128"/>
  <c r="I127" i="128"/>
  <c r="M125" i="128"/>
  <c r="P125" i="128" s="1"/>
  <c r="I125" i="128"/>
  <c r="M124" i="128"/>
  <c r="P124" i="128" s="1"/>
  <c r="R124" i="128" s="1"/>
  <c r="I124" i="128"/>
  <c r="M123" i="128"/>
  <c r="P123" i="128" s="1"/>
  <c r="I123" i="128"/>
  <c r="M122" i="128"/>
  <c r="P122" i="128" s="1"/>
  <c r="R122" i="128" s="1"/>
  <c r="I122" i="128"/>
  <c r="K131" i="128" l="1"/>
  <c r="R136" i="128"/>
  <c r="P131" i="128"/>
  <c r="R131" i="128" s="1"/>
  <c r="P129" i="128"/>
  <c r="R129" i="128" s="1"/>
  <c r="G136" i="128"/>
  <c r="K136" i="128" s="1"/>
  <c r="R123" i="128"/>
  <c r="R125" i="128"/>
  <c r="G127" i="128"/>
  <c r="K127" i="128" s="1"/>
  <c r="P127" i="128"/>
  <c r="R127" i="128" s="1"/>
  <c r="G130" i="128"/>
  <c r="K130" i="128" s="1"/>
  <c r="P130" i="128"/>
  <c r="R130" i="128" s="1"/>
  <c r="G135" i="128"/>
  <c r="K135" i="128" s="1"/>
  <c r="G137" i="128"/>
  <c r="K137" i="128" s="1"/>
  <c r="P137" i="128"/>
  <c r="R137" i="128" s="1"/>
  <c r="G139" i="128"/>
  <c r="K139" i="128" s="1"/>
  <c r="P139" i="128"/>
  <c r="R139" i="128" s="1"/>
  <c r="G122" i="128"/>
  <c r="K122" i="128" s="1"/>
  <c r="G124" i="128"/>
  <c r="K124" i="128" s="1"/>
  <c r="M126" i="128"/>
  <c r="G123" i="128"/>
  <c r="K123" i="128" s="1"/>
  <c r="G125" i="128"/>
  <c r="K125" i="128" s="1"/>
  <c r="G126" i="128" l="1"/>
  <c r="K126" i="128" s="1"/>
  <c r="P126" i="128"/>
  <c r="R126" i="128" s="1"/>
  <c r="AX14" i="127" l="1"/>
  <c r="AX11" i="127"/>
  <c r="AX22" i="127"/>
  <c r="AX8" i="127"/>
  <c r="AX17" i="127"/>
  <c r="N102" i="132" l="1"/>
  <c r="G102" i="132" s="1"/>
  <c r="N96" i="132"/>
  <c r="G96" i="132" s="1"/>
  <c r="N98" i="132"/>
  <c r="G98" i="132" s="1"/>
  <c r="N100" i="132"/>
  <c r="G100" i="132" s="1"/>
  <c r="N94" i="132"/>
  <c r="G94" i="132" s="1"/>
  <c r="N92" i="132"/>
  <c r="P103" i="131" l="1"/>
  <c r="P101" i="131"/>
  <c r="P99" i="131"/>
  <c r="P97" i="131"/>
  <c r="AV6" i="127" l="1"/>
  <c r="AV7" i="127"/>
  <c r="AV9" i="127"/>
  <c r="AV10" i="127"/>
  <c r="AV12" i="127"/>
  <c r="AV13" i="127"/>
  <c r="AV15" i="127"/>
  <c r="AV16" i="127"/>
  <c r="AV18" i="127"/>
  <c r="AV19" i="127"/>
  <c r="AV20" i="127"/>
  <c r="AV21" i="127"/>
  <c r="AV23" i="127"/>
  <c r="AM6" i="127"/>
  <c r="AM7" i="127"/>
  <c r="AM9" i="127"/>
  <c r="AM10" i="127"/>
  <c r="AM12" i="127"/>
  <c r="AM13" i="127"/>
  <c r="AM15" i="127"/>
  <c r="AM16" i="127"/>
  <c r="E98" i="128"/>
  <c r="C20" i="123" l="1"/>
  <c r="C19" i="123"/>
  <c r="C18" i="123"/>
  <c r="C17" i="123"/>
  <c r="C16" i="123"/>
  <c r="C15" i="123"/>
  <c r="C14" i="123"/>
  <c r="C13" i="123"/>
  <c r="C12" i="123"/>
  <c r="C11" i="123"/>
  <c r="C10" i="123"/>
  <c r="C9" i="123"/>
  <c r="C8" i="123"/>
  <c r="C7" i="123"/>
  <c r="C6" i="123"/>
  <c r="C5" i="123"/>
  <c r="E22" i="134"/>
  <c r="E21" i="134"/>
  <c r="E20" i="134"/>
  <c r="E19" i="134"/>
  <c r="E18" i="134"/>
  <c r="E17" i="134"/>
  <c r="E16" i="134"/>
  <c r="E15" i="134"/>
  <c r="E14" i="134"/>
  <c r="E13" i="134"/>
  <c r="E12" i="134"/>
  <c r="E11" i="134"/>
  <c r="E10" i="134"/>
  <c r="E9" i="134"/>
  <c r="E8" i="134"/>
  <c r="E7" i="134"/>
  <c r="E6" i="134"/>
  <c r="E5" i="134"/>
  <c r="E24" i="134" s="1"/>
  <c r="D11" i="133" l="1"/>
  <c r="E11" i="133"/>
  <c r="F11" i="133"/>
  <c r="G11" i="133"/>
  <c r="H11" i="133"/>
  <c r="I11" i="133"/>
  <c r="J11" i="133"/>
  <c r="D17" i="133"/>
  <c r="E17" i="133"/>
  <c r="F17" i="133"/>
  <c r="G17" i="133"/>
  <c r="H17" i="133"/>
  <c r="I17" i="133"/>
  <c r="J17" i="133"/>
  <c r="D18" i="133"/>
  <c r="E18" i="133"/>
  <c r="F18" i="133"/>
  <c r="G18" i="133"/>
  <c r="H18" i="133"/>
  <c r="I18" i="133"/>
  <c r="J18" i="133"/>
  <c r="D19" i="133"/>
  <c r="E19" i="133"/>
  <c r="F19" i="133"/>
  <c r="G19" i="133"/>
  <c r="H19" i="133"/>
  <c r="I19" i="133"/>
  <c r="J19" i="133"/>
  <c r="D33" i="133"/>
  <c r="E33" i="133"/>
  <c r="F33" i="133"/>
  <c r="G33" i="133"/>
  <c r="H33" i="133"/>
  <c r="I33" i="133"/>
  <c r="J33" i="133"/>
  <c r="D39" i="133"/>
  <c r="E39" i="133"/>
  <c r="F39" i="133"/>
  <c r="G39" i="133"/>
  <c r="H39" i="133"/>
  <c r="I39" i="133"/>
  <c r="J39" i="133"/>
  <c r="D40" i="133"/>
  <c r="E40" i="133"/>
  <c r="F40" i="133"/>
  <c r="G40" i="133"/>
  <c r="H40" i="133"/>
  <c r="I40" i="133"/>
  <c r="J40" i="133"/>
  <c r="D41" i="133"/>
  <c r="E41" i="133"/>
  <c r="F41" i="133"/>
  <c r="G41" i="133"/>
  <c r="H41" i="133"/>
  <c r="I41" i="133"/>
  <c r="J41" i="133"/>
  <c r="D55" i="133"/>
  <c r="E55" i="133"/>
  <c r="F55" i="133"/>
  <c r="G55" i="133"/>
  <c r="H55" i="133"/>
  <c r="I55" i="133"/>
  <c r="J55" i="133"/>
  <c r="D61" i="133"/>
  <c r="E61" i="133"/>
  <c r="F61" i="133"/>
  <c r="G61" i="133"/>
  <c r="H61" i="133"/>
  <c r="I61" i="133"/>
  <c r="J61" i="133"/>
  <c r="D62" i="133"/>
  <c r="E62" i="133"/>
  <c r="F62" i="133"/>
  <c r="G62" i="133"/>
  <c r="H62" i="133"/>
  <c r="I62" i="133"/>
  <c r="J62" i="133"/>
  <c r="D63" i="133"/>
  <c r="E63" i="133"/>
  <c r="F63" i="133"/>
  <c r="G63" i="133"/>
  <c r="H63" i="133"/>
  <c r="I63" i="133"/>
  <c r="J63" i="133"/>
  <c r="D77" i="133"/>
  <c r="E77" i="133"/>
  <c r="F77" i="133"/>
  <c r="G77" i="133"/>
  <c r="H77" i="133"/>
  <c r="I77" i="133"/>
  <c r="J77" i="133"/>
  <c r="D83" i="133"/>
  <c r="E83" i="133"/>
  <c r="F83" i="133"/>
  <c r="G83" i="133"/>
  <c r="H83" i="133"/>
  <c r="I83" i="133"/>
  <c r="J83" i="133"/>
  <c r="D84" i="133"/>
  <c r="E84" i="133"/>
  <c r="F84" i="133"/>
  <c r="G84" i="133"/>
  <c r="H84" i="133"/>
  <c r="I84" i="133"/>
  <c r="J84" i="133"/>
  <c r="D85" i="133"/>
  <c r="E85" i="133"/>
  <c r="F85" i="133"/>
  <c r="G85" i="133"/>
  <c r="H85" i="133"/>
  <c r="I85" i="133"/>
  <c r="J85" i="133"/>
  <c r="D11" i="132"/>
  <c r="E11" i="132"/>
  <c r="F11" i="132"/>
  <c r="G11" i="132"/>
  <c r="H11" i="132"/>
  <c r="I11" i="132"/>
  <c r="J11" i="132"/>
  <c r="D17" i="132"/>
  <c r="E17" i="132"/>
  <c r="F17" i="132"/>
  <c r="G17" i="132"/>
  <c r="H17" i="132"/>
  <c r="I17" i="132"/>
  <c r="J17" i="132"/>
  <c r="D18" i="132"/>
  <c r="E18" i="132"/>
  <c r="F18" i="132"/>
  <c r="G18" i="132"/>
  <c r="H18" i="132"/>
  <c r="I18" i="132"/>
  <c r="J18" i="132"/>
  <c r="D19" i="132"/>
  <c r="E19" i="132"/>
  <c r="F19" i="132"/>
  <c r="G19" i="132"/>
  <c r="H19" i="132"/>
  <c r="I19" i="132"/>
  <c r="J19" i="132"/>
  <c r="D33" i="132"/>
  <c r="E33" i="132"/>
  <c r="F33" i="132"/>
  <c r="G33" i="132"/>
  <c r="H33" i="132"/>
  <c r="I33" i="132"/>
  <c r="J33" i="132"/>
  <c r="D39" i="132"/>
  <c r="E39" i="132"/>
  <c r="F39" i="132"/>
  <c r="G39" i="132"/>
  <c r="H39" i="132"/>
  <c r="I39" i="132"/>
  <c r="J39" i="132"/>
  <c r="D40" i="132"/>
  <c r="E40" i="132"/>
  <c r="F40" i="132"/>
  <c r="G40" i="132"/>
  <c r="H40" i="132"/>
  <c r="I40" i="132"/>
  <c r="J40" i="132"/>
  <c r="D41" i="132"/>
  <c r="E41" i="132"/>
  <c r="F41" i="132"/>
  <c r="G41" i="132"/>
  <c r="H41" i="132"/>
  <c r="I41" i="132"/>
  <c r="J41" i="132"/>
  <c r="D55" i="132"/>
  <c r="E55" i="132"/>
  <c r="F55" i="132"/>
  <c r="G55" i="132"/>
  <c r="H55" i="132"/>
  <c r="I55" i="132"/>
  <c r="J55" i="132"/>
  <c r="D61" i="132"/>
  <c r="E61" i="132"/>
  <c r="F61" i="132"/>
  <c r="G61" i="132"/>
  <c r="H61" i="132"/>
  <c r="I61" i="132"/>
  <c r="J61" i="132"/>
  <c r="D62" i="132"/>
  <c r="E62" i="132"/>
  <c r="F62" i="132"/>
  <c r="G62" i="132"/>
  <c r="H62" i="132"/>
  <c r="I62" i="132"/>
  <c r="J62" i="132"/>
  <c r="D63" i="132"/>
  <c r="E63" i="132"/>
  <c r="F63" i="132"/>
  <c r="G63" i="132"/>
  <c r="H63" i="132"/>
  <c r="I63" i="132"/>
  <c r="J63" i="132"/>
  <c r="D77" i="132"/>
  <c r="E77" i="132"/>
  <c r="F77" i="132"/>
  <c r="G77" i="132"/>
  <c r="H77" i="132"/>
  <c r="I77" i="132"/>
  <c r="J77" i="132"/>
  <c r="D83" i="132"/>
  <c r="E83" i="132"/>
  <c r="F83" i="132"/>
  <c r="G83" i="132"/>
  <c r="H83" i="132"/>
  <c r="I83" i="132"/>
  <c r="J83" i="132"/>
  <c r="D84" i="132"/>
  <c r="E84" i="132"/>
  <c r="F84" i="132"/>
  <c r="G84" i="132"/>
  <c r="H84" i="132"/>
  <c r="I84" i="132"/>
  <c r="J84" i="132"/>
  <c r="D85" i="132"/>
  <c r="E85" i="132"/>
  <c r="F85" i="132"/>
  <c r="G85" i="132"/>
  <c r="H85" i="132"/>
  <c r="I85" i="132"/>
  <c r="J85" i="132"/>
  <c r="B8" i="125" l="1"/>
  <c r="BQ26" i="122" l="1"/>
  <c r="AP5" i="127"/>
  <c r="AP8" i="127"/>
  <c r="AP11" i="127"/>
  <c r="AP14" i="127"/>
  <c r="AP17" i="127"/>
  <c r="AP22" i="127"/>
  <c r="AQ20" i="127" l="1"/>
  <c r="M98" i="128"/>
  <c r="M112" i="128"/>
  <c r="P112" i="128" s="1"/>
  <c r="R112" i="128" s="1"/>
  <c r="I112" i="128"/>
  <c r="G112" i="128"/>
  <c r="M111" i="128"/>
  <c r="P111" i="128" s="1"/>
  <c r="I111" i="128"/>
  <c r="M110" i="128"/>
  <c r="P110" i="128" s="1"/>
  <c r="R110" i="128" s="1"/>
  <c r="I110" i="128"/>
  <c r="M109" i="128"/>
  <c r="G109" i="128" s="1"/>
  <c r="K109" i="128" s="1"/>
  <c r="I109" i="128"/>
  <c r="P108" i="128"/>
  <c r="R108" i="128" s="1"/>
  <c r="M108" i="128"/>
  <c r="G108" i="128" s="1"/>
  <c r="I108" i="128"/>
  <c r="M107" i="128"/>
  <c r="P107" i="128" s="1"/>
  <c r="I107" i="128"/>
  <c r="M103" i="128"/>
  <c r="I103" i="128"/>
  <c r="G103" i="128"/>
  <c r="M102" i="128"/>
  <c r="P102" i="128" s="1"/>
  <c r="I102" i="128"/>
  <c r="M101" i="128"/>
  <c r="I101" i="128"/>
  <c r="M99" i="128"/>
  <c r="G99" i="128" s="1"/>
  <c r="K99" i="128" s="1"/>
  <c r="I99" i="128"/>
  <c r="I98" i="128"/>
  <c r="P97" i="128"/>
  <c r="R97" i="128" s="1"/>
  <c r="M97" i="128"/>
  <c r="I97" i="128"/>
  <c r="G97" i="128"/>
  <c r="K97" i="128" s="1"/>
  <c r="M96" i="128"/>
  <c r="I96" i="128"/>
  <c r="M95" i="128"/>
  <c r="P95" i="128" s="1"/>
  <c r="R95" i="128" s="1"/>
  <c r="I95" i="128"/>
  <c r="G95" i="128"/>
  <c r="M94" i="128"/>
  <c r="I94" i="128"/>
  <c r="R87" i="131"/>
  <c r="R86" i="131"/>
  <c r="R85" i="131"/>
  <c r="R80" i="131"/>
  <c r="R84" i="131"/>
  <c r="R79" i="131"/>
  <c r="R78" i="131"/>
  <c r="R71" i="131"/>
  <c r="R72" i="131"/>
  <c r="R73" i="131"/>
  <c r="R74" i="131"/>
  <c r="R76" i="131"/>
  <c r="R77" i="131"/>
  <c r="R70" i="131"/>
  <c r="O87" i="131"/>
  <c r="O86" i="131"/>
  <c r="O85" i="131"/>
  <c r="O84" i="131"/>
  <c r="O79" i="131"/>
  <c r="O78" i="131"/>
  <c r="O71" i="131"/>
  <c r="O72" i="131"/>
  <c r="O73" i="131"/>
  <c r="O74" i="131"/>
  <c r="O76" i="131"/>
  <c r="O77" i="131"/>
  <c r="O70" i="131"/>
  <c r="K108" i="128" l="1"/>
  <c r="G101" i="128"/>
  <c r="K101" i="128" s="1"/>
  <c r="K103" i="128"/>
  <c r="P103" i="128"/>
  <c r="R103" i="128" s="1"/>
  <c r="K95" i="128"/>
  <c r="P101" i="128"/>
  <c r="R101" i="128" s="1"/>
  <c r="K112" i="128"/>
  <c r="G110" i="128"/>
  <c r="K110" i="128" s="1"/>
  <c r="R89" i="131"/>
  <c r="P98" i="128"/>
  <c r="R98" i="128" s="1"/>
  <c r="G98" i="128"/>
  <c r="K98" i="128" s="1"/>
  <c r="AN5" i="127" s="1"/>
  <c r="P99" i="128"/>
  <c r="R99" i="128" s="1"/>
  <c r="G102" i="128"/>
  <c r="K102" i="128" s="1"/>
  <c r="P109" i="128"/>
  <c r="G94" i="128"/>
  <c r="K94" i="128" s="1"/>
  <c r="P94" i="128"/>
  <c r="R94" i="128" s="1"/>
  <c r="G96" i="128"/>
  <c r="K96" i="128" s="1"/>
  <c r="P96" i="128"/>
  <c r="R96" i="128" s="1"/>
  <c r="R102" i="128"/>
  <c r="R107" i="128"/>
  <c r="R109" i="128"/>
  <c r="R111" i="128"/>
  <c r="G107" i="128"/>
  <c r="K107" i="128" s="1"/>
  <c r="G111" i="128"/>
  <c r="K111" i="128" s="1"/>
  <c r="B163" i="125"/>
  <c r="B162" i="125"/>
  <c r="B161" i="125"/>
  <c r="B160" i="125"/>
  <c r="B159" i="125"/>
  <c r="B158" i="125"/>
  <c r="B157" i="125"/>
  <c r="B154" i="125"/>
  <c r="B153" i="125"/>
  <c r="B152" i="125"/>
  <c r="B151" i="125"/>
  <c r="B150" i="125"/>
  <c r="B149" i="125"/>
  <c r="B148" i="125"/>
  <c r="B145" i="125"/>
  <c r="B144" i="125"/>
  <c r="B143" i="125"/>
  <c r="B142" i="125"/>
  <c r="B141" i="125"/>
  <c r="B140" i="125"/>
  <c r="B139" i="125"/>
  <c r="B136" i="125"/>
  <c r="B135" i="125"/>
  <c r="B134" i="125"/>
  <c r="B133" i="125"/>
  <c r="B132" i="125"/>
  <c r="B131" i="125"/>
  <c r="B130" i="125"/>
  <c r="B127" i="125"/>
  <c r="B126" i="125"/>
  <c r="B125" i="125"/>
  <c r="B124" i="125"/>
  <c r="B123" i="125"/>
  <c r="B122" i="125"/>
  <c r="B121" i="125"/>
  <c r="B118" i="125"/>
  <c r="B117" i="125"/>
  <c r="B116" i="125"/>
  <c r="B115" i="125"/>
  <c r="B114" i="125"/>
  <c r="B113" i="125"/>
  <c r="B112" i="125"/>
  <c r="B109" i="125"/>
  <c r="B108" i="125"/>
  <c r="B107" i="125"/>
  <c r="B106" i="125"/>
  <c r="B105" i="125"/>
  <c r="B104" i="125"/>
  <c r="B103" i="125"/>
  <c r="B100" i="125"/>
  <c r="B99" i="125"/>
  <c r="B98" i="125"/>
  <c r="B97" i="125"/>
  <c r="B96" i="125"/>
  <c r="B95" i="125"/>
  <c r="B94" i="125"/>
  <c r="B91" i="125"/>
  <c r="B90" i="125"/>
  <c r="B89" i="125"/>
  <c r="B88" i="125"/>
  <c r="B87" i="125"/>
  <c r="B86" i="125"/>
  <c r="B85" i="125"/>
  <c r="B82" i="125"/>
  <c r="B81" i="125"/>
  <c r="B80" i="125"/>
  <c r="B79" i="125"/>
  <c r="B78" i="125"/>
  <c r="B77" i="125"/>
  <c r="B76" i="125"/>
  <c r="B73" i="125"/>
  <c r="B72" i="125"/>
  <c r="B71" i="125"/>
  <c r="B70" i="125"/>
  <c r="B69" i="125"/>
  <c r="B68" i="125"/>
  <c r="B67" i="125"/>
  <c r="B64" i="125"/>
  <c r="B63" i="125"/>
  <c r="B62" i="125"/>
  <c r="B61" i="125"/>
  <c r="B60" i="125"/>
  <c r="B59" i="125"/>
  <c r="B58" i="125"/>
  <c r="B55" i="125"/>
  <c r="B54" i="125"/>
  <c r="B53" i="125"/>
  <c r="B52" i="125"/>
  <c r="B51" i="125"/>
  <c r="B50" i="125"/>
  <c r="B49" i="125"/>
  <c r="B46" i="125"/>
  <c r="B45" i="125"/>
  <c r="B44" i="125"/>
  <c r="B43" i="125"/>
  <c r="B42" i="125"/>
  <c r="B41" i="125"/>
  <c r="B40" i="125"/>
  <c r="B37" i="125"/>
  <c r="B36" i="125"/>
  <c r="B35" i="125"/>
  <c r="B34" i="125"/>
  <c r="B33" i="125"/>
  <c r="B32" i="125"/>
  <c r="B31" i="125"/>
  <c r="B28" i="125"/>
  <c r="B27" i="125"/>
  <c r="B26" i="125"/>
  <c r="B25" i="125"/>
  <c r="B24" i="125"/>
  <c r="B23" i="125"/>
  <c r="B22" i="125"/>
  <c r="B18" i="125"/>
  <c r="B19" i="125"/>
  <c r="B17" i="125"/>
  <c r="B16" i="125"/>
  <c r="B15" i="125"/>
  <c r="B14" i="125"/>
  <c r="B13" i="125"/>
  <c r="B4" i="125"/>
  <c r="B6" i="125"/>
  <c r="B7" i="125"/>
  <c r="B9" i="125"/>
  <c r="B10" i="125"/>
  <c r="B5" i="125"/>
  <c r="L10" i="119" l="1"/>
  <c r="K10" i="119"/>
  <c r="J10" i="119"/>
  <c r="I10" i="119"/>
  <c r="H10" i="119"/>
  <c r="G10" i="119"/>
  <c r="F7" i="119"/>
  <c r="L7" i="119"/>
  <c r="J7" i="119"/>
  <c r="H7" i="119"/>
  <c r="G7" i="119"/>
  <c r="K7" i="119"/>
  <c r="I7" i="119"/>
  <c r="M7" i="119"/>
  <c r="AM5" i="127"/>
  <c r="M98" i="132"/>
  <c r="AN17" i="127"/>
  <c r="AN14" i="127"/>
  <c r="AN11" i="127"/>
  <c r="AN22" i="127"/>
  <c r="M102" i="132" s="1"/>
  <c r="AN8" i="127"/>
  <c r="AM11" i="127" l="1"/>
  <c r="M92" i="132"/>
  <c r="AM14" i="127"/>
  <c r="M100" i="132"/>
  <c r="AM17" i="127"/>
  <c r="M96" i="132"/>
  <c r="AM8" i="127"/>
  <c r="M94" i="132"/>
  <c r="E69" i="128"/>
  <c r="H111" i="133" l="1"/>
  <c r="G111" i="133"/>
  <c r="E111" i="133"/>
  <c r="D111" i="133"/>
  <c r="M85" i="133"/>
  <c r="M84" i="133"/>
  <c r="M83" i="133"/>
  <c r="M77" i="133"/>
  <c r="M63" i="133"/>
  <c r="M62" i="133"/>
  <c r="M61" i="133"/>
  <c r="M55" i="133"/>
  <c r="M41" i="133"/>
  <c r="M40" i="133"/>
  <c r="M39" i="133"/>
  <c r="M33" i="133"/>
  <c r="M19" i="133"/>
  <c r="M18" i="133"/>
  <c r="M17" i="133"/>
  <c r="M11" i="133"/>
  <c r="P71" i="131" l="1"/>
  <c r="P72" i="131"/>
  <c r="P73" i="131"/>
  <c r="P74" i="131"/>
  <c r="P75" i="131"/>
  <c r="P76" i="131"/>
  <c r="P77" i="131"/>
  <c r="P78" i="131"/>
  <c r="P79" i="131"/>
  <c r="P80" i="131"/>
  <c r="P81" i="131"/>
  <c r="P82" i="131"/>
  <c r="P83" i="131"/>
  <c r="P84" i="131"/>
  <c r="P85" i="131"/>
  <c r="P86" i="131"/>
  <c r="P87" i="131"/>
  <c r="P70" i="131"/>
  <c r="Q8" i="127"/>
  <c r="Q11" i="127"/>
  <c r="Q14" i="127"/>
  <c r="Q17" i="127"/>
  <c r="Q22" i="127"/>
  <c r="Q5" i="127"/>
  <c r="P20" i="127"/>
  <c r="P24" i="127"/>
  <c r="E19" i="128" l="1"/>
  <c r="M50" i="131" l="1"/>
  <c r="L157" i="125" l="1"/>
  <c r="L148" i="125"/>
  <c r="L130" i="125"/>
  <c r="L121" i="125"/>
  <c r="L112" i="125"/>
  <c r="L103" i="125"/>
  <c r="L4" i="125"/>
  <c r="L13" i="125"/>
  <c r="L22" i="125"/>
  <c r="L31" i="125"/>
  <c r="L40" i="125"/>
  <c r="L49" i="125"/>
  <c r="L58" i="125"/>
  <c r="L67" i="125"/>
  <c r="L76" i="125"/>
  <c r="L85" i="125"/>
  <c r="N20" i="127"/>
  <c r="L94" i="125"/>
  <c r="N88" i="131" l="1"/>
  <c r="H104" i="132"/>
  <c r="E20" i="128"/>
  <c r="M83" i="128"/>
  <c r="I83" i="128"/>
  <c r="M82" i="128"/>
  <c r="G82" i="128" s="1"/>
  <c r="K82" i="128" s="1"/>
  <c r="I82" i="128"/>
  <c r="M81" i="128"/>
  <c r="I81" i="128"/>
  <c r="M80" i="128"/>
  <c r="G80" i="128" s="1"/>
  <c r="K80" i="128" s="1"/>
  <c r="I80" i="128"/>
  <c r="M79" i="128"/>
  <c r="I79" i="128"/>
  <c r="M78" i="128"/>
  <c r="P78" i="128" s="1"/>
  <c r="R78" i="128" s="1"/>
  <c r="I78" i="128"/>
  <c r="G78" i="128"/>
  <c r="K78" i="128" s="1"/>
  <c r="M74" i="128"/>
  <c r="I74" i="128"/>
  <c r="M73" i="128"/>
  <c r="P73" i="128" s="1"/>
  <c r="R73" i="128" s="1"/>
  <c r="I73" i="128"/>
  <c r="M72" i="128"/>
  <c r="I72" i="128"/>
  <c r="M70" i="128"/>
  <c r="G70" i="128" s="1"/>
  <c r="K70" i="128" s="1"/>
  <c r="I70" i="128"/>
  <c r="M68" i="128"/>
  <c r="P68" i="128" s="1"/>
  <c r="R68" i="128" s="1"/>
  <c r="I68" i="128"/>
  <c r="M67" i="128"/>
  <c r="G67" i="128" s="1"/>
  <c r="I67" i="128"/>
  <c r="M66" i="128"/>
  <c r="P66" i="128" s="1"/>
  <c r="R66" i="128" s="1"/>
  <c r="I66" i="128"/>
  <c r="M65" i="128"/>
  <c r="I65" i="128"/>
  <c r="M85" i="132"/>
  <c r="M84" i="132"/>
  <c r="M83" i="132"/>
  <c r="M77" i="132"/>
  <c r="M63" i="132"/>
  <c r="M62" i="132"/>
  <c r="P61" i="132"/>
  <c r="M61" i="132"/>
  <c r="M55" i="132"/>
  <c r="M41" i="132"/>
  <c r="M40" i="132"/>
  <c r="M39" i="132"/>
  <c r="M33" i="132"/>
  <c r="M19" i="132"/>
  <c r="M18" i="132"/>
  <c r="P17" i="132"/>
  <c r="M17" i="132"/>
  <c r="M11" i="132"/>
  <c r="A95" i="131"/>
  <c r="P80" i="128" l="1"/>
  <c r="R80" i="128" s="1"/>
  <c r="P70" i="128"/>
  <c r="R70" i="128" s="1"/>
  <c r="P82" i="128"/>
  <c r="R82" i="128" s="1"/>
  <c r="G73" i="128"/>
  <c r="K73" i="128" s="1"/>
  <c r="B134" i="132"/>
  <c r="B136" i="132" s="1"/>
  <c r="N109" i="132"/>
  <c r="H109" i="132"/>
  <c r="P85" i="132"/>
  <c r="P62" i="132"/>
  <c r="P77" i="132"/>
  <c r="P33" i="132"/>
  <c r="P41" i="132"/>
  <c r="P84" i="132"/>
  <c r="P11" i="132"/>
  <c r="P19" i="132"/>
  <c r="P39" i="132"/>
  <c r="P55" i="132"/>
  <c r="P63" i="132"/>
  <c r="P83" i="132"/>
  <c r="P18" i="132"/>
  <c r="P40" i="132"/>
  <c r="L11" i="132"/>
  <c r="D117" i="132" s="1"/>
  <c r="L19" i="132"/>
  <c r="D125" i="132" s="1"/>
  <c r="L39" i="132"/>
  <c r="L55" i="132"/>
  <c r="L62" i="132"/>
  <c r="L63" i="132"/>
  <c r="L17" i="132"/>
  <c r="L33" i="132"/>
  <c r="N33" i="132" s="1"/>
  <c r="L83" i="132"/>
  <c r="N83" i="132" s="1"/>
  <c r="L84" i="132"/>
  <c r="N84" i="132" s="1"/>
  <c r="L85" i="132"/>
  <c r="G125" i="132" s="1"/>
  <c r="L61" i="132"/>
  <c r="L77" i="132"/>
  <c r="G117" i="132" s="1"/>
  <c r="L18" i="132"/>
  <c r="N18" i="132" s="1"/>
  <c r="L40" i="132"/>
  <c r="G65" i="128"/>
  <c r="K65" i="128" s="1"/>
  <c r="P65" i="128"/>
  <c r="R65" i="128" s="1"/>
  <c r="K67" i="128"/>
  <c r="P67" i="128"/>
  <c r="R67" i="128" s="1"/>
  <c r="G72" i="128"/>
  <c r="K72" i="128" s="1"/>
  <c r="P72" i="128"/>
  <c r="R72" i="128" s="1"/>
  <c r="G74" i="128"/>
  <c r="K74" i="128" s="1"/>
  <c r="P74" i="128"/>
  <c r="R74" i="128" s="1"/>
  <c r="G79" i="128"/>
  <c r="K79" i="128" s="1"/>
  <c r="P79" i="128"/>
  <c r="R79" i="128" s="1"/>
  <c r="G81" i="128"/>
  <c r="K81" i="128" s="1"/>
  <c r="P81" i="128"/>
  <c r="R81" i="128" s="1"/>
  <c r="G83" i="128"/>
  <c r="K83" i="128" s="1"/>
  <c r="P83" i="128"/>
  <c r="R83" i="128" s="1"/>
  <c r="G66" i="128"/>
  <c r="K66" i="128" s="1"/>
  <c r="G68" i="128"/>
  <c r="K68" i="128" s="1"/>
  <c r="N17" i="132"/>
  <c r="L41" i="132"/>
  <c r="D64" i="131"/>
  <c r="C28" i="131"/>
  <c r="K109" i="132" l="1"/>
  <c r="J8" i="124"/>
  <c r="M109" i="132"/>
  <c r="I109" i="132"/>
  <c r="J109" i="132"/>
  <c r="L109" i="132"/>
  <c r="N77" i="132"/>
  <c r="F124" i="132"/>
  <c r="N62" i="132"/>
  <c r="N61" i="132"/>
  <c r="N11" i="132"/>
  <c r="F117" i="132"/>
  <c r="F125" i="132"/>
  <c r="N63" i="132"/>
  <c r="N55" i="132"/>
  <c r="N39" i="132"/>
  <c r="N19" i="132"/>
  <c r="N40" i="132"/>
  <c r="E123" i="132"/>
  <c r="F123" i="132"/>
  <c r="N85" i="132"/>
  <c r="D123" i="132"/>
  <c r="D124" i="132"/>
  <c r="G124" i="132"/>
  <c r="E117" i="132"/>
  <c r="E124" i="132"/>
  <c r="G123" i="132"/>
  <c r="E125" i="132"/>
  <c r="N41" i="132"/>
  <c r="J56" i="131"/>
  <c r="D56" i="131"/>
  <c r="H125" i="132" l="1"/>
  <c r="H117" i="132"/>
  <c r="H123" i="132"/>
  <c r="H124" i="132"/>
  <c r="J5" i="131"/>
  <c r="J6" i="131"/>
  <c r="C71" i="131" s="1"/>
  <c r="J7" i="131"/>
  <c r="C72" i="131" s="1"/>
  <c r="J8" i="131"/>
  <c r="C73" i="131" s="1"/>
  <c r="J9" i="131"/>
  <c r="C74" i="131" s="1"/>
  <c r="J10" i="131"/>
  <c r="C75" i="131" s="1"/>
  <c r="J11" i="131"/>
  <c r="C76" i="131" s="1"/>
  <c r="J12" i="131"/>
  <c r="C77" i="131" s="1"/>
  <c r="J13" i="131"/>
  <c r="J14" i="131"/>
  <c r="C79" i="131" s="1"/>
  <c r="J15" i="131"/>
  <c r="C80" i="131" s="1"/>
  <c r="J16" i="131"/>
  <c r="C81" i="131" s="1"/>
  <c r="J17" i="131"/>
  <c r="C82" i="131" s="1"/>
  <c r="J18" i="131"/>
  <c r="C83" i="131" s="1"/>
  <c r="J19" i="131"/>
  <c r="C84" i="131" s="1"/>
  <c r="J20" i="131"/>
  <c r="C85" i="131" s="1"/>
  <c r="J21" i="131"/>
  <c r="C86" i="131" s="1"/>
  <c r="J22" i="131"/>
  <c r="C87" i="131" s="1"/>
  <c r="J23" i="131"/>
  <c r="J24" i="131"/>
  <c r="J25" i="131"/>
  <c r="J26" i="131"/>
  <c r="D82" i="131" l="1"/>
  <c r="L82" i="131" s="1"/>
  <c r="U82" i="131"/>
  <c r="D81" i="131"/>
  <c r="L81" i="131" s="1"/>
  <c r="U81" i="131"/>
  <c r="D83" i="131"/>
  <c r="L83" i="131" s="1"/>
  <c r="U83" i="131"/>
  <c r="D75" i="131"/>
  <c r="L75" i="131" s="1"/>
  <c r="U75" i="131"/>
  <c r="Q85" i="131"/>
  <c r="Q73" i="131"/>
  <c r="Q84" i="131"/>
  <c r="Q80" i="131"/>
  <c r="Q76" i="131"/>
  <c r="Q72" i="131"/>
  <c r="Q77" i="131"/>
  <c r="Q87" i="131"/>
  <c r="Q79" i="131"/>
  <c r="Q71" i="131"/>
  <c r="Q81" i="131"/>
  <c r="Q83" i="131"/>
  <c r="Q75" i="131"/>
  <c r="Q86" i="131"/>
  <c r="Q82" i="131"/>
  <c r="Q74" i="131"/>
  <c r="C70" i="131"/>
  <c r="M22" i="131"/>
  <c r="J28" i="131"/>
  <c r="C78" i="131"/>
  <c r="D28" i="131"/>
  <c r="K82" i="131" l="1"/>
  <c r="K83" i="131"/>
  <c r="K75" i="131"/>
  <c r="K81" i="131"/>
  <c r="Q70" i="131"/>
  <c r="C88" i="131"/>
  <c r="Q78" i="131"/>
  <c r="A97" i="131" l="1"/>
  <c r="M64" i="130" l="1"/>
  <c r="Q64" i="130" s="1"/>
  <c r="S64" i="130" s="1"/>
  <c r="I64" i="130"/>
  <c r="G64" i="130"/>
  <c r="K64" i="130" s="1"/>
  <c r="M63" i="130"/>
  <c r="G63" i="130" s="1"/>
  <c r="K63" i="130" s="1"/>
  <c r="I63" i="130"/>
  <c r="M62" i="130"/>
  <c r="I62" i="130"/>
  <c r="M61" i="130"/>
  <c r="I61" i="130"/>
  <c r="Q60" i="130"/>
  <c r="S60" i="130" s="1"/>
  <c r="M60" i="130"/>
  <c r="I60" i="130"/>
  <c r="G60" i="130"/>
  <c r="K60" i="130" s="1"/>
  <c r="M59" i="130"/>
  <c r="G59" i="130" s="1"/>
  <c r="K59" i="130" s="1"/>
  <c r="I59" i="130"/>
  <c r="M58" i="130"/>
  <c r="G58" i="130" s="1"/>
  <c r="K58" i="130" s="1"/>
  <c r="I58" i="130"/>
  <c r="M57" i="130"/>
  <c r="I57" i="130"/>
  <c r="Q56" i="130"/>
  <c r="S56" i="130" s="1"/>
  <c r="M56" i="130"/>
  <c r="I56" i="130"/>
  <c r="G56" i="130"/>
  <c r="K56" i="130" s="1"/>
  <c r="M55" i="130"/>
  <c r="G55" i="130" s="1"/>
  <c r="K55" i="130" s="1"/>
  <c r="I55" i="130"/>
  <c r="M54" i="130"/>
  <c r="I54" i="130"/>
  <c r="M53" i="130"/>
  <c r="I53" i="130"/>
  <c r="Q52" i="130"/>
  <c r="S52" i="130" s="1"/>
  <c r="M52" i="130"/>
  <c r="I52" i="130"/>
  <c r="G52" i="130"/>
  <c r="K52" i="130" s="1"/>
  <c r="M51" i="130"/>
  <c r="G51" i="130" s="1"/>
  <c r="K51" i="130" s="1"/>
  <c r="I51" i="130"/>
  <c r="M50" i="130"/>
  <c r="G50" i="130" s="1"/>
  <c r="K50" i="130" s="1"/>
  <c r="I50" i="130"/>
  <c r="M49" i="130"/>
  <c r="I49" i="130"/>
  <c r="Q48" i="130"/>
  <c r="S48" i="130" s="1"/>
  <c r="M48" i="130"/>
  <c r="I48" i="130"/>
  <c r="G48" i="130"/>
  <c r="K48" i="130" s="1"/>
  <c r="M47" i="130"/>
  <c r="G47" i="130" s="1"/>
  <c r="K47" i="130" s="1"/>
  <c r="I47" i="130"/>
  <c r="M46" i="130"/>
  <c r="I46" i="130"/>
  <c r="M45" i="130"/>
  <c r="I45" i="130"/>
  <c r="Q44" i="130"/>
  <c r="S44" i="130" s="1"/>
  <c r="M44" i="130"/>
  <c r="I44" i="130"/>
  <c r="G44" i="130"/>
  <c r="K44" i="130" s="1"/>
  <c r="M43" i="130"/>
  <c r="G43" i="130" s="1"/>
  <c r="K43" i="130" s="1"/>
  <c r="I43" i="130"/>
  <c r="M42" i="130"/>
  <c r="Q42" i="130" s="1"/>
  <c r="S42" i="130" s="1"/>
  <c r="I42" i="130"/>
  <c r="M41" i="130"/>
  <c r="I41" i="130"/>
  <c r="Q40" i="130"/>
  <c r="S40" i="130" s="1"/>
  <c r="M40" i="130"/>
  <c r="I40" i="130"/>
  <c r="G40" i="130"/>
  <c r="K40" i="130" s="1"/>
  <c r="M39" i="130"/>
  <c r="G39" i="130" s="1"/>
  <c r="K39" i="130" s="1"/>
  <c r="I39" i="130"/>
  <c r="M38" i="130"/>
  <c r="I38" i="130"/>
  <c r="M37" i="130"/>
  <c r="I37" i="130"/>
  <c r="Q36" i="130"/>
  <c r="M36" i="130"/>
  <c r="I36" i="130"/>
  <c r="G36" i="130"/>
  <c r="K36" i="130" s="1"/>
  <c r="M35" i="130"/>
  <c r="G35" i="130" s="1"/>
  <c r="K35" i="130" s="1"/>
  <c r="I35" i="130"/>
  <c r="M34" i="130"/>
  <c r="Q34" i="130" s="1"/>
  <c r="I34" i="130"/>
  <c r="M33" i="130"/>
  <c r="I33" i="130"/>
  <c r="Q32" i="130"/>
  <c r="M32" i="130"/>
  <c r="I32" i="130"/>
  <c r="G32" i="130"/>
  <c r="K32" i="130" s="1"/>
  <c r="M31" i="130"/>
  <c r="G31" i="130" s="1"/>
  <c r="K31" i="130" s="1"/>
  <c r="I31" i="130"/>
  <c r="M30" i="130"/>
  <c r="I30" i="130"/>
  <c r="M29" i="130"/>
  <c r="Q29" i="130" s="1"/>
  <c r="S29" i="130" s="1"/>
  <c r="I29" i="130"/>
  <c r="Q28" i="130"/>
  <c r="M28" i="130"/>
  <c r="I28" i="130"/>
  <c r="G28" i="130"/>
  <c r="K28" i="130" s="1"/>
  <c r="M27" i="130"/>
  <c r="G27" i="130" s="1"/>
  <c r="K27" i="130" s="1"/>
  <c r="I27" i="130"/>
  <c r="M26" i="130"/>
  <c r="Q26" i="130" s="1"/>
  <c r="I26" i="130"/>
  <c r="M25" i="130"/>
  <c r="Q25" i="130" s="1"/>
  <c r="S25" i="130" s="1"/>
  <c r="I25" i="130"/>
  <c r="Q24" i="130"/>
  <c r="M24" i="130"/>
  <c r="I24" i="130"/>
  <c r="G24" i="130"/>
  <c r="K24" i="130" s="1"/>
  <c r="M23" i="130"/>
  <c r="G23" i="130" s="1"/>
  <c r="K23" i="130" s="1"/>
  <c r="I23" i="130"/>
  <c r="M22" i="130"/>
  <c r="I22" i="130"/>
  <c r="M21" i="130"/>
  <c r="Q21" i="130" s="1"/>
  <c r="S21" i="130" s="1"/>
  <c r="I21" i="130"/>
  <c r="Q20" i="130"/>
  <c r="M20" i="130"/>
  <c r="I20" i="130"/>
  <c r="G20" i="130"/>
  <c r="K20" i="130" s="1"/>
  <c r="M19" i="130"/>
  <c r="G19" i="130" s="1"/>
  <c r="K19" i="130" s="1"/>
  <c r="I19" i="130"/>
  <c r="M18" i="130"/>
  <c r="G18" i="130" s="1"/>
  <c r="K18" i="130" s="1"/>
  <c r="I18" i="130"/>
  <c r="S11" i="130"/>
  <c r="O11" i="130"/>
  <c r="K11" i="130"/>
  <c r="I11" i="130"/>
  <c r="G11" i="130"/>
  <c r="E11" i="130"/>
  <c r="B11" i="130"/>
  <c r="S10" i="130"/>
  <c r="K10" i="130"/>
  <c r="I10" i="130"/>
  <c r="G10" i="130"/>
  <c r="E10" i="130"/>
  <c r="C10" i="130"/>
  <c r="B10" i="130"/>
  <c r="S9" i="130"/>
  <c r="G9" i="130"/>
  <c r="E9" i="130"/>
  <c r="C9" i="130"/>
  <c r="B9" i="130"/>
  <c r="C8" i="130"/>
  <c r="S38" i="130" l="1"/>
  <c r="S46" i="130"/>
  <c r="Q22" i="130"/>
  <c r="S22" i="130" s="1"/>
  <c r="Q30" i="130"/>
  <c r="S30" i="130" s="1"/>
  <c r="Q38" i="130"/>
  <c r="Q46" i="130"/>
  <c r="Q54" i="130"/>
  <c r="S54" i="130" s="1"/>
  <c r="Q62" i="130"/>
  <c r="S62" i="130" s="1"/>
  <c r="S20" i="130"/>
  <c r="G26" i="130"/>
  <c r="K26" i="130" s="1"/>
  <c r="S28" i="130"/>
  <c r="G34" i="130"/>
  <c r="K34" i="130" s="1"/>
  <c r="S36" i="130"/>
  <c r="G42" i="130"/>
  <c r="K42" i="130" s="1"/>
  <c r="S18" i="130"/>
  <c r="Q50" i="130"/>
  <c r="S50" i="130" s="1"/>
  <c r="Q58" i="130"/>
  <c r="S58" i="130" s="1"/>
  <c r="S26" i="130"/>
  <c r="S34" i="130"/>
  <c r="Q18" i="130"/>
  <c r="G22" i="130"/>
  <c r="K22" i="130" s="1"/>
  <c r="S24" i="130"/>
  <c r="G30" i="130"/>
  <c r="K30" i="130" s="1"/>
  <c r="S32" i="130"/>
  <c r="G38" i="130"/>
  <c r="K38" i="130" s="1"/>
  <c r="G46" i="130"/>
  <c r="K46" i="130" s="1"/>
  <c r="G54" i="130"/>
  <c r="K54" i="130" s="1"/>
  <c r="G62" i="130"/>
  <c r="K62" i="130" s="1"/>
  <c r="AC8" i="127"/>
  <c r="W14" i="127"/>
  <c r="AI11" i="127"/>
  <c r="W11" i="127"/>
  <c r="AI8" i="127"/>
  <c r="W8" i="127"/>
  <c r="AI5" i="127"/>
  <c r="AI22" i="127"/>
  <c r="AC5" i="127"/>
  <c r="W17" i="127"/>
  <c r="AI17" i="127"/>
  <c r="AI14" i="127"/>
  <c r="AC17" i="127"/>
  <c r="AC14" i="127"/>
  <c r="AC11" i="127"/>
  <c r="W5" i="127"/>
  <c r="E22" i="127"/>
  <c r="E17" i="127"/>
  <c r="E14" i="127"/>
  <c r="E11" i="127"/>
  <c r="E8" i="127"/>
  <c r="E5" i="127"/>
  <c r="Q19" i="130"/>
  <c r="S19" i="130" s="1"/>
  <c r="G21" i="130"/>
  <c r="K21" i="130" s="1"/>
  <c r="Q23" i="130"/>
  <c r="S23" i="130" s="1"/>
  <c r="G25" i="130"/>
  <c r="K25" i="130" s="1"/>
  <c r="Q27" i="130"/>
  <c r="S27" i="130" s="1"/>
  <c r="G29" i="130"/>
  <c r="K29" i="130" s="1"/>
  <c r="Q31" i="130"/>
  <c r="S31" i="130" s="1"/>
  <c r="G33" i="130"/>
  <c r="K33" i="130" s="1"/>
  <c r="Q35" i="130"/>
  <c r="S35" i="130" s="1"/>
  <c r="G37" i="130"/>
  <c r="K37" i="130" s="1"/>
  <c r="Q39" i="130"/>
  <c r="S39" i="130" s="1"/>
  <c r="G41" i="130"/>
  <c r="K41" i="130" s="1"/>
  <c r="Q43" i="130"/>
  <c r="G45" i="130"/>
  <c r="K45" i="130" s="1"/>
  <c r="Q47" i="130"/>
  <c r="S47" i="130" s="1"/>
  <c r="G49" i="130"/>
  <c r="K49" i="130" s="1"/>
  <c r="Q51" i="130"/>
  <c r="S51" i="130" s="1"/>
  <c r="G53" i="130"/>
  <c r="K53" i="130" s="1"/>
  <c r="Q55" i="130"/>
  <c r="S55" i="130" s="1"/>
  <c r="G57" i="130"/>
  <c r="K57" i="130" s="1"/>
  <c r="Q59" i="130"/>
  <c r="S59" i="130" s="1"/>
  <c r="G61" i="130"/>
  <c r="K61" i="130" s="1"/>
  <c r="Q63" i="130"/>
  <c r="S63" i="130" s="1"/>
  <c r="S43" i="130"/>
  <c r="Q33" i="130"/>
  <c r="S33" i="130" s="1"/>
  <c r="Q37" i="130"/>
  <c r="S37" i="130" s="1"/>
  <c r="Q41" i="130"/>
  <c r="S41" i="130" s="1"/>
  <c r="Q45" i="130"/>
  <c r="S45" i="130" s="1"/>
  <c r="Q49" i="130"/>
  <c r="S49" i="130" s="1"/>
  <c r="Q53" i="130"/>
  <c r="S53" i="130" s="1"/>
  <c r="Q57" i="130"/>
  <c r="S57" i="130" s="1"/>
  <c r="Q61" i="130"/>
  <c r="S61" i="130" s="1"/>
  <c r="F39" i="129" l="1"/>
  <c r="F38" i="129"/>
  <c r="N38" i="129" s="1"/>
  <c r="F37" i="129"/>
  <c r="H37" i="129" s="1"/>
  <c r="F36" i="129"/>
  <c r="J36" i="129" s="1"/>
  <c r="F35" i="129"/>
  <c r="N35" i="129" s="1"/>
  <c r="F34" i="129"/>
  <c r="N34" i="129" s="1"/>
  <c r="F33" i="129"/>
  <c r="N33" i="129" s="1"/>
  <c r="F32" i="129"/>
  <c r="N32" i="129" s="1"/>
  <c r="F31" i="129"/>
  <c r="F30" i="129"/>
  <c r="F29" i="129"/>
  <c r="H29" i="129" s="1"/>
  <c r="F28" i="129"/>
  <c r="N28" i="129" s="1"/>
  <c r="R28" i="129" s="1"/>
  <c r="T28" i="129" s="1"/>
  <c r="F27" i="129"/>
  <c r="N27" i="129" s="1"/>
  <c r="F26" i="129"/>
  <c r="N26" i="129" s="1"/>
  <c r="F25" i="129"/>
  <c r="N25" i="129" s="1"/>
  <c r="F24" i="129"/>
  <c r="F23" i="129"/>
  <c r="F22" i="129"/>
  <c r="J22" i="129" s="1"/>
  <c r="F21" i="129"/>
  <c r="H21" i="129" s="1"/>
  <c r="F20" i="129"/>
  <c r="N20" i="129" s="1"/>
  <c r="R20" i="129" s="1"/>
  <c r="T20" i="129" s="1"/>
  <c r="H11" i="129"/>
  <c r="C11" i="129"/>
  <c r="D10" i="129"/>
  <c r="C10" i="129"/>
  <c r="F40" i="129" l="1"/>
  <c r="F41" i="129"/>
  <c r="N39" i="129"/>
  <c r="R39" i="129" s="1"/>
  <c r="T39" i="129" s="1"/>
  <c r="H39" i="129"/>
  <c r="J25" i="129"/>
  <c r="J32" i="129"/>
  <c r="N24" i="129"/>
  <c r="R24" i="129" s="1"/>
  <c r="T24" i="129" s="1"/>
  <c r="F43" i="129"/>
  <c r="N36" i="129"/>
  <c r="R36" i="129" s="1"/>
  <c r="T36" i="129" s="1"/>
  <c r="J37" i="129"/>
  <c r="L37" i="129" s="1"/>
  <c r="N21" i="129"/>
  <c r="R21" i="129" s="1"/>
  <c r="T21" i="129" s="1"/>
  <c r="J29" i="129"/>
  <c r="L29" i="129" s="1"/>
  <c r="J33" i="129"/>
  <c r="N37" i="129"/>
  <c r="R37" i="129" s="1"/>
  <c r="T37" i="129" s="1"/>
  <c r="J20" i="129"/>
  <c r="H28" i="129"/>
  <c r="J21" i="129"/>
  <c r="L21" i="129" s="1"/>
  <c r="H20" i="129"/>
  <c r="H24" i="129"/>
  <c r="J28" i="129"/>
  <c r="H36" i="129"/>
  <c r="L36" i="129" s="1"/>
  <c r="N29" i="129"/>
  <c r="R29" i="129" s="1"/>
  <c r="T29" i="129" s="1"/>
  <c r="J24" i="129"/>
  <c r="H32" i="129"/>
  <c r="R25" i="129"/>
  <c r="T25" i="129" s="1"/>
  <c r="R33" i="129"/>
  <c r="T33" i="129" s="1"/>
  <c r="R26" i="129"/>
  <c r="T26" i="129" s="1"/>
  <c r="R34" i="129"/>
  <c r="T34" i="129" s="1"/>
  <c r="R27" i="129"/>
  <c r="T27" i="129" s="1"/>
  <c r="R35" i="129"/>
  <c r="T35" i="129" s="1"/>
  <c r="R38" i="129"/>
  <c r="T38" i="129" s="1"/>
  <c r="R32" i="129"/>
  <c r="T32" i="129" s="1"/>
  <c r="N23" i="129"/>
  <c r="N31" i="129"/>
  <c r="N22" i="129"/>
  <c r="H27" i="129"/>
  <c r="N30" i="129"/>
  <c r="H35" i="129"/>
  <c r="H26" i="129"/>
  <c r="J27" i="129"/>
  <c r="H34" i="129"/>
  <c r="J35" i="129"/>
  <c r="H25" i="129"/>
  <c r="J26" i="129"/>
  <c r="H33" i="129"/>
  <c r="J34" i="129"/>
  <c r="H31" i="129"/>
  <c r="H23" i="129"/>
  <c r="H22" i="129"/>
  <c r="L22" i="129" s="1"/>
  <c r="J23" i="129"/>
  <c r="H30" i="129"/>
  <c r="J31" i="129"/>
  <c r="H38" i="129"/>
  <c r="J39" i="129"/>
  <c r="J30" i="129"/>
  <c r="J38" i="129"/>
  <c r="L25" i="129" l="1"/>
  <c r="L39" i="129"/>
  <c r="H41" i="129"/>
  <c r="J41" i="129"/>
  <c r="L32" i="129"/>
  <c r="L33" i="129"/>
  <c r="J43" i="129"/>
  <c r="H43" i="129"/>
  <c r="H40" i="129"/>
  <c r="J40" i="129"/>
  <c r="L27" i="129"/>
  <c r="L34" i="129"/>
  <c r="L26" i="129"/>
  <c r="L35" i="129"/>
  <c r="L24" i="129"/>
  <c r="L20" i="129"/>
  <c r="L30" i="129"/>
  <c r="L28" i="129"/>
  <c r="L23" i="129"/>
  <c r="L38" i="129"/>
  <c r="L31" i="129"/>
  <c r="R22" i="129"/>
  <c r="T22" i="129" s="1"/>
  <c r="R31" i="129"/>
  <c r="T31" i="129" s="1"/>
  <c r="R23" i="129"/>
  <c r="T23" i="129" s="1"/>
  <c r="R30" i="129"/>
  <c r="T30" i="129" s="1"/>
  <c r="V17" i="150" l="1"/>
  <c r="X17" i="150" s="1"/>
  <c r="Y17" i="150" s="1"/>
  <c r="D24" i="150"/>
  <c r="D14" i="150"/>
  <c r="D11" i="150"/>
  <c r="D8" i="150"/>
  <c r="D5" i="150"/>
  <c r="V11" i="150"/>
  <c r="X11" i="150" s="1"/>
  <c r="Y11" i="150" s="1"/>
  <c r="D17" i="150"/>
  <c r="V14" i="150"/>
  <c r="X14" i="150" s="1"/>
  <c r="Y14" i="150" s="1"/>
  <c r="V8" i="150"/>
  <c r="X8" i="150" s="1"/>
  <c r="Y8" i="150" s="1"/>
  <c r="V5" i="150"/>
  <c r="X5" i="150" s="1"/>
  <c r="Y5" i="150" s="1"/>
  <c r="D22" i="150"/>
  <c r="AB11" i="150"/>
  <c r="AD11" i="150" s="1"/>
  <c r="AE11" i="150" s="1"/>
  <c r="AB14" i="150"/>
  <c r="AD14" i="150" s="1"/>
  <c r="AE14" i="150" s="1"/>
  <c r="AB5" i="150"/>
  <c r="AD5" i="150" s="1"/>
  <c r="AE5" i="150" s="1"/>
  <c r="AB8" i="150"/>
  <c r="AD8" i="150" s="1"/>
  <c r="AE8" i="150" s="1"/>
  <c r="AB17" i="150"/>
  <c r="AD17" i="150" s="1"/>
  <c r="AE17" i="150" s="1"/>
  <c r="L41" i="129"/>
  <c r="AY11" i="127" s="1"/>
  <c r="V14" i="138"/>
  <c r="X14" i="138" s="1"/>
  <c r="Y14" i="138" s="1"/>
  <c r="V11" i="138"/>
  <c r="X11" i="138" s="1"/>
  <c r="Y11" i="138" s="1"/>
  <c r="V5" i="138"/>
  <c r="X5" i="138" s="1"/>
  <c r="Y5" i="138" s="1"/>
  <c r="D24" i="138"/>
  <c r="D22" i="138"/>
  <c r="D8" i="138"/>
  <c r="D5" i="138"/>
  <c r="D11" i="138"/>
  <c r="V8" i="138"/>
  <c r="X8" i="138" s="1"/>
  <c r="Y8" i="138" s="1"/>
  <c r="V17" i="138"/>
  <c r="X17" i="138" s="1"/>
  <c r="Y17" i="138" s="1"/>
  <c r="D17" i="138"/>
  <c r="D14" i="138"/>
  <c r="AB8" i="138"/>
  <c r="AD8" i="138" s="1"/>
  <c r="AE8" i="138" s="1"/>
  <c r="AB17" i="138"/>
  <c r="AD17" i="138" s="1"/>
  <c r="AE17" i="138" s="1"/>
  <c r="AB11" i="138"/>
  <c r="AD11" i="138" s="1"/>
  <c r="AE11" i="138" s="1"/>
  <c r="AB5" i="138"/>
  <c r="AD5" i="138" s="1"/>
  <c r="AE5" i="138" s="1"/>
  <c r="AB14" i="138"/>
  <c r="AD14" i="138" s="1"/>
  <c r="AE14" i="138" s="1"/>
  <c r="L43" i="129"/>
  <c r="AH25" i="150" s="1"/>
  <c r="L40" i="129"/>
  <c r="AB11" i="127"/>
  <c r="AB8" i="127"/>
  <c r="AB17" i="127"/>
  <c r="AB5" i="127"/>
  <c r="AB14" i="127"/>
  <c r="D22" i="127"/>
  <c r="V8" i="127"/>
  <c r="D11" i="127"/>
  <c r="D14" i="127"/>
  <c r="V17" i="127"/>
  <c r="V5" i="127"/>
  <c r="D8" i="127"/>
  <c r="V14" i="127"/>
  <c r="D5" i="127"/>
  <c r="N5" i="127" s="1"/>
  <c r="D24" i="127"/>
  <c r="D17" i="127"/>
  <c r="V11" i="127"/>
  <c r="M34" i="128"/>
  <c r="I34" i="128"/>
  <c r="G34" i="128"/>
  <c r="K34" i="128" s="1"/>
  <c r="M33" i="128"/>
  <c r="P33" i="128" s="1"/>
  <c r="R33" i="128" s="1"/>
  <c r="I33" i="128"/>
  <c r="M32" i="128"/>
  <c r="I32" i="128"/>
  <c r="G32" i="128"/>
  <c r="K32" i="128" s="1"/>
  <c r="R31" i="128"/>
  <c r="P31" i="128"/>
  <c r="M31" i="128"/>
  <c r="I31" i="128"/>
  <c r="G31" i="128"/>
  <c r="K31" i="128" s="1"/>
  <c r="M30" i="128"/>
  <c r="I30" i="128"/>
  <c r="P29" i="128"/>
  <c r="R29" i="128" s="1"/>
  <c r="M29" i="128"/>
  <c r="I29" i="128"/>
  <c r="G29" i="128"/>
  <c r="K29" i="128" s="1"/>
  <c r="M25" i="128"/>
  <c r="I25" i="128"/>
  <c r="M24" i="128"/>
  <c r="P24" i="128" s="1"/>
  <c r="I24" i="128"/>
  <c r="G24" i="128"/>
  <c r="K24" i="128" s="1"/>
  <c r="P23" i="128"/>
  <c r="M23" i="128"/>
  <c r="I23" i="128"/>
  <c r="G23" i="128"/>
  <c r="K23" i="128" s="1"/>
  <c r="M21" i="128"/>
  <c r="G21" i="128" s="1"/>
  <c r="K21" i="128" s="1"/>
  <c r="I21" i="128"/>
  <c r="P20" i="128"/>
  <c r="M20" i="128"/>
  <c r="G20" i="128" s="1"/>
  <c r="I20" i="128"/>
  <c r="M19" i="128"/>
  <c r="G19" i="128" s="1"/>
  <c r="I19" i="128"/>
  <c r="M18" i="128"/>
  <c r="I18" i="128"/>
  <c r="M17" i="128"/>
  <c r="P17" i="128" s="1"/>
  <c r="R17" i="128" s="1"/>
  <c r="I17" i="128"/>
  <c r="G17" i="128"/>
  <c r="K17" i="128" s="1"/>
  <c r="P16" i="128"/>
  <c r="M16" i="128"/>
  <c r="G16" i="128" s="1"/>
  <c r="K16" i="128" s="1"/>
  <c r="I16" i="128"/>
  <c r="AY14" i="138" l="1"/>
  <c r="BA14" i="138" s="1"/>
  <c r="BB14" i="138" s="1"/>
  <c r="F17" i="150"/>
  <c r="AL17" i="150" s="1"/>
  <c r="N17" i="150"/>
  <c r="AO26" i="150"/>
  <c r="BE26" i="150" s="1"/>
  <c r="BN26" i="150" s="1"/>
  <c r="AD21" i="150"/>
  <c r="AO11" i="150"/>
  <c r="AO30" i="150"/>
  <c r="BE30" i="150" s="1"/>
  <c r="BN30" i="150" s="1"/>
  <c r="AO5" i="150"/>
  <c r="AO35" i="150"/>
  <c r="AO14" i="150"/>
  <c r="AO8" i="150"/>
  <c r="AO24" i="150"/>
  <c r="AO17" i="150"/>
  <c r="AO22" i="150"/>
  <c r="AL25" i="150"/>
  <c r="AK25" i="150"/>
  <c r="F8" i="150"/>
  <c r="AL8" i="150" s="1"/>
  <c r="N8" i="150"/>
  <c r="N22" i="150"/>
  <c r="F22" i="150"/>
  <c r="AL22" i="150" s="1"/>
  <c r="N11" i="150"/>
  <c r="F11" i="150"/>
  <c r="AL11" i="150" s="1"/>
  <c r="F14" i="150"/>
  <c r="AL14" i="150" s="1"/>
  <c r="N14" i="150"/>
  <c r="AY8" i="150"/>
  <c r="BA8" i="150" s="1"/>
  <c r="BB8" i="150" s="1"/>
  <c r="AY14" i="150"/>
  <c r="BA14" i="150" s="1"/>
  <c r="BB14" i="150" s="1"/>
  <c r="AY22" i="150"/>
  <c r="BA22" i="150" s="1"/>
  <c r="AY11" i="150"/>
  <c r="BA11" i="150" s="1"/>
  <c r="BB11" i="150" s="1"/>
  <c r="AY5" i="150"/>
  <c r="BA5" i="150" s="1"/>
  <c r="BB5" i="150" s="1"/>
  <c r="AY17" i="150"/>
  <c r="BA17" i="150" s="1"/>
  <c r="BB17" i="150" s="1"/>
  <c r="N24" i="150"/>
  <c r="AL24" i="150"/>
  <c r="F24" i="150"/>
  <c r="N5" i="150"/>
  <c r="F5" i="150"/>
  <c r="AL5" i="150" s="1"/>
  <c r="AY5" i="127"/>
  <c r="AY22" i="127"/>
  <c r="BA22" i="127" s="1"/>
  <c r="AY17" i="138"/>
  <c r="BA17" i="138" s="1"/>
  <c r="BB17" i="138" s="1"/>
  <c r="AY5" i="138"/>
  <c r="BA5" i="138" s="1"/>
  <c r="BB5" i="138" s="1"/>
  <c r="AY8" i="127"/>
  <c r="K94" i="133" s="1"/>
  <c r="AY14" i="127"/>
  <c r="BA14" i="127" s="1"/>
  <c r="BB14" i="127" s="1"/>
  <c r="AY8" i="138"/>
  <c r="BA8" i="138" s="1"/>
  <c r="BB8" i="138" s="1"/>
  <c r="AO30" i="138"/>
  <c r="BE30" i="138" s="1"/>
  <c r="BN30" i="138" s="1"/>
  <c r="BL30" i="138" s="1"/>
  <c r="E11" i="142" s="1"/>
  <c r="AO35" i="138"/>
  <c r="AY17" i="127"/>
  <c r="BA17" i="127" s="1"/>
  <c r="BB17" i="127" s="1"/>
  <c r="AY11" i="138"/>
  <c r="BA11" i="138" s="1"/>
  <c r="BB11" i="138" s="1"/>
  <c r="AY22" i="138"/>
  <c r="BA22" i="138" s="1"/>
  <c r="N11" i="138"/>
  <c r="F11" i="138"/>
  <c r="AL11" i="138" s="1"/>
  <c r="N8" i="138"/>
  <c r="F8" i="138"/>
  <c r="AL8" i="138" s="1"/>
  <c r="N22" i="138"/>
  <c r="F22" i="138"/>
  <c r="AL22" i="138" s="1"/>
  <c r="AO11" i="138"/>
  <c r="AO5" i="138"/>
  <c r="BE5" i="138" s="1"/>
  <c r="BN5" i="138" s="1"/>
  <c r="I36" i="155" s="1"/>
  <c r="AO8" i="138"/>
  <c r="AO26" i="138"/>
  <c r="BE26" i="138" s="1"/>
  <c r="BN26" i="138" s="1"/>
  <c r="BL26" i="138" s="1"/>
  <c r="AO22" i="138"/>
  <c r="BE22" i="138" s="1"/>
  <c r="BN22" i="138" s="1"/>
  <c r="AO24" i="138"/>
  <c r="AD21" i="138"/>
  <c r="AO17" i="138"/>
  <c r="AO14" i="138"/>
  <c r="F14" i="138"/>
  <c r="AL14" i="138" s="1"/>
  <c r="N14" i="138"/>
  <c r="AL24" i="138"/>
  <c r="N24" i="138"/>
  <c r="F24" i="138"/>
  <c r="N17" i="138"/>
  <c r="F17" i="138"/>
  <c r="AL17" i="138" s="1"/>
  <c r="AH25" i="127"/>
  <c r="AK25" i="127" s="1"/>
  <c r="AH25" i="138"/>
  <c r="F5" i="138"/>
  <c r="AL5" i="138" s="1"/>
  <c r="N5" i="138"/>
  <c r="AO34" i="127"/>
  <c r="AO26" i="127"/>
  <c r="J108" i="133" s="1"/>
  <c r="K19" i="128"/>
  <c r="K20" i="128"/>
  <c r="C22" i="127" s="1"/>
  <c r="P22" i="127" s="1"/>
  <c r="R22" i="127" s="1"/>
  <c r="R24" i="128"/>
  <c r="G33" i="128"/>
  <c r="K33" i="128" s="1"/>
  <c r="P34" i="128"/>
  <c r="R34" i="128" s="1"/>
  <c r="P25" i="128"/>
  <c r="R25" i="128" s="1"/>
  <c r="G18" i="128"/>
  <c r="K18" i="128" s="1"/>
  <c r="R23" i="128"/>
  <c r="G25" i="128"/>
  <c r="K25" i="128" s="1"/>
  <c r="P18" i="128"/>
  <c r="R18" i="128" s="1"/>
  <c r="P30" i="128"/>
  <c r="R30" i="128" s="1"/>
  <c r="P21" i="128"/>
  <c r="R21" i="128" s="1"/>
  <c r="P32" i="128"/>
  <c r="R32" i="128" s="1"/>
  <c r="R16" i="128"/>
  <c r="G30" i="128"/>
  <c r="K30" i="128" s="1"/>
  <c r="K98" i="133"/>
  <c r="BA5" i="127"/>
  <c r="BB5" i="127" s="1"/>
  <c r="K92" i="133"/>
  <c r="BA11" i="127"/>
  <c r="BB11" i="127" s="1"/>
  <c r="AO24" i="127"/>
  <c r="AO11" i="127"/>
  <c r="BE11" i="127" s="1"/>
  <c r="G92" i="135" s="1"/>
  <c r="AO5" i="127"/>
  <c r="BE5" i="127" s="1"/>
  <c r="AO22" i="127"/>
  <c r="BE22" i="127" s="1"/>
  <c r="G102" i="135" s="1"/>
  <c r="AO8" i="127"/>
  <c r="BE8" i="127" s="1"/>
  <c r="G94" i="135" s="1"/>
  <c r="AO17" i="127"/>
  <c r="AO14" i="127"/>
  <c r="BE14" i="127" s="1"/>
  <c r="G100" i="135" s="1"/>
  <c r="AK24" i="127"/>
  <c r="AD21" i="127"/>
  <c r="C143" i="133"/>
  <c r="N8" i="127"/>
  <c r="C142" i="133"/>
  <c r="N11" i="127"/>
  <c r="C148" i="133"/>
  <c r="N24" i="127"/>
  <c r="C146" i="133"/>
  <c r="N14" i="127"/>
  <c r="C144" i="133"/>
  <c r="N17" i="127"/>
  <c r="C145" i="133"/>
  <c r="C147" i="133"/>
  <c r="N22" i="127"/>
  <c r="P19" i="128"/>
  <c r="R19" i="128" s="1"/>
  <c r="C8" i="127"/>
  <c r="P8" i="127" s="1"/>
  <c r="R8" i="127" s="1"/>
  <c r="C17" i="127"/>
  <c r="R20" i="128"/>
  <c r="E42" i="127"/>
  <c r="D42" i="127"/>
  <c r="C42" i="127"/>
  <c r="E40" i="127"/>
  <c r="D40" i="127"/>
  <c r="C40" i="127"/>
  <c r="E38" i="127"/>
  <c r="D38" i="127"/>
  <c r="C38" i="127"/>
  <c r="D36" i="127"/>
  <c r="F36" i="127" s="1"/>
  <c r="E34" i="127"/>
  <c r="D34" i="127"/>
  <c r="C34" i="127"/>
  <c r="E32" i="127"/>
  <c r="D32" i="127"/>
  <c r="C32" i="127"/>
  <c r="E29" i="127"/>
  <c r="D29" i="127"/>
  <c r="C29" i="127"/>
  <c r="F24" i="127"/>
  <c r="BL22" i="138" l="1"/>
  <c r="E17" i="142" s="1"/>
  <c r="K36" i="155"/>
  <c r="AT5" i="150"/>
  <c r="AV5" i="150"/>
  <c r="AU5" i="150"/>
  <c r="AQ5" i="150"/>
  <c r="AR5" i="150" s="1"/>
  <c r="AS5" i="150" s="1"/>
  <c r="BE5" i="150"/>
  <c r="BN5" i="150" s="1"/>
  <c r="BP30" i="150"/>
  <c r="BM30" i="150"/>
  <c r="BL30" i="150"/>
  <c r="AU22" i="150"/>
  <c r="AV22" i="150"/>
  <c r="BE22" i="150"/>
  <c r="BN22" i="150" s="1"/>
  <c r="AQ22" i="150"/>
  <c r="AV11" i="150"/>
  <c r="AU11" i="150"/>
  <c r="AT11" i="150"/>
  <c r="BE11" i="150"/>
  <c r="BN11" i="150" s="1"/>
  <c r="AQ11" i="150"/>
  <c r="AR11" i="150" s="1"/>
  <c r="AS11" i="150" s="1"/>
  <c r="AV17" i="150"/>
  <c r="AU17" i="150"/>
  <c r="AT17" i="150"/>
  <c r="AQ17" i="150"/>
  <c r="AR17" i="150" s="1"/>
  <c r="AS17" i="150" s="1"/>
  <c r="BE17" i="150"/>
  <c r="AO32" i="150" s="1"/>
  <c r="AO34" i="150" s="1"/>
  <c r="AO36" i="150" s="1"/>
  <c r="AV24" i="150"/>
  <c r="AQ24" i="150"/>
  <c r="AU24" i="150"/>
  <c r="BE24" i="150"/>
  <c r="BN24" i="150" s="1"/>
  <c r="BL26" i="150"/>
  <c r="BP26" i="150"/>
  <c r="BM26" i="150"/>
  <c r="AV8" i="150"/>
  <c r="AU8" i="150"/>
  <c r="AT8" i="150"/>
  <c r="BE8" i="150"/>
  <c r="BN8" i="150" s="1"/>
  <c r="AQ8" i="150"/>
  <c r="AR8" i="150" s="1"/>
  <c r="AS8" i="150" s="1"/>
  <c r="AL25" i="127"/>
  <c r="K96" i="133"/>
  <c r="AV14" i="150"/>
  <c r="AT14" i="150"/>
  <c r="BE14" i="150"/>
  <c r="BN14" i="150" s="1"/>
  <c r="AU14" i="150"/>
  <c r="AQ14" i="150"/>
  <c r="AR14" i="150" s="1"/>
  <c r="AS14" i="150" s="1"/>
  <c r="BL5" i="138"/>
  <c r="E13" i="142" s="1"/>
  <c r="BM5" i="138"/>
  <c r="BA8" i="127"/>
  <c r="BB8" i="127" s="1"/>
  <c r="K100" i="133"/>
  <c r="K102" i="133"/>
  <c r="BP30" i="138"/>
  <c r="BM30" i="138"/>
  <c r="BP26" i="138"/>
  <c r="BM26" i="138"/>
  <c r="BE26" i="127"/>
  <c r="AV14" i="138"/>
  <c r="AQ14" i="138"/>
  <c r="AR14" i="138" s="1"/>
  <c r="AS14" i="138" s="1"/>
  <c r="AU14" i="138"/>
  <c r="AT14" i="138"/>
  <c r="BE14" i="138"/>
  <c r="AV11" i="138"/>
  <c r="BE11" i="138"/>
  <c r="AT11" i="138"/>
  <c r="AU11" i="138"/>
  <c r="AQ11" i="138"/>
  <c r="AR11" i="138" s="1"/>
  <c r="AS11" i="138" s="1"/>
  <c r="G98" i="135"/>
  <c r="AU5" i="127"/>
  <c r="AU24" i="138"/>
  <c r="BE24" i="138"/>
  <c r="AV24" i="138"/>
  <c r="AQ24" i="138"/>
  <c r="AV22" i="138"/>
  <c r="AU22" i="138"/>
  <c r="AQ22" i="138"/>
  <c r="AU5" i="138"/>
  <c r="AV5" i="138"/>
  <c r="AT5" i="138"/>
  <c r="AQ5" i="138"/>
  <c r="AR5" i="138" s="1"/>
  <c r="AS5" i="138" s="1"/>
  <c r="AV17" i="138"/>
  <c r="AU17" i="138"/>
  <c r="AT17" i="138"/>
  <c r="AQ17" i="138"/>
  <c r="AR17" i="138" s="1"/>
  <c r="AS17" i="138" s="1"/>
  <c r="BE17" i="138"/>
  <c r="AO32" i="138" s="1"/>
  <c r="AO34" i="138" s="1"/>
  <c r="AL25" i="138"/>
  <c r="AK25" i="138"/>
  <c r="AV8" i="138"/>
  <c r="AU8" i="138"/>
  <c r="AQ8" i="138"/>
  <c r="AR8" i="138" s="1"/>
  <c r="AS8" i="138" s="1"/>
  <c r="BE8" i="138"/>
  <c r="AT8" i="138"/>
  <c r="BE24" i="127"/>
  <c r="G104" i="135" s="1"/>
  <c r="AU24" i="127"/>
  <c r="BE17" i="127"/>
  <c r="AV17" i="127"/>
  <c r="AU14" i="127"/>
  <c r="J98" i="125" s="1"/>
  <c r="C103" i="131"/>
  <c r="H96" i="132" s="1"/>
  <c r="P17" i="127"/>
  <c r="R17" i="127" s="1"/>
  <c r="F17" i="127"/>
  <c r="C5" i="127"/>
  <c r="AU8" i="127"/>
  <c r="G35" i="125" s="1"/>
  <c r="U8" i="127"/>
  <c r="X8" i="127" s="1"/>
  <c r="Y8" i="127" s="1"/>
  <c r="U5" i="127"/>
  <c r="X5" i="127" s="1"/>
  <c r="Y5" i="127" s="1"/>
  <c r="U11" i="127"/>
  <c r="X11" i="127" s="1"/>
  <c r="Y11" i="127" s="1"/>
  <c r="U17" i="127"/>
  <c r="X17" i="127" s="1"/>
  <c r="Y17" i="127" s="1"/>
  <c r="U14" i="127"/>
  <c r="X14" i="127" s="1"/>
  <c r="Y14" i="127" s="1"/>
  <c r="AA17" i="127"/>
  <c r="AD17" i="127" s="1"/>
  <c r="AE17" i="127" s="1"/>
  <c r="AA14" i="127"/>
  <c r="AD14" i="127" s="1"/>
  <c r="AE14" i="127" s="1"/>
  <c r="AA11" i="127"/>
  <c r="AD11" i="127" s="1"/>
  <c r="AE11" i="127" s="1"/>
  <c r="AA5" i="127"/>
  <c r="AD5" i="127" s="1"/>
  <c r="AE5" i="127" s="1"/>
  <c r="AA8" i="127"/>
  <c r="AD8" i="127" s="1"/>
  <c r="AE8" i="127" s="1"/>
  <c r="C14" i="127"/>
  <c r="P14" i="127" s="1"/>
  <c r="R14" i="127" s="1"/>
  <c r="C11" i="127"/>
  <c r="P11" i="127" s="1"/>
  <c r="R11" i="127" s="1"/>
  <c r="AV22" i="127"/>
  <c r="J102" i="133"/>
  <c r="G102" i="133" s="1"/>
  <c r="M102" i="133" s="1"/>
  <c r="C17" i="142" s="1"/>
  <c r="AV14" i="127"/>
  <c r="J100" i="133"/>
  <c r="G100" i="133" s="1"/>
  <c r="M100" i="133" s="1"/>
  <c r="C15" i="142" s="1"/>
  <c r="AV5" i="127"/>
  <c r="AQ5" i="127"/>
  <c r="AR5" i="127" s="1"/>
  <c r="J98" i="133"/>
  <c r="G98" i="133" s="1"/>
  <c r="M98" i="133" s="1"/>
  <c r="C13" i="142" s="1"/>
  <c r="AU17" i="127"/>
  <c r="H44" i="125" s="1"/>
  <c r="J96" i="133"/>
  <c r="G96" i="133" s="1"/>
  <c r="M96" i="133" s="1"/>
  <c r="C11" i="142" s="1"/>
  <c r="AU11" i="127"/>
  <c r="AV11" i="127"/>
  <c r="J92" i="133"/>
  <c r="G92" i="133" s="1"/>
  <c r="M92" i="133" s="1"/>
  <c r="AV8" i="127"/>
  <c r="J94" i="133"/>
  <c r="G94" i="133" s="1"/>
  <c r="M94" i="133" s="1"/>
  <c r="C9" i="142" s="1"/>
  <c r="AV24" i="127"/>
  <c r="J104" i="133"/>
  <c r="G104" i="133" s="1"/>
  <c r="M104" i="133" s="1"/>
  <c r="C19" i="142" s="1"/>
  <c r="AL24" i="127"/>
  <c r="AQ24" i="127"/>
  <c r="AQ22" i="127"/>
  <c r="AT8" i="127"/>
  <c r="AQ8" i="127"/>
  <c r="AT11" i="127"/>
  <c r="AQ11" i="127"/>
  <c r="AT14" i="127"/>
  <c r="AQ14" i="127"/>
  <c r="AT17" i="127"/>
  <c r="AQ17" i="127"/>
  <c r="AT5" i="127"/>
  <c r="F8" i="127"/>
  <c r="C102" i="131"/>
  <c r="H94" i="132" s="1"/>
  <c r="F11" i="127"/>
  <c r="C101" i="131"/>
  <c r="H92" i="132" s="1"/>
  <c r="C105" i="131"/>
  <c r="H100" i="132" s="1"/>
  <c r="F5" i="127"/>
  <c r="F22" i="127"/>
  <c r="C106" i="131"/>
  <c r="H102" i="132" s="1"/>
  <c r="F40" i="127"/>
  <c r="F29" i="127"/>
  <c r="F34" i="127"/>
  <c r="F42" i="127"/>
  <c r="F38" i="127"/>
  <c r="F32" i="127"/>
  <c r="J161" i="125" l="1"/>
  <c r="J89" i="125"/>
  <c r="J44" i="125"/>
  <c r="J116" i="125"/>
  <c r="BG28" i="150"/>
  <c r="BK28" i="150" s="1"/>
  <c r="BS28" i="150"/>
  <c r="BT28" i="150" s="1"/>
  <c r="AO28" i="150"/>
  <c r="BE28" i="150" s="1"/>
  <c r="BM5" i="150"/>
  <c r="BL5" i="150"/>
  <c r="BP5" i="150"/>
  <c r="BP11" i="150"/>
  <c r="BL11" i="150"/>
  <c r="BM11" i="150"/>
  <c r="BM14" i="150"/>
  <c r="BL14" i="150"/>
  <c r="BP14" i="150"/>
  <c r="BM22" i="150"/>
  <c r="BL22" i="150"/>
  <c r="BP22" i="150"/>
  <c r="BP24" i="150"/>
  <c r="BM24" i="150"/>
  <c r="BL24" i="150"/>
  <c r="BP8" i="150"/>
  <c r="BL8" i="150"/>
  <c r="BM8" i="150"/>
  <c r="J35" i="125"/>
  <c r="J107" i="125"/>
  <c r="J17" i="125"/>
  <c r="J62" i="125"/>
  <c r="J134" i="125"/>
  <c r="J53" i="125"/>
  <c r="J125" i="125"/>
  <c r="J8" i="125"/>
  <c r="J80" i="125"/>
  <c r="J152" i="125"/>
  <c r="F11" i="142"/>
  <c r="F13" i="142"/>
  <c r="J71" i="125"/>
  <c r="J143" i="125"/>
  <c r="J26" i="125"/>
  <c r="C7" i="142"/>
  <c r="M106" i="133"/>
  <c r="AO36" i="138"/>
  <c r="BS28" i="138" s="1"/>
  <c r="G80" i="125"/>
  <c r="G98" i="125"/>
  <c r="G71" i="125"/>
  <c r="G53" i="125"/>
  <c r="BN11" i="138"/>
  <c r="G116" i="125"/>
  <c r="G89" i="125"/>
  <c r="R6" i="135"/>
  <c r="R77" i="135"/>
  <c r="R30" i="135"/>
  <c r="R13" i="135"/>
  <c r="R21" i="135"/>
  <c r="R38" i="135"/>
  <c r="R7" i="135"/>
  <c r="R53" i="135"/>
  <c r="R34" i="135"/>
  <c r="R10" i="135"/>
  <c r="R18" i="135"/>
  <c r="R61" i="135"/>
  <c r="R85" i="135"/>
  <c r="R72" i="135"/>
  <c r="R52" i="135"/>
  <c r="R23" i="135"/>
  <c r="R12" i="135"/>
  <c r="R19" i="135"/>
  <c r="R76" i="135"/>
  <c r="R67" i="135"/>
  <c r="R56" i="135"/>
  <c r="R31" i="135"/>
  <c r="R11" i="135"/>
  <c r="R54" i="135"/>
  <c r="R86" i="135"/>
  <c r="R88" i="135"/>
  <c r="R33" i="135"/>
  <c r="R14" i="135"/>
  <c r="R39" i="135"/>
  <c r="R37" i="135"/>
  <c r="R82" i="135"/>
  <c r="R65" i="135"/>
  <c r="R87" i="135"/>
  <c r="R50" i="135"/>
  <c r="R29" i="135"/>
  <c r="R51" i="135"/>
  <c r="R43" i="135"/>
  <c r="R55" i="135"/>
  <c r="R15" i="135"/>
  <c r="R41" i="135"/>
  <c r="R45" i="135"/>
  <c r="R66" i="135"/>
  <c r="R89" i="135"/>
  <c r="R64" i="135"/>
  <c r="R28" i="135"/>
  <c r="R78" i="135"/>
  <c r="R20" i="135"/>
  <c r="R58" i="135"/>
  <c r="R35" i="135"/>
  <c r="R80" i="135"/>
  <c r="R36" i="135"/>
  <c r="R81" i="135"/>
  <c r="R75" i="135"/>
  <c r="R73" i="135"/>
  <c r="R60" i="135"/>
  <c r="R32" i="135"/>
  <c r="R40" i="135"/>
  <c r="R9" i="135"/>
  <c r="R44" i="135"/>
  <c r="R17" i="135"/>
  <c r="R83" i="135"/>
  <c r="R63" i="135"/>
  <c r="R59" i="135"/>
  <c r="R8" i="135"/>
  <c r="R42" i="135"/>
  <c r="R74" i="135"/>
  <c r="R22" i="135"/>
  <c r="R84" i="135"/>
  <c r="R16" i="135"/>
  <c r="R79" i="135"/>
  <c r="R62" i="135"/>
  <c r="R57" i="135"/>
  <c r="BN24" i="138"/>
  <c r="BL24" i="138" s="1"/>
  <c r="E19" i="142" s="1"/>
  <c r="G134" i="125"/>
  <c r="G107" i="125"/>
  <c r="BN14" i="138"/>
  <c r="G152" i="125"/>
  <c r="G125" i="125"/>
  <c r="BN8" i="138"/>
  <c r="AO31" i="127"/>
  <c r="AO33" i="127" s="1"/>
  <c r="AO35" i="127" s="1"/>
  <c r="AO28" i="127" s="1"/>
  <c r="BE28" i="127" s="1"/>
  <c r="G96" i="135"/>
  <c r="L58" i="135" s="1"/>
  <c r="BG20" i="127"/>
  <c r="G8" i="125"/>
  <c r="G44" i="125"/>
  <c r="G17" i="125"/>
  <c r="G161" i="125"/>
  <c r="G26" i="125"/>
  <c r="G143" i="125"/>
  <c r="G62" i="125"/>
  <c r="BP5" i="138"/>
  <c r="F98" i="125"/>
  <c r="F8" i="125"/>
  <c r="H125" i="125"/>
  <c r="F143" i="125"/>
  <c r="F116" i="125"/>
  <c r="F44" i="125"/>
  <c r="F71" i="125"/>
  <c r="H26" i="125"/>
  <c r="H143" i="125"/>
  <c r="H62" i="125"/>
  <c r="H17" i="125"/>
  <c r="H161" i="125"/>
  <c r="H80" i="125"/>
  <c r="H35" i="125"/>
  <c r="C104" i="131"/>
  <c r="H98" i="132" s="1"/>
  <c r="P5" i="127"/>
  <c r="R5" i="127" s="1"/>
  <c r="H98" i="125"/>
  <c r="H53" i="125"/>
  <c r="H116" i="125"/>
  <c r="H71" i="125"/>
  <c r="H134" i="125"/>
  <c r="H89" i="125"/>
  <c r="F14" i="127"/>
  <c r="H152" i="125"/>
  <c r="H107" i="125"/>
  <c r="H8" i="125"/>
  <c r="R55" i="133"/>
  <c r="R84" i="133"/>
  <c r="R33" i="133"/>
  <c r="R19" i="133"/>
  <c r="R63" i="133"/>
  <c r="R40" i="133"/>
  <c r="R62" i="133"/>
  <c r="R11" i="133"/>
  <c r="R83" i="133"/>
  <c r="R39" i="133"/>
  <c r="R77" i="133"/>
  <c r="R85" i="133"/>
  <c r="R61" i="133"/>
  <c r="R17" i="133"/>
  <c r="R18" i="133"/>
  <c r="R41" i="133"/>
  <c r="F35" i="125"/>
  <c r="F107" i="125"/>
  <c r="F80" i="125"/>
  <c r="F152" i="125"/>
  <c r="F17" i="125"/>
  <c r="F89" i="125"/>
  <c r="F161" i="125"/>
  <c r="F62" i="125"/>
  <c r="F134" i="125"/>
  <c r="F53" i="125"/>
  <c r="F125" i="125"/>
  <c r="F26" i="125"/>
  <c r="AU22" i="127"/>
  <c r="K116" i="125" s="1"/>
  <c r="I152" i="125"/>
  <c r="I134" i="125"/>
  <c r="I116" i="125"/>
  <c r="I98" i="125"/>
  <c r="I80" i="125"/>
  <c r="I62" i="125"/>
  <c r="I44" i="125"/>
  <c r="I26" i="125"/>
  <c r="I8" i="125"/>
  <c r="I161" i="125"/>
  <c r="I143" i="125"/>
  <c r="I125" i="125"/>
  <c r="I107" i="125"/>
  <c r="I89" i="125"/>
  <c r="I71" i="125"/>
  <c r="I53" i="125"/>
  <c r="I35" i="125"/>
  <c r="I17" i="125"/>
  <c r="AS5" i="127"/>
  <c r="AR14" i="127"/>
  <c r="AS14" i="127" s="1"/>
  <c r="AR11" i="127"/>
  <c r="AS11" i="127" s="1"/>
  <c r="AR8" i="127"/>
  <c r="AS8" i="127" s="1"/>
  <c r="AR17" i="127"/>
  <c r="AS17" i="127" s="1"/>
  <c r="BL8" i="138" l="1"/>
  <c r="E9" i="142" s="1"/>
  <c r="G36" i="155"/>
  <c r="BL11" i="138"/>
  <c r="E7" i="142" s="1"/>
  <c r="F36" i="155"/>
  <c r="BL14" i="138"/>
  <c r="E15" i="142" s="1"/>
  <c r="J36" i="155"/>
  <c r="BN28" i="150"/>
  <c r="BP14" i="138"/>
  <c r="BM14" i="138"/>
  <c r="BP22" i="138"/>
  <c r="BM22" i="138"/>
  <c r="F17" i="142" s="1"/>
  <c r="BP24" i="138"/>
  <c r="BM24" i="138"/>
  <c r="F19" i="142" s="1"/>
  <c r="BP8" i="138"/>
  <c r="BM8" i="138"/>
  <c r="BP11" i="138"/>
  <c r="BM11" i="138"/>
  <c r="BG28" i="138"/>
  <c r="BK28" i="138" s="1"/>
  <c r="L48" i="149" s="1"/>
  <c r="BT28" i="138"/>
  <c r="AO28" i="138"/>
  <c r="K62" i="125"/>
  <c r="AL128" i="135"/>
  <c r="AN128" i="135" s="1"/>
  <c r="AL124" i="135"/>
  <c r="AN124" i="135" s="1"/>
  <c r="AL115" i="135"/>
  <c r="AN115" i="135" s="1"/>
  <c r="AL125" i="135"/>
  <c r="AN125" i="135" s="1"/>
  <c r="AL126" i="135"/>
  <c r="AN126" i="135" s="1"/>
  <c r="AL121" i="135"/>
  <c r="AN121" i="135" s="1"/>
  <c r="J109" i="137"/>
  <c r="J29" i="137"/>
  <c r="J89" i="137"/>
  <c r="J179" i="137"/>
  <c r="J99" i="137"/>
  <c r="J19" i="137"/>
  <c r="J169" i="137"/>
  <c r="J9" i="137"/>
  <c r="J159" i="137"/>
  <c r="J79" i="137"/>
  <c r="J129" i="137"/>
  <c r="J119" i="137"/>
  <c r="J149" i="137"/>
  <c r="J69" i="137"/>
  <c r="J49" i="137"/>
  <c r="J139" i="137"/>
  <c r="J59" i="137"/>
  <c r="J39" i="137"/>
  <c r="AL127" i="135"/>
  <c r="AN127" i="135" s="1"/>
  <c r="AL118" i="135"/>
  <c r="AN118" i="135" s="1"/>
  <c r="AL112" i="135"/>
  <c r="AL116" i="135"/>
  <c r="AN116" i="135" s="1"/>
  <c r="AL114" i="135"/>
  <c r="AN114" i="135" s="1"/>
  <c r="AL129" i="135"/>
  <c r="AN129" i="135" s="1"/>
  <c r="G109" i="137"/>
  <c r="G29" i="137"/>
  <c r="G89" i="137"/>
  <c r="G179" i="137"/>
  <c r="G99" i="137"/>
  <c r="G19" i="137"/>
  <c r="G169" i="137"/>
  <c r="G9" i="137"/>
  <c r="G39" i="137"/>
  <c r="G159" i="137"/>
  <c r="G79" i="137"/>
  <c r="G149" i="137"/>
  <c r="G69" i="137"/>
  <c r="G49" i="137"/>
  <c r="G119" i="137"/>
  <c r="G139" i="137"/>
  <c r="G59" i="137"/>
  <c r="G129" i="137"/>
  <c r="I129" i="137"/>
  <c r="I49" i="137"/>
  <c r="I109" i="137"/>
  <c r="I119" i="137"/>
  <c r="I39" i="137"/>
  <c r="I29" i="137"/>
  <c r="I179" i="137"/>
  <c r="I99" i="137"/>
  <c r="I19" i="137"/>
  <c r="I69" i="137"/>
  <c r="I59" i="137"/>
  <c r="I169" i="137"/>
  <c r="I89" i="137"/>
  <c r="I9" i="137"/>
  <c r="I139" i="137"/>
  <c r="I159" i="137"/>
  <c r="I79" i="137"/>
  <c r="I149" i="137"/>
  <c r="AL117" i="135"/>
  <c r="AN117" i="135" s="1"/>
  <c r="L34" i="135"/>
  <c r="L60" i="135"/>
  <c r="L10" i="135"/>
  <c r="L51" i="135"/>
  <c r="L19" i="135"/>
  <c r="L7" i="135"/>
  <c r="L33" i="135"/>
  <c r="L56" i="135"/>
  <c r="L6" i="135"/>
  <c r="L9" i="135"/>
  <c r="L14" i="135"/>
  <c r="L18" i="135"/>
  <c r="L32" i="135"/>
  <c r="L50" i="135"/>
  <c r="L15" i="135"/>
  <c r="L42" i="135"/>
  <c r="L77" i="135"/>
  <c r="L72" i="135"/>
  <c r="L16" i="135"/>
  <c r="L76" i="135"/>
  <c r="L54" i="135"/>
  <c r="L86" i="135"/>
  <c r="L17" i="135"/>
  <c r="L31" i="135"/>
  <c r="L43" i="135"/>
  <c r="L44" i="135"/>
  <c r="L28" i="135"/>
  <c r="L74" i="135"/>
  <c r="L22" i="135"/>
  <c r="L75" i="135"/>
  <c r="L11" i="135"/>
  <c r="L23" i="135"/>
  <c r="L52" i="135"/>
  <c r="L82" i="135"/>
  <c r="L53" i="135"/>
  <c r="L73" i="135"/>
  <c r="L66" i="135"/>
  <c r="L64" i="135"/>
  <c r="L89" i="135"/>
  <c r="L62" i="135"/>
  <c r="L29" i="135"/>
  <c r="L41" i="135"/>
  <c r="L78" i="135"/>
  <c r="L20" i="135"/>
  <c r="L88" i="135"/>
  <c r="L30" i="135"/>
  <c r="L38" i="135"/>
  <c r="L55" i="135"/>
  <c r="L21" i="135"/>
  <c r="L40" i="135"/>
  <c r="L81" i="135"/>
  <c r="L45" i="135"/>
  <c r="L84" i="135"/>
  <c r="L79" i="135"/>
  <c r="L87" i="135"/>
  <c r="L59" i="135"/>
  <c r="L39" i="135"/>
  <c r="L12" i="135"/>
  <c r="L57" i="135"/>
  <c r="L85" i="135"/>
  <c r="L65" i="135"/>
  <c r="L67" i="135"/>
  <c r="L37" i="135"/>
  <c r="L80" i="135"/>
  <c r="L36" i="135"/>
  <c r="L61" i="135"/>
  <c r="L13" i="135"/>
  <c r="L83" i="135"/>
  <c r="L35" i="135"/>
  <c r="L63" i="135"/>
  <c r="L8" i="135"/>
  <c r="AL122" i="135"/>
  <c r="AN122" i="135" s="1"/>
  <c r="K169" i="137"/>
  <c r="K89" i="137"/>
  <c r="K9" i="137"/>
  <c r="K69" i="137"/>
  <c r="K159" i="137"/>
  <c r="K79" i="137"/>
  <c r="K149" i="137"/>
  <c r="K179" i="137"/>
  <c r="K139" i="137"/>
  <c r="K59" i="137"/>
  <c r="K109" i="137"/>
  <c r="K99" i="137"/>
  <c r="K129" i="137"/>
  <c r="K49" i="137"/>
  <c r="K19" i="137"/>
  <c r="K119" i="137"/>
  <c r="K39" i="137"/>
  <c r="K29" i="137"/>
  <c r="AL123" i="135"/>
  <c r="AN123" i="135" s="1"/>
  <c r="AL113" i="135"/>
  <c r="AN113" i="135" s="1"/>
  <c r="AL120" i="135"/>
  <c r="AN120" i="135" s="1"/>
  <c r="AL119" i="135"/>
  <c r="AN119" i="135" s="1"/>
  <c r="F169" i="137"/>
  <c r="F89" i="137"/>
  <c r="F9" i="137"/>
  <c r="F69" i="137"/>
  <c r="F179" i="137"/>
  <c r="F159" i="137"/>
  <c r="F79" i="137"/>
  <c r="F149" i="137"/>
  <c r="F139" i="137"/>
  <c r="F59" i="137"/>
  <c r="F99" i="137"/>
  <c r="F129" i="137"/>
  <c r="F49" i="137"/>
  <c r="F29" i="137"/>
  <c r="F119" i="137"/>
  <c r="F39" i="137"/>
  <c r="F109" i="137"/>
  <c r="F19" i="137"/>
  <c r="K125" i="125"/>
  <c r="K134" i="125"/>
  <c r="K35" i="125"/>
  <c r="K71" i="125"/>
  <c r="K161" i="125"/>
  <c r="K143" i="125"/>
  <c r="K44" i="125"/>
  <c r="K8" i="125"/>
  <c r="K80" i="125"/>
  <c r="K152" i="125"/>
  <c r="K89" i="125"/>
  <c r="K26" i="125"/>
  <c r="K98" i="125"/>
  <c r="K17" i="125"/>
  <c r="K107" i="125"/>
  <c r="K53" i="125"/>
  <c r="F15" i="142" l="1"/>
  <c r="L43" i="149"/>
  <c r="L13" i="149"/>
  <c r="L38" i="149"/>
  <c r="L16" i="149"/>
  <c r="L8" i="149"/>
  <c r="L64" i="149"/>
  <c r="L35" i="149"/>
  <c r="L59" i="149"/>
  <c r="L28" i="149"/>
  <c r="L39" i="149"/>
  <c r="L18" i="149"/>
  <c r="L50" i="149"/>
  <c r="L42" i="149"/>
  <c r="L69" i="149"/>
  <c r="L21" i="149"/>
  <c r="L31" i="149"/>
  <c r="L73" i="149"/>
  <c r="L74" i="149"/>
  <c r="L60" i="149"/>
  <c r="L51" i="149"/>
  <c r="L77" i="149"/>
  <c r="L32" i="149"/>
  <c r="L61" i="149"/>
  <c r="L49" i="149"/>
  <c r="L70" i="149"/>
  <c r="L15" i="149"/>
  <c r="L34" i="149"/>
  <c r="L41" i="149"/>
  <c r="L53" i="149"/>
  <c r="L58" i="149"/>
  <c r="L79" i="149"/>
  <c r="L20" i="149"/>
  <c r="L78" i="149"/>
  <c r="L6" i="149"/>
  <c r="L30" i="149"/>
  <c r="L80" i="149"/>
  <c r="L22" i="149"/>
  <c r="L10" i="149"/>
  <c r="L12" i="149"/>
  <c r="L7" i="149"/>
  <c r="L76" i="149"/>
  <c r="L27" i="149"/>
  <c r="L36" i="149"/>
  <c r="L83" i="149"/>
  <c r="L63" i="149"/>
  <c r="L54" i="149"/>
  <c r="L85" i="149"/>
  <c r="L56" i="149"/>
  <c r="L52" i="149"/>
  <c r="L82" i="149"/>
  <c r="L81" i="149"/>
  <c r="L72" i="149"/>
  <c r="L55" i="149"/>
  <c r="L29" i="149"/>
  <c r="L11" i="149"/>
  <c r="L17" i="149"/>
  <c r="L37" i="149"/>
  <c r="L33" i="149"/>
  <c r="L14" i="149"/>
  <c r="L62" i="149"/>
  <c r="L40" i="149"/>
  <c r="L84" i="149"/>
  <c r="L57" i="149"/>
  <c r="L71" i="149"/>
  <c r="L9" i="149"/>
  <c r="L19" i="149"/>
  <c r="L75" i="149"/>
  <c r="BP28" i="150"/>
  <c r="BL28" i="150"/>
  <c r="BM28" i="150"/>
  <c r="F9" i="142"/>
  <c r="F7" i="142"/>
  <c r="BE28" i="138"/>
  <c r="BN28" i="138" s="1"/>
  <c r="G92" i="121"/>
  <c r="E121" i="135"/>
  <c r="N59" i="135"/>
  <c r="D112" i="135"/>
  <c r="N6" i="135"/>
  <c r="D114" i="135"/>
  <c r="N8" i="135"/>
  <c r="G121" i="135"/>
  <c r="N37" i="135"/>
  <c r="H127" i="135"/>
  <c r="N87" i="135"/>
  <c r="N38" i="135"/>
  <c r="G122" i="135"/>
  <c r="H129" i="135"/>
  <c r="N89" i="135"/>
  <c r="D117" i="135"/>
  <c r="N11" i="135"/>
  <c r="N31" i="135"/>
  <c r="G115" i="135"/>
  <c r="G126" i="135"/>
  <c r="N42" i="135"/>
  <c r="N56" i="135"/>
  <c r="E118" i="135"/>
  <c r="AN112" i="135"/>
  <c r="AN131" i="135" s="1"/>
  <c r="AL131" i="135"/>
  <c r="E117" i="135"/>
  <c r="N55" i="135"/>
  <c r="G118" i="135"/>
  <c r="N34" i="135"/>
  <c r="N30" i="135"/>
  <c r="G114" i="135"/>
  <c r="H115" i="135"/>
  <c r="N75" i="135"/>
  <c r="D121" i="135"/>
  <c r="N15" i="135"/>
  <c r="G119" i="135"/>
  <c r="N35" i="135"/>
  <c r="E127" i="135"/>
  <c r="N65" i="135"/>
  <c r="N84" i="135"/>
  <c r="H124" i="135"/>
  <c r="N88" i="135"/>
  <c r="H128" i="135"/>
  <c r="N66" i="135"/>
  <c r="E128" i="135"/>
  <c r="D128" i="135"/>
  <c r="N22" i="135"/>
  <c r="N86" i="135"/>
  <c r="H126" i="135"/>
  <c r="E112" i="135"/>
  <c r="N50" i="135"/>
  <c r="D113" i="135"/>
  <c r="N7" i="135"/>
  <c r="E124" i="135"/>
  <c r="N62" i="135"/>
  <c r="E125" i="135"/>
  <c r="N63" i="135"/>
  <c r="H123" i="135"/>
  <c r="N83" i="135"/>
  <c r="N85" i="135"/>
  <c r="H125" i="135"/>
  <c r="G129" i="135"/>
  <c r="N45" i="135"/>
  <c r="D126" i="135"/>
  <c r="N20" i="135"/>
  <c r="H113" i="135"/>
  <c r="N73" i="135"/>
  <c r="H114" i="135"/>
  <c r="N74" i="135"/>
  <c r="E116" i="135"/>
  <c r="N54" i="135"/>
  <c r="G116" i="135"/>
  <c r="N32" i="135"/>
  <c r="D125" i="135"/>
  <c r="N19" i="135"/>
  <c r="G127" i="135"/>
  <c r="N43" i="135"/>
  <c r="E129" i="135"/>
  <c r="N67" i="135"/>
  <c r="N64" i="135"/>
  <c r="E126" i="135"/>
  <c r="G117" i="135"/>
  <c r="N33" i="135"/>
  <c r="N13" i="135"/>
  <c r="D119" i="135"/>
  <c r="E119" i="135"/>
  <c r="N57" i="135"/>
  <c r="H121" i="135"/>
  <c r="I121" i="135" s="1"/>
  <c r="N81" i="135"/>
  <c r="N78" i="135"/>
  <c r="H118" i="135"/>
  <c r="E115" i="135"/>
  <c r="N53" i="135"/>
  <c r="G112" i="135"/>
  <c r="N28" i="135"/>
  <c r="N76" i="135"/>
  <c r="H116" i="135"/>
  <c r="D124" i="135"/>
  <c r="N18" i="135"/>
  <c r="N51" i="135"/>
  <c r="E113" i="135"/>
  <c r="N77" i="135"/>
  <c r="H117" i="135"/>
  <c r="E123" i="135"/>
  <c r="N61" i="135"/>
  <c r="D118" i="135"/>
  <c r="N12" i="135"/>
  <c r="G124" i="135"/>
  <c r="N40" i="135"/>
  <c r="G125" i="135"/>
  <c r="N41" i="135"/>
  <c r="H122" i="135"/>
  <c r="N82" i="135"/>
  <c r="E120" i="135"/>
  <c r="N58" i="135"/>
  <c r="D122" i="135"/>
  <c r="N16" i="135"/>
  <c r="D120" i="135"/>
  <c r="N14" i="135"/>
  <c r="D116" i="135"/>
  <c r="N10" i="135"/>
  <c r="N80" i="135"/>
  <c r="H120" i="135"/>
  <c r="N23" i="135"/>
  <c r="D129" i="135"/>
  <c r="H119" i="135"/>
  <c r="N79" i="135"/>
  <c r="D123" i="135"/>
  <c r="F123" i="135" s="1"/>
  <c r="N17" i="135"/>
  <c r="G120" i="135"/>
  <c r="N36" i="135"/>
  <c r="G123" i="135"/>
  <c r="N39" i="135"/>
  <c r="D127" i="135"/>
  <c r="F127" i="135" s="1"/>
  <c r="N21" i="135"/>
  <c r="G113" i="135"/>
  <c r="N29" i="135"/>
  <c r="N52" i="135"/>
  <c r="E114" i="135"/>
  <c r="G128" i="135"/>
  <c r="N44" i="135"/>
  <c r="H112" i="135"/>
  <c r="N72" i="135"/>
  <c r="N9" i="135"/>
  <c r="D115" i="135"/>
  <c r="N60" i="135"/>
  <c r="E122" i="135"/>
  <c r="S46" i="126"/>
  <c r="Q46" i="126"/>
  <c r="O46" i="126"/>
  <c r="M46" i="126"/>
  <c r="K46" i="126"/>
  <c r="I46" i="126"/>
  <c r="G46" i="126"/>
  <c r="S45" i="126"/>
  <c r="Q45" i="126"/>
  <c r="O45" i="126"/>
  <c r="M45" i="126"/>
  <c r="K45" i="126"/>
  <c r="I45" i="126"/>
  <c r="G45" i="126"/>
  <c r="S44" i="126"/>
  <c r="Q44" i="126"/>
  <c r="O44" i="126"/>
  <c r="M44" i="126"/>
  <c r="K44" i="126"/>
  <c r="I44" i="126"/>
  <c r="G44" i="126"/>
  <c r="S43" i="126"/>
  <c r="Q43" i="126"/>
  <c r="O43" i="126"/>
  <c r="M43" i="126"/>
  <c r="K43" i="126"/>
  <c r="I43" i="126"/>
  <c r="G43" i="126"/>
  <c r="E42" i="126"/>
  <c r="E41" i="126"/>
  <c r="E40" i="126"/>
  <c r="S39" i="126"/>
  <c r="Q39" i="126"/>
  <c r="O39" i="126"/>
  <c r="M39" i="126"/>
  <c r="K39" i="126"/>
  <c r="I39" i="126"/>
  <c r="G39" i="126"/>
  <c r="S38" i="126"/>
  <c r="Q38" i="126"/>
  <c r="O38" i="126"/>
  <c r="M38" i="126"/>
  <c r="K38" i="126"/>
  <c r="I38" i="126"/>
  <c r="G38" i="126"/>
  <c r="S37" i="126"/>
  <c r="Q37" i="126"/>
  <c r="O37" i="126"/>
  <c r="M37" i="126"/>
  <c r="K37" i="126"/>
  <c r="I37" i="126"/>
  <c r="G37" i="126"/>
  <c r="S36" i="126"/>
  <c r="Q36" i="126"/>
  <c r="O36" i="126"/>
  <c r="M36" i="126"/>
  <c r="K36" i="126"/>
  <c r="I36" i="126"/>
  <c r="G36" i="126"/>
  <c r="S35" i="126"/>
  <c r="Q35" i="126"/>
  <c r="O35" i="126"/>
  <c r="M35" i="126"/>
  <c r="K35" i="126"/>
  <c r="I35" i="126"/>
  <c r="G35" i="126"/>
  <c r="E34" i="126"/>
  <c r="S33" i="126"/>
  <c r="Q33" i="126"/>
  <c r="O33" i="126"/>
  <c r="M33" i="126"/>
  <c r="K33" i="126"/>
  <c r="I33" i="126"/>
  <c r="G33" i="126"/>
  <c r="S32" i="126"/>
  <c r="Q32" i="126"/>
  <c r="O32" i="126"/>
  <c r="M32" i="126"/>
  <c r="K32" i="126"/>
  <c r="I32" i="126"/>
  <c r="G32" i="126"/>
  <c r="E31" i="126"/>
  <c r="S31" i="126" s="1"/>
  <c r="S30" i="126"/>
  <c r="Q30" i="126"/>
  <c r="O30" i="126"/>
  <c r="M30" i="126"/>
  <c r="K30" i="126"/>
  <c r="I30" i="126"/>
  <c r="G30" i="126"/>
  <c r="S29" i="126"/>
  <c r="Q29" i="126"/>
  <c r="O29" i="126"/>
  <c r="M29" i="126"/>
  <c r="K29" i="126"/>
  <c r="I29" i="126"/>
  <c r="G29" i="126"/>
  <c r="R68" i="126"/>
  <c r="P68" i="126"/>
  <c r="N68" i="126"/>
  <c r="L68" i="126"/>
  <c r="J68" i="126"/>
  <c r="H68" i="126"/>
  <c r="F68" i="126"/>
  <c r="R67" i="126"/>
  <c r="P67" i="126"/>
  <c r="N67" i="126"/>
  <c r="L67" i="126"/>
  <c r="J67" i="126"/>
  <c r="H67" i="126"/>
  <c r="F67" i="126"/>
  <c r="R66" i="126"/>
  <c r="P66" i="126"/>
  <c r="N66" i="126"/>
  <c r="L66" i="126"/>
  <c r="J66" i="126"/>
  <c r="H66" i="126"/>
  <c r="F66" i="126"/>
  <c r="R65" i="126"/>
  <c r="P65" i="126"/>
  <c r="N65" i="126"/>
  <c r="L65" i="126"/>
  <c r="J65" i="126"/>
  <c r="H65" i="126"/>
  <c r="F65" i="126"/>
  <c r="S64" i="126"/>
  <c r="R64" i="126"/>
  <c r="Q64" i="126"/>
  <c r="P64" i="126"/>
  <c r="O64" i="126"/>
  <c r="N64" i="126"/>
  <c r="M64" i="126"/>
  <c r="L64" i="126"/>
  <c r="K64" i="126"/>
  <c r="J64" i="126"/>
  <c r="I64" i="126"/>
  <c r="H64" i="126"/>
  <c r="G64" i="126"/>
  <c r="F64" i="126"/>
  <c r="S63" i="126"/>
  <c r="R63" i="126"/>
  <c r="Q63" i="126"/>
  <c r="P63" i="126"/>
  <c r="O63" i="126"/>
  <c r="N63" i="126"/>
  <c r="M63" i="126"/>
  <c r="L63" i="126"/>
  <c r="K63" i="126"/>
  <c r="J63" i="126"/>
  <c r="I63" i="126"/>
  <c r="H63" i="126"/>
  <c r="G63" i="126"/>
  <c r="F63" i="126"/>
  <c r="S62" i="126"/>
  <c r="R62" i="126"/>
  <c r="Q62" i="126"/>
  <c r="P62" i="126"/>
  <c r="O62" i="126"/>
  <c r="N62" i="126"/>
  <c r="M62" i="126"/>
  <c r="L62" i="126"/>
  <c r="K62" i="126"/>
  <c r="J62" i="126"/>
  <c r="I62" i="126"/>
  <c r="H62" i="126"/>
  <c r="G62" i="126"/>
  <c r="F62" i="126"/>
  <c r="R61" i="126"/>
  <c r="P61" i="126"/>
  <c r="N61" i="126"/>
  <c r="L61" i="126"/>
  <c r="J61" i="126"/>
  <c r="H61" i="126"/>
  <c r="F61" i="126"/>
  <c r="E61" i="126"/>
  <c r="R60" i="126"/>
  <c r="P60" i="126"/>
  <c r="N60" i="126"/>
  <c r="L60" i="126"/>
  <c r="J60" i="126"/>
  <c r="H60" i="126"/>
  <c r="F60" i="126"/>
  <c r="R59" i="126"/>
  <c r="P59" i="126"/>
  <c r="N59" i="126"/>
  <c r="L59" i="126"/>
  <c r="J59" i="126"/>
  <c r="H59" i="126"/>
  <c r="F59" i="126"/>
  <c r="R58" i="126"/>
  <c r="P58" i="126"/>
  <c r="N58" i="126"/>
  <c r="L58" i="126"/>
  <c r="J58" i="126"/>
  <c r="H58" i="126"/>
  <c r="F58" i="126"/>
  <c r="R57" i="126"/>
  <c r="P57" i="126"/>
  <c r="N57" i="126"/>
  <c r="L57" i="126"/>
  <c r="J57" i="126"/>
  <c r="H57" i="126"/>
  <c r="F57" i="126"/>
  <c r="S56" i="126"/>
  <c r="R56" i="126"/>
  <c r="Q56" i="126"/>
  <c r="P56" i="126"/>
  <c r="O56" i="126"/>
  <c r="N56" i="126"/>
  <c r="M56" i="126"/>
  <c r="L56" i="126"/>
  <c r="K56" i="126"/>
  <c r="J56" i="126"/>
  <c r="I56" i="126"/>
  <c r="H56" i="126"/>
  <c r="G56" i="126"/>
  <c r="F56" i="126"/>
  <c r="R55" i="126"/>
  <c r="P55" i="126"/>
  <c r="N55" i="126"/>
  <c r="L55" i="126"/>
  <c r="J55" i="126"/>
  <c r="H55" i="126"/>
  <c r="F55" i="126"/>
  <c r="R54" i="126"/>
  <c r="P54" i="126"/>
  <c r="N54" i="126"/>
  <c r="L54" i="126"/>
  <c r="J54" i="126"/>
  <c r="H54" i="126"/>
  <c r="F54" i="126"/>
  <c r="R53" i="126"/>
  <c r="P53" i="126"/>
  <c r="N53" i="126"/>
  <c r="L53" i="126"/>
  <c r="J53" i="126"/>
  <c r="H53" i="126"/>
  <c r="F53" i="126"/>
  <c r="R52" i="126"/>
  <c r="P52" i="126"/>
  <c r="N52" i="126"/>
  <c r="L52" i="126"/>
  <c r="J52" i="126"/>
  <c r="H52" i="126"/>
  <c r="F52" i="126"/>
  <c r="R51" i="126"/>
  <c r="P51" i="126"/>
  <c r="N51" i="126"/>
  <c r="L51" i="126"/>
  <c r="J51" i="126"/>
  <c r="H51" i="126"/>
  <c r="F51" i="126"/>
  <c r="Q65" i="126"/>
  <c r="E55" i="126"/>
  <c r="E54" i="126"/>
  <c r="U22" i="126"/>
  <c r="S22" i="126"/>
  <c r="Q22" i="126"/>
  <c r="O22" i="126"/>
  <c r="M22" i="126"/>
  <c r="K22" i="126"/>
  <c r="I22" i="126"/>
  <c r="G22" i="126"/>
  <c r="U21" i="126"/>
  <c r="S21" i="126"/>
  <c r="Q21" i="126"/>
  <c r="O21" i="126"/>
  <c r="M21" i="126"/>
  <c r="K21" i="126"/>
  <c r="I21" i="126"/>
  <c r="G21" i="126"/>
  <c r="U20" i="126"/>
  <c r="S20" i="126"/>
  <c r="Q20" i="126"/>
  <c r="O20" i="126"/>
  <c r="M20" i="126"/>
  <c r="K20" i="126"/>
  <c r="I20" i="126"/>
  <c r="G20" i="126"/>
  <c r="U19" i="126"/>
  <c r="S19" i="126"/>
  <c r="Q19" i="126"/>
  <c r="O19" i="126"/>
  <c r="M19" i="126"/>
  <c r="K19" i="126"/>
  <c r="I19" i="126"/>
  <c r="G19" i="126"/>
  <c r="V18" i="126"/>
  <c r="U18" i="126"/>
  <c r="E18" i="126"/>
  <c r="E64" i="126" s="1"/>
  <c r="V17" i="126"/>
  <c r="U17" i="126"/>
  <c r="E17" i="126"/>
  <c r="V16" i="126"/>
  <c r="U16" i="126"/>
  <c r="E16" i="126"/>
  <c r="E62" i="126" s="1"/>
  <c r="U15" i="126"/>
  <c r="S15" i="126"/>
  <c r="Q15" i="126"/>
  <c r="O15" i="126"/>
  <c r="M15" i="126"/>
  <c r="K15" i="126"/>
  <c r="I15" i="126"/>
  <c r="G15" i="126"/>
  <c r="U14" i="126"/>
  <c r="S14" i="126"/>
  <c r="Q14" i="126"/>
  <c r="O14" i="126"/>
  <c r="M14" i="126"/>
  <c r="K14" i="126"/>
  <c r="I14" i="126"/>
  <c r="G14" i="126"/>
  <c r="U13" i="126"/>
  <c r="S13" i="126"/>
  <c r="Q13" i="126"/>
  <c r="O13" i="126"/>
  <c r="M13" i="126"/>
  <c r="K13" i="126"/>
  <c r="I13" i="126"/>
  <c r="G13" i="126"/>
  <c r="U12" i="126"/>
  <c r="S12" i="126"/>
  <c r="Q12" i="126"/>
  <c r="O12" i="126"/>
  <c r="M12" i="126"/>
  <c r="K12" i="126"/>
  <c r="I12" i="126"/>
  <c r="G12" i="126"/>
  <c r="U11" i="126"/>
  <c r="S11" i="126"/>
  <c r="Q11" i="126"/>
  <c r="O11" i="126"/>
  <c r="M11" i="126"/>
  <c r="K11" i="126"/>
  <c r="I11" i="126"/>
  <c r="G11" i="126"/>
  <c r="V10" i="126"/>
  <c r="U10" i="126"/>
  <c r="E10" i="126"/>
  <c r="E56" i="126" s="1"/>
  <c r="U9" i="126"/>
  <c r="S9" i="126"/>
  <c r="Q9" i="126"/>
  <c r="O9" i="126"/>
  <c r="M9" i="126"/>
  <c r="K9" i="126"/>
  <c r="I9" i="126"/>
  <c r="G9" i="126"/>
  <c r="U8" i="126"/>
  <c r="S8" i="126"/>
  <c r="Q8" i="126"/>
  <c r="O8" i="126"/>
  <c r="M8" i="126"/>
  <c r="K8" i="126"/>
  <c r="I8" i="126"/>
  <c r="G8" i="126"/>
  <c r="U7" i="126"/>
  <c r="S7" i="126"/>
  <c r="O7" i="126"/>
  <c r="M7" i="126"/>
  <c r="K7" i="126"/>
  <c r="G7" i="126"/>
  <c r="I7" i="126"/>
  <c r="U6" i="126"/>
  <c r="S6" i="126"/>
  <c r="Q6" i="126"/>
  <c r="O6" i="126"/>
  <c r="M6" i="126"/>
  <c r="K6" i="126"/>
  <c r="I6" i="126"/>
  <c r="G6" i="126"/>
  <c r="U5" i="126"/>
  <c r="S5" i="126"/>
  <c r="Q5" i="126"/>
  <c r="O5" i="126"/>
  <c r="M5" i="126"/>
  <c r="K5" i="126"/>
  <c r="I5" i="126"/>
  <c r="G5" i="126"/>
  <c r="BL28" i="138" l="1"/>
  <c r="H36" i="155"/>
  <c r="F23" i="142"/>
  <c r="G112" i="149"/>
  <c r="N33" i="149"/>
  <c r="H112" i="149"/>
  <c r="N75" i="149"/>
  <c r="N62" i="149"/>
  <c r="E120" i="149"/>
  <c r="H109" i="149"/>
  <c r="N72" i="149"/>
  <c r="N83" i="149"/>
  <c r="H120" i="149"/>
  <c r="D122" i="149"/>
  <c r="N22" i="149"/>
  <c r="E111" i="149"/>
  <c r="N53" i="149"/>
  <c r="G111" i="149"/>
  <c r="N32" i="149"/>
  <c r="H106" i="149"/>
  <c r="N69" i="149"/>
  <c r="N59" i="149"/>
  <c r="E117" i="149"/>
  <c r="N9" i="149"/>
  <c r="D109" i="149"/>
  <c r="D119" i="149"/>
  <c r="N19" i="149"/>
  <c r="N14" i="149"/>
  <c r="D114" i="149"/>
  <c r="N81" i="149"/>
  <c r="H118" i="149"/>
  <c r="N36" i="149"/>
  <c r="G115" i="149"/>
  <c r="H117" i="149"/>
  <c r="N80" i="149"/>
  <c r="N41" i="149"/>
  <c r="G120" i="149"/>
  <c r="I120" i="149" s="1"/>
  <c r="N77" i="149"/>
  <c r="H114" i="149"/>
  <c r="G121" i="149"/>
  <c r="N42" i="149"/>
  <c r="N35" i="149"/>
  <c r="G114" i="149"/>
  <c r="H119" i="149"/>
  <c r="N82" i="149"/>
  <c r="G109" i="149"/>
  <c r="N30" i="149"/>
  <c r="G113" i="149"/>
  <c r="N34" i="149"/>
  <c r="E122" i="149"/>
  <c r="N64" i="149"/>
  <c r="N37" i="149"/>
  <c r="G116" i="149"/>
  <c r="D106" i="149"/>
  <c r="N6" i="149"/>
  <c r="N8" i="149"/>
  <c r="D108" i="149"/>
  <c r="E115" i="149"/>
  <c r="N57" i="149"/>
  <c r="D117" i="149"/>
  <c r="N17" i="149"/>
  <c r="E114" i="149"/>
  <c r="N56" i="149"/>
  <c r="D107" i="149"/>
  <c r="N7" i="149"/>
  <c r="H115" i="149"/>
  <c r="N78" i="149"/>
  <c r="H107" i="149"/>
  <c r="N70" i="149"/>
  <c r="H111" i="149"/>
  <c r="N74" i="149"/>
  <c r="N18" i="149"/>
  <c r="D118" i="149"/>
  <c r="N16" i="149"/>
  <c r="D116" i="149"/>
  <c r="N52" i="149"/>
  <c r="E110" i="149"/>
  <c r="D115" i="149"/>
  <c r="N15" i="149"/>
  <c r="N50" i="149"/>
  <c r="E108" i="149"/>
  <c r="BM38" i="150"/>
  <c r="BM33" i="150"/>
  <c r="D111" i="149"/>
  <c r="N11" i="149"/>
  <c r="N85" i="149"/>
  <c r="H122" i="149"/>
  <c r="D112" i="149"/>
  <c r="N12" i="149"/>
  <c r="N20" i="149"/>
  <c r="D120" i="149"/>
  <c r="N49" i="149"/>
  <c r="E107" i="149"/>
  <c r="H110" i="149"/>
  <c r="N73" i="149"/>
  <c r="G118" i="149"/>
  <c r="N39" i="149"/>
  <c r="N38" i="149"/>
  <c r="G117" i="149"/>
  <c r="G106" i="149"/>
  <c r="N27" i="149"/>
  <c r="N71" i="149"/>
  <c r="H108" i="149"/>
  <c r="N76" i="149"/>
  <c r="H113" i="149"/>
  <c r="E118" i="149"/>
  <c r="N60" i="149"/>
  <c r="N84" i="149"/>
  <c r="H121" i="149"/>
  <c r="G108" i="149"/>
  <c r="N29" i="149"/>
  <c r="N54" i="149"/>
  <c r="E112" i="149"/>
  <c r="E106" i="149"/>
  <c r="N48" i="149"/>
  <c r="N79" i="149"/>
  <c r="H116" i="149"/>
  <c r="E119" i="149"/>
  <c r="N61" i="149"/>
  <c r="G110" i="149"/>
  <c r="N31" i="149"/>
  <c r="N28" i="149"/>
  <c r="G107" i="149"/>
  <c r="D113" i="149"/>
  <c r="N13" i="149"/>
  <c r="N51" i="149"/>
  <c r="E109" i="149"/>
  <c r="G119" i="149"/>
  <c r="N40" i="149"/>
  <c r="N55" i="149"/>
  <c r="E113" i="149"/>
  <c r="E121" i="149"/>
  <c r="N63" i="149"/>
  <c r="D110" i="149"/>
  <c r="N10" i="149"/>
  <c r="N58" i="149"/>
  <c r="E116" i="149"/>
  <c r="D121" i="149"/>
  <c r="N21" i="149"/>
  <c r="G122" i="149"/>
  <c r="N43" i="149"/>
  <c r="L48" i="121"/>
  <c r="L6" i="121"/>
  <c r="L69" i="121"/>
  <c r="L27" i="121"/>
  <c r="F121" i="135"/>
  <c r="R121" i="135" s="1"/>
  <c r="T121" i="135" s="1"/>
  <c r="L37" i="121"/>
  <c r="L7" i="121"/>
  <c r="F21" i="142"/>
  <c r="I128" i="135"/>
  <c r="L16" i="121"/>
  <c r="L79" i="121"/>
  <c r="L38" i="121"/>
  <c r="L31" i="121"/>
  <c r="L39" i="121"/>
  <c r="L58" i="121"/>
  <c r="L10" i="121"/>
  <c r="L81" i="121"/>
  <c r="L80" i="121"/>
  <c r="L17" i="121"/>
  <c r="L73" i="121"/>
  <c r="H109" i="137"/>
  <c r="H79" i="137"/>
  <c r="H129" i="137"/>
  <c r="L59" i="121"/>
  <c r="L18" i="121"/>
  <c r="L60" i="121"/>
  <c r="L52" i="121"/>
  <c r="I125" i="135"/>
  <c r="H19" i="137"/>
  <c r="BM28" i="138"/>
  <c r="I113" i="135"/>
  <c r="F122" i="135"/>
  <c r="I127" i="135"/>
  <c r="J127" i="135" s="1"/>
  <c r="I116" i="135"/>
  <c r="F126" i="135"/>
  <c r="H49" i="137"/>
  <c r="H29" i="137"/>
  <c r="I114" i="135"/>
  <c r="I126" i="135"/>
  <c r="H169" i="137"/>
  <c r="H159" i="137"/>
  <c r="H99" i="137"/>
  <c r="H149" i="137"/>
  <c r="H9" i="137"/>
  <c r="H69" i="137"/>
  <c r="H89" i="137"/>
  <c r="H139" i="137"/>
  <c r="H39" i="137"/>
  <c r="H59" i="137"/>
  <c r="H179" i="137"/>
  <c r="H119" i="137"/>
  <c r="BP28" i="138"/>
  <c r="F116" i="135"/>
  <c r="F117" i="135"/>
  <c r="I123" i="135"/>
  <c r="R123" i="135" s="1"/>
  <c r="T123" i="135" s="1"/>
  <c r="I124" i="135"/>
  <c r="I120" i="135"/>
  <c r="F115" i="135"/>
  <c r="I112" i="135"/>
  <c r="G131" i="135"/>
  <c r="I129" i="135"/>
  <c r="F114" i="135"/>
  <c r="H131" i="135"/>
  <c r="F129" i="135"/>
  <c r="F119" i="135"/>
  <c r="F128" i="135"/>
  <c r="I122" i="135"/>
  <c r="F113" i="135"/>
  <c r="I119" i="135"/>
  <c r="D131" i="135"/>
  <c r="I118" i="135"/>
  <c r="I115" i="135"/>
  <c r="F120" i="135"/>
  <c r="F118" i="135"/>
  <c r="F124" i="135"/>
  <c r="I117" i="135"/>
  <c r="F125" i="135"/>
  <c r="F112" i="135"/>
  <c r="E131" i="135"/>
  <c r="M52" i="126"/>
  <c r="G73" i="133"/>
  <c r="G7" i="133"/>
  <c r="G7" i="132"/>
  <c r="G29" i="133"/>
  <c r="G51" i="133"/>
  <c r="G51" i="132"/>
  <c r="G73" i="132"/>
  <c r="G29" i="132"/>
  <c r="G8" i="133"/>
  <c r="G8" i="132"/>
  <c r="G30" i="133"/>
  <c r="G74" i="133"/>
  <c r="G52" i="133"/>
  <c r="G30" i="132"/>
  <c r="G74" i="132"/>
  <c r="G52" i="132"/>
  <c r="H9" i="133"/>
  <c r="H9" i="132"/>
  <c r="H31" i="133"/>
  <c r="H75" i="133"/>
  <c r="H53" i="132"/>
  <c r="H53" i="133"/>
  <c r="H75" i="132"/>
  <c r="H31" i="132"/>
  <c r="H10" i="133"/>
  <c r="H32" i="133"/>
  <c r="H32" i="132"/>
  <c r="H54" i="133"/>
  <c r="H76" i="133"/>
  <c r="H10" i="132"/>
  <c r="H76" i="132"/>
  <c r="H54" i="132"/>
  <c r="E78" i="133"/>
  <c r="E12" i="133"/>
  <c r="E56" i="133"/>
  <c r="E56" i="132"/>
  <c r="E12" i="132"/>
  <c r="E34" i="133"/>
  <c r="E34" i="132"/>
  <c r="E78" i="132"/>
  <c r="E79" i="133"/>
  <c r="E13" i="133"/>
  <c r="E13" i="132"/>
  <c r="E35" i="133"/>
  <c r="E57" i="133"/>
  <c r="E57" i="132"/>
  <c r="E79" i="132"/>
  <c r="E35" i="132"/>
  <c r="E14" i="133"/>
  <c r="E14" i="132"/>
  <c r="E36" i="133"/>
  <c r="E80" i="133"/>
  <c r="E36" i="132"/>
  <c r="E80" i="132"/>
  <c r="E58" i="133"/>
  <c r="E58" i="132"/>
  <c r="E15" i="133"/>
  <c r="E37" i="133"/>
  <c r="E37" i="132"/>
  <c r="E59" i="133"/>
  <c r="E81" i="133"/>
  <c r="E81" i="132"/>
  <c r="E15" i="132"/>
  <c r="E59" i="132"/>
  <c r="D42" i="133"/>
  <c r="D64" i="133"/>
  <c r="D86" i="133"/>
  <c r="D20" i="133"/>
  <c r="D20" i="132"/>
  <c r="D64" i="132"/>
  <c r="D86" i="132"/>
  <c r="D42" i="132"/>
  <c r="D65" i="133"/>
  <c r="D65" i="132"/>
  <c r="D43" i="133"/>
  <c r="D43" i="132"/>
  <c r="D21" i="133"/>
  <c r="D87" i="133"/>
  <c r="D21" i="132"/>
  <c r="D87" i="132"/>
  <c r="D66" i="133"/>
  <c r="D88" i="133"/>
  <c r="D22" i="133"/>
  <c r="D44" i="133"/>
  <c r="D44" i="132"/>
  <c r="D22" i="132"/>
  <c r="D66" i="132"/>
  <c r="L66" i="132" s="1"/>
  <c r="D88" i="132"/>
  <c r="D89" i="133"/>
  <c r="D23" i="133"/>
  <c r="D67" i="133"/>
  <c r="D45" i="132"/>
  <c r="D67" i="132"/>
  <c r="D89" i="132"/>
  <c r="D23" i="132"/>
  <c r="D45" i="133"/>
  <c r="H50" i="133"/>
  <c r="H72" i="133"/>
  <c r="H6" i="133"/>
  <c r="H6" i="132"/>
  <c r="H28" i="133"/>
  <c r="H28" i="132"/>
  <c r="H72" i="132"/>
  <c r="H50" i="132"/>
  <c r="H74" i="133"/>
  <c r="H8" i="133"/>
  <c r="H8" i="132"/>
  <c r="H30" i="133"/>
  <c r="H52" i="133"/>
  <c r="H52" i="132"/>
  <c r="H30" i="132"/>
  <c r="H74" i="132"/>
  <c r="I75" i="133"/>
  <c r="I9" i="133"/>
  <c r="I9" i="132"/>
  <c r="I31" i="133"/>
  <c r="I53" i="133"/>
  <c r="I53" i="132"/>
  <c r="I75" i="132"/>
  <c r="I31" i="132"/>
  <c r="I10" i="133"/>
  <c r="I10" i="132"/>
  <c r="I32" i="133"/>
  <c r="I76" i="133"/>
  <c r="I32" i="132"/>
  <c r="I54" i="133"/>
  <c r="I76" i="132"/>
  <c r="I54" i="132"/>
  <c r="K57" i="126"/>
  <c r="F56" i="133"/>
  <c r="M56" i="133" s="1"/>
  <c r="F78" i="133"/>
  <c r="M78" i="133" s="1"/>
  <c r="F12" i="133"/>
  <c r="M12" i="133" s="1"/>
  <c r="F12" i="132"/>
  <c r="M12" i="132" s="1"/>
  <c r="F34" i="133"/>
  <c r="M34" i="133" s="1"/>
  <c r="F34" i="132"/>
  <c r="M34" i="132" s="1"/>
  <c r="F56" i="132"/>
  <c r="M56" i="132" s="1"/>
  <c r="F78" i="132"/>
  <c r="M78" i="132" s="1"/>
  <c r="F79" i="133"/>
  <c r="M79" i="133" s="1"/>
  <c r="F13" i="133"/>
  <c r="M13" i="133" s="1"/>
  <c r="F57" i="133"/>
  <c r="M57" i="133" s="1"/>
  <c r="F57" i="132"/>
  <c r="M57" i="132" s="1"/>
  <c r="F35" i="133"/>
  <c r="M35" i="133" s="1"/>
  <c r="F13" i="132"/>
  <c r="M13" i="132" s="1"/>
  <c r="F79" i="132"/>
  <c r="M79" i="132" s="1"/>
  <c r="F35" i="132"/>
  <c r="M35" i="132" s="1"/>
  <c r="K59" i="126"/>
  <c r="F80" i="133"/>
  <c r="M80" i="133" s="1"/>
  <c r="F14" i="133"/>
  <c r="M14" i="133" s="1"/>
  <c r="F14" i="132"/>
  <c r="M14" i="132" s="1"/>
  <c r="F36" i="133"/>
  <c r="M36" i="133" s="1"/>
  <c r="F58" i="133"/>
  <c r="M58" i="133" s="1"/>
  <c r="F58" i="132"/>
  <c r="M58" i="132" s="1"/>
  <c r="F36" i="132"/>
  <c r="M36" i="132" s="1"/>
  <c r="F80" i="132"/>
  <c r="M80" i="132" s="1"/>
  <c r="K60" i="126"/>
  <c r="F15" i="133"/>
  <c r="M15" i="133" s="1"/>
  <c r="F15" i="132"/>
  <c r="M15" i="132" s="1"/>
  <c r="F37" i="133"/>
  <c r="M37" i="133" s="1"/>
  <c r="F81" i="133"/>
  <c r="M81" i="133" s="1"/>
  <c r="F81" i="132"/>
  <c r="M81" i="132" s="1"/>
  <c r="F59" i="133"/>
  <c r="M59" i="133" s="1"/>
  <c r="F37" i="132"/>
  <c r="M37" i="132" s="1"/>
  <c r="F59" i="132"/>
  <c r="M59" i="132" s="1"/>
  <c r="E42" i="133"/>
  <c r="E42" i="132"/>
  <c r="E64" i="133"/>
  <c r="E20" i="133"/>
  <c r="E20" i="132"/>
  <c r="E86" i="132"/>
  <c r="E64" i="132"/>
  <c r="E86" i="133"/>
  <c r="E43" i="133"/>
  <c r="E65" i="133"/>
  <c r="E87" i="133"/>
  <c r="E21" i="133"/>
  <c r="E21" i="132"/>
  <c r="E43" i="132"/>
  <c r="E65" i="132"/>
  <c r="E87" i="132"/>
  <c r="E66" i="133"/>
  <c r="E66" i="132"/>
  <c r="E44" i="133"/>
  <c r="E44" i="132"/>
  <c r="E22" i="132"/>
  <c r="E22" i="133"/>
  <c r="E88" i="132"/>
  <c r="E88" i="133"/>
  <c r="E67" i="133"/>
  <c r="E89" i="133"/>
  <c r="E23" i="133"/>
  <c r="E45" i="133"/>
  <c r="E45" i="132"/>
  <c r="E67" i="132"/>
  <c r="E89" i="132"/>
  <c r="E23" i="132"/>
  <c r="G80" i="133"/>
  <c r="G14" i="133"/>
  <c r="G58" i="133"/>
  <c r="G58" i="132"/>
  <c r="G36" i="132"/>
  <c r="G80" i="132"/>
  <c r="G36" i="133"/>
  <c r="G14" i="132"/>
  <c r="H58" i="133"/>
  <c r="H80" i="133"/>
  <c r="H14" i="133"/>
  <c r="H36" i="133"/>
  <c r="H36" i="132"/>
  <c r="H58" i="132"/>
  <c r="H80" i="132"/>
  <c r="H14" i="132"/>
  <c r="G21" i="133"/>
  <c r="G43" i="133"/>
  <c r="G43" i="132"/>
  <c r="G65" i="133"/>
  <c r="G87" i="133"/>
  <c r="G65" i="132"/>
  <c r="G87" i="132"/>
  <c r="G21" i="132"/>
  <c r="G72" i="133"/>
  <c r="G72" i="132"/>
  <c r="G6" i="133"/>
  <c r="G50" i="133"/>
  <c r="G50" i="132"/>
  <c r="G28" i="132"/>
  <c r="G6" i="132"/>
  <c r="G28" i="133"/>
  <c r="I51" i="133"/>
  <c r="I73" i="133"/>
  <c r="I7" i="133"/>
  <c r="I7" i="132"/>
  <c r="I29" i="133"/>
  <c r="I29" i="132"/>
  <c r="I51" i="132"/>
  <c r="I73" i="132"/>
  <c r="J76" i="133"/>
  <c r="R76" i="133" s="1"/>
  <c r="J10" i="133"/>
  <c r="R10" i="133" s="1"/>
  <c r="J10" i="132"/>
  <c r="P10" i="132" s="1"/>
  <c r="J32" i="133"/>
  <c r="R32" i="133" s="1"/>
  <c r="J54" i="133"/>
  <c r="R54" i="133" s="1"/>
  <c r="J54" i="132"/>
  <c r="P54" i="132" s="1"/>
  <c r="J32" i="132"/>
  <c r="P32" i="132" s="1"/>
  <c r="J76" i="132"/>
  <c r="P76" i="132" s="1"/>
  <c r="F67" i="133"/>
  <c r="M67" i="133" s="1"/>
  <c r="F67" i="132"/>
  <c r="M67" i="132" s="1"/>
  <c r="F45" i="133"/>
  <c r="M45" i="133" s="1"/>
  <c r="F45" i="132"/>
  <c r="M45" i="132" s="1"/>
  <c r="F89" i="133"/>
  <c r="M89" i="133" s="1"/>
  <c r="F23" i="133"/>
  <c r="M23" i="133" s="1"/>
  <c r="F23" i="132"/>
  <c r="M23" i="132" s="1"/>
  <c r="F89" i="132"/>
  <c r="M89" i="132" s="1"/>
  <c r="J51" i="133"/>
  <c r="R51" i="133" s="1"/>
  <c r="J51" i="132"/>
  <c r="P51" i="132" s="1"/>
  <c r="J73" i="133"/>
  <c r="R73" i="133" s="1"/>
  <c r="J29" i="133"/>
  <c r="R29" i="133" s="1"/>
  <c r="J29" i="132"/>
  <c r="P29" i="132" s="1"/>
  <c r="J7" i="133"/>
  <c r="R7" i="133" s="1"/>
  <c r="J7" i="132"/>
  <c r="P7" i="132" s="1"/>
  <c r="J73" i="132"/>
  <c r="P73" i="132" s="1"/>
  <c r="H34" i="133"/>
  <c r="H56" i="133"/>
  <c r="H56" i="132"/>
  <c r="H78" i="133"/>
  <c r="H12" i="133"/>
  <c r="H12" i="132"/>
  <c r="H34" i="132"/>
  <c r="H78" i="132"/>
  <c r="G45" i="133"/>
  <c r="G67" i="133"/>
  <c r="G89" i="133"/>
  <c r="G23" i="133"/>
  <c r="G23" i="132"/>
  <c r="G45" i="132"/>
  <c r="G67" i="132"/>
  <c r="G89" i="132"/>
  <c r="D53" i="133"/>
  <c r="D53" i="132"/>
  <c r="D75" i="133"/>
  <c r="D31" i="133"/>
  <c r="D31" i="132"/>
  <c r="D9" i="133"/>
  <c r="D9" i="132"/>
  <c r="D75" i="132"/>
  <c r="I34" i="133"/>
  <c r="I34" i="132"/>
  <c r="I56" i="133"/>
  <c r="I12" i="133"/>
  <c r="I12" i="132"/>
  <c r="I78" i="132"/>
  <c r="I78" i="133"/>
  <c r="I56" i="132"/>
  <c r="I35" i="133"/>
  <c r="I57" i="133"/>
  <c r="I57" i="132"/>
  <c r="I79" i="133"/>
  <c r="I13" i="133"/>
  <c r="I13" i="132"/>
  <c r="I79" i="132"/>
  <c r="I35" i="132"/>
  <c r="I58" i="133"/>
  <c r="I58" i="132"/>
  <c r="I80" i="133"/>
  <c r="I36" i="133"/>
  <c r="I36" i="132"/>
  <c r="I14" i="132"/>
  <c r="I14" i="133"/>
  <c r="I80" i="132"/>
  <c r="I59" i="133"/>
  <c r="I81" i="133"/>
  <c r="I15" i="133"/>
  <c r="I37" i="133"/>
  <c r="I37" i="132"/>
  <c r="I59" i="132"/>
  <c r="I15" i="132"/>
  <c r="I81" i="132"/>
  <c r="I38" i="133"/>
  <c r="I38" i="132"/>
  <c r="I60" i="133"/>
  <c r="I16" i="133"/>
  <c r="I16" i="132"/>
  <c r="I82" i="132"/>
  <c r="I60" i="132"/>
  <c r="I82" i="133"/>
  <c r="O65" i="126"/>
  <c r="H20" i="133"/>
  <c r="H20" i="132"/>
  <c r="H42" i="133"/>
  <c r="H64" i="133"/>
  <c r="H64" i="132"/>
  <c r="H86" i="132"/>
  <c r="H86" i="133"/>
  <c r="H42" i="132"/>
  <c r="O66" i="126"/>
  <c r="H21" i="133"/>
  <c r="H21" i="132"/>
  <c r="H43" i="133"/>
  <c r="H87" i="133"/>
  <c r="H65" i="132"/>
  <c r="H43" i="132"/>
  <c r="H87" i="132"/>
  <c r="H65" i="133"/>
  <c r="O67" i="126"/>
  <c r="H22" i="133"/>
  <c r="H44" i="133"/>
  <c r="H44" i="132"/>
  <c r="H66" i="133"/>
  <c r="H88" i="133"/>
  <c r="H88" i="132"/>
  <c r="H22" i="132"/>
  <c r="H66" i="132"/>
  <c r="O68" i="126"/>
  <c r="H45" i="133"/>
  <c r="H45" i="132"/>
  <c r="H67" i="133"/>
  <c r="H23" i="133"/>
  <c r="H23" i="132"/>
  <c r="H89" i="132"/>
  <c r="H89" i="133"/>
  <c r="H67" i="132"/>
  <c r="I50" i="133"/>
  <c r="I50" i="132"/>
  <c r="I72" i="133"/>
  <c r="I28" i="133"/>
  <c r="I28" i="132"/>
  <c r="I6" i="133"/>
  <c r="I72" i="132"/>
  <c r="I6" i="132"/>
  <c r="J75" i="133"/>
  <c r="R75" i="133" s="1"/>
  <c r="J9" i="133"/>
  <c r="R9" i="133" s="1"/>
  <c r="J53" i="133"/>
  <c r="R53" i="133" s="1"/>
  <c r="J53" i="132"/>
  <c r="P53" i="132" s="1"/>
  <c r="J31" i="133"/>
  <c r="R31" i="133" s="1"/>
  <c r="J75" i="132"/>
  <c r="P75" i="132" s="1"/>
  <c r="J9" i="132"/>
  <c r="P9" i="132" s="1"/>
  <c r="J31" i="132"/>
  <c r="P31" i="132" s="1"/>
  <c r="G81" i="133"/>
  <c r="G15" i="133"/>
  <c r="G15" i="132"/>
  <c r="G37" i="133"/>
  <c r="G59" i="133"/>
  <c r="G59" i="132"/>
  <c r="G81" i="132"/>
  <c r="G37" i="132"/>
  <c r="F20" i="133"/>
  <c r="M20" i="133" s="1"/>
  <c r="F42" i="133"/>
  <c r="M42" i="133" s="1"/>
  <c r="F42" i="132"/>
  <c r="M42" i="132" s="1"/>
  <c r="F64" i="133"/>
  <c r="M64" i="133" s="1"/>
  <c r="F86" i="133"/>
  <c r="M86" i="133" s="1"/>
  <c r="F64" i="132"/>
  <c r="M64" i="132" s="1"/>
  <c r="F20" i="132"/>
  <c r="M20" i="132" s="1"/>
  <c r="F86" i="132"/>
  <c r="M86" i="132" s="1"/>
  <c r="F44" i="133"/>
  <c r="M44" i="133" s="1"/>
  <c r="F66" i="133"/>
  <c r="M66" i="133" s="1"/>
  <c r="F88" i="133"/>
  <c r="M88" i="133" s="1"/>
  <c r="F22" i="133"/>
  <c r="M22" i="133" s="1"/>
  <c r="F22" i="132"/>
  <c r="M22" i="132" s="1"/>
  <c r="F88" i="132"/>
  <c r="M88" i="132" s="1"/>
  <c r="F66" i="132"/>
  <c r="M66" i="132" s="1"/>
  <c r="F44" i="132"/>
  <c r="M44" i="132" s="1"/>
  <c r="J28" i="133"/>
  <c r="R28" i="133" s="1"/>
  <c r="J50" i="133"/>
  <c r="R50" i="133" s="1"/>
  <c r="J50" i="132"/>
  <c r="P50" i="132" s="1"/>
  <c r="J72" i="133"/>
  <c r="R72" i="133" s="1"/>
  <c r="J6" i="133"/>
  <c r="R6" i="133" s="1"/>
  <c r="J6" i="132"/>
  <c r="P6" i="132" s="1"/>
  <c r="J72" i="132"/>
  <c r="P72" i="132" s="1"/>
  <c r="J28" i="132"/>
  <c r="P28" i="132" s="1"/>
  <c r="H81" i="133"/>
  <c r="H15" i="133"/>
  <c r="H59" i="133"/>
  <c r="H59" i="132"/>
  <c r="H15" i="132"/>
  <c r="H81" i="132"/>
  <c r="H37" i="133"/>
  <c r="H37" i="132"/>
  <c r="G20" i="133"/>
  <c r="G20" i="132"/>
  <c r="G42" i="133"/>
  <c r="G86" i="133"/>
  <c r="G64" i="133"/>
  <c r="G86" i="132"/>
  <c r="G64" i="132"/>
  <c r="G42" i="132"/>
  <c r="G51" i="126"/>
  <c r="D6" i="133"/>
  <c r="D28" i="133"/>
  <c r="D28" i="132"/>
  <c r="D50" i="133"/>
  <c r="D72" i="133"/>
  <c r="D72" i="132"/>
  <c r="D50" i="132"/>
  <c r="L50" i="132" s="1"/>
  <c r="D6" i="132"/>
  <c r="E30" i="133"/>
  <c r="E30" i="132"/>
  <c r="E52" i="133"/>
  <c r="E8" i="133"/>
  <c r="E8" i="132"/>
  <c r="E74" i="132"/>
  <c r="E52" i="132"/>
  <c r="E74" i="133"/>
  <c r="I55" i="126"/>
  <c r="E54" i="133"/>
  <c r="E54" i="132"/>
  <c r="E76" i="133"/>
  <c r="E32" i="133"/>
  <c r="E32" i="132"/>
  <c r="E10" i="133"/>
  <c r="E76" i="132"/>
  <c r="E10" i="132"/>
  <c r="S57" i="126"/>
  <c r="J12" i="133"/>
  <c r="R12" i="133" s="1"/>
  <c r="J34" i="133"/>
  <c r="R34" i="133" s="1"/>
  <c r="J34" i="132"/>
  <c r="P34" i="132" s="1"/>
  <c r="J56" i="133"/>
  <c r="R56" i="133" s="1"/>
  <c r="J78" i="133"/>
  <c r="R78" i="133" s="1"/>
  <c r="J78" i="132"/>
  <c r="P78" i="132" s="1"/>
  <c r="J12" i="132"/>
  <c r="P12" i="132" s="1"/>
  <c r="J56" i="132"/>
  <c r="P56" i="132" s="1"/>
  <c r="J36" i="133"/>
  <c r="R36" i="133" s="1"/>
  <c r="J58" i="133"/>
  <c r="R58" i="133" s="1"/>
  <c r="J58" i="132"/>
  <c r="P58" i="132" s="1"/>
  <c r="J80" i="133"/>
  <c r="R80" i="133" s="1"/>
  <c r="J14" i="133"/>
  <c r="R14" i="133" s="1"/>
  <c r="J14" i="132"/>
  <c r="P14" i="132" s="1"/>
  <c r="J80" i="132"/>
  <c r="P80" i="132" s="1"/>
  <c r="J36" i="132"/>
  <c r="P36" i="132" s="1"/>
  <c r="S60" i="126"/>
  <c r="J59" i="133"/>
  <c r="R59" i="133" s="1"/>
  <c r="J59" i="132"/>
  <c r="P59" i="132" s="1"/>
  <c r="J81" i="133"/>
  <c r="R81" i="133" s="1"/>
  <c r="J37" i="133"/>
  <c r="R37" i="133" s="1"/>
  <c r="J37" i="132"/>
  <c r="P37" i="132" s="1"/>
  <c r="J15" i="132"/>
  <c r="P15" i="132" s="1"/>
  <c r="J15" i="133"/>
  <c r="R15" i="133" s="1"/>
  <c r="J81" i="132"/>
  <c r="P81" i="132" s="1"/>
  <c r="S61" i="126"/>
  <c r="J16" i="133"/>
  <c r="R16" i="133" s="1"/>
  <c r="J38" i="133"/>
  <c r="R38" i="133" s="1"/>
  <c r="J38" i="132"/>
  <c r="P38" i="132" s="1"/>
  <c r="J60" i="133"/>
  <c r="R60" i="133" s="1"/>
  <c r="J82" i="133"/>
  <c r="R82" i="133" s="1"/>
  <c r="J82" i="132"/>
  <c r="P82" i="132" s="1"/>
  <c r="J60" i="132"/>
  <c r="P60" i="132" s="1"/>
  <c r="J16" i="132"/>
  <c r="P16" i="132" s="1"/>
  <c r="I86" i="133"/>
  <c r="I20" i="133"/>
  <c r="I64" i="133"/>
  <c r="I42" i="132"/>
  <c r="I42" i="133"/>
  <c r="I86" i="132"/>
  <c r="I20" i="132"/>
  <c r="I64" i="132"/>
  <c r="Q66" i="126"/>
  <c r="I21" i="133"/>
  <c r="I21" i="132"/>
  <c r="I43" i="133"/>
  <c r="I65" i="133"/>
  <c r="I65" i="132"/>
  <c r="I43" i="132"/>
  <c r="I87" i="132"/>
  <c r="I87" i="133"/>
  <c r="Q67" i="126"/>
  <c r="I22" i="133"/>
  <c r="I22" i="132"/>
  <c r="I44" i="133"/>
  <c r="I88" i="133"/>
  <c r="I88" i="132"/>
  <c r="I66" i="132"/>
  <c r="I66" i="133"/>
  <c r="I44" i="132"/>
  <c r="Q68" i="126"/>
  <c r="I23" i="133"/>
  <c r="I45" i="133"/>
  <c r="I45" i="132"/>
  <c r="I67" i="133"/>
  <c r="I89" i="133"/>
  <c r="I89" i="132"/>
  <c r="I67" i="132"/>
  <c r="I23" i="132"/>
  <c r="I31" i="126"/>
  <c r="I53" i="126" s="1"/>
  <c r="H73" i="133"/>
  <c r="H73" i="132"/>
  <c r="H7" i="133"/>
  <c r="H51" i="133"/>
  <c r="H51" i="132"/>
  <c r="H29" i="133"/>
  <c r="H7" i="132"/>
  <c r="H29" i="132"/>
  <c r="J52" i="133"/>
  <c r="R52" i="133" s="1"/>
  <c r="J74" i="133"/>
  <c r="R74" i="133" s="1"/>
  <c r="J8" i="133"/>
  <c r="R8" i="133" s="1"/>
  <c r="J8" i="132"/>
  <c r="P8" i="132" s="1"/>
  <c r="J30" i="133"/>
  <c r="R30" i="133" s="1"/>
  <c r="J30" i="132"/>
  <c r="P30" i="132" s="1"/>
  <c r="J74" i="132"/>
  <c r="P74" i="132" s="1"/>
  <c r="J52" i="132"/>
  <c r="P52" i="132" s="1"/>
  <c r="G57" i="133"/>
  <c r="G79" i="133"/>
  <c r="G13" i="133"/>
  <c r="G13" i="132"/>
  <c r="G35" i="133"/>
  <c r="G35" i="132"/>
  <c r="G57" i="132"/>
  <c r="G79" i="132"/>
  <c r="F43" i="133"/>
  <c r="M43" i="133" s="1"/>
  <c r="F43" i="132"/>
  <c r="M43" i="132" s="1"/>
  <c r="F65" i="133"/>
  <c r="M65" i="133" s="1"/>
  <c r="F21" i="133"/>
  <c r="M21" i="133" s="1"/>
  <c r="F21" i="132"/>
  <c r="M21" i="132" s="1"/>
  <c r="F87" i="132"/>
  <c r="M87" i="132" s="1"/>
  <c r="F87" i="133"/>
  <c r="M87" i="133" s="1"/>
  <c r="F65" i="132"/>
  <c r="M65" i="132" s="1"/>
  <c r="H57" i="133"/>
  <c r="H57" i="132"/>
  <c r="H79" i="133"/>
  <c r="H35" i="133"/>
  <c r="H35" i="132"/>
  <c r="H13" i="133"/>
  <c r="H13" i="132"/>
  <c r="H79" i="132"/>
  <c r="H38" i="133"/>
  <c r="H60" i="133"/>
  <c r="H60" i="132"/>
  <c r="H82" i="133"/>
  <c r="H16" i="133"/>
  <c r="H16" i="132"/>
  <c r="H38" i="132"/>
  <c r="H82" i="132"/>
  <c r="G44" i="133"/>
  <c r="G44" i="132"/>
  <c r="G66" i="133"/>
  <c r="G22" i="133"/>
  <c r="G22" i="132"/>
  <c r="G88" i="133"/>
  <c r="G88" i="132"/>
  <c r="G66" i="132"/>
  <c r="D54" i="133"/>
  <c r="D76" i="133"/>
  <c r="D10" i="133"/>
  <c r="D10" i="132"/>
  <c r="L10" i="132" s="1"/>
  <c r="D32" i="133"/>
  <c r="D32" i="132"/>
  <c r="D54" i="132"/>
  <c r="D76" i="132"/>
  <c r="D29" i="133"/>
  <c r="D29" i="132"/>
  <c r="L29" i="132" s="1"/>
  <c r="D51" i="133"/>
  <c r="D7" i="133"/>
  <c r="D7" i="132"/>
  <c r="D73" i="132"/>
  <c r="D73" i="133"/>
  <c r="D51" i="132"/>
  <c r="I54" i="126"/>
  <c r="E31" i="133"/>
  <c r="E53" i="133"/>
  <c r="E53" i="132"/>
  <c r="E75" i="133"/>
  <c r="E9" i="133"/>
  <c r="E9" i="132"/>
  <c r="E31" i="132"/>
  <c r="E75" i="132"/>
  <c r="S58" i="126"/>
  <c r="J35" i="133"/>
  <c r="R35" i="133" s="1"/>
  <c r="J35" i="132"/>
  <c r="P35" i="132" s="1"/>
  <c r="J57" i="133"/>
  <c r="R57" i="133" s="1"/>
  <c r="J13" i="133"/>
  <c r="R13" i="133" s="1"/>
  <c r="J13" i="132"/>
  <c r="P13" i="132" s="1"/>
  <c r="J79" i="132"/>
  <c r="P79" i="132" s="1"/>
  <c r="J57" i="132"/>
  <c r="P57" i="132" s="1"/>
  <c r="J79" i="133"/>
  <c r="R79" i="133" s="1"/>
  <c r="E6" i="133"/>
  <c r="E6" i="132"/>
  <c r="E28" i="133"/>
  <c r="E72" i="133"/>
  <c r="E28" i="132"/>
  <c r="E50" i="132"/>
  <c r="E50" i="133"/>
  <c r="E72" i="132"/>
  <c r="E7" i="133"/>
  <c r="E29" i="133"/>
  <c r="E29" i="132"/>
  <c r="E51" i="133"/>
  <c r="E73" i="133"/>
  <c r="E73" i="132"/>
  <c r="E7" i="132"/>
  <c r="E51" i="132"/>
  <c r="D30" i="133"/>
  <c r="D52" i="133"/>
  <c r="D52" i="132"/>
  <c r="D74" i="133"/>
  <c r="D8" i="133"/>
  <c r="D8" i="132"/>
  <c r="D74" i="132"/>
  <c r="D30" i="132"/>
  <c r="F31" i="133"/>
  <c r="M31" i="133" s="1"/>
  <c r="F31" i="132"/>
  <c r="M31" i="132" s="1"/>
  <c r="F53" i="133"/>
  <c r="M53" i="133" s="1"/>
  <c r="F9" i="133"/>
  <c r="M9" i="133" s="1"/>
  <c r="F9" i="132"/>
  <c r="M9" i="132" s="1"/>
  <c r="F75" i="133"/>
  <c r="M75" i="133" s="1"/>
  <c r="F75" i="132"/>
  <c r="M75" i="132" s="1"/>
  <c r="F53" i="132"/>
  <c r="M53" i="132" s="1"/>
  <c r="F32" i="133"/>
  <c r="M32" i="133" s="1"/>
  <c r="F54" i="133"/>
  <c r="M54" i="133" s="1"/>
  <c r="F54" i="132"/>
  <c r="M54" i="132" s="1"/>
  <c r="F76" i="133"/>
  <c r="M76" i="133" s="1"/>
  <c r="F10" i="133"/>
  <c r="M10" i="133" s="1"/>
  <c r="F10" i="132"/>
  <c r="M10" i="132" s="1"/>
  <c r="F76" i="132"/>
  <c r="M76" i="132" s="1"/>
  <c r="F32" i="132"/>
  <c r="M32" i="132" s="1"/>
  <c r="J64" i="133"/>
  <c r="R64" i="133" s="1"/>
  <c r="J86" i="133"/>
  <c r="R86" i="133" s="1"/>
  <c r="J20" i="133"/>
  <c r="R20" i="133" s="1"/>
  <c r="J42" i="133"/>
  <c r="R42" i="133" s="1"/>
  <c r="J42" i="132"/>
  <c r="P42" i="132" s="1"/>
  <c r="J86" i="132"/>
  <c r="P86" i="132" s="1"/>
  <c r="J20" i="132"/>
  <c r="P20" i="132" s="1"/>
  <c r="J64" i="132"/>
  <c r="P64" i="132" s="1"/>
  <c r="J87" i="133"/>
  <c r="R87" i="133" s="1"/>
  <c r="J21" i="133"/>
  <c r="R21" i="133" s="1"/>
  <c r="J65" i="133"/>
  <c r="R65" i="133" s="1"/>
  <c r="J21" i="132"/>
  <c r="P21" i="132" s="1"/>
  <c r="J65" i="132"/>
  <c r="P65" i="132" s="1"/>
  <c r="J43" i="133"/>
  <c r="R43" i="133" s="1"/>
  <c r="J43" i="132"/>
  <c r="P43" i="132" s="1"/>
  <c r="J87" i="132"/>
  <c r="P87" i="132" s="1"/>
  <c r="J22" i="133"/>
  <c r="R22" i="133" s="1"/>
  <c r="J22" i="132"/>
  <c r="P22" i="132" s="1"/>
  <c r="J44" i="133"/>
  <c r="R44" i="133" s="1"/>
  <c r="J66" i="133"/>
  <c r="R66" i="133" s="1"/>
  <c r="J66" i="132"/>
  <c r="P66" i="132" s="1"/>
  <c r="J88" i="133"/>
  <c r="R88" i="133" s="1"/>
  <c r="J88" i="132"/>
  <c r="P88" i="132" s="1"/>
  <c r="J44" i="132"/>
  <c r="P44" i="132" s="1"/>
  <c r="J23" i="133"/>
  <c r="R23" i="133" s="1"/>
  <c r="J23" i="132"/>
  <c r="P23" i="132" s="1"/>
  <c r="J45" i="133"/>
  <c r="R45" i="133" s="1"/>
  <c r="J89" i="133"/>
  <c r="R89" i="133" s="1"/>
  <c r="J45" i="132"/>
  <c r="P45" i="132" s="1"/>
  <c r="J89" i="132"/>
  <c r="P89" i="132" s="1"/>
  <c r="J67" i="132"/>
  <c r="P67" i="132" s="1"/>
  <c r="J67" i="133"/>
  <c r="R67" i="133" s="1"/>
  <c r="K31" i="126"/>
  <c r="G56" i="133"/>
  <c r="G56" i="132"/>
  <c r="G78" i="133"/>
  <c r="G34" i="133"/>
  <c r="G34" i="132"/>
  <c r="G12" i="132"/>
  <c r="G12" i="133"/>
  <c r="G78" i="132"/>
  <c r="F72" i="133"/>
  <c r="M72" i="133" s="1"/>
  <c r="F6" i="133"/>
  <c r="M6" i="133" s="1"/>
  <c r="F6" i="132"/>
  <c r="M6" i="132" s="1"/>
  <c r="F28" i="133"/>
  <c r="M28" i="133" s="1"/>
  <c r="F50" i="133"/>
  <c r="M50" i="133" s="1"/>
  <c r="F50" i="132"/>
  <c r="M50" i="132" s="1"/>
  <c r="F28" i="132"/>
  <c r="M28" i="132" s="1"/>
  <c r="F72" i="132"/>
  <c r="M72" i="132" s="1"/>
  <c r="F7" i="133"/>
  <c r="M7" i="133" s="1"/>
  <c r="F7" i="132"/>
  <c r="M7" i="132" s="1"/>
  <c r="F29" i="133"/>
  <c r="M29" i="133" s="1"/>
  <c r="F73" i="133"/>
  <c r="M73" i="133" s="1"/>
  <c r="F51" i="132"/>
  <c r="M51" i="132" s="1"/>
  <c r="F29" i="132"/>
  <c r="M29" i="132" s="1"/>
  <c r="F73" i="132"/>
  <c r="M73" i="132" s="1"/>
  <c r="F51" i="133"/>
  <c r="M51" i="133" s="1"/>
  <c r="F8" i="133"/>
  <c r="M8" i="133" s="1"/>
  <c r="F30" i="133"/>
  <c r="M30" i="133" s="1"/>
  <c r="F30" i="132"/>
  <c r="M30" i="132" s="1"/>
  <c r="F52" i="133"/>
  <c r="M52" i="133" s="1"/>
  <c r="F74" i="133"/>
  <c r="M74" i="133" s="1"/>
  <c r="F8" i="132"/>
  <c r="M8" i="132" s="1"/>
  <c r="F74" i="132"/>
  <c r="M74" i="132" s="1"/>
  <c r="F52" i="132"/>
  <c r="M52" i="132" s="1"/>
  <c r="G9" i="133"/>
  <c r="G31" i="133"/>
  <c r="G31" i="132"/>
  <c r="G53" i="133"/>
  <c r="G75" i="133"/>
  <c r="G75" i="132"/>
  <c r="G9" i="132"/>
  <c r="G53" i="132"/>
  <c r="M55" i="126"/>
  <c r="G32" i="133"/>
  <c r="G32" i="132"/>
  <c r="G54" i="133"/>
  <c r="G10" i="133"/>
  <c r="G10" i="132"/>
  <c r="G76" i="132"/>
  <c r="G76" i="133"/>
  <c r="G54" i="132"/>
  <c r="G57" i="126"/>
  <c r="D78" i="133"/>
  <c r="D12" i="133"/>
  <c r="D12" i="132"/>
  <c r="L12" i="132" s="1"/>
  <c r="D34" i="133"/>
  <c r="D56" i="133"/>
  <c r="D56" i="132"/>
  <c r="D34" i="132"/>
  <c r="D78" i="132"/>
  <c r="L78" i="132" s="1"/>
  <c r="L74" i="121"/>
  <c r="L32" i="121"/>
  <c r="G58" i="126"/>
  <c r="D13" i="133"/>
  <c r="D13" i="132"/>
  <c r="D35" i="133"/>
  <c r="D79" i="133"/>
  <c r="D57" i="133"/>
  <c r="D79" i="132"/>
  <c r="L79" i="132" s="1"/>
  <c r="D35" i="132"/>
  <c r="L35" i="132" s="1"/>
  <c r="D57" i="132"/>
  <c r="L57" i="132" s="1"/>
  <c r="L54" i="121"/>
  <c r="G59" i="126"/>
  <c r="D14" i="133"/>
  <c r="D36" i="133"/>
  <c r="D36" i="132"/>
  <c r="L36" i="132" s="1"/>
  <c r="D58" i="133"/>
  <c r="D80" i="133"/>
  <c r="D80" i="132"/>
  <c r="D58" i="132"/>
  <c r="D14" i="132"/>
  <c r="L34" i="121"/>
  <c r="L13" i="121"/>
  <c r="D37" i="133"/>
  <c r="D37" i="132"/>
  <c r="D59" i="133"/>
  <c r="D15" i="133"/>
  <c r="D15" i="132"/>
  <c r="L15" i="132" s="1"/>
  <c r="D81" i="132"/>
  <c r="L81" i="132" s="1"/>
  <c r="D81" i="133"/>
  <c r="D59" i="132"/>
  <c r="L35" i="121"/>
  <c r="G38" i="132"/>
  <c r="G38" i="133"/>
  <c r="G16" i="132"/>
  <c r="G82" i="132"/>
  <c r="G60" i="133"/>
  <c r="G16" i="133"/>
  <c r="G82" i="133"/>
  <c r="G60" i="132"/>
  <c r="K61" i="126"/>
  <c r="F38" i="133"/>
  <c r="M38" i="133" s="1"/>
  <c r="F82" i="133"/>
  <c r="M82" i="133" s="1"/>
  <c r="F38" i="132"/>
  <c r="M38" i="132" s="1"/>
  <c r="F82" i="132"/>
  <c r="M82" i="132" s="1"/>
  <c r="F16" i="133"/>
  <c r="M16" i="133" s="1"/>
  <c r="F60" i="133"/>
  <c r="M60" i="133" s="1"/>
  <c r="F16" i="132"/>
  <c r="M16" i="132" s="1"/>
  <c r="F60" i="132"/>
  <c r="M60" i="132" s="1"/>
  <c r="E60" i="133"/>
  <c r="E16" i="132"/>
  <c r="E82" i="132"/>
  <c r="E82" i="133"/>
  <c r="E38" i="133"/>
  <c r="E60" i="132"/>
  <c r="E16" i="133"/>
  <c r="E38" i="132"/>
  <c r="D82" i="133"/>
  <c r="D60" i="133"/>
  <c r="D60" i="132"/>
  <c r="D38" i="132"/>
  <c r="D38" i="133"/>
  <c r="D16" i="133"/>
  <c r="D16" i="132"/>
  <c r="D82" i="132"/>
  <c r="V15" i="126"/>
  <c r="V14" i="126"/>
  <c r="S59" i="126"/>
  <c r="V9" i="126"/>
  <c r="G55" i="126"/>
  <c r="V8" i="126"/>
  <c r="U24" i="126"/>
  <c r="V6" i="126"/>
  <c r="S51" i="126"/>
  <c r="S53" i="126"/>
  <c r="E63" i="126"/>
  <c r="E53" i="126"/>
  <c r="G31" i="126"/>
  <c r="I51" i="126"/>
  <c r="I52" i="126"/>
  <c r="M31" i="126"/>
  <c r="M53" i="126" s="1"/>
  <c r="O31" i="126"/>
  <c r="O53" i="126" s="1"/>
  <c r="M51" i="126"/>
  <c r="Q31" i="126"/>
  <c r="M54" i="126"/>
  <c r="K58" i="126"/>
  <c r="K54" i="126"/>
  <c r="S67" i="126"/>
  <c r="S68" i="126"/>
  <c r="K52" i="126"/>
  <c r="I58" i="126"/>
  <c r="G65" i="126"/>
  <c r="G67" i="126"/>
  <c r="M58" i="126"/>
  <c r="M60" i="126"/>
  <c r="K66" i="126"/>
  <c r="S52" i="126"/>
  <c r="O59" i="126"/>
  <c r="M66" i="126"/>
  <c r="M68" i="126"/>
  <c r="V19" i="126"/>
  <c r="V5" i="126"/>
  <c r="Q7" i="126"/>
  <c r="V20" i="126"/>
  <c r="K51" i="126"/>
  <c r="K53" i="126"/>
  <c r="K55" i="126"/>
  <c r="I57" i="126"/>
  <c r="I59" i="126"/>
  <c r="I60" i="126"/>
  <c r="I61" i="126"/>
  <c r="S65" i="126"/>
  <c r="S66" i="126"/>
  <c r="E52" i="126"/>
  <c r="G54" i="126"/>
  <c r="E60" i="126"/>
  <c r="E68" i="126"/>
  <c r="V11" i="126"/>
  <c r="V21" i="126"/>
  <c r="E51" i="126"/>
  <c r="G53" i="126"/>
  <c r="E59" i="126"/>
  <c r="G61" i="126"/>
  <c r="E67" i="126"/>
  <c r="V12" i="126"/>
  <c r="V22" i="126"/>
  <c r="O51" i="126"/>
  <c r="O52" i="126"/>
  <c r="O54" i="126"/>
  <c r="O55" i="126"/>
  <c r="M57" i="126"/>
  <c r="M59" i="126"/>
  <c r="M61" i="126"/>
  <c r="G66" i="126"/>
  <c r="G68" i="126"/>
  <c r="G52" i="126"/>
  <c r="E58" i="126"/>
  <c r="G60" i="126"/>
  <c r="E66" i="126"/>
  <c r="V13" i="126"/>
  <c r="E24" i="126"/>
  <c r="Q51" i="126"/>
  <c r="Q52" i="126"/>
  <c r="Q54" i="126"/>
  <c r="Q55" i="126"/>
  <c r="O57" i="126"/>
  <c r="O58" i="126"/>
  <c r="O60" i="126"/>
  <c r="O61" i="126"/>
  <c r="I65" i="126"/>
  <c r="I66" i="126"/>
  <c r="I67" i="126"/>
  <c r="I68" i="126"/>
  <c r="E57" i="126"/>
  <c r="E65" i="126"/>
  <c r="S54" i="126"/>
  <c r="S55" i="126"/>
  <c r="Q57" i="126"/>
  <c r="Q58" i="126"/>
  <c r="Q59" i="126"/>
  <c r="Q60" i="126"/>
  <c r="Q61" i="126"/>
  <c r="K65" i="126"/>
  <c r="K67" i="126"/>
  <c r="K68" i="126"/>
  <c r="M65" i="126"/>
  <c r="M67" i="126"/>
  <c r="D158" i="125"/>
  <c r="D149" i="125"/>
  <c r="D140" i="125"/>
  <c r="D131" i="125"/>
  <c r="D122" i="125"/>
  <c r="D113" i="125"/>
  <c r="D104" i="125"/>
  <c r="D95" i="125"/>
  <c r="D86" i="125"/>
  <c r="D77" i="125"/>
  <c r="D68" i="125"/>
  <c r="D59" i="125"/>
  <c r="D50" i="125"/>
  <c r="D41" i="125"/>
  <c r="D32" i="125"/>
  <c r="D23" i="125"/>
  <c r="D14" i="125"/>
  <c r="G19" i="124"/>
  <c r="G20" i="124"/>
  <c r="G22" i="124"/>
  <c r="G23" i="124"/>
  <c r="BO25" i="122"/>
  <c r="BO24" i="122"/>
  <c r="BO23" i="122"/>
  <c r="BO22" i="122"/>
  <c r="BO21" i="122"/>
  <c r="BN20" i="122"/>
  <c r="E14" i="124" s="1"/>
  <c r="BO19" i="122"/>
  <c r="BO18" i="122"/>
  <c r="BO17" i="122"/>
  <c r="BO16" i="122"/>
  <c r="BO15" i="122"/>
  <c r="BO14" i="122"/>
  <c r="BO13" i="122"/>
  <c r="BO12" i="122"/>
  <c r="BO11" i="122"/>
  <c r="BO10" i="122"/>
  <c r="E11" i="124" s="1"/>
  <c r="G11" i="124" s="1"/>
  <c r="BO9" i="122"/>
  <c r="BO8" i="122"/>
  <c r="BO7" i="122"/>
  <c r="J121" i="135" l="1"/>
  <c r="I114" i="149"/>
  <c r="I119" i="149"/>
  <c r="I107" i="149"/>
  <c r="I121" i="149"/>
  <c r="F121" i="149"/>
  <c r="F110" i="149"/>
  <c r="F113" i="149"/>
  <c r="F107" i="149"/>
  <c r="F118" i="149"/>
  <c r="F112" i="149"/>
  <c r="I113" i="149"/>
  <c r="I118" i="149"/>
  <c r="I109" i="149"/>
  <c r="I115" i="149"/>
  <c r="I108" i="149"/>
  <c r="F108" i="149"/>
  <c r="F109" i="149"/>
  <c r="F111" i="149"/>
  <c r="I111" i="149"/>
  <c r="F116" i="149"/>
  <c r="F119" i="149"/>
  <c r="E124" i="149"/>
  <c r="I106" i="149"/>
  <c r="G124" i="149"/>
  <c r="F115" i="149"/>
  <c r="D124" i="149"/>
  <c r="F106" i="149"/>
  <c r="F122" i="149"/>
  <c r="I117" i="149"/>
  <c r="F120" i="149"/>
  <c r="J120" i="149" s="1"/>
  <c r="H18" i="148" s="1"/>
  <c r="C18" i="148" s="1"/>
  <c r="I116" i="149"/>
  <c r="F114" i="149"/>
  <c r="I122" i="149"/>
  <c r="I110" i="149"/>
  <c r="F117" i="149"/>
  <c r="H124" i="149"/>
  <c r="I112" i="149"/>
  <c r="BM33" i="138"/>
  <c r="BM38" i="138"/>
  <c r="J128" i="135"/>
  <c r="J126" i="135"/>
  <c r="R127" i="135"/>
  <c r="T127" i="135" s="1"/>
  <c r="R126" i="135"/>
  <c r="T126" i="135" s="1"/>
  <c r="J122" i="135"/>
  <c r="J123" i="135"/>
  <c r="L36" i="121"/>
  <c r="L70" i="121"/>
  <c r="L9" i="121"/>
  <c r="L40" i="121"/>
  <c r="L85" i="121"/>
  <c r="L63" i="121"/>
  <c r="L62" i="121"/>
  <c r="L19" i="121"/>
  <c r="L42" i="121"/>
  <c r="L41" i="121"/>
  <c r="L15" i="121"/>
  <c r="L53" i="121"/>
  <c r="L49" i="121"/>
  <c r="L78" i="121"/>
  <c r="L77" i="121"/>
  <c r="L55" i="121"/>
  <c r="L12" i="121"/>
  <c r="L51" i="121"/>
  <c r="N6" i="121"/>
  <c r="L22" i="121"/>
  <c r="L84" i="121"/>
  <c r="L83" i="121"/>
  <c r="L61" i="121"/>
  <c r="L64" i="121"/>
  <c r="L56" i="121"/>
  <c r="L75" i="121"/>
  <c r="L30" i="121"/>
  <c r="L57" i="121"/>
  <c r="L14" i="121"/>
  <c r="L76" i="121"/>
  <c r="L33" i="121"/>
  <c r="L11" i="121"/>
  <c r="L28" i="121"/>
  <c r="L72" i="121"/>
  <c r="L43" i="121"/>
  <c r="L21" i="121"/>
  <c r="L20" i="121"/>
  <c r="L82" i="121"/>
  <c r="R117" i="135"/>
  <c r="T117" i="135" s="1"/>
  <c r="J115" i="135"/>
  <c r="J116" i="135"/>
  <c r="R116" i="135"/>
  <c r="T116" i="135" s="1"/>
  <c r="J120" i="135"/>
  <c r="R122" i="135"/>
  <c r="T122" i="135" s="1"/>
  <c r="J117" i="135"/>
  <c r="J124" i="135"/>
  <c r="R124" i="135"/>
  <c r="T124" i="135" s="1"/>
  <c r="J119" i="135"/>
  <c r="R119" i="135"/>
  <c r="T119" i="135" s="1"/>
  <c r="R113" i="135"/>
  <c r="T113" i="135" s="1"/>
  <c r="J113" i="135"/>
  <c r="R129" i="135"/>
  <c r="T129" i="135" s="1"/>
  <c r="J129" i="135"/>
  <c r="R114" i="135"/>
  <c r="T114" i="135" s="1"/>
  <c r="J114" i="135"/>
  <c r="J112" i="135"/>
  <c r="F131" i="135"/>
  <c r="R120" i="135"/>
  <c r="T120" i="135" s="1"/>
  <c r="R112" i="135"/>
  <c r="I131" i="135"/>
  <c r="R115" i="135"/>
  <c r="T115" i="135" s="1"/>
  <c r="J118" i="135"/>
  <c r="R118" i="135"/>
  <c r="T118" i="135" s="1"/>
  <c r="R125" i="135"/>
  <c r="T125" i="135" s="1"/>
  <c r="J125" i="135"/>
  <c r="R128" i="135"/>
  <c r="T128" i="135" s="1"/>
  <c r="F128" i="132"/>
  <c r="N66" i="132"/>
  <c r="L86" i="132"/>
  <c r="N81" i="132"/>
  <c r="G121" i="132"/>
  <c r="N35" i="132"/>
  <c r="E119" i="132"/>
  <c r="L72" i="132"/>
  <c r="L22" i="132"/>
  <c r="L65" i="132"/>
  <c r="L64" i="132"/>
  <c r="N29" i="132"/>
  <c r="E113" i="132"/>
  <c r="D118" i="132"/>
  <c r="N12" i="132"/>
  <c r="L51" i="132"/>
  <c r="D116" i="132"/>
  <c r="N10" i="132"/>
  <c r="L53" i="132"/>
  <c r="L44" i="132"/>
  <c r="L20" i="132"/>
  <c r="F119" i="132"/>
  <c r="N57" i="132"/>
  <c r="L87" i="132"/>
  <c r="N36" i="132"/>
  <c r="E120" i="132"/>
  <c r="L32" i="132"/>
  <c r="N15" i="132"/>
  <c r="D121" i="132"/>
  <c r="L14" i="132"/>
  <c r="I74" i="133"/>
  <c r="I74" i="132"/>
  <c r="I8" i="133"/>
  <c r="I52" i="133"/>
  <c r="I52" i="132"/>
  <c r="L52" i="132" s="1"/>
  <c r="I30" i="133"/>
  <c r="I30" i="132"/>
  <c r="I8" i="132"/>
  <c r="L8" i="132" s="1"/>
  <c r="L50" i="121"/>
  <c r="L29" i="121"/>
  <c r="L8" i="121"/>
  <c r="L71" i="121"/>
  <c r="L58" i="132"/>
  <c r="L73" i="132"/>
  <c r="L28" i="132"/>
  <c r="L75" i="132"/>
  <c r="L23" i="132"/>
  <c r="L21" i="132"/>
  <c r="F112" i="132"/>
  <c r="N50" i="132"/>
  <c r="N79" i="132"/>
  <c r="G119" i="132"/>
  <c r="L37" i="132"/>
  <c r="L80" i="132"/>
  <c r="G118" i="132"/>
  <c r="N78" i="132"/>
  <c r="L74" i="132"/>
  <c r="L7" i="132"/>
  <c r="L9" i="132"/>
  <c r="L89" i="132"/>
  <c r="L30" i="132"/>
  <c r="L13" i="132"/>
  <c r="L34" i="132"/>
  <c r="L76" i="132"/>
  <c r="L67" i="132"/>
  <c r="L16" i="132"/>
  <c r="N16" i="132" s="1"/>
  <c r="L59" i="132"/>
  <c r="L56" i="132"/>
  <c r="L54" i="132"/>
  <c r="L31" i="132"/>
  <c r="L45" i="132"/>
  <c r="L88" i="132"/>
  <c r="L43" i="132"/>
  <c r="L42" i="132"/>
  <c r="L38" i="132"/>
  <c r="N38" i="132" s="1"/>
  <c r="L60" i="132"/>
  <c r="N60" i="132" s="1"/>
  <c r="L82" i="132"/>
  <c r="G122" i="132" s="1"/>
  <c r="D122" i="132"/>
  <c r="K20" i="124"/>
  <c r="Q53" i="126"/>
  <c r="V7" i="126"/>
  <c r="BN26" i="122"/>
  <c r="BO20" i="122"/>
  <c r="BM26" i="122"/>
  <c r="E10" i="124" s="1"/>
  <c r="BL26" i="122"/>
  <c r="D21" i="123"/>
  <c r="D20" i="123"/>
  <c r="D19" i="123"/>
  <c r="D18" i="123"/>
  <c r="D17" i="123"/>
  <c r="D16" i="123"/>
  <c r="D15" i="123"/>
  <c r="D14" i="123"/>
  <c r="D13" i="123"/>
  <c r="D12" i="123"/>
  <c r="D11" i="123"/>
  <c r="D10" i="123"/>
  <c r="D9" i="123"/>
  <c r="D8" i="123"/>
  <c r="D7" i="123"/>
  <c r="D6" i="123"/>
  <c r="D5" i="123"/>
  <c r="D4" i="123"/>
  <c r="AD64" i="122"/>
  <c r="AC64" i="122"/>
  <c r="AB64" i="122"/>
  <c r="AA64" i="122"/>
  <c r="Z64" i="122"/>
  <c r="AC62" i="122"/>
  <c r="AB62" i="122"/>
  <c r="AA62" i="122"/>
  <c r="F55" i="122"/>
  <c r="G54" i="122"/>
  <c r="G53" i="122"/>
  <c r="G52" i="122"/>
  <c r="BC26" i="122"/>
  <c r="BB26" i="122"/>
  <c r="AX26" i="122"/>
  <c r="AW26" i="122"/>
  <c r="AV26" i="122"/>
  <c r="AU26" i="122"/>
  <c r="AQ26" i="122"/>
  <c r="AP26" i="122"/>
  <c r="AO26" i="122"/>
  <c r="AN26" i="122"/>
  <c r="AJ26" i="122"/>
  <c r="AI26" i="122"/>
  <c r="AH26" i="122"/>
  <c r="AG26" i="122"/>
  <c r="Y26" i="122"/>
  <c r="BJ25" i="122"/>
  <c r="BE25" i="122"/>
  <c r="AZ25" i="122"/>
  <c r="AS25" i="122"/>
  <c r="AL25" i="122"/>
  <c r="AA25" i="122"/>
  <c r="AE25" i="122" s="1"/>
  <c r="Y25" i="122"/>
  <c r="BJ24" i="122"/>
  <c r="BE24" i="122"/>
  <c r="AZ24" i="122"/>
  <c r="AS24" i="122"/>
  <c r="AL24" i="122"/>
  <c r="Z24" i="122"/>
  <c r="AE24" i="122" s="1"/>
  <c r="Y24" i="122"/>
  <c r="X24" i="122"/>
  <c r="BJ23" i="122"/>
  <c r="BE23" i="122"/>
  <c r="AZ23" i="122"/>
  <c r="AS23" i="122"/>
  <c r="AL23" i="122"/>
  <c r="AA23" i="122"/>
  <c r="Z23" i="122"/>
  <c r="AE23" i="122" s="1"/>
  <c r="Y23" i="122"/>
  <c r="X23" i="122"/>
  <c r="BJ22" i="122"/>
  <c r="BE22" i="122"/>
  <c r="AZ22" i="122"/>
  <c r="AS22" i="122"/>
  <c r="AL22" i="122"/>
  <c r="AC22" i="122"/>
  <c r="AE22" i="122" s="1"/>
  <c r="Y22" i="122"/>
  <c r="V22" i="122"/>
  <c r="BJ21" i="122"/>
  <c r="BE21" i="122"/>
  <c r="AZ21" i="122"/>
  <c r="AS21" i="122"/>
  <c r="AL21" i="122"/>
  <c r="AC21" i="122"/>
  <c r="Z21" i="122"/>
  <c r="X21" i="122"/>
  <c r="V21" i="122"/>
  <c r="Y21" i="122" s="1"/>
  <c r="BI20" i="122"/>
  <c r="BI26" i="122" s="1"/>
  <c r="BG20" i="122"/>
  <c r="BD20" i="122"/>
  <c r="BD26" i="122" s="1"/>
  <c r="AY20" i="122"/>
  <c r="AY26" i="122" s="1"/>
  <c r="AR20" i="122"/>
  <c r="AR26" i="122" s="1"/>
  <c r="AK20" i="122"/>
  <c r="AK26" i="122" s="1"/>
  <c r="AD20" i="122"/>
  <c r="AC20" i="122"/>
  <c r="Z20" i="122"/>
  <c r="AE20" i="122" s="1"/>
  <c r="Y20" i="122"/>
  <c r="X20" i="122"/>
  <c r="V20" i="122"/>
  <c r="BJ19" i="122"/>
  <c r="BE19" i="122"/>
  <c r="AZ19" i="122"/>
  <c r="AS19" i="122"/>
  <c r="AL19" i="122"/>
  <c r="AE19" i="122"/>
  <c r="AA19" i="122"/>
  <c r="Y19" i="122"/>
  <c r="BH18" i="122"/>
  <c r="BJ18" i="122" s="1"/>
  <c r="BE18" i="122"/>
  <c r="AZ18" i="122"/>
  <c r="AS18" i="122"/>
  <c r="AL18" i="122"/>
  <c r="AD18" i="122"/>
  <c r="AD26" i="122" s="1"/>
  <c r="AD66" i="122" s="1"/>
  <c r="AB18" i="122"/>
  <c r="AA18" i="122"/>
  <c r="Y18" i="122"/>
  <c r="X18" i="122"/>
  <c r="BG17" i="122"/>
  <c r="BE17" i="122"/>
  <c r="AZ17" i="122"/>
  <c r="AS17" i="122"/>
  <c r="AL17" i="122"/>
  <c r="AB17" i="122"/>
  <c r="Z17" i="122"/>
  <c r="Y17" i="122"/>
  <c r="X17" i="122"/>
  <c r="H17" i="122"/>
  <c r="BJ16" i="122"/>
  <c r="BE16" i="122"/>
  <c r="AZ16" i="122"/>
  <c r="AS16" i="122"/>
  <c r="AL16" i="122"/>
  <c r="AE16" i="122"/>
  <c r="Y16" i="122"/>
  <c r="BJ15" i="122"/>
  <c r="BE15" i="122"/>
  <c r="AZ15" i="122"/>
  <c r="AS15" i="122"/>
  <c r="AL15" i="122"/>
  <c r="AC15" i="122"/>
  <c r="Z15" i="122"/>
  <c r="V15" i="122"/>
  <c r="Y15" i="122" s="1"/>
  <c r="BJ14" i="122"/>
  <c r="BE14" i="122"/>
  <c r="AZ14" i="122"/>
  <c r="AS14" i="122"/>
  <c r="AL14" i="122"/>
  <c r="Z14" i="122"/>
  <c r="AE14" i="122" s="1"/>
  <c r="Y14" i="122"/>
  <c r="S14" i="122"/>
  <c r="BJ13" i="122"/>
  <c r="BE13" i="122"/>
  <c r="AZ13" i="122"/>
  <c r="AS13" i="122"/>
  <c r="AL13" i="122"/>
  <c r="AE13" i="122"/>
  <c r="Y13" i="122"/>
  <c r="X13" i="122"/>
  <c r="BJ12" i="122"/>
  <c r="BE12" i="122"/>
  <c r="AZ12" i="122"/>
  <c r="AS12" i="122"/>
  <c r="AL12" i="122"/>
  <c r="Z12" i="122"/>
  <c r="AE12" i="122" s="1"/>
  <c r="Y12" i="122"/>
  <c r="X12" i="122"/>
  <c r="BJ11" i="122"/>
  <c r="BE11" i="122"/>
  <c r="AZ11" i="122"/>
  <c r="AS11" i="122"/>
  <c r="AL11" i="122"/>
  <c r="AE11" i="122"/>
  <c r="Y11" i="122"/>
  <c r="BH10" i="122"/>
  <c r="BJ10" i="122" s="1"/>
  <c r="BE10" i="122"/>
  <c r="AZ10" i="122"/>
  <c r="AS10" i="122"/>
  <c r="AL10" i="122"/>
  <c r="AC10" i="122"/>
  <c r="AB10" i="122"/>
  <c r="AB26" i="122" s="1"/>
  <c r="AB59" i="122" s="1"/>
  <c r="Y10" i="122"/>
  <c r="BJ9" i="122"/>
  <c r="BE9" i="122"/>
  <c r="AZ9" i="122"/>
  <c r="AS9" i="122"/>
  <c r="AL9" i="122"/>
  <c r="AE9" i="122"/>
  <c r="Y9" i="122"/>
  <c r="BJ8" i="122"/>
  <c r="BE8" i="122"/>
  <c r="AZ8" i="122"/>
  <c r="AS8" i="122"/>
  <c r="AL8" i="122"/>
  <c r="AE8" i="122"/>
  <c r="Y8" i="122"/>
  <c r="BJ7" i="122"/>
  <c r="BE7" i="122"/>
  <c r="AZ7" i="122"/>
  <c r="AS7" i="122"/>
  <c r="AL7" i="122"/>
  <c r="AC7" i="122"/>
  <c r="Z7" i="122"/>
  <c r="X7" i="122"/>
  <c r="V7" i="122"/>
  <c r="Y7" i="122" s="1"/>
  <c r="F66" i="98"/>
  <c r="S123" i="121"/>
  <c r="S122" i="121"/>
  <c r="S121" i="121"/>
  <c r="S120" i="121"/>
  <c r="S119" i="121"/>
  <c r="S118" i="121"/>
  <c r="N38" i="148" s="1"/>
  <c r="S117" i="121"/>
  <c r="N37" i="148" s="1"/>
  <c r="S116" i="121"/>
  <c r="S115" i="121"/>
  <c r="S114" i="121"/>
  <c r="S113" i="121"/>
  <c r="S112" i="121"/>
  <c r="S111" i="121"/>
  <c r="S110" i="121"/>
  <c r="S109" i="121"/>
  <c r="S108" i="121"/>
  <c r="S107" i="121"/>
  <c r="O105" i="121"/>
  <c r="N105" i="121"/>
  <c r="L105" i="121"/>
  <c r="K105" i="121"/>
  <c r="H105" i="121"/>
  <c r="G105" i="121"/>
  <c r="E105" i="121"/>
  <c r="D105" i="121"/>
  <c r="O123" i="121"/>
  <c r="O85" i="121"/>
  <c r="O84" i="121"/>
  <c r="O122" i="121"/>
  <c r="O83" i="121"/>
  <c r="O121" i="121"/>
  <c r="O82" i="121"/>
  <c r="O120" i="121"/>
  <c r="O81" i="121"/>
  <c r="O119" i="121"/>
  <c r="O80" i="121"/>
  <c r="O118" i="121"/>
  <c r="O79" i="121"/>
  <c r="O117" i="121"/>
  <c r="O78" i="121"/>
  <c r="O116" i="121"/>
  <c r="O77" i="121"/>
  <c r="O115" i="121"/>
  <c r="O76" i="121"/>
  <c r="O114" i="121"/>
  <c r="O75" i="121"/>
  <c r="O113" i="121"/>
  <c r="O74" i="121"/>
  <c r="O112" i="121"/>
  <c r="O73" i="121"/>
  <c r="O111" i="121"/>
  <c r="O72" i="121"/>
  <c r="O110" i="121"/>
  <c r="O109" i="121"/>
  <c r="O71" i="121"/>
  <c r="O108" i="121"/>
  <c r="O70" i="121"/>
  <c r="O107" i="121"/>
  <c r="O69" i="121"/>
  <c r="O106" i="121"/>
  <c r="O64" i="121"/>
  <c r="L123" i="121"/>
  <c r="O63" i="121"/>
  <c r="L122" i="121"/>
  <c r="O62" i="121"/>
  <c r="L121" i="121"/>
  <c r="O61" i="121"/>
  <c r="L120" i="121"/>
  <c r="O60" i="121"/>
  <c r="L119" i="121"/>
  <c r="O59" i="121"/>
  <c r="L118" i="121"/>
  <c r="O58" i="121"/>
  <c r="L117" i="121"/>
  <c r="O57" i="121"/>
  <c r="L116" i="121"/>
  <c r="O56" i="121"/>
  <c r="L115" i="121"/>
  <c r="O55" i="121"/>
  <c r="L114" i="121"/>
  <c r="O54" i="121"/>
  <c r="L113" i="121"/>
  <c r="O53" i="121"/>
  <c r="L112" i="121"/>
  <c r="O52" i="121"/>
  <c r="L111" i="121"/>
  <c r="O51" i="121"/>
  <c r="L110" i="121"/>
  <c r="L109" i="121"/>
  <c r="O50" i="121"/>
  <c r="L108" i="121"/>
  <c r="O49" i="121"/>
  <c r="L107" i="121"/>
  <c r="O48" i="121"/>
  <c r="V106" i="121" s="1"/>
  <c r="L106" i="121"/>
  <c r="O43" i="121"/>
  <c r="N123" i="121"/>
  <c r="O42" i="121"/>
  <c r="N122" i="121"/>
  <c r="O41" i="121"/>
  <c r="N121" i="121"/>
  <c r="O40" i="121"/>
  <c r="N120" i="121"/>
  <c r="P120" i="121" s="1"/>
  <c r="O39" i="121"/>
  <c r="W119" i="121" s="1"/>
  <c r="N119" i="121"/>
  <c r="O38" i="121"/>
  <c r="N118" i="121"/>
  <c r="O37" i="121"/>
  <c r="N117" i="121"/>
  <c r="O36" i="121"/>
  <c r="N116" i="121"/>
  <c r="P116" i="121" s="1"/>
  <c r="O35" i="121"/>
  <c r="W115" i="121" s="1"/>
  <c r="N115" i="121"/>
  <c r="O34" i="121"/>
  <c r="N114" i="121"/>
  <c r="O33" i="121"/>
  <c r="N113" i="121"/>
  <c r="O32" i="121"/>
  <c r="N112" i="121"/>
  <c r="O31" i="121"/>
  <c r="W111" i="121" s="1"/>
  <c r="N111" i="121"/>
  <c r="O30" i="121"/>
  <c r="N110" i="121"/>
  <c r="W109" i="121"/>
  <c r="N109" i="121"/>
  <c r="O29" i="121"/>
  <c r="N108" i="121"/>
  <c r="O28" i="121"/>
  <c r="W107" i="121" s="1"/>
  <c r="N107" i="121"/>
  <c r="O27" i="121"/>
  <c r="N106" i="121"/>
  <c r="O22" i="121"/>
  <c r="K123" i="121"/>
  <c r="O21" i="121"/>
  <c r="K122" i="121"/>
  <c r="O20" i="121"/>
  <c r="V121" i="121" s="1"/>
  <c r="K121" i="121"/>
  <c r="O19" i="121"/>
  <c r="V120" i="121" s="1"/>
  <c r="K120" i="121"/>
  <c r="O18" i="121"/>
  <c r="K119" i="121"/>
  <c r="O17" i="121"/>
  <c r="K118" i="121"/>
  <c r="O16" i="121"/>
  <c r="K117" i="121"/>
  <c r="O15" i="121"/>
  <c r="V116" i="121" s="1"/>
  <c r="K116" i="121"/>
  <c r="O14" i="121"/>
  <c r="K115" i="121"/>
  <c r="O13" i="121"/>
  <c r="K114" i="121"/>
  <c r="O12" i="121"/>
  <c r="V113" i="121" s="1"/>
  <c r="K113" i="121"/>
  <c r="O11" i="121"/>
  <c r="K112" i="121"/>
  <c r="O10" i="121"/>
  <c r="K111" i="121"/>
  <c r="O9" i="121"/>
  <c r="K110" i="121"/>
  <c r="K109" i="121"/>
  <c r="O8" i="121"/>
  <c r="V108" i="121" s="1"/>
  <c r="K108" i="121"/>
  <c r="O7" i="121"/>
  <c r="K107" i="121"/>
  <c r="K106" i="121"/>
  <c r="G22" i="120"/>
  <c r="G6" i="151" s="1"/>
  <c r="H34" i="151" s="1"/>
  <c r="F22" i="120"/>
  <c r="D18" i="148" l="1"/>
  <c r="E18" i="148"/>
  <c r="R107" i="149"/>
  <c r="T107" i="149" s="1"/>
  <c r="E5" i="124"/>
  <c r="C5" i="151"/>
  <c r="E5" i="146"/>
  <c r="G5" i="146" s="1"/>
  <c r="P108" i="121"/>
  <c r="M122" i="121"/>
  <c r="W116" i="121"/>
  <c r="W120" i="121"/>
  <c r="M118" i="121"/>
  <c r="V122" i="121"/>
  <c r="V110" i="121"/>
  <c r="M107" i="121"/>
  <c r="V118" i="121"/>
  <c r="W121" i="121"/>
  <c r="X121" i="121" s="1"/>
  <c r="V123" i="121"/>
  <c r="V119" i="121"/>
  <c r="W118" i="121"/>
  <c r="W122" i="121"/>
  <c r="W117" i="121"/>
  <c r="V111" i="121"/>
  <c r="M112" i="121"/>
  <c r="P114" i="121"/>
  <c r="P118" i="121"/>
  <c r="P122" i="121"/>
  <c r="Y76" i="131"/>
  <c r="N32" i="148"/>
  <c r="Y84" i="131"/>
  <c r="N40" i="148"/>
  <c r="Y83" i="131"/>
  <c r="N39" i="148"/>
  <c r="Y77" i="131"/>
  <c r="N33" i="148"/>
  <c r="Y85" i="131"/>
  <c r="N41" i="148"/>
  <c r="M113" i="121"/>
  <c r="P107" i="121"/>
  <c r="Q107" i="121" s="1"/>
  <c r="P111" i="121"/>
  <c r="P115" i="121"/>
  <c r="Y78" i="131"/>
  <c r="N34" i="148"/>
  <c r="Y86" i="131"/>
  <c r="N42" i="148"/>
  <c r="Y71" i="131"/>
  <c r="N28" i="148"/>
  <c r="Y79" i="131"/>
  <c r="N35" i="148"/>
  <c r="Y87" i="131"/>
  <c r="Y75" i="131"/>
  <c r="N31" i="148"/>
  <c r="Y72" i="131"/>
  <c r="N29" i="148"/>
  <c r="M111" i="121"/>
  <c r="Q111" i="121" s="1"/>
  <c r="P109" i="121"/>
  <c r="P117" i="121"/>
  <c r="P121" i="121"/>
  <c r="Y74" i="131"/>
  <c r="N30" i="148"/>
  <c r="R121" i="149"/>
  <c r="T121" i="149" s="1"/>
  <c r="J112" i="149"/>
  <c r="H10" i="148" s="1"/>
  <c r="C10" i="148" s="1"/>
  <c r="J107" i="149"/>
  <c r="H5" i="148" s="1"/>
  <c r="C5" i="148" s="1"/>
  <c r="J121" i="149"/>
  <c r="H19" i="148" s="1"/>
  <c r="C19" i="148" s="1"/>
  <c r="J113" i="149"/>
  <c r="H11" i="148" s="1"/>
  <c r="C11" i="148" s="1"/>
  <c r="J118" i="149"/>
  <c r="H16" i="148" s="1"/>
  <c r="C16" i="148" s="1"/>
  <c r="R110" i="149"/>
  <c r="T110" i="149" s="1"/>
  <c r="R118" i="149"/>
  <c r="T118" i="149" s="1"/>
  <c r="J109" i="149"/>
  <c r="H7" i="148" s="1"/>
  <c r="C7" i="148" s="1"/>
  <c r="R113" i="149"/>
  <c r="T113" i="149" s="1"/>
  <c r="R111" i="149"/>
  <c r="T111" i="149" s="1"/>
  <c r="J111" i="149"/>
  <c r="H9" i="148" s="1"/>
  <c r="C9" i="148" s="1"/>
  <c r="R109" i="149"/>
  <c r="T109" i="149" s="1"/>
  <c r="R108" i="149"/>
  <c r="T108" i="149" s="1"/>
  <c r="Y73" i="131"/>
  <c r="Y80" i="131"/>
  <c r="J108" i="149"/>
  <c r="H6" i="148" s="1"/>
  <c r="C6" i="148" s="1"/>
  <c r="R112" i="149"/>
  <c r="T112" i="149" s="1"/>
  <c r="R122" i="149"/>
  <c r="T122" i="149" s="1"/>
  <c r="J117" i="149"/>
  <c r="H15" i="148" s="1"/>
  <c r="R120" i="149"/>
  <c r="T120" i="149" s="1"/>
  <c r="J122" i="149"/>
  <c r="H20" i="148" s="1"/>
  <c r="C20" i="148" s="1"/>
  <c r="J106" i="149"/>
  <c r="H4" i="148" s="1"/>
  <c r="R106" i="149"/>
  <c r="T106" i="149" s="1"/>
  <c r="F124" i="149"/>
  <c r="R119" i="149"/>
  <c r="T119" i="149" s="1"/>
  <c r="J119" i="149"/>
  <c r="H17" i="148" s="1"/>
  <c r="C17" i="148" s="1"/>
  <c r="J114" i="149"/>
  <c r="H12" i="148" s="1"/>
  <c r="C12" i="148" s="1"/>
  <c r="R114" i="149"/>
  <c r="T114" i="149" s="1"/>
  <c r="J115" i="149"/>
  <c r="H13" i="148" s="1"/>
  <c r="C13" i="148" s="1"/>
  <c r="R115" i="149"/>
  <c r="T115" i="149" s="1"/>
  <c r="J110" i="149"/>
  <c r="H8" i="148" s="1"/>
  <c r="C8" i="148" s="1"/>
  <c r="R117" i="149"/>
  <c r="T117" i="149" s="1"/>
  <c r="I124" i="149"/>
  <c r="J116" i="149"/>
  <c r="H14" i="148" s="1"/>
  <c r="C14" i="148" s="1"/>
  <c r="R116" i="149"/>
  <c r="T116" i="149" s="1"/>
  <c r="E6" i="124"/>
  <c r="E6" i="146"/>
  <c r="G6" i="146" s="1"/>
  <c r="X111" i="121"/>
  <c r="W113" i="121"/>
  <c r="X113" i="121" s="1"/>
  <c r="V112" i="121"/>
  <c r="G30" i="90"/>
  <c r="T112" i="135"/>
  <c r="T131" i="135" s="1"/>
  <c r="R131" i="135"/>
  <c r="J131" i="135"/>
  <c r="D114" i="132"/>
  <c r="N8" i="132"/>
  <c r="F114" i="132"/>
  <c r="N52" i="132"/>
  <c r="M19" i="120"/>
  <c r="AC26" i="122"/>
  <c r="AC59" i="122" s="1"/>
  <c r="N54" i="132"/>
  <c r="F116" i="132"/>
  <c r="N34" i="132"/>
  <c r="E118" i="132"/>
  <c r="N23" i="132"/>
  <c r="D129" i="132"/>
  <c r="X120" i="121"/>
  <c r="F118" i="132"/>
  <c r="N56" i="132"/>
  <c r="N13" i="132"/>
  <c r="D119" i="132"/>
  <c r="H119" i="132" s="1"/>
  <c r="G120" i="132"/>
  <c r="N80" i="132"/>
  <c r="G115" i="132"/>
  <c r="N75" i="132"/>
  <c r="D120" i="132"/>
  <c r="N14" i="132"/>
  <c r="X116" i="121"/>
  <c r="F122" i="132"/>
  <c r="E126" i="132"/>
  <c r="N42" i="132"/>
  <c r="N59" i="132"/>
  <c r="F121" i="132"/>
  <c r="N30" i="132"/>
  <c r="E114" i="132"/>
  <c r="N37" i="132"/>
  <c r="E121" i="132"/>
  <c r="N28" i="132"/>
  <c r="E112" i="132"/>
  <c r="D126" i="132"/>
  <c r="N20" i="132"/>
  <c r="E122" i="132"/>
  <c r="H122" i="132" s="1"/>
  <c r="N43" i="132"/>
  <c r="E127" i="132"/>
  <c r="N89" i="132"/>
  <c r="G129" i="132"/>
  <c r="G113" i="132"/>
  <c r="N73" i="132"/>
  <c r="E128" i="132"/>
  <c r="N44" i="132"/>
  <c r="G128" i="132"/>
  <c r="N88" i="132"/>
  <c r="N9" i="132"/>
  <c r="D115" i="132"/>
  <c r="F120" i="132"/>
  <c r="N58" i="132"/>
  <c r="N32" i="132"/>
  <c r="E116" i="132"/>
  <c r="F115" i="132"/>
  <c r="N53" i="132"/>
  <c r="F126" i="132"/>
  <c r="N64" i="132"/>
  <c r="E129" i="132"/>
  <c r="N45" i="132"/>
  <c r="N67" i="132"/>
  <c r="F129" i="132"/>
  <c r="D113" i="132"/>
  <c r="N7" i="132"/>
  <c r="F127" i="132"/>
  <c r="N65" i="132"/>
  <c r="G126" i="132"/>
  <c r="N86" i="132"/>
  <c r="X26" i="122"/>
  <c r="AA26" i="122"/>
  <c r="AA59" i="122" s="1"/>
  <c r="E115" i="132"/>
  <c r="N31" i="132"/>
  <c r="N76" i="132"/>
  <c r="G116" i="132"/>
  <c r="G114" i="132"/>
  <c r="N74" i="132"/>
  <c r="D128" i="132"/>
  <c r="N22" i="132"/>
  <c r="N6" i="132"/>
  <c r="N21" i="132"/>
  <c r="D127" i="132"/>
  <c r="N87" i="132"/>
  <c r="G127" i="132"/>
  <c r="N51" i="132"/>
  <c r="F113" i="132"/>
  <c r="G112" i="132"/>
  <c r="G130" i="132" s="1"/>
  <c r="N72" i="132"/>
  <c r="N82" i="132"/>
  <c r="P119" i="121"/>
  <c r="E12" i="124"/>
  <c r="E13" i="124"/>
  <c r="G13" i="124" s="1"/>
  <c r="M119" i="121"/>
  <c r="W123" i="121"/>
  <c r="M16" i="120"/>
  <c r="X43" i="154" s="1"/>
  <c r="Y43" i="154" s="1"/>
  <c r="M18" i="120"/>
  <c r="X45" i="154" s="1"/>
  <c r="Y45" i="154" s="1"/>
  <c r="M10" i="120"/>
  <c r="X37" i="154" s="1"/>
  <c r="Y37" i="154" s="1"/>
  <c r="M5" i="120"/>
  <c r="X32" i="154" s="1"/>
  <c r="Y32" i="154" s="1"/>
  <c r="Y70" i="131"/>
  <c r="M15" i="120"/>
  <c r="X42" i="154" s="1"/>
  <c r="Y42" i="154" s="1"/>
  <c r="Y82" i="131"/>
  <c r="M4" i="120"/>
  <c r="X31" i="154" s="1"/>
  <c r="Y31" i="154" s="1"/>
  <c r="M8" i="120"/>
  <c r="X35" i="154" s="1"/>
  <c r="M17" i="120"/>
  <c r="X44" i="154" s="1"/>
  <c r="Y44" i="154" s="1"/>
  <c r="M7" i="120"/>
  <c r="X34" i="154" s="1"/>
  <c r="Y34" i="154" s="1"/>
  <c r="W106" i="121"/>
  <c r="M11" i="120"/>
  <c r="M20" i="120"/>
  <c r="X47" i="154" s="1"/>
  <c r="Y47" i="154" s="1"/>
  <c r="M13" i="120"/>
  <c r="X40" i="154" s="1"/>
  <c r="Y40" i="154" s="1"/>
  <c r="M14" i="120"/>
  <c r="X41" i="154" s="1"/>
  <c r="Y41" i="154" s="1"/>
  <c r="Y81" i="131"/>
  <c r="M9" i="120"/>
  <c r="X36" i="154" s="1"/>
  <c r="Y36" i="154" s="1"/>
  <c r="M12" i="120"/>
  <c r="X39" i="154" s="1"/>
  <c r="Y39" i="154" s="1"/>
  <c r="M6" i="120"/>
  <c r="X33" i="154" s="1"/>
  <c r="Y33" i="154" s="1"/>
  <c r="D23" i="123"/>
  <c r="D30" i="123" s="1"/>
  <c r="J22" i="120"/>
  <c r="J24" i="120" s="1"/>
  <c r="P112" i="121"/>
  <c r="M121" i="121"/>
  <c r="Q121" i="121" s="1"/>
  <c r="M110" i="121"/>
  <c r="M109" i="121"/>
  <c r="BO26" i="122"/>
  <c r="AE10" i="122"/>
  <c r="AZ20" i="122"/>
  <c r="BE26" i="122"/>
  <c r="AZ26" i="122"/>
  <c r="BG26" i="122"/>
  <c r="BE20" i="122"/>
  <c r="AE15" i="122"/>
  <c r="BJ20" i="122"/>
  <c r="AE17" i="122"/>
  <c r="Z26" i="122"/>
  <c r="AE26" i="122" s="1"/>
  <c r="AS20" i="122"/>
  <c r="G55" i="122"/>
  <c r="AE64" i="122"/>
  <c r="AE21" i="122"/>
  <c r="AS26" i="122"/>
  <c r="AL26" i="122"/>
  <c r="AE7" i="122"/>
  <c r="AL20" i="122"/>
  <c r="BH26" i="122"/>
  <c r="AE18" i="122"/>
  <c r="BJ17" i="122"/>
  <c r="AI61" i="122"/>
  <c r="M123" i="121"/>
  <c r="M115" i="121"/>
  <c r="V115" i="121"/>
  <c r="X115" i="121" s="1"/>
  <c r="W114" i="121"/>
  <c r="M114" i="121"/>
  <c r="V114" i="121"/>
  <c r="W110" i="121"/>
  <c r="X110" i="121" s="1"/>
  <c r="P110" i="121"/>
  <c r="O125" i="121"/>
  <c r="V107" i="121"/>
  <c r="X107" i="121" s="1"/>
  <c r="K125" i="121"/>
  <c r="M106" i="121"/>
  <c r="M116" i="121"/>
  <c r="Q116" i="121" s="1"/>
  <c r="M120" i="121"/>
  <c r="Q120" i="121" s="1"/>
  <c r="N125" i="121"/>
  <c r="P106" i="121"/>
  <c r="L125" i="121"/>
  <c r="M108" i="121"/>
  <c r="Q108" i="121" s="1"/>
  <c r="P113" i="121"/>
  <c r="X118" i="121"/>
  <c r="W108" i="121"/>
  <c r="X108" i="121" s="1"/>
  <c r="P123" i="121"/>
  <c r="M117" i="121"/>
  <c r="S125" i="121"/>
  <c r="Q122" i="121"/>
  <c r="V109" i="121"/>
  <c r="X109" i="121" s="1"/>
  <c r="V117" i="121"/>
  <c r="X117" i="121" s="1"/>
  <c r="X122" i="121"/>
  <c r="W112" i="121"/>
  <c r="X119" i="121"/>
  <c r="C4" i="148" l="1"/>
  <c r="P4" i="148"/>
  <c r="G5" i="151"/>
  <c r="H33" i="151" s="1"/>
  <c r="L5" i="151"/>
  <c r="J50" i="154"/>
  <c r="E17" i="148"/>
  <c r="D17" i="148"/>
  <c r="E5" i="148"/>
  <c r="D5" i="148"/>
  <c r="E6" i="148"/>
  <c r="D6" i="148"/>
  <c r="E10" i="148"/>
  <c r="D10" i="148"/>
  <c r="E14" i="148"/>
  <c r="D14" i="148"/>
  <c r="D19" i="148"/>
  <c r="E19" i="148"/>
  <c r="D8" i="148"/>
  <c r="E8" i="148"/>
  <c r="E7" i="148"/>
  <c r="D7" i="148"/>
  <c r="E9" i="148"/>
  <c r="D9" i="148"/>
  <c r="E4" i="148"/>
  <c r="D4" i="148"/>
  <c r="E13" i="148"/>
  <c r="D13" i="148"/>
  <c r="E20" i="148"/>
  <c r="D20" i="148"/>
  <c r="D16" i="148"/>
  <c r="E16" i="148"/>
  <c r="E12" i="148"/>
  <c r="D12" i="148"/>
  <c r="E11" i="148"/>
  <c r="D11" i="148"/>
  <c r="Q118" i="121"/>
  <c r="X112" i="121"/>
  <c r="Q114" i="121"/>
  <c r="X123" i="121"/>
  <c r="Q115" i="121"/>
  <c r="Q109" i="121"/>
  <c r="Q117" i="121"/>
  <c r="I14" i="120" s="1"/>
  <c r="Q112" i="121"/>
  <c r="I9" i="120" s="1"/>
  <c r="I5" i="120"/>
  <c r="I17" i="120"/>
  <c r="I13" i="120"/>
  <c r="I8" i="120"/>
  <c r="N43" i="148"/>
  <c r="Q113" i="121"/>
  <c r="I19" i="120"/>
  <c r="I6" i="120"/>
  <c r="I18" i="120"/>
  <c r="I11" i="120"/>
  <c r="I12" i="120"/>
  <c r="I15" i="120"/>
  <c r="X46" i="154"/>
  <c r="Y46" i="154" s="1"/>
  <c r="X38" i="154"/>
  <c r="Y38" i="154" s="1"/>
  <c r="Y35" i="154"/>
  <c r="N45" i="148"/>
  <c r="T124" i="149"/>
  <c r="R124" i="149"/>
  <c r="J124" i="149"/>
  <c r="AE15" i="120"/>
  <c r="AE12" i="120"/>
  <c r="AE9" i="120"/>
  <c r="AE6" i="120"/>
  <c r="AE14" i="120"/>
  <c r="AE7" i="120"/>
  <c r="AE5" i="120"/>
  <c r="AE17" i="120"/>
  <c r="AE10" i="120"/>
  <c r="AE13" i="120"/>
  <c r="AE8" i="120"/>
  <c r="B18" i="90"/>
  <c r="AE18" i="120"/>
  <c r="AE20" i="120"/>
  <c r="AE4" i="120"/>
  <c r="AE16" i="120"/>
  <c r="X12" i="145"/>
  <c r="Y12" i="145" s="1"/>
  <c r="AE11" i="120"/>
  <c r="X20" i="145"/>
  <c r="Y20" i="145" s="1"/>
  <c r="AE19" i="120"/>
  <c r="N26" i="120"/>
  <c r="O4" i="120"/>
  <c r="N28" i="120"/>
  <c r="X7" i="145"/>
  <c r="Y7" i="145" s="1"/>
  <c r="N37" i="120"/>
  <c r="X15" i="145"/>
  <c r="Y15" i="145" s="1"/>
  <c r="X5" i="145"/>
  <c r="Y5" i="145" s="1"/>
  <c r="N39" i="120"/>
  <c r="X17" i="145"/>
  <c r="Y17" i="145" s="1"/>
  <c r="N35" i="120"/>
  <c r="X13" i="145"/>
  <c r="Y13" i="145" s="1"/>
  <c r="N30" i="120"/>
  <c r="X8" i="145"/>
  <c r="Y8" i="145" s="1"/>
  <c r="N27" i="120"/>
  <c r="X6" i="145"/>
  <c r="Y6" i="145" s="1"/>
  <c r="N32" i="120"/>
  <c r="X10" i="145"/>
  <c r="Y10" i="145" s="1"/>
  <c r="N36" i="120"/>
  <c r="X14" i="145"/>
  <c r="Y14" i="145" s="1"/>
  <c r="N40" i="120"/>
  <c r="X18" i="145"/>
  <c r="Y18" i="145" s="1"/>
  <c r="N38" i="120"/>
  <c r="X16" i="145"/>
  <c r="Y16" i="145" s="1"/>
  <c r="N33" i="120"/>
  <c r="X11" i="145"/>
  <c r="Y11" i="145" s="1"/>
  <c r="N43" i="120"/>
  <c r="X21" i="145"/>
  <c r="Y21" i="145" s="1"/>
  <c r="N31" i="120"/>
  <c r="X9" i="145"/>
  <c r="N41" i="120"/>
  <c r="X19" i="145"/>
  <c r="Y19" i="145" s="1"/>
  <c r="E85" i="137"/>
  <c r="K85" i="137" s="1"/>
  <c r="N34" i="120"/>
  <c r="V19" i="120"/>
  <c r="N42" i="120"/>
  <c r="H121" i="132"/>
  <c r="S19" i="120"/>
  <c r="X114" i="121"/>
  <c r="O8" i="120"/>
  <c r="E55" i="137"/>
  <c r="V18" i="120"/>
  <c r="E155" i="137"/>
  <c r="S6" i="120"/>
  <c r="E25" i="137"/>
  <c r="O14" i="120"/>
  <c r="E115" i="137"/>
  <c r="S4" i="120"/>
  <c r="E5" i="137"/>
  <c r="O16" i="120"/>
  <c r="E135" i="137"/>
  <c r="O12" i="120"/>
  <c r="E95" i="137"/>
  <c r="E35" i="137"/>
  <c r="O7" i="120"/>
  <c r="E45" i="137"/>
  <c r="V5" i="120"/>
  <c r="E15" i="137"/>
  <c r="V20" i="120"/>
  <c r="E175" i="137"/>
  <c r="E65" i="137"/>
  <c r="O13" i="120"/>
  <c r="E105" i="137"/>
  <c r="E145" i="137"/>
  <c r="O15" i="120"/>
  <c r="E125" i="137"/>
  <c r="E75" i="137"/>
  <c r="O19" i="120"/>
  <c r="E165" i="137"/>
  <c r="S5" i="120"/>
  <c r="O18" i="120"/>
  <c r="V8" i="120"/>
  <c r="H116" i="132"/>
  <c r="D74" i="131" s="1"/>
  <c r="H128" i="132"/>
  <c r="O11" i="120"/>
  <c r="H115" i="132"/>
  <c r="U74" i="131"/>
  <c r="D79" i="131"/>
  <c r="U79" i="131"/>
  <c r="D86" i="131"/>
  <c r="U86" i="131"/>
  <c r="E130" i="132"/>
  <c r="D130" i="132"/>
  <c r="H127" i="132"/>
  <c r="H120" i="132"/>
  <c r="H126" i="132"/>
  <c r="Z66" i="122"/>
  <c r="Q119" i="121"/>
  <c r="D73" i="131"/>
  <c r="U73" i="131"/>
  <c r="H129" i="132"/>
  <c r="H112" i="132"/>
  <c r="S18" i="120"/>
  <c r="O20" i="120"/>
  <c r="H118" i="132"/>
  <c r="BJ26" i="122"/>
  <c r="S8" i="120"/>
  <c r="H113" i="132"/>
  <c r="F130" i="132"/>
  <c r="D77" i="131"/>
  <c r="U77" i="131"/>
  <c r="H114" i="132"/>
  <c r="S20" i="120"/>
  <c r="S12" i="120"/>
  <c r="D80" i="131"/>
  <c r="U80" i="131"/>
  <c r="E15" i="124"/>
  <c r="V7" i="120"/>
  <c r="O5" i="120"/>
  <c r="S16" i="120"/>
  <c r="V6" i="120"/>
  <c r="S10" i="120"/>
  <c r="V9" i="120"/>
  <c r="S17" i="120"/>
  <c r="S15" i="120"/>
  <c r="O6" i="120"/>
  <c r="V13" i="120"/>
  <c r="V10" i="120"/>
  <c r="O10" i="120"/>
  <c r="M22" i="120"/>
  <c r="M24" i="120" s="1"/>
  <c r="S13" i="120"/>
  <c r="O17" i="120"/>
  <c r="O9" i="120"/>
  <c r="V17" i="120"/>
  <c r="V15" i="120"/>
  <c r="S9" i="120"/>
  <c r="S14" i="120"/>
  <c r="V4" i="120"/>
  <c r="V16" i="120"/>
  <c r="V11" i="120"/>
  <c r="V14" i="120"/>
  <c r="S11" i="120"/>
  <c r="S7" i="120"/>
  <c r="V12" i="120"/>
  <c r="X106" i="121"/>
  <c r="Q110" i="121"/>
  <c r="AL61" i="122"/>
  <c r="Q123" i="121"/>
  <c r="W125" i="121"/>
  <c r="P125" i="121"/>
  <c r="Q106" i="121"/>
  <c r="M125" i="121"/>
  <c r="V125" i="121"/>
  <c r="F14" i="111"/>
  <c r="F13" i="111"/>
  <c r="I7" i="120" l="1"/>
  <c r="I10" i="120"/>
  <c r="I4" i="120"/>
  <c r="I16" i="120"/>
  <c r="I20" i="120"/>
  <c r="E50" i="154"/>
  <c r="L85" i="137"/>
  <c r="F85" i="137"/>
  <c r="J85" i="137"/>
  <c r="H85" i="137"/>
  <c r="G85" i="137"/>
  <c r="I85" i="137"/>
  <c r="Y9" i="145"/>
  <c r="J24" i="145"/>
  <c r="E24" i="145" s="1"/>
  <c r="X125" i="121"/>
  <c r="L137" i="133"/>
  <c r="J15" i="137"/>
  <c r="F15" i="137"/>
  <c r="K15" i="137"/>
  <c r="I15" i="137"/>
  <c r="L15" i="137"/>
  <c r="H15" i="137"/>
  <c r="G15" i="137"/>
  <c r="L35" i="137"/>
  <c r="I35" i="137"/>
  <c r="K35" i="137"/>
  <c r="F35" i="137"/>
  <c r="J35" i="137"/>
  <c r="H35" i="137"/>
  <c r="G35" i="137"/>
  <c r="F135" i="137"/>
  <c r="K135" i="137"/>
  <c r="G135" i="137"/>
  <c r="J135" i="137"/>
  <c r="I135" i="137"/>
  <c r="H135" i="137"/>
  <c r="L135" i="137"/>
  <c r="L115" i="137"/>
  <c r="G115" i="137"/>
  <c r="I115" i="137"/>
  <c r="H115" i="137"/>
  <c r="F115" i="137"/>
  <c r="K115" i="137"/>
  <c r="J115" i="137"/>
  <c r="L75" i="137"/>
  <c r="K75" i="137"/>
  <c r="F75" i="137"/>
  <c r="I75" i="137"/>
  <c r="H75" i="137"/>
  <c r="G75" i="137"/>
  <c r="J75" i="137"/>
  <c r="K155" i="137"/>
  <c r="J155" i="137"/>
  <c r="F155" i="137"/>
  <c r="G155" i="137"/>
  <c r="H155" i="137"/>
  <c r="L155" i="137"/>
  <c r="I155" i="137"/>
  <c r="L145" i="137"/>
  <c r="H145" i="137"/>
  <c r="J145" i="137"/>
  <c r="F145" i="137"/>
  <c r="K145" i="137"/>
  <c r="G145" i="137"/>
  <c r="I145" i="137"/>
  <c r="L65" i="137"/>
  <c r="G65" i="137"/>
  <c r="F65" i="137"/>
  <c r="I65" i="137"/>
  <c r="H65" i="137"/>
  <c r="K65" i="137"/>
  <c r="J65" i="137"/>
  <c r="J175" i="137"/>
  <c r="K175" i="137"/>
  <c r="F175" i="137"/>
  <c r="L175" i="137"/>
  <c r="G175" i="137"/>
  <c r="I175" i="137"/>
  <c r="H175" i="137"/>
  <c r="F45" i="137"/>
  <c r="K45" i="137"/>
  <c r="H45" i="137"/>
  <c r="G45" i="137"/>
  <c r="J45" i="137"/>
  <c r="L45" i="137"/>
  <c r="I45" i="137"/>
  <c r="J95" i="137"/>
  <c r="K95" i="137"/>
  <c r="G95" i="137"/>
  <c r="F95" i="137"/>
  <c r="H95" i="137"/>
  <c r="L95" i="137"/>
  <c r="I95" i="137"/>
  <c r="G5" i="137"/>
  <c r="F5" i="137"/>
  <c r="H5" i="137"/>
  <c r="K5" i="137"/>
  <c r="J5" i="137"/>
  <c r="I5" i="137"/>
  <c r="L5" i="137"/>
  <c r="J25" i="137"/>
  <c r="I25" i="137"/>
  <c r="H25" i="137"/>
  <c r="K25" i="137"/>
  <c r="F25" i="137"/>
  <c r="G25" i="137"/>
  <c r="L25" i="137"/>
  <c r="G55" i="137"/>
  <c r="J55" i="137"/>
  <c r="I55" i="137"/>
  <c r="L55" i="137"/>
  <c r="K55" i="137"/>
  <c r="H55" i="137"/>
  <c r="F55" i="137"/>
  <c r="L165" i="137"/>
  <c r="F165" i="137"/>
  <c r="H165" i="137"/>
  <c r="G165" i="137"/>
  <c r="I165" i="137"/>
  <c r="J165" i="137"/>
  <c r="K165" i="137"/>
  <c r="L125" i="137"/>
  <c r="F125" i="137"/>
  <c r="K125" i="137"/>
  <c r="G125" i="137"/>
  <c r="J125" i="137"/>
  <c r="I125" i="137"/>
  <c r="H125" i="137"/>
  <c r="K105" i="137"/>
  <c r="J105" i="137"/>
  <c r="L105" i="137"/>
  <c r="L106" i="137" s="1"/>
  <c r="F105" i="137"/>
  <c r="G105" i="137"/>
  <c r="I105" i="137"/>
  <c r="H105" i="137"/>
  <c r="H130" i="132"/>
  <c r="K73" i="131"/>
  <c r="L73" i="131"/>
  <c r="D76" i="131"/>
  <c r="U76" i="131"/>
  <c r="U72" i="131"/>
  <c r="D72" i="131"/>
  <c r="K86" i="131"/>
  <c r="L86" i="131"/>
  <c r="L77" i="131"/>
  <c r="K77" i="131"/>
  <c r="D84" i="131"/>
  <c r="U84" i="131"/>
  <c r="L79" i="131"/>
  <c r="K79" i="131"/>
  <c r="D70" i="131"/>
  <c r="U70" i="131"/>
  <c r="U78" i="131"/>
  <c r="D78" i="131"/>
  <c r="K74" i="131"/>
  <c r="L74" i="131"/>
  <c r="D71" i="131"/>
  <c r="U71" i="131"/>
  <c r="D87" i="131"/>
  <c r="U87" i="131"/>
  <c r="D85" i="131"/>
  <c r="U85" i="131"/>
  <c r="L80" i="131"/>
  <c r="K80" i="131"/>
  <c r="O22" i="120"/>
  <c r="V22" i="120"/>
  <c r="S22" i="120"/>
  <c r="Q125" i="121"/>
  <c r="I22" i="120" l="1"/>
  <c r="J51" i="154"/>
  <c r="F51" i="154"/>
  <c r="H51" i="154"/>
  <c r="N51" i="154"/>
  <c r="P51" i="154"/>
  <c r="L51" i="154"/>
  <c r="R51" i="154"/>
  <c r="E26" i="146"/>
  <c r="C24" i="151"/>
  <c r="J25" i="145"/>
  <c r="J26" i="145" s="1"/>
  <c r="D88" i="131"/>
  <c r="K87" i="131"/>
  <c r="L87" i="131"/>
  <c r="K70" i="131"/>
  <c r="L70" i="131"/>
  <c r="L72" i="131"/>
  <c r="K72" i="131"/>
  <c r="L71" i="131"/>
  <c r="K71" i="131"/>
  <c r="L84" i="131"/>
  <c r="K84" i="131"/>
  <c r="K76" i="131"/>
  <c r="L76" i="131"/>
  <c r="K78" i="131"/>
  <c r="L78" i="131"/>
  <c r="L85" i="131"/>
  <c r="K85" i="131"/>
  <c r="L96" i="125"/>
  <c r="F12" i="111"/>
  <c r="P52" i="154" l="1"/>
  <c r="N52" i="154"/>
  <c r="L52" i="154"/>
  <c r="H52" i="154"/>
  <c r="F52" i="154"/>
  <c r="R52" i="154"/>
  <c r="J52" i="154"/>
  <c r="L24" i="151"/>
  <c r="G24" i="151"/>
  <c r="L25" i="145"/>
  <c r="L26" i="145" s="1"/>
  <c r="F25" i="145"/>
  <c r="F26" i="145" s="1"/>
  <c r="P25" i="145"/>
  <c r="P26" i="145" s="1"/>
  <c r="H25" i="145"/>
  <c r="H26" i="145" s="1"/>
  <c r="N25" i="145"/>
  <c r="N26" i="145" s="1"/>
  <c r="R25" i="145"/>
  <c r="R26" i="145" s="1"/>
  <c r="D124" i="118"/>
  <c r="D123" i="118"/>
  <c r="D117" i="118"/>
  <c r="D116" i="118"/>
  <c r="D110" i="118"/>
  <c r="D109" i="118"/>
  <c r="D103" i="118"/>
  <c r="D102" i="118"/>
  <c r="D96" i="118"/>
  <c r="D95" i="118"/>
  <c r="D89" i="118"/>
  <c r="D88" i="118"/>
  <c r="D82" i="118"/>
  <c r="D75" i="118"/>
  <c r="D81" i="118"/>
  <c r="D74" i="118"/>
  <c r="D68" i="118"/>
  <c r="D67" i="118"/>
  <c r="D61" i="118"/>
  <c r="D60" i="118"/>
  <c r="D54" i="118"/>
  <c r="D53" i="118"/>
  <c r="D47" i="118"/>
  <c r="D46" i="118"/>
  <c r="D40" i="118"/>
  <c r="D39" i="118"/>
  <c r="D33" i="118"/>
  <c r="D32" i="118"/>
  <c r="D26" i="118"/>
  <c r="D25" i="118"/>
  <c r="D19" i="118"/>
  <c r="D18" i="118"/>
  <c r="D12" i="118"/>
  <c r="D11" i="118"/>
  <c r="D5" i="118"/>
  <c r="F15" i="117" l="1"/>
  <c r="E19" i="117"/>
  <c r="F19" i="117" s="1"/>
  <c r="E17" i="117"/>
  <c r="F17" i="117" s="1"/>
  <c r="E21" i="117"/>
  <c r="F21" i="117" s="1"/>
  <c r="E23" i="117"/>
  <c r="F23" i="117" s="1"/>
  <c r="E25" i="117"/>
  <c r="F25" i="117" s="1"/>
  <c r="E27" i="117"/>
  <c r="E15" i="117"/>
  <c r="F27" i="117" s="1"/>
  <c r="S56" i="116" l="1"/>
  <c r="S62" i="116"/>
  <c r="S63" i="116"/>
  <c r="S64" i="116"/>
  <c r="Q56" i="116"/>
  <c r="Q62" i="116"/>
  <c r="Q63" i="116"/>
  <c r="Q64" i="116"/>
  <c r="O56" i="116"/>
  <c r="O62" i="116"/>
  <c r="O63" i="116"/>
  <c r="O64" i="116"/>
  <c r="M56" i="116"/>
  <c r="M62" i="116"/>
  <c r="M63" i="116"/>
  <c r="M64" i="116"/>
  <c r="K56" i="116"/>
  <c r="K62" i="116"/>
  <c r="K63" i="116"/>
  <c r="K64" i="116"/>
  <c r="I56" i="116"/>
  <c r="I62" i="116"/>
  <c r="I63" i="116"/>
  <c r="I64" i="116"/>
  <c r="G56" i="116"/>
  <c r="G62" i="116"/>
  <c r="G63" i="116"/>
  <c r="G64" i="116"/>
  <c r="R52" i="116"/>
  <c r="AS107" i="121" s="1"/>
  <c r="R53" i="116"/>
  <c r="AS108" i="121" s="1"/>
  <c r="R54" i="116"/>
  <c r="AS109" i="121" s="1"/>
  <c r="R55" i="116"/>
  <c r="AS110" i="121" s="1"/>
  <c r="R56" i="116"/>
  <c r="AS111" i="121" s="1"/>
  <c r="R57" i="116"/>
  <c r="AS112" i="121" s="1"/>
  <c r="R58" i="116"/>
  <c r="AS113" i="121" s="1"/>
  <c r="R59" i="116"/>
  <c r="AS114" i="121" s="1"/>
  <c r="R60" i="116"/>
  <c r="AS115" i="121" s="1"/>
  <c r="R61" i="116"/>
  <c r="AS116" i="121" s="1"/>
  <c r="R62" i="116"/>
  <c r="AS117" i="121" s="1"/>
  <c r="R63" i="116"/>
  <c r="AS118" i="121" s="1"/>
  <c r="R64" i="116"/>
  <c r="AS119" i="121" s="1"/>
  <c r="R65" i="116"/>
  <c r="AS120" i="121" s="1"/>
  <c r="R66" i="116"/>
  <c r="AS121" i="121" s="1"/>
  <c r="R67" i="116"/>
  <c r="AS122" i="121" s="1"/>
  <c r="R68" i="116"/>
  <c r="AS123" i="121" s="1"/>
  <c r="R51" i="116"/>
  <c r="AS106" i="121" s="1"/>
  <c r="P52" i="116"/>
  <c r="P53" i="116"/>
  <c r="P54" i="116"/>
  <c r="P55" i="116"/>
  <c r="P56" i="116"/>
  <c r="P57" i="116"/>
  <c r="P58" i="116"/>
  <c r="P59" i="116"/>
  <c r="P60" i="116"/>
  <c r="P61" i="116"/>
  <c r="P62" i="116"/>
  <c r="P63" i="116"/>
  <c r="P64" i="116"/>
  <c r="P65" i="116"/>
  <c r="P66" i="116"/>
  <c r="P67" i="116"/>
  <c r="P68" i="116"/>
  <c r="P51" i="116"/>
  <c r="N68" i="116"/>
  <c r="N52" i="116"/>
  <c r="N53" i="116"/>
  <c r="N54" i="116"/>
  <c r="N55" i="116"/>
  <c r="N56" i="116"/>
  <c r="N57" i="116"/>
  <c r="N58" i="116"/>
  <c r="N59" i="116"/>
  <c r="N60" i="116"/>
  <c r="N61" i="116"/>
  <c r="N62" i="116"/>
  <c r="N63" i="116"/>
  <c r="N64" i="116"/>
  <c r="N65" i="116"/>
  <c r="N66" i="116"/>
  <c r="N67" i="116"/>
  <c r="N51" i="116"/>
  <c r="L52" i="116"/>
  <c r="L53" i="116"/>
  <c r="L54" i="116"/>
  <c r="L55" i="116"/>
  <c r="L56" i="116"/>
  <c r="L57" i="116"/>
  <c r="L58" i="116"/>
  <c r="L59" i="116"/>
  <c r="L60" i="116"/>
  <c r="L61" i="116"/>
  <c r="L62" i="116"/>
  <c r="L63" i="116"/>
  <c r="L64" i="116"/>
  <c r="L65" i="116"/>
  <c r="L66" i="116"/>
  <c r="L67" i="116"/>
  <c r="L68" i="116"/>
  <c r="L51" i="116"/>
  <c r="J52" i="116"/>
  <c r="J53" i="116"/>
  <c r="J54" i="116"/>
  <c r="J55" i="116"/>
  <c r="J56" i="116"/>
  <c r="J57" i="116"/>
  <c r="J58" i="116"/>
  <c r="J59" i="116"/>
  <c r="J60" i="116"/>
  <c r="J61" i="116"/>
  <c r="J62" i="116"/>
  <c r="J63" i="116"/>
  <c r="J64" i="116"/>
  <c r="J65" i="116"/>
  <c r="J66" i="116"/>
  <c r="J67" i="116"/>
  <c r="J68" i="116"/>
  <c r="J51" i="116"/>
  <c r="H52" i="116"/>
  <c r="H53" i="116"/>
  <c r="H54" i="116"/>
  <c r="H55" i="116"/>
  <c r="H56" i="116"/>
  <c r="H57" i="116"/>
  <c r="H58" i="116"/>
  <c r="H59" i="116"/>
  <c r="H60" i="116"/>
  <c r="H61" i="116"/>
  <c r="H62" i="116"/>
  <c r="H63" i="116"/>
  <c r="H64" i="116"/>
  <c r="H65" i="116"/>
  <c r="H66" i="116"/>
  <c r="H67" i="116"/>
  <c r="H68" i="116"/>
  <c r="H51" i="116"/>
  <c r="F52" i="116"/>
  <c r="F53" i="116"/>
  <c r="F54" i="116"/>
  <c r="F55" i="116"/>
  <c r="F56" i="116"/>
  <c r="F57" i="116"/>
  <c r="F58" i="116"/>
  <c r="F59" i="116"/>
  <c r="F60" i="116"/>
  <c r="F61" i="116"/>
  <c r="F62" i="116"/>
  <c r="F63" i="116"/>
  <c r="F64" i="116"/>
  <c r="F65" i="116"/>
  <c r="F66" i="116"/>
  <c r="F67" i="116"/>
  <c r="F68" i="116"/>
  <c r="F51" i="116"/>
  <c r="E57" i="116"/>
  <c r="E58" i="116"/>
  <c r="E59" i="116"/>
  <c r="E61" i="116"/>
  <c r="E65" i="116"/>
  <c r="E66" i="116"/>
  <c r="E67" i="116"/>
  <c r="E46" i="116"/>
  <c r="S46" i="116" s="1"/>
  <c r="E45" i="116"/>
  <c r="S45" i="116" s="1"/>
  <c r="E44" i="116"/>
  <c r="S44" i="116" s="1"/>
  <c r="E43" i="116"/>
  <c r="S43" i="116" s="1"/>
  <c r="E42" i="116"/>
  <c r="E41" i="116"/>
  <c r="E40" i="116"/>
  <c r="E39" i="116"/>
  <c r="I39" i="116" s="1"/>
  <c r="E38" i="116"/>
  <c r="I38" i="116" s="1"/>
  <c r="E37" i="116"/>
  <c r="I37" i="116" s="1"/>
  <c r="E36" i="116"/>
  <c r="I36" i="116" s="1"/>
  <c r="E35" i="116"/>
  <c r="I35" i="116" s="1"/>
  <c r="E34" i="116"/>
  <c r="E33" i="116"/>
  <c r="Q33" i="116" s="1"/>
  <c r="E32" i="116"/>
  <c r="Q32" i="116" s="1"/>
  <c r="E31" i="116"/>
  <c r="Q31" i="116" s="1"/>
  <c r="E30" i="116"/>
  <c r="Q30" i="116" s="1"/>
  <c r="E29" i="116"/>
  <c r="Q29" i="116" s="1"/>
  <c r="AQ128" i="113" l="1"/>
  <c r="AQ120" i="113"/>
  <c r="E68" i="116"/>
  <c r="E60" i="116"/>
  <c r="E52" i="116"/>
  <c r="AQ127" i="113"/>
  <c r="AQ119" i="113"/>
  <c r="AQ125" i="113"/>
  <c r="AQ117" i="113"/>
  <c r="AQ124" i="113"/>
  <c r="AQ116" i="113"/>
  <c r="AQ126" i="113"/>
  <c r="AQ123" i="113"/>
  <c r="AQ115" i="113"/>
  <c r="E55" i="116"/>
  <c r="AQ112" i="113"/>
  <c r="AQ122" i="113"/>
  <c r="AQ114" i="113"/>
  <c r="AQ118" i="113"/>
  <c r="E54" i="116"/>
  <c r="AQ129" i="113"/>
  <c r="AQ121" i="113"/>
  <c r="AQ113" i="113"/>
  <c r="G30" i="116"/>
  <c r="I30" i="116"/>
  <c r="O30" i="116"/>
  <c r="S30" i="116"/>
  <c r="M30" i="116"/>
  <c r="O33" i="116"/>
  <c r="M31" i="116"/>
  <c r="M32" i="116"/>
  <c r="K30" i="116"/>
  <c r="O32" i="116"/>
  <c r="K29" i="116"/>
  <c r="I31" i="116"/>
  <c r="S32" i="116"/>
  <c r="M37" i="116"/>
  <c r="G29" i="116"/>
  <c r="I29" i="116"/>
  <c r="K31" i="116"/>
  <c r="G44" i="116"/>
  <c r="O31" i="116"/>
  <c r="S33" i="116"/>
  <c r="K39" i="116"/>
  <c r="S31" i="116"/>
  <c r="G46" i="116"/>
  <c r="G43" i="116"/>
  <c r="S29" i="116"/>
  <c r="G32" i="116"/>
  <c r="I33" i="116"/>
  <c r="M36" i="116"/>
  <c r="M39" i="116"/>
  <c r="E51" i="116"/>
  <c r="K38" i="116"/>
  <c r="O29" i="116"/>
  <c r="G33" i="116"/>
  <c r="G31" i="116"/>
  <c r="I32" i="116"/>
  <c r="K33" i="116"/>
  <c r="G45" i="116"/>
  <c r="M38" i="116"/>
  <c r="K32" i="116"/>
  <c r="M33" i="116"/>
  <c r="M29" i="116"/>
  <c r="K35" i="116"/>
  <c r="K36" i="116"/>
  <c r="K37" i="116"/>
  <c r="M35" i="116"/>
  <c r="O35" i="116"/>
  <c r="O36" i="116"/>
  <c r="O37" i="116"/>
  <c r="O38" i="116"/>
  <c r="O39" i="116"/>
  <c r="I43" i="116"/>
  <c r="I44" i="116"/>
  <c r="I45" i="116"/>
  <c r="I46" i="116"/>
  <c r="Q35" i="116"/>
  <c r="Q36" i="116"/>
  <c r="Q37" i="116"/>
  <c r="Q38" i="116"/>
  <c r="Q39" i="116"/>
  <c r="K43" i="116"/>
  <c r="K44" i="116"/>
  <c r="K45" i="116"/>
  <c r="K46" i="116"/>
  <c r="S35" i="116"/>
  <c r="S36" i="116"/>
  <c r="S37" i="116"/>
  <c r="S38" i="116"/>
  <c r="S39" i="116"/>
  <c r="M43" i="116"/>
  <c r="M44" i="116"/>
  <c r="M45" i="116"/>
  <c r="M46" i="116"/>
  <c r="O43" i="116"/>
  <c r="O44" i="116"/>
  <c r="O45" i="116"/>
  <c r="O46" i="116"/>
  <c r="G35" i="116"/>
  <c r="G36" i="116"/>
  <c r="G37" i="116"/>
  <c r="G38" i="116"/>
  <c r="G39" i="116"/>
  <c r="Q43" i="116"/>
  <c r="Q44" i="116"/>
  <c r="Q45" i="116"/>
  <c r="Q46" i="116"/>
  <c r="S112" i="113" l="1"/>
  <c r="J85" i="113" l="1"/>
  <c r="I85" i="113"/>
  <c r="H85" i="113"/>
  <c r="G85" i="113"/>
  <c r="F85" i="113"/>
  <c r="E85" i="113"/>
  <c r="D85" i="113"/>
  <c r="J84" i="113"/>
  <c r="I84" i="113"/>
  <c r="H84" i="113"/>
  <c r="G84" i="113"/>
  <c r="F84" i="113"/>
  <c r="E84" i="113"/>
  <c r="D84" i="113"/>
  <c r="J83" i="113"/>
  <c r="I83" i="113"/>
  <c r="H83" i="113"/>
  <c r="G83" i="113"/>
  <c r="F83" i="113"/>
  <c r="E83" i="113"/>
  <c r="D83" i="113"/>
  <c r="J77" i="113"/>
  <c r="I77" i="113"/>
  <c r="H77" i="113"/>
  <c r="G77" i="113"/>
  <c r="F77" i="113"/>
  <c r="E77" i="113"/>
  <c r="D77" i="113"/>
  <c r="J63" i="113"/>
  <c r="I63" i="113"/>
  <c r="H63" i="113"/>
  <c r="G63" i="113"/>
  <c r="F63" i="113"/>
  <c r="E63" i="113"/>
  <c r="D63" i="113"/>
  <c r="J62" i="113"/>
  <c r="I62" i="113"/>
  <c r="H62" i="113"/>
  <c r="G62" i="113"/>
  <c r="F62" i="113"/>
  <c r="E62" i="113"/>
  <c r="D62" i="113"/>
  <c r="J61" i="113"/>
  <c r="I61" i="113"/>
  <c r="H61" i="113"/>
  <c r="G61" i="113"/>
  <c r="F61" i="113"/>
  <c r="E61" i="113"/>
  <c r="D61" i="113"/>
  <c r="J55" i="113"/>
  <c r="I55" i="113"/>
  <c r="H55" i="113"/>
  <c r="G55" i="113"/>
  <c r="F55" i="113"/>
  <c r="E55" i="113"/>
  <c r="D55" i="113"/>
  <c r="J41" i="113"/>
  <c r="I41" i="113"/>
  <c r="H41" i="113"/>
  <c r="G41" i="113"/>
  <c r="F41" i="113"/>
  <c r="E41" i="113"/>
  <c r="D41" i="113"/>
  <c r="J40" i="113"/>
  <c r="I40" i="113"/>
  <c r="H40" i="113"/>
  <c r="G40" i="113"/>
  <c r="F40" i="113"/>
  <c r="E40" i="113"/>
  <c r="D40" i="113"/>
  <c r="J39" i="113"/>
  <c r="I39" i="113"/>
  <c r="H39" i="113"/>
  <c r="G39" i="113"/>
  <c r="F39" i="113"/>
  <c r="E39" i="113"/>
  <c r="D39" i="113"/>
  <c r="J33" i="113"/>
  <c r="I33" i="113"/>
  <c r="H33" i="113"/>
  <c r="G33" i="113"/>
  <c r="F33" i="113"/>
  <c r="E33" i="113"/>
  <c r="D33" i="113"/>
  <c r="J11" i="113"/>
  <c r="J17" i="113"/>
  <c r="J18" i="113"/>
  <c r="J19" i="113"/>
  <c r="I11" i="113"/>
  <c r="I17" i="113"/>
  <c r="I18" i="113"/>
  <c r="I19" i="113"/>
  <c r="H11" i="113"/>
  <c r="H17" i="113"/>
  <c r="H18" i="113"/>
  <c r="H19" i="113"/>
  <c r="G11" i="113"/>
  <c r="G17" i="113"/>
  <c r="G18" i="113"/>
  <c r="G19" i="113"/>
  <c r="F11" i="113"/>
  <c r="F17" i="113"/>
  <c r="F18" i="113"/>
  <c r="F19" i="113"/>
  <c r="E11" i="113"/>
  <c r="E17" i="113"/>
  <c r="E18" i="113"/>
  <c r="E19" i="113"/>
  <c r="D11" i="113"/>
  <c r="D17" i="113"/>
  <c r="D18" i="113"/>
  <c r="D19" i="113"/>
  <c r="V10" i="116"/>
  <c r="V16" i="116"/>
  <c r="V17" i="116"/>
  <c r="V18" i="116"/>
  <c r="U6" i="116"/>
  <c r="U7" i="116"/>
  <c r="U8" i="116"/>
  <c r="U9" i="116"/>
  <c r="U12" i="116"/>
  <c r="U14" i="116"/>
  <c r="U15" i="116"/>
  <c r="U19" i="116"/>
  <c r="U20" i="116"/>
  <c r="U21" i="116"/>
  <c r="U22" i="116"/>
  <c r="U10" i="116"/>
  <c r="U16" i="116"/>
  <c r="U17" i="116"/>
  <c r="U18" i="116"/>
  <c r="U11" i="116"/>
  <c r="U13" i="116"/>
  <c r="U5" i="116"/>
  <c r="U24" i="116" l="1"/>
  <c r="G22" i="116"/>
  <c r="G68" i="116" s="1"/>
  <c r="G21" i="116"/>
  <c r="G67" i="116" s="1"/>
  <c r="G20" i="116"/>
  <c r="G66" i="116" s="1"/>
  <c r="G19" i="116"/>
  <c r="G65" i="116" s="1"/>
  <c r="E18" i="116"/>
  <c r="E64" i="116" s="1"/>
  <c r="E17" i="116"/>
  <c r="E63" i="116" s="1"/>
  <c r="E16" i="116"/>
  <c r="E62" i="116" s="1"/>
  <c r="I15" i="116"/>
  <c r="I61" i="116" s="1"/>
  <c r="I14" i="116"/>
  <c r="I60" i="116" s="1"/>
  <c r="G13" i="116"/>
  <c r="G59" i="116" s="1"/>
  <c r="G12" i="116"/>
  <c r="G58" i="116" s="1"/>
  <c r="I11" i="116"/>
  <c r="I57" i="116" s="1"/>
  <c r="E10" i="116"/>
  <c r="E56" i="116" s="1"/>
  <c r="K9" i="116"/>
  <c r="K55" i="116" s="1"/>
  <c r="K8" i="116"/>
  <c r="K54" i="116" s="1"/>
  <c r="E7" i="116"/>
  <c r="E53" i="116" s="1"/>
  <c r="K6" i="116"/>
  <c r="K52" i="116" s="1"/>
  <c r="I5" i="116"/>
  <c r="I51" i="116" s="1"/>
  <c r="D20" i="113" l="1"/>
  <c r="D42" i="113"/>
  <c r="D64" i="113"/>
  <c r="D86" i="113"/>
  <c r="D79" i="113"/>
  <c r="D13" i="113"/>
  <c r="D35" i="113"/>
  <c r="D57" i="113"/>
  <c r="E6" i="113"/>
  <c r="E28" i="113"/>
  <c r="E50" i="113"/>
  <c r="E72" i="113"/>
  <c r="E81" i="113"/>
  <c r="E37" i="113"/>
  <c r="E59" i="113"/>
  <c r="E15" i="113"/>
  <c r="E60" i="113"/>
  <c r="E82" i="113"/>
  <c r="E38" i="113"/>
  <c r="E16" i="113"/>
  <c r="E78" i="113"/>
  <c r="E34" i="113"/>
  <c r="E12" i="113"/>
  <c r="E56" i="113"/>
  <c r="D65" i="113"/>
  <c r="D21" i="113"/>
  <c r="D87" i="113"/>
  <c r="D43" i="113"/>
  <c r="F54" i="113"/>
  <c r="F10" i="113"/>
  <c r="F76" i="113"/>
  <c r="F32" i="113"/>
  <c r="D58" i="113"/>
  <c r="D80" i="113"/>
  <c r="D36" i="113"/>
  <c r="D14" i="113"/>
  <c r="D66" i="113"/>
  <c r="D88" i="113"/>
  <c r="D44" i="113"/>
  <c r="D22" i="113"/>
  <c r="F7" i="113"/>
  <c r="F73" i="113"/>
  <c r="F29" i="113"/>
  <c r="F51" i="113"/>
  <c r="D67" i="113"/>
  <c r="D89" i="113"/>
  <c r="D45" i="113"/>
  <c r="D23" i="113"/>
  <c r="F53" i="113"/>
  <c r="F9" i="113"/>
  <c r="F75" i="113"/>
  <c r="F31" i="113"/>
  <c r="K7" i="116"/>
  <c r="K53" i="116" s="1"/>
  <c r="E24" i="116"/>
  <c r="Q20" i="116"/>
  <c r="Q66" i="116" s="1"/>
  <c r="G5" i="116"/>
  <c r="G51" i="116" s="1"/>
  <c r="K20" i="116"/>
  <c r="K66" i="116" s="1"/>
  <c r="O22" i="116"/>
  <c r="O68" i="116" s="1"/>
  <c r="G9" i="116"/>
  <c r="G55" i="116" s="1"/>
  <c r="K21" i="116"/>
  <c r="K67" i="116" s="1"/>
  <c r="I22" i="116"/>
  <c r="I68" i="116" s="1"/>
  <c r="G6" i="116"/>
  <c r="G52" i="116" s="1"/>
  <c r="I20" i="116"/>
  <c r="I66" i="116" s="1"/>
  <c r="M22" i="116"/>
  <c r="M68" i="116" s="1"/>
  <c r="M20" i="116"/>
  <c r="M66" i="116" s="1"/>
  <c r="Q22" i="116"/>
  <c r="Q68" i="116" s="1"/>
  <c r="G8" i="116"/>
  <c r="G54" i="116" s="1"/>
  <c r="O19" i="116"/>
  <c r="O65" i="116" s="1"/>
  <c r="S21" i="116"/>
  <c r="S67" i="116" s="1"/>
  <c r="I19" i="116"/>
  <c r="I65" i="116" s="1"/>
  <c r="M21" i="116"/>
  <c r="M67" i="116" s="1"/>
  <c r="G7" i="116"/>
  <c r="G53" i="116" s="1"/>
  <c r="K19" i="116"/>
  <c r="K65" i="116" s="1"/>
  <c r="Q19" i="116"/>
  <c r="Q65" i="116" s="1"/>
  <c r="S20" i="116"/>
  <c r="S66" i="116" s="1"/>
  <c r="S19" i="116"/>
  <c r="S65" i="116" s="1"/>
  <c r="I21" i="116"/>
  <c r="I67" i="116" s="1"/>
  <c r="K22" i="116"/>
  <c r="K68" i="116" s="1"/>
  <c r="O21" i="116"/>
  <c r="O67" i="116" s="1"/>
  <c r="M19" i="116"/>
  <c r="M65" i="116" s="1"/>
  <c r="O20" i="116"/>
  <c r="O66" i="116" s="1"/>
  <c r="Q21" i="116"/>
  <c r="Q67" i="116" s="1"/>
  <c r="S22" i="116"/>
  <c r="S68" i="116" s="1"/>
  <c r="K5" i="116"/>
  <c r="K51" i="116" s="1"/>
  <c r="I13" i="116"/>
  <c r="I59" i="116" s="1"/>
  <c r="M5" i="116"/>
  <c r="M51" i="116" s="1"/>
  <c r="M6" i="116"/>
  <c r="M52" i="116" s="1"/>
  <c r="M7" i="116"/>
  <c r="M53" i="116" s="1"/>
  <c r="M8" i="116"/>
  <c r="M54" i="116" s="1"/>
  <c r="M9" i="116"/>
  <c r="M55" i="116" s="1"/>
  <c r="K11" i="116"/>
  <c r="K57" i="116" s="1"/>
  <c r="K12" i="116"/>
  <c r="K58" i="116" s="1"/>
  <c r="K13" i="116"/>
  <c r="K59" i="116" s="1"/>
  <c r="K14" i="116"/>
  <c r="K60" i="116" s="1"/>
  <c r="K15" i="116"/>
  <c r="K61" i="116" s="1"/>
  <c r="I12" i="116"/>
  <c r="I58" i="116" s="1"/>
  <c r="O5" i="116"/>
  <c r="O51" i="116" s="1"/>
  <c r="O6" i="116"/>
  <c r="O52" i="116" s="1"/>
  <c r="O7" i="116"/>
  <c r="O53" i="116" s="1"/>
  <c r="O8" i="116"/>
  <c r="O54" i="116" s="1"/>
  <c r="O9" i="116"/>
  <c r="O55" i="116" s="1"/>
  <c r="M11" i="116"/>
  <c r="M57" i="116" s="1"/>
  <c r="M12" i="116"/>
  <c r="M58" i="116" s="1"/>
  <c r="M13" i="116"/>
  <c r="M59" i="116" s="1"/>
  <c r="M14" i="116"/>
  <c r="M60" i="116" s="1"/>
  <c r="M15" i="116"/>
  <c r="M61" i="116" s="1"/>
  <c r="Q5" i="116"/>
  <c r="Q51" i="116" s="1"/>
  <c r="Q6" i="116"/>
  <c r="Q52" i="116" s="1"/>
  <c r="Q7" i="116"/>
  <c r="Q53" i="116" s="1"/>
  <c r="Q8" i="116"/>
  <c r="Q54" i="116" s="1"/>
  <c r="Q9" i="116"/>
  <c r="Q55" i="116" s="1"/>
  <c r="O11" i="116"/>
  <c r="O57" i="116" s="1"/>
  <c r="O12" i="116"/>
  <c r="O58" i="116" s="1"/>
  <c r="O13" i="116"/>
  <c r="O59" i="116" s="1"/>
  <c r="O14" i="116"/>
  <c r="O60" i="116" s="1"/>
  <c r="O15" i="116"/>
  <c r="O61" i="116" s="1"/>
  <c r="S5" i="116"/>
  <c r="S51" i="116" s="1"/>
  <c r="S6" i="116"/>
  <c r="S52" i="116" s="1"/>
  <c r="S7" i="116"/>
  <c r="S53" i="116" s="1"/>
  <c r="S8" i="116"/>
  <c r="S54" i="116" s="1"/>
  <c r="S9" i="116"/>
  <c r="S55" i="116" s="1"/>
  <c r="Q11" i="116"/>
  <c r="Q57" i="116" s="1"/>
  <c r="Q12" i="116"/>
  <c r="Q58" i="116" s="1"/>
  <c r="Q13" i="116"/>
  <c r="Q59" i="116" s="1"/>
  <c r="Q14" i="116"/>
  <c r="Q60" i="116" s="1"/>
  <c r="Q15" i="116"/>
  <c r="Q61" i="116" s="1"/>
  <c r="S11" i="116"/>
  <c r="S57" i="116" s="1"/>
  <c r="S12" i="116"/>
  <c r="S58" i="116" s="1"/>
  <c r="S13" i="116"/>
  <c r="S59" i="116" s="1"/>
  <c r="S14" i="116"/>
  <c r="S60" i="116" s="1"/>
  <c r="S15" i="116"/>
  <c r="S61" i="116" s="1"/>
  <c r="I6" i="116"/>
  <c r="I52" i="116" s="1"/>
  <c r="I7" i="116"/>
  <c r="I53" i="116" s="1"/>
  <c r="I8" i="116"/>
  <c r="I54" i="116" s="1"/>
  <c r="I9" i="116"/>
  <c r="I55" i="116" s="1"/>
  <c r="G11" i="116"/>
  <c r="G57" i="116" s="1"/>
  <c r="G14" i="116"/>
  <c r="G60" i="116" s="1"/>
  <c r="G15" i="116"/>
  <c r="G61" i="116" s="1"/>
  <c r="V12" i="116" l="1"/>
  <c r="V19" i="116"/>
  <c r="H35" i="113"/>
  <c r="H57" i="113"/>
  <c r="H79" i="113"/>
  <c r="H13" i="113"/>
  <c r="G35" i="113"/>
  <c r="G57" i="113"/>
  <c r="G79" i="113"/>
  <c r="G13" i="113"/>
  <c r="F82" i="113"/>
  <c r="F16" i="113"/>
  <c r="F38" i="113"/>
  <c r="F60" i="113"/>
  <c r="I16" i="113"/>
  <c r="I38" i="113"/>
  <c r="I60" i="113"/>
  <c r="I82" i="113"/>
  <c r="F37" i="113"/>
  <c r="F59" i="113"/>
  <c r="F81" i="113"/>
  <c r="F15" i="113"/>
  <c r="G28" i="113"/>
  <c r="G50" i="113"/>
  <c r="G72" i="113"/>
  <c r="G6" i="113"/>
  <c r="E42" i="113"/>
  <c r="E20" i="113"/>
  <c r="E64" i="113"/>
  <c r="E86" i="113"/>
  <c r="G37" i="113"/>
  <c r="G59" i="113"/>
  <c r="G81" i="113"/>
  <c r="G15" i="113"/>
  <c r="I37" i="113"/>
  <c r="I59" i="113"/>
  <c r="I81" i="113"/>
  <c r="I15" i="113"/>
  <c r="H38" i="113"/>
  <c r="H60" i="113"/>
  <c r="H82" i="113"/>
  <c r="H16" i="113"/>
  <c r="F35" i="113"/>
  <c r="F57" i="113"/>
  <c r="F13" i="113"/>
  <c r="F79" i="113"/>
  <c r="F6" i="113"/>
  <c r="F28" i="113"/>
  <c r="F50" i="113"/>
  <c r="F72" i="113"/>
  <c r="J86" i="113"/>
  <c r="J20" i="113"/>
  <c r="J42" i="113"/>
  <c r="J64" i="113"/>
  <c r="H42" i="113"/>
  <c r="H64" i="113"/>
  <c r="H86" i="113"/>
  <c r="H20" i="113"/>
  <c r="H37" i="113"/>
  <c r="H59" i="113"/>
  <c r="H81" i="113"/>
  <c r="H15" i="113"/>
  <c r="J72" i="113"/>
  <c r="J6" i="113"/>
  <c r="J28" i="113"/>
  <c r="J50" i="113"/>
  <c r="J38" i="113"/>
  <c r="J60" i="113"/>
  <c r="J82" i="113"/>
  <c r="J16" i="113"/>
  <c r="I35" i="113"/>
  <c r="I57" i="113"/>
  <c r="I79" i="113"/>
  <c r="I13" i="113"/>
  <c r="I50" i="113"/>
  <c r="I72" i="113"/>
  <c r="I6" i="113"/>
  <c r="I28" i="113"/>
  <c r="D38" i="113"/>
  <c r="D60" i="113"/>
  <c r="D82" i="113"/>
  <c r="D16" i="113"/>
  <c r="V15" i="116"/>
  <c r="J37" i="113"/>
  <c r="J59" i="113"/>
  <c r="J81" i="113"/>
  <c r="J15" i="113"/>
  <c r="G38" i="113"/>
  <c r="G60" i="113"/>
  <c r="G82" i="113"/>
  <c r="G16" i="113"/>
  <c r="I64" i="113"/>
  <c r="I86" i="113"/>
  <c r="I20" i="113"/>
  <c r="I42" i="113"/>
  <c r="D59" i="113"/>
  <c r="D81" i="113"/>
  <c r="D15" i="113"/>
  <c r="V14" i="116"/>
  <c r="D37" i="113"/>
  <c r="F42" i="113"/>
  <c r="F64" i="113"/>
  <c r="F86" i="113"/>
  <c r="F20" i="113"/>
  <c r="J35" i="113"/>
  <c r="J57" i="113"/>
  <c r="J79" i="113"/>
  <c r="J13" i="113"/>
  <c r="E35" i="113"/>
  <c r="E13" i="113"/>
  <c r="E57" i="113"/>
  <c r="E79" i="113"/>
  <c r="G42" i="113"/>
  <c r="G64" i="113"/>
  <c r="G86" i="113"/>
  <c r="G20" i="113"/>
  <c r="D6" i="113"/>
  <c r="D28" i="113"/>
  <c r="V5" i="116"/>
  <c r="D50" i="113"/>
  <c r="D72" i="113"/>
  <c r="H50" i="113"/>
  <c r="H72" i="113"/>
  <c r="H6" i="113"/>
  <c r="H28" i="113"/>
  <c r="I54" i="113"/>
  <c r="I10" i="113"/>
  <c r="I76" i="113"/>
  <c r="I32" i="113"/>
  <c r="H74" i="113"/>
  <c r="H30" i="113"/>
  <c r="H52" i="113"/>
  <c r="H8" i="113"/>
  <c r="F78" i="113"/>
  <c r="F34" i="113"/>
  <c r="F56" i="113"/>
  <c r="F12" i="113"/>
  <c r="J65" i="113"/>
  <c r="J21" i="113"/>
  <c r="J87" i="113"/>
  <c r="J43" i="113"/>
  <c r="D76" i="113"/>
  <c r="D32" i="113"/>
  <c r="D10" i="113"/>
  <c r="V9" i="116"/>
  <c r="D54" i="113"/>
  <c r="I56" i="113"/>
  <c r="I12" i="113"/>
  <c r="I78" i="113"/>
  <c r="I34" i="113"/>
  <c r="H80" i="113"/>
  <c r="H36" i="113"/>
  <c r="H58" i="113"/>
  <c r="H14" i="113"/>
  <c r="G54" i="113"/>
  <c r="G10" i="113"/>
  <c r="G76" i="113"/>
  <c r="G32" i="113"/>
  <c r="I88" i="113"/>
  <c r="I44" i="113"/>
  <c r="I66" i="113"/>
  <c r="I22" i="113"/>
  <c r="I89" i="113"/>
  <c r="I45" i="113"/>
  <c r="I67" i="113"/>
  <c r="I23" i="113"/>
  <c r="H89" i="113"/>
  <c r="H45" i="113"/>
  <c r="H67" i="113"/>
  <c r="H23" i="113"/>
  <c r="J58" i="113"/>
  <c r="J14" i="113"/>
  <c r="J80" i="113"/>
  <c r="J36" i="113"/>
  <c r="J76" i="113"/>
  <c r="J32" i="113"/>
  <c r="J54" i="113"/>
  <c r="J10" i="113"/>
  <c r="G53" i="113"/>
  <c r="G9" i="113"/>
  <c r="G75" i="113"/>
  <c r="G31" i="113"/>
  <c r="H87" i="113"/>
  <c r="H43" i="113"/>
  <c r="H65" i="113"/>
  <c r="H21" i="113"/>
  <c r="G87" i="113"/>
  <c r="G43" i="113"/>
  <c r="G65" i="113"/>
  <c r="G21" i="113"/>
  <c r="F87" i="113"/>
  <c r="F43" i="113"/>
  <c r="F65" i="113"/>
  <c r="F21" i="113"/>
  <c r="D78" i="113"/>
  <c r="D34" i="113"/>
  <c r="D12" i="113"/>
  <c r="V11" i="116"/>
  <c r="D56" i="113"/>
  <c r="J75" i="113"/>
  <c r="J31" i="113"/>
  <c r="J53" i="113"/>
  <c r="J9" i="113"/>
  <c r="H56" i="113"/>
  <c r="H12" i="113"/>
  <c r="H78" i="113"/>
  <c r="H34" i="113"/>
  <c r="G80" i="113"/>
  <c r="G36" i="113"/>
  <c r="G58" i="113"/>
  <c r="G14" i="113"/>
  <c r="G8" i="113"/>
  <c r="G74" i="113"/>
  <c r="G30" i="113"/>
  <c r="G52" i="113"/>
  <c r="D8" i="113"/>
  <c r="D52" i="113"/>
  <c r="V7" i="116"/>
  <c r="D74" i="113"/>
  <c r="D30" i="113"/>
  <c r="G89" i="113"/>
  <c r="G45" i="113"/>
  <c r="G67" i="113"/>
  <c r="G23" i="113"/>
  <c r="J52" i="113"/>
  <c r="J8" i="113"/>
  <c r="J74" i="113"/>
  <c r="J30" i="113"/>
  <c r="G88" i="113"/>
  <c r="G44" i="113"/>
  <c r="G66" i="113"/>
  <c r="G22" i="113"/>
  <c r="I75" i="113"/>
  <c r="I31" i="113"/>
  <c r="I53" i="113"/>
  <c r="I9" i="113"/>
  <c r="J51" i="113"/>
  <c r="J7" i="113"/>
  <c r="J73" i="113"/>
  <c r="J29" i="113"/>
  <c r="E76" i="113"/>
  <c r="E32" i="113"/>
  <c r="E10" i="113"/>
  <c r="E54" i="113"/>
  <c r="G73" i="113"/>
  <c r="G29" i="113"/>
  <c r="G51" i="113"/>
  <c r="G7" i="113"/>
  <c r="H88" i="113"/>
  <c r="H44" i="113"/>
  <c r="H66" i="113"/>
  <c r="H22" i="113"/>
  <c r="E87" i="113"/>
  <c r="E43" i="113"/>
  <c r="E21" i="113"/>
  <c r="E65" i="113"/>
  <c r="I65" i="113"/>
  <c r="I21" i="113"/>
  <c r="I87" i="113"/>
  <c r="I43" i="113"/>
  <c r="G78" i="113"/>
  <c r="G34" i="113"/>
  <c r="G56" i="113"/>
  <c r="G12" i="113"/>
  <c r="F67" i="113"/>
  <c r="F23" i="113"/>
  <c r="F89" i="113"/>
  <c r="F45" i="113"/>
  <c r="D51" i="113"/>
  <c r="V6" i="116"/>
  <c r="D73" i="113"/>
  <c r="D29" i="113"/>
  <c r="D7" i="113"/>
  <c r="E52" i="113"/>
  <c r="E8" i="113"/>
  <c r="E74" i="113"/>
  <c r="E30" i="113"/>
  <c r="I74" i="113"/>
  <c r="I30" i="113"/>
  <c r="I52" i="113"/>
  <c r="I8" i="113"/>
  <c r="H54" i="113"/>
  <c r="H10" i="113"/>
  <c r="H76" i="113"/>
  <c r="H32" i="113"/>
  <c r="F80" i="113"/>
  <c r="F36" i="113"/>
  <c r="F58" i="113"/>
  <c r="F14" i="113"/>
  <c r="E58" i="113"/>
  <c r="E80" i="113"/>
  <c r="E36" i="113"/>
  <c r="E14" i="113"/>
  <c r="E66" i="113"/>
  <c r="E88" i="113"/>
  <c r="E44" i="113"/>
  <c r="E22" i="113"/>
  <c r="J66" i="113"/>
  <c r="J22" i="113"/>
  <c r="J88" i="113"/>
  <c r="J44" i="113"/>
  <c r="E23" i="113"/>
  <c r="E67" i="113"/>
  <c r="E89" i="113"/>
  <c r="E45" i="113"/>
  <c r="F8" i="113"/>
  <c r="F74" i="113"/>
  <c r="F30" i="113"/>
  <c r="F52" i="113"/>
  <c r="E7" i="113"/>
  <c r="E73" i="113"/>
  <c r="E29" i="113"/>
  <c r="E51" i="113"/>
  <c r="I80" i="113"/>
  <c r="I36" i="113"/>
  <c r="I58" i="113"/>
  <c r="I14" i="113"/>
  <c r="I51" i="113"/>
  <c r="I7" i="113"/>
  <c r="I73" i="113"/>
  <c r="I29" i="113"/>
  <c r="H53" i="113"/>
  <c r="H9" i="113"/>
  <c r="H75" i="113"/>
  <c r="H31" i="113"/>
  <c r="F88" i="113"/>
  <c r="F44" i="113"/>
  <c r="F66" i="113"/>
  <c r="F22" i="113"/>
  <c r="V22" i="116"/>
  <c r="J56" i="113"/>
  <c r="J12" i="113"/>
  <c r="J78" i="113"/>
  <c r="J34" i="113"/>
  <c r="J89" i="113"/>
  <c r="J45" i="113"/>
  <c r="J67" i="113"/>
  <c r="J23" i="113"/>
  <c r="H73" i="113"/>
  <c r="H29" i="113"/>
  <c r="H51" i="113"/>
  <c r="H7" i="113"/>
  <c r="V13" i="116"/>
  <c r="V21" i="116"/>
  <c r="V20" i="116"/>
  <c r="E31" i="113"/>
  <c r="E53" i="113"/>
  <c r="E9" i="113"/>
  <c r="E75" i="113"/>
  <c r="D75" i="113"/>
  <c r="V8" i="116"/>
  <c r="D9" i="113"/>
  <c r="D31" i="113"/>
  <c r="D53" i="113"/>
  <c r="BH10" i="115"/>
  <c r="BH18" i="115"/>
  <c r="BG17" i="115" l="1"/>
  <c r="F10" i="111"/>
  <c r="F11" i="111"/>
  <c r="AD64" i="115" l="1"/>
  <c r="AC64" i="115"/>
  <c r="AB64" i="115"/>
  <c r="AA64" i="115"/>
  <c r="Z64" i="115"/>
  <c r="AE64" i="115" s="1"/>
  <c r="AC62" i="115"/>
  <c r="AB62" i="115"/>
  <c r="AA62" i="115"/>
  <c r="F55" i="115"/>
  <c r="G54" i="115"/>
  <c r="G53" i="115"/>
  <c r="G52" i="115"/>
  <c r="BH26" i="115"/>
  <c r="BC26" i="115"/>
  <c r="BB26" i="115"/>
  <c r="AX26" i="115"/>
  <c r="AW26" i="115"/>
  <c r="AV26" i="115"/>
  <c r="AU26" i="115"/>
  <c r="AQ26" i="115"/>
  <c r="AP26" i="115"/>
  <c r="AO26" i="115"/>
  <c r="AN26" i="115"/>
  <c r="AJ26" i="115"/>
  <c r="AI26" i="115"/>
  <c r="AH26" i="115"/>
  <c r="AG26" i="115"/>
  <c r="Y26" i="115"/>
  <c r="BJ25" i="115"/>
  <c r="BE25" i="115"/>
  <c r="AZ25" i="115"/>
  <c r="AS25" i="115"/>
  <c r="AL25" i="115"/>
  <c r="AA25" i="115"/>
  <c r="AE25" i="115" s="1"/>
  <c r="Y25" i="115"/>
  <c r="BJ24" i="115"/>
  <c r="BE24" i="115"/>
  <c r="AZ24" i="115"/>
  <c r="AS24" i="115"/>
  <c r="AL24" i="115"/>
  <c r="Z24" i="115"/>
  <c r="AE24" i="115" s="1"/>
  <c r="Y24" i="115"/>
  <c r="X24" i="115"/>
  <c r="BJ23" i="115"/>
  <c r="BE23" i="115"/>
  <c r="AZ23" i="115"/>
  <c r="AS23" i="115"/>
  <c r="AL23" i="115"/>
  <c r="AA23" i="115"/>
  <c r="Z23" i="115"/>
  <c r="AE23" i="115" s="1"/>
  <c r="Y23" i="115"/>
  <c r="X23" i="115"/>
  <c r="BJ22" i="115"/>
  <c r="BE22" i="115"/>
  <c r="AZ22" i="115"/>
  <c r="AS22" i="115"/>
  <c r="AL22" i="115"/>
  <c r="AC22" i="115"/>
  <c r="AE22" i="115" s="1"/>
  <c r="V22" i="115"/>
  <c r="Y22" i="115" s="1"/>
  <c r="BJ21" i="115"/>
  <c r="BE21" i="115"/>
  <c r="AZ21" i="115"/>
  <c r="AS21" i="115"/>
  <c r="AL21" i="115"/>
  <c r="AC21" i="115"/>
  <c r="Z21" i="115"/>
  <c r="AE21" i="115" s="1"/>
  <c r="X21" i="115"/>
  <c r="V21" i="115"/>
  <c r="Y21" i="115" s="1"/>
  <c r="BI20" i="115"/>
  <c r="BI26" i="115" s="1"/>
  <c r="BG20" i="115"/>
  <c r="BD20" i="115"/>
  <c r="BE20" i="115" s="1"/>
  <c r="AY20" i="115"/>
  <c r="AZ20" i="115" s="1"/>
  <c r="AS20" i="115"/>
  <c r="AR20" i="115"/>
  <c r="AR26" i="115" s="1"/>
  <c r="AK20" i="115"/>
  <c r="AK26" i="115" s="1"/>
  <c r="AD20" i="115"/>
  <c r="AC20" i="115"/>
  <c r="Z20" i="115"/>
  <c r="X20" i="115"/>
  <c r="V20" i="115"/>
  <c r="Y20" i="115" s="1"/>
  <c r="BJ19" i="115"/>
  <c r="BE19" i="115"/>
  <c r="AZ19" i="115"/>
  <c r="AS19" i="115"/>
  <c r="AL19" i="115"/>
  <c r="AE19" i="115"/>
  <c r="AA19" i="115"/>
  <c r="Y19" i="115"/>
  <c r="BJ18" i="115"/>
  <c r="BE18" i="115"/>
  <c r="AZ18" i="115"/>
  <c r="AS18" i="115"/>
  <c r="AL18" i="115"/>
  <c r="AD18" i="115"/>
  <c r="AB18" i="115"/>
  <c r="AA18" i="115"/>
  <c r="AA26" i="115" s="1"/>
  <c r="AA59" i="115" s="1"/>
  <c r="Y18" i="115"/>
  <c r="X18" i="115"/>
  <c r="BG26" i="115"/>
  <c r="C12" i="124" s="1"/>
  <c r="G12" i="124" s="1"/>
  <c r="BE17" i="115"/>
  <c r="AZ17" i="115"/>
  <c r="AS17" i="115"/>
  <c r="AL17" i="115"/>
  <c r="AB17" i="115"/>
  <c r="AE17" i="115" s="1"/>
  <c r="Z17" i="115"/>
  <c r="Y17" i="115"/>
  <c r="X17" i="115"/>
  <c r="H17" i="115"/>
  <c r="BJ16" i="115"/>
  <c r="BE16" i="115"/>
  <c r="AZ16" i="115"/>
  <c r="AS16" i="115"/>
  <c r="AL16" i="115"/>
  <c r="AE16" i="115"/>
  <c r="Y16" i="115"/>
  <c r="BJ15" i="115"/>
  <c r="BE15" i="115"/>
  <c r="AZ15" i="115"/>
  <c r="AS15" i="115"/>
  <c r="AL15" i="115"/>
  <c r="AC15" i="115"/>
  <c r="Z15" i="115"/>
  <c r="AE15" i="115" s="1"/>
  <c r="Y15" i="115"/>
  <c r="V15" i="115"/>
  <c r="BJ14" i="115"/>
  <c r="BE14" i="115"/>
  <c r="AZ14" i="115"/>
  <c r="AS14" i="115"/>
  <c r="AL14" i="115"/>
  <c r="Z14" i="115"/>
  <c r="AE14" i="115" s="1"/>
  <c r="Y14" i="115"/>
  <c r="S14" i="115"/>
  <c r="BJ13" i="115"/>
  <c r="BE13" i="115"/>
  <c r="AZ13" i="115"/>
  <c r="AS13" i="115"/>
  <c r="AL13" i="115"/>
  <c r="AE13" i="115"/>
  <c r="Y13" i="115"/>
  <c r="X13" i="115"/>
  <c r="BJ12" i="115"/>
  <c r="BE12" i="115"/>
  <c r="AZ12" i="115"/>
  <c r="AS12" i="115"/>
  <c r="AL12" i="115"/>
  <c r="AE12" i="115"/>
  <c r="Z12" i="115"/>
  <c r="Y12" i="115"/>
  <c r="X12" i="115"/>
  <c r="BJ11" i="115"/>
  <c r="BE11" i="115"/>
  <c r="AZ11" i="115"/>
  <c r="AS11" i="115"/>
  <c r="AL11" i="115"/>
  <c r="AE11" i="115"/>
  <c r="Y11" i="115"/>
  <c r="BJ10" i="115"/>
  <c r="BE10" i="115"/>
  <c r="AZ10" i="115"/>
  <c r="AS10" i="115"/>
  <c r="AL10" i="115"/>
  <c r="AE10" i="115"/>
  <c r="AC10" i="115"/>
  <c r="AB10" i="115"/>
  <c r="Y10" i="115"/>
  <c r="BJ9" i="115"/>
  <c r="BE9" i="115"/>
  <c r="AZ9" i="115"/>
  <c r="AS9" i="115"/>
  <c r="AL9" i="115"/>
  <c r="AE9" i="115"/>
  <c r="Y9" i="115"/>
  <c r="BJ8" i="115"/>
  <c r="BE8" i="115"/>
  <c r="AZ8" i="115"/>
  <c r="AS8" i="115"/>
  <c r="AL8" i="115"/>
  <c r="AE8" i="115"/>
  <c r="Y8" i="115"/>
  <c r="BJ7" i="115"/>
  <c r="BE7" i="115"/>
  <c r="AZ7" i="115"/>
  <c r="AS7" i="115"/>
  <c r="AL7" i="115"/>
  <c r="AC7" i="115"/>
  <c r="AC26" i="115" s="1"/>
  <c r="AC59" i="115" s="1"/>
  <c r="Z7" i="115"/>
  <c r="X7" i="115"/>
  <c r="V7" i="115"/>
  <c r="Y7" i="115" s="1"/>
  <c r="BG17" i="106"/>
  <c r="BG26" i="106" s="1"/>
  <c r="BG20" i="106"/>
  <c r="BH26" i="106"/>
  <c r="BJ25" i="106"/>
  <c r="BJ24" i="106"/>
  <c r="BJ23" i="106"/>
  <c r="BJ22" i="106"/>
  <c r="BJ21" i="106"/>
  <c r="BI20" i="106"/>
  <c r="BI26" i="106" s="1"/>
  <c r="BJ19" i="106"/>
  <c r="BJ18" i="106"/>
  <c r="BJ16" i="106"/>
  <c r="BJ15" i="106"/>
  <c r="BJ14" i="106"/>
  <c r="BJ13" i="106"/>
  <c r="BJ12" i="106"/>
  <c r="BJ11" i="106"/>
  <c r="BJ10" i="106"/>
  <c r="BJ9" i="106"/>
  <c r="BJ8" i="106"/>
  <c r="BJ7" i="106"/>
  <c r="D21" i="114"/>
  <c r="J23" i="112" s="1"/>
  <c r="D20" i="114"/>
  <c r="J22" i="112" s="1"/>
  <c r="D19" i="114"/>
  <c r="J19" i="112" s="1"/>
  <c r="D18" i="114"/>
  <c r="J17" i="112" s="1"/>
  <c r="D17" i="114"/>
  <c r="J20" i="112" s="1"/>
  <c r="D16" i="114"/>
  <c r="J18" i="112" s="1"/>
  <c r="D15" i="114"/>
  <c r="J12" i="112" s="1"/>
  <c r="D14" i="114"/>
  <c r="J6" i="112" s="1"/>
  <c r="D13" i="114"/>
  <c r="J8" i="112" s="1"/>
  <c r="D12" i="114"/>
  <c r="J13" i="112" s="1"/>
  <c r="D11" i="114"/>
  <c r="J15" i="112" s="1"/>
  <c r="D10" i="114"/>
  <c r="J14" i="112" s="1"/>
  <c r="D9" i="114"/>
  <c r="J7" i="112" s="1"/>
  <c r="D8" i="114"/>
  <c r="J4" i="112" s="1"/>
  <c r="D7" i="114"/>
  <c r="J11" i="112" s="1"/>
  <c r="D6" i="114"/>
  <c r="J9" i="112" s="1"/>
  <c r="D5" i="114"/>
  <c r="J5" i="112" s="1"/>
  <c r="D4" i="114"/>
  <c r="J10" i="112" s="1"/>
  <c r="S129" i="113"/>
  <c r="M15" i="112" s="1"/>
  <c r="S128" i="113"/>
  <c r="M14" i="112" s="1"/>
  <c r="S127" i="113"/>
  <c r="M13" i="112" s="1"/>
  <c r="S126" i="113"/>
  <c r="M12" i="112" s="1"/>
  <c r="S125" i="113"/>
  <c r="M20" i="112" s="1"/>
  <c r="S124" i="113"/>
  <c r="M19" i="112" s="1"/>
  <c r="S123" i="113"/>
  <c r="M18" i="112" s="1"/>
  <c r="S122" i="113"/>
  <c r="M11" i="112" s="1"/>
  <c r="S121" i="113"/>
  <c r="M10" i="112" s="1"/>
  <c r="S120" i="113"/>
  <c r="M23" i="112" s="1"/>
  <c r="S119" i="113"/>
  <c r="M9" i="112" s="1"/>
  <c r="S118" i="113"/>
  <c r="M22" i="112" s="1"/>
  <c r="AB76" i="131" s="1"/>
  <c r="AC76" i="131" s="1"/>
  <c r="S117" i="113"/>
  <c r="M17" i="112" s="1"/>
  <c r="S116" i="113"/>
  <c r="M8" i="112" s="1"/>
  <c r="S115" i="113"/>
  <c r="M7" i="112" s="1"/>
  <c r="S114" i="113"/>
  <c r="M6" i="112" s="1"/>
  <c r="S113" i="113"/>
  <c r="M5" i="112" s="1"/>
  <c r="M4" i="112"/>
  <c r="O111" i="113"/>
  <c r="N111" i="113"/>
  <c r="L111" i="113"/>
  <c r="K111" i="113"/>
  <c r="H111" i="113"/>
  <c r="G111" i="113"/>
  <c r="E111" i="113"/>
  <c r="D111" i="113"/>
  <c r="G106" i="113"/>
  <c r="M88" i="113" s="1"/>
  <c r="O128" i="113" s="1"/>
  <c r="O89" i="113"/>
  <c r="O88" i="113"/>
  <c r="O87" i="113"/>
  <c r="M87" i="113"/>
  <c r="O127" i="113" s="1"/>
  <c r="O86" i="113"/>
  <c r="M86" i="113"/>
  <c r="O126" i="113" s="1"/>
  <c r="O85" i="113"/>
  <c r="M85" i="113"/>
  <c r="O125" i="113" s="1"/>
  <c r="O84" i="113"/>
  <c r="M84" i="113"/>
  <c r="O124" i="113" s="1"/>
  <c r="O83" i="113"/>
  <c r="M83" i="113"/>
  <c r="O123" i="113" s="1"/>
  <c r="O82" i="113"/>
  <c r="M82" i="113"/>
  <c r="O122" i="113" s="1"/>
  <c r="O81" i="113"/>
  <c r="M81" i="113"/>
  <c r="O121" i="113" s="1"/>
  <c r="O80" i="113"/>
  <c r="M80" i="113"/>
  <c r="O120" i="113" s="1"/>
  <c r="O79" i="113"/>
  <c r="M79" i="113"/>
  <c r="O119" i="113" s="1"/>
  <c r="O78" i="113"/>
  <c r="M78" i="113"/>
  <c r="O118" i="113" s="1"/>
  <c r="O77" i="113"/>
  <c r="M77" i="113"/>
  <c r="O117" i="113" s="1"/>
  <c r="O76" i="113"/>
  <c r="M76" i="113"/>
  <c r="O116" i="113" s="1"/>
  <c r="O75" i="113"/>
  <c r="M75" i="113"/>
  <c r="O115" i="113" s="1"/>
  <c r="O74" i="113"/>
  <c r="M74" i="113"/>
  <c r="O114" i="113" s="1"/>
  <c r="O73" i="113"/>
  <c r="M73" i="113"/>
  <c r="O113" i="113" s="1"/>
  <c r="O72" i="113"/>
  <c r="M72" i="113"/>
  <c r="O112" i="113" s="1"/>
  <c r="O67" i="113"/>
  <c r="M67" i="113"/>
  <c r="L129" i="113" s="1"/>
  <c r="O66" i="113"/>
  <c r="M66" i="113"/>
  <c r="L128" i="113" s="1"/>
  <c r="O65" i="113"/>
  <c r="M65" i="113"/>
  <c r="L127" i="113" s="1"/>
  <c r="O64" i="113"/>
  <c r="M64" i="113"/>
  <c r="L126" i="113" s="1"/>
  <c r="O63" i="113"/>
  <c r="M63" i="113"/>
  <c r="L125" i="113" s="1"/>
  <c r="O62" i="113"/>
  <c r="M62" i="113"/>
  <c r="L124" i="113" s="1"/>
  <c r="O61" i="113"/>
  <c r="M61" i="113"/>
  <c r="L123" i="113" s="1"/>
  <c r="O60" i="113"/>
  <c r="M60" i="113"/>
  <c r="L122" i="113" s="1"/>
  <c r="O59" i="113"/>
  <c r="M59" i="113"/>
  <c r="L121" i="113" s="1"/>
  <c r="O58" i="113"/>
  <c r="M58" i="113"/>
  <c r="L120" i="113" s="1"/>
  <c r="O57" i="113"/>
  <c r="M57" i="113"/>
  <c r="L119" i="113" s="1"/>
  <c r="O56" i="113"/>
  <c r="M56" i="113"/>
  <c r="L118" i="113" s="1"/>
  <c r="O55" i="113"/>
  <c r="M55" i="113"/>
  <c r="L117" i="113" s="1"/>
  <c r="O54" i="113"/>
  <c r="M54" i="113"/>
  <c r="L116" i="113" s="1"/>
  <c r="O53" i="113"/>
  <c r="M53" i="113"/>
  <c r="L115" i="113" s="1"/>
  <c r="O52" i="113"/>
  <c r="M52" i="113"/>
  <c r="L114" i="113" s="1"/>
  <c r="O51" i="113"/>
  <c r="M51" i="113"/>
  <c r="L113" i="113" s="1"/>
  <c r="O50" i="113"/>
  <c r="M50" i="113"/>
  <c r="L112" i="113" s="1"/>
  <c r="O45" i="113"/>
  <c r="M45" i="113"/>
  <c r="N129" i="113" s="1"/>
  <c r="O44" i="113"/>
  <c r="W128" i="113" s="1"/>
  <c r="M44" i="113"/>
  <c r="N128" i="113" s="1"/>
  <c r="O43" i="113"/>
  <c r="W127" i="113" s="1"/>
  <c r="M43" i="113"/>
  <c r="N127" i="113" s="1"/>
  <c r="P127" i="113" s="1"/>
  <c r="O42" i="113"/>
  <c r="W126" i="113" s="1"/>
  <c r="M42" i="113"/>
  <c r="N126" i="113" s="1"/>
  <c r="O41" i="113"/>
  <c r="W125" i="113" s="1"/>
  <c r="M41" i="113"/>
  <c r="N125" i="113" s="1"/>
  <c r="O40" i="113"/>
  <c r="W124" i="113" s="1"/>
  <c r="M40" i="113"/>
  <c r="N124" i="113" s="1"/>
  <c r="O39" i="113"/>
  <c r="W123" i="113" s="1"/>
  <c r="M39" i="113"/>
  <c r="N123" i="113" s="1"/>
  <c r="O38" i="113"/>
  <c r="W122" i="113" s="1"/>
  <c r="M38" i="113"/>
  <c r="N122" i="113" s="1"/>
  <c r="O37" i="113"/>
  <c r="W121" i="113" s="1"/>
  <c r="M37" i="113"/>
  <c r="N121" i="113" s="1"/>
  <c r="O36" i="113"/>
  <c r="W120" i="113" s="1"/>
  <c r="M36" i="113"/>
  <c r="N120" i="113" s="1"/>
  <c r="O35" i="113"/>
  <c r="W119" i="113" s="1"/>
  <c r="M35" i="113"/>
  <c r="N119" i="113" s="1"/>
  <c r="O34" i="113"/>
  <c r="W118" i="113" s="1"/>
  <c r="M34" i="113"/>
  <c r="N118" i="113" s="1"/>
  <c r="O33" i="113"/>
  <c r="W117" i="113" s="1"/>
  <c r="M33" i="113"/>
  <c r="N117" i="113" s="1"/>
  <c r="O32" i="113"/>
  <c r="W116" i="113" s="1"/>
  <c r="M32" i="113"/>
  <c r="N116" i="113" s="1"/>
  <c r="O31" i="113"/>
  <c r="W115" i="113" s="1"/>
  <c r="M31" i="113"/>
  <c r="N115" i="113" s="1"/>
  <c r="O30" i="113"/>
  <c r="W114" i="113" s="1"/>
  <c r="M30" i="113"/>
  <c r="N114" i="113" s="1"/>
  <c r="O29" i="113"/>
  <c r="M29" i="113"/>
  <c r="N113" i="113" s="1"/>
  <c r="O28" i="113"/>
  <c r="W112" i="113" s="1"/>
  <c r="M28" i="113"/>
  <c r="N112" i="113" s="1"/>
  <c r="O23" i="113"/>
  <c r="M23" i="113"/>
  <c r="K129" i="113" s="1"/>
  <c r="M129" i="113" s="1"/>
  <c r="O22" i="113"/>
  <c r="M22" i="113"/>
  <c r="K128" i="113" s="1"/>
  <c r="O21" i="113"/>
  <c r="V127" i="113" s="1"/>
  <c r="M21" i="113"/>
  <c r="K127" i="113" s="1"/>
  <c r="O20" i="113"/>
  <c r="V126" i="113" s="1"/>
  <c r="M20" i="113"/>
  <c r="K126" i="113" s="1"/>
  <c r="O19" i="113"/>
  <c r="V125" i="113" s="1"/>
  <c r="X125" i="113" s="1"/>
  <c r="M19" i="113"/>
  <c r="K125" i="113" s="1"/>
  <c r="O18" i="113"/>
  <c r="M18" i="113"/>
  <c r="K124" i="113" s="1"/>
  <c r="O17" i="113"/>
  <c r="M17" i="113"/>
  <c r="K123" i="113" s="1"/>
  <c r="O16" i="113"/>
  <c r="M16" i="113"/>
  <c r="K122" i="113" s="1"/>
  <c r="M122" i="113" s="1"/>
  <c r="O15" i="113"/>
  <c r="O14" i="113"/>
  <c r="M14" i="113"/>
  <c r="K120" i="113" s="1"/>
  <c r="O13" i="113"/>
  <c r="V119" i="113" s="1"/>
  <c r="M13" i="113"/>
  <c r="K119" i="113" s="1"/>
  <c r="O12" i="113"/>
  <c r="M12" i="113"/>
  <c r="K118" i="113" s="1"/>
  <c r="O11" i="113"/>
  <c r="M11" i="113"/>
  <c r="K117" i="113" s="1"/>
  <c r="O10" i="113"/>
  <c r="M10" i="113"/>
  <c r="K116" i="113" s="1"/>
  <c r="O9" i="113"/>
  <c r="V115" i="113" s="1"/>
  <c r="M9" i="113"/>
  <c r="K115" i="113" s="1"/>
  <c r="O8" i="113"/>
  <c r="V114" i="113" s="1"/>
  <c r="M8" i="113"/>
  <c r="K114" i="113" s="1"/>
  <c r="O7" i="113"/>
  <c r="V113" i="113" s="1"/>
  <c r="O6" i="113"/>
  <c r="G25" i="112"/>
  <c r="F25" i="112"/>
  <c r="AB75" i="131" l="1"/>
  <c r="AC75" i="131" s="1"/>
  <c r="AB83" i="131"/>
  <c r="AC83" i="131" s="1"/>
  <c r="AB84" i="131"/>
  <c r="AC84" i="131" s="1"/>
  <c r="AB77" i="131"/>
  <c r="AC77" i="131" s="1"/>
  <c r="AB85" i="131"/>
  <c r="AC85" i="131" s="1"/>
  <c r="AB70" i="131"/>
  <c r="AC70" i="131" s="1"/>
  <c r="AB78" i="131"/>
  <c r="AC78" i="131" s="1"/>
  <c r="AB86" i="131"/>
  <c r="AC86" i="131" s="1"/>
  <c r="AB71" i="131"/>
  <c r="AC71" i="131" s="1"/>
  <c r="AB79" i="131"/>
  <c r="AC79" i="131" s="1"/>
  <c r="AB87" i="131"/>
  <c r="AC87" i="131" s="1"/>
  <c r="AB72" i="131"/>
  <c r="AC72" i="131" s="1"/>
  <c r="AB80" i="131"/>
  <c r="AC80" i="131" s="1"/>
  <c r="AB73" i="131"/>
  <c r="AC73" i="131" s="1"/>
  <c r="AB81" i="131"/>
  <c r="AC81" i="131" s="1"/>
  <c r="AB74" i="131"/>
  <c r="AC74" i="131" s="1"/>
  <c r="AB82" i="131"/>
  <c r="AC82" i="131" s="1"/>
  <c r="BJ20" i="106"/>
  <c r="AE7" i="115"/>
  <c r="AE20" i="115"/>
  <c r="BJ20" i="115"/>
  <c r="V112" i="113"/>
  <c r="C10" i="124"/>
  <c r="D7" i="111"/>
  <c r="V120" i="113"/>
  <c r="X120" i="113" s="1"/>
  <c r="P128" i="113"/>
  <c r="G55" i="115"/>
  <c r="AI61" i="115"/>
  <c r="BJ17" i="106"/>
  <c r="X26" i="115"/>
  <c r="AD26" i="115"/>
  <c r="AD66" i="115" s="1"/>
  <c r="C14" i="124"/>
  <c r="G14" i="124" s="1"/>
  <c r="D9" i="111"/>
  <c r="AB26" i="115"/>
  <c r="AB59" i="115" s="1"/>
  <c r="AE18" i="115"/>
  <c r="Z26" i="115"/>
  <c r="D6" i="111"/>
  <c r="C6" i="124"/>
  <c r="G6" i="124" s="1"/>
  <c r="D5" i="111"/>
  <c r="C5" i="124"/>
  <c r="G5" i="124" s="1"/>
  <c r="E19" i="118"/>
  <c r="E33" i="118"/>
  <c r="E89" i="118"/>
  <c r="J89" i="118" s="1"/>
  <c r="E124" i="118"/>
  <c r="G124" i="118" s="1"/>
  <c r="E40" i="118"/>
  <c r="AB17" i="112"/>
  <c r="E96" i="118"/>
  <c r="H96" i="118" s="1"/>
  <c r="E12" i="118"/>
  <c r="E82" i="118"/>
  <c r="I82" i="118" s="1"/>
  <c r="E103" i="118"/>
  <c r="H103" i="118" s="1"/>
  <c r="E68" i="118"/>
  <c r="L68" i="118" s="1"/>
  <c r="E26" i="118"/>
  <c r="E54" i="118"/>
  <c r="I54" i="118" s="1"/>
  <c r="E110" i="118"/>
  <c r="H110" i="118" s="1"/>
  <c r="E5" i="118"/>
  <c r="F5" i="118" s="1"/>
  <c r="AK4" i="112"/>
  <c r="E61" i="118"/>
  <c r="J61" i="118" s="1"/>
  <c r="E117" i="118"/>
  <c r="K117" i="118" s="1"/>
  <c r="O22" i="112"/>
  <c r="E47" i="118"/>
  <c r="E75" i="118"/>
  <c r="I6" i="117"/>
  <c r="O9" i="112"/>
  <c r="O13" i="112"/>
  <c r="O4" i="112"/>
  <c r="O8" i="112"/>
  <c r="O23" i="112"/>
  <c r="O19" i="112"/>
  <c r="O14" i="112"/>
  <c r="O5" i="112"/>
  <c r="O10" i="112"/>
  <c r="O20" i="112"/>
  <c r="O15" i="112"/>
  <c r="O7" i="112"/>
  <c r="O18" i="112"/>
  <c r="O17" i="112"/>
  <c r="O6" i="112"/>
  <c r="O11" i="112"/>
  <c r="O12" i="112"/>
  <c r="M116" i="113"/>
  <c r="M6" i="113"/>
  <c r="K112" i="113" s="1"/>
  <c r="M112" i="113" s="1"/>
  <c r="P114" i="113"/>
  <c r="P115" i="113"/>
  <c r="P119" i="113"/>
  <c r="P120" i="113"/>
  <c r="P121" i="113"/>
  <c r="P122" i="113"/>
  <c r="Q122" i="113" s="1"/>
  <c r="I11" i="112" s="1"/>
  <c r="P126" i="113"/>
  <c r="BJ26" i="115"/>
  <c r="D8" i="111"/>
  <c r="V121" i="113"/>
  <c r="X121" i="113" s="1"/>
  <c r="V116" i="113"/>
  <c r="V131" i="113" s="1"/>
  <c r="V123" i="113"/>
  <c r="X126" i="113"/>
  <c r="W129" i="113"/>
  <c r="V129" i="113"/>
  <c r="V118" i="113"/>
  <c r="X118" i="113" s="1"/>
  <c r="V124" i="113"/>
  <c r="V117" i="113"/>
  <c r="X117" i="113" s="1"/>
  <c r="V122" i="113"/>
  <c r="X122" i="113" s="1"/>
  <c r="Z66" i="115"/>
  <c r="AS26" i="115"/>
  <c r="AL26" i="115"/>
  <c r="AL61" i="115" s="1"/>
  <c r="AL20" i="115"/>
  <c r="AY26" i="115"/>
  <c r="AZ26" i="115" s="1"/>
  <c r="BJ17" i="115"/>
  <c r="BD26" i="115"/>
  <c r="BE26" i="115" s="1"/>
  <c r="BJ26" i="106"/>
  <c r="P116" i="113"/>
  <c r="P117" i="113"/>
  <c r="P118" i="113"/>
  <c r="P123" i="113"/>
  <c r="P124" i="113"/>
  <c r="P125" i="113"/>
  <c r="M117" i="113"/>
  <c r="M118" i="113"/>
  <c r="M125" i="113"/>
  <c r="M126" i="113"/>
  <c r="V128" i="113"/>
  <c r="M127" i="113"/>
  <c r="Q127" i="113" s="1"/>
  <c r="I13" i="112" s="1"/>
  <c r="P113" i="113"/>
  <c r="X115" i="113"/>
  <c r="W113" i="113"/>
  <c r="X113" i="113" s="1"/>
  <c r="M114" i="113"/>
  <c r="M119" i="113"/>
  <c r="M124" i="113"/>
  <c r="M120" i="113"/>
  <c r="M128" i="113"/>
  <c r="Q128" i="113" s="1"/>
  <c r="I14" i="112" s="1"/>
  <c r="X114" i="113"/>
  <c r="M115" i="113"/>
  <c r="L131" i="113"/>
  <c r="M89" i="113"/>
  <c r="O129" i="113" s="1"/>
  <c r="O131" i="113" s="1"/>
  <c r="Y23" i="112"/>
  <c r="Y20" i="112"/>
  <c r="AB20" i="112"/>
  <c r="Y5" i="112"/>
  <c r="AB4" i="112"/>
  <c r="AK6" i="112"/>
  <c r="AB6" i="112"/>
  <c r="Y6" i="112"/>
  <c r="AB8" i="112"/>
  <c r="AK8" i="112"/>
  <c r="Y8" i="112"/>
  <c r="Y14" i="112"/>
  <c r="AB14" i="112"/>
  <c r="AK14" i="112"/>
  <c r="AK7" i="112"/>
  <c r="AK17" i="112"/>
  <c r="Y17" i="112"/>
  <c r="AK9" i="112"/>
  <c r="AK10" i="112"/>
  <c r="AB10" i="112"/>
  <c r="Y10" i="112"/>
  <c r="AK18" i="112"/>
  <c r="AB22" i="112"/>
  <c r="Y11" i="112"/>
  <c r="AB11" i="112"/>
  <c r="Y12" i="112"/>
  <c r="AK11" i="112"/>
  <c r="AK22" i="112"/>
  <c r="AB12" i="112"/>
  <c r="D23" i="114"/>
  <c r="D30" i="114" s="1"/>
  <c r="X112" i="113"/>
  <c r="N131" i="113"/>
  <c r="P112" i="113"/>
  <c r="M7" i="113"/>
  <c r="K113" i="113" s="1"/>
  <c r="M113" i="113" s="1"/>
  <c r="X119" i="113"/>
  <c r="M15" i="113"/>
  <c r="K121" i="113" s="1"/>
  <c r="M121" i="113" s="1"/>
  <c r="Q121" i="113" s="1"/>
  <c r="I10" i="112" s="1"/>
  <c r="X127" i="113"/>
  <c r="S131" i="113"/>
  <c r="X124" i="113"/>
  <c r="M123" i="113"/>
  <c r="X123" i="113"/>
  <c r="X128" i="113"/>
  <c r="J25" i="112"/>
  <c r="AB13" i="112"/>
  <c r="AK13" i="112"/>
  <c r="Y15" i="112"/>
  <c r="AB15" i="112"/>
  <c r="AK15" i="112"/>
  <c r="Y19" i="112"/>
  <c r="AK19" i="112"/>
  <c r="AB19" i="112"/>
  <c r="Y4" i="112"/>
  <c r="M25" i="112"/>
  <c r="AB5" i="112"/>
  <c r="AK5" i="112"/>
  <c r="Y7" i="112"/>
  <c r="AB7" i="112"/>
  <c r="Y13" i="112"/>
  <c r="Y9" i="112"/>
  <c r="Y18" i="112"/>
  <c r="AK20" i="112"/>
  <c r="Y22" i="112"/>
  <c r="AB23" i="112"/>
  <c r="AK23" i="112"/>
  <c r="AB9" i="112"/>
  <c r="AK12" i="112"/>
  <c r="AB18" i="112"/>
  <c r="X116" i="113" l="1"/>
  <c r="C15" i="124"/>
  <c r="G10" i="124"/>
  <c r="G15" i="124" s="1"/>
  <c r="Q116" i="113"/>
  <c r="I8" i="112" s="1"/>
  <c r="AE26" i="115"/>
  <c r="W131" i="113"/>
  <c r="L89" i="118"/>
  <c r="I68" i="118"/>
  <c r="H89" i="118"/>
  <c r="J117" i="118"/>
  <c r="G117" i="118"/>
  <c r="F89" i="118"/>
  <c r="G89" i="118"/>
  <c r="I89" i="118"/>
  <c r="K110" i="118"/>
  <c r="K89" i="118"/>
  <c r="F110" i="118"/>
  <c r="I96" i="118"/>
  <c r="L96" i="118"/>
  <c r="J110" i="118"/>
  <c r="I110" i="118"/>
  <c r="F117" i="118"/>
  <c r="G54" i="118"/>
  <c r="G103" i="118"/>
  <c r="L117" i="118"/>
  <c r="J54" i="118"/>
  <c r="K103" i="118"/>
  <c r="I103" i="118"/>
  <c r="H117" i="118"/>
  <c r="L103" i="118"/>
  <c r="L124" i="118"/>
  <c r="I117" i="118"/>
  <c r="K54" i="118"/>
  <c r="J103" i="118"/>
  <c r="G110" i="118"/>
  <c r="F103" i="118"/>
  <c r="L110" i="118"/>
  <c r="H68" i="118"/>
  <c r="K96" i="118"/>
  <c r="F54" i="118"/>
  <c r="G68" i="118"/>
  <c r="L54" i="118"/>
  <c r="J96" i="118"/>
  <c r="F68" i="118"/>
  <c r="G96" i="118"/>
  <c r="K68" i="118"/>
  <c r="F96" i="118"/>
  <c r="H54" i="118"/>
  <c r="J68" i="118"/>
  <c r="H82" i="118"/>
  <c r="G82" i="118"/>
  <c r="F124" i="118"/>
  <c r="G61" i="118"/>
  <c r="F82" i="118"/>
  <c r="J124" i="118"/>
  <c r="K82" i="118"/>
  <c r="I124" i="118"/>
  <c r="F61" i="118"/>
  <c r="I61" i="118"/>
  <c r="L61" i="118"/>
  <c r="H61" i="118"/>
  <c r="L82" i="118"/>
  <c r="H124" i="118"/>
  <c r="K61" i="118"/>
  <c r="K124" i="118"/>
  <c r="J82" i="118"/>
  <c r="M6" i="117"/>
  <c r="N6" i="117"/>
  <c r="O6" i="117"/>
  <c r="L6" i="117"/>
  <c r="P6" i="117"/>
  <c r="J6" i="117"/>
  <c r="K6" i="117"/>
  <c r="F75" i="118"/>
  <c r="G75" i="118"/>
  <c r="H75" i="118"/>
  <c r="L75" i="118"/>
  <c r="I75" i="118"/>
  <c r="K75" i="118"/>
  <c r="J75" i="118"/>
  <c r="K47" i="118"/>
  <c r="L47" i="118"/>
  <c r="F47" i="118"/>
  <c r="G47" i="118"/>
  <c r="I47" i="118"/>
  <c r="H47" i="118"/>
  <c r="J47" i="118"/>
  <c r="Q115" i="113"/>
  <c r="I7" i="112" s="1"/>
  <c r="Q114" i="113"/>
  <c r="I6" i="112" s="1"/>
  <c r="P129" i="113"/>
  <c r="Q129" i="113" s="1"/>
  <c r="I15" i="112" s="1"/>
  <c r="Q119" i="113"/>
  <c r="I9" i="112" s="1"/>
  <c r="Q124" i="113"/>
  <c r="I19" i="112" s="1"/>
  <c r="Q113" i="113"/>
  <c r="I5" i="112" s="1"/>
  <c r="Q118" i="113"/>
  <c r="I22" i="112" s="1"/>
  <c r="Q126" i="113"/>
  <c r="I12" i="112" s="1"/>
  <c r="Q117" i="113"/>
  <c r="I17" i="112" s="1"/>
  <c r="Q120" i="113"/>
  <c r="I23" i="112" s="1"/>
  <c r="Q123" i="113"/>
  <c r="I18" i="112" s="1"/>
  <c r="Q125" i="113"/>
  <c r="I20" i="112" s="1"/>
  <c r="X129" i="113"/>
  <c r="X131" i="113" s="1"/>
  <c r="M131" i="113"/>
  <c r="Q112" i="113"/>
  <c r="K131" i="113"/>
  <c r="AK25" i="112"/>
  <c r="D18" i="111" l="1"/>
  <c r="P131" i="113"/>
  <c r="Q131" i="113"/>
  <c r="I4" i="112"/>
  <c r="I25" i="112" l="1"/>
  <c r="R208" i="107" l="1"/>
  <c r="R214" i="107"/>
  <c r="R215" i="107"/>
  <c r="R216" i="107"/>
  <c r="Q204" i="107"/>
  <c r="Q205" i="107"/>
  <c r="Q206" i="107"/>
  <c r="Q207" i="107"/>
  <c r="Q208" i="107"/>
  <c r="Q209" i="107"/>
  <c r="Q210" i="107"/>
  <c r="Q211" i="107"/>
  <c r="Q212" i="107"/>
  <c r="Q213" i="107"/>
  <c r="Q214" i="107"/>
  <c r="Q215" i="107"/>
  <c r="Q216" i="107"/>
  <c r="Q217" i="107"/>
  <c r="Q218" i="107"/>
  <c r="Q219" i="107"/>
  <c r="Q220" i="107"/>
  <c r="Q203" i="107"/>
  <c r="P208" i="107"/>
  <c r="P214" i="107"/>
  <c r="P215" i="107"/>
  <c r="P216" i="107"/>
  <c r="O204" i="107"/>
  <c r="O205" i="107"/>
  <c r="O206" i="107"/>
  <c r="O207" i="107"/>
  <c r="O208" i="107"/>
  <c r="O209" i="107"/>
  <c r="O210" i="107"/>
  <c r="O211" i="107"/>
  <c r="O212" i="107"/>
  <c r="O213" i="107"/>
  <c r="O214" i="107"/>
  <c r="O215" i="107"/>
  <c r="O216" i="107"/>
  <c r="O217" i="107"/>
  <c r="O218" i="107"/>
  <c r="O219" i="107"/>
  <c r="O220" i="107"/>
  <c r="O203" i="107"/>
  <c r="N208" i="107"/>
  <c r="N214" i="107"/>
  <c r="N215" i="107"/>
  <c r="N216" i="107"/>
  <c r="M204" i="107"/>
  <c r="M205" i="107"/>
  <c r="M206" i="107"/>
  <c r="M207" i="107"/>
  <c r="M208" i="107"/>
  <c r="M209" i="107"/>
  <c r="M210" i="107"/>
  <c r="M211" i="107"/>
  <c r="M212" i="107"/>
  <c r="M213" i="107"/>
  <c r="M214" i="107"/>
  <c r="M215" i="107"/>
  <c r="M216" i="107"/>
  <c r="M217" i="107"/>
  <c r="M218" i="107"/>
  <c r="M219" i="107"/>
  <c r="M220" i="107"/>
  <c r="M203" i="107"/>
  <c r="L208" i="107"/>
  <c r="L214" i="107"/>
  <c r="L215" i="107"/>
  <c r="L216" i="107"/>
  <c r="K204" i="107"/>
  <c r="K205" i="107"/>
  <c r="K206" i="107"/>
  <c r="K207" i="107"/>
  <c r="K208" i="107"/>
  <c r="K209" i="107"/>
  <c r="K210" i="107"/>
  <c r="K211" i="107"/>
  <c r="K212" i="107"/>
  <c r="K213" i="107"/>
  <c r="K214" i="107"/>
  <c r="K215" i="107"/>
  <c r="K216" i="107"/>
  <c r="K217" i="107"/>
  <c r="K218" i="107"/>
  <c r="K219" i="107"/>
  <c r="K220" i="107"/>
  <c r="K203" i="107"/>
  <c r="J208" i="107"/>
  <c r="J214" i="107"/>
  <c r="J215" i="107"/>
  <c r="J216" i="107"/>
  <c r="I204" i="107"/>
  <c r="I205" i="107"/>
  <c r="I206" i="107"/>
  <c r="I207" i="107"/>
  <c r="I208" i="107"/>
  <c r="I209" i="107"/>
  <c r="I210" i="107"/>
  <c r="I211" i="107"/>
  <c r="I212" i="107"/>
  <c r="I213" i="107"/>
  <c r="I214" i="107"/>
  <c r="I215" i="107"/>
  <c r="I216" i="107"/>
  <c r="I217" i="107"/>
  <c r="I218" i="107"/>
  <c r="I219" i="107"/>
  <c r="I220" i="107"/>
  <c r="I203" i="107"/>
  <c r="H208" i="107"/>
  <c r="H214" i="107"/>
  <c r="H215" i="107"/>
  <c r="H216" i="107"/>
  <c r="G204" i="107"/>
  <c r="G205" i="107"/>
  <c r="G206" i="107"/>
  <c r="G207" i="107"/>
  <c r="G208" i="107"/>
  <c r="G209" i="107"/>
  <c r="G210" i="107"/>
  <c r="G211" i="107"/>
  <c r="G212" i="107"/>
  <c r="G213" i="107"/>
  <c r="G214" i="107"/>
  <c r="G215" i="107"/>
  <c r="G216" i="107"/>
  <c r="G217" i="107"/>
  <c r="G218" i="107"/>
  <c r="G219" i="107"/>
  <c r="G220" i="107"/>
  <c r="G203" i="107"/>
  <c r="F208" i="107"/>
  <c r="F214" i="107"/>
  <c r="F215" i="107"/>
  <c r="F216" i="107"/>
  <c r="E204" i="107"/>
  <c r="E205" i="107"/>
  <c r="E206" i="107"/>
  <c r="E207" i="107"/>
  <c r="E208" i="107"/>
  <c r="E209" i="107"/>
  <c r="E210" i="107"/>
  <c r="E211" i="107"/>
  <c r="E212" i="107"/>
  <c r="E213" i="107"/>
  <c r="E214" i="107"/>
  <c r="E215" i="107"/>
  <c r="E216" i="107"/>
  <c r="E217" i="107"/>
  <c r="E218" i="107"/>
  <c r="E219" i="107"/>
  <c r="E220" i="107"/>
  <c r="E203" i="107"/>
  <c r="AG32" i="104"/>
  <c r="J85" i="108"/>
  <c r="I85" i="108"/>
  <c r="H85" i="108"/>
  <c r="G85" i="108"/>
  <c r="F85" i="108"/>
  <c r="E85" i="108"/>
  <c r="D85" i="108"/>
  <c r="J84" i="108"/>
  <c r="I84" i="108"/>
  <c r="H84" i="108"/>
  <c r="G84" i="108"/>
  <c r="F84" i="108"/>
  <c r="E84" i="108"/>
  <c r="D84" i="108"/>
  <c r="J83" i="108"/>
  <c r="I83" i="108"/>
  <c r="H83" i="108"/>
  <c r="G83" i="108"/>
  <c r="F83" i="108"/>
  <c r="E83" i="108"/>
  <c r="D83" i="108"/>
  <c r="J77" i="108"/>
  <c r="I77" i="108"/>
  <c r="H77" i="108"/>
  <c r="G77" i="108"/>
  <c r="F77" i="108"/>
  <c r="E77" i="108"/>
  <c r="D77" i="108"/>
  <c r="J63" i="108"/>
  <c r="I63" i="108"/>
  <c r="H63" i="108"/>
  <c r="G63" i="108"/>
  <c r="F63" i="108"/>
  <c r="E63" i="108"/>
  <c r="D63" i="108"/>
  <c r="J62" i="108"/>
  <c r="I62" i="108"/>
  <c r="H62" i="108"/>
  <c r="G62" i="108"/>
  <c r="F62" i="108"/>
  <c r="E62" i="108"/>
  <c r="D62" i="108"/>
  <c r="J61" i="108"/>
  <c r="I61" i="108"/>
  <c r="H61" i="108"/>
  <c r="G61" i="108"/>
  <c r="F61" i="108"/>
  <c r="E61" i="108"/>
  <c r="D61" i="108"/>
  <c r="J55" i="108"/>
  <c r="I55" i="108"/>
  <c r="H55" i="108"/>
  <c r="G55" i="108"/>
  <c r="F55" i="108"/>
  <c r="E55" i="108"/>
  <c r="D55" i="108"/>
  <c r="I45" i="108"/>
  <c r="J41" i="108"/>
  <c r="I41" i="108"/>
  <c r="H41" i="108"/>
  <c r="G41" i="108"/>
  <c r="F41" i="108"/>
  <c r="E41" i="108"/>
  <c r="D41" i="108"/>
  <c r="J40" i="108"/>
  <c r="I40" i="108"/>
  <c r="H40" i="108"/>
  <c r="G40" i="108"/>
  <c r="F40" i="108"/>
  <c r="E40" i="108"/>
  <c r="D40" i="108"/>
  <c r="J39" i="108"/>
  <c r="I39" i="108"/>
  <c r="H39" i="108"/>
  <c r="G39" i="108"/>
  <c r="F39" i="108"/>
  <c r="E39" i="108"/>
  <c r="D39" i="108"/>
  <c r="J33" i="108"/>
  <c r="I33" i="108"/>
  <c r="H33" i="108"/>
  <c r="G33" i="108"/>
  <c r="F33" i="108"/>
  <c r="E33" i="108"/>
  <c r="D33" i="108"/>
  <c r="J19" i="108"/>
  <c r="J18" i="108"/>
  <c r="J17" i="108"/>
  <c r="J11" i="108"/>
  <c r="I19" i="108"/>
  <c r="I18" i="108"/>
  <c r="I17" i="108"/>
  <c r="I11" i="108"/>
  <c r="H19" i="108"/>
  <c r="H18" i="108"/>
  <c r="H17" i="108"/>
  <c r="H11" i="108"/>
  <c r="G19" i="108"/>
  <c r="G18" i="108"/>
  <c r="G17" i="108"/>
  <c r="G11" i="108"/>
  <c r="F19" i="108"/>
  <c r="F18" i="108"/>
  <c r="F17" i="108"/>
  <c r="F11" i="108"/>
  <c r="E19" i="108"/>
  <c r="E18" i="108"/>
  <c r="E17" i="108"/>
  <c r="E11" i="108"/>
  <c r="D19" i="108"/>
  <c r="D18" i="108"/>
  <c r="D17" i="108"/>
  <c r="D11" i="108"/>
  <c r="D198" i="107"/>
  <c r="P198" i="107" s="1"/>
  <c r="I23" i="108" s="1"/>
  <c r="D197" i="107"/>
  <c r="P197" i="107" s="1"/>
  <c r="I22" i="108" s="1"/>
  <c r="D196" i="107"/>
  <c r="P196" i="107" s="1"/>
  <c r="I87" i="108" s="1"/>
  <c r="D195" i="107"/>
  <c r="P195" i="107" s="1"/>
  <c r="I20" i="108" s="1"/>
  <c r="D194" i="107"/>
  <c r="D193" i="107"/>
  <c r="D192" i="107"/>
  <c r="D191" i="107"/>
  <c r="N191" i="107" s="1"/>
  <c r="D190" i="107"/>
  <c r="N190" i="107" s="1"/>
  <c r="D189" i="107"/>
  <c r="N189" i="107" s="1"/>
  <c r="H80" i="108" s="1"/>
  <c r="D188" i="107"/>
  <c r="N188" i="107" s="1"/>
  <c r="H57" i="108" s="1"/>
  <c r="D187" i="107"/>
  <c r="N187" i="107" s="1"/>
  <c r="H78" i="108" s="1"/>
  <c r="D186" i="107"/>
  <c r="D185" i="107"/>
  <c r="P185" i="107" s="1"/>
  <c r="I76" i="108" s="1"/>
  <c r="D184" i="107"/>
  <c r="P184" i="107" s="1"/>
  <c r="I53" i="108" s="1"/>
  <c r="D183" i="107"/>
  <c r="D182" i="107"/>
  <c r="P182" i="107" s="1"/>
  <c r="I7" i="108" s="1"/>
  <c r="D181" i="107"/>
  <c r="P181" i="107" s="1"/>
  <c r="R198" i="96"/>
  <c r="J198" i="96"/>
  <c r="D198" i="96"/>
  <c r="P198" i="96" s="1"/>
  <c r="R197" i="96"/>
  <c r="J197" i="96"/>
  <c r="D197" i="96"/>
  <c r="P197" i="96" s="1"/>
  <c r="R196" i="96"/>
  <c r="J196" i="96"/>
  <c r="D196" i="96"/>
  <c r="P196" i="96" s="1"/>
  <c r="D195" i="96"/>
  <c r="P195" i="96" s="1"/>
  <c r="D194" i="96"/>
  <c r="D193" i="96"/>
  <c r="D192" i="96"/>
  <c r="R191" i="96"/>
  <c r="P191" i="96"/>
  <c r="D191" i="96"/>
  <c r="N191" i="96" s="1"/>
  <c r="J190" i="96"/>
  <c r="H190" i="96"/>
  <c r="D190" i="96"/>
  <c r="N190" i="96" s="1"/>
  <c r="J189" i="96"/>
  <c r="H189" i="96"/>
  <c r="D189" i="96"/>
  <c r="N189" i="96" s="1"/>
  <c r="R188" i="96"/>
  <c r="P188" i="96"/>
  <c r="J188" i="96"/>
  <c r="D188" i="96"/>
  <c r="N188" i="96" s="1"/>
  <c r="D187" i="96"/>
  <c r="N187" i="96" s="1"/>
  <c r="D186" i="96"/>
  <c r="D185" i="96"/>
  <c r="P185" i="96" s="1"/>
  <c r="D184" i="96"/>
  <c r="P184" i="96" s="1"/>
  <c r="R183" i="96"/>
  <c r="J183" i="96"/>
  <c r="D183" i="96"/>
  <c r="P183" i="96" s="1"/>
  <c r="D182" i="96"/>
  <c r="P182" i="96" s="1"/>
  <c r="D181" i="96"/>
  <c r="P181" i="96" s="1"/>
  <c r="H187" i="96" l="1"/>
  <c r="I67" i="108"/>
  <c r="I89" i="108"/>
  <c r="I44" i="108"/>
  <c r="I66" i="108"/>
  <c r="I88" i="108"/>
  <c r="J181" i="96"/>
  <c r="R181" i="96"/>
  <c r="J184" i="96"/>
  <c r="J187" i="96"/>
  <c r="P190" i="96"/>
  <c r="P183" i="107"/>
  <c r="R183" i="107"/>
  <c r="AG35" i="104"/>
  <c r="I10" i="108"/>
  <c r="P187" i="96"/>
  <c r="R187" i="96"/>
  <c r="J182" i="96"/>
  <c r="R182" i="96"/>
  <c r="J185" i="96"/>
  <c r="P189" i="96"/>
  <c r="H191" i="96"/>
  <c r="J195" i="96"/>
  <c r="R184" i="96"/>
  <c r="R190" i="96"/>
  <c r="R185" i="96"/>
  <c r="H188" i="96"/>
  <c r="R189" i="96"/>
  <c r="J191" i="96"/>
  <c r="R195" i="96"/>
  <c r="I32" i="108"/>
  <c r="I54" i="108"/>
  <c r="Q222" i="107"/>
  <c r="M222" i="107"/>
  <c r="I29" i="108"/>
  <c r="I73" i="108"/>
  <c r="I51" i="108"/>
  <c r="I42" i="108"/>
  <c r="I64" i="108"/>
  <c r="I86" i="108"/>
  <c r="AG33" i="104"/>
  <c r="AG34" i="104" s="1"/>
  <c r="H60" i="108"/>
  <c r="H38" i="108"/>
  <c r="H82" i="108"/>
  <c r="H16" i="108"/>
  <c r="I222" i="107"/>
  <c r="H12" i="108"/>
  <c r="H34" i="108"/>
  <c r="H56" i="108"/>
  <c r="I65" i="108"/>
  <c r="I43" i="108"/>
  <c r="I21" i="108"/>
  <c r="O222" i="107"/>
  <c r="H35" i="108"/>
  <c r="H13" i="108"/>
  <c r="H79" i="108"/>
  <c r="I31" i="108"/>
  <c r="I75" i="108"/>
  <c r="G222" i="107"/>
  <c r="I9" i="108"/>
  <c r="K222" i="107"/>
  <c r="I6" i="108"/>
  <c r="I28" i="108"/>
  <c r="I50" i="108"/>
  <c r="I72" i="108"/>
  <c r="H59" i="108"/>
  <c r="H15" i="108"/>
  <c r="E222" i="107"/>
  <c r="H37" i="108"/>
  <c r="H81" i="108"/>
  <c r="H14" i="108"/>
  <c r="H58" i="108"/>
  <c r="H36" i="108"/>
  <c r="R198" i="107"/>
  <c r="J198" i="107"/>
  <c r="F198" i="107"/>
  <c r="N198" i="107"/>
  <c r="R197" i="107"/>
  <c r="F197" i="107"/>
  <c r="J197" i="107"/>
  <c r="N197" i="107"/>
  <c r="N196" i="107"/>
  <c r="R196" i="107"/>
  <c r="F196" i="107"/>
  <c r="J196" i="107"/>
  <c r="J195" i="107"/>
  <c r="R195" i="107"/>
  <c r="F195" i="107"/>
  <c r="N195" i="107"/>
  <c r="H191" i="107"/>
  <c r="P191" i="107"/>
  <c r="H190" i="107"/>
  <c r="P190" i="107"/>
  <c r="H189" i="107"/>
  <c r="P189" i="107"/>
  <c r="H188" i="107"/>
  <c r="P188" i="107"/>
  <c r="H187" i="107"/>
  <c r="P187" i="107"/>
  <c r="J185" i="107"/>
  <c r="N185" i="107"/>
  <c r="R185" i="107"/>
  <c r="F185" i="107"/>
  <c r="R184" i="107"/>
  <c r="F184" i="107"/>
  <c r="J184" i="107"/>
  <c r="N184" i="107"/>
  <c r="J183" i="107"/>
  <c r="N183" i="107"/>
  <c r="F183" i="107"/>
  <c r="J182" i="107"/>
  <c r="N182" i="107"/>
  <c r="R182" i="107"/>
  <c r="F182" i="107"/>
  <c r="F181" i="107"/>
  <c r="J181" i="107"/>
  <c r="N181" i="107"/>
  <c r="R181" i="107"/>
  <c r="L181" i="107"/>
  <c r="L182" i="107"/>
  <c r="L183" i="107"/>
  <c r="L184" i="107"/>
  <c r="L185" i="107"/>
  <c r="J187" i="107"/>
  <c r="R187" i="107"/>
  <c r="J188" i="107"/>
  <c r="R188" i="107"/>
  <c r="J189" i="107"/>
  <c r="R189" i="107"/>
  <c r="J190" i="107"/>
  <c r="R190" i="107"/>
  <c r="J191" i="107"/>
  <c r="R191" i="107"/>
  <c r="L195" i="107"/>
  <c r="L196" i="107"/>
  <c r="L197" i="107"/>
  <c r="L198" i="107"/>
  <c r="L187" i="107"/>
  <c r="L188" i="107"/>
  <c r="L189" i="107"/>
  <c r="L190" i="107"/>
  <c r="L191" i="107"/>
  <c r="H181" i="107"/>
  <c r="H182" i="107"/>
  <c r="H183" i="107"/>
  <c r="H184" i="107"/>
  <c r="H185" i="107"/>
  <c r="F187" i="107"/>
  <c r="F188" i="107"/>
  <c r="F189" i="107"/>
  <c r="F190" i="107"/>
  <c r="F191" i="107"/>
  <c r="H195" i="107"/>
  <c r="H196" i="107"/>
  <c r="H197" i="107"/>
  <c r="H198" i="107"/>
  <c r="L181" i="96"/>
  <c r="L183" i="96"/>
  <c r="L185" i="96"/>
  <c r="L195" i="96"/>
  <c r="L197" i="96"/>
  <c r="L198" i="96"/>
  <c r="N181" i="96"/>
  <c r="N182" i="96"/>
  <c r="N183" i="96"/>
  <c r="N184" i="96"/>
  <c r="F185" i="96"/>
  <c r="N185" i="96"/>
  <c r="L187" i="96"/>
  <c r="L188" i="96"/>
  <c r="L189" i="96"/>
  <c r="L190" i="96"/>
  <c r="L191" i="96"/>
  <c r="F195" i="96"/>
  <c r="N195" i="96"/>
  <c r="F196" i="96"/>
  <c r="N196" i="96"/>
  <c r="F197" i="96"/>
  <c r="N197" i="96"/>
  <c r="F198" i="96"/>
  <c r="N198" i="96"/>
  <c r="L182" i="96"/>
  <c r="L184" i="96"/>
  <c r="L196" i="96"/>
  <c r="F181" i="96"/>
  <c r="F182" i="96"/>
  <c r="F183" i="96"/>
  <c r="F184" i="96"/>
  <c r="H181" i="96"/>
  <c r="H182" i="96"/>
  <c r="H183" i="96"/>
  <c r="H184" i="96"/>
  <c r="H185" i="96"/>
  <c r="F187" i="96"/>
  <c r="F188" i="96"/>
  <c r="F189" i="96"/>
  <c r="F190" i="96"/>
  <c r="F191" i="96"/>
  <c r="H195" i="96"/>
  <c r="H196" i="96"/>
  <c r="H197" i="96"/>
  <c r="H198" i="96"/>
  <c r="BC26" i="106"/>
  <c r="BB26" i="106"/>
  <c r="BE25" i="106"/>
  <c r="BE24" i="106"/>
  <c r="BE23" i="106"/>
  <c r="BE22" i="106"/>
  <c r="BE21" i="106"/>
  <c r="BD20" i="106"/>
  <c r="BE20" i="106" s="1"/>
  <c r="BE19" i="106"/>
  <c r="BE18" i="106"/>
  <c r="BE17" i="106"/>
  <c r="BE16" i="106"/>
  <c r="BE15" i="106"/>
  <c r="BE14" i="106"/>
  <c r="BE13" i="106"/>
  <c r="BE12" i="106"/>
  <c r="BE11" i="106"/>
  <c r="BE10" i="106"/>
  <c r="BE9" i="106"/>
  <c r="BE8" i="106"/>
  <c r="BE7" i="106"/>
  <c r="G106" i="108"/>
  <c r="E42" i="110"/>
  <c r="D42" i="110"/>
  <c r="C42" i="110"/>
  <c r="E40" i="110"/>
  <c r="D40" i="110"/>
  <c r="C40" i="110"/>
  <c r="E38" i="110"/>
  <c r="D38" i="110"/>
  <c r="C38" i="110"/>
  <c r="D36" i="110"/>
  <c r="F36" i="110" s="1"/>
  <c r="E34" i="110"/>
  <c r="D34" i="110"/>
  <c r="C34" i="110"/>
  <c r="E32" i="110"/>
  <c r="D32" i="110"/>
  <c r="C32" i="110"/>
  <c r="E29" i="110"/>
  <c r="D29" i="110"/>
  <c r="C29" i="110"/>
  <c r="D24" i="110"/>
  <c r="F24" i="110" s="1"/>
  <c r="E22" i="110"/>
  <c r="D22" i="110"/>
  <c r="C22" i="110"/>
  <c r="I17" i="110"/>
  <c r="E17" i="110"/>
  <c r="D17" i="110"/>
  <c r="C17" i="110"/>
  <c r="I14" i="110"/>
  <c r="E14" i="110"/>
  <c r="D14" i="110"/>
  <c r="C14" i="110"/>
  <c r="I11" i="110"/>
  <c r="E11" i="110"/>
  <c r="D11" i="110"/>
  <c r="C11" i="110"/>
  <c r="I8" i="110"/>
  <c r="E8" i="110"/>
  <c r="D8" i="110"/>
  <c r="C8" i="110"/>
  <c r="I5" i="110"/>
  <c r="E5" i="110"/>
  <c r="D5" i="110"/>
  <c r="C5" i="110"/>
  <c r="D10" i="108" l="1"/>
  <c r="D76" i="108"/>
  <c r="D54" i="108"/>
  <c r="D32" i="108"/>
  <c r="D74" i="108"/>
  <c r="D52" i="108"/>
  <c r="D30" i="108"/>
  <c r="D8" i="108"/>
  <c r="J10" i="108"/>
  <c r="J76" i="108"/>
  <c r="J54" i="108"/>
  <c r="J32" i="108"/>
  <c r="J88" i="108"/>
  <c r="J66" i="108"/>
  <c r="J44" i="108"/>
  <c r="J22" i="108"/>
  <c r="AG36" i="104"/>
  <c r="H74" i="108"/>
  <c r="H52" i="108"/>
  <c r="H30" i="108"/>
  <c r="H8" i="108"/>
  <c r="H76" i="108"/>
  <c r="H54" i="108"/>
  <c r="H32" i="108"/>
  <c r="H10" i="108"/>
  <c r="H23" i="108"/>
  <c r="H89" i="108"/>
  <c r="H67" i="108"/>
  <c r="H45" i="108"/>
  <c r="AG37" i="104"/>
  <c r="B8" i="111"/>
  <c r="F8" i="111" s="1"/>
  <c r="B8" i="105"/>
  <c r="E89" i="108"/>
  <c r="E67" i="108"/>
  <c r="E45" i="108"/>
  <c r="E23" i="108"/>
  <c r="F74" i="108"/>
  <c r="F52" i="108"/>
  <c r="F30" i="108"/>
  <c r="F8" i="108"/>
  <c r="F76" i="108"/>
  <c r="F54" i="108"/>
  <c r="F32" i="108"/>
  <c r="F10" i="108"/>
  <c r="D89" i="108"/>
  <c r="D67" i="108"/>
  <c r="D45" i="108"/>
  <c r="D23" i="108"/>
  <c r="D88" i="108"/>
  <c r="D66" i="108"/>
  <c r="D44" i="108"/>
  <c r="D22" i="108"/>
  <c r="B7" i="111"/>
  <c r="F7" i="111" s="1"/>
  <c r="B7" i="105"/>
  <c r="E88" i="108"/>
  <c r="E66" i="108"/>
  <c r="E44" i="108"/>
  <c r="E22" i="108"/>
  <c r="E10" i="108"/>
  <c r="E76" i="108"/>
  <c r="E54" i="108"/>
  <c r="E32" i="108"/>
  <c r="G76" i="108"/>
  <c r="G54" i="108"/>
  <c r="G32" i="108"/>
  <c r="G10" i="108"/>
  <c r="F89" i="108"/>
  <c r="F67" i="108"/>
  <c r="F45" i="108"/>
  <c r="F23" i="108"/>
  <c r="J8" i="108"/>
  <c r="J30" i="108"/>
  <c r="J74" i="108"/>
  <c r="J52" i="108"/>
  <c r="J23" i="108"/>
  <c r="J89" i="108"/>
  <c r="J67" i="108"/>
  <c r="J45" i="108"/>
  <c r="I8" i="108"/>
  <c r="I74" i="108"/>
  <c r="I52" i="108"/>
  <c r="I30" i="108"/>
  <c r="E74" i="108"/>
  <c r="E52" i="108"/>
  <c r="E30" i="108"/>
  <c r="E8" i="108"/>
  <c r="G89" i="108"/>
  <c r="G67" i="108"/>
  <c r="G45" i="108"/>
  <c r="G23" i="108"/>
  <c r="G74" i="108"/>
  <c r="G52" i="108"/>
  <c r="G30" i="108"/>
  <c r="G8" i="108"/>
  <c r="H44" i="108"/>
  <c r="H22" i="108"/>
  <c r="H88" i="108"/>
  <c r="H66" i="108"/>
  <c r="G22" i="108"/>
  <c r="G88" i="108"/>
  <c r="G66" i="108"/>
  <c r="G44" i="108"/>
  <c r="F88" i="108"/>
  <c r="F66" i="108"/>
  <c r="F44" i="108"/>
  <c r="F22" i="108"/>
  <c r="R59" i="121"/>
  <c r="R17" i="121"/>
  <c r="R10" i="121"/>
  <c r="R9" i="121"/>
  <c r="R29" i="121"/>
  <c r="R32" i="121"/>
  <c r="R18" i="121"/>
  <c r="R39" i="121"/>
  <c r="R21" i="121"/>
  <c r="R56" i="121"/>
  <c r="R20" i="121"/>
  <c r="R49" i="121"/>
  <c r="R31" i="121"/>
  <c r="R13" i="121"/>
  <c r="R37" i="121"/>
  <c r="R64" i="121"/>
  <c r="R48" i="121"/>
  <c r="R36" i="121"/>
  <c r="R12" i="121"/>
  <c r="R50" i="121"/>
  <c r="R33" i="121"/>
  <c r="R53" i="121"/>
  <c r="R70" i="121"/>
  <c r="R72" i="121"/>
  <c r="R84" i="121"/>
  <c r="R34" i="121"/>
  <c r="R54" i="121"/>
  <c r="R11" i="121"/>
  <c r="R55" i="121"/>
  <c r="R75" i="121"/>
  <c r="R63" i="121"/>
  <c r="R79" i="121"/>
  <c r="R15" i="121"/>
  <c r="R30" i="121"/>
  <c r="R41" i="121"/>
  <c r="R35" i="121"/>
  <c r="R7" i="121"/>
  <c r="R73" i="121"/>
  <c r="R76" i="121"/>
  <c r="R16" i="121"/>
  <c r="R38" i="121"/>
  <c r="R22" i="121"/>
  <c r="R78" i="121"/>
  <c r="R8" i="121"/>
  <c r="R42" i="121"/>
  <c r="R74" i="121"/>
  <c r="R77" i="121"/>
  <c r="R52" i="121"/>
  <c r="R80" i="121"/>
  <c r="R43" i="121"/>
  <c r="R40" i="121"/>
  <c r="R71" i="121"/>
  <c r="R14" i="121"/>
  <c r="R82" i="121"/>
  <c r="R27" i="121"/>
  <c r="R62" i="121"/>
  <c r="R81" i="121"/>
  <c r="R69" i="121"/>
  <c r="R51" i="121"/>
  <c r="R61" i="121"/>
  <c r="R83" i="121"/>
  <c r="R57" i="121"/>
  <c r="R28" i="121"/>
  <c r="R19" i="121"/>
  <c r="R58" i="121"/>
  <c r="R85" i="121"/>
  <c r="R60" i="121"/>
  <c r="F32" i="110"/>
  <c r="G104" i="108"/>
  <c r="R10" i="108" s="1"/>
  <c r="G104" i="113"/>
  <c r="J29" i="108"/>
  <c r="J7" i="108"/>
  <c r="J51" i="108"/>
  <c r="J73" i="108"/>
  <c r="E7" i="108"/>
  <c r="E29" i="108"/>
  <c r="E73" i="108"/>
  <c r="E51" i="108"/>
  <c r="G51" i="108"/>
  <c r="G73" i="108"/>
  <c r="G29" i="108"/>
  <c r="G7" i="108"/>
  <c r="H73" i="108"/>
  <c r="H29" i="108"/>
  <c r="H51" i="108"/>
  <c r="H7" i="108"/>
  <c r="F29" i="108"/>
  <c r="F51" i="108"/>
  <c r="F73" i="108"/>
  <c r="F7" i="108"/>
  <c r="D73" i="108"/>
  <c r="D51" i="108"/>
  <c r="D7" i="108"/>
  <c r="D29" i="108"/>
  <c r="J86" i="108"/>
  <c r="J42" i="108"/>
  <c r="J64" i="108"/>
  <c r="J20" i="108"/>
  <c r="D64" i="108"/>
  <c r="D86" i="108"/>
  <c r="D20" i="108"/>
  <c r="D42" i="108"/>
  <c r="G20" i="108"/>
  <c r="G64" i="108"/>
  <c r="G86" i="108"/>
  <c r="G42" i="108"/>
  <c r="F86" i="108"/>
  <c r="F42" i="108"/>
  <c r="F20" i="108"/>
  <c r="F64" i="108"/>
  <c r="E20" i="108"/>
  <c r="E42" i="108"/>
  <c r="E64" i="108"/>
  <c r="E86" i="108"/>
  <c r="H64" i="108"/>
  <c r="H42" i="108"/>
  <c r="H86" i="108"/>
  <c r="H20" i="108"/>
  <c r="F5" i="110"/>
  <c r="F11" i="110"/>
  <c r="G92" i="108" s="1"/>
  <c r="F17" i="110"/>
  <c r="J17" i="110" s="1"/>
  <c r="J60" i="108"/>
  <c r="J38" i="108"/>
  <c r="J16" i="108"/>
  <c r="J82" i="108"/>
  <c r="E82" i="108"/>
  <c r="E38" i="108"/>
  <c r="E60" i="108"/>
  <c r="E16" i="108"/>
  <c r="D16" i="108"/>
  <c r="D60" i="108"/>
  <c r="D82" i="108"/>
  <c r="D38" i="108"/>
  <c r="F60" i="108"/>
  <c r="F82" i="108"/>
  <c r="F38" i="108"/>
  <c r="F16" i="108"/>
  <c r="G38" i="108"/>
  <c r="G16" i="108"/>
  <c r="G82" i="108"/>
  <c r="G60" i="108"/>
  <c r="I82" i="108"/>
  <c r="I60" i="108"/>
  <c r="I16" i="108"/>
  <c r="I38" i="108"/>
  <c r="F34" i="110"/>
  <c r="F42" i="110"/>
  <c r="F38" i="110"/>
  <c r="F40" i="110"/>
  <c r="F29" i="110"/>
  <c r="F8" i="110"/>
  <c r="F14" i="110"/>
  <c r="F22" i="110"/>
  <c r="J12" i="108"/>
  <c r="J78" i="108"/>
  <c r="J56" i="108"/>
  <c r="J34" i="108"/>
  <c r="E12" i="108"/>
  <c r="E78" i="108"/>
  <c r="E56" i="108"/>
  <c r="E34" i="108"/>
  <c r="D78" i="108"/>
  <c r="D56" i="108"/>
  <c r="D34" i="108"/>
  <c r="D12" i="108"/>
  <c r="F12" i="108"/>
  <c r="F78" i="108"/>
  <c r="F56" i="108"/>
  <c r="F34" i="108"/>
  <c r="G12" i="108"/>
  <c r="G78" i="108"/>
  <c r="G56" i="108"/>
  <c r="G34" i="108"/>
  <c r="I12" i="108"/>
  <c r="I78" i="108"/>
  <c r="I56" i="108"/>
  <c r="I34" i="108"/>
  <c r="G43" i="108"/>
  <c r="G65" i="108"/>
  <c r="G87" i="108"/>
  <c r="G21" i="108"/>
  <c r="E87" i="108"/>
  <c r="E21" i="108"/>
  <c r="E43" i="108"/>
  <c r="E65" i="108"/>
  <c r="J21" i="108"/>
  <c r="J43" i="108"/>
  <c r="J65" i="108"/>
  <c r="J87" i="108"/>
  <c r="H65" i="108"/>
  <c r="H87" i="108"/>
  <c r="H21" i="108"/>
  <c r="H43" i="108"/>
  <c r="F21" i="108"/>
  <c r="F43" i="108"/>
  <c r="F65" i="108"/>
  <c r="F87" i="108"/>
  <c r="D65" i="108"/>
  <c r="D87" i="108"/>
  <c r="D21" i="108"/>
  <c r="D43" i="108"/>
  <c r="G13" i="108"/>
  <c r="G79" i="108"/>
  <c r="G57" i="108"/>
  <c r="G35" i="108"/>
  <c r="J79" i="108"/>
  <c r="J35" i="108"/>
  <c r="J57" i="108"/>
  <c r="J13" i="108"/>
  <c r="E13" i="108"/>
  <c r="E57" i="108"/>
  <c r="E79" i="108"/>
  <c r="E35" i="108"/>
  <c r="D57" i="108"/>
  <c r="D35" i="108"/>
  <c r="D13" i="108"/>
  <c r="D79" i="108"/>
  <c r="I13" i="108"/>
  <c r="I79" i="108"/>
  <c r="I35" i="108"/>
  <c r="I57" i="108"/>
  <c r="F79" i="108"/>
  <c r="F35" i="108"/>
  <c r="F57" i="108"/>
  <c r="F13" i="108"/>
  <c r="J31" i="108"/>
  <c r="J9" i="108"/>
  <c r="J75" i="108"/>
  <c r="J53" i="108"/>
  <c r="E53" i="108"/>
  <c r="E9" i="108"/>
  <c r="E31" i="108"/>
  <c r="E75" i="108"/>
  <c r="G75" i="108"/>
  <c r="G53" i="108"/>
  <c r="G9" i="108"/>
  <c r="G31" i="108"/>
  <c r="H75" i="108"/>
  <c r="H53" i="108"/>
  <c r="H31" i="108"/>
  <c r="H9" i="108"/>
  <c r="D75" i="108"/>
  <c r="D53" i="108"/>
  <c r="D31" i="108"/>
  <c r="D9" i="108"/>
  <c r="F31" i="108"/>
  <c r="F9" i="108"/>
  <c r="F75" i="108"/>
  <c r="F53" i="108"/>
  <c r="H72" i="108"/>
  <c r="H50" i="108"/>
  <c r="H28" i="108"/>
  <c r="H6" i="108"/>
  <c r="F6" i="108"/>
  <c r="F72" i="108"/>
  <c r="F50" i="108"/>
  <c r="F28" i="108"/>
  <c r="E72" i="108"/>
  <c r="E50" i="108"/>
  <c r="E28" i="108"/>
  <c r="E6" i="108"/>
  <c r="G6" i="108"/>
  <c r="G72" i="108"/>
  <c r="G50" i="108"/>
  <c r="G28" i="108"/>
  <c r="D72" i="108"/>
  <c r="D50" i="108"/>
  <c r="D28" i="108"/>
  <c r="D6" i="108"/>
  <c r="J6" i="108"/>
  <c r="J72" i="108"/>
  <c r="J50" i="108"/>
  <c r="J28" i="108"/>
  <c r="J37" i="108"/>
  <c r="J15" i="108"/>
  <c r="J59" i="108"/>
  <c r="J81" i="108"/>
  <c r="E15" i="108"/>
  <c r="E59" i="108"/>
  <c r="E81" i="108"/>
  <c r="E37" i="108"/>
  <c r="F37" i="108"/>
  <c r="F81" i="108"/>
  <c r="F59" i="108"/>
  <c r="F15" i="108"/>
  <c r="G59" i="108"/>
  <c r="G37" i="108"/>
  <c r="G81" i="108"/>
  <c r="G15" i="108"/>
  <c r="D81" i="108"/>
  <c r="D15" i="108"/>
  <c r="D37" i="108"/>
  <c r="D59" i="108"/>
  <c r="I15" i="108"/>
  <c r="I37" i="108"/>
  <c r="I59" i="108"/>
  <c r="I81" i="108"/>
  <c r="D80" i="108"/>
  <c r="D36" i="108"/>
  <c r="D58" i="108"/>
  <c r="D14" i="108"/>
  <c r="I14" i="108"/>
  <c r="I80" i="108"/>
  <c r="I36" i="108"/>
  <c r="I58" i="108"/>
  <c r="G14" i="108"/>
  <c r="G80" i="108"/>
  <c r="G58" i="108"/>
  <c r="G36" i="108"/>
  <c r="F58" i="108"/>
  <c r="F80" i="108"/>
  <c r="F36" i="108"/>
  <c r="F14" i="108"/>
  <c r="J58" i="108"/>
  <c r="J80" i="108"/>
  <c r="J36" i="108"/>
  <c r="J14" i="108"/>
  <c r="R14" i="108" s="1"/>
  <c r="E14" i="108"/>
  <c r="E80" i="108"/>
  <c r="E36" i="108"/>
  <c r="E58" i="108"/>
  <c r="BD26" i="106"/>
  <c r="R33" i="108" l="1"/>
  <c r="R20" i="108"/>
  <c r="AN106" i="121"/>
  <c r="N4" i="120" s="1"/>
  <c r="R84" i="108"/>
  <c r="R57" i="108"/>
  <c r="R65" i="108"/>
  <c r="R56" i="108"/>
  <c r="R19" i="108"/>
  <c r="R23" i="108"/>
  <c r="R86" i="108"/>
  <c r="R15" i="108"/>
  <c r="R72" i="108"/>
  <c r="R8" i="108"/>
  <c r="R18" i="108"/>
  <c r="BE26" i="106"/>
  <c r="B9" i="111"/>
  <c r="F9" i="111" s="1"/>
  <c r="B9" i="105"/>
  <c r="R83" i="108"/>
  <c r="R85" i="108"/>
  <c r="R36" i="108"/>
  <c r="R37" i="108"/>
  <c r="R31" i="108"/>
  <c r="R43" i="108"/>
  <c r="R78" i="108"/>
  <c r="R67" i="108"/>
  <c r="R77" i="108"/>
  <c r="R32" i="108"/>
  <c r="R76" i="108"/>
  <c r="R80" i="108"/>
  <c r="R28" i="108"/>
  <c r="R6" i="108"/>
  <c r="R75" i="108"/>
  <c r="R79" i="108"/>
  <c r="R21" i="108"/>
  <c r="R82" i="108"/>
  <c r="R60" i="108"/>
  <c r="R55" i="108"/>
  <c r="R30" i="108"/>
  <c r="R74" i="108"/>
  <c r="R66" i="108"/>
  <c r="R41" i="108"/>
  <c r="R44" i="108"/>
  <c r="R63" i="108"/>
  <c r="R88" i="108"/>
  <c r="R62" i="108"/>
  <c r="R7" i="108"/>
  <c r="R81" i="108"/>
  <c r="R53" i="108"/>
  <c r="R35" i="108"/>
  <c r="R38" i="108"/>
  <c r="R61" i="108"/>
  <c r="R29" i="108"/>
  <c r="R11" i="108"/>
  <c r="R52" i="108"/>
  <c r="R64" i="108"/>
  <c r="R58" i="108"/>
  <c r="R59" i="108"/>
  <c r="R50" i="108"/>
  <c r="R9" i="108"/>
  <c r="R13" i="108"/>
  <c r="R87" i="108"/>
  <c r="R34" i="108"/>
  <c r="R12" i="108"/>
  <c r="R16" i="108"/>
  <c r="R73" i="108"/>
  <c r="R54" i="108"/>
  <c r="R17" i="108"/>
  <c r="R22" i="108"/>
  <c r="R40" i="108"/>
  <c r="R45" i="108"/>
  <c r="R39" i="108"/>
  <c r="R89" i="108"/>
  <c r="R51" i="108"/>
  <c r="AN119" i="121"/>
  <c r="AN107" i="121"/>
  <c r="AN118" i="121"/>
  <c r="AN108" i="121"/>
  <c r="AN114" i="121"/>
  <c r="J11" i="110"/>
  <c r="R42" i="108"/>
  <c r="AN117" i="121"/>
  <c r="AN113" i="121"/>
  <c r="AN111" i="121"/>
  <c r="AN123" i="121"/>
  <c r="AN120" i="121"/>
  <c r="AN112" i="121"/>
  <c r="G100" i="113"/>
  <c r="AN116" i="121"/>
  <c r="AN110" i="121"/>
  <c r="G94" i="113"/>
  <c r="AN115" i="121"/>
  <c r="AN109" i="121"/>
  <c r="G92" i="113"/>
  <c r="AN121" i="121"/>
  <c r="AN122" i="121"/>
  <c r="G98" i="108"/>
  <c r="G98" i="113"/>
  <c r="J5" i="110"/>
  <c r="G102" i="108"/>
  <c r="G102" i="113"/>
  <c r="G96" i="108"/>
  <c r="G96" i="113"/>
  <c r="R53" i="113"/>
  <c r="R52" i="113"/>
  <c r="R74" i="113"/>
  <c r="R85" i="113"/>
  <c r="R72" i="113"/>
  <c r="R50" i="113"/>
  <c r="R8" i="113"/>
  <c r="R17" i="113"/>
  <c r="R29" i="113"/>
  <c r="R37" i="113"/>
  <c r="R84" i="113"/>
  <c r="R54" i="113"/>
  <c r="R75" i="113"/>
  <c r="R86" i="113"/>
  <c r="R81" i="113"/>
  <c r="R56" i="113"/>
  <c r="R9" i="113"/>
  <c r="R18" i="113"/>
  <c r="R30" i="113"/>
  <c r="R38" i="113"/>
  <c r="R16" i="113"/>
  <c r="R11" i="113"/>
  <c r="R76" i="113"/>
  <c r="R87" i="113"/>
  <c r="R51" i="113"/>
  <c r="R60" i="113"/>
  <c r="R10" i="113"/>
  <c r="R19" i="113"/>
  <c r="R31" i="113"/>
  <c r="R39" i="113"/>
  <c r="R28" i="113"/>
  <c r="R44" i="113"/>
  <c r="R77" i="113"/>
  <c r="R88" i="113"/>
  <c r="R57" i="113"/>
  <c r="R66" i="113"/>
  <c r="R12" i="113"/>
  <c r="R20" i="113"/>
  <c r="R32" i="113"/>
  <c r="R40" i="113"/>
  <c r="R7" i="113"/>
  <c r="R55" i="113"/>
  <c r="R78" i="113"/>
  <c r="R89" i="113"/>
  <c r="R61" i="113"/>
  <c r="R79" i="113"/>
  <c r="R13" i="113"/>
  <c r="R21" i="113"/>
  <c r="R33" i="113"/>
  <c r="R41" i="113"/>
  <c r="R6" i="113"/>
  <c r="R80" i="113"/>
  <c r="R59" i="113"/>
  <c r="R82" i="113"/>
  <c r="R43" i="113"/>
  <c r="R64" i="113"/>
  <c r="R45" i="113"/>
  <c r="R14" i="113"/>
  <c r="R22" i="113"/>
  <c r="R34" i="113"/>
  <c r="R42" i="113"/>
  <c r="R67" i="113"/>
  <c r="R36" i="113"/>
  <c r="R63" i="113"/>
  <c r="R83" i="113"/>
  <c r="R58" i="113"/>
  <c r="R73" i="113"/>
  <c r="R65" i="113"/>
  <c r="R15" i="113"/>
  <c r="R23" i="113"/>
  <c r="R35" i="113"/>
  <c r="R62" i="113"/>
  <c r="J8" i="110"/>
  <c r="G94" i="108"/>
  <c r="J14" i="110"/>
  <c r="G100" i="108"/>
  <c r="S113" i="108"/>
  <c r="S114" i="108"/>
  <c r="S115" i="108"/>
  <c r="S116" i="108"/>
  <c r="S117" i="108"/>
  <c r="S118" i="108"/>
  <c r="S119" i="108"/>
  <c r="S120" i="108"/>
  <c r="S121" i="108"/>
  <c r="S122" i="108"/>
  <c r="S123" i="108"/>
  <c r="S124" i="108"/>
  <c r="S125" i="108"/>
  <c r="S126" i="108"/>
  <c r="S127" i="108"/>
  <c r="S128" i="108"/>
  <c r="S129" i="108"/>
  <c r="S112" i="108"/>
  <c r="O51" i="108"/>
  <c r="O52" i="108"/>
  <c r="O53" i="108"/>
  <c r="O54" i="108"/>
  <c r="O55" i="108"/>
  <c r="O56" i="108"/>
  <c r="O57" i="108"/>
  <c r="O58" i="108"/>
  <c r="O59" i="108"/>
  <c r="O60" i="108"/>
  <c r="O61" i="108"/>
  <c r="O62" i="108"/>
  <c r="O63" i="108"/>
  <c r="O64" i="108"/>
  <c r="O65" i="108"/>
  <c r="O66" i="108"/>
  <c r="O67" i="108"/>
  <c r="O50" i="108"/>
  <c r="M51" i="108"/>
  <c r="M52" i="108"/>
  <c r="M53" i="108"/>
  <c r="M54" i="108"/>
  <c r="M55" i="108"/>
  <c r="M56" i="108"/>
  <c r="M57" i="108"/>
  <c r="M58" i="108"/>
  <c r="M59" i="108"/>
  <c r="M60" i="108"/>
  <c r="M61" i="108"/>
  <c r="M62" i="108"/>
  <c r="M63" i="108"/>
  <c r="M64" i="108"/>
  <c r="M65" i="108"/>
  <c r="M66" i="108"/>
  <c r="M67" i="108"/>
  <c r="M50" i="108"/>
  <c r="O23" i="108"/>
  <c r="O22" i="108"/>
  <c r="O21" i="108"/>
  <c r="O20" i="108"/>
  <c r="O19" i="108"/>
  <c r="O18" i="108"/>
  <c r="O17" i="108"/>
  <c r="O16" i="108"/>
  <c r="O15" i="108"/>
  <c r="O14" i="108"/>
  <c r="O13" i="108"/>
  <c r="O12" i="108"/>
  <c r="O11" i="108"/>
  <c r="O10" i="108"/>
  <c r="O9" i="108"/>
  <c r="O8" i="108"/>
  <c r="O7" i="108"/>
  <c r="O6" i="108"/>
  <c r="M7" i="108"/>
  <c r="M8" i="108"/>
  <c r="M9" i="108"/>
  <c r="M10" i="108"/>
  <c r="M11" i="108"/>
  <c r="M12" i="108"/>
  <c r="M13" i="108"/>
  <c r="M14" i="108"/>
  <c r="M15" i="108"/>
  <c r="M16" i="108"/>
  <c r="M17" i="108"/>
  <c r="M18" i="108"/>
  <c r="M19" i="108"/>
  <c r="M20" i="108"/>
  <c r="M21" i="108"/>
  <c r="M22" i="108"/>
  <c r="M23" i="108"/>
  <c r="M6" i="108"/>
  <c r="AC39" i="104"/>
  <c r="T39" i="104"/>
  <c r="N7" i="120" l="1"/>
  <c r="N14" i="120"/>
  <c r="N13" i="120"/>
  <c r="N19" i="120"/>
  <c r="N18" i="120"/>
  <c r="N9" i="120"/>
  <c r="N11" i="120"/>
  <c r="N17" i="120"/>
  <c r="N6" i="120"/>
  <c r="N20" i="120"/>
  <c r="N15" i="120"/>
  <c r="N12" i="120"/>
  <c r="N8" i="120"/>
  <c r="N5" i="120"/>
  <c r="N10" i="120"/>
  <c r="N16" i="120"/>
  <c r="AV128" i="108"/>
  <c r="P14" i="104" s="1"/>
  <c r="AM124" i="113"/>
  <c r="AM117" i="113"/>
  <c r="AM113" i="113"/>
  <c r="AO111" i="121"/>
  <c r="AP111" i="121" s="1"/>
  <c r="AO123" i="121"/>
  <c r="AP123" i="121" s="1"/>
  <c r="AO114" i="121"/>
  <c r="AP114" i="121" s="1"/>
  <c r="AO122" i="121"/>
  <c r="AP122" i="121" s="1"/>
  <c r="AO113" i="121"/>
  <c r="AP113" i="121" s="1"/>
  <c r="AM120" i="113"/>
  <c r="AV120" i="108"/>
  <c r="P23" i="104" s="1"/>
  <c r="AM119" i="113"/>
  <c r="AM128" i="113"/>
  <c r="AO118" i="121"/>
  <c r="AP118" i="121" s="1"/>
  <c r="AM123" i="113"/>
  <c r="AM118" i="113"/>
  <c r="AM115" i="113"/>
  <c r="AM121" i="113"/>
  <c r="AV125" i="108"/>
  <c r="P20" i="104" s="1"/>
  <c r="AV122" i="108"/>
  <c r="P11" i="104" s="1"/>
  <c r="AO110" i="121"/>
  <c r="AP110" i="121" s="1"/>
  <c r="AV127" i="108"/>
  <c r="P13" i="104" s="1"/>
  <c r="AV124" i="108"/>
  <c r="P19" i="104" s="1"/>
  <c r="AV129" i="108"/>
  <c r="P15" i="104" s="1"/>
  <c r="AV119" i="108"/>
  <c r="P9" i="104" s="1"/>
  <c r="AM129" i="113"/>
  <c r="AO107" i="121"/>
  <c r="AP107" i="121" s="1"/>
  <c r="AO109" i="121"/>
  <c r="AP109" i="121" s="1"/>
  <c r="AO120" i="121"/>
  <c r="AP120" i="121" s="1"/>
  <c r="AO116" i="121"/>
  <c r="AP116" i="121" s="1"/>
  <c r="AO121" i="121"/>
  <c r="AP121" i="121" s="1"/>
  <c r="AV117" i="108"/>
  <c r="P17" i="104" s="1"/>
  <c r="AM125" i="113"/>
  <c r="AO117" i="121"/>
  <c r="AP117" i="121" s="1"/>
  <c r="AO108" i="121"/>
  <c r="AM122" i="113"/>
  <c r="AO106" i="121"/>
  <c r="AP106" i="121" s="1"/>
  <c r="AM116" i="113"/>
  <c r="AV114" i="108"/>
  <c r="P6" i="104" s="1"/>
  <c r="AM114" i="113"/>
  <c r="AO115" i="121"/>
  <c r="AP115" i="121" s="1"/>
  <c r="AV121" i="108"/>
  <c r="P10" i="104" s="1"/>
  <c r="AM127" i="113"/>
  <c r="AV112" i="108"/>
  <c r="P4" i="104" s="1"/>
  <c r="AV118" i="108"/>
  <c r="P22" i="104" s="1"/>
  <c r="AV116" i="108"/>
  <c r="P8" i="104" s="1"/>
  <c r="AM126" i="113"/>
  <c r="AO112" i="121"/>
  <c r="AP112" i="121" s="1"/>
  <c r="AO119" i="121"/>
  <c r="AP119" i="121" s="1"/>
  <c r="AV123" i="108"/>
  <c r="P18" i="104" s="1"/>
  <c r="AV113" i="108"/>
  <c r="AV126" i="108"/>
  <c r="P12" i="104" s="1"/>
  <c r="AV115" i="108"/>
  <c r="P7" i="104" s="1"/>
  <c r="AM112" i="113"/>
  <c r="AN125" i="121"/>
  <c r="L55" i="113"/>
  <c r="E117" i="113" s="1"/>
  <c r="L52" i="113"/>
  <c r="N52" i="113" s="1"/>
  <c r="L89" i="113"/>
  <c r="H129" i="113" s="1"/>
  <c r="AL115" i="113"/>
  <c r="L40" i="113"/>
  <c r="N40" i="113" s="1"/>
  <c r="L12" i="113"/>
  <c r="N12" i="113" s="1"/>
  <c r="L33" i="113"/>
  <c r="G117" i="113" s="1"/>
  <c r="L78" i="113"/>
  <c r="H118" i="113" s="1"/>
  <c r="L35" i="113"/>
  <c r="N35" i="113" s="1"/>
  <c r="L76" i="113"/>
  <c r="N76" i="113" s="1"/>
  <c r="L41" i="113"/>
  <c r="N41" i="113" s="1"/>
  <c r="L73" i="113"/>
  <c r="N73" i="113" s="1"/>
  <c r="L51" i="113"/>
  <c r="E113" i="113" s="1"/>
  <c r="L83" i="113"/>
  <c r="H123" i="113" s="1"/>
  <c r="L65" i="113"/>
  <c r="N65" i="113" s="1"/>
  <c r="L7" i="113"/>
  <c r="D113" i="113" s="1"/>
  <c r="L17" i="113"/>
  <c r="D123" i="113" s="1"/>
  <c r="L32" i="113"/>
  <c r="G116" i="113" s="1"/>
  <c r="L23" i="113"/>
  <c r="N23" i="113" s="1"/>
  <c r="L39" i="113"/>
  <c r="N39" i="113" s="1"/>
  <c r="L42" i="113"/>
  <c r="N42" i="113" s="1"/>
  <c r="L19" i="113"/>
  <c r="D125" i="113" s="1"/>
  <c r="L21" i="113"/>
  <c r="D127" i="113" s="1"/>
  <c r="L56" i="113"/>
  <c r="E118" i="113" s="1"/>
  <c r="L45" i="113"/>
  <c r="N45" i="113" s="1"/>
  <c r="L64" i="113"/>
  <c r="N64" i="113" s="1"/>
  <c r="AL112" i="113"/>
  <c r="P4" i="112" s="1"/>
  <c r="L20" i="113"/>
  <c r="N20" i="113" s="1"/>
  <c r="L57" i="113"/>
  <c r="N57" i="113" s="1"/>
  <c r="L87" i="113"/>
  <c r="N87" i="113" s="1"/>
  <c r="L67" i="113"/>
  <c r="E129" i="113" s="1"/>
  <c r="L30" i="113"/>
  <c r="G114" i="113" s="1"/>
  <c r="L88" i="113"/>
  <c r="N88" i="113" s="1"/>
  <c r="L74" i="113"/>
  <c r="H114" i="113" s="1"/>
  <c r="L13" i="113"/>
  <c r="N13" i="113" s="1"/>
  <c r="L37" i="113"/>
  <c r="N37" i="113" s="1"/>
  <c r="L50" i="113"/>
  <c r="E112" i="113" s="1"/>
  <c r="L82" i="113"/>
  <c r="N82" i="113" s="1"/>
  <c r="L14" i="113"/>
  <c r="N14" i="113" s="1"/>
  <c r="L44" i="113"/>
  <c r="N44" i="113" s="1"/>
  <c r="L43" i="113"/>
  <c r="N43" i="113" s="1"/>
  <c r="L80" i="113"/>
  <c r="N80" i="113" s="1"/>
  <c r="L15" i="113"/>
  <c r="N15" i="113" s="1"/>
  <c r="L11" i="113"/>
  <c r="D117" i="113" s="1"/>
  <c r="L29" i="113"/>
  <c r="N29" i="113" s="1"/>
  <c r="L59" i="113"/>
  <c r="E121" i="113" s="1"/>
  <c r="L10" i="113"/>
  <c r="N10" i="113" s="1"/>
  <c r="L16" i="113"/>
  <c r="D122" i="113" s="1"/>
  <c r="L6" i="113"/>
  <c r="N6" i="113" s="1"/>
  <c r="L34" i="113"/>
  <c r="G118" i="113" s="1"/>
  <c r="L63" i="113"/>
  <c r="N63" i="113" s="1"/>
  <c r="L58" i="113"/>
  <c r="N58" i="113" s="1"/>
  <c r="L22" i="113"/>
  <c r="N22" i="113" s="1"/>
  <c r="L84" i="113"/>
  <c r="N84" i="113" s="1"/>
  <c r="L62" i="113"/>
  <c r="E124" i="113" s="1"/>
  <c r="L81" i="113"/>
  <c r="N81" i="113" s="1"/>
  <c r="L61" i="113"/>
  <c r="E123" i="113" s="1"/>
  <c r="L72" i="113"/>
  <c r="H112" i="113" s="1"/>
  <c r="L66" i="113"/>
  <c r="E128" i="113" s="1"/>
  <c r="L38" i="113"/>
  <c r="G122" i="113" s="1"/>
  <c r="L36" i="113"/>
  <c r="G120" i="113" s="1"/>
  <c r="L86" i="113"/>
  <c r="H126" i="113" s="1"/>
  <c r="L79" i="113"/>
  <c r="N79" i="113" s="1"/>
  <c r="L85" i="113"/>
  <c r="N85" i="113" s="1"/>
  <c r="L8" i="113"/>
  <c r="N8" i="113" s="1"/>
  <c r="L54" i="113"/>
  <c r="E116" i="113" s="1"/>
  <c r="L53" i="113"/>
  <c r="N53" i="113" s="1"/>
  <c r="L60" i="113"/>
  <c r="N60" i="113" s="1"/>
  <c r="L75" i="113"/>
  <c r="N75" i="113" s="1"/>
  <c r="L77" i="113"/>
  <c r="N77" i="113" s="1"/>
  <c r="L28" i="113"/>
  <c r="N28" i="113" s="1"/>
  <c r="L31" i="113"/>
  <c r="G115" i="113" s="1"/>
  <c r="L18" i="113"/>
  <c r="N18" i="113" s="1"/>
  <c r="L9" i="113"/>
  <c r="N9" i="113" s="1"/>
  <c r="AL124" i="113"/>
  <c r="P19" i="112" s="1"/>
  <c r="AL125" i="113"/>
  <c r="P20" i="112" s="1"/>
  <c r="AL128" i="113"/>
  <c r="AL116" i="113"/>
  <c r="AL120" i="113"/>
  <c r="AL113" i="113"/>
  <c r="AL127" i="113"/>
  <c r="AL123" i="113"/>
  <c r="AL119" i="113"/>
  <c r="AL114" i="113"/>
  <c r="AL129" i="113"/>
  <c r="AL126" i="113"/>
  <c r="AL117" i="113"/>
  <c r="AL121" i="113"/>
  <c r="AL118" i="113"/>
  <c r="AL122" i="113"/>
  <c r="L72" i="108"/>
  <c r="D21" i="109"/>
  <c r="J23" i="104" s="1"/>
  <c r="D20" i="109"/>
  <c r="J22" i="104" s="1"/>
  <c r="D19" i="109"/>
  <c r="J19" i="104" s="1"/>
  <c r="D18" i="109"/>
  <c r="J17" i="104" s="1"/>
  <c r="D17" i="109"/>
  <c r="J20" i="104" s="1"/>
  <c r="D16" i="109"/>
  <c r="J18" i="104" s="1"/>
  <c r="D15" i="109"/>
  <c r="J12" i="104" s="1"/>
  <c r="D14" i="109"/>
  <c r="J6" i="104" s="1"/>
  <c r="D13" i="109"/>
  <c r="J8" i="104" s="1"/>
  <c r="D12" i="109"/>
  <c r="J13" i="104" s="1"/>
  <c r="D11" i="109"/>
  <c r="J15" i="104" s="1"/>
  <c r="D10" i="109"/>
  <c r="J14" i="104" s="1"/>
  <c r="D9" i="109"/>
  <c r="J7" i="104" s="1"/>
  <c r="D8" i="109"/>
  <c r="J4" i="104" s="1"/>
  <c r="D7" i="109"/>
  <c r="J11" i="104" s="1"/>
  <c r="D6" i="109"/>
  <c r="J9" i="104" s="1"/>
  <c r="D5" i="109"/>
  <c r="J5" i="104" s="1"/>
  <c r="D4" i="109"/>
  <c r="J10" i="104" s="1"/>
  <c r="B11" i="90" l="1"/>
  <c r="N22" i="120"/>
  <c r="N22" i="148"/>
  <c r="N72" i="148" s="1"/>
  <c r="D11" i="90"/>
  <c r="G11" i="90"/>
  <c r="AN115" i="113"/>
  <c r="D126" i="113"/>
  <c r="AM131" i="113"/>
  <c r="P7" i="112"/>
  <c r="D129" i="113"/>
  <c r="F129" i="113" s="1"/>
  <c r="AO125" i="121"/>
  <c r="AP108" i="121"/>
  <c r="AP125" i="121" s="1"/>
  <c r="AV131" i="108"/>
  <c r="G125" i="113"/>
  <c r="P5" i="104"/>
  <c r="G124" i="113"/>
  <c r="D119" i="113"/>
  <c r="N89" i="113"/>
  <c r="AN112" i="113"/>
  <c r="D121" i="113"/>
  <c r="F121" i="113" s="1"/>
  <c r="N66" i="113"/>
  <c r="E125" i="113"/>
  <c r="F125" i="113" s="1"/>
  <c r="E114" i="113"/>
  <c r="N32" i="113"/>
  <c r="N74" i="113"/>
  <c r="E126" i="113"/>
  <c r="H120" i="113"/>
  <c r="I120" i="113" s="1"/>
  <c r="H116" i="113"/>
  <c r="I116" i="113" s="1"/>
  <c r="N70" i="121"/>
  <c r="H107" i="121"/>
  <c r="G129" i="113"/>
  <c r="I129" i="113" s="1"/>
  <c r="G119" i="113"/>
  <c r="D109" i="121"/>
  <c r="G117" i="121"/>
  <c r="N37" i="121"/>
  <c r="N34" i="121"/>
  <c r="G114" i="121"/>
  <c r="N74" i="121"/>
  <c r="H112" i="121"/>
  <c r="G121" i="121"/>
  <c r="N41" i="121"/>
  <c r="D118" i="121"/>
  <c r="N17" i="121"/>
  <c r="D119" i="121"/>
  <c r="N18" i="121"/>
  <c r="G109" i="121"/>
  <c r="E108" i="121"/>
  <c r="N50" i="121"/>
  <c r="G127" i="113"/>
  <c r="D106" i="121"/>
  <c r="E111" i="121"/>
  <c r="N52" i="121"/>
  <c r="H119" i="121"/>
  <c r="N81" i="121"/>
  <c r="G113" i="121"/>
  <c r="N33" i="121"/>
  <c r="N60" i="121"/>
  <c r="E119" i="121"/>
  <c r="D117" i="121"/>
  <c r="N16" i="121"/>
  <c r="H110" i="121"/>
  <c r="N72" i="121"/>
  <c r="N71" i="121"/>
  <c r="H108" i="121"/>
  <c r="D120" i="121"/>
  <c r="N19" i="121"/>
  <c r="H123" i="121"/>
  <c r="N85" i="121"/>
  <c r="D110" i="121"/>
  <c r="N9" i="121"/>
  <c r="E107" i="121"/>
  <c r="N49" i="121"/>
  <c r="G120" i="121"/>
  <c r="N40" i="121"/>
  <c r="G123" i="121"/>
  <c r="N43" i="121"/>
  <c r="G115" i="121"/>
  <c r="N35" i="121"/>
  <c r="H116" i="121"/>
  <c r="N78" i="121"/>
  <c r="D112" i="121"/>
  <c r="N11" i="121"/>
  <c r="N34" i="113"/>
  <c r="N51" i="121"/>
  <c r="E110" i="121"/>
  <c r="E121" i="121"/>
  <c r="N62" i="121"/>
  <c r="D115" i="121"/>
  <c r="N14" i="121"/>
  <c r="D108" i="121"/>
  <c r="N8" i="121"/>
  <c r="E117" i="121"/>
  <c r="N58" i="121"/>
  <c r="N15" i="121"/>
  <c r="D116" i="121"/>
  <c r="G119" i="121"/>
  <c r="N39" i="121"/>
  <c r="E120" i="121"/>
  <c r="N61" i="121"/>
  <c r="H121" i="121"/>
  <c r="N83" i="121"/>
  <c r="N10" i="121"/>
  <c r="D111" i="121"/>
  <c r="D123" i="121"/>
  <c r="N22" i="121"/>
  <c r="N82" i="121"/>
  <c r="H120" i="121"/>
  <c r="N31" i="121"/>
  <c r="G111" i="121"/>
  <c r="E118" i="121"/>
  <c r="N59" i="121"/>
  <c r="E122" i="121"/>
  <c r="N63" i="121"/>
  <c r="E115" i="121"/>
  <c r="N56" i="121"/>
  <c r="N73" i="121"/>
  <c r="H111" i="121"/>
  <c r="D107" i="121"/>
  <c r="N7" i="121"/>
  <c r="N55" i="113"/>
  <c r="H109" i="121"/>
  <c r="E123" i="121"/>
  <c r="N64" i="121"/>
  <c r="E109" i="121"/>
  <c r="E112" i="121"/>
  <c r="N53" i="121"/>
  <c r="G122" i="121"/>
  <c r="N42" i="121"/>
  <c r="G108" i="121"/>
  <c r="N29" i="121"/>
  <c r="G112" i="121"/>
  <c r="N32" i="121"/>
  <c r="D113" i="121"/>
  <c r="N12" i="121"/>
  <c r="G110" i="121"/>
  <c r="N30" i="121"/>
  <c r="H128" i="113"/>
  <c r="N17" i="113"/>
  <c r="H122" i="121"/>
  <c r="N84" i="121"/>
  <c r="D121" i="121"/>
  <c r="N20" i="121"/>
  <c r="N13" i="121"/>
  <c r="D114" i="121"/>
  <c r="E106" i="121"/>
  <c r="N48" i="121"/>
  <c r="N54" i="121"/>
  <c r="E113" i="121"/>
  <c r="G116" i="121"/>
  <c r="N36" i="121"/>
  <c r="H114" i="121"/>
  <c r="N76" i="121"/>
  <c r="H113" i="121"/>
  <c r="N75" i="121"/>
  <c r="E116" i="121"/>
  <c r="N57" i="121"/>
  <c r="N69" i="121"/>
  <c r="H106" i="121"/>
  <c r="H115" i="121"/>
  <c r="N77" i="121"/>
  <c r="E114" i="121"/>
  <c r="N55" i="121"/>
  <c r="D122" i="121"/>
  <c r="N21" i="121"/>
  <c r="N28" i="121"/>
  <c r="G107" i="121"/>
  <c r="H118" i="121"/>
  <c r="N80" i="121"/>
  <c r="H117" i="121"/>
  <c r="N79" i="121"/>
  <c r="N27" i="121"/>
  <c r="G106" i="121"/>
  <c r="G118" i="121"/>
  <c r="N38" i="121"/>
  <c r="D118" i="113"/>
  <c r="F118" i="113" s="1"/>
  <c r="G126" i="113"/>
  <c r="I126" i="113" s="1"/>
  <c r="E119" i="113"/>
  <c r="N50" i="113"/>
  <c r="N51" i="113"/>
  <c r="E127" i="113"/>
  <c r="F127" i="113" s="1"/>
  <c r="G121" i="113"/>
  <c r="N11" i="113"/>
  <c r="N78" i="113"/>
  <c r="N72" i="113"/>
  <c r="N54" i="113"/>
  <c r="N83" i="113"/>
  <c r="D128" i="113"/>
  <c r="F128" i="113" s="1"/>
  <c r="D112" i="113"/>
  <c r="F112" i="113" s="1"/>
  <c r="G113" i="113"/>
  <c r="N36" i="113"/>
  <c r="E115" i="113"/>
  <c r="N67" i="113"/>
  <c r="H115" i="113"/>
  <c r="I115" i="113" s="1"/>
  <c r="E122" i="113"/>
  <c r="F122" i="113" s="1"/>
  <c r="N33" i="113"/>
  <c r="D120" i="113"/>
  <c r="N21" i="113"/>
  <c r="H119" i="113"/>
  <c r="N62" i="113"/>
  <c r="D116" i="113"/>
  <c r="F116" i="113" s="1"/>
  <c r="N56" i="113"/>
  <c r="N61" i="113"/>
  <c r="N7" i="113"/>
  <c r="N30" i="113"/>
  <c r="D124" i="113"/>
  <c r="F124" i="113" s="1"/>
  <c r="AN124" i="113"/>
  <c r="F117" i="113"/>
  <c r="H127" i="113"/>
  <c r="E120" i="113"/>
  <c r="G123" i="113"/>
  <c r="I123" i="113" s="1"/>
  <c r="H113" i="113"/>
  <c r="N38" i="113"/>
  <c r="H124" i="113"/>
  <c r="N86" i="113"/>
  <c r="N59" i="113"/>
  <c r="N19" i="113"/>
  <c r="D115" i="113"/>
  <c r="G128" i="113"/>
  <c r="G112" i="113"/>
  <c r="I112" i="113" s="1"/>
  <c r="F113" i="113"/>
  <c r="D114" i="113"/>
  <c r="H117" i="113"/>
  <c r="I117" i="113" s="1"/>
  <c r="N16" i="113"/>
  <c r="H122" i="113"/>
  <c r="I122" i="113" s="1"/>
  <c r="H125" i="113"/>
  <c r="N31" i="113"/>
  <c r="H121" i="113"/>
  <c r="I114" i="113"/>
  <c r="AN125" i="113"/>
  <c r="AN122" i="113"/>
  <c r="P11" i="112"/>
  <c r="AN126" i="113"/>
  <c r="P12" i="112"/>
  <c r="AN129" i="113"/>
  <c r="P15" i="112"/>
  <c r="I118" i="113"/>
  <c r="AN119" i="113"/>
  <c r="P9" i="112"/>
  <c r="AN118" i="113"/>
  <c r="P22" i="112"/>
  <c r="AN128" i="113"/>
  <c r="P14" i="112"/>
  <c r="AN117" i="113"/>
  <c r="P17" i="112"/>
  <c r="AN121" i="113"/>
  <c r="P10" i="112"/>
  <c r="AN120" i="113"/>
  <c r="P23" i="112"/>
  <c r="AN123" i="113"/>
  <c r="P18" i="112"/>
  <c r="F123" i="113"/>
  <c r="AN127" i="113"/>
  <c r="P13" i="112"/>
  <c r="AL131" i="113"/>
  <c r="AN114" i="113"/>
  <c r="P6" i="112"/>
  <c r="AN113" i="113"/>
  <c r="P5" i="112"/>
  <c r="AN116" i="113"/>
  <c r="P8" i="112"/>
  <c r="D23" i="109"/>
  <c r="D30" i="109" s="1"/>
  <c r="O111" i="108"/>
  <c r="N111" i="108"/>
  <c r="L111" i="108"/>
  <c r="K111" i="108"/>
  <c r="H111" i="108"/>
  <c r="G111" i="108"/>
  <c r="E111" i="108"/>
  <c r="D111" i="108"/>
  <c r="O89" i="108"/>
  <c r="M89" i="108"/>
  <c r="O129" i="108" s="1"/>
  <c r="O88" i="108"/>
  <c r="M88" i="108"/>
  <c r="O128" i="108" s="1"/>
  <c r="O87" i="108"/>
  <c r="M87" i="108"/>
  <c r="O127" i="108" s="1"/>
  <c r="O86" i="108"/>
  <c r="M86" i="108"/>
  <c r="O126" i="108" s="1"/>
  <c r="O85" i="108"/>
  <c r="M85" i="108"/>
  <c r="O125" i="108" s="1"/>
  <c r="O84" i="108"/>
  <c r="M84" i="108"/>
  <c r="O124" i="108" s="1"/>
  <c r="O83" i="108"/>
  <c r="M83" i="108"/>
  <c r="O123" i="108" s="1"/>
  <c r="O82" i="108"/>
  <c r="M82" i="108"/>
  <c r="O122" i="108" s="1"/>
  <c r="O81" i="108"/>
  <c r="M81" i="108"/>
  <c r="O121" i="108" s="1"/>
  <c r="O80" i="108"/>
  <c r="M80" i="108"/>
  <c r="O120" i="108" s="1"/>
  <c r="O79" i="108"/>
  <c r="M79" i="108"/>
  <c r="O119" i="108" s="1"/>
  <c r="O78" i="108"/>
  <c r="M78" i="108"/>
  <c r="O118" i="108" s="1"/>
  <c r="O77" i="108"/>
  <c r="M77" i="108"/>
  <c r="O117" i="108" s="1"/>
  <c r="O76" i="108"/>
  <c r="M76" i="108"/>
  <c r="O116" i="108" s="1"/>
  <c r="O75" i="108"/>
  <c r="M75" i="108"/>
  <c r="O115" i="108" s="1"/>
  <c r="O74" i="108"/>
  <c r="M74" i="108"/>
  <c r="O114" i="108" s="1"/>
  <c r="O73" i="108"/>
  <c r="M73" i="108"/>
  <c r="O113" i="108" s="1"/>
  <c r="O72" i="108"/>
  <c r="M72" i="108"/>
  <c r="O112" i="108" s="1"/>
  <c r="O45" i="108"/>
  <c r="M45" i="108"/>
  <c r="N129" i="108" s="1"/>
  <c r="O44" i="108"/>
  <c r="M44" i="108"/>
  <c r="N128" i="108" s="1"/>
  <c r="O43" i="108"/>
  <c r="M43" i="108"/>
  <c r="N127" i="108" s="1"/>
  <c r="O42" i="108"/>
  <c r="M42" i="108"/>
  <c r="N126" i="108" s="1"/>
  <c r="O41" i="108"/>
  <c r="M41" i="108"/>
  <c r="N125" i="108" s="1"/>
  <c r="O40" i="108"/>
  <c r="M40" i="108"/>
  <c r="N124" i="108" s="1"/>
  <c r="O39" i="108"/>
  <c r="M39" i="108"/>
  <c r="N123" i="108" s="1"/>
  <c r="O38" i="108"/>
  <c r="M38" i="108"/>
  <c r="N122" i="108" s="1"/>
  <c r="O37" i="108"/>
  <c r="M37" i="108"/>
  <c r="N121" i="108" s="1"/>
  <c r="O36" i="108"/>
  <c r="M36" i="108"/>
  <c r="N120" i="108" s="1"/>
  <c r="O35" i="108"/>
  <c r="M35" i="108"/>
  <c r="N119" i="108" s="1"/>
  <c r="O34" i="108"/>
  <c r="M34" i="108"/>
  <c r="N118" i="108" s="1"/>
  <c r="O33" i="108"/>
  <c r="M33" i="108"/>
  <c r="N117" i="108" s="1"/>
  <c r="O32" i="108"/>
  <c r="M32" i="108"/>
  <c r="N116" i="108" s="1"/>
  <c r="O31" i="108"/>
  <c r="M31" i="108"/>
  <c r="N115" i="108" s="1"/>
  <c r="O30" i="108"/>
  <c r="M30" i="108"/>
  <c r="N114" i="108" s="1"/>
  <c r="O29" i="108"/>
  <c r="M29" i="108"/>
  <c r="N113" i="108" s="1"/>
  <c r="O28" i="108"/>
  <c r="M28" i="108"/>
  <c r="N112" i="108" s="1"/>
  <c r="K129" i="108"/>
  <c r="K128" i="108"/>
  <c r="K126" i="108"/>
  <c r="K125" i="108"/>
  <c r="K122" i="108"/>
  <c r="K120" i="108"/>
  <c r="F11" i="105"/>
  <c r="F10" i="105"/>
  <c r="U172" i="107"/>
  <c r="Q172" i="107"/>
  <c r="O172" i="107"/>
  <c r="W172" i="107" s="1"/>
  <c r="N172" i="107"/>
  <c r="V172" i="107" s="1"/>
  <c r="M172" i="107"/>
  <c r="L172" i="107"/>
  <c r="T172" i="107" s="1"/>
  <c r="K172" i="107"/>
  <c r="S172" i="107" s="1"/>
  <c r="J172" i="107"/>
  <c r="R172" i="107" s="1"/>
  <c r="I172" i="107"/>
  <c r="V171" i="107"/>
  <c r="S171" i="107"/>
  <c r="O171" i="107"/>
  <c r="W171" i="107" s="1"/>
  <c r="N171" i="107"/>
  <c r="M171" i="107"/>
  <c r="U171" i="107" s="1"/>
  <c r="L171" i="107"/>
  <c r="T171" i="107" s="1"/>
  <c r="K171" i="107"/>
  <c r="J171" i="107"/>
  <c r="R171" i="107" s="1"/>
  <c r="I171" i="107"/>
  <c r="Q171" i="107" s="1"/>
  <c r="S170" i="107"/>
  <c r="Q170" i="107"/>
  <c r="O170" i="107"/>
  <c r="W170" i="107" s="1"/>
  <c r="N170" i="107"/>
  <c r="V170" i="107" s="1"/>
  <c r="M170" i="107"/>
  <c r="U170" i="107" s="1"/>
  <c r="L170" i="107"/>
  <c r="T170" i="107" s="1"/>
  <c r="K170" i="107"/>
  <c r="J170" i="107"/>
  <c r="R170" i="107" s="1"/>
  <c r="I170" i="107"/>
  <c r="K166" i="107"/>
  <c r="S166" i="107" s="1"/>
  <c r="W164" i="107"/>
  <c r="S164" i="107"/>
  <c r="Q164" i="107"/>
  <c r="O164" i="107"/>
  <c r="N164" i="107"/>
  <c r="V164" i="107" s="1"/>
  <c r="M164" i="107"/>
  <c r="U164" i="107" s="1"/>
  <c r="L164" i="107"/>
  <c r="T164" i="107" s="1"/>
  <c r="K164" i="107"/>
  <c r="J164" i="107"/>
  <c r="R164" i="107" s="1"/>
  <c r="I164" i="107"/>
  <c r="Q156" i="107"/>
  <c r="O156" i="107"/>
  <c r="M156" i="107"/>
  <c r="K156" i="107"/>
  <c r="I156" i="107"/>
  <c r="G156" i="107"/>
  <c r="E156" i="107"/>
  <c r="Q155" i="107"/>
  <c r="O155" i="107"/>
  <c r="M155" i="107"/>
  <c r="K155" i="107"/>
  <c r="I155" i="107"/>
  <c r="G155" i="107"/>
  <c r="E155" i="107"/>
  <c r="Q154" i="107"/>
  <c r="O154" i="107"/>
  <c r="M154" i="107"/>
  <c r="K154" i="107"/>
  <c r="I154" i="107"/>
  <c r="G154" i="107"/>
  <c r="E154" i="107"/>
  <c r="Q153" i="107"/>
  <c r="O153" i="107"/>
  <c r="M153" i="107"/>
  <c r="K153" i="107"/>
  <c r="I153" i="107"/>
  <c r="G153" i="107"/>
  <c r="E153" i="107"/>
  <c r="Q152" i="107"/>
  <c r="P152" i="107"/>
  <c r="O152" i="107"/>
  <c r="M152" i="107"/>
  <c r="K152" i="107"/>
  <c r="I152" i="107"/>
  <c r="G152" i="107"/>
  <c r="E152" i="107"/>
  <c r="Q151" i="107"/>
  <c r="P151" i="107"/>
  <c r="O151" i="107"/>
  <c r="M151" i="107"/>
  <c r="K151" i="107"/>
  <c r="I151" i="107"/>
  <c r="G151" i="107"/>
  <c r="E151" i="107"/>
  <c r="Q150" i="107"/>
  <c r="P150" i="107"/>
  <c r="O150" i="107"/>
  <c r="M150" i="107"/>
  <c r="K150" i="107"/>
  <c r="I150" i="107"/>
  <c r="G150" i="107"/>
  <c r="E150" i="107"/>
  <c r="Q149" i="107"/>
  <c r="O149" i="107"/>
  <c r="M149" i="107"/>
  <c r="K149" i="107"/>
  <c r="I149" i="107"/>
  <c r="G149" i="107"/>
  <c r="E149" i="107"/>
  <c r="Q148" i="107"/>
  <c r="O148" i="107"/>
  <c r="M148" i="107"/>
  <c r="K148" i="107"/>
  <c r="I148" i="107"/>
  <c r="G148" i="107"/>
  <c r="E148" i="107"/>
  <c r="Q147" i="107"/>
  <c r="O147" i="107"/>
  <c r="M147" i="107"/>
  <c r="K147" i="107"/>
  <c r="I147" i="107"/>
  <c r="G147" i="107"/>
  <c r="E147" i="107"/>
  <c r="Q146" i="107"/>
  <c r="O146" i="107"/>
  <c r="M146" i="107"/>
  <c r="K146" i="107"/>
  <c r="I146" i="107"/>
  <c r="G146" i="107"/>
  <c r="E146" i="107"/>
  <c r="Q145" i="107"/>
  <c r="O145" i="107"/>
  <c r="M145" i="107"/>
  <c r="K145" i="107"/>
  <c r="I145" i="107"/>
  <c r="G145" i="107"/>
  <c r="E145" i="107"/>
  <c r="Q144" i="107"/>
  <c r="P144" i="107"/>
  <c r="O144" i="107"/>
  <c r="M144" i="107"/>
  <c r="K144" i="107"/>
  <c r="I144" i="107"/>
  <c r="G144" i="107"/>
  <c r="E144" i="107"/>
  <c r="Q143" i="107"/>
  <c r="O143" i="107"/>
  <c r="M143" i="107"/>
  <c r="K143" i="107"/>
  <c r="I143" i="107"/>
  <c r="G143" i="107"/>
  <c r="E143" i="107"/>
  <c r="Q142" i="107"/>
  <c r="O142" i="107"/>
  <c r="M142" i="107"/>
  <c r="K142" i="107"/>
  <c r="I142" i="107"/>
  <c r="G142" i="107"/>
  <c r="E142" i="107"/>
  <c r="Q141" i="107"/>
  <c r="O141" i="107"/>
  <c r="M141" i="107"/>
  <c r="K141" i="107"/>
  <c r="I141" i="107"/>
  <c r="G141" i="107"/>
  <c r="E141" i="107"/>
  <c r="Q140" i="107"/>
  <c r="O140" i="107"/>
  <c r="M140" i="107"/>
  <c r="K140" i="107"/>
  <c r="I140" i="107"/>
  <c r="G140" i="107"/>
  <c r="E140" i="107"/>
  <c r="Q139" i="107"/>
  <c r="O139" i="107"/>
  <c r="M139" i="107"/>
  <c r="K139" i="107"/>
  <c r="I139" i="107"/>
  <c r="G139" i="107"/>
  <c r="E139" i="107"/>
  <c r="D134" i="107"/>
  <c r="D220" i="107" s="1"/>
  <c r="R133" i="107"/>
  <c r="R219" i="107" s="1"/>
  <c r="J133" i="107"/>
  <c r="H133" i="107"/>
  <c r="H219" i="107" s="1"/>
  <c r="D133" i="107"/>
  <c r="D219" i="107" s="1"/>
  <c r="J132" i="107"/>
  <c r="F218" i="107" s="1"/>
  <c r="H132" i="107"/>
  <c r="D132" i="107"/>
  <c r="R132" i="107" s="1"/>
  <c r="R218" i="107" s="1"/>
  <c r="R131" i="107"/>
  <c r="R217" i="107" s="1"/>
  <c r="P131" i="107"/>
  <c r="P217" i="107" s="1"/>
  <c r="J131" i="107"/>
  <c r="F217" i="107" s="1"/>
  <c r="H131" i="107"/>
  <c r="D131" i="107"/>
  <c r="D130" i="107"/>
  <c r="D129" i="107"/>
  <c r="D215" i="107" s="1"/>
  <c r="D128" i="107"/>
  <c r="D214" i="107" s="1"/>
  <c r="D127" i="107"/>
  <c r="H127" i="107" s="1"/>
  <c r="D126" i="107"/>
  <c r="R125" i="107"/>
  <c r="P125" i="107"/>
  <c r="P211" i="107" s="1"/>
  <c r="N125" i="107"/>
  <c r="J211" i="107" s="1"/>
  <c r="J125" i="107"/>
  <c r="H125" i="107"/>
  <c r="H211" i="107" s="1"/>
  <c r="D125" i="107"/>
  <c r="D211" i="107" s="1"/>
  <c r="R124" i="107"/>
  <c r="P124" i="107"/>
  <c r="N124" i="107"/>
  <c r="J210" i="107" s="1"/>
  <c r="J124" i="107"/>
  <c r="F210" i="107" s="1"/>
  <c r="H124" i="107"/>
  <c r="F124" i="107"/>
  <c r="L210" i="107" s="1"/>
  <c r="D124" i="107"/>
  <c r="P123" i="107"/>
  <c r="P209" i="107" s="1"/>
  <c r="N123" i="107"/>
  <c r="J209" i="107" s="1"/>
  <c r="H123" i="107"/>
  <c r="D123" i="107"/>
  <c r="R123" i="107" s="1"/>
  <c r="R209" i="107" s="1"/>
  <c r="D122" i="107"/>
  <c r="D208" i="107" s="1"/>
  <c r="P121" i="107"/>
  <c r="P207" i="107" s="1"/>
  <c r="J121" i="107"/>
  <c r="F207" i="107" s="1"/>
  <c r="D121" i="107"/>
  <c r="D207" i="107" s="1"/>
  <c r="D120" i="107"/>
  <c r="H120" i="107" s="1"/>
  <c r="R119" i="107"/>
  <c r="R205" i="107" s="1"/>
  <c r="J119" i="107"/>
  <c r="F205" i="107" s="1"/>
  <c r="D119" i="107"/>
  <c r="J118" i="107"/>
  <c r="F204" i="107" s="1"/>
  <c r="H118" i="107"/>
  <c r="H204" i="107" s="1"/>
  <c r="D118" i="107"/>
  <c r="R118" i="107" s="1"/>
  <c r="R204" i="107" s="1"/>
  <c r="R117" i="107"/>
  <c r="P117" i="107"/>
  <c r="P203" i="107" s="1"/>
  <c r="J117" i="107"/>
  <c r="H117" i="107"/>
  <c r="H203" i="107" s="1"/>
  <c r="D117" i="107"/>
  <c r="K111" i="107"/>
  <c r="E110" i="107"/>
  <c r="E111" i="107" s="1"/>
  <c r="K112" i="107" s="1"/>
  <c r="K109" i="107"/>
  <c r="K106" i="107"/>
  <c r="K104" i="107"/>
  <c r="K101" i="107"/>
  <c r="K99" i="107"/>
  <c r="K96" i="107"/>
  <c r="K94" i="107"/>
  <c r="K91" i="107"/>
  <c r="K89" i="107"/>
  <c r="K86" i="107"/>
  <c r="K84" i="107"/>
  <c r="K81" i="107"/>
  <c r="K79" i="107"/>
  <c r="K76" i="107"/>
  <c r="K74" i="107"/>
  <c r="K71" i="107"/>
  <c r="K69" i="107"/>
  <c r="K66" i="107"/>
  <c r="K64" i="107"/>
  <c r="K59" i="107"/>
  <c r="P48" i="107"/>
  <c r="N48" i="107"/>
  <c r="L48" i="107"/>
  <c r="J48" i="107"/>
  <c r="H48" i="107"/>
  <c r="F48" i="107"/>
  <c r="Q47" i="107"/>
  <c r="I47" i="107"/>
  <c r="E47" i="107"/>
  <c r="O47" i="107" s="1"/>
  <c r="K46" i="107"/>
  <c r="I46" i="107"/>
  <c r="E46" i="107"/>
  <c r="M46" i="107" s="1"/>
  <c r="E45" i="107"/>
  <c r="O45" i="107" s="1"/>
  <c r="E44" i="107"/>
  <c r="M44" i="107" s="1"/>
  <c r="E43" i="107"/>
  <c r="O43" i="107" s="1"/>
  <c r="R152" i="107" s="1"/>
  <c r="O42" i="107"/>
  <c r="R151" i="107" s="1"/>
  <c r="K42" i="107"/>
  <c r="J151" i="107" s="1"/>
  <c r="E42" i="107"/>
  <c r="M42" i="107" s="1"/>
  <c r="L151" i="107" s="1"/>
  <c r="M41" i="107"/>
  <c r="L150" i="107" s="1"/>
  <c r="E41" i="107"/>
  <c r="O41" i="107" s="1"/>
  <c r="R150" i="107" s="1"/>
  <c r="E40" i="107"/>
  <c r="E39" i="107"/>
  <c r="D148" i="107" s="1"/>
  <c r="E38" i="107"/>
  <c r="M38" i="107" s="1"/>
  <c r="O37" i="107"/>
  <c r="G37" i="107"/>
  <c r="E37" i="107"/>
  <c r="M37" i="107" s="1"/>
  <c r="E36" i="107"/>
  <c r="M36" i="107" s="1"/>
  <c r="Q35" i="107"/>
  <c r="N144" i="107" s="1"/>
  <c r="K35" i="107"/>
  <c r="J144" i="107" s="1"/>
  <c r="I35" i="107"/>
  <c r="H144" i="107" s="1"/>
  <c r="E35" i="107"/>
  <c r="O35" i="107" s="1"/>
  <c r="R144" i="107" s="1"/>
  <c r="O34" i="107"/>
  <c r="K34" i="107"/>
  <c r="G34" i="107"/>
  <c r="E34" i="107"/>
  <c r="M34" i="107" s="1"/>
  <c r="E33" i="107"/>
  <c r="E32" i="107"/>
  <c r="M32" i="107" s="1"/>
  <c r="Q31" i="107"/>
  <c r="K31" i="107"/>
  <c r="I31" i="107"/>
  <c r="E31" i="107"/>
  <c r="O31" i="107" s="1"/>
  <c r="Q30" i="107"/>
  <c r="O30" i="107"/>
  <c r="I30" i="107"/>
  <c r="G30" i="107"/>
  <c r="E30" i="107"/>
  <c r="M30" i="107" s="1"/>
  <c r="N24" i="107"/>
  <c r="L24" i="107"/>
  <c r="J24" i="107"/>
  <c r="H24" i="107"/>
  <c r="F24" i="107"/>
  <c r="O23" i="107"/>
  <c r="M23" i="107"/>
  <c r="G23" i="107"/>
  <c r="E23" i="107"/>
  <c r="E22" i="107"/>
  <c r="M22" i="107" s="1"/>
  <c r="K21" i="107"/>
  <c r="E21" i="107"/>
  <c r="O21" i="107" s="1"/>
  <c r="E20" i="107"/>
  <c r="M20" i="107" s="1"/>
  <c r="E19" i="107"/>
  <c r="K18" i="107"/>
  <c r="E18" i="107"/>
  <c r="M18" i="107" s="1"/>
  <c r="E17" i="107"/>
  <c r="O17" i="107" s="1"/>
  <c r="O16" i="107"/>
  <c r="K16" i="107"/>
  <c r="G16" i="107"/>
  <c r="E16" i="107"/>
  <c r="M16" i="107" s="1"/>
  <c r="E15" i="107"/>
  <c r="M15" i="107" s="1"/>
  <c r="E14" i="107"/>
  <c r="K13" i="107"/>
  <c r="E13" i="107"/>
  <c r="O13" i="107" s="1"/>
  <c r="E12" i="107"/>
  <c r="M12" i="107" s="1"/>
  <c r="M11" i="107"/>
  <c r="E11" i="107"/>
  <c r="O11" i="107" s="1"/>
  <c r="K10" i="107"/>
  <c r="E10" i="107"/>
  <c r="M10" i="107" s="1"/>
  <c r="E9" i="107"/>
  <c r="O9" i="107" s="1"/>
  <c r="O8" i="107"/>
  <c r="K8" i="107"/>
  <c r="G8" i="107"/>
  <c r="E8" i="107"/>
  <c r="M8" i="107" s="1"/>
  <c r="E7" i="107"/>
  <c r="O7" i="107" s="1"/>
  <c r="M6" i="107"/>
  <c r="E6" i="107"/>
  <c r="K5" i="107"/>
  <c r="I5" i="107"/>
  <c r="E5" i="107"/>
  <c r="AD64" i="106"/>
  <c r="AC64" i="106"/>
  <c r="AB64" i="106"/>
  <c r="AA64" i="106"/>
  <c r="Z64" i="106"/>
  <c r="AC62" i="106"/>
  <c r="AB62" i="106"/>
  <c r="AA62" i="106"/>
  <c r="F55" i="106"/>
  <c r="G54" i="106"/>
  <c r="G53" i="106"/>
  <c r="G52" i="106"/>
  <c r="AX26" i="106"/>
  <c r="AW26" i="106"/>
  <c r="AV26" i="106"/>
  <c r="AU26" i="106"/>
  <c r="D8" i="105" s="1"/>
  <c r="AQ26" i="106"/>
  <c r="AP26" i="106"/>
  <c r="AO26" i="106"/>
  <c r="AN26" i="106"/>
  <c r="AJ26" i="106"/>
  <c r="AI26" i="106"/>
  <c r="AH26" i="106"/>
  <c r="AG26" i="106"/>
  <c r="Y26" i="106"/>
  <c r="AZ25" i="106"/>
  <c r="AS25" i="106"/>
  <c r="AL25" i="106"/>
  <c r="AA25" i="106"/>
  <c r="AE25" i="106" s="1"/>
  <c r="Y25" i="106"/>
  <c r="AZ24" i="106"/>
  <c r="AS24" i="106"/>
  <c r="AL24" i="106"/>
  <c r="Z24" i="106"/>
  <c r="AE24" i="106" s="1"/>
  <c r="Y24" i="106"/>
  <c r="X24" i="106"/>
  <c r="AZ23" i="106"/>
  <c r="AS23" i="106"/>
  <c r="AL23" i="106"/>
  <c r="AA23" i="106"/>
  <c r="Z23" i="106"/>
  <c r="Y23" i="106"/>
  <c r="X23" i="106"/>
  <c r="AZ22" i="106"/>
  <c r="AS22" i="106"/>
  <c r="AL22" i="106"/>
  <c r="AC22" i="106"/>
  <c r="AE22" i="106" s="1"/>
  <c r="V22" i="106"/>
  <c r="Y22" i="106" s="1"/>
  <c r="AZ21" i="106"/>
  <c r="AS21" i="106"/>
  <c r="AL21" i="106"/>
  <c r="AC21" i="106"/>
  <c r="Z21" i="106"/>
  <c r="X21" i="106"/>
  <c r="V21" i="106"/>
  <c r="Y21" i="106" s="1"/>
  <c r="AY20" i="106"/>
  <c r="AZ20" i="106" s="1"/>
  <c r="AR20" i="106"/>
  <c r="AS20" i="106" s="1"/>
  <c r="AK20" i="106"/>
  <c r="AK26" i="106" s="1"/>
  <c r="AD20" i="106"/>
  <c r="AC20" i="106"/>
  <c r="Z20" i="106"/>
  <c r="X20" i="106"/>
  <c r="V20" i="106"/>
  <c r="Y20" i="106" s="1"/>
  <c r="AZ19" i="106"/>
  <c r="AS19" i="106"/>
  <c r="AL19" i="106"/>
  <c r="AA19" i="106"/>
  <c r="AE19" i="106" s="1"/>
  <c r="Y19" i="106"/>
  <c r="AZ18" i="106"/>
  <c r="AS18" i="106"/>
  <c r="AL18" i="106"/>
  <c r="AD18" i="106"/>
  <c r="AB18" i="106"/>
  <c r="AA18" i="106"/>
  <c r="Y18" i="106"/>
  <c r="X18" i="106"/>
  <c r="AZ17" i="106"/>
  <c r="AS17" i="106"/>
  <c r="AL17" i="106"/>
  <c r="AB17" i="106"/>
  <c r="Z17" i="106"/>
  <c r="Y17" i="106"/>
  <c r="X17" i="106"/>
  <c r="H17" i="106"/>
  <c r="AZ16" i="106"/>
  <c r="AS16" i="106"/>
  <c r="AL16" i="106"/>
  <c r="AE16" i="106"/>
  <c r="Y16" i="106"/>
  <c r="AZ15" i="106"/>
  <c r="AS15" i="106"/>
  <c r="AL15" i="106"/>
  <c r="AC15" i="106"/>
  <c r="Z15" i="106"/>
  <c r="V15" i="106"/>
  <c r="Y15" i="106" s="1"/>
  <c r="AZ14" i="106"/>
  <c r="AS14" i="106"/>
  <c r="AL14" i="106"/>
  <c r="Z14" i="106"/>
  <c r="AE14" i="106" s="1"/>
  <c r="Y14" i="106"/>
  <c r="S14" i="106"/>
  <c r="AZ13" i="106"/>
  <c r="AS13" i="106"/>
  <c r="AL13" i="106"/>
  <c r="AE13" i="106"/>
  <c r="Y13" i="106"/>
  <c r="X13" i="106"/>
  <c r="AZ12" i="106"/>
  <c r="AS12" i="106"/>
  <c r="AL12" i="106"/>
  <c r="Z12" i="106"/>
  <c r="AE12" i="106" s="1"/>
  <c r="Y12" i="106"/>
  <c r="X12" i="106"/>
  <c r="AZ11" i="106"/>
  <c r="AS11" i="106"/>
  <c r="AL11" i="106"/>
  <c r="AE11" i="106"/>
  <c r="Y11" i="106"/>
  <c r="AZ10" i="106"/>
  <c r="AS10" i="106"/>
  <c r="AL10" i="106"/>
  <c r="AC10" i="106"/>
  <c r="AB10" i="106"/>
  <c r="Y10" i="106"/>
  <c r="AZ9" i="106"/>
  <c r="AS9" i="106"/>
  <c r="AL9" i="106"/>
  <c r="AE9" i="106"/>
  <c r="Y9" i="106"/>
  <c r="AZ8" i="106"/>
  <c r="AS8" i="106"/>
  <c r="AL8" i="106"/>
  <c r="AE8" i="106"/>
  <c r="Y8" i="106"/>
  <c r="AZ7" i="106"/>
  <c r="AS7" i="106"/>
  <c r="AL7" i="106"/>
  <c r="AC7" i="106"/>
  <c r="Z7" i="106"/>
  <c r="X7" i="106"/>
  <c r="V7" i="106"/>
  <c r="Y7" i="106" s="1"/>
  <c r="AA39" i="104"/>
  <c r="X39" i="104"/>
  <c r="D28" i="104"/>
  <c r="G25" i="104"/>
  <c r="F25" i="104"/>
  <c r="I125" i="113" l="1"/>
  <c r="I116" i="121"/>
  <c r="F110" i="121"/>
  <c r="I112" i="121"/>
  <c r="F126" i="113"/>
  <c r="J126" i="113" s="1"/>
  <c r="H12" i="112" s="1"/>
  <c r="J169" i="107"/>
  <c r="R169" i="107" s="1"/>
  <c r="H213" i="107"/>
  <c r="J162" i="107"/>
  <c r="R162" i="107" s="1"/>
  <c r="H206" i="107"/>
  <c r="J174" i="107"/>
  <c r="R174" i="107" s="1"/>
  <c r="H218" i="107"/>
  <c r="N139" i="107"/>
  <c r="O167" i="107"/>
  <c r="W167" i="107" s="1"/>
  <c r="R211" i="107"/>
  <c r="I39" i="107"/>
  <c r="L126" i="107"/>
  <c r="N212" i="107" s="1"/>
  <c r="D212" i="107"/>
  <c r="B6" i="105"/>
  <c r="B6" i="111"/>
  <c r="F6" i="111" s="1"/>
  <c r="G7" i="107"/>
  <c r="G12" i="107"/>
  <c r="G20" i="107"/>
  <c r="Q34" i="107"/>
  <c r="K36" i="107"/>
  <c r="G38" i="107"/>
  <c r="K39" i="107"/>
  <c r="I43" i="107"/>
  <c r="H152" i="107" s="1"/>
  <c r="G45" i="107"/>
  <c r="O46" i="107"/>
  <c r="N117" i="107"/>
  <c r="D203" i="107"/>
  <c r="P118" i="107"/>
  <c r="R121" i="107"/>
  <c r="F126" i="107"/>
  <c r="N131" i="107"/>
  <c r="J217" i="107" s="1"/>
  <c r="D217" i="107"/>
  <c r="P132" i="107"/>
  <c r="H134" i="107"/>
  <c r="H220" i="107" s="1"/>
  <c r="M167" i="107"/>
  <c r="U167" i="107" s="1"/>
  <c r="L127" i="107"/>
  <c r="N213" i="107" s="1"/>
  <c r="D213" i="107"/>
  <c r="B5" i="105"/>
  <c r="B5" i="111"/>
  <c r="F5" i="111" s="1"/>
  <c r="N120" i="107"/>
  <c r="J206" i="107" s="1"/>
  <c r="D206" i="107"/>
  <c r="D152" i="107"/>
  <c r="D216" i="107"/>
  <c r="AD26" i="106"/>
  <c r="AD66" i="106" s="1"/>
  <c r="M7" i="107"/>
  <c r="I9" i="107"/>
  <c r="I12" i="107"/>
  <c r="G15" i="107"/>
  <c r="I17" i="107"/>
  <c r="I20" i="107"/>
  <c r="I38" i="107"/>
  <c r="Q39" i="107"/>
  <c r="G42" i="107"/>
  <c r="K43" i="107"/>
  <c r="J152" i="107" s="1"/>
  <c r="M45" i="107"/>
  <c r="Q46" i="107"/>
  <c r="J120" i="107"/>
  <c r="L124" i="107"/>
  <c r="D210" i="107"/>
  <c r="F125" i="107"/>
  <c r="H126" i="107"/>
  <c r="H212" i="107" s="1"/>
  <c r="J127" i="107"/>
  <c r="F213" i="107" s="1"/>
  <c r="J173" i="107"/>
  <c r="R173" i="107" s="1"/>
  <c r="H217" i="107"/>
  <c r="J134" i="107"/>
  <c r="F220" i="107" s="1"/>
  <c r="O166" i="107"/>
  <c r="W166" i="107" s="1"/>
  <c r="R210" i="107"/>
  <c r="F127" i="107"/>
  <c r="L213" i="107" s="1"/>
  <c r="K9" i="107"/>
  <c r="K12" i="107"/>
  <c r="O15" i="107"/>
  <c r="K17" i="107"/>
  <c r="K20" i="107"/>
  <c r="K38" i="107"/>
  <c r="I42" i="107"/>
  <c r="H151" i="107" s="1"/>
  <c r="Q43" i="107"/>
  <c r="N152" i="107" s="1"/>
  <c r="K159" i="107"/>
  <c r="S159" i="107" s="1"/>
  <c r="F203" i="107"/>
  <c r="N119" i="107"/>
  <c r="J205" i="107" s="1"/>
  <c r="D205" i="107"/>
  <c r="P120" i="107"/>
  <c r="L123" i="107"/>
  <c r="N209" i="107" s="1"/>
  <c r="D209" i="107"/>
  <c r="J126" i="107"/>
  <c r="N127" i="107"/>
  <c r="J213" i="107" s="1"/>
  <c r="P134" i="107"/>
  <c r="N166" i="107"/>
  <c r="V166" i="107" s="1"/>
  <c r="P210" i="107"/>
  <c r="O12" i="107"/>
  <c r="O20" i="107"/>
  <c r="O38" i="107"/>
  <c r="R147" i="107" s="1"/>
  <c r="H119" i="107"/>
  <c r="H205" i="107" s="1"/>
  <c r="R120" i="107"/>
  <c r="R206" i="107" s="1"/>
  <c r="F123" i="107"/>
  <c r="L209" i="107" s="1"/>
  <c r="J166" i="107"/>
  <c r="R166" i="107" s="1"/>
  <c r="H210" i="107"/>
  <c r="K167" i="107"/>
  <c r="S167" i="107" s="1"/>
  <c r="F211" i="107"/>
  <c r="N126" i="107"/>
  <c r="P127" i="107"/>
  <c r="P213" i="107" s="1"/>
  <c r="R134" i="107"/>
  <c r="R220" i="107" s="1"/>
  <c r="O159" i="107"/>
  <c r="W159" i="107" s="1"/>
  <c r="R203" i="107"/>
  <c r="J165" i="107"/>
  <c r="R165" i="107" s="1"/>
  <c r="H209" i="107"/>
  <c r="P126" i="107"/>
  <c r="R127" i="107"/>
  <c r="R213" i="107" s="1"/>
  <c r="K175" i="107"/>
  <c r="S175" i="107" s="1"/>
  <c r="F219" i="107"/>
  <c r="D140" i="107"/>
  <c r="D7" i="105"/>
  <c r="F7" i="105" s="1"/>
  <c r="Q8" i="107"/>
  <c r="Q16" i="107"/>
  <c r="Q38" i="107"/>
  <c r="X26" i="106"/>
  <c r="I8" i="107"/>
  <c r="I13" i="107"/>
  <c r="I16" i="107"/>
  <c r="I21" i="107"/>
  <c r="K30" i="107"/>
  <c r="J139" i="107" s="1"/>
  <c r="I34" i="107"/>
  <c r="Q42" i="107"/>
  <c r="N151" i="107" s="1"/>
  <c r="K44" i="107"/>
  <c r="J153" i="107" s="1"/>
  <c r="G46" i="107"/>
  <c r="S46" i="107" s="1"/>
  <c r="K47" i="107"/>
  <c r="N118" i="107"/>
  <c r="J204" i="107" s="1"/>
  <c r="D204" i="107"/>
  <c r="P119" i="107"/>
  <c r="P205" i="107" s="1"/>
  <c r="H121" i="107"/>
  <c r="H207" i="107" s="1"/>
  <c r="J123" i="107"/>
  <c r="F209" i="107" s="1"/>
  <c r="R126" i="107"/>
  <c r="N132" i="107"/>
  <c r="J218" i="107" s="1"/>
  <c r="D218" i="107"/>
  <c r="P133" i="107"/>
  <c r="P219" i="107" s="1"/>
  <c r="F114" i="113"/>
  <c r="J114" i="113" s="1"/>
  <c r="H6" i="112" s="1"/>
  <c r="F111" i="121"/>
  <c r="I128" i="113"/>
  <c r="J128" i="113" s="1"/>
  <c r="H14" i="112" s="1"/>
  <c r="F119" i="113"/>
  <c r="I124" i="113"/>
  <c r="R124" i="113" s="1"/>
  <c r="T124" i="113" s="1"/>
  <c r="I119" i="113"/>
  <c r="I127" i="113"/>
  <c r="R127" i="113" s="1"/>
  <c r="T127" i="113" s="1"/>
  <c r="F121" i="121"/>
  <c r="I109" i="121"/>
  <c r="I107" i="121"/>
  <c r="I119" i="121"/>
  <c r="I120" i="121"/>
  <c r="F113" i="121"/>
  <c r="F120" i="121"/>
  <c r="F123" i="121"/>
  <c r="F115" i="121"/>
  <c r="F118" i="121"/>
  <c r="F116" i="121"/>
  <c r="I117" i="121"/>
  <c r="I118" i="121"/>
  <c r="F112" i="121"/>
  <c r="H125" i="121"/>
  <c r="I121" i="113"/>
  <c r="R121" i="113" s="1"/>
  <c r="T121" i="113" s="1"/>
  <c r="G125" i="121"/>
  <c r="I106" i="121"/>
  <c r="F107" i="121"/>
  <c r="I121" i="121"/>
  <c r="F109" i="121"/>
  <c r="F122" i="121"/>
  <c r="I122" i="121"/>
  <c r="I111" i="121"/>
  <c r="I115" i="121"/>
  <c r="I110" i="121"/>
  <c r="J110" i="121" s="1"/>
  <c r="I113" i="121"/>
  <c r="E125" i="121"/>
  <c r="I108" i="121"/>
  <c r="I123" i="121"/>
  <c r="F117" i="121"/>
  <c r="I114" i="121"/>
  <c r="F114" i="121"/>
  <c r="F108" i="121"/>
  <c r="F106" i="121"/>
  <c r="D125" i="121"/>
  <c r="F119" i="121"/>
  <c r="I113" i="113"/>
  <c r="J113" i="113" s="1"/>
  <c r="H5" i="112" s="1"/>
  <c r="F120" i="113"/>
  <c r="R120" i="113" s="1"/>
  <c r="T120" i="113" s="1"/>
  <c r="E131" i="113"/>
  <c r="D131" i="113"/>
  <c r="F115" i="113"/>
  <c r="R115" i="113" s="1"/>
  <c r="T115" i="113" s="1"/>
  <c r="R116" i="113"/>
  <c r="T116" i="113" s="1"/>
  <c r="R129" i="113"/>
  <c r="T129" i="113" s="1"/>
  <c r="R117" i="113"/>
  <c r="T117" i="113" s="1"/>
  <c r="G131" i="113"/>
  <c r="R118" i="113"/>
  <c r="T118" i="113" s="1"/>
  <c r="J118" i="113"/>
  <c r="H22" i="112" s="1"/>
  <c r="R122" i="113"/>
  <c r="T122" i="113" s="1"/>
  <c r="H131" i="113"/>
  <c r="J122" i="113"/>
  <c r="H11" i="112" s="1"/>
  <c r="J129" i="113"/>
  <c r="H15" i="112" s="1"/>
  <c r="J117" i="113"/>
  <c r="H17" i="112" s="1"/>
  <c r="J116" i="113"/>
  <c r="H8" i="112" s="1"/>
  <c r="AN131" i="113"/>
  <c r="R112" i="113"/>
  <c r="J112" i="113"/>
  <c r="R123" i="113"/>
  <c r="T123" i="113" s="1"/>
  <c r="J123" i="113"/>
  <c r="H18" i="112" s="1"/>
  <c r="J125" i="113"/>
  <c r="H20" i="112" s="1"/>
  <c r="R125" i="113"/>
  <c r="T125" i="113" s="1"/>
  <c r="AY26" i="106"/>
  <c r="AE18" i="106"/>
  <c r="G55" i="106"/>
  <c r="AA26" i="106"/>
  <c r="AA59" i="106" s="1"/>
  <c r="AI61" i="106"/>
  <c r="AZ26" i="106"/>
  <c r="F8" i="105"/>
  <c r="AL20" i="106"/>
  <c r="AC26" i="106"/>
  <c r="AC59" i="106" s="1"/>
  <c r="AE20" i="106"/>
  <c r="AL26" i="106"/>
  <c r="AB26" i="106"/>
  <c r="AB59" i="106" s="1"/>
  <c r="AE17" i="106"/>
  <c r="AE64" i="106"/>
  <c r="AE15" i="106"/>
  <c r="AE21" i="106"/>
  <c r="AR26" i="106"/>
  <c r="AS26" i="106" s="1"/>
  <c r="P113" i="108"/>
  <c r="P117" i="108"/>
  <c r="P129" i="108"/>
  <c r="V117" i="108"/>
  <c r="V125" i="108"/>
  <c r="P115" i="108"/>
  <c r="W118" i="108"/>
  <c r="V115" i="108"/>
  <c r="W113" i="108"/>
  <c r="P114" i="108"/>
  <c r="W117" i="108"/>
  <c r="P118" i="108"/>
  <c r="W121" i="108"/>
  <c r="P122" i="108"/>
  <c r="W125" i="108"/>
  <c r="P126" i="108"/>
  <c r="W129" i="108"/>
  <c r="L112" i="108"/>
  <c r="L113" i="108"/>
  <c r="L6" i="108"/>
  <c r="D112" i="108" s="1"/>
  <c r="L76" i="108"/>
  <c r="N76" i="108" s="1"/>
  <c r="L80" i="108"/>
  <c r="H120" i="108" s="1"/>
  <c r="L84" i="108"/>
  <c r="N84" i="108" s="1"/>
  <c r="N72" i="108"/>
  <c r="L88" i="108"/>
  <c r="H128" i="108" s="1"/>
  <c r="W115" i="108"/>
  <c r="P116" i="108"/>
  <c r="W119" i="108"/>
  <c r="P120" i="108"/>
  <c r="W123" i="108"/>
  <c r="P124" i="108"/>
  <c r="W127" i="108"/>
  <c r="P128" i="108"/>
  <c r="L120" i="108"/>
  <c r="M120" i="108" s="1"/>
  <c r="L121" i="108"/>
  <c r="L124" i="108"/>
  <c r="L125" i="108"/>
  <c r="M125" i="108" s="1"/>
  <c r="L128" i="108"/>
  <c r="M128" i="108" s="1"/>
  <c r="L129" i="108"/>
  <c r="M129" i="108" s="1"/>
  <c r="L116" i="108"/>
  <c r="L117" i="108"/>
  <c r="W116" i="108"/>
  <c r="P121" i="108"/>
  <c r="L22" i="108"/>
  <c r="D128" i="108" s="1"/>
  <c r="L19" i="108"/>
  <c r="D125" i="108" s="1"/>
  <c r="L17" i="108"/>
  <c r="D123" i="108" s="1"/>
  <c r="L10" i="108"/>
  <c r="D116" i="108" s="1"/>
  <c r="L9" i="108"/>
  <c r="D115" i="108" s="1"/>
  <c r="L20" i="108"/>
  <c r="D126" i="108" s="1"/>
  <c r="L15" i="108"/>
  <c r="D121" i="108" s="1"/>
  <c r="L13" i="108"/>
  <c r="D119" i="108" s="1"/>
  <c r="L8" i="108"/>
  <c r="D114" i="108" s="1"/>
  <c r="K114" i="108"/>
  <c r="L29" i="108"/>
  <c r="G113" i="108" s="1"/>
  <c r="L33" i="108"/>
  <c r="N33" i="108" s="1"/>
  <c r="L37" i="108"/>
  <c r="G121" i="108" s="1"/>
  <c r="L41" i="108"/>
  <c r="G125" i="108" s="1"/>
  <c r="L45" i="108"/>
  <c r="G129" i="108" s="1"/>
  <c r="K124" i="108"/>
  <c r="K116" i="108"/>
  <c r="L14" i="108"/>
  <c r="D120" i="108" s="1"/>
  <c r="V123" i="108"/>
  <c r="K115" i="108"/>
  <c r="L23" i="108"/>
  <c r="D129" i="108" s="1"/>
  <c r="L28" i="108"/>
  <c r="G112" i="108" s="1"/>
  <c r="L74" i="108"/>
  <c r="H114" i="108" s="1"/>
  <c r="W114" i="108"/>
  <c r="L78" i="108"/>
  <c r="N78" i="108" s="1"/>
  <c r="L82" i="108"/>
  <c r="H122" i="108" s="1"/>
  <c r="L86" i="108"/>
  <c r="H126" i="108" s="1"/>
  <c r="W126" i="108"/>
  <c r="K112" i="108"/>
  <c r="L31" i="108"/>
  <c r="G115" i="108" s="1"/>
  <c r="L35" i="108"/>
  <c r="G119" i="108" s="1"/>
  <c r="L39" i="108"/>
  <c r="G123" i="108" s="1"/>
  <c r="L43" i="108"/>
  <c r="N43" i="108" s="1"/>
  <c r="L51" i="108"/>
  <c r="E113" i="108" s="1"/>
  <c r="L115" i="108"/>
  <c r="L55" i="108"/>
  <c r="E117" i="108" s="1"/>
  <c r="L119" i="108"/>
  <c r="L59" i="108"/>
  <c r="E121" i="108" s="1"/>
  <c r="L123" i="108"/>
  <c r="L63" i="108"/>
  <c r="E125" i="108" s="1"/>
  <c r="L127" i="108"/>
  <c r="O131" i="108"/>
  <c r="H40" i="104"/>
  <c r="H39" i="104"/>
  <c r="K113" i="108"/>
  <c r="V113" i="108"/>
  <c r="K117" i="108"/>
  <c r="K127" i="108"/>
  <c r="N131" i="108"/>
  <c r="P112" i="108"/>
  <c r="L7" i="108"/>
  <c r="L11" i="108"/>
  <c r="L21" i="108"/>
  <c r="L61" i="108"/>
  <c r="E123" i="108" s="1"/>
  <c r="L12" i="108"/>
  <c r="K119" i="108"/>
  <c r="L18" i="108"/>
  <c r="W112" i="108"/>
  <c r="L30" i="108"/>
  <c r="L32" i="108"/>
  <c r="L34" i="108"/>
  <c r="L36" i="108"/>
  <c r="L38" i="108"/>
  <c r="L40" i="108"/>
  <c r="L42" i="108"/>
  <c r="L44" i="108"/>
  <c r="V120" i="108"/>
  <c r="V124" i="108"/>
  <c r="L67" i="108"/>
  <c r="L73" i="108"/>
  <c r="L75" i="108"/>
  <c r="L77" i="108"/>
  <c r="L79" i="108"/>
  <c r="L81" i="108"/>
  <c r="L83" i="108"/>
  <c r="L85" i="108"/>
  <c r="L87" i="108"/>
  <c r="L89" i="108"/>
  <c r="V114" i="108"/>
  <c r="L53" i="108"/>
  <c r="E115" i="108" s="1"/>
  <c r="L57" i="108"/>
  <c r="E119" i="108" s="1"/>
  <c r="L65" i="108"/>
  <c r="E127" i="108" s="1"/>
  <c r="V121" i="108"/>
  <c r="L52" i="108"/>
  <c r="E114" i="108" s="1"/>
  <c r="L114" i="108"/>
  <c r="L56" i="108"/>
  <c r="E118" i="108" s="1"/>
  <c r="L118" i="108"/>
  <c r="L60" i="108"/>
  <c r="E122" i="108" s="1"/>
  <c r="L122" i="108"/>
  <c r="M122" i="108" s="1"/>
  <c r="L64" i="108"/>
  <c r="E126" i="108" s="1"/>
  <c r="L126" i="108"/>
  <c r="M126" i="108" s="1"/>
  <c r="K118" i="108"/>
  <c r="K121" i="108"/>
  <c r="L16" i="108"/>
  <c r="N16" i="108" s="1"/>
  <c r="K123" i="108"/>
  <c r="V129" i="108"/>
  <c r="P119" i="108"/>
  <c r="W120" i="108"/>
  <c r="W122" i="108"/>
  <c r="P123" i="108"/>
  <c r="W124" i="108"/>
  <c r="P125" i="108"/>
  <c r="P127" i="108"/>
  <c r="W128" i="108"/>
  <c r="L50" i="108"/>
  <c r="E112" i="108" s="1"/>
  <c r="L54" i="108"/>
  <c r="E116" i="108" s="1"/>
  <c r="L58" i="108"/>
  <c r="E120" i="108" s="1"/>
  <c r="L62" i="108"/>
  <c r="E124" i="108" s="1"/>
  <c r="L66" i="108"/>
  <c r="E128" i="108" s="1"/>
  <c r="Q20" i="107"/>
  <c r="I14" i="107"/>
  <c r="O14" i="107"/>
  <c r="G14" i="107"/>
  <c r="M14" i="107"/>
  <c r="K14" i="107"/>
  <c r="Q40" i="107"/>
  <c r="I40" i="107"/>
  <c r="H149" i="107" s="1"/>
  <c r="O40" i="107"/>
  <c r="G40" i="107"/>
  <c r="D149" i="107"/>
  <c r="M40" i="107"/>
  <c r="K40" i="107"/>
  <c r="J149" i="107" s="1"/>
  <c r="Q12" i="107"/>
  <c r="K19" i="107"/>
  <c r="I19" i="107"/>
  <c r="O19" i="107"/>
  <c r="M19" i="107"/>
  <c r="G19" i="107"/>
  <c r="K33" i="107"/>
  <c r="J142" i="107" s="1"/>
  <c r="Q33" i="107"/>
  <c r="N142" i="107" s="1"/>
  <c r="I33" i="107"/>
  <c r="H142" i="107" s="1"/>
  <c r="O33" i="107"/>
  <c r="M33" i="107"/>
  <c r="D142" i="107"/>
  <c r="G33" i="107"/>
  <c r="K7" i="107"/>
  <c r="I7" i="107"/>
  <c r="Q7" i="107" s="1"/>
  <c r="I18" i="107"/>
  <c r="O18" i="107"/>
  <c r="G18" i="107"/>
  <c r="K23" i="107"/>
  <c r="I23" i="107"/>
  <c r="Q36" i="107"/>
  <c r="N145" i="107" s="1"/>
  <c r="I36" i="107"/>
  <c r="H145" i="107" s="1"/>
  <c r="O36" i="107"/>
  <c r="G36" i="107"/>
  <c r="F145" i="107" s="1"/>
  <c r="F151" i="107"/>
  <c r="S42" i="107"/>
  <c r="K45" i="107"/>
  <c r="J154" i="107" s="1"/>
  <c r="D154" i="107"/>
  <c r="Q45" i="107"/>
  <c r="I45" i="107"/>
  <c r="H154" i="107" s="1"/>
  <c r="N159" i="107"/>
  <c r="V159" i="107" s="1"/>
  <c r="P139" i="107"/>
  <c r="J140" i="107"/>
  <c r="K160" i="107"/>
  <c r="S160" i="107" s="1"/>
  <c r="J161" i="107"/>
  <c r="R161" i="107" s="1"/>
  <c r="H141" i="107"/>
  <c r="M162" i="107"/>
  <c r="U162" i="107" s="1"/>
  <c r="P143" i="107"/>
  <c r="N163" i="107"/>
  <c r="V163" i="107" s="1"/>
  <c r="N165" i="107"/>
  <c r="V165" i="107" s="1"/>
  <c r="P145" i="107"/>
  <c r="L168" i="107"/>
  <c r="T168" i="107" s="1"/>
  <c r="I169" i="107"/>
  <c r="Q169" i="107" s="1"/>
  <c r="N169" i="107"/>
  <c r="V169" i="107" s="1"/>
  <c r="P149" i="107"/>
  <c r="N173" i="107"/>
  <c r="V173" i="107" s="1"/>
  <c r="P153" i="107"/>
  <c r="K174" i="107"/>
  <c r="S174" i="107" s="1"/>
  <c r="H155" i="107"/>
  <c r="J175" i="107"/>
  <c r="R175" i="107" s="1"/>
  <c r="N148" i="107"/>
  <c r="I165" i="107"/>
  <c r="Q165" i="107" s="1"/>
  <c r="E24" i="107"/>
  <c r="L25" i="107" s="1"/>
  <c r="I6" i="107"/>
  <c r="O6" i="107"/>
  <c r="G6" i="107"/>
  <c r="K11" i="107"/>
  <c r="I11" i="107"/>
  <c r="I22" i="107"/>
  <c r="O22" i="107"/>
  <c r="G22" i="107"/>
  <c r="D141" i="107"/>
  <c r="Q32" i="107"/>
  <c r="I32" i="107"/>
  <c r="O32" i="107"/>
  <c r="G32" i="107"/>
  <c r="S38" i="107"/>
  <c r="F147" i="107"/>
  <c r="K41" i="107"/>
  <c r="J150" i="107" s="1"/>
  <c r="D150" i="107"/>
  <c r="Q41" i="107"/>
  <c r="N150" i="107" s="1"/>
  <c r="I41" i="107"/>
  <c r="H150" i="107" s="1"/>
  <c r="E48" i="107"/>
  <c r="P49" i="107" s="1"/>
  <c r="K6" i="107"/>
  <c r="I10" i="107"/>
  <c r="O10" i="107"/>
  <c r="G10" i="107"/>
  <c r="G11" i="107"/>
  <c r="K15" i="107"/>
  <c r="I15" i="107"/>
  <c r="K22" i="107"/>
  <c r="H25" i="107"/>
  <c r="N25" i="107"/>
  <c r="K32" i="107"/>
  <c r="J141" i="107" s="1"/>
  <c r="S34" i="107"/>
  <c r="K37" i="107"/>
  <c r="Q37" i="107"/>
  <c r="N146" i="107" s="1"/>
  <c r="I37" i="107"/>
  <c r="H146" i="107" s="1"/>
  <c r="D146" i="107"/>
  <c r="G41" i="107"/>
  <c r="Q44" i="107"/>
  <c r="N153" i="107" s="1"/>
  <c r="I44" i="107"/>
  <c r="H153" i="107" s="1"/>
  <c r="O44" i="107"/>
  <c r="R153" i="107" s="1"/>
  <c r="G44" i="107"/>
  <c r="H140" i="107"/>
  <c r="D145" i="107"/>
  <c r="K110" i="107"/>
  <c r="O173" i="107"/>
  <c r="W173" i="107" s="1"/>
  <c r="H156" i="107"/>
  <c r="J176" i="107"/>
  <c r="R176" i="107" s="1"/>
  <c r="P140" i="107"/>
  <c r="M5" i="107"/>
  <c r="M9" i="107"/>
  <c r="M13" i="107"/>
  <c r="M17" i="107"/>
  <c r="M21" i="107"/>
  <c r="M31" i="107"/>
  <c r="M35" i="107"/>
  <c r="L144" i="107" s="1"/>
  <c r="M39" i="107"/>
  <c r="L148" i="107" s="1"/>
  <c r="M43" i="107"/>
  <c r="L152" i="107" s="1"/>
  <c r="M47" i="107"/>
  <c r="J159" i="107"/>
  <c r="R159" i="107" s="1"/>
  <c r="H139" i="107"/>
  <c r="M160" i="107"/>
  <c r="U160" i="107" s="1"/>
  <c r="N140" i="107"/>
  <c r="R140" i="107"/>
  <c r="N161" i="107"/>
  <c r="V161" i="107" s="1"/>
  <c r="P141" i="107"/>
  <c r="H143" i="107"/>
  <c r="J163" i="107"/>
  <c r="R163" i="107" s="1"/>
  <c r="D144" i="107"/>
  <c r="M166" i="107"/>
  <c r="U166" i="107" s="1"/>
  <c r="P147" i="107"/>
  <c r="N167" i="107"/>
  <c r="V167" i="107" s="1"/>
  <c r="J168" i="107"/>
  <c r="R168" i="107" s="1"/>
  <c r="H148" i="107"/>
  <c r="M174" i="107"/>
  <c r="U174" i="107" s="1"/>
  <c r="N154" i="107"/>
  <c r="O174" i="107"/>
  <c r="W174" i="107" s="1"/>
  <c r="R154" i="107"/>
  <c r="P155" i="107"/>
  <c r="N175" i="107"/>
  <c r="V175" i="107" s="1"/>
  <c r="K176" i="107"/>
  <c r="S176" i="107" s="1"/>
  <c r="J156" i="107"/>
  <c r="P146" i="107"/>
  <c r="F148" i="107"/>
  <c r="J160" i="107"/>
  <c r="R160" i="107" s="1"/>
  <c r="N176" i="107"/>
  <c r="V176" i="107" s="1"/>
  <c r="K161" i="107"/>
  <c r="S161" i="107" s="1"/>
  <c r="J146" i="107"/>
  <c r="N147" i="107"/>
  <c r="J155" i="107"/>
  <c r="G5" i="107"/>
  <c r="O5" i="107"/>
  <c r="G9" i="107"/>
  <c r="G13" i="107"/>
  <c r="Q13" i="107" s="1"/>
  <c r="G17" i="107"/>
  <c r="G21" i="107"/>
  <c r="Q21" i="107" s="1"/>
  <c r="U46" i="107" s="1"/>
  <c r="G31" i="107"/>
  <c r="G35" i="107"/>
  <c r="G39" i="107"/>
  <c r="O39" i="107"/>
  <c r="G43" i="107"/>
  <c r="G47" i="107"/>
  <c r="O161" i="107"/>
  <c r="W161" i="107" s="1"/>
  <c r="R141" i="107"/>
  <c r="K163" i="107"/>
  <c r="S163" i="107" s="1"/>
  <c r="J143" i="107"/>
  <c r="L145" i="107"/>
  <c r="L165" i="107"/>
  <c r="T165" i="107" s="1"/>
  <c r="M165" i="107"/>
  <c r="U165" i="107" s="1"/>
  <c r="I166" i="107"/>
  <c r="Q166" i="107" s="1"/>
  <c r="F146" i="107"/>
  <c r="H147" i="107"/>
  <c r="J167" i="107"/>
  <c r="R167" i="107" s="1"/>
  <c r="L149" i="107"/>
  <c r="L169" i="107"/>
  <c r="T169" i="107" s="1"/>
  <c r="N149" i="107"/>
  <c r="M169" i="107"/>
  <c r="U169" i="107" s="1"/>
  <c r="D151" i="107"/>
  <c r="K173" i="107"/>
  <c r="S173" i="107" s="1"/>
  <c r="O175" i="107"/>
  <c r="W175" i="107" s="1"/>
  <c r="R155" i="107"/>
  <c r="R139" i="107"/>
  <c r="R143" i="107"/>
  <c r="L146" i="107"/>
  <c r="P154" i="107"/>
  <c r="O160" i="107"/>
  <c r="W160" i="107" s="1"/>
  <c r="N168" i="107"/>
  <c r="V168" i="107" s="1"/>
  <c r="L117" i="107"/>
  <c r="N203" i="107" s="1"/>
  <c r="L118" i="107"/>
  <c r="N204" i="107" s="1"/>
  <c r="L119" i="107"/>
  <c r="N205" i="107" s="1"/>
  <c r="L120" i="107"/>
  <c r="N206" i="107" s="1"/>
  <c r="D143" i="107"/>
  <c r="L121" i="107"/>
  <c r="N207" i="107" s="1"/>
  <c r="K165" i="107"/>
  <c r="S165" i="107" s="1"/>
  <c r="J145" i="107"/>
  <c r="O165" i="107"/>
  <c r="W165" i="107" s="1"/>
  <c r="R145" i="107"/>
  <c r="K169" i="107"/>
  <c r="S169" i="107" s="1"/>
  <c r="O169" i="107"/>
  <c r="W169" i="107" s="1"/>
  <c r="R149" i="107"/>
  <c r="L131" i="107"/>
  <c r="N217" i="107" s="1"/>
  <c r="L132" i="107"/>
  <c r="N218" i="107" s="1"/>
  <c r="D155" i="107"/>
  <c r="L133" i="107"/>
  <c r="N219" i="107" s="1"/>
  <c r="D156" i="107"/>
  <c r="L134" i="107"/>
  <c r="N220" i="107" s="1"/>
  <c r="D139" i="107"/>
  <c r="R146" i="107"/>
  <c r="D153" i="107"/>
  <c r="F117" i="107"/>
  <c r="L203" i="107" s="1"/>
  <c r="F118" i="107"/>
  <c r="L204" i="107" s="1"/>
  <c r="F119" i="107"/>
  <c r="L205" i="107" s="1"/>
  <c r="F120" i="107"/>
  <c r="L206" i="107" s="1"/>
  <c r="F121" i="107"/>
  <c r="L207" i="107" s="1"/>
  <c r="N121" i="107"/>
  <c r="J207" i="107" s="1"/>
  <c r="D147" i="107"/>
  <c r="L125" i="107"/>
  <c r="N211" i="107" s="1"/>
  <c r="F131" i="107"/>
  <c r="L217" i="107" s="1"/>
  <c r="F132" i="107"/>
  <c r="L218" i="107" s="1"/>
  <c r="F133" i="107"/>
  <c r="L219" i="107" s="1"/>
  <c r="N133" i="107"/>
  <c r="J219" i="107" s="1"/>
  <c r="F134" i="107"/>
  <c r="L220" i="107" s="1"/>
  <c r="N134" i="107"/>
  <c r="J220" i="107" s="1"/>
  <c r="J147" i="107"/>
  <c r="AL61" i="106"/>
  <c r="Z26" i="106"/>
  <c r="AE7" i="106"/>
  <c r="AE23" i="106"/>
  <c r="AE10" i="106"/>
  <c r="J25" i="104"/>
  <c r="F11" i="103"/>
  <c r="F10" i="103"/>
  <c r="R116" i="121" l="1"/>
  <c r="T116" i="121" s="1"/>
  <c r="R126" i="113"/>
  <c r="T126" i="113" s="1"/>
  <c r="H7" i="120"/>
  <c r="R114" i="113"/>
  <c r="T114" i="113" s="1"/>
  <c r="J115" i="121"/>
  <c r="J124" i="113"/>
  <c r="H19" i="112" s="1"/>
  <c r="Q19" i="112" s="1"/>
  <c r="R128" i="113"/>
  <c r="T128" i="113" s="1"/>
  <c r="J111" i="121"/>
  <c r="D9" i="105"/>
  <c r="F9" i="105" s="1"/>
  <c r="P156" i="107"/>
  <c r="P220" i="107"/>
  <c r="I168" i="107"/>
  <c r="Q168" i="107" s="1"/>
  <c r="L212" i="107"/>
  <c r="J148" i="107"/>
  <c r="S47" i="107"/>
  <c r="M168" i="107"/>
  <c r="U168" i="107" s="1"/>
  <c r="J212" i="107"/>
  <c r="O163" i="107"/>
  <c r="W163" i="107" s="1"/>
  <c r="R207" i="107"/>
  <c r="R212" i="107"/>
  <c r="O168" i="107"/>
  <c r="W168" i="107" s="1"/>
  <c r="Q9" i="107"/>
  <c r="U34" i="107" s="1"/>
  <c r="Q15" i="107"/>
  <c r="P148" i="107"/>
  <c r="P212" i="107"/>
  <c r="K168" i="107"/>
  <c r="S168" i="107" s="1"/>
  <c r="F212" i="107"/>
  <c r="I167" i="107"/>
  <c r="Q167" i="107" s="1"/>
  <c r="L211" i="107"/>
  <c r="N160" i="107"/>
  <c r="V160" i="107" s="1"/>
  <c r="P204" i="107"/>
  <c r="M161" i="107"/>
  <c r="U161" i="107" s="1"/>
  <c r="N141" i="107"/>
  <c r="R148" i="107"/>
  <c r="R156" i="107"/>
  <c r="S40" i="107"/>
  <c r="S30" i="107"/>
  <c r="P52" i="107"/>
  <c r="O176" i="107"/>
  <c r="W176" i="107" s="1"/>
  <c r="R142" i="107"/>
  <c r="K24" i="107"/>
  <c r="L166" i="107"/>
  <c r="T166" i="107" s="1"/>
  <c r="N210" i="107"/>
  <c r="M159" i="107"/>
  <c r="U159" i="107" s="1"/>
  <c r="J203" i="107"/>
  <c r="Q18" i="107"/>
  <c r="N162" i="107"/>
  <c r="V162" i="107" s="1"/>
  <c r="P206" i="107"/>
  <c r="P142" i="107"/>
  <c r="F206" i="107"/>
  <c r="K162" i="107"/>
  <c r="S162" i="107" s="1"/>
  <c r="N174" i="107"/>
  <c r="V174" i="107" s="1"/>
  <c r="P218" i="107"/>
  <c r="Q6" i="107"/>
  <c r="U31" i="107" s="1"/>
  <c r="O162" i="107"/>
  <c r="W162" i="107" s="1"/>
  <c r="S31" i="107"/>
  <c r="M173" i="107"/>
  <c r="U173" i="107" s="1"/>
  <c r="R119" i="113"/>
  <c r="T119" i="113" s="1"/>
  <c r="J119" i="113"/>
  <c r="H9" i="112" s="1"/>
  <c r="Q9" i="112" s="1"/>
  <c r="J127" i="113"/>
  <c r="H13" i="112" s="1"/>
  <c r="Q13" i="112" s="1"/>
  <c r="R121" i="121"/>
  <c r="T121" i="121" s="1"/>
  <c r="J121" i="113"/>
  <c r="H10" i="112" s="1"/>
  <c r="Q10" i="112" s="1"/>
  <c r="R113" i="113"/>
  <c r="T113" i="113" s="1"/>
  <c r="I131" i="113"/>
  <c r="J120" i="113"/>
  <c r="H23" i="112" s="1"/>
  <c r="Q5" i="112"/>
  <c r="J115" i="113"/>
  <c r="H7" i="112" s="1"/>
  <c r="J120" i="121"/>
  <c r="J123" i="121"/>
  <c r="J118" i="121"/>
  <c r="J113" i="121"/>
  <c r="R120" i="121"/>
  <c r="T120" i="121" s="1"/>
  <c r="J116" i="121"/>
  <c r="R118" i="121"/>
  <c r="T118" i="121" s="1"/>
  <c r="R123" i="121"/>
  <c r="T123" i="121" s="1"/>
  <c r="R110" i="121"/>
  <c r="T110" i="121" s="1"/>
  <c r="J121" i="121"/>
  <c r="J108" i="121"/>
  <c r="J119" i="121"/>
  <c r="R119" i="121"/>
  <c r="T119" i="121" s="1"/>
  <c r="R108" i="121"/>
  <c r="T108" i="121" s="1"/>
  <c r="R113" i="121"/>
  <c r="T113" i="121" s="1"/>
  <c r="J122" i="121"/>
  <c r="R122" i="121"/>
  <c r="T122" i="121" s="1"/>
  <c r="R111" i="121"/>
  <c r="T111" i="121" s="1"/>
  <c r="J114" i="121"/>
  <c r="R114" i="121"/>
  <c r="T114" i="121" s="1"/>
  <c r="R109" i="121"/>
  <c r="T109" i="121" s="1"/>
  <c r="J109" i="121"/>
  <c r="F125" i="121"/>
  <c r="J106" i="121"/>
  <c r="R106" i="121"/>
  <c r="J117" i="121"/>
  <c r="R117" i="121"/>
  <c r="T117" i="121" s="1"/>
  <c r="R107" i="121"/>
  <c r="T107" i="121" s="1"/>
  <c r="J107" i="121"/>
  <c r="R115" i="121"/>
  <c r="T115" i="121" s="1"/>
  <c r="J112" i="121"/>
  <c r="R112" i="121"/>
  <c r="T112" i="121" s="1"/>
  <c r="I125" i="121"/>
  <c r="F131" i="113"/>
  <c r="Q17" i="112"/>
  <c r="Q8" i="112"/>
  <c r="Q22" i="112"/>
  <c r="Q6" i="112"/>
  <c r="Q15" i="112"/>
  <c r="Q11" i="112"/>
  <c r="T112" i="113"/>
  <c r="H4" i="112"/>
  <c r="Q14" i="112"/>
  <c r="Q20" i="112"/>
  <c r="Q18" i="112"/>
  <c r="Q12" i="112"/>
  <c r="X129" i="108"/>
  <c r="X113" i="108"/>
  <c r="Q129" i="108"/>
  <c r="I15" i="104" s="1"/>
  <c r="M118" i="108"/>
  <c r="Q118" i="108" s="1"/>
  <c r="I22" i="104" s="1"/>
  <c r="M112" i="108"/>
  <c r="Q112" i="108" s="1"/>
  <c r="I4" i="104" s="1"/>
  <c r="Q122" i="108"/>
  <c r="I11" i="104" s="1"/>
  <c r="X117" i="108"/>
  <c r="M113" i="108"/>
  <c r="Q113" i="108" s="1"/>
  <c r="I5" i="104" s="1"/>
  <c r="Q126" i="108"/>
  <c r="I12" i="104" s="1"/>
  <c r="X121" i="108"/>
  <c r="X125" i="108"/>
  <c r="M121" i="108"/>
  <c r="Q121" i="108" s="1"/>
  <c r="I10" i="104" s="1"/>
  <c r="Q120" i="108"/>
  <c r="I23" i="104" s="1"/>
  <c r="F112" i="108"/>
  <c r="M119" i="108"/>
  <c r="Q119" i="108" s="1"/>
  <c r="I9" i="104" s="1"/>
  <c r="F116" i="108"/>
  <c r="Q128" i="108"/>
  <c r="I14" i="104" s="1"/>
  <c r="H116" i="108"/>
  <c r="N86" i="108"/>
  <c r="M117" i="108"/>
  <c r="Q117" i="108" s="1"/>
  <c r="I17" i="104" s="1"/>
  <c r="X123" i="108"/>
  <c r="F126" i="108"/>
  <c r="X115" i="108"/>
  <c r="N39" i="108"/>
  <c r="H124" i="108"/>
  <c r="G127" i="108"/>
  <c r="N6" i="108"/>
  <c r="N41" i="108"/>
  <c r="M116" i="108"/>
  <c r="Q116" i="108" s="1"/>
  <c r="I8" i="104" s="1"/>
  <c r="H118" i="108"/>
  <c r="N37" i="108"/>
  <c r="M124" i="108"/>
  <c r="Q124" i="108" s="1"/>
  <c r="I19" i="104" s="1"/>
  <c r="N29" i="108"/>
  <c r="N45" i="108"/>
  <c r="F121" i="108"/>
  <c r="N88" i="108"/>
  <c r="N80" i="108"/>
  <c r="H112" i="108"/>
  <c r="I112" i="108" s="1"/>
  <c r="N28" i="108"/>
  <c r="F119" i="108"/>
  <c r="F128" i="108"/>
  <c r="Q125" i="108"/>
  <c r="I20" i="104" s="1"/>
  <c r="V128" i="108"/>
  <c r="X128" i="108" s="1"/>
  <c r="N82" i="108"/>
  <c r="V126" i="108"/>
  <c r="X126" i="108" s="1"/>
  <c r="X114" i="108"/>
  <c r="N74" i="108"/>
  <c r="F125" i="108"/>
  <c r="G117" i="108"/>
  <c r="F123" i="108"/>
  <c r="V112" i="108"/>
  <c r="X112" i="108" s="1"/>
  <c r="N35" i="108"/>
  <c r="M123" i="108"/>
  <c r="Q123" i="108" s="1"/>
  <c r="I18" i="104" s="1"/>
  <c r="X124" i="108"/>
  <c r="V127" i="108"/>
  <c r="X127" i="108" s="1"/>
  <c r="N10" i="108"/>
  <c r="N31" i="108"/>
  <c r="X120" i="108"/>
  <c r="L131" i="108"/>
  <c r="V119" i="108"/>
  <c r="X119" i="108" s="1"/>
  <c r="V116" i="108"/>
  <c r="X116" i="108" s="1"/>
  <c r="S131" i="108"/>
  <c r="N61" i="108"/>
  <c r="N11" i="108"/>
  <c r="M127" i="108"/>
  <c r="Q127" i="108" s="1"/>
  <c r="I13" i="104" s="1"/>
  <c r="M115" i="108"/>
  <c r="Q115" i="108" s="1"/>
  <c r="I7" i="104" s="1"/>
  <c r="N13" i="108"/>
  <c r="N75" i="108"/>
  <c r="H115" i="108"/>
  <c r="I115" i="108" s="1"/>
  <c r="G122" i="108"/>
  <c r="I122" i="108" s="1"/>
  <c r="N38" i="108"/>
  <c r="N22" i="108"/>
  <c r="N55" i="108"/>
  <c r="N14" i="108"/>
  <c r="N9" i="108"/>
  <c r="N81" i="108"/>
  <c r="H121" i="108"/>
  <c r="I121" i="108" s="1"/>
  <c r="N66" i="108"/>
  <c r="N58" i="108"/>
  <c r="N50" i="108"/>
  <c r="N32" i="108"/>
  <c r="G116" i="108"/>
  <c r="D124" i="108"/>
  <c r="F124" i="108" s="1"/>
  <c r="H127" i="108"/>
  <c r="N87" i="108"/>
  <c r="H119" i="108"/>
  <c r="I119" i="108" s="1"/>
  <c r="N79" i="108"/>
  <c r="E129" i="108"/>
  <c r="F129" i="108" s="1"/>
  <c r="N64" i="108"/>
  <c r="N60" i="108"/>
  <c r="N56" i="108"/>
  <c r="N52" i="108"/>
  <c r="N40" i="108"/>
  <c r="G124" i="108"/>
  <c r="G120" i="108"/>
  <c r="I120" i="108" s="1"/>
  <c r="N36" i="108"/>
  <c r="N30" i="108"/>
  <c r="G114" i="108"/>
  <c r="I114" i="108" s="1"/>
  <c r="V122" i="108"/>
  <c r="X122" i="108" s="1"/>
  <c r="N63" i="108"/>
  <c r="N15" i="108"/>
  <c r="N67" i="108"/>
  <c r="N53" i="108"/>
  <c r="N17" i="108"/>
  <c r="N7" i="108"/>
  <c r="P131" i="108"/>
  <c r="F120" i="108"/>
  <c r="M114" i="108"/>
  <c r="Q114" i="108" s="1"/>
  <c r="I6" i="104" s="1"/>
  <c r="F115" i="108"/>
  <c r="N83" i="108"/>
  <c r="H123" i="108"/>
  <c r="I123" i="108" s="1"/>
  <c r="N34" i="108"/>
  <c r="G118" i="108"/>
  <c r="N19" i="108"/>
  <c r="D118" i="108"/>
  <c r="F118" i="108" s="1"/>
  <c r="D127" i="108"/>
  <c r="F127" i="108" s="1"/>
  <c r="N20" i="108"/>
  <c r="V118" i="108"/>
  <c r="X118" i="108" s="1"/>
  <c r="H129" i="108"/>
  <c r="I129" i="108" s="1"/>
  <c r="N89" i="108"/>
  <c r="N73" i="108"/>
  <c r="H113" i="108"/>
  <c r="N62" i="108"/>
  <c r="N54" i="108"/>
  <c r="G126" i="108"/>
  <c r="I126" i="108" s="1"/>
  <c r="N42" i="108"/>
  <c r="N51" i="108"/>
  <c r="F114" i="108"/>
  <c r="D117" i="108"/>
  <c r="F117" i="108" s="1"/>
  <c r="D122" i="108"/>
  <c r="F122" i="108" s="1"/>
  <c r="N23" i="108"/>
  <c r="H125" i="108"/>
  <c r="I125" i="108" s="1"/>
  <c r="N85" i="108"/>
  <c r="H117" i="108"/>
  <c r="N77" i="108"/>
  <c r="G128" i="108"/>
  <c r="I128" i="108" s="1"/>
  <c r="N44" i="108"/>
  <c r="W131" i="108"/>
  <c r="N59" i="108"/>
  <c r="N18" i="108"/>
  <c r="K131" i="108"/>
  <c r="N65" i="108"/>
  <c r="N57" i="108"/>
  <c r="N8" i="108"/>
  <c r="N12" i="108"/>
  <c r="D113" i="108"/>
  <c r="N21" i="108"/>
  <c r="L147" i="107"/>
  <c r="L167" i="107"/>
  <c r="T167" i="107" s="1"/>
  <c r="L173" i="107"/>
  <c r="T173" i="107" s="1"/>
  <c r="L153" i="107"/>
  <c r="U40" i="107"/>
  <c r="L143" i="107"/>
  <c r="L163" i="107"/>
  <c r="T163" i="107" s="1"/>
  <c r="F152" i="107"/>
  <c r="S43" i="107"/>
  <c r="N49" i="107"/>
  <c r="N52" i="107" s="1"/>
  <c r="Q23" i="107"/>
  <c r="U47" i="107" s="1"/>
  <c r="M176" i="107"/>
  <c r="U176" i="107" s="1"/>
  <c r="N156" i="107"/>
  <c r="I174" i="107"/>
  <c r="Q174" i="107" s="1"/>
  <c r="F154" i="107"/>
  <c r="N143" i="107"/>
  <c r="M163" i="107"/>
  <c r="U163" i="107" s="1"/>
  <c r="I160" i="107"/>
  <c r="Q160" i="107" s="1"/>
  <c r="F140" i="107"/>
  <c r="L159" i="107"/>
  <c r="T159" i="107" s="1"/>
  <c r="L139" i="107"/>
  <c r="O24" i="107"/>
  <c r="S44" i="107"/>
  <c r="F150" i="107"/>
  <c r="S41" i="107"/>
  <c r="U41" i="107" s="1"/>
  <c r="Q11" i="107"/>
  <c r="Q22" i="107"/>
  <c r="S36" i="107"/>
  <c r="F25" i="107"/>
  <c r="Q19" i="107"/>
  <c r="N155" i="107"/>
  <c r="M175" i="107"/>
  <c r="U175" i="107" s="1"/>
  <c r="I162" i="107"/>
  <c r="Q162" i="107" s="1"/>
  <c r="F142" i="107"/>
  <c r="L141" i="107"/>
  <c r="L161" i="107"/>
  <c r="T161" i="107" s="1"/>
  <c r="F144" i="107"/>
  <c r="S35" i="107"/>
  <c r="U35" i="107" s="1"/>
  <c r="L49" i="107"/>
  <c r="L52" i="107" s="1"/>
  <c r="J49" i="107"/>
  <c r="F49" i="107"/>
  <c r="S32" i="107"/>
  <c r="U32" i="107" s="1"/>
  <c r="S37" i="107"/>
  <c r="U37" i="107" s="1"/>
  <c r="I175" i="107"/>
  <c r="Q175" i="107" s="1"/>
  <c r="F155" i="107"/>
  <c r="F141" i="107"/>
  <c r="I161" i="107"/>
  <c r="Q161" i="107" s="1"/>
  <c r="L155" i="107"/>
  <c r="L175" i="107"/>
  <c r="T175" i="107" s="1"/>
  <c r="L160" i="107"/>
  <c r="T160" i="107" s="1"/>
  <c r="L140" i="107"/>
  <c r="S45" i="107"/>
  <c r="U45" i="107" s="1"/>
  <c r="F149" i="107"/>
  <c r="Q14" i="107"/>
  <c r="I176" i="107"/>
  <c r="Q176" i="107" s="1"/>
  <c r="F156" i="107"/>
  <c r="F153" i="107"/>
  <c r="I173" i="107"/>
  <c r="Q173" i="107" s="1"/>
  <c r="I163" i="107"/>
  <c r="Q163" i="107" s="1"/>
  <c r="F143" i="107"/>
  <c r="I159" i="107"/>
  <c r="Q159" i="107" s="1"/>
  <c r="F139" i="107"/>
  <c r="L176" i="107"/>
  <c r="T176" i="107" s="1"/>
  <c r="L156" i="107"/>
  <c r="L174" i="107"/>
  <c r="T174" i="107" s="1"/>
  <c r="L154" i="107"/>
  <c r="L162" i="107"/>
  <c r="T162" i="107" s="1"/>
  <c r="L142" i="107"/>
  <c r="H49" i="107"/>
  <c r="H52" i="107" s="1"/>
  <c r="S39" i="107"/>
  <c r="Q17" i="107"/>
  <c r="U42" i="107" s="1"/>
  <c r="G24" i="107"/>
  <c r="Q5" i="107"/>
  <c r="U30" i="107" s="1"/>
  <c r="M24" i="107"/>
  <c r="Q10" i="107"/>
  <c r="I24" i="107"/>
  <c r="U38" i="107"/>
  <c r="S33" i="107"/>
  <c r="U33" i="107" s="1"/>
  <c r="J25" i="107"/>
  <c r="Z66" i="106"/>
  <c r="AE26" i="106"/>
  <c r="P7" i="120" l="1"/>
  <c r="H18" i="120"/>
  <c r="D42" i="90"/>
  <c r="H19" i="120"/>
  <c r="H14" i="120"/>
  <c r="H20" i="120"/>
  <c r="H9" i="120"/>
  <c r="H17" i="120"/>
  <c r="H13" i="120"/>
  <c r="H5" i="120"/>
  <c r="H12" i="120"/>
  <c r="P12" i="120" s="1"/>
  <c r="H16" i="120"/>
  <c r="H10" i="120"/>
  <c r="H8" i="120"/>
  <c r="G10" i="90"/>
  <c r="P7" i="148"/>
  <c r="H11" i="120"/>
  <c r="H6" i="120"/>
  <c r="H15" i="120"/>
  <c r="U44" i="107"/>
  <c r="U43" i="107"/>
  <c r="F52" i="107"/>
  <c r="T131" i="113"/>
  <c r="R131" i="113"/>
  <c r="K7" i="112"/>
  <c r="L7" i="112" s="1"/>
  <c r="AA7" i="112" s="1"/>
  <c r="AC7" i="112" s="1"/>
  <c r="J131" i="113"/>
  <c r="Q23" i="112"/>
  <c r="Q7" i="112"/>
  <c r="R125" i="121"/>
  <c r="T106" i="121"/>
  <c r="T125" i="121" s="1"/>
  <c r="J125" i="121"/>
  <c r="H4" i="120"/>
  <c r="Q4" i="112"/>
  <c r="K5" i="112"/>
  <c r="L5" i="112" s="1"/>
  <c r="AA5" i="112" s="1"/>
  <c r="AC5" i="112" s="1"/>
  <c r="K6" i="112"/>
  <c r="L6" i="112" s="1"/>
  <c r="R6" i="112" s="1"/>
  <c r="S6" i="112" s="1"/>
  <c r="K22" i="112"/>
  <c r="L22" i="112" s="1"/>
  <c r="R22" i="112" s="1"/>
  <c r="S22" i="112" s="1"/>
  <c r="K8" i="112"/>
  <c r="L8" i="112" s="1"/>
  <c r="R8" i="112" s="1"/>
  <c r="S8" i="112" s="1"/>
  <c r="K10" i="112"/>
  <c r="L10" i="112" s="1"/>
  <c r="AA10" i="112" s="1"/>
  <c r="AC10" i="112" s="1"/>
  <c r="K11" i="112"/>
  <c r="L11" i="112" s="1"/>
  <c r="AA11" i="112" s="1"/>
  <c r="AC11" i="112" s="1"/>
  <c r="K9" i="112"/>
  <c r="L9" i="112" s="1"/>
  <c r="R9" i="112" s="1"/>
  <c r="S9" i="112" s="1"/>
  <c r="K12" i="112"/>
  <c r="L12" i="112" s="1"/>
  <c r="R12" i="112" s="1"/>
  <c r="S12" i="112" s="1"/>
  <c r="H25" i="112"/>
  <c r="R128" i="108"/>
  <c r="R125" i="108"/>
  <c r="R123" i="108"/>
  <c r="I116" i="108"/>
  <c r="R116" i="108" s="1"/>
  <c r="R122" i="108"/>
  <c r="R126" i="108"/>
  <c r="R121" i="108"/>
  <c r="R120" i="108"/>
  <c r="R114" i="108"/>
  <c r="R115" i="108"/>
  <c r="R129" i="108"/>
  <c r="J119" i="108"/>
  <c r="H9" i="104" s="1"/>
  <c r="R119" i="108"/>
  <c r="J112" i="108"/>
  <c r="H4" i="104" s="1"/>
  <c r="R112" i="108"/>
  <c r="M4" i="104" s="1"/>
  <c r="J126" i="108"/>
  <c r="H12" i="104" s="1"/>
  <c r="J125" i="108"/>
  <c r="H20" i="104" s="1"/>
  <c r="J114" i="108"/>
  <c r="H6" i="104" s="1"/>
  <c r="J121" i="108"/>
  <c r="H10" i="104" s="1"/>
  <c r="I127" i="108"/>
  <c r="J128" i="108"/>
  <c r="H14" i="104" s="1"/>
  <c r="I124" i="108"/>
  <c r="I118" i="108"/>
  <c r="I117" i="108"/>
  <c r="J123" i="108"/>
  <c r="H18" i="104" s="1"/>
  <c r="H131" i="108"/>
  <c r="G131" i="108"/>
  <c r="I113" i="108"/>
  <c r="J120" i="108"/>
  <c r="H23" i="104" s="1"/>
  <c r="F113" i="108"/>
  <c r="D131" i="108"/>
  <c r="J122" i="108"/>
  <c r="H11" i="104" s="1"/>
  <c r="J129" i="108"/>
  <c r="H15" i="104" s="1"/>
  <c r="M131" i="108"/>
  <c r="X131" i="108"/>
  <c r="E131" i="108"/>
  <c r="J115" i="108"/>
  <c r="H7" i="104" s="1"/>
  <c r="Q131" i="108"/>
  <c r="V131" i="108"/>
  <c r="J52" i="107"/>
  <c r="U39" i="107"/>
  <c r="U36" i="107"/>
  <c r="I47" i="102"/>
  <c r="J40" i="102"/>
  <c r="K40" i="102" s="1"/>
  <c r="J39" i="102"/>
  <c r="K39" i="102" s="1"/>
  <c r="J38" i="102"/>
  <c r="K38" i="102" s="1"/>
  <c r="I36" i="102"/>
  <c r="I41" i="102" s="1"/>
  <c r="H36" i="102"/>
  <c r="H41" i="102" s="1"/>
  <c r="I43" i="102" s="1"/>
  <c r="J35" i="102"/>
  <c r="K35" i="102" s="1"/>
  <c r="J34" i="102"/>
  <c r="K34" i="102" s="1"/>
  <c r="J33" i="102"/>
  <c r="K33" i="102" s="1"/>
  <c r="J32" i="102"/>
  <c r="K32" i="102" s="1"/>
  <c r="J31" i="102"/>
  <c r="K31" i="102" s="1"/>
  <c r="C31" i="102"/>
  <c r="J30" i="102"/>
  <c r="K30" i="102" s="1"/>
  <c r="J29" i="102"/>
  <c r="K29" i="102" s="1"/>
  <c r="C29" i="102"/>
  <c r="J28" i="102"/>
  <c r="K28" i="102" s="1"/>
  <c r="J27" i="102"/>
  <c r="K27" i="102" s="1"/>
  <c r="J26" i="102"/>
  <c r="K26" i="102" s="1"/>
  <c r="J25" i="102"/>
  <c r="K25" i="102" s="1"/>
  <c r="J24" i="102"/>
  <c r="K24" i="102" s="1"/>
  <c r="J23" i="102"/>
  <c r="K23" i="102" s="1"/>
  <c r="J22" i="102"/>
  <c r="K22" i="102" s="1"/>
  <c r="J21" i="102"/>
  <c r="K21" i="102" s="1"/>
  <c r="J20" i="102"/>
  <c r="K20" i="102" s="1"/>
  <c r="J19" i="102"/>
  <c r="K19" i="102" s="1"/>
  <c r="J18" i="102"/>
  <c r="L12" i="102"/>
  <c r="H8" i="102"/>
  <c r="K7" i="102"/>
  <c r="J7" i="102"/>
  <c r="K6" i="102"/>
  <c r="J6" i="102"/>
  <c r="K5" i="102"/>
  <c r="J5" i="102"/>
  <c r="K4" i="102"/>
  <c r="J4" i="102"/>
  <c r="AD64" i="101"/>
  <c r="AC64" i="101"/>
  <c r="AB64" i="101"/>
  <c r="AA64" i="101"/>
  <c r="Z64" i="101"/>
  <c r="AC62" i="101"/>
  <c r="AB62" i="101"/>
  <c r="AA62" i="101"/>
  <c r="F55" i="101"/>
  <c r="G54" i="101"/>
  <c r="G53" i="101"/>
  <c r="G52" i="101"/>
  <c r="AX26" i="101"/>
  <c r="AW26" i="101"/>
  <c r="B7" i="103" s="1"/>
  <c r="F7" i="103" s="1"/>
  <c r="AV26" i="101"/>
  <c r="AU26" i="101"/>
  <c r="B8" i="103" s="1"/>
  <c r="F8" i="103" s="1"/>
  <c r="AQ26" i="101"/>
  <c r="AP26" i="101"/>
  <c r="AO26" i="101"/>
  <c r="AN26" i="101"/>
  <c r="AJ26" i="101"/>
  <c r="AI26" i="101"/>
  <c r="AH26" i="101"/>
  <c r="AG26" i="101"/>
  <c r="Y26" i="101"/>
  <c r="AZ25" i="101"/>
  <c r="AS25" i="101"/>
  <c r="AL25" i="101"/>
  <c r="AA25" i="101"/>
  <c r="AE25" i="101" s="1"/>
  <c r="Y25" i="101"/>
  <c r="AZ24" i="101"/>
  <c r="AS24" i="101"/>
  <c r="AL24" i="101"/>
  <c r="Z24" i="101"/>
  <c r="AE24" i="101" s="1"/>
  <c r="Y24" i="101"/>
  <c r="X24" i="101"/>
  <c r="AZ23" i="101"/>
  <c r="AS23" i="101"/>
  <c r="AL23" i="101"/>
  <c r="AA23" i="101"/>
  <c r="Z23" i="101"/>
  <c r="Y23" i="101"/>
  <c r="X23" i="101"/>
  <c r="AZ22" i="101"/>
  <c r="AS22" i="101"/>
  <c r="AL22" i="101"/>
  <c r="AC22" i="101"/>
  <c r="AE22" i="101" s="1"/>
  <c r="V22" i="101"/>
  <c r="Y22" i="101" s="1"/>
  <c r="AZ21" i="101"/>
  <c r="AS21" i="101"/>
  <c r="AL21" i="101"/>
  <c r="AC21" i="101"/>
  <c r="Z21" i="101"/>
  <c r="X21" i="101"/>
  <c r="V21" i="101"/>
  <c r="Y21" i="101" s="1"/>
  <c r="AY20" i="101"/>
  <c r="AR20" i="101"/>
  <c r="AR26" i="101" s="1"/>
  <c r="AK20" i="101"/>
  <c r="AD20" i="101"/>
  <c r="AC20" i="101"/>
  <c r="Z20" i="101"/>
  <c r="X20" i="101"/>
  <c r="V20" i="101"/>
  <c r="Y20" i="101" s="1"/>
  <c r="AZ19" i="101"/>
  <c r="AS19" i="101"/>
  <c r="AL19" i="101"/>
  <c r="AA19" i="101"/>
  <c r="AE19" i="101" s="1"/>
  <c r="Y19" i="101"/>
  <c r="AZ18" i="101"/>
  <c r="AS18" i="101"/>
  <c r="AL18" i="101"/>
  <c r="AD18" i="101"/>
  <c r="AB18" i="101"/>
  <c r="AA18" i="101"/>
  <c r="Y18" i="101"/>
  <c r="X18" i="101"/>
  <c r="AZ17" i="101"/>
  <c r="AS17" i="101"/>
  <c r="AL17" i="101"/>
  <c r="AB17" i="101"/>
  <c r="Z17" i="101"/>
  <c r="Y17" i="101"/>
  <c r="X17" i="101"/>
  <c r="H17" i="101"/>
  <c r="AZ16" i="101"/>
  <c r="AS16" i="101"/>
  <c r="AL16" i="101"/>
  <c r="AE16" i="101"/>
  <c r="Y16" i="101"/>
  <c r="AZ15" i="101"/>
  <c r="AS15" i="101"/>
  <c r="AL15" i="101"/>
  <c r="AC15" i="101"/>
  <c r="Z15" i="101"/>
  <c r="V15" i="101"/>
  <c r="Y15" i="101" s="1"/>
  <c r="AZ14" i="101"/>
  <c r="AS14" i="101"/>
  <c r="AL14" i="101"/>
  <c r="Z14" i="101"/>
  <c r="AE14" i="101" s="1"/>
  <c r="Y14" i="101"/>
  <c r="S14" i="101"/>
  <c r="AZ13" i="101"/>
  <c r="AS13" i="101"/>
  <c r="AL13" i="101"/>
  <c r="AE13" i="101"/>
  <c r="Y13" i="101"/>
  <c r="X13" i="101"/>
  <c r="AZ12" i="101"/>
  <c r="AS12" i="101"/>
  <c r="AL12" i="101"/>
  <c r="Z12" i="101"/>
  <c r="AE12" i="101" s="1"/>
  <c r="Y12" i="101"/>
  <c r="X12" i="101"/>
  <c r="AZ11" i="101"/>
  <c r="AS11" i="101"/>
  <c r="AL11" i="101"/>
  <c r="AE11" i="101"/>
  <c r="Y11" i="101"/>
  <c r="AZ10" i="101"/>
  <c r="AS10" i="101"/>
  <c r="AL10" i="101"/>
  <c r="AC10" i="101"/>
  <c r="AB10" i="101"/>
  <c r="Y10" i="101"/>
  <c r="AZ9" i="101"/>
  <c r="AS9" i="101"/>
  <c r="AL9" i="101"/>
  <c r="AE9" i="101"/>
  <c r="Y9" i="101"/>
  <c r="AZ8" i="101"/>
  <c r="AS8" i="101"/>
  <c r="AL8" i="101"/>
  <c r="AE8" i="101"/>
  <c r="Y8" i="101"/>
  <c r="AZ7" i="101"/>
  <c r="AS7" i="101"/>
  <c r="AL7" i="101"/>
  <c r="AC7" i="101"/>
  <c r="Z7" i="101"/>
  <c r="X7" i="101"/>
  <c r="V7" i="101"/>
  <c r="Y7" i="101" s="1"/>
  <c r="D21" i="100"/>
  <c r="K23" i="94" s="1"/>
  <c r="D20" i="100"/>
  <c r="K22" i="94" s="1"/>
  <c r="D19" i="100"/>
  <c r="K19" i="94" s="1"/>
  <c r="D18" i="100"/>
  <c r="K17" i="94" s="1"/>
  <c r="D17" i="100"/>
  <c r="K20" i="94" s="1"/>
  <c r="D16" i="100"/>
  <c r="K18" i="94" s="1"/>
  <c r="D15" i="100"/>
  <c r="K12" i="94" s="1"/>
  <c r="D14" i="100"/>
  <c r="K6" i="94" s="1"/>
  <c r="D13" i="100"/>
  <c r="K8" i="94" s="1"/>
  <c r="D12" i="100"/>
  <c r="K13" i="94" s="1"/>
  <c r="D11" i="100"/>
  <c r="K15" i="94" s="1"/>
  <c r="D10" i="100"/>
  <c r="K14" i="94" s="1"/>
  <c r="D9" i="100"/>
  <c r="K7" i="94" s="1"/>
  <c r="D8" i="100"/>
  <c r="K4" i="94" s="1"/>
  <c r="D7" i="100"/>
  <c r="K11" i="94" s="1"/>
  <c r="D6" i="100"/>
  <c r="D5" i="100"/>
  <c r="K5" i="94" s="1"/>
  <c r="D4" i="100"/>
  <c r="K10" i="94" s="1"/>
  <c r="AK29" i="94"/>
  <c r="M7" i="95"/>
  <c r="M8" i="95"/>
  <c r="M9" i="95"/>
  <c r="R9" i="95" s="1"/>
  <c r="M10" i="95"/>
  <c r="R10" i="95" s="1"/>
  <c r="M11" i="95"/>
  <c r="M12" i="95"/>
  <c r="M13" i="95"/>
  <c r="R13" i="95" s="1"/>
  <c r="M14" i="95"/>
  <c r="R14" i="95" s="1"/>
  <c r="M15" i="95"/>
  <c r="M16" i="95"/>
  <c r="R16" i="95" s="1"/>
  <c r="M17" i="95"/>
  <c r="M18" i="95"/>
  <c r="R18" i="95" s="1"/>
  <c r="M19" i="95"/>
  <c r="M20" i="95"/>
  <c r="R20" i="95" s="1"/>
  <c r="M21" i="95"/>
  <c r="M22" i="95"/>
  <c r="R22" i="95" s="1"/>
  <c r="M23" i="95"/>
  <c r="M6" i="95"/>
  <c r="J77" i="95"/>
  <c r="J83" i="95"/>
  <c r="J84" i="95"/>
  <c r="J85" i="95"/>
  <c r="I77" i="95"/>
  <c r="I83" i="95"/>
  <c r="I84" i="95"/>
  <c r="I85" i="95"/>
  <c r="H77" i="95"/>
  <c r="H83" i="95"/>
  <c r="H84" i="95"/>
  <c r="H85" i="95"/>
  <c r="F77" i="95"/>
  <c r="M77" i="95" s="1"/>
  <c r="R117" i="95" s="1"/>
  <c r="F83" i="95"/>
  <c r="M83" i="95" s="1"/>
  <c r="R123" i="95" s="1"/>
  <c r="F84" i="95"/>
  <c r="M84" i="95" s="1"/>
  <c r="R124" i="95" s="1"/>
  <c r="F85" i="95"/>
  <c r="M85" i="95" s="1"/>
  <c r="R125" i="95" s="1"/>
  <c r="E77" i="95"/>
  <c r="E83" i="95"/>
  <c r="E84" i="95"/>
  <c r="E85" i="95"/>
  <c r="D77" i="95"/>
  <c r="D83" i="95"/>
  <c r="D84" i="95"/>
  <c r="D85" i="95"/>
  <c r="J33" i="95"/>
  <c r="J39" i="95"/>
  <c r="J40" i="95"/>
  <c r="J41" i="95"/>
  <c r="I33" i="95"/>
  <c r="I39" i="95"/>
  <c r="I40" i="95"/>
  <c r="I41" i="95"/>
  <c r="H33" i="95"/>
  <c r="H39" i="95"/>
  <c r="H40" i="95"/>
  <c r="H41" i="95"/>
  <c r="F33" i="95"/>
  <c r="M33" i="95" s="1"/>
  <c r="Q117" i="95" s="1"/>
  <c r="F39" i="95"/>
  <c r="M39" i="95" s="1"/>
  <c r="Q123" i="95" s="1"/>
  <c r="F40" i="95"/>
  <c r="M40" i="95" s="1"/>
  <c r="Q124" i="95" s="1"/>
  <c r="F41" i="95"/>
  <c r="M41" i="95" s="1"/>
  <c r="Q125" i="95" s="1"/>
  <c r="E33" i="95"/>
  <c r="E39" i="95"/>
  <c r="E40" i="95"/>
  <c r="E41" i="95"/>
  <c r="D33" i="95"/>
  <c r="D39" i="95"/>
  <c r="D40" i="95"/>
  <c r="D41" i="95"/>
  <c r="J11" i="95"/>
  <c r="J17" i="95"/>
  <c r="J18" i="95"/>
  <c r="J19" i="95"/>
  <c r="I11" i="95"/>
  <c r="I17" i="95"/>
  <c r="I18" i="95"/>
  <c r="I19" i="95"/>
  <c r="H11" i="95"/>
  <c r="H17" i="95"/>
  <c r="H18" i="95"/>
  <c r="H19" i="95"/>
  <c r="F11" i="95"/>
  <c r="F17" i="95"/>
  <c r="F18" i="95"/>
  <c r="F19" i="95"/>
  <c r="E11" i="95"/>
  <c r="E17" i="95"/>
  <c r="E18" i="95"/>
  <c r="E19" i="95"/>
  <c r="D11" i="95"/>
  <c r="D17" i="95"/>
  <c r="D18" i="95"/>
  <c r="D19" i="95"/>
  <c r="J55" i="95"/>
  <c r="J61" i="95"/>
  <c r="J62" i="95"/>
  <c r="J63" i="95"/>
  <c r="I55" i="95"/>
  <c r="I61" i="95"/>
  <c r="I62" i="95"/>
  <c r="I63" i="95"/>
  <c r="F55" i="95"/>
  <c r="F61" i="95"/>
  <c r="F62" i="95"/>
  <c r="F63" i="95"/>
  <c r="E55" i="95"/>
  <c r="E61" i="95"/>
  <c r="E62" i="95"/>
  <c r="E63" i="95"/>
  <c r="D55" i="95"/>
  <c r="D61" i="95"/>
  <c r="D62" i="95"/>
  <c r="D63" i="95"/>
  <c r="H55" i="95"/>
  <c r="H61" i="95"/>
  <c r="H62" i="95"/>
  <c r="H63" i="95"/>
  <c r="O28" i="95"/>
  <c r="G96" i="95"/>
  <c r="G104" i="95"/>
  <c r="G100" i="95"/>
  <c r="G92" i="95"/>
  <c r="G102" i="95"/>
  <c r="G94" i="95"/>
  <c r="G98" i="95"/>
  <c r="M48" i="98"/>
  <c r="M49" i="98"/>
  <c r="M50" i="98"/>
  <c r="M51" i="98"/>
  <c r="M52" i="98"/>
  <c r="M53" i="98"/>
  <c r="M54" i="98"/>
  <c r="M55" i="98"/>
  <c r="M56" i="98"/>
  <c r="M47" i="98"/>
  <c r="AO16" i="84"/>
  <c r="AO21" i="84"/>
  <c r="A67" i="90"/>
  <c r="A68" i="90"/>
  <c r="A69" i="90"/>
  <c r="A70" i="90"/>
  <c r="A66" i="90"/>
  <c r="P53" i="98"/>
  <c r="AE33" i="94"/>
  <c r="AC33" i="94"/>
  <c r="Z33" i="94"/>
  <c r="D4" i="91"/>
  <c r="F65" i="98"/>
  <c r="H66" i="98" s="1"/>
  <c r="D64" i="98"/>
  <c r="F63" i="98"/>
  <c r="D62" i="98"/>
  <c r="F61" i="98"/>
  <c r="C77" i="98"/>
  <c r="C78" i="98"/>
  <c r="C79" i="98"/>
  <c r="C80" i="98"/>
  <c r="C81" i="98"/>
  <c r="C82" i="98"/>
  <c r="C83" i="98"/>
  <c r="C84" i="98"/>
  <c r="C85" i="98"/>
  <c r="C86" i="98"/>
  <c r="C87" i="98"/>
  <c r="C88" i="98"/>
  <c r="C89" i="98"/>
  <c r="C90" i="98"/>
  <c r="C91" i="98"/>
  <c r="C92" i="98"/>
  <c r="C93" i="98"/>
  <c r="C76" i="98"/>
  <c r="E77" i="98"/>
  <c r="E78" i="98"/>
  <c r="E79" i="98"/>
  <c r="E80" i="98"/>
  <c r="E81" i="98"/>
  <c r="E82" i="98"/>
  <c r="E83" i="98"/>
  <c r="E84" i="98"/>
  <c r="E85" i="98"/>
  <c r="E86" i="98"/>
  <c r="E87" i="98"/>
  <c r="I87" i="98" s="1"/>
  <c r="E88" i="98"/>
  <c r="E89" i="98"/>
  <c r="E90" i="98"/>
  <c r="E91" i="98"/>
  <c r="E92" i="98"/>
  <c r="E93" i="98"/>
  <c r="E76" i="98"/>
  <c r="A57" i="98"/>
  <c r="AG14" i="94"/>
  <c r="D28" i="94"/>
  <c r="F48" i="98"/>
  <c r="F50" i="98"/>
  <c r="F52" i="98"/>
  <c r="F54" i="98"/>
  <c r="F46" i="98"/>
  <c r="E55" i="98"/>
  <c r="F56" i="98"/>
  <c r="D53" i="98"/>
  <c r="D51" i="98"/>
  <c r="D49" i="98"/>
  <c r="D47" i="98"/>
  <c r="E53" i="98"/>
  <c r="E49" i="98"/>
  <c r="E47" i="98"/>
  <c r="D55" i="98"/>
  <c r="O164" i="96"/>
  <c r="W164" i="96" s="1"/>
  <c r="O170" i="96"/>
  <c r="W170" i="96" s="1"/>
  <c r="O171" i="96"/>
  <c r="W171" i="96" s="1"/>
  <c r="O172" i="96"/>
  <c r="W172" i="96" s="1"/>
  <c r="N164" i="96"/>
  <c r="V164" i="96" s="1"/>
  <c r="N170" i="96"/>
  <c r="V170" i="96" s="1"/>
  <c r="N171" i="96"/>
  <c r="V171" i="96" s="1"/>
  <c r="N172" i="96"/>
  <c r="V172" i="96" s="1"/>
  <c r="M164" i="96"/>
  <c r="U164" i="96" s="1"/>
  <c r="M170" i="96"/>
  <c r="U170" i="96" s="1"/>
  <c r="M171" i="96"/>
  <c r="U171" i="96" s="1"/>
  <c r="M172" i="96"/>
  <c r="U172" i="96" s="1"/>
  <c r="L164" i="96"/>
  <c r="T164" i="96" s="1"/>
  <c r="L170" i="96"/>
  <c r="T170" i="96" s="1"/>
  <c r="L171" i="96"/>
  <c r="T171" i="96" s="1"/>
  <c r="L172" i="96"/>
  <c r="T172" i="96" s="1"/>
  <c r="K164" i="96"/>
  <c r="S164" i="96" s="1"/>
  <c r="K170" i="96"/>
  <c r="S170" i="96" s="1"/>
  <c r="K171" i="96"/>
  <c r="S171" i="96" s="1"/>
  <c r="K172" i="96"/>
  <c r="S172" i="96" s="1"/>
  <c r="J164" i="96"/>
  <c r="R164" i="96" s="1"/>
  <c r="J170" i="96"/>
  <c r="R170" i="96" s="1"/>
  <c r="J171" i="96"/>
  <c r="R171" i="96" s="1"/>
  <c r="J172" i="96"/>
  <c r="R172" i="96" s="1"/>
  <c r="I164" i="96"/>
  <c r="Q164" i="96" s="1"/>
  <c r="I170" i="96"/>
  <c r="Q170" i="96" s="1"/>
  <c r="I171" i="96"/>
  <c r="Q171" i="96" s="1"/>
  <c r="I172" i="96"/>
  <c r="Q172" i="96" s="1"/>
  <c r="Q140" i="96"/>
  <c r="Q141" i="96"/>
  <c r="Q142" i="96"/>
  <c r="Q143" i="96"/>
  <c r="Q144" i="96"/>
  <c r="Q145" i="96"/>
  <c r="Q146" i="96"/>
  <c r="Q147" i="96"/>
  <c r="Q148" i="96"/>
  <c r="Q149" i="96"/>
  <c r="Q150" i="96"/>
  <c r="Q151" i="96"/>
  <c r="Q152" i="96"/>
  <c r="Q153" i="96"/>
  <c r="Q154" i="96"/>
  <c r="Q155" i="96"/>
  <c r="Q156" i="96"/>
  <c r="Q139" i="96"/>
  <c r="P144" i="96"/>
  <c r="P150" i="96"/>
  <c r="P151" i="96"/>
  <c r="P152" i="96"/>
  <c r="O140" i="96"/>
  <c r="O141" i="96"/>
  <c r="O142" i="96"/>
  <c r="O143" i="96"/>
  <c r="O144" i="96"/>
  <c r="O145" i="96"/>
  <c r="O146" i="96"/>
  <c r="O147" i="96"/>
  <c r="O148" i="96"/>
  <c r="O149" i="96"/>
  <c r="O150" i="96"/>
  <c r="O151" i="96"/>
  <c r="O152" i="96"/>
  <c r="O153" i="96"/>
  <c r="O154" i="96"/>
  <c r="O155" i="96"/>
  <c r="O156" i="96"/>
  <c r="O139" i="96"/>
  <c r="M140" i="96"/>
  <c r="M141" i="96"/>
  <c r="M142" i="96"/>
  <c r="M143" i="96"/>
  <c r="M144" i="96"/>
  <c r="M145" i="96"/>
  <c r="M146" i="96"/>
  <c r="M147" i="96"/>
  <c r="M148" i="96"/>
  <c r="M149" i="96"/>
  <c r="M150" i="96"/>
  <c r="M151" i="96"/>
  <c r="M152" i="96"/>
  <c r="M153" i="96"/>
  <c r="M154" i="96"/>
  <c r="M155" i="96"/>
  <c r="M156" i="96"/>
  <c r="M139" i="96"/>
  <c r="K140" i="96"/>
  <c r="K141" i="96"/>
  <c r="K142" i="96"/>
  <c r="K143" i="96"/>
  <c r="K144" i="96"/>
  <c r="K145" i="96"/>
  <c r="K146" i="96"/>
  <c r="K147" i="96"/>
  <c r="K148" i="96"/>
  <c r="K149" i="96"/>
  <c r="K150" i="96"/>
  <c r="K151" i="96"/>
  <c r="K152" i="96"/>
  <c r="K153" i="96"/>
  <c r="K154" i="96"/>
  <c r="K155" i="96"/>
  <c r="K156" i="96"/>
  <c r="I140" i="96"/>
  <c r="I141" i="96"/>
  <c r="I142" i="96"/>
  <c r="I143" i="96"/>
  <c r="I144" i="96"/>
  <c r="I145" i="96"/>
  <c r="I146" i="96"/>
  <c r="I147" i="96"/>
  <c r="I148" i="96"/>
  <c r="I149" i="96"/>
  <c r="I150" i="96"/>
  <c r="I151" i="96"/>
  <c r="I152" i="96"/>
  <c r="I153" i="96"/>
  <c r="I154" i="96"/>
  <c r="I155" i="96"/>
  <c r="I156" i="96"/>
  <c r="G140" i="96"/>
  <c r="G141" i="96"/>
  <c r="G142" i="96"/>
  <c r="G143" i="96"/>
  <c r="G144" i="96"/>
  <c r="G145" i="96"/>
  <c r="G146" i="96"/>
  <c r="G147" i="96"/>
  <c r="G148" i="96"/>
  <c r="G149" i="96"/>
  <c r="G150" i="96"/>
  <c r="G151" i="96"/>
  <c r="G152" i="96"/>
  <c r="G153" i="96"/>
  <c r="G154" i="96"/>
  <c r="G155" i="96"/>
  <c r="G156" i="96"/>
  <c r="E140" i="96"/>
  <c r="E141" i="96"/>
  <c r="E142" i="96"/>
  <c r="E143" i="96"/>
  <c r="E144" i="96"/>
  <c r="E145" i="96"/>
  <c r="E146" i="96"/>
  <c r="E147" i="96"/>
  <c r="E148" i="96"/>
  <c r="E149" i="96"/>
  <c r="E150" i="96"/>
  <c r="E151" i="96"/>
  <c r="E152" i="96"/>
  <c r="E153" i="96"/>
  <c r="E154" i="96"/>
  <c r="E155" i="96"/>
  <c r="E156" i="96"/>
  <c r="E139" i="96"/>
  <c r="G139" i="96"/>
  <c r="I139" i="96"/>
  <c r="K139" i="96"/>
  <c r="G85" i="95"/>
  <c r="G84" i="95"/>
  <c r="G83" i="95"/>
  <c r="G77" i="95"/>
  <c r="G63" i="95"/>
  <c r="G62" i="95"/>
  <c r="G61" i="95"/>
  <c r="G55" i="95"/>
  <c r="G41" i="95"/>
  <c r="G40" i="95"/>
  <c r="G39" i="95"/>
  <c r="G33" i="95"/>
  <c r="G11" i="95"/>
  <c r="G17" i="95"/>
  <c r="G18" i="95"/>
  <c r="G19" i="95"/>
  <c r="K111" i="96"/>
  <c r="K109" i="96"/>
  <c r="K109" i="93"/>
  <c r="K111" i="93"/>
  <c r="L25" i="94"/>
  <c r="G25" i="94"/>
  <c r="F25" i="94"/>
  <c r="R111" i="95"/>
  <c r="Q111" i="95"/>
  <c r="O111" i="95"/>
  <c r="N111" i="95"/>
  <c r="K111" i="95"/>
  <c r="J111" i="95"/>
  <c r="H111" i="95"/>
  <c r="G111" i="95"/>
  <c r="E111" i="95"/>
  <c r="D111" i="95"/>
  <c r="O89" i="95"/>
  <c r="O88" i="95"/>
  <c r="O87" i="95"/>
  <c r="O86" i="95"/>
  <c r="O85" i="95"/>
  <c r="O84" i="95"/>
  <c r="O83" i="95"/>
  <c r="O82" i="95"/>
  <c r="O81" i="95"/>
  <c r="O80" i="95"/>
  <c r="O79" i="95"/>
  <c r="O78" i="95"/>
  <c r="O77" i="95"/>
  <c r="O76" i="95"/>
  <c r="O75" i="95"/>
  <c r="O74" i="95"/>
  <c r="O73" i="95"/>
  <c r="O72" i="95"/>
  <c r="Z112" i="95" s="1"/>
  <c r="M67" i="95"/>
  <c r="R67" i="95" s="1"/>
  <c r="M66" i="95"/>
  <c r="M65" i="95"/>
  <c r="R65" i="95" s="1"/>
  <c r="M64" i="95"/>
  <c r="R64" i="95" s="1"/>
  <c r="M63" i="95"/>
  <c r="R63" i="95" s="1"/>
  <c r="M62" i="95"/>
  <c r="M61" i="95"/>
  <c r="R61" i="95" s="1"/>
  <c r="M60" i="95"/>
  <c r="R60" i="95" s="1"/>
  <c r="M59" i="95"/>
  <c r="R59" i="95" s="1"/>
  <c r="M58" i="95"/>
  <c r="M57" i="95"/>
  <c r="R57" i="95" s="1"/>
  <c r="M56" i="95"/>
  <c r="R56" i="95" s="1"/>
  <c r="M55" i="95"/>
  <c r="R55" i="95" s="1"/>
  <c r="M54" i="95"/>
  <c r="M53" i="95"/>
  <c r="M52" i="95"/>
  <c r="R52" i="95" s="1"/>
  <c r="M51" i="95"/>
  <c r="R51" i="95" s="1"/>
  <c r="M50" i="95"/>
  <c r="R50" i="95" s="1"/>
  <c r="O45" i="95"/>
  <c r="Z129" i="95" s="1"/>
  <c r="O44" i="95"/>
  <c r="O43" i="95"/>
  <c r="Z127" i="95" s="1"/>
  <c r="O42" i="95"/>
  <c r="Z126" i="95" s="1"/>
  <c r="O41" i="95"/>
  <c r="Z125" i="95" s="1"/>
  <c r="O40" i="95"/>
  <c r="O39" i="95"/>
  <c r="O38" i="95"/>
  <c r="O37" i="95"/>
  <c r="Z121" i="95" s="1"/>
  <c r="O36" i="95"/>
  <c r="O35" i="95"/>
  <c r="O34" i="95"/>
  <c r="Z118" i="95" s="1"/>
  <c r="O33" i="95"/>
  <c r="Z117" i="95" s="1"/>
  <c r="O32" i="95"/>
  <c r="Z116" i="95" s="1"/>
  <c r="O31" i="95"/>
  <c r="O30" i="95"/>
  <c r="O29" i="95"/>
  <c r="Z113" i="95" s="1"/>
  <c r="D134" i="96"/>
  <c r="J134" i="96" s="1"/>
  <c r="K176" i="96" s="1"/>
  <c r="S176" i="96" s="1"/>
  <c r="D133" i="96"/>
  <c r="D132" i="96"/>
  <c r="L132" i="96" s="1"/>
  <c r="L174" i="96" s="1"/>
  <c r="T174" i="96" s="1"/>
  <c r="D131" i="96"/>
  <c r="J131" i="96" s="1"/>
  <c r="D130" i="96"/>
  <c r="D129" i="96"/>
  <c r="D128" i="96"/>
  <c r="D127" i="96"/>
  <c r="H127" i="96" s="1"/>
  <c r="D126" i="96"/>
  <c r="L126" i="96" s="1"/>
  <c r="L168" i="96" s="1"/>
  <c r="T168" i="96" s="1"/>
  <c r="D125" i="96"/>
  <c r="D124" i="96"/>
  <c r="D123" i="96"/>
  <c r="J123" i="96" s="1"/>
  <c r="D122" i="96"/>
  <c r="D121" i="96"/>
  <c r="L121" i="96" s="1"/>
  <c r="L163" i="96" s="1"/>
  <c r="T163" i="96" s="1"/>
  <c r="D120" i="96"/>
  <c r="D119" i="96"/>
  <c r="D118" i="96"/>
  <c r="H118" i="96" s="1"/>
  <c r="J160" i="96" s="1"/>
  <c r="R160" i="96" s="1"/>
  <c r="D117" i="96"/>
  <c r="R117" i="96" s="1"/>
  <c r="K106" i="96"/>
  <c r="K104" i="96"/>
  <c r="K101" i="96"/>
  <c r="K99" i="96"/>
  <c r="K96" i="96"/>
  <c r="K94" i="96"/>
  <c r="K91" i="96"/>
  <c r="K89" i="96"/>
  <c r="K86" i="96"/>
  <c r="K84" i="96"/>
  <c r="K81" i="96"/>
  <c r="K79" i="96"/>
  <c r="K76" i="96"/>
  <c r="K74" i="96"/>
  <c r="K71" i="96"/>
  <c r="K69" i="96"/>
  <c r="K66" i="96"/>
  <c r="K64" i="96"/>
  <c r="K59" i="96"/>
  <c r="P48" i="96"/>
  <c r="N48" i="96"/>
  <c r="L48" i="96"/>
  <c r="J48" i="96"/>
  <c r="H48" i="96"/>
  <c r="F48" i="96"/>
  <c r="E47" i="96"/>
  <c r="E46" i="96"/>
  <c r="K46" i="96" s="1"/>
  <c r="E45" i="96"/>
  <c r="M45" i="96" s="1"/>
  <c r="E44" i="96"/>
  <c r="Q44" i="96" s="1"/>
  <c r="E43" i="96"/>
  <c r="K43" i="96" s="1"/>
  <c r="J152" i="96" s="1"/>
  <c r="E42" i="96"/>
  <c r="O42" i="96" s="1"/>
  <c r="R151" i="96" s="1"/>
  <c r="E41" i="96"/>
  <c r="E40" i="96"/>
  <c r="E39" i="96"/>
  <c r="E38" i="96"/>
  <c r="M38" i="96" s="1"/>
  <c r="E37" i="96"/>
  <c r="I37" i="96" s="1"/>
  <c r="E36" i="96"/>
  <c r="I36" i="96" s="1"/>
  <c r="E35" i="96"/>
  <c r="M35" i="96" s="1"/>
  <c r="L144" i="96" s="1"/>
  <c r="E34" i="96"/>
  <c r="I34" i="96" s="1"/>
  <c r="E33" i="96"/>
  <c r="E32" i="96"/>
  <c r="K32" i="96" s="1"/>
  <c r="E31" i="96"/>
  <c r="E30" i="96"/>
  <c r="O30" i="96" s="1"/>
  <c r="N24" i="96"/>
  <c r="L24" i="96"/>
  <c r="J24" i="96"/>
  <c r="H24" i="96"/>
  <c r="F24" i="96"/>
  <c r="E23" i="96"/>
  <c r="E22" i="96"/>
  <c r="E21" i="96"/>
  <c r="E20" i="96"/>
  <c r="M20" i="96" s="1"/>
  <c r="E19" i="96"/>
  <c r="E18" i="96"/>
  <c r="E17" i="96"/>
  <c r="K17" i="96" s="1"/>
  <c r="E16" i="96"/>
  <c r="I16" i="96" s="1"/>
  <c r="E15" i="96"/>
  <c r="E14" i="96"/>
  <c r="I14" i="96" s="1"/>
  <c r="E13" i="96"/>
  <c r="I13" i="96" s="1"/>
  <c r="E12" i="96"/>
  <c r="O12" i="96" s="1"/>
  <c r="E11" i="96"/>
  <c r="G11" i="96" s="1"/>
  <c r="E10" i="96"/>
  <c r="G10" i="96" s="1"/>
  <c r="E9" i="96"/>
  <c r="I9" i="96" s="1"/>
  <c r="E8" i="96"/>
  <c r="E7" i="96"/>
  <c r="G7" i="96" s="1"/>
  <c r="E6" i="96"/>
  <c r="M6" i="96" s="1"/>
  <c r="E5" i="96"/>
  <c r="I5" i="96" s="1"/>
  <c r="D134" i="93"/>
  <c r="D133" i="93"/>
  <c r="N133" i="93" s="1"/>
  <c r="D132" i="93"/>
  <c r="N132" i="93" s="1"/>
  <c r="D131" i="93"/>
  <c r="R131" i="93" s="1"/>
  <c r="D130" i="93"/>
  <c r="D129" i="93"/>
  <c r="D128" i="93"/>
  <c r="D127" i="93"/>
  <c r="N127" i="93" s="1"/>
  <c r="D126" i="93"/>
  <c r="D125" i="93"/>
  <c r="L125" i="93" s="1"/>
  <c r="D124" i="93"/>
  <c r="P124" i="93" s="1"/>
  <c r="D123" i="93"/>
  <c r="H123" i="93" s="1"/>
  <c r="D122" i="93"/>
  <c r="D121" i="93"/>
  <c r="R121" i="93" s="1"/>
  <c r="D120" i="93"/>
  <c r="D119" i="93"/>
  <c r="P119" i="93" s="1"/>
  <c r="D118" i="93"/>
  <c r="L118" i="93" s="1"/>
  <c r="D117" i="93"/>
  <c r="R134" i="96"/>
  <c r="N133" i="96"/>
  <c r="F88" i="95" s="1"/>
  <c r="M88" i="95" s="1"/>
  <c r="R128" i="95" s="1"/>
  <c r="O35" i="96"/>
  <c r="R144" i="96" s="1"/>
  <c r="N121" i="96"/>
  <c r="L132" i="93"/>
  <c r="K106" i="93"/>
  <c r="K101" i="93"/>
  <c r="K96" i="93"/>
  <c r="K91" i="93"/>
  <c r="K86" i="93"/>
  <c r="K81" i="93"/>
  <c r="K76" i="93"/>
  <c r="K71" i="93"/>
  <c r="K66" i="93"/>
  <c r="K104" i="93"/>
  <c r="K99" i="93"/>
  <c r="K94" i="93"/>
  <c r="K89" i="93"/>
  <c r="K84" i="93"/>
  <c r="K79" i="93"/>
  <c r="K74" i="93"/>
  <c r="K69" i="93"/>
  <c r="K64" i="93"/>
  <c r="K59" i="93"/>
  <c r="E31" i="93"/>
  <c r="K31" i="93" s="1"/>
  <c r="E32" i="93"/>
  <c r="E33" i="93"/>
  <c r="O33" i="93" s="1"/>
  <c r="E34" i="93"/>
  <c r="K34" i="93" s="1"/>
  <c r="E35" i="93"/>
  <c r="K35" i="93" s="1"/>
  <c r="F11" i="92" s="1"/>
  <c r="E36" i="93"/>
  <c r="E37" i="93"/>
  <c r="Q37" i="93" s="1"/>
  <c r="I13" i="92" s="1"/>
  <c r="E38" i="93"/>
  <c r="O38" i="93" s="1"/>
  <c r="E39" i="93"/>
  <c r="G39" i="93" s="1"/>
  <c r="E40" i="93"/>
  <c r="O40" i="93" s="1"/>
  <c r="H16" i="92" s="1"/>
  <c r="E41" i="93"/>
  <c r="I41" i="93" s="1"/>
  <c r="E17" i="92" s="1"/>
  <c r="E42" i="93"/>
  <c r="E43" i="93"/>
  <c r="I43" i="93" s="1"/>
  <c r="E19" i="92" s="1"/>
  <c r="E44" i="93"/>
  <c r="M44" i="93" s="1"/>
  <c r="E45" i="93"/>
  <c r="M45" i="93" s="1"/>
  <c r="E46" i="93"/>
  <c r="E47" i="93"/>
  <c r="K47" i="93" s="1"/>
  <c r="E30" i="93"/>
  <c r="M30" i="93" s="1"/>
  <c r="N48" i="93"/>
  <c r="P48" i="93"/>
  <c r="L48" i="93"/>
  <c r="J48" i="93"/>
  <c r="H48" i="93"/>
  <c r="F48" i="93"/>
  <c r="N24" i="93"/>
  <c r="L24" i="93"/>
  <c r="J24" i="93"/>
  <c r="H24" i="93"/>
  <c r="F24" i="93"/>
  <c r="E23" i="93"/>
  <c r="K23" i="93" s="1"/>
  <c r="E22" i="93"/>
  <c r="O22" i="93" s="1"/>
  <c r="E21" i="93"/>
  <c r="G21" i="93" s="1"/>
  <c r="E20" i="93"/>
  <c r="E19" i="93"/>
  <c r="O19" i="93" s="1"/>
  <c r="E18" i="93"/>
  <c r="E17" i="93"/>
  <c r="E16" i="93"/>
  <c r="G16" i="93" s="1"/>
  <c r="E15" i="93"/>
  <c r="K15" i="93" s="1"/>
  <c r="E14" i="93"/>
  <c r="O14" i="93" s="1"/>
  <c r="E13" i="93"/>
  <c r="M13" i="93" s="1"/>
  <c r="E12" i="93"/>
  <c r="G12" i="93" s="1"/>
  <c r="E11" i="93"/>
  <c r="O11" i="93" s="1"/>
  <c r="E10" i="93"/>
  <c r="M10" i="93" s="1"/>
  <c r="E9" i="93"/>
  <c r="E8" i="93"/>
  <c r="E7" i="93"/>
  <c r="K7" i="93" s="1"/>
  <c r="E6" i="93"/>
  <c r="G6" i="93" s="1"/>
  <c r="E5" i="93"/>
  <c r="K5" i="93" s="1"/>
  <c r="R109" i="92"/>
  <c r="Q109" i="92"/>
  <c r="O109" i="92"/>
  <c r="N109" i="92"/>
  <c r="K109" i="92"/>
  <c r="J109" i="92"/>
  <c r="H109" i="92"/>
  <c r="G109" i="92"/>
  <c r="E109" i="92"/>
  <c r="D109" i="92"/>
  <c r="G104" i="92"/>
  <c r="L34" i="92" s="1"/>
  <c r="Q116" i="92" s="1"/>
  <c r="G102" i="92"/>
  <c r="G98" i="92"/>
  <c r="G96" i="92"/>
  <c r="G94" i="92"/>
  <c r="G92" i="92"/>
  <c r="N89" i="92"/>
  <c r="N88" i="92"/>
  <c r="L88" i="92"/>
  <c r="R126" i="92" s="1"/>
  <c r="N87" i="92"/>
  <c r="N86" i="92"/>
  <c r="N85" i="92"/>
  <c r="N84" i="92"/>
  <c r="N83" i="92"/>
  <c r="N82" i="92"/>
  <c r="N81" i="92"/>
  <c r="N80" i="92"/>
  <c r="N79" i="92"/>
  <c r="N78" i="92"/>
  <c r="N77" i="92"/>
  <c r="N76" i="92"/>
  <c r="N75" i="92"/>
  <c r="N74" i="92"/>
  <c r="N73" i="92"/>
  <c r="N72" i="92"/>
  <c r="L67" i="92"/>
  <c r="L66" i="92"/>
  <c r="L65" i="92"/>
  <c r="Q65" i="92" s="1"/>
  <c r="L64" i="92"/>
  <c r="L63" i="92"/>
  <c r="Q63" i="92" s="1"/>
  <c r="L62" i="92"/>
  <c r="L61" i="92"/>
  <c r="Q61" i="92" s="1"/>
  <c r="L60" i="92"/>
  <c r="L59" i="92"/>
  <c r="L58" i="92"/>
  <c r="Q58" i="92" s="1"/>
  <c r="L57" i="92"/>
  <c r="L56" i="92"/>
  <c r="L55" i="92"/>
  <c r="Q55" i="92" s="1"/>
  <c r="L54" i="92"/>
  <c r="L53" i="92"/>
  <c r="Q53" i="92" s="1"/>
  <c r="L52" i="92"/>
  <c r="Q52" i="92" s="1"/>
  <c r="L51" i="92"/>
  <c r="L50" i="92"/>
  <c r="N45" i="92"/>
  <c r="N44" i="92"/>
  <c r="N43" i="92"/>
  <c r="N42" i="92"/>
  <c r="N41" i="92"/>
  <c r="Z123" i="92" s="1"/>
  <c r="N40" i="92"/>
  <c r="N39" i="92"/>
  <c r="N38" i="92"/>
  <c r="Z120" i="92" s="1"/>
  <c r="N37" i="92"/>
  <c r="N36" i="92"/>
  <c r="N35" i="92"/>
  <c r="N34" i="92"/>
  <c r="N33" i="92"/>
  <c r="Z115" i="92" s="1"/>
  <c r="N32" i="92"/>
  <c r="N31" i="92"/>
  <c r="N30" i="92"/>
  <c r="Z112" i="92" s="1"/>
  <c r="N29" i="92"/>
  <c r="N28" i="92"/>
  <c r="L23" i="92"/>
  <c r="Q23" i="92" s="1"/>
  <c r="L22" i="92"/>
  <c r="L21" i="92"/>
  <c r="L20" i="92"/>
  <c r="Q20" i="92" s="1"/>
  <c r="L19" i="92"/>
  <c r="L18" i="92"/>
  <c r="Q18" i="92" s="1"/>
  <c r="L17" i="92"/>
  <c r="L16" i="92"/>
  <c r="Q16" i="92" s="1"/>
  <c r="L15" i="92"/>
  <c r="L14" i="92"/>
  <c r="Q14" i="92" s="1"/>
  <c r="L13" i="92"/>
  <c r="Q13" i="92" s="1"/>
  <c r="L12" i="92"/>
  <c r="L11" i="92"/>
  <c r="Q11" i="92" s="1"/>
  <c r="Y115" i="92" s="1"/>
  <c r="L10" i="92"/>
  <c r="Q10" i="92" s="1"/>
  <c r="L9" i="92"/>
  <c r="Q9" i="92" s="1"/>
  <c r="L8" i="92"/>
  <c r="Q8" i="92" s="1"/>
  <c r="L7" i="92"/>
  <c r="Q7" i="92" s="1"/>
  <c r="L6" i="92"/>
  <c r="Q6" i="92" s="1"/>
  <c r="L25" i="91"/>
  <c r="G25" i="91"/>
  <c r="F25" i="91"/>
  <c r="E23" i="91"/>
  <c r="D23" i="91"/>
  <c r="E22" i="91"/>
  <c r="D22" i="91"/>
  <c r="AE21" i="91"/>
  <c r="E20" i="91"/>
  <c r="D20" i="91"/>
  <c r="E19" i="91"/>
  <c r="D19" i="91"/>
  <c r="E18" i="91"/>
  <c r="D18" i="91"/>
  <c r="E17" i="91"/>
  <c r="D17" i="91"/>
  <c r="AE16" i="91"/>
  <c r="E15" i="91"/>
  <c r="D15" i="91"/>
  <c r="E14" i="91"/>
  <c r="D14" i="91"/>
  <c r="E13" i="91"/>
  <c r="D13" i="91"/>
  <c r="E12" i="91"/>
  <c r="D12" i="91"/>
  <c r="E11" i="91"/>
  <c r="D11" i="91"/>
  <c r="E10" i="91"/>
  <c r="D10" i="91"/>
  <c r="E9" i="91"/>
  <c r="D9" i="91"/>
  <c r="E8" i="91"/>
  <c r="D8" i="91"/>
  <c r="E7" i="91"/>
  <c r="D7" i="91"/>
  <c r="E6" i="91"/>
  <c r="D6" i="91"/>
  <c r="E5" i="91"/>
  <c r="D5" i="91"/>
  <c r="E4" i="91"/>
  <c r="G40" i="93"/>
  <c r="D16" i="92" s="1"/>
  <c r="K19" i="93"/>
  <c r="M15" i="93"/>
  <c r="M37" i="93"/>
  <c r="G13" i="92" s="1"/>
  <c r="B6" i="89"/>
  <c r="F6" i="89" s="1"/>
  <c r="H22" i="83"/>
  <c r="H21" i="83"/>
  <c r="B15" i="83"/>
  <c r="D15" i="83"/>
  <c r="AE16" i="84"/>
  <c r="AE21" i="84"/>
  <c r="H15" i="83"/>
  <c r="D4" i="84"/>
  <c r="E4" i="84"/>
  <c r="E17" i="84"/>
  <c r="D17" i="84"/>
  <c r="E12" i="84"/>
  <c r="D12" i="84"/>
  <c r="E10" i="84"/>
  <c r="D10" i="84"/>
  <c r="E5" i="84"/>
  <c r="D5" i="84"/>
  <c r="D11" i="89"/>
  <c r="F11" i="89" s="1"/>
  <c r="D10" i="89"/>
  <c r="F10" i="89" s="1"/>
  <c r="D8" i="89"/>
  <c r="H27" i="83"/>
  <c r="H26" i="83"/>
  <c r="H25" i="83"/>
  <c r="H66" i="83"/>
  <c r="H65" i="83"/>
  <c r="H64" i="83"/>
  <c r="H63" i="83"/>
  <c r="H38" i="83"/>
  <c r="H37" i="83"/>
  <c r="H35" i="83"/>
  <c r="H34" i="83"/>
  <c r="D21" i="87"/>
  <c r="K23" i="84" s="1"/>
  <c r="D20" i="87"/>
  <c r="D19" i="87"/>
  <c r="D18" i="87"/>
  <c r="K17" i="91" s="1"/>
  <c r="D17" i="87"/>
  <c r="D16" i="87"/>
  <c r="D15" i="87"/>
  <c r="D14" i="87"/>
  <c r="K6" i="91" s="1"/>
  <c r="D13" i="87"/>
  <c r="D12" i="87"/>
  <c r="D11" i="87"/>
  <c r="D10" i="87"/>
  <c r="K14" i="91" s="1"/>
  <c r="D9" i="87"/>
  <c r="K7" i="84" s="1"/>
  <c r="D8" i="87"/>
  <c r="D7" i="87"/>
  <c r="D6" i="87"/>
  <c r="D5" i="87"/>
  <c r="D4" i="87"/>
  <c r="AQ26" i="86"/>
  <c r="AP26" i="86"/>
  <c r="AO26" i="86"/>
  <c r="AN26" i="86"/>
  <c r="B8" i="89" s="1"/>
  <c r="AS25" i="86"/>
  <c r="AS24" i="86"/>
  <c r="AS23" i="86"/>
  <c r="AS22" i="86"/>
  <c r="AS21" i="86"/>
  <c r="AR20" i="86"/>
  <c r="AS20" i="86" s="1"/>
  <c r="AS19" i="86"/>
  <c r="AS18" i="86"/>
  <c r="AS17" i="86"/>
  <c r="AS16" i="86"/>
  <c r="AS15" i="86"/>
  <c r="AS14" i="86"/>
  <c r="AS13" i="86"/>
  <c r="AS12" i="86"/>
  <c r="AS11" i="86"/>
  <c r="AS10" i="86"/>
  <c r="AS9" i="86"/>
  <c r="AS8" i="86"/>
  <c r="AS7" i="86"/>
  <c r="AD64" i="86"/>
  <c r="AC64" i="86"/>
  <c r="AB64" i="86"/>
  <c r="AA64" i="86"/>
  <c r="Z64" i="86"/>
  <c r="AC62" i="86"/>
  <c r="AB62" i="86"/>
  <c r="AA62" i="86"/>
  <c r="F55" i="86"/>
  <c r="G54" i="86"/>
  <c r="G53" i="86"/>
  <c r="G52" i="86"/>
  <c r="AJ26" i="86"/>
  <c r="AI26" i="86"/>
  <c r="AH26" i="86"/>
  <c r="AG26" i="86"/>
  <c r="Y26" i="86"/>
  <c r="AL25" i="86"/>
  <c r="AA25" i="86"/>
  <c r="AE25" i="86" s="1"/>
  <c r="Y25" i="86"/>
  <c r="AL24" i="86"/>
  <c r="Z24" i="86"/>
  <c r="AE24" i="86" s="1"/>
  <c r="Y24" i="86"/>
  <c r="X24" i="86"/>
  <c r="AL23" i="86"/>
  <c r="AA23" i="86"/>
  <c r="Z23" i="86"/>
  <c r="Y23" i="86"/>
  <c r="X23" i="86"/>
  <c r="AL22" i="86"/>
  <c r="AC22" i="86"/>
  <c r="AE22" i="86" s="1"/>
  <c r="V22" i="86"/>
  <c r="Y22" i="86" s="1"/>
  <c r="AL21" i="86"/>
  <c r="AC21" i="86"/>
  <c r="Z21" i="86"/>
  <c r="X21" i="86"/>
  <c r="V21" i="86"/>
  <c r="Y21" i="86" s="1"/>
  <c r="AK20" i="86"/>
  <c r="AD20" i="86"/>
  <c r="AC20" i="86"/>
  <c r="Z20" i="86"/>
  <c r="X20" i="86"/>
  <c r="V20" i="86"/>
  <c r="Y20" i="86" s="1"/>
  <c r="AL19" i="86"/>
  <c r="AA19" i="86"/>
  <c r="Y19" i="86"/>
  <c r="AL18" i="86"/>
  <c r="AD18" i="86"/>
  <c r="AB18" i="86"/>
  <c r="AA18" i="86"/>
  <c r="Y18" i="86"/>
  <c r="X18" i="86"/>
  <c r="AL17" i="86"/>
  <c r="AB17" i="86"/>
  <c r="Z17" i="86"/>
  <c r="Y17" i="86"/>
  <c r="X17" i="86"/>
  <c r="H17" i="86"/>
  <c r="AL16" i="86"/>
  <c r="AE16" i="86"/>
  <c r="Y16" i="86"/>
  <c r="AL15" i="86"/>
  <c r="AC15" i="86"/>
  <c r="Z15" i="86"/>
  <c r="V15" i="86"/>
  <c r="Y15" i="86" s="1"/>
  <c r="AL14" i="86"/>
  <c r="Z14" i="86"/>
  <c r="AE14" i="86" s="1"/>
  <c r="Y14" i="86"/>
  <c r="S14" i="86"/>
  <c r="AL13" i="86"/>
  <c r="AE13" i="86"/>
  <c r="Y13" i="86"/>
  <c r="X13" i="86"/>
  <c r="AL12" i="86"/>
  <c r="Z12" i="86"/>
  <c r="Y12" i="86"/>
  <c r="X12" i="86"/>
  <c r="AL11" i="86"/>
  <c r="AE11" i="86"/>
  <c r="Y11" i="86"/>
  <c r="AL10" i="86"/>
  <c r="AC10" i="86"/>
  <c r="AB10" i="86"/>
  <c r="Y10" i="86"/>
  <c r="AL9" i="86"/>
  <c r="AE9" i="86"/>
  <c r="Y9" i="86"/>
  <c r="AL8" i="86"/>
  <c r="AE8" i="86"/>
  <c r="Y8" i="86"/>
  <c r="AL7" i="86"/>
  <c r="AC7" i="86"/>
  <c r="Z7" i="86"/>
  <c r="X7" i="86"/>
  <c r="V7" i="86"/>
  <c r="Y7" i="86" s="1"/>
  <c r="D5" i="83"/>
  <c r="R107" i="85"/>
  <c r="Q107" i="85"/>
  <c r="O107" i="85"/>
  <c r="N107" i="85"/>
  <c r="K107" i="85"/>
  <c r="J107" i="85"/>
  <c r="H107" i="85"/>
  <c r="G107" i="85"/>
  <c r="E107" i="85"/>
  <c r="D107" i="85"/>
  <c r="G102" i="85"/>
  <c r="G100" i="85"/>
  <c r="G98" i="85"/>
  <c r="G96" i="85"/>
  <c r="G94" i="85"/>
  <c r="G92" i="85"/>
  <c r="M89" i="85"/>
  <c r="M88" i="85"/>
  <c r="M87" i="85"/>
  <c r="M86" i="85"/>
  <c r="M85" i="85"/>
  <c r="M84" i="85"/>
  <c r="M83" i="85"/>
  <c r="M82" i="85"/>
  <c r="M81" i="85"/>
  <c r="M80" i="85"/>
  <c r="M79" i="85"/>
  <c r="M78" i="85"/>
  <c r="M77" i="85"/>
  <c r="M76" i="85"/>
  <c r="M75" i="85"/>
  <c r="M74" i="85"/>
  <c r="M73" i="85"/>
  <c r="M72" i="85"/>
  <c r="K67" i="85"/>
  <c r="P67" i="85" s="1"/>
  <c r="K66" i="85"/>
  <c r="K65" i="85"/>
  <c r="K64" i="85"/>
  <c r="P64" i="85" s="1"/>
  <c r="K63" i="85"/>
  <c r="P63" i="85" s="1"/>
  <c r="K62" i="85"/>
  <c r="K61" i="85"/>
  <c r="P61" i="85" s="1"/>
  <c r="K60" i="85"/>
  <c r="P60" i="85" s="1"/>
  <c r="K59" i="85"/>
  <c r="K58" i="85"/>
  <c r="K57" i="85"/>
  <c r="P57" i="85" s="1"/>
  <c r="K56" i="85"/>
  <c r="P56" i="85" s="1"/>
  <c r="K55" i="85"/>
  <c r="P55" i="85" s="1"/>
  <c r="K54" i="85"/>
  <c r="P54" i="85" s="1"/>
  <c r="K53" i="85"/>
  <c r="P53" i="85" s="1"/>
  <c r="K52" i="85"/>
  <c r="K51" i="85"/>
  <c r="P51" i="85" s="1"/>
  <c r="K50" i="85"/>
  <c r="P50" i="85" s="1"/>
  <c r="M45" i="85"/>
  <c r="M44" i="85"/>
  <c r="Z124" i="85" s="1"/>
  <c r="M43" i="85"/>
  <c r="M42" i="85"/>
  <c r="M41" i="85"/>
  <c r="M40" i="85"/>
  <c r="Z120" i="85" s="1"/>
  <c r="M39" i="85"/>
  <c r="M38" i="85"/>
  <c r="M37" i="85"/>
  <c r="M36" i="85"/>
  <c r="Z116" i="85" s="1"/>
  <c r="M35" i="85"/>
  <c r="M34" i="85"/>
  <c r="M33" i="85"/>
  <c r="M32" i="85"/>
  <c r="Z112" i="85" s="1"/>
  <c r="M31" i="85"/>
  <c r="M30" i="85"/>
  <c r="M29" i="85"/>
  <c r="M28" i="85"/>
  <c r="Z108" i="85" s="1"/>
  <c r="K23" i="85"/>
  <c r="K22" i="85"/>
  <c r="P22" i="85" s="1"/>
  <c r="K21" i="85"/>
  <c r="P21" i="85" s="1"/>
  <c r="K20" i="85"/>
  <c r="K19" i="85"/>
  <c r="K18" i="85"/>
  <c r="P18" i="85" s="1"/>
  <c r="K17" i="85"/>
  <c r="K16" i="85"/>
  <c r="K15" i="85"/>
  <c r="P15" i="85" s="1"/>
  <c r="K14" i="85"/>
  <c r="P14" i="85" s="1"/>
  <c r="K13" i="85"/>
  <c r="K12" i="85"/>
  <c r="P12" i="85" s="1"/>
  <c r="K11" i="85"/>
  <c r="P11" i="85" s="1"/>
  <c r="K10" i="85"/>
  <c r="K9" i="85"/>
  <c r="P9" i="85" s="1"/>
  <c r="Y111" i="85" s="1"/>
  <c r="K8" i="85"/>
  <c r="K7" i="85"/>
  <c r="V109" i="85" s="1"/>
  <c r="O5" i="84" s="1"/>
  <c r="K6" i="85"/>
  <c r="L25" i="84"/>
  <c r="G25" i="84"/>
  <c r="F25" i="84"/>
  <c r="B5" i="89" s="1"/>
  <c r="E23" i="84"/>
  <c r="D23" i="84"/>
  <c r="E22" i="84"/>
  <c r="D22" i="84"/>
  <c r="E20" i="84"/>
  <c r="D20" i="84"/>
  <c r="E19" i="84"/>
  <c r="D19" i="84"/>
  <c r="E18" i="84"/>
  <c r="D18" i="84"/>
  <c r="E15" i="84"/>
  <c r="D11" i="83" s="1"/>
  <c r="D15" i="84"/>
  <c r="D10" i="83" s="1"/>
  <c r="E14" i="84"/>
  <c r="D14" i="84"/>
  <c r="E13" i="84"/>
  <c r="D13" i="84"/>
  <c r="E11" i="84"/>
  <c r="D11" i="84"/>
  <c r="E9" i="84"/>
  <c r="D9" i="84"/>
  <c r="E8" i="84"/>
  <c r="D8" i="84"/>
  <c r="E7" i="84"/>
  <c r="D7" i="84"/>
  <c r="E6" i="84"/>
  <c r="D6" i="84"/>
  <c r="E20" i="74"/>
  <c r="C6" i="76" s="1"/>
  <c r="D20" i="74"/>
  <c r="H23" i="61"/>
  <c r="H24" i="80"/>
  <c r="M72" i="78"/>
  <c r="M29" i="78"/>
  <c r="M28" i="78"/>
  <c r="E23" i="79"/>
  <c r="E22" i="79"/>
  <c r="D23" i="79"/>
  <c r="D22" i="79"/>
  <c r="E20" i="79"/>
  <c r="E19" i="79"/>
  <c r="E18" i="79"/>
  <c r="E17" i="79"/>
  <c r="D20" i="79"/>
  <c r="D19" i="79"/>
  <c r="D18" i="79"/>
  <c r="D17" i="79"/>
  <c r="E15" i="79"/>
  <c r="E14" i="79"/>
  <c r="E13" i="79"/>
  <c r="E12" i="79"/>
  <c r="E11" i="79"/>
  <c r="E10" i="79"/>
  <c r="E9" i="79"/>
  <c r="E8" i="79"/>
  <c r="E7" i="79"/>
  <c r="D15" i="79"/>
  <c r="D14" i="79"/>
  <c r="D10" i="80" s="1"/>
  <c r="D13" i="79"/>
  <c r="D12" i="79"/>
  <c r="D11" i="79"/>
  <c r="D10" i="79"/>
  <c r="D9" i="79"/>
  <c r="D8" i="79"/>
  <c r="D7" i="79"/>
  <c r="E6" i="79"/>
  <c r="E5" i="79"/>
  <c r="D6" i="79"/>
  <c r="D5" i="79"/>
  <c r="E4" i="79"/>
  <c r="B11" i="61" s="1"/>
  <c r="D4" i="79"/>
  <c r="B10" i="61" s="1"/>
  <c r="H43" i="61"/>
  <c r="H41" i="61"/>
  <c r="D16" i="61"/>
  <c r="H42" i="80"/>
  <c r="H23" i="80"/>
  <c r="H17" i="80"/>
  <c r="D17" i="80"/>
  <c r="B16" i="61"/>
  <c r="K6" i="78"/>
  <c r="P6" i="78" s="1"/>
  <c r="K22" i="78"/>
  <c r="F7" i="82"/>
  <c r="F10" i="82"/>
  <c r="F9" i="82"/>
  <c r="D12" i="82"/>
  <c r="D14" i="82" s="1"/>
  <c r="R107" i="73"/>
  <c r="Q107" i="73"/>
  <c r="O107" i="73"/>
  <c r="N107" i="73"/>
  <c r="K107" i="73"/>
  <c r="J107" i="73"/>
  <c r="H107" i="73"/>
  <c r="G107" i="73"/>
  <c r="E107" i="73"/>
  <c r="D107" i="73"/>
  <c r="M89" i="73"/>
  <c r="M88" i="73"/>
  <c r="M87" i="73"/>
  <c r="M86" i="73"/>
  <c r="M85" i="73"/>
  <c r="M84" i="73"/>
  <c r="M83" i="73"/>
  <c r="M82" i="73"/>
  <c r="M81" i="73"/>
  <c r="M80" i="73"/>
  <c r="M79" i="73"/>
  <c r="M78" i="73"/>
  <c r="M77" i="73"/>
  <c r="M76" i="73"/>
  <c r="M75" i="73"/>
  <c r="M74" i="73"/>
  <c r="M73" i="73"/>
  <c r="M72" i="73"/>
  <c r="K67" i="73"/>
  <c r="K66" i="73"/>
  <c r="O66" i="73" s="1"/>
  <c r="K65" i="73"/>
  <c r="K64" i="73"/>
  <c r="K63" i="73"/>
  <c r="K62" i="73"/>
  <c r="K61" i="73"/>
  <c r="K60" i="73"/>
  <c r="K59" i="73"/>
  <c r="K58" i="73"/>
  <c r="K57" i="73"/>
  <c r="O57" i="73" s="1"/>
  <c r="K56" i="73"/>
  <c r="K55" i="73"/>
  <c r="K54" i="73"/>
  <c r="K53" i="73"/>
  <c r="O53" i="73" s="1"/>
  <c r="K52" i="73"/>
  <c r="K51" i="73"/>
  <c r="K50" i="73"/>
  <c r="O50" i="73" s="1"/>
  <c r="M45" i="73"/>
  <c r="Z125" i="73" s="1"/>
  <c r="M44" i="73"/>
  <c r="Z124" i="73" s="1"/>
  <c r="M43" i="73"/>
  <c r="M42" i="73"/>
  <c r="M41" i="73"/>
  <c r="M40" i="73"/>
  <c r="M39" i="73"/>
  <c r="M38" i="73"/>
  <c r="M37" i="73"/>
  <c r="M36" i="73"/>
  <c r="M35" i="73"/>
  <c r="M34" i="73"/>
  <c r="M33" i="73"/>
  <c r="M32" i="73"/>
  <c r="M31" i="73"/>
  <c r="M30" i="73"/>
  <c r="M29" i="73"/>
  <c r="M28" i="73"/>
  <c r="K23" i="73"/>
  <c r="P23" i="73" s="1"/>
  <c r="K22" i="73"/>
  <c r="K21" i="73"/>
  <c r="P21" i="73" s="1"/>
  <c r="K20" i="73"/>
  <c r="N20" i="73" s="1"/>
  <c r="N122" i="73" s="1"/>
  <c r="K19" i="73"/>
  <c r="K18" i="73"/>
  <c r="K17" i="73"/>
  <c r="P17" i="73" s="1"/>
  <c r="K16" i="73"/>
  <c r="P16" i="73" s="1"/>
  <c r="K15" i="73"/>
  <c r="K14" i="73"/>
  <c r="K13" i="73"/>
  <c r="K12" i="73"/>
  <c r="K11" i="73"/>
  <c r="N11" i="73" s="1"/>
  <c r="N113" i="73" s="1"/>
  <c r="K10" i="73"/>
  <c r="P10" i="73" s="1"/>
  <c r="K9" i="73"/>
  <c r="K8" i="73"/>
  <c r="P8" i="73" s="1"/>
  <c r="K7" i="73"/>
  <c r="N7" i="73" s="1"/>
  <c r="N109" i="73" s="1"/>
  <c r="K6" i="73"/>
  <c r="N6" i="73" s="1"/>
  <c r="N108" i="73" s="1"/>
  <c r="K41" i="73"/>
  <c r="Q121" i="73" s="1"/>
  <c r="K85" i="73"/>
  <c r="R121" i="73" s="1"/>
  <c r="K32" i="73"/>
  <c r="Q112" i="73" s="1"/>
  <c r="K76" i="73"/>
  <c r="R112" i="73" s="1"/>
  <c r="K77" i="73"/>
  <c r="R113" i="73" s="1"/>
  <c r="K33" i="73"/>
  <c r="K75" i="73"/>
  <c r="R111" i="73" s="1"/>
  <c r="K31" i="73"/>
  <c r="K86" i="73"/>
  <c r="K42" i="73"/>
  <c r="Q122" i="73" s="1"/>
  <c r="K38" i="73"/>
  <c r="Q118" i="73" s="1"/>
  <c r="K82" i="73"/>
  <c r="R118" i="73" s="1"/>
  <c r="K43" i="73"/>
  <c r="Q123" i="73" s="1"/>
  <c r="K87" i="73"/>
  <c r="K30" i="73"/>
  <c r="Q110" i="73" s="1"/>
  <c r="K74" i="73"/>
  <c r="R110" i="73" s="1"/>
  <c r="K83" i="73"/>
  <c r="R119" i="73" s="1"/>
  <c r="K39" i="73"/>
  <c r="Q119" i="73" s="1"/>
  <c r="K73" i="73"/>
  <c r="R109" i="73" s="1"/>
  <c r="K29" i="73"/>
  <c r="Q109" i="73" s="1"/>
  <c r="K78" i="73"/>
  <c r="R114" i="73" s="1"/>
  <c r="K34" i="73"/>
  <c r="Q114" i="73" s="1"/>
  <c r="K88" i="73"/>
  <c r="R124" i="73" s="1"/>
  <c r="K44" i="73"/>
  <c r="K81" i="73"/>
  <c r="R117" i="73" s="1"/>
  <c r="K37" i="73"/>
  <c r="Q117" i="73" s="1"/>
  <c r="K45" i="73"/>
  <c r="Q125" i="73" s="1"/>
  <c r="K89" i="73"/>
  <c r="R125" i="73" s="1"/>
  <c r="K72" i="73"/>
  <c r="R108" i="73" s="1"/>
  <c r="K28" i="73"/>
  <c r="Q108" i="73" s="1"/>
  <c r="K80" i="73"/>
  <c r="R116" i="73" s="1"/>
  <c r="K36" i="73"/>
  <c r="Q116" i="73" s="1"/>
  <c r="K79" i="73"/>
  <c r="R115" i="73" s="1"/>
  <c r="K35" i="73"/>
  <c r="Q115" i="73" s="1"/>
  <c r="K84" i="73"/>
  <c r="R120" i="73" s="1"/>
  <c r="K40" i="73"/>
  <c r="Q120" i="73" s="1"/>
  <c r="M22" i="73"/>
  <c r="J33" i="73"/>
  <c r="J113" i="73" s="1"/>
  <c r="L20" i="73"/>
  <c r="D122" i="73" s="1"/>
  <c r="M64" i="73"/>
  <c r="H122" i="73" s="1"/>
  <c r="L66" i="73"/>
  <c r="E124" i="73" s="1"/>
  <c r="L18" i="73"/>
  <c r="D120" i="73" s="1"/>
  <c r="J86" i="73"/>
  <c r="K122" i="73" s="1"/>
  <c r="J44" i="73"/>
  <c r="J124" i="73" s="1"/>
  <c r="J79" i="73"/>
  <c r="J40" i="73"/>
  <c r="J72" i="73"/>
  <c r="M55" i="73"/>
  <c r="H113" i="73" s="1"/>
  <c r="J35" i="73"/>
  <c r="J84" i="73"/>
  <c r="J77" i="73"/>
  <c r="J42" i="73"/>
  <c r="L22" i="73"/>
  <c r="D124" i="73" s="1"/>
  <c r="J37" i="73"/>
  <c r="J88" i="73"/>
  <c r="L64" i="73"/>
  <c r="E122" i="73" s="1"/>
  <c r="J45" i="73"/>
  <c r="J83" i="73"/>
  <c r="K119" i="73" s="1"/>
  <c r="J32" i="73"/>
  <c r="J112" i="73" s="1"/>
  <c r="L57" i="73"/>
  <c r="E115" i="73" s="1"/>
  <c r="L62" i="73"/>
  <c r="E120" i="73" s="1"/>
  <c r="L11" i="73"/>
  <c r="D113" i="73" s="1"/>
  <c r="M18" i="73"/>
  <c r="G120" i="73" s="1"/>
  <c r="M13" i="73"/>
  <c r="G115" i="73" s="1"/>
  <c r="L55" i="73"/>
  <c r="E113" i="73" s="1"/>
  <c r="J76" i="73"/>
  <c r="K112" i="73" s="1"/>
  <c r="M62" i="73"/>
  <c r="H120" i="73" s="1"/>
  <c r="L13" i="73"/>
  <c r="D115" i="73" s="1"/>
  <c r="F115" i="73" s="1"/>
  <c r="J78" i="73"/>
  <c r="K114" i="73" s="1"/>
  <c r="J43" i="73"/>
  <c r="J123" i="73" s="1"/>
  <c r="M57" i="73"/>
  <c r="H115" i="73" s="1"/>
  <c r="L7" i="73"/>
  <c r="M7" i="73"/>
  <c r="G109" i="73" s="1"/>
  <c r="M8" i="73"/>
  <c r="G110" i="73" s="1"/>
  <c r="L8" i="73"/>
  <c r="M16" i="73"/>
  <c r="G118" i="73" s="1"/>
  <c r="L16" i="73"/>
  <c r="D118" i="73" s="1"/>
  <c r="M6" i="73"/>
  <c r="G108" i="73" s="1"/>
  <c r="L6" i="73"/>
  <c r="D108" i="73" s="1"/>
  <c r="L53" i="73"/>
  <c r="E111" i="73" s="1"/>
  <c r="M53" i="73"/>
  <c r="H111" i="73" s="1"/>
  <c r="J81" i="73"/>
  <c r="J87" i="73"/>
  <c r="K123" i="73" s="1"/>
  <c r="J29" i="73"/>
  <c r="J109" i="73" s="1"/>
  <c r="J74" i="73"/>
  <c r="J38" i="73"/>
  <c r="L50" i="73"/>
  <c r="E108" i="73" s="1"/>
  <c r="M50" i="73"/>
  <c r="H108" i="73" s="1"/>
  <c r="J31" i="73"/>
  <c r="J111" i="73" s="1"/>
  <c r="M10" i="73"/>
  <c r="G112" i="73" s="1"/>
  <c r="L10" i="73"/>
  <c r="M20" i="73"/>
  <c r="J85" i="73"/>
  <c r="L56" i="73"/>
  <c r="E114" i="73" s="1"/>
  <c r="M56" i="73"/>
  <c r="H114" i="73" s="1"/>
  <c r="J36" i="73"/>
  <c r="J116" i="73" s="1"/>
  <c r="L15" i="73"/>
  <c r="D117" i="73" s="1"/>
  <c r="M15" i="73"/>
  <c r="G117" i="73" s="1"/>
  <c r="L67" i="73"/>
  <c r="E125" i="73" s="1"/>
  <c r="M67" i="73"/>
  <c r="H125" i="73" s="1"/>
  <c r="J39" i="73"/>
  <c r="L65" i="73"/>
  <c r="E123" i="73" s="1"/>
  <c r="M65" i="73"/>
  <c r="H123" i="73" s="1"/>
  <c r="L51" i="73"/>
  <c r="E109" i="73" s="1"/>
  <c r="M51" i="73"/>
  <c r="H109" i="73" s="1"/>
  <c r="L52" i="73"/>
  <c r="E110" i="73" s="1"/>
  <c r="M52" i="73"/>
  <c r="H110" i="73" s="1"/>
  <c r="L60" i="73"/>
  <c r="E118" i="73" s="1"/>
  <c r="M60" i="73"/>
  <c r="H118" i="73" s="1"/>
  <c r="M9" i="73"/>
  <c r="G111" i="73" s="1"/>
  <c r="L9" i="73"/>
  <c r="L63" i="73"/>
  <c r="E121" i="73" s="1"/>
  <c r="M63" i="73"/>
  <c r="H121" i="73" s="1"/>
  <c r="M14" i="73"/>
  <c r="L14" i="73"/>
  <c r="D116" i="73" s="1"/>
  <c r="L23" i="73"/>
  <c r="D125" i="73" s="1"/>
  <c r="M23" i="73"/>
  <c r="M66" i="73"/>
  <c r="H124" i="73" s="1"/>
  <c r="L19" i="73"/>
  <c r="D121" i="73" s="1"/>
  <c r="M19" i="73"/>
  <c r="M12" i="73"/>
  <c r="G114" i="73" s="1"/>
  <c r="L12" i="73"/>
  <c r="D114" i="73" s="1"/>
  <c r="J80" i="73"/>
  <c r="M11" i="73"/>
  <c r="M17" i="73"/>
  <c r="G119" i="73" s="1"/>
  <c r="L17" i="73"/>
  <c r="J73" i="73"/>
  <c r="J30" i="73"/>
  <c r="J82" i="73"/>
  <c r="J28" i="73"/>
  <c r="J75" i="73"/>
  <c r="L54" i="73"/>
  <c r="E112" i="73" s="1"/>
  <c r="M54" i="73"/>
  <c r="H112" i="73" s="1"/>
  <c r="J41" i="73"/>
  <c r="J34" i="73"/>
  <c r="L58" i="73"/>
  <c r="E116" i="73" s="1"/>
  <c r="M58" i="73"/>
  <c r="H116" i="73" s="1"/>
  <c r="L59" i="73"/>
  <c r="E117" i="73" s="1"/>
  <c r="M59" i="73"/>
  <c r="H117" i="73" s="1"/>
  <c r="J89" i="73"/>
  <c r="L61" i="73"/>
  <c r="E119" i="73" s="1"/>
  <c r="M61" i="73"/>
  <c r="H119" i="73" s="1"/>
  <c r="M21" i="73"/>
  <c r="G123" i="73" s="1"/>
  <c r="L21" i="73"/>
  <c r="D123" i="73" s="1"/>
  <c r="AH117" i="73"/>
  <c r="AG117" i="73"/>
  <c r="AD117" i="73"/>
  <c r="AE117" i="73"/>
  <c r="AH124" i="73"/>
  <c r="AG124" i="73"/>
  <c r="AE124" i="73"/>
  <c r="AD124" i="73"/>
  <c r="AH118" i="73"/>
  <c r="AE118" i="73"/>
  <c r="AG118" i="73"/>
  <c r="AD118" i="73"/>
  <c r="AH111" i="73"/>
  <c r="AE111" i="73"/>
  <c r="AG111" i="73"/>
  <c r="AD111" i="73"/>
  <c r="AH115" i="73"/>
  <c r="AG115" i="73"/>
  <c r="AE115" i="73"/>
  <c r="AD115" i="73"/>
  <c r="AG119" i="73"/>
  <c r="AH119" i="73"/>
  <c r="AE119" i="73"/>
  <c r="AD119" i="73"/>
  <c r="AH109" i="73"/>
  <c r="AE109" i="73"/>
  <c r="AG109" i="73"/>
  <c r="AD109" i="73"/>
  <c r="AE113" i="73"/>
  <c r="AG113" i="73"/>
  <c r="AD113" i="73"/>
  <c r="AH113" i="73"/>
  <c r="AH114" i="73"/>
  <c r="AG114" i="73"/>
  <c r="AE114" i="73"/>
  <c r="AD114" i="73"/>
  <c r="AH120" i="73"/>
  <c r="AE120" i="73"/>
  <c r="AG120" i="73"/>
  <c r="AD120" i="73"/>
  <c r="AH116" i="73"/>
  <c r="AE116" i="73"/>
  <c r="AG116" i="73"/>
  <c r="AD116" i="73"/>
  <c r="AH112" i="73"/>
  <c r="AG112" i="73"/>
  <c r="AE112" i="73"/>
  <c r="AD112" i="73"/>
  <c r="AH125" i="73"/>
  <c r="AE125" i="73"/>
  <c r="AD125" i="73"/>
  <c r="AG125" i="73"/>
  <c r="AH123" i="73"/>
  <c r="AE123" i="73"/>
  <c r="AG123" i="73"/>
  <c r="AD123" i="73"/>
  <c r="AH122" i="73"/>
  <c r="AG122" i="73"/>
  <c r="AE122" i="73"/>
  <c r="AD122" i="73"/>
  <c r="AH121" i="73"/>
  <c r="AE121" i="73"/>
  <c r="AD121" i="73"/>
  <c r="AG121" i="73"/>
  <c r="AH108" i="73"/>
  <c r="AG108" i="73"/>
  <c r="AE108" i="73"/>
  <c r="AD108" i="73"/>
  <c r="AH110" i="73"/>
  <c r="AG110" i="73"/>
  <c r="AE110" i="73"/>
  <c r="AD110" i="73"/>
  <c r="H44" i="61"/>
  <c r="H40" i="61"/>
  <c r="H38" i="61"/>
  <c r="H37" i="61"/>
  <c r="AK20" i="81"/>
  <c r="H27" i="61"/>
  <c r="H26" i="61"/>
  <c r="AL25" i="81"/>
  <c r="AL24" i="81"/>
  <c r="AL23" i="81"/>
  <c r="AL22" i="81"/>
  <c r="AL21" i="81"/>
  <c r="AL19" i="81"/>
  <c r="AH26" i="81"/>
  <c r="AL17" i="81"/>
  <c r="AL16" i="81"/>
  <c r="AL15" i="81"/>
  <c r="AL14" i="81"/>
  <c r="AL13" i="81"/>
  <c r="AG26" i="81"/>
  <c r="AL11" i="81"/>
  <c r="AL10" i="81"/>
  <c r="AL9" i="81"/>
  <c r="AL8" i="81"/>
  <c r="AJ26" i="81"/>
  <c r="AD64" i="81"/>
  <c r="AC64" i="81"/>
  <c r="AB64" i="81"/>
  <c r="AA64" i="81"/>
  <c r="Z64" i="81"/>
  <c r="AC62" i="81"/>
  <c r="AB62" i="81"/>
  <c r="AA62" i="81"/>
  <c r="F55" i="81"/>
  <c r="G54" i="81"/>
  <c r="G53" i="81"/>
  <c r="G52" i="81"/>
  <c r="Y26" i="81"/>
  <c r="AA25" i="81"/>
  <c r="AE25" i="81" s="1"/>
  <c r="Y25" i="81"/>
  <c r="Z24" i="81"/>
  <c r="AE24" i="81" s="1"/>
  <c r="Y24" i="81"/>
  <c r="X24" i="81"/>
  <c r="AA23" i="81"/>
  <c r="Z23" i="81"/>
  <c r="Y23" i="81"/>
  <c r="X23" i="81"/>
  <c r="AC22" i="81"/>
  <c r="AE22" i="81" s="1"/>
  <c r="V22" i="81"/>
  <c r="Y22" i="81" s="1"/>
  <c r="AC21" i="81"/>
  <c r="Z21" i="81"/>
  <c r="X21" i="81"/>
  <c r="V21" i="81"/>
  <c r="Y21" i="81" s="1"/>
  <c r="AD20" i="81"/>
  <c r="AC20" i="81"/>
  <c r="Z20" i="81"/>
  <c r="X20" i="81"/>
  <c r="V20" i="81"/>
  <c r="Y20" i="81" s="1"/>
  <c r="AA19" i="81"/>
  <c r="Y19" i="81"/>
  <c r="AD18" i="81"/>
  <c r="AB18" i="81"/>
  <c r="AA18" i="81"/>
  <c r="Y18" i="81"/>
  <c r="X18" i="81"/>
  <c r="AB17" i="81"/>
  <c r="Z17" i="81"/>
  <c r="Y17" i="81"/>
  <c r="X17" i="81"/>
  <c r="H17" i="81"/>
  <c r="AE16" i="81"/>
  <c r="Y16" i="81"/>
  <c r="AC15" i="81"/>
  <c r="Z15" i="81"/>
  <c r="V15" i="81"/>
  <c r="Y15" i="81" s="1"/>
  <c r="Z14" i="81"/>
  <c r="AE14" i="81" s="1"/>
  <c r="Y14" i="81"/>
  <c r="S14" i="81"/>
  <c r="AE13" i="81"/>
  <c r="Y13" i="81"/>
  <c r="X13" i="81"/>
  <c r="Z12" i="81"/>
  <c r="AE12" i="81" s="1"/>
  <c r="Y12" i="81"/>
  <c r="X12" i="81"/>
  <c r="AE11" i="81"/>
  <c r="Y11" i="81"/>
  <c r="AC10" i="81"/>
  <c r="AB10" i="81"/>
  <c r="Y10" i="81"/>
  <c r="AE9" i="81"/>
  <c r="Y9" i="81"/>
  <c r="AE8" i="81"/>
  <c r="Y8" i="81"/>
  <c r="AC7" i="81"/>
  <c r="Z7" i="81"/>
  <c r="X7" i="81"/>
  <c r="V7" i="81"/>
  <c r="Y7" i="81" s="1"/>
  <c r="H67" i="80"/>
  <c r="H66" i="80"/>
  <c r="H65" i="80"/>
  <c r="H64" i="80"/>
  <c r="H45" i="80"/>
  <c r="H44" i="80"/>
  <c r="H41" i="80"/>
  <c r="H39" i="80"/>
  <c r="H38" i="80"/>
  <c r="H30" i="80"/>
  <c r="H28" i="80"/>
  <c r="B28" i="80"/>
  <c r="B17" i="80"/>
  <c r="B16" i="80"/>
  <c r="B12" i="80"/>
  <c r="D5" i="80"/>
  <c r="P29" i="79"/>
  <c r="L25" i="79"/>
  <c r="L30" i="74" s="1"/>
  <c r="G25" i="79"/>
  <c r="G30" i="74" s="1"/>
  <c r="F25" i="79"/>
  <c r="H13" i="80"/>
  <c r="D13" i="80"/>
  <c r="B12" i="61"/>
  <c r="H28" i="61"/>
  <c r="H25" i="79"/>
  <c r="H30" i="74" s="1"/>
  <c r="AI26" i="81"/>
  <c r="AL7" i="81"/>
  <c r="AL12" i="81"/>
  <c r="AL18" i="81"/>
  <c r="E18" i="74"/>
  <c r="C5" i="76" s="1"/>
  <c r="E17" i="74"/>
  <c r="C7" i="76" s="1"/>
  <c r="E13" i="74"/>
  <c r="C12" i="76" s="1"/>
  <c r="E12" i="74"/>
  <c r="C21" i="76" s="1"/>
  <c r="E10" i="74"/>
  <c r="C9" i="76" s="1"/>
  <c r="E7" i="74"/>
  <c r="D18" i="74"/>
  <c r="D17" i="74"/>
  <c r="D13" i="74"/>
  <c r="D12" i="74"/>
  <c r="D10" i="74"/>
  <c r="D7" i="74"/>
  <c r="C23" i="74"/>
  <c r="C22" i="74"/>
  <c r="C20" i="74"/>
  <c r="C19" i="74"/>
  <c r="C18" i="74"/>
  <c r="C17" i="74"/>
  <c r="C15" i="74"/>
  <c r="C14" i="74"/>
  <c r="C13" i="74"/>
  <c r="C12" i="74"/>
  <c r="C11" i="74"/>
  <c r="C10" i="74"/>
  <c r="C9" i="74"/>
  <c r="C8" i="74"/>
  <c r="C7" i="74"/>
  <c r="C6" i="74"/>
  <c r="C5" i="74"/>
  <c r="C4" i="74"/>
  <c r="R107" i="78"/>
  <c r="Q107" i="78"/>
  <c r="O107" i="78"/>
  <c r="N107" i="78"/>
  <c r="K107" i="78"/>
  <c r="J107" i="78"/>
  <c r="H107" i="78"/>
  <c r="G107" i="78"/>
  <c r="E107" i="78"/>
  <c r="D107" i="78"/>
  <c r="G102" i="78"/>
  <c r="G100" i="78"/>
  <c r="G98" i="78"/>
  <c r="G96" i="78"/>
  <c r="G94" i="78"/>
  <c r="G92" i="78"/>
  <c r="M89" i="78"/>
  <c r="M88" i="78"/>
  <c r="M87" i="78"/>
  <c r="M86" i="78"/>
  <c r="M85" i="78"/>
  <c r="M84" i="78"/>
  <c r="M83" i="78"/>
  <c r="M82" i="78"/>
  <c r="M81" i="78"/>
  <c r="M80" i="78"/>
  <c r="M79" i="78"/>
  <c r="M78" i="78"/>
  <c r="M77" i="78"/>
  <c r="M76" i="78"/>
  <c r="M75" i="78"/>
  <c r="M74" i="78"/>
  <c r="M73" i="78"/>
  <c r="K67" i="78"/>
  <c r="P67" i="78" s="1"/>
  <c r="K66" i="78"/>
  <c r="P66" i="78" s="1"/>
  <c r="K65" i="78"/>
  <c r="P65" i="78" s="1"/>
  <c r="K64" i="78"/>
  <c r="K63" i="78"/>
  <c r="P63" i="78" s="1"/>
  <c r="K62" i="78"/>
  <c r="P62" i="78" s="1"/>
  <c r="K61" i="78"/>
  <c r="P61" i="78" s="1"/>
  <c r="K60" i="78"/>
  <c r="K59" i="78"/>
  <c r="P59" i="78" s="1"/>
  <c r="K58" i="78"/>
  <c r="P58" i="78" s="1"/>
  <c r="K57" i="78"/>
  <c r="P57" i="78" s="1"/>
  <c r="K56" i="78"/>
  <c r="K55" i="78"/>
  <c r="P55" i="78" s="1"/>
  <c r="K54" i="78"/>
  <c r="K53" i="78"/>
  <c r="P53" i="78" s="1"/>
  <c r="K52" i="78"/>
  <c r="K51" i="78"/>
  <c r="P51" i="78" s="1"/>
  <c r="K50" i="78"/>
  <c r="P50" i="78" s="1"/>
  <c r="M45" i="78"/>
  <c r="M44" i="78"/>
  <c r="M43" i="78"/>
  <c r="M42" i="78"/>
  <c r="M41" i="78"/>
  <c r="M40" i="78"/>
  <c r="M39" i="78"/>
  <c r="M38" i="78"/>
  <c r="M37" i="78"/>
  <c r="M36" i="78"/>
  <c r="M35" i="78"/>
  <c r="M34" i="78"/>
  <c r="M33" i="78"/>
  <c r="M32" i="78"/>
  <c r="M31" i="78"/>
  <c r="M30" i="78"/>
  <c r="K23" i="78"/>
  <c r="P23" i="78" s="1"/>
  <c r="K21" i="78"/>
  <c r="K20" i="78"/>
  <c r="P20" i="78" s="1"/>
  <c r="K19" i="78"/>
  <c r="P19" i="78" s="1"/>
  <c r="K18" i="78"/>
  <c r="K17" i="78"/>
  <c r="K16" i="78"/>
  <c r="P16" i="78" s="1"/>
  <c r="K15" i="78"/>
  <c r="K14" i="78"/>
  <c r="K13" i="78"/>
  <c r="K12" i="78"/>
  <c r="P12" i="78" s="1"/>
  <c r="K11" i="78"/>
  <c r="K10" i="78"/>
  <c r="P10" i="78" s="1"/>
  <c r="K9" i="78"/>
  <c r="K8" i="78"/>
  <c r="P8" i="78" s="1"/>
  <c r="K7" i="78"/>
  <c r="P7" i="78" s="1"/>
  <c r="F10" i="77"/>
  <c r="F9" i="77"/>
  <c r="AC64" i="60"/>
  <c r="AC62" i="60"/>
  <c r="AC10" i="60"/>
  <c r="AC22" i="60"/>
  <c r="AC21" i="60"/>
  <c r="AA62" i="60"/>
  <c r="H66" i="61"/>
  <c r="H65" i="61"/>
  <c r="H64" i="61"/>
  <c r="H63" i="61"/>
  <c r="F11" i="58"/>
  <c r="H22" i="61"/>
  <c r="H16" i="61"/>
  <c r="AE8" i="60"/>
  <c r="AE9" i="60"/>
  <c r="AE11" i="60"/>
  <c r="AE13" i="60"/>
  <c r="AE16" i="60"/>
  <c r="AA25" i="60"/>
  <c r="AA23" i="60"/>
  <c r="AC20" i="60"/>
  <c r="AD20" i="60"/>
  <c r="AA19" i="60"/>
  <c r="AE19" i="60" s="1"/>
  <c r="AB17" i="60"/>
  <c r="H27" i="80" s="1"/>
  <c r="AC15" i="60"/>
  <c r="AB10" i="60"/>
  <c r="AC7" i="60"/>
  <c r="H29" i="80"/>
  <c r="AD18" i="60"/>
  <c r="AB18" i="60"/>
  <c r="AA18" i="60"/>
  <c r="Z12" i="60"/>
  <c r="AE12" i="60" s="1"/>
  <c r="Z14" i="60"/>
  <c r="AE14" i="60" s="1"/>
  <c r="Z15" i="60"/>
  <c r="Z17" i="60"/>
  <c r="Z20" i="60"/>
  <c r="Z21" i="60"/>
  <c r="Z23" i="60"/>
  <c r="Z24" i="60"/>
  <c r="AE24" i="60" s="1"/>
  <c r="Z7" i="60"/>
  <c r="D5" i="75"/>
  <c r="D6" i="75"/>
  <c r="K9" i="79" s="1"/>
  <c r="D7" i="75"/>
  <c r="D8" i="75"/>
  <c r="D9" i="75"/>
  <c r="K7" i="74" s="1"/>
  <c r="D10" i="75"/>
  <c r="D11" i="75"/>
  <c r="D12" i="75"/>
  <c r="D13" i="75"/>
  <c r="K8" i="79" s="1"/>
  <c r="D14" i="75"/>
  <c r="K6" i="79" s="1"/>
  <c r="D15" i="75"/>
  <c r="K12" i="74" s="1"/>
  <c r="D16" i="75"/>
  <c r="D17" i="75"/>
  <c r="K20" i="79" s="1"/>
  <c r="D18" i="75"/>
  <c r="K17" i="74" s="1"/>
  <c r="D19" i="75"/>
  <c r="D20" i="75"/>
  <c r="D21" i="75"/>
  <c r="D4" i="75"/>
  <c r="E15" i="74"/>
  <c r="D15" i="74"/>
  <c r="B10" i="83" s="1"/>
  <c r="E14" i="74"/>
  <c r="C14" i="76" s="1"/>
  <c r="D14" i="74"/>
  <c r="E11" i="74"/>
  <c r="C19" i="76" s="1"/>
  <c r="D11" i="74"/>
  <c r="E9" i="74"/>
  <c r="C8" i="76" s="1"/>
  <c r="D9" i="74"/>
  <c r="D4" i="74"/>
  <c r="P29" i="74"/>
  <c r="L25" i="74"/>
  <c r="G25" i="74"/>
  <c r="F25" i="74"/>
  <c r="E23" i="74"/>
  <c r="C11" i="76" s="1"/>
  <c r="D23" i="74"/>
  <c r="E22" i="74"/>
  <c r="C13" i="76" s="1"/>
  <c r="D22" i="74"/>
  <c r="E19" i="74"/>
  <c r="C16" i="76" s="1"/>
  <c r="D19" i="74"/>
  <c r="E8" i="74"/>
  <c r="C20" i="76" s="1"/>
  <c r="D8" i="74"/>
  <c r="E6" i="74"/>
  <c r="C17" i="76" s="1"/>
  <c r="D6" i="74"/>
  <c r="E5" i="74"/>
  <c r="C10" i="76" s="1"/>
  <c r="D5" i="74"/>
  <c r="E4" i="74"/>
  <c r="D11" i="61" s="1"/>
  <c r="D19" i="68"/>
  <c r="E19" i="68"/>
  <c r="F19" i="68"/>
  <c r="G57" i="17"/>
  <c r="G59" i="17"/>
  <c r="G61" i="17"/>
  <c r="G63" i="17"/>
  <c r="G65" i="17"/>
  <c r="G67" i="17"/>
  <c r="D18" i="69"/>
  <c r="E18" i="69"/>
  <c r="G92" i="66"/>
  <c r="G94" i="66"/>
  <c r="G96" i="66"/>
  <c r="G98" i="66"/>
  <c r="G100" i="66"/>
  <c r="G102" i="66"/>
  <c r="D4" i="68"/>
  <c r="E4" i="68"/>
  <c r="K7" i="51"/>
  <c r="Q7" i="51" s="1"/>
  <c r="T7" i="51" s="1"/>
  <c r="V7" i="51" s="1"/>
  <c r="D5" i="68"/>
  <c r="E5" i="68"/>
  <c r="K8" i="51"/>
  <c r="D6" i="68"/>
  <c r="E6" i="68"/>
  <c r="D7" i="68"/>
  <c r="E7" i="68"/>
  <c r="K10" i="51"/>
  <c r="Q10" i="51" s="1"/>
  <c r="T10" i="51" s="1"/>
  <c r="V10" i="51" s="1"/>
  <c r="D8" i="68"/>
  <c r="E8" i="68"/>
  <c r="K11" i="51"/>
  <c r="D9" i="68"/>
  <c r="E9" i="68"/>
  <c r="K12" i="51"/>
  <c r="D10" i="68"/>
  <c r="E10" i="68"/>
  <c r="K13" i="51"/>
  <c r="Q13" i="51" s="1"/>
  <c r="T13" i="51" s="1"/>
  <c r="V13" i="51" s="1"/>
  <c r="K14" i="51"/>
  <c r="K15" i="51"/>
  <c r="D13" i="68"/>
  <c r="E13" i="68"/>
  <c r="K16" i="51"/>
  <c r="Q16" i="51" s="1"/>
  <c r="T16" i="51" s="1"/>
  <c r="V16" i="51" s="1"/>
  <c r="D14" i="68"/>
  <c r="E14" i="68"/>
  <c r="K17" i="51"/>
  <c r="Q17" i="51" s="1"/>
  <c r="T17" i="51" s="1"/>
  <c r="V17" i="51" s="1"/>
  <c r="W17" i="51" s="1"/>
  <c r="D15" i="68"/>
  <c r="E15" i="68"/>
  <c r="K18" i="51"/>
  <c r="Q18" i="51" s="1"/>
  <c r="T18" i="51" s="1"/>
  <c r="V18" i="51" s="1"/>
  <c r="D16" i="68"/>
  <c r="E16" i="68"/>
  <c r="K19" i="51"/>
  <c r="Q19" i="51" s="1"/>
  <c r="T19" i="51" s="1"/>
  <c r="V19" i="51" s="1"/>
  <c r="D18" i="68"/>
  <c r="E18" i="68"/>
  <c r="F18" i="68"/>
  <c r="D20" i="68"/>
  <c r="E20" i="68"/>
  <c r="F20" i="68"/>
  <c r="D21" i="68"/>
  <c r="E21" i="68"/>
  <c r="F21" i="68"/>
  <c r="D23" i="68"/>
  <c r="E23" i="68"/>
  <c r="K24" i="51"/>
  <c r="D24" i="68"/>
  <c r="E24" i="68"/>
  <c r="K25" i="51"/>
  <c r="Q25" i="51" s="1"/>
  <c r="T25" i="51" s="1"/>
  <c r="V25" i="51" s="1"/>
  <c r="N29" i="69"/>
  <c r="E4" i="69"/>
  <c r="E5" i="69"/>
  <c r="E6" i="69"/>
  <c r="E7" i="69"/>
  <c r="E8" i="69"/>
  <c r="E9" i="69"/>
  <c r="E10" i="69"/>
  <c r="E11" i="69"/>
  <c r="E13" i="69"/>
  <c r="E14" i="69"/>
  <c r="B11" i="80" s="1"/>
  <c r="E15" i="69"/>
  <c r="E17" i="69"/>
  <c r="E19" i="69"/>
  <c r="E20" i="69"/>
  <c r="E22" i="69"/>
  <c r="E23" i="69"/>
  <c r="G26" i="68"/>
  <c r="G28" i="68" s="1"/>
  <c r="G27" i="69" s="1"/>
  <c r="I25" i="69"/>
  <c r="D28" i="75" s="1"/>
  <c r="J26" i="68"/>
  <c r="J28" i="68" s="1"/>
  <c r="J27" i="69" s="1"/>
  <c r="D4" i="69"/>
  <c r="D5" i="69"/>
  <c r="D6" i="69"/>
  <c r="D7" i="69"/>
  <c r="D8" i="69"/>
  <c r="D9" i="69"/>
  <c r="D10" i="69"/>
  <c r="D11" i="69"/>
  <c r="D13" i="69"/>
  <c r="D14" i="69"/>
  <c r="B10" i="80" s="1"/>
  <c r="D15" i="69"/>
  <c r="D17" i="69"/>
  <c r="D19" i="69"/>
  <c r="D20" i="69"/>
  <c r="D22" i="69"/>
  <c r="D23" i="69"/>
  <c r="D5" i="61"/>
  <c r="K21" i="51"/>
  <c r="Q21" i="51" s="1"/>
  <c r="T21" i="51" s="1"/>
  <c r="V21" i="51" s="1"/>
  <c r="K20" i="51"/>
  <c r="Q20" i="51" s="1"/>
  <c r="T20" i="51" s="1"/>
  <c r="V20" i="51" s="1"/>
  <c r="U20" i="51"/>
  <c r="K22" i="51"/>
  <c r="Q22" i="51" s="1"/>
  <c r="T22" i="51" s="1"/>
  <c r="V22" i="51" s="1"/>
  <c r="K73" i="66"/>
  <c r="K74" i="66"/>
  <c r="K75" i="66"/>
  <c r="K76" i="66"/>
  <c r="K77" i="66"/>
  <c r="K78" i="66"/>
  <c r="K79" i="66"/>
  <c r="K80" i="66"/>
  <c r="K81" i="66"/>
  <c r="K82" i="66"/>
  <c r="K83" i="66"/>
  <c r="K84" i="66"/>
  <c r="K85" i="66"/>
  <c r="K86" i="66"/>
  <c r="K87" i="66"/>
  <c r="K88" i="66"/>
  <c r="K89" i="66"/>
  <c r="K72" i="66"/>
  <c r="K29" i="66"/>
  <c r="K30" i="66"/>
  <c r="K31" i="66"/>
  <c r="K32" i="66"/>
  <c r="K33" i="66"/>
  <c r="K34" i="66"/>
  <c r="K35" i="66"/>
  <c r="K36" i="66"/>
  <c r="K37" i="66"/>
  <c r="K38" i="66"/>
  <c r="K39" i="66"/>
  <c r="K40" i="66"/>
  <c r="K41" i="66"/>
  <c r="K42" i="66"/>
  <c r="K43" i="66"/>
  <c r="K44" i="66"/>
  <c r="K45" i="66"/>
  <c r="K28" i="66"/>
  <c r="F12" i="58"/>
  <c r="K23" i="51"/>
  <c r="Q23" i="51" s="1"/>
  <c r="T23" i="51" s="1"/>
  <c r="V23" i="51" s="1"/>
  <c r="J25" i="69"/>
  <c r="G25" i="69"/>
  <c r="B27" i="61"/>
  <c r="O21" i="68"/>
  <c r="L21" i="68"/>
  <c r="O20" i="68"/>
  <c r="L20" i="68"/>
  <c r="O19" i="68"/>
  <c r="L19" i="68"/>
  <c r="O18" i="68"/>
  <c r="O26" i="68" s="1"/>
  <c r="O28" i="68" s="1"/>
  <c r="L18" i="68"/>
  <c r="L16" i="68"/>
  <c r="L15" i="68"/>
  <c r="I15" i="68"/>
  <c r="I26" i="68" s="1"/>
  <c r="I28" i="68" s="1"/>
  <c r="I27" i="69" s="1"/>
  <c r="L14" i="68"/>
  <c r="L13" i="68"/>
  <c r="L12" i="68"/>
  <c r="L11" i="68"/>
  <c r="L10" i="68"/>
  <c r="L9" i="68"/>
  <c r="L8" i="68"/>
  <c r="L7" i="68"/>
  <c r="L6" i="68"/>
  <c r="L5" i="68"/>
  <c r="M4" i="68"/>
  <c r="M26" i="68" s="1"/>
  <c r="L4" i="68"/>
  <c r="L26" i="68" s="1"/>
  <c r="K67" i="66"/>
  <c r="M67" i="66" s="1"/>
  <c r="K66" i="66"/>
  <c r="K65" i="66"/>
  <c r="K64" i="66"/>
  <c r="M64" i="66" s="1"/>
  <c r="K63" i="66"/>
  <c r="M63" i="66" s="1"/>
  <c r="K62" i="66"/>
  <c r="K61" i="66"/>
  <c r="M61" i="66" s="1"/>
  <c r="K60" i="66"/>
  <c r="M60" i="66" s="1"/>
  <c r="K59" i="66"/>
  <c r="K58" i="66"/>
  <c r="M58" i="66" s="1"/>
  <c r="K57" i="66"/>
  <c r="M57" i="66" s="1"/>
  <c r="K56" i="66"/>
  <c r="M56" i="66" s="1"/>
  <c r="K55" i="66"/>
  <c r="M55" i="66" s="1"/>
  <c r="K54" i="66"/>
  <c r="M54" i="66" s="1"/>
  <c r="K53" i="66"/>
  <c r="M53" i="66" s="1"/>
  <c r="K52" i="66"/>
  <c r="M52" i="66" s="1"/>
  <c r="K51" i="66"/>
  <c r="K50" i="66"/>
  <c r="M50" i="66" s="1"/>
  <c r="K23" i="66"/>
  <c r="K22" i="66"/>
  <c r="M22" i="66" s="1"/>
  <c r="K21" i="66"/>
  <c r="M21" i="66" s="1"/>
  <c r="K20" i="66"/>
  <c r="M20" i="66" s="1"/>
  <c r="K19" i="66"/>
  <c r="M19" i="66" s="1"/>
  <c r="K18" i="66"/>
  <c r="M18" i="66" s="1"/>
  <c r="K17" i="66"/>
  <c r="K16" i="66"/>
  <c r="K15" i="66"/>
  <c r="M15" i="66" s="1"/>
  <c r="K14" i="66"/>
  <c r="K13" i="66"/>
  <c r="M13" i="66" s="1"/>
  <c r="K12" i="66"/>
  <c r="K11" i="66"/>
  <c r="K10" i="66"/>
  <c r="K9" i="66"/>
  <c r="M9" i="66" s="1"/>
  <c r="K8" i="66"/>
  <c r="K7" i="66"/>
  <c r="M7" i="66" s="1"/>
  <c r="K6" i="66"/>
  <c r="M6" i="66" s="1"/>
  <c r="Y8" i="60"/>
  <c r="Y9" i="60"/>
  <c r="Y10" i="60"/>
  <c r="Y11" i="60"/>
  <c r="Y12" i="60"/>
  <c r="Y13" i="60"/>
  <c r="Y14" i="60"/>
  <c r="Y16" i="60"/>
  <c r="Y17" i="60"/>
  <c r="Y18" i="60"/>
  <c r="Y19" i="60"/>
  <c r="Y23" i="60"/>
  <c r="Y24" i="60"/>
  <c r="Y25" i="60"/>
  <c r="V21" i="60"/>
  <c r="Y21" i="60" s="1"/>
  <c r="V22" i="60"/>
  <c r="Y22" i="60" s="1"/>
  <c r="V20" i="60"/>
  <c r="Y20" i="60" s="1"/>
  <c r="V15" i="60"/>
  <c r="Y15" i="60" s="1"/>
  <c r="V7" i="60"/>
  <c r="R26" i="60"/>
  <c r="T26" i="60"/>
  <c r="U26" i="60"/>
  <c r="AD64" i="60" s="1"/>
  <c r="Q26" i="60"/>
  <c r="K26" i="60"/>
  <c r="L26" i="60"/>
  <c r="I26" i="60"/>
  <c r="Z64" i="60" s="1"/>
  <c r="M48" i="41"/>
  <c r="K48" i="41"/>
  <c r="I48" i="41"/>
  <c r="G48" i="41"/>
  <c r="E48" i="41"/>
  <c r="D47" i="41"/>
  <c r="H47" i="41" s="1"/>
  <c r="E45" i="66" s="1"/>
  <c r="D46" i="41"/>
  <c r="D45" i="41"/>
  <c r="F45" i="41" s="1"/>
  <c r="D87" i="66" s="1"/>
  <c r="D44" i="41"/>
  <c r="F44" i="41" s="1"/>
  <c r="D43" i="41"/>
  <c r="F43" i="41" s="1"/>
  <c r="D42" i="41"/>
  <c r="D41" i="41"/>
  <c r="F41" i="41" s="1"/>
  <c r="D39" i="85" s="1"/>
  <c r="D40" i="41"/>
  <c r="L40" i="41" s="1"/>
  <c r="G60" i="85" s="1"/>
  <c r="D39" i="41"/>
  <c r="H39" i="41" s="1"/>
  <c r="D38" i="41"/>
  <c r="F38" i="41" s="1"/>
  <c r="D37" i="41"/>
  <c r="D36" i="41"/>
  <c r="H36" i="41" s="1"/>
  <c r="D35" i="41"/>
  <c r="L35" i="41" s="1"/>
  <c r="D34" i="41"/>
  <c r="H34" i="41" s="1"/>
  <c r="E10" i="85" s="1"/>
  <c r="G79" i="107" s="1"/>
  <c r="D33" i="41"/>
  <c r="N33" i="41" s="1"/>
  <c r="H53" i="85" s="1"/>
  <c r="D32" i="41"/>
  <c r="F32" i="41" s="1"/>
  <c r="D31" i="41"/>
  <c r="H31" i="41" s="1"/>
  <c r="D30" i="41"/>
  <c r="S6" i="17"/>
  <c r="S7" i="17"/>
  <c r="U7" i="17" s="1"/>
  <c r="S8" i="17"/>
  <c r="U8" i="17" s="1"/>
  <c r="S9" i="17"/>
  <c r="U9" i="17" s="1"/>
  <c r="S10" i="17"/>
  <c r="U10" i="17" s="1"/>
  <c r="S11" i="17"/>
  <c r="U11" i="17" s="1"/>
  <c r="S12" i="17"/>
  <c r="U12" i="17" s="1"/>
  <c r="S13" i="17"/>
  <c r="U13" i="17" s="1"/>
  <c r="S14" i="17"/>
  <c r="S15" i="17"/>
  <c r="U15" i="17" s="1"/>
  <c r="S16" i="17"/>
  <c r="U16" i="17" s="1"/>
  <c r="S17" i="17"/>
  <c r="U17" i="17" s="1"/>
  <c r="S18" i="17"/>
  <c r="U18" i="17" s="1"/>
  <c r="S19" i="17"/>
  <c r="U19" i="17" s="1"/>
  <c r="S20" i="17"/>
  <c r="U20" i="17" s="1"/>
  <c r="S21" i="17"/>
  <c r="U21" i="17" s="1"/>
  <c r="S22" i="17"/>
  <c r="U22" i="17" s="1"/>
  <c r="S23" i="17"/>
  <c r="S5" i="17"/>
  <c r="U5" i="17" s="1"/>
  <c r="K13" i="17"/>
  <c r="K14" i="17"/>
  <c r="M14" i="17" s="1"/>
  <c r="K15" i="17"/>
  <c r="M15" i="17" s="1"/>
  <c r="K16" i="17"/>
  <c r="K17" i="17"/>
  <c r="M17" i="17" s="1"/>
  <c r="Z17" i="17" s="1"/>
  <c r="V42" i="107" s="1"/>
  <c r="W42" i="107" s="1"/>
  <c r="K18" i="17"/>
  <c r="M18" i="17" s="1"/>
  <c r="K19" i="17"/>
  <c r="M19" i="17" s="1"/>
  <c r="K20" i="17"/>
  <c r="M20" i="17" s="1"/>
  <c r="K21" i="17"/>
  <c r="M21" i="17" s="1"/>
  <c r="K22" i="17"/>
  <c r="M22" i="17" s="1"/>
  <c r="Z22" i="17" s="1"/>
  <c r="R15" i="68" s="1"/>
  <c r="U15" i="68" s="1"/>
  <c r="K23" i="17"/>
  <c r="M23" i="17" s="1"/>
  <c r="K6" i="17"/>
  <c r="M6" i="17" s="1"/>
  <c r="K7" i="17"/>
  <c r="K8" i="17"/>
  <c r="M8" i="17" s="1"/>
  <c r="K9" i="17"/>
  <c r="M9" i="17" s="1"/>
  <c r="K10" i="17"/>
  <c r="M10" i="17" s="1"/>
  <c r="K11" i="17"/>
  <c r="M11" i="17" s="1"/>
  <c r="K12" i="17"/>
  <c r="M12" i="17" s="1"/>
  <c r="K5" i="17"/>
  <c r="M5" i="17" s="1"/>
  <c r="X24" i="60"/>
  <c r="X23" i="60"/>
  <c r="X21" i="60"/>
  <c r="X20" i="60"/>
  <c r="X18" i="60"/>
  <c r="X17" i="60"/>
  <c r="X13" i="60"/>
  <c r="X12" i="60"/>
  <c r="X7" i="60"/>
  <c r="H15" i="60"/>
  <c r="H16" i="60"/>
  <c r="F7" i="58"/>
  <c r="H17" i="60"/>
  <c r="S27" i="51"/>
  <c r="I27" i="51"/>
  <c r="U25" i="51"/>
  <c r="U24" i="51"/>
  <c r="U23" i="51"/>
  <c r="U22" i="51"/>
  <c r="U21" i="51"/>
  <c r="U19" i="51"/>
  <c r="U18" i="51"/>
  <c r="U17" i="51"/>
  <c r="U16" i="51"/>
  <c r="U15" i="51"/>
  <c r="U14" i="51"/>
  <c r="U13" i="51"/>
  <c r="U11" i="51"/>
  <c r="U10" i="51"/>
  <c r="U8" i="51"/>
  <c r="S14" i="60"/>
  <c r="S26" i="60" s="1"/>
  <c r="F55" i="60"/>
  <c r="G54" i="60"/>
  <c r="G53" i="60"/>
  <c r="G52" i="60"/>
  <c r="P26" i="60"/>
  <c r="M26" i="60"/>
  <c r="O26" i="60"/>
  <c r="N26" i="60"/>
  <c r="J26" i="60"/>
  <c r="G26" i="60"/>
  <c r="F26" i="60"/>
  <c r="F8" i="58"/>
  <c r="U25" i="17"/>
  <c r="U24" i="17"/>
  <c r="M24" i="17"/>
  <c r="M25" i="17"/>
  <c r="R31" i="51"/>
  <c r="R30" i="51"/>
  <c r="H31" i="51"/>
  <c r="H30" i="51"/>
  <c r="J27" i="51"/>
  <c r="F27" i="51"/>
  <c r="L31" i="51"/>
  <c r="E31" i="51"/>
  <c r="D31" i="51"/>
  <c r="L30" i="51"/>
  <c r="E30" i="51"/>
  <c r="D30" i="51"/>
  <c r="G27" i="51"/>
  <c r="O23" i="51"/>
  <c r="L23" i="51"/>
  <c r="O22" i="51"/>
  <c r="L22" i="51"/>
  <c r="O21" i="51"/>
  <c r="L21" i="51"/>
  <c r="O20" i="51"/>
  <c r="O27" i="51" s="1"/>
  <c r="L20" i="51"/>
  <c r="L19" i="51"/>
  <c r="L18" i="51"/>
  <c r="L17" i="51"/>
  <c r="L16" i="51"/>
  <c r="L15" i="51"/>
  <c r="L14" i="51"/>
  <c r="L13" i="51"/>
  <c r="L12" i="51"/>
  <c r="L11" i="51"/>
  <c r="L10" i="51"/>
  <c r="L9" i="51"/>
  <c r="L8" i="51"/>
  <c r="M7" i="51"/>
  <c r="M27" i="51" s="1"/>
  <c r="L7" i="51"/>
  <c r="D10" i="41"/>
  <c r="N10" i="41" s="1"/>
  <c r="H10" i="17" s="1"/>
  <c r="D16" i="41"/>
  <c r="D17" i="41"/>
  <c r="N17" i="41" s="1"/>
  <c r="H17" i="17" s="1"/>
  <c r="D18" i="41"/>
  <c r="N18" i="41" s="1"/>
  <c r="H18" i="17" s="1"/>
  <c r="D5" i="41"/>
  <c r="D6" i="41"/>
  <c r="J6" i="41" s="1"/>
  <c r="F6" i="17" s="1"/>
  <c r="D7" i="41"/>
  <c r="F7" i="41" s="1"/>
  <c r="D7" i="17" s="1"/>
  <c r="D8" i="41"/>
  <c r="L8" i="41" s="1"/>
  <c r="G8" i="17" s="1"/>
  <c r="D9" i="41"/>
  <c r="L9" i="41" s="1"/>
  <c r="G9" i="17" s="1"/>
  <c r="D12" i="41"/>
  <c r="D14" i="41"/>
  <c r="J14" i="41" s="1"/>
  <c r="F14" i="17" s="1"/>
  <c r="D15" i="41"/>
  <c r="J15" i="41" s="1"/>
  <c r="F15" i="17" s="1"/>
  <c r="D19" i="41"/>
  <c r="J19" i="41" s="1"/>
  <c r="F19" i="17" s="1"/>
  <c r="D20" i="41"/>
  <c r="D21" i="41"/>
  <c r="D22" i="41"/>
  <c r="L22" i="41" s="1"/>
  <c r="G22" i="17" s="1"/>
  <c r="D23" i="41"/>
  <c r="J23" i="41" s="1"/>
  <c r="F23" i="17" s="1"/>
  <c r="D11" i="41"/>
  <c r="D13" i="41"/>
  <c r="J13" i="41" s="1"/>
  <c r="F13" i="17" s="1"/>
  <c r="E24" i="41"/>
  <c r="G24" i="41"/>
  <c r="I24" i="41"/>
  <c r="K24" i="41"/>
  <c r="M24" i="41"/>
  <c r="H67" i="17"/>
  <c r="H65" i="17"/>
  <c r="H63" i="17"/>
  <c r="H61" i="17"/>
  <c r="H59" i="17"/>
  <c r="H57" i="17"/>
  <c r="D27" i="51"/>
  <c r="E27" i="51"/>
  <c r="U7" i="51"/>
  <c r="U12" i="51"/>
  <c r="U9" i="51"/>
  <c r="R27" i="51"/>
  <c r="F25" i="69"/>
  <c r="M13" i="51"/>
  <c r="M6" i="68"/>
  <c r="M30" i="51"/>
  <c r="M16" i="68"/>
  <c r="M7" i="68"/>
  <c r="M23" i="68"/>
  <c r="M10" i="68"/>
  <c r="M18" i="51"/>
  <c r="M24" i="68"/>
  <c r="M13" i="68"/>
  <c r="M10" i="51"/>
  <c r="M8" i="68"/>
  <c r="M9" i="51"/>
  <c r="M11" i="68"/>
  <c r="M14" i="68"/>
  <c r="M17" i="51"/>
  <c r="M21" i="68"/>
  <c r="M23" i="51"/>
  <c r="L24" i="68"/>
  <c r="L25" i="51"/>
  <c r="L23" i="68"/>
  <c r="L24" i="51"/>
  <c r="M12" i="51"/>
  <c r="M9" i="68"/>
  <c r="M14" i="51"/>
  <c r="M20" i="51"/>
  <c r="M18" i="68"/>
  <c r="M12" i="68"/>
  <c r="M19" i="51"/>
  <c r="M16" i="51"/>
  <c r="M8" i="51"/>
  <c r="M5" i="68"/>
  <c r="M21" i="51"/>
  <c r="M19" i="68"/>
  <c r="M15" i="68"/>
  <c r="M24" i="51"/>
  <c r="M22" i="51"/>
  <c r="M20" i="68"/>
  <c r="M15" i="51"/>
  <c r="M11" i="51"/>
  <c r="M31" i="51"/>
  <c r="M25" i="51"/>
  <c r="F7" i="77"/>
  <c r="D12" i="77"/>
  <c r="D14" i="77" s="1"/>
  <c r="N16" i="41"/>
  <c r="H16" i="17" s="1"/>
  <c r="K9" i="51"/>
  <c r="H27" i="51"/>
  <c r="M66" i="66"/>
  <c r="D41" i="80"/>
  <c r="D42" i="80"/>
  <c r="D39" i="80"/>
  <c r="D40" i="80"/>
  <c r="D38" i="80"/>
  <c r="AD14" i="91"/>
  <c r="D32" i="80"/>
  <c r="H18" i="80"/>
  <c r="D34" i="80"/>
  <c r="E110" i="96"/>
  <c r="E110" i="93"/>
  <c r="D22" i="120" l="1"/>
  <c r="C13" i="120"/>
  <c r="B10" i="90"/>
  <c r="P19" i="120"/>
  <c r="AD7" i="120"/>
  <c r="AF7" i="120" s="1"/>
  <c r="P8" i="120"/>
  <c r="P9" i="120"/>
  <c r="P6" i="120"/>
  <c r="P18" i="120"/>
  <c r="AD18" i="120"/>
  <c r="AF18" i="120" s="1"/>
  <c r="P14" i="120"/>
  <c r="AD5" i="120"/>
  <c r="AF5" i="120" s="1"/>
  <c r="P5" i="120"/>
  <c r="P16" i="120"/>
  <c r="P11" i="120"/>
  <c r="P10" i="120"/>
  <c r="P20" i="120"/>
  <c r="P13" i="120"/>
  <c r="P15" i="120"/>
  <c r="P6" i="148"/>
  <c r="P8" i="148"/>
  <c r="D34" i="58" s="1"/>
  <c r="D10" i="90"/>
  <c r="P5" i="148"/>
  <c r="P9" i="148"/>
  <c r="P17" i="120"/>
  <c r="AD15" i="120"/>
  <c r="AF15" i="120" s="1"/>
  <c r="H22" i="148"/>
  <c r="P11" i="148"/>
  <c r="P10" i="148"/>
  <c r="P13" i="148"/>
  <c r="P20" i="148"/>
  <c r="P16" i="148"/>
  <c r="P14" i="148"/>
  <c r="AD19" i="120"/>
  <c r="AF19" i="120" s="1"/>
  <c r="P18" i="148"/>
  <c r="D22" i="148"/>
  <c r="D72" i="148" s="1"/>
  <c r="P15" i="148"/>
  <c r="K7" i="148"/>
  <c r="L7" i="148" s="1"/>
  <c r="L50" i="148" s="1"/>
  <c r="N50" i="148" s="1"/>
  <c r="P12" i="148"/>
  <c r="P17" i="148"/>
  <c r="P19" i="148"/>
  <c r="P4" i="120"/>
  <c r="Q57" i="141"/>
  <c r="Q59" i="141" s="1"/>
  <c r="Q60" i="141" s="1"/>
  <c r="Q62" i="141" s="1"/>
  <c r="Q64" i="141"/>
  <c r="Q66" i="141" s="1"/>
  <c r="Q68" i="141" s="1"/>
  <c r="Q48" i="141"/>
  <c r="Q50" i="141" s="1"/>
  <c r="Q51" i="141" s="1"/>
  <c r="Q55" i="141" s="1"/>
  <c r="AR106" i="121"/>
  <c r="AT106" i="121" s="1"/>
  <c r="E4" i="118"/>
  <c r="G4" i="118" s="1"/>
  <c r="Z121" i="73"/>
  <c r="V115" i="85"/>
  <c r="O9" i="84" s="1"/>
  <c r="Z9" i="84" s="1"/>
  <c r="Y112" i="92"/>
  <c r="Z114" i="95"/>
  <c r="Z122" i="95"/>
  <c r="Z122" i="73"/>
  <c r="Z111" i="92"/>
  <c r="Z115" i="95"/>
  <c r="Z123" i="95"/>
  <c r="V121" i="85"/>
  <c r="O20" i="84" s="1"/>
  <c r="Z111" i="85"/>
  <c r="Y118" i="92"/>
  <c r="V126" i="92"/>
  <c r="Z116" i="92"/>
  <c r="Z124" i="92"/>
  <c r="Z128" i="95"/>
  <c r="Z120" i="73"/>
  <c r="V119" i="92"/>
  <c r="K19" i="112"/>
  <c r="L19" i="112" s="1"/>
  <c r="AA19" i="112" s="1"/>
  <c r="AC19" i="112" s="1"/>
  <c r="K18" i="112"/>
  <c r="L18" i="112" s="1"/>
  <c r="R18" i="112" s="1"/>
  <c r="S18" i="112" s="1"/>
  <c r="K20" i="112"/>
  <c r="L20" i="112" s="1"/>
  <c r="R20" i="112" s="1"/>
  <c r="S20" i="112" s="1"/>
  <c r="K17" i="112"/>
  <c r="L17" i="112" s="1"/>
  <c r="AA17" i="112" s="1"/>
  <c r="AC17" i="112" s="1"/>
  <c r="K15" i="112"/>
  <c r="L15" i="112" s="1"/>
  <c r="R15" i="112" s="1"/>
  <c r="S15" i="112" s="1"/>
  <c r="F51" i="98"/>
  <c r="K13" i="112"/>
  <c r="L13" i="112" s="1"/>
  <c r="R13" i="112" s="1"/>
  <c r="S13" i="112" s="1"/>
  <c r="K23" i="112"/>
  <c r="L23" i="112" s="1"/>
  <c r="AA23" i="112" s="1"/>
  <c r="AC23" i="112" s="1"/>
  <c r="AA6" i="112"/>
  <c r="AC6" i="112" s="1"/>
  <c r="R5" i="112"/>
  <c r="S5" i="112" s="1"/>
  <c r="H22" i="120"/>
  <c r="H24" i="120" s="1"/>
  <c r="AA22" i="112"/>
  <c r="AC22" i="112" s="1"/>
  <c r="O4" i="104"/>
  <c r="V4" i="112" s="1"/>
  <c r="AP112" i="113"/>
  <c r="AR112" i="113" s="1"/>
  <c r="AA8" i="112"/>
  <c r="AC8" i="112" s="1"/>
  <c r="R7" i="112"/>
  <c r="S7" i="112" s="1"/>
  <c r="R11" i="112"/>
  <c r="S11" i="112" s="1"/>
  <c r="R10" i="112"/>
  <c r="S10" i="112" s="1"/>
  <c r="AA9" i="112"/>
  <c r="AC9" i="112" s="1"/>
  <c r="AA12" i="112"/>
  <c r="AC12" i="112" s="1"/>
  <c r="K4" i="112"/>
  <c r="P57" i="98"/>
  <c r="U40" i="95"/>
  <c r="U50" i="95"/>
  <c r="U84" i="95"/>
  <c r="U63" i="95"/>
  <c r="U17" i="95"/>
  <c r="U33" i="95"/>
  <c r="U41" i="95"/>
  <c r="U61" i="95"/>
  <c r="U77" i="95"/>
  <c r="U85" i="95"/>
  <c r="U11" i="95"/>
  <c r="U55" i="95"/>
  <c r="U18" i="95"/>
  <c r="U62" i="95"/>
  <c r="U19" i="95"/>
  <c r="U39" i="95"/>
  <c r="U83" i="95"/>
  <c r="D5" i="105"/>
  <c r="F5" i="105" s="1"/>
  <c r="B5" i="103"/>
  <c r="F5" i="103" s="1"/>
  <c r="D6" i="105"/>
  <c r="F6" i="105" s="1"/>
  <c r="B6" i="103"/>
  <c r="F6" i="103" s="1"/>
  <c r="T116" i="108"/>
  <c r="M8" i="104"/>
  <c r="X4" i="104"/>
  <c r="AA4" i="104"/>
  <c r="AJ4" i="104"/>
  <c r="T123" i="108"/>
  <c r="M18" i="104"/>
  <c r="T115" i="108"/>
  <c r="M7" i="104"/>
  <c r="T126" i="108"/>
  <c r="M12" i="104"/>
  <c r="T125" i="108"/>
  <c r="M20" i="104"/>
  <c r="T120" i="108"/>
  <c r="M23" i="104"/>
  <c r="T129" i="108"/>
  <c r="M15" i="104"/>
  <c r="T121" i="108"/>
  <c r="AL121" i="108" s="1"/>
  <c r="M10" i="104"/>
  <c r="T119" i="108"/>
  <c r="AL119" i="108" s="1"/>
  <c r="M9" i="104"/>
  <c r="T114" i="108"/>
  <c r="M6" i="104"/>
  <c r="T122" i="108"/>
  <c r="AL122" i="108" s="1"/>
  <c r="M11" i="104"/>
  <c r="T128" i="108"/>
  <c r="M14" i="104"/>
  <c r="J116" i="108"/>
  <c r="H8" i="104" s="1"/>
  <c r="R113" i="108"/>
  <c r="R117" i="108"/>
  <c r="J118" i="108"/>
  <c r="H22" i="104" s="1"/>
  <c r="R118" i="108"/>
  <c r="J127" i="108"/>
  <c r="H13" i="104" s="1"/>
  <c r="R127" i="108"/>
  <c r="R124" i="108"/>
  <c r="J124" i="108"/>
  <c r="H19" i="104" s="1"/>
  <c r="J117" i="108"/>
  <c r="H17" i="104" s="1"/>
  <c r="I131" i="108"/>
  <c r="T112" i="108"/>
  <c r="J113" i="108"/>
  <c r="H5" i="104" s="1"/>
  <c r="F131" i="108"/>
  <c r="L39" i="73"/>
  <c r="V118" i="92"/>
  <c r="O23" i="91" s="1"/>
  <c r="Z23" i="91" s="1"/>
  <c r="G16" i="96"/>
  <c r="O12" i="93"/>
  <c r="L38" i="73"/>
  <c r="G15" i="93"/>
  <c r="I30" i="93"/>
  <c r="K11" i="93"/>
  <c r="G44" i="93"/>
  <c r="D50" i="58"/>
  <c r="M123" i="66"/>
  <c r="X14" i="69" s="1"/>
  <c r="O7" i="93"/>
  <c r="I11" i="93"/>
  <c r="H10" i="80"/>
  <c r="I23" i="93"/>
  <c r="Q30" i="93"/>
  <c r="G7" i="93"/>
  <c r="I19" i="93"/>
  <c r="AR26" i="86"/>
  <c r="B9" i="89" s="1"/>
  <c r="I37" i="93"/>
  <c r="E13" i="92" s="1"/>
  <c r="N17" i="73"/>
  <c r="N119" i="73" s="1"/>
  <c r="N10" i="73"/>
  <c r="N112" i="73" s="1"/>
  <c r="Z108" i="73"/>
  <c r="Z112" i="73"/>
  <c r="Z116" i="73"/>
  <c r="K17" i="84"/>
  <c r="M42" i="96"/>
  <c r="L151" i="96" s="1"/>
  <c r="P48" i="98"/>
  <c r="AE17" i="101"/>
  <c r="AS20" i="101"/>
  <c r="N19" i="41"/>
  <c r="H19" i="17" s="1"/>
  <c r="N9" i="41"/>
  <c r="H9" i="17" s="1"/>
  <c r="K20" i="74"/>
  <c r="P19" i="85"/>
  <c r="Y121" i="85" s="1"/>
  <c r="L82" i="92"/>
  <c r="R120" i="92" s="1"/>
  <c r="Q33" i="93"/>
  <c r="F131" i="93"/>
  <c r="I38" i="96"/>
  <c r="J45" i="41"/>
  <c r="F43" i="78" s="1"/>
  <c r="L123" i="73"/>
  <c r="G45" i="93"/>
  <c r="I47" i="93"/>
  <c r="O7" i="96"/>
  <c r="L32" i="74"/>
  <c r="N134" i="96"/>
  <c r="F45" i="95" s="1"/>
  <c r="M45" i="95" s="1"/>
  <c r="Q129" i="95" s="1"/>
  <c r="S124" i="95"/>
  <c r="D43" i="66"/>
  <c r="Y17" i="51"/>
  <c r="W14" i="68" s="1"/>
  <c r="Z112" i="78"/>
  <c r="Z109" i="78"/>
  <c r="AI116" i="73"/>
  <c r="AF113" i="73"/>
  <c r="AI109" i="73"/>
  <c r="I31" i="93"/>
  <c r="M38" i="93"/>
  <c r="H131" i="93"/>
  <c r="G42" i="96"/>
  <c r="F151" i="96" s="1"/>
  <c r="O46" i="96"/>
  <c r="K9" i="74"/>
  <c r="AD26" i="60"/>
  <c r="AD66" i="60" s="1"/>
  <c r="D21" i="78"/>
  <c r="H10" i="41"/>
  <c r="E10" i="17" s="1"/>
  <c r="F36" i="41"/>
  <c r="D78" i="85" s="1"/>
  <c r="L44" i="41"/>
  <c r="G64" i="66" s="1"/>
  <c r="K8" i="74"/>
  <c r="AE21" i="86"/>
  <c r="AE23" i="86"/>
  <c r="M21" i="93"/>
  <c r="O31" i="93"/>
  <c r="K38" i="96"/>
  <c r="G14" i="96"/>
  <c r="E34" i="66"/>
  <c r="E34" i="85"/>
  <c r="E56" i="78"/>
  <c r="N35" i="41"/>
  <c r="H11" i="66" s="1"/>
  <c r="Z124" i="78"/>
  <c r="K38" i="93"/>
  <c r="O10" i="96"/>
  <c r="L32" i="41"/>
  <c r="G74" i="66" s="1"/>
  <c r="H6" i="41"/>
  <c r="E6" i="17" s="1"/>
  <c r="J39" i="41"/>
  <c r="F81" i="66" s="1"/>
  <c r="N53" i="85"/>
  <c r="O111" i="85" s="1"/>
  <c r="AE10" i="60"/>
  <c r="G55" i="86"/>
  <c r="AI61" i="86"/>
  <c r="K33" i="93"/>
  <c r="G33" i="93"/>
  <c r="L123" i="96"/>
  <c r="H34" i="95" s="1"/>
  <c r="H13" i="41"/>
  <c r="E13" i="17" s="1"/>
  <c r="L121" i="66"/>
  <c r="M12" i="69" s="1"/>
  <c r="P12" i="69" s="1"/>
  <c r="L43" i="41"/>
  <c r="G63" i="78" s="1"/>
  <c r="Z120" i="78"/>
  <c r="L32" i="73"/>
  <c r="N63" i="95"/>
  <c r="E125" i="95" s="1"/>
  <c r="H44" i="41"/>
  <c r="E42" i="78" s="1"/>
  <c r="N39" i="41"/>
  <c r="H59" i="78" s="1"/>
  <c r="N59" i="78" s="1"/>
  <c r="O117" i="78" s="1"/>
  <c r="S116" i="73"/>
  <c r="N23" i="73"/>
  <c r="N125" i="73" s="1"/>
  <c r="Q15" i="92"/>
  <c r="G14" i="93"/>
  <c r="K10" i="93"/>
  <c r="M11" i="96"/>
  <c r="P121" i="93"/>
  <c r="G77" i="78"/>
  <c r="G77" i="66"/>
  <c r="Y126" i="95"/>
  <c r="AA126" i="95" s="1"/>
  <c r="H31" i="78"/>
  <c r="K31" i="78" s="1"/>
  <c r="Q111" i="78" s="1"/>
  <c r="AB26" i="60"/>
  <c r="AB59" i="60" s="1"/>
  <c r="L6" i="41"/>
  <c r="G6" i="17" s="1"/>
  <c r="N22" i="51"/>
  <c r="P22" i="51" s="1"/>
  <c r="N19" i="51"/>
  <c r="Z9" i="17"/>
  <c r="AE18" i="60"/>
  <c r="AE7" i="60"/>
  <c r="AE23" i="60"/>
  <c r="Z114" i="78"/>
  <c r="Z118" i="78"/>
  <c r="AI121" i="73"/>
  <c r="AF116" i="73"/>
  <c r="AF111" i="73"/>
  <c r="AF118" i="73"/>
  <c r="AF117" i="73"/>
  <c r="J118" i="73"/>
  <c r="L36" i="73"/>
  <c r="I123" i="73"/>
  <c r="P7" i="85"/>
  <c r="Y109" i="85" s="1"/>
  <c r="K23" i="91"/>
  <c r="I15" i="93"/>
  <c r="M33" i="93"/>
  <c r="G37" i="93"/>
  <c r="D13" i="92" s="1"/>
  <c r="Q38" i="93"/>
  <c r="M23" i="93"/>
  <c r="O23" i="93"/>
  <c r="M19" i="93"/>
  <c r="G19" i="93"/>
  <c r="I38" i="93"/>
  <c r="G11" i="93"/>
  <c r="K40" i="93"/>
  <c r="F16" i="92" s="1"/>
  <c r="M31" i="93"/>
  <c r="O37" i="93"/>
  <c r="H13" i="92" s="1"/>
  <c r="L119" i="93"/>
  <c r="H134" i="96"/>
  <c r="E89" i="95" s="1"/>
  <c r="O16" i="96"/>
  <c r="O11" i="96"/>
  <c r="Q38" i="96"/>
  <c r="N123" i="93"/>
  <c r="O38" i="96"/>
  <c r="Z108" i="78"/>
  <c r="AA111" i="85"/>
  <c r="V115" i="92"/>
  <c r="O17" i="91" s="1"/>
  <c r="Z17" i="91" s="1"/>
  <c r="S123" i="95"/>
  <c r="D65" i="85"/>
  <c r="L123" i="66"/>
  <c r="M14" i="69" s="1"/>
  <c r="B24" i="80" s="1"/>
  <c r="F33" i="41"/>
  <c r="D75" i="85" s="1"/>
  <c r="L39" i="41"/>
  <c r="G37" i="66" s="1"/>
  <c r="F39" i="41"/>
  <c r="D37" i="66" s="1"/>
  <c r="Z25" i="17"/>
  <c r="Z12" i="17"/>
  <c r="AE21" i="60"/>
  <c r="F117" i="73"/>
  <c r="S118" i="73"/>
  <c r="G31" i="93"/>
  <c r="I7" i="93"/>
  <c r="K37" i="93"/>
  <c r="F13" i="92" s="1"/>
  <c r="I33" i="93"/>
  <c r="Q31" i="93"/>
  <c r="M7" i="93"/>
  <c r="G23" i="93"/>
  <c r="G5" i="93"/>
  <c r="M11" i="93"/>
  <c r="G38" i="93"/>
  <c r="O15" i="93"/>
  <c r="Z127" i="92"/>
  <c r="H121" i="93"/>
  <c r="N121" i="93"/>
  <c r="G38" i="96"/>
  <c r="K20" i="96"/>
  <c r="M12" i="96"/>
  <c r="K42" i="96"/>
  <c r="J151" i="96" s="1"/>
  <c r="K12" i="96"/>
  <c r="D52" i="85"/>
  <c r="D8" i="85"/>
  <c r="D8" i="66"/>
  <c r="D74" i="78"/>
  <c r="D30" i="66"/>
  <c r="D64" i="85"/>
  <c r="D86" i="66"/>
  <c r="J125" i="73"/>
  <c r="L45" i="73"/>
  <c r="Q12" i="92"/>
  <c r="V116" i="92"/>
  <c r="O22" i="91" s="1"/>
  <c r="Z22" i="91" s="1"/>
  <c r="Q56" i="92"/>
  <c r="O56" i="92"/>
  <c r="O116" i="92" s="1"/>
  <c r="L33" i="92"/>
  <c r="Q115" i="92" s="1"/>
  <c r="O53" i="92"/>
  <c r="O113" i="92" s="1"/>
  <c r="L72" i="92"/>
  <c r="R110" i="92" s="1"/>
  <c r="L84" i="92"/>
  <c r="R122" i="92" s="1"/>
  <c r="O65" i="92"/>
  <c r="O125" i="92" s="1"/>
  <c r="L81" i="92"/>
  <c r="R119" i="92" s="1"/>
  <c r="L44" i="92"/>
  <c r="Q126" i="92" s="1"/>
  <c r="S126" i="92" s="1"/>
  <c r="L74" i="92"/>
  <c r="R112" i="92" s="1"/>
  <c r="L79" i="92"/>
  <c r="R117" i="92" s="1"/>
  <c r="E10" i="66"/>
  <c r="E10" i="78"/>
  <c r="E54" i="66"/>
  <c r="Q12" i="51"/>
  <c r="T12" i="51" s="1"/>
  <c r="V12" i="51" s="1"/>
  <c r="Y12" i="51" s="1"/>
  <c r="W9" i="68" s="1"/>
  <c r="N12" i="51"/>
  <c r="P15" i="73"/>
  <c r="N15" i="73"/>
  <c r="N117" i="73" s="1"/>
  <c r="P53" i="73"/>
  <c r="N53" i="73"/>
  <c r="O111" i="73" s="1"/>
  <c r="Y108" i="78"/>
  <c r="P8" i="85"/>
  <c r="P20" i="85"/>
  <c r="Y122" i="85" s="1"/>
  <c r="V122" i="85"/>
  <c r="O12" i="84" s="1"/>
  <c r="Z12" i="84" s="1"/>
  <c r="K5" i="84"/>
  <c r="K5" i="91"/>
  <c r="K8" i="91"/>
  <c r="K8" i="84"/>
  <c r="K20" i="84"/>
  <c r="K20" i="91"/>
  <c r="K6" i="93"/>
  <c r="I34" i="93"/>
  <c r="O52" i="92"/>
  <c r="O112" i="92" s="1"/>
  <c r="L41" i="92"/>
  <c r="Q123" i="92" s="1"/>
  <c r="L78" i="92"/>
  <c r="R116" i="92" s="1"/>
  <c r="S116" i="92" s="1"/>
  <c r="L124" i="93"/>
  <c r="N124" i="93"/>
  <c r="L117" i="96"/>
  <c r="H72" i="95" s="1"/>
  <c r="J117" i="96"/>
  <c r="D72" i="95" s="1"/>
  <c r="N55" i="95"/>
  <c r="E117" i="95" s="1"/>
  <c r="G15" i="78"/>
  <c r="G81" i="66"/>
  <c r="K7" i="79"/>
  <c r="V121" i="78"/>
  <c r="O20" i="74" s="1"/>
  <c r="R20" i="74" s="1"/>
  <c r="J119" i="73"/>
  <c r="L119" i="73" s="1"/>
  <c r="K113" i="73"/>
  <c r="L113" i="73" s="1"/>
  <c r="L77" i="73"/>
  <c r="N8" i="73"/>
  <c r="N110" i="73" s="1"/>
  <c r="S121" i="73"/>
  <c r="K7" i="91"/>
  <c r="O54" i="92"/>
  <c r="O114" i="92" s="1"/>
  <c r="O62" i="92"/>
  <c r="O122" i="92" s="1"/>
  <c r="N53" i="92"/>
  <c r="H113" i="92" s="1"/>
  <c r="O47" i="93"/>
  <c r="M47" i="93"/>
  <c r="G47" i="93"/>
  <c r="Q47" i="93"/>
  <c r="M43" i="93"/>
  <c r="G19" i="92" s="1"/>
  <c r="Q43" i="93"/>
  <c r="I19" i="92" s="1"/>
  <c r="O19" i="92" s="1"/>
  <c r="N123" i="92" s="1"/>
  <c r="K43" i="93"/>
  <c r="F19" i="92" s="1"/>
  <c r="K45" i="93"/>
  <c r="I45" i="93"/>
  <c r="Y16" i="51"/>
  <c r="W13" i="68" s="1"/>
  <c r="W16" i="51"/>
  <c r="H46" i="41"/>
  <c r="E22" i="78" s="1"/>
  <c r="N46" i="41"/>
  <c r="H22" i="78" s="1"/>
  <c r="N22" i="78" s="1"/>
  <c r="N124" i="78" s="1"/>
  <c r="E111" i="93"/>
  <c r="K112" i="93" s="1"/>
  <c r="H14" i="92" s="1"/>
  <c r="K110" i="93"/>
  <c r="G11" i="78"/>
  <c r="G11" i="66"/>
  <c r="E34" i="78"/>
  <c r="E56" i="66"/>
  <c r="E56" i="85"/>
  <c r="E78" i="66"/>
  <c r="H19" i="41"/>
  <c r="E19" i="17" s="1"/>
  <c r="F19" i="41"/>
  <c r="D19" i="17" s="1"/>
  <c r="L19" i="41"/>
  <c r="G19" i="17" s="1"/>
  <c r="H9" i="41"/>
  <c r="E9" i="17" s="1"/>
  <c r="F9" i="41"/>
  <c r="J9" i="41"/>
  <c r="F9" i="17" s="1"/>
  <c r="G55" i="60"/>
  <c r="J32" i="41"/>
  <c r="F74" i="85" s="1"/>
  <c r="N32" i="41"/>
  <c r="H74" i="66" s="1"/>
  <c r="H32" i="41"/>
  <c r="E30" i="78" s="1"/>
  <c r="N36" i="41"/>
  <c r="H34" i="85" s="1"/>
  <c r="K34" i="85" s="1"/>
  <c r="Q114" i="85" s="1"/>
  <c r="L36" i="41"/>
  <c r="J36" i="41"/>
  <c r="F12" i="85" s="1"/>
  <c r="G38" i="78"/>
  <c r="G38" i="66"/>
  <c r="G16" i="78"/>
  <c r="N44" i="41"/>
  <c r="H64" i="66" s="1"/>
  <c r="J44" i="41"/>
  <c r="F64" i="66" s="1"/>
  <c r="M120" i="66"/>
  <c r="X20" i="69" s="1"/>
  <c r="L124" i="66"/>
  <c r="M15" i="69" s="1"/>
  <c r="P15" i="69" s="1"/>
  <c r="E25" i="69"/>
  <c r="O24" i="17"/>
  <c r="K23" i="79"/>
  <c r="K23" i="74"/>
  <c r="K5" i="79"/>
  <c r="K5" i="74"/>
  <c r="L83" i="73"/>
  <c r="Q124" i="73"/>
  <c r="S124" i="73" s="1"/>
  <c r="L44" i="73"/>
  <c r="H11" i="83"/>
  <c r="Q34" i="93"/>
  <c r="V112" i="92"/>
  <c r="G6" i="96"/>
  <c r="J132" i="93"/>
  <c r="F126" i="93"/>
  <c r="L126" i="93"/>
  <c r="R134" i="93"/>
  <c r="F134" i="93"/>
  <c r="K36" i="96"/>
  <c r="J145" i="96" s="1"/>
  <c r="O36" i="96"/>
  <c r="I47" i="96"/>
  <c r="Q47" i="96"/>
  <c r="P63" i="95"/>
  <c r="O125" i="95" s="1"/>
  <c r="N19" i="95"/>
  <c r="D125" i="95" s="1"/>
  <c r="K110" i="96"/>
  <c r="N25" i="51"/>
  <c r="N17" i="51"/>
  <c r="L28" i="68"/>
  <c r="Y125" i="78"/>
  <c r="AI112" i="73"/>
  <c r="AI117" i="73"/>
  <c r="L29" i="73"/>
  <c r="V119" i="73"/>
  <c r="O18" i="79" s="1"/>
  <c r="R18" i="79" s="1"/>
  <c r="F8" i="89"/>
  <c r="H119" i="93"/>
  <c r="L131" i="93"/>
  <c r="J123" i="93"/>
  <c r="N16" i="51"/>
  <c r="K30" i="51"/>
  <c r="N30" i="51" s="1"/>
  <c r="Z24" i="17"/>
  <c r="Z11" i="17"/>
  <c r="L28" i="73"/>
  <c r="F114" i="73"/>
  <c r="F108" i="73"/>
  <c r="Z117" i="85"/>
  <c r="N62" i="95"/>
  <c r="E124" i="95" s="1"/>
  <c r="I33" i="94"/>
  <c r="C4" i="76"/>
  <c r="N21" i="51"/>
  <c r="P21" i="51" s="1"/>
  <c r="N10" i="51"/>
  <c r="Z21" i="17"/>
  <c r="J37" i="41"/>
  <c r="F13" i="85" s="1"/>
  <c r="N37" i="41"/>
  <c r="H13" i="85" s="1"/>
  <c r="N13" i="85" s="1"/>
  <c r="N115" i="85" s="1"/>
  <c r="M12" i="66"/>
  <c r="M113" i="66" s="1"/>
  <c r="X22" i="69" s="1"/>
  <c r="L113" i="66"/>
  <c r="M22" i="69" s="1"/>
  <c r="P22" i="69" s="1"/>
  <c r="M16" i="66"/>
  <c r="M117" i="66" s="1"/>
  <c r="L117" i="66"/>
  <c r="M11" i="69" s="1"/>
  <c r="P11" i="69" s="1"/>
  <c r="M62" i="66"/>
  <c r="M119" i="66" s="1"/>
  <c r="L119" i="66"/>
  <c r="M19" i="69" s="1"/>
  <c r="P19" i="69" s="1"/>
  <c r="Q11" i="51"/>
  <c r="T11" i="51" s="1"/>
  <c r="V11" i="51" s="1"/>
  <c r="W11" i="51" s="1"/>
  <c r="N11" i="51"/>
  <c r="Q8" i="51"/>
  <c r="T8" i="51" s="1"/>
  <c r="V8" i="51" s="1"/>
  <c r="Y8" i="51" s="1"/>
  <c r="W5" i="68" s="1"/>
  <c r="N8" i="51"/>
  <c r="K10" i="79"/>
  <c r="K10" i="74"/>
  <c r="K14" i="74"/>
  <c r="K14" i="79"/>
  <c r="Z115" i="78"/>
  <c r="J110" i="73"/>
  <c r="L30" i="73"/>
  <c r="K44" i="92"/>
  <c r="K88" i="92"/>
  <c r="M88" i="92" s="1"/>
  <c r="M46" i="93"/>
  <c r="O46" i="93"/>
  <c r="G46" i="93"/>
  <c r="I46" i="93"/>
  <c r="K46" i="93"/>
  <c r="Q46" i="93"/>
  <c r="E60" i="95"/>
  <c r="J169" i="96"/>
  <c r="R169" i="96" s="1"/>
  <c r="N17" i="95"/>
  <c r="D123" i="95" s="1"/>
  <c r="I34" i="94"/>
  <c r="D39" i="66"/>
  <c r="G59" i="78"/>
  <c r="H11" i="61"/>
  <c r="J41" i="41"/>
  <c r="F17" i="66" s="1"/>
  <c r="K17" i="79"/>
  <c r="L20" i="41"/>
  <c r="G20" i="17" s="1"/>
  <c r="N20" i="41"/>
  <c r="H20" i="17" s="1"/>
  <c r="N7" i="41"/>
  <c r="H7" i="17" s="1"/>
  <c r="H7" i="41"/>
  <c r="E7" i="17" s="1"/>
  <c r="F30" i="41"/>
  <c r="D6" i="85" s="1"/>
  <c r="F59" i="107" s="1"/>
  <c r="J30" i="41"/>
  <c r="F72" i="85" s="1"/>
  <c r="AE21" i="81"/>
  <c r="L78" i="73"/>
  <c r="K9" i="91"/>
  <c r="K9" i="84"/>
  <c r="P118" i="93"/>
  <c r="R118" i="93"/>
  <c r="N118" i="93"/>
  <c r="F118" i="93"/>
  <c r="P134" i="93"/>
  <c r="J134" i="93"/>
  <c r="L134" i="93"/>
  <c r="N134" i="93"/>
  <c r="H134" i="93"/>
  <c r="G32" i="96"/>
  <c r="Q32" i="96"/>
  <c r="M32" i="96"/>
  <c r="I32" i="96"/>
  <c r="O32" i="96"/>
  <c r="Q36" i="96"/>
  <c r="G36" i="96"/>
  <c r="M36" i="96"/>
  <c r="M39" i="96"/>
  <c r="L148" i="96" s="1"/>
  <c r="Q39" i="96"/>
  <c r="D152" i="96"/>
  <c r="Q43" i="96"/>
  <c r="N152" i="96" s="1"/>
  <c r="G43" i="96"/>
  <c r="M43" i="96"/>
  <c r="L152" i="96" s="1"/>
  <c r="I43" i="96"/>
  <c r="H152" i="96" s="1"/>
  <c r="O43" i="96"/>
  <c r="R152" i="96" s="1"/>
  <c r="D141" i="96"/>
  <c r="F119" i="96"/>
  <c r="G74" i="95" s="1"/>
  <c r="P119" i="96"/>
  <c r="I8" i="95" s="1"/>
  <c r="J127" i="96"/>
  <c r="D38" i="95" s="1"/>
  <c r="R127" i="96"/>
  <c r="J60" i="95" s="1"/>
  <c r="U60" i="95" s="1"/>
  <c r="F127" i="96"/>
  <c r="G60" i="95" s="1"/>
  <c r="L112" i="66"/>
  <c r="M17" i="69" s="1"/>
  <c r="P17" i="69" s="1"/>
  <c r="M11" i="66"/>
  <c r="M112" i="66" s="1"/>
  <c r="D109" i="73"/>
  <c r="F109" i="73" s="1"/>
  <c r="O7" i="73"/>
  <c r="L37" i="73"/>
  <c r="J117" i="73"/>
  <c r="V119" i="85"/>
  <c r="O18" i="84" s="1"/>
  <c r="W18" i="84" s="1"/>
  <c r="P17" i="85"/>
  <c r="Y119" i="85" s="1"/>
  <c r="Q50" i="92"/>
  <c r="Y110" i="92" s="1"/>
  <c r="O50" i="92"/>
  <c r="O110" i="92" s="1"/>
  <c r="Q66" i="92"/>
  <c r="O66" i="92"/>
  <c r="O126" i="92" s="1"/>
  <c r="M8" i="93"/>
  <c r="G8" i="93"/>
  <c r="K8" i="93"/>
  <c r="I8" i="93"/>
  <c r="O8" i="93"/>
  <c r="M20" i="93"/>
  <c r="O20" i="93"/>
  <c r="I36" i="93"/>
  <c r="E12" i="92" s="1"/>
  <c r="Q36" i="93"/>
  <c r="I12" i="92" s="1"/>
  <c r="O12" i="92" s="1"/>
  <c r="N116" i="92" s="1"/>
  <c r="M36" i="93"/>
  <c r="G12" i="92" s="1"/>
  <c r="V114" i="95"/>
  <c r="O6" i="94" s="1"/>
  <c r="R8" i="95"/>
  <c r="Y114" i="95" s="1"/>
  <c r="AA114" i="95" s="1"/>
  <c r="L89" i="73"/>
  <c r="K125" i="73"/>
  <c r="P13" i="85"/>
  <c r="Y115" i="85" s="1"/>
  <c r="Q22" i="92"/>
  <c r="K20" i="93"/>
  <c r="K22" i="96"/>
  <c r="I22" i="96"/>
  <c r="O22" i="96"/>
  <c r="N61" i="95"/>
  <c r="E123" i="95" s="1"/>
  <c r="D53" i="66"/>
  <c r="G37" i="78"/>
  <c r="D30" i="78"/>
  <c r="D9" i="85"/>
  <c r="J7" i="41"/>
  <c r="F7" i="17" s="1"/>
  <c r="L33" i="41"/>
  <c r="G75" i="66" s="1"/>
  <c r="J20" i="41"/>
  <c r="F20" i="17" s="1"/>
  <c r="L120" i="66"/>
  <c r="M20" i="69" s="1"/>
  <c r="P20" i="69" s="1"/>
  <c r="K12" i="79"/>
  <c r="L43" i="73"/>
  <c r="L88" i="73"/>
  <c r="K124" i="73"/>
  <c r="L124" i="73" s="1"/>
  <c r="K6" i="84"/>
  <c r="K14" i="84"/>
  <c r="O58" i="92"/>
  <c r="O118" i="92" s="1"/>
  <c r="L119" i="96"/>
  <c r="H52" i="95" s="1"/>
  <c r="Z15" i="17"/>
  <c r="L114" i="66"/>
  <c r="M9" i="69" s="1"/>
  <c r="P9" i="69" s="1"/>
  <c r="N110" i="66"/>
  <c r="Y7" i="69" s="1"/>
  <c r="J29" i="69"/>
  <c r="S125" i="73"/>
  <c r="S110" i="73"/>
  <c r="Z113" i="73"/>
  <c r="V116" i="85"/>
  <c r="O23" i="84" s="1"/>
  <c r="W23" i="84" s="1"/>
  <c r="P58" i="85"/>
  <c r="Y116" i="85" s="1"/>
  <c r="AA116" i="85" s="1"/>
  <c r="Z110" i="92"/>
  <c r="K33" i="92"/>
  <c r="J115" i="92" s="1"/>
  <c r="K85" i="92"/>
  <c r="K38" i="92"/>
  <c r="N65" i="92"/>
  <c r="H125" i="92" s="1"/>
  <c r="K89" i="92"/>
  <c r="K127" i="92" s="1"/>
  <c r="M58" i="92"/>
  <c r="E118" i="92" s="1"/>
  <c r="M63" i="92"/>
  <c r="E123" i="92" s="1"/>
  <c r="L39" i="92"/>
  <c r="Q121" i="92" s="1"/>
  <c r="L37" i="92"/>
  <c r="Q119" i="92" s="1"/>
  <c r="L35" i="92"/>
  <c r="Q117" i="92" s="1"/>
  <c r="L75" i="92"/>
  <c r="R113" i="92" s="1"/>
  <c r="O63" i="92"/>
  <c r="O123" i="92" s="1"/>
  <c r="L76" i="92"/>
  <c r="R114" i="92" s="1"/>
  <c r="O55" i="92"/>
  <c r="O115" i="92" s="1"/>
  <c r="L45" i="92"/>
  <c r="Q127" i="92" s="1"/>
  <c r="L28" i="92"/>
  <c r="Q110" i="92" s="1"/>
  <c r="L77" i="92"/>
  <c r="R115" i="92" s="1"/>
  <c r="L36" i="92"/>
  <c r="Q118" i="92" s="1"/>
  <c r="L80" i="92"/>
  <c r="R118" i="92" s="1"/>
  <c r="L87" i="92"/>
  <c r="R125" i="92" s="1"/>
  <c r="L85" i="92"/>
  <c r="R123" i="92" s="1"/>
  <c r="L83" i="92"/>
  <c r="R121" i="92" s="1"/>
  <c r="O61" i="92"/>
  <c r="O121" i="92" s="1"/>
  <c r="L40" i="92"/>
  <c r="Q122" i="92" s="1"/>
  <c r="G18" i="93"/>
  <c r="K18" i="93"/>
  <c r="Q41" i="93"/>
  <c r="I17" i="92" s="1"/>
  <c r="O17" i="92" s="1"/>
  <c r="N121" i="92" s="1"/>
  <c r="P121" i="92" s="1"/>
  <c r="O41" i="93"/>
  <c r="H17" i="92" s="1"/>
  <c r="M41" i="93"/>
  <c r="G17" i="92" s="1"/>
  <c r="P61" i="95"/>
  <c r="O123" i="95" s="1"/>
  <c r="H26" i="60"/>
  <c r="N123" i="66"/>
  <c r="Y14" i="69" s="1"/>
  <c r="N119" i="66"/>
  <c r="Y19" i="69" s="1"/>
  <c r="N115" i="66"/>
  <c r="Y23" i="69" s="1"/>
  <c r="N111" i="66"/>
  <c r="Y8" i="69" s="1"/>
  <c r="N107" i="66"/>
  <c r="Y4" i="69" s="1"/>
  <c r="N117" i="66"/>
  <c r="Y11" i="69" s="1"/>
  <c r="N113" i="66"/>
  <c r="Y22" i="69" s="1"/>
  <c r="AE23" i="81"/>
  <c r="AI122" i="73"/>
  <c r="I112" i="73"/>
  <c r="L82" i="73"/>
  <c r="I109" i="73"/>
  <c r="Z111" i="73"/>
  <c r="V112" i="73"/>
  <c r="O8" i="79" s="1"/>
  <c r="R8" i="79" s="1"/>
  <c r="V116" i="73"/>
  <c r="O23" i="79" s="1"/>
  <c r="R23" i="79" s="1"/>
  <c r="G22" i="93"/>
  <c r="K41" i="93"/>
  <c r="I18" i="93"/>
  <c r="G41" i="93"/>
  <c r="D17" i="92" s="1"/>
  <c r="L38" i="92"/>
  <c r="Q120" i="92" s="1"/>
  <c r="S120" i="92" s="1"/>
  <c r="M51" i="92"/>
  <c r="E111" i="92" s="1"/>
  <c r="L86" i="92"/>
  <c r="R124" i="92" s="1"/>
  <c r="L43" i="92"/>
  <c r="Q125" i="92" s="1"/>
  <c r="L32" i="92"/>
  <c r="Q114" i="92" s="1"/>
  <c r="L73" i="92"/>
  <c r="R111" i="92" s="1"/>
  <c r="K43" i="92"/>
  <c r="J125" i="92" s="1"/>
  <c r="L29" i="92"/>
  <c r="Q111" i="92" s="1"/>
  <c r="L31" i="92"/>
  <c r="Q113" i="92" s="1"/>
  <c r="S113" i="92" s="1"/>
  <c r="L42" i="92"/>
  <c r="Q124" i="92" s="1"/>
  <c r="N120" i="93"/>
  <c r="L120" i="93"/>
  <c r="M10" i="96"/>
  <c r="I10" i="96"/>
  <c r="O13" i="96"/>
  <c r="G13" i="96"/>
  <c r="M13" i="96"/>
  <c r="K13" i="96"/>
  <c r="F121" i="96"/>
  <c r="I163" i="96" s="1"/>
  <c r="Q163" i="96" s="1"/>
  <c r="J121" i="96"/>
  <c r="D10" i="95" s="1"/>
  <c r="H125" i="96"/>
  <c r="E80" i="95" s="1"/>
  <c r="R125" i="96"/>
  <c r="J14" i="95" s="1"/>
  <c r="U14" i="95" s="1"/>
  <c r="J125" i="96"/>
  <c r="D14" i="95" s="1"/>
  <c r="Z115" i="85"/>
  <c r="Z119" i="85"/>
  <c r="Z123" i="85"/>
  <c r="V120" i="85"/>
  <c r="O19" i="84" s="1"/>
  <c r="Z19" i="84" s="1"/>
  <c r="Z110" i="85"/>
  <c r="Z114" i="85"/>
  <c r="Z118" i="85"/>
  <c r="Z122" i="85"/>
  <c r="I42" i="96"/>
  <c r="H151" i="96" s="1"/>
  <c r="R119" i="93"/>
  <c r="N11" i="95"/>
  <c r="D117" i="95" s="1"/>
  <c r="V119" i="95"/>
  <c r="O9" i="94" s="1"/>
  <c r="D25" i="79"/>
  <c r="D30" i="74" s="1"/>
  <c r="P18" i="95"/>
  <c r="N124" i="95" s="1"/>
  <c r="AA26" i="101"/>
  <c r="AA59" i="101" s="1"/>
  <c r="C32" i="102"/>
  <c r="D9" i="102" s="1"/>
  <c r="W10" i="51"/>
  <c r="Y10" i="51"/>
  <c r="W7" i="68" s="1"/>
  <c r="D20" i="85"/>
  <c r="F89" i="107" s="1"/>
  <c r="D86" i="78"/>
  <c r="D42" i="66"/>
  <c r="D42" i="85"/>
  <c r="D20" i="78"/>
  <c r="D64" i="66"/>
  <c r="L21" i="41"/>
  <c r="G21" i="17" s="1"/>
  <c r="F21" i="41"/>
  <c r="D21" i="17" s="1"/>
  <c r="M10" i="66"/>
  <c r="M111" i="66" s="1"/>
  <c r="L111" i="66"/>
  <c r="M8" i="69" s="1"/>
  <c r="P8" i="69" s="1"/>
  <c r="W20" i="51"/>
  <c r="Y20" i="51"/>
  <c r="W18" i="68" s="1"/>
  <c r="L75" i="73"/>
  <c r="K111" i="73"/>
  <c r="L111" i="73" s="1"/>
  <c r="M121" i="66"/>
  <c r="X12" i="69" s="1"/>
  <c r="J21" i="41"/>
  <c r="F21" i="17" s="1"/>
  <c r="H75" i="85"/>
  <c r="K75" i="85" s="1"/>
  <c r="R111" i="85" s="1"/>
  <c r="H53" i="78"/>
  <c r="N53" i="78" s="1"/>
  <c r="O111" i="78" s="1"/>
  <c r="K120" i="73"/>
  <c r="L84" i="73"/>
  <c r="H75" i="66"/>
  <c r="D64" i="78"/>
  <c r="G33" i="85"/>
  <c r="G77" i="85"/>
  <c r="G33" i="78"/>
  <c r="G55" i="66"/>
  <c r="G55" i="85"/>
  <c r="G55" i="78"/>
  <c r="G33" i="66"/>
  <c r="Z20" i="17"/>
  <c r="D80" i="78"/>
  <c r="D14" i="85"/>
  <c r="D36" i="66"/>
  <c r="H42" i="41"/>
  <c r="E62" i="85" s="1"/>
  <c r="N42" i="41"/>
  <c r="L42" i="41"/>
  <c r="F42" i="41"/>
  <c r="J42" i="41"/>
  <c r="F46" i="41"/>
  <c r="D66" i="78" s="1"/>
  <c r="L46" i="41"/>
  <c r="G44" i="85" s="1"/>
  <c r="J46" i="41"/>
  <c r="F44" i="66" s="1"/>
  <c r="Q15" i="51"/>
  <c r="T15" i="51" s="1"/>
  <c r="V15" i="51" s="1"/>
  <c r="N15" i="51"/>
  <c r="V25" i="17"/>
  <c r="W24" i="17"/>
  <c r="V111" i="78"/>
  <c r="O7" i="74" s="1"/>
  <c r="R7" i="74" s="1"/>
  <c r="P9" i="78"/>
  <c r="Y111" i="78" s="1"/>
  <c r="V119" i="78"/>
  <c r="O18" i="74" s="1"/>
  <c r="R18" i="74" s="1"/>
  <c r="P17" i="78"/>
  <c r="Y119" i="78" s="1"/>
  <c r="V123" i="78"/>
  <c r="O13" i="74" s="1"/>
  <c r="R13" i="74" s="1"/>
  <c r="P21" i="78"/>
  <c r="Y123" i="78" s="1"/>
  <c r="L74" i="73"/>
  <c r="K110" i="73"/>
  <c r="K10" i="84"/>
  <c r="K10" i="91"/>
  <c r="K4" i="91"/>
  <c r="K4" i="84"/>
  <c r="K13" i="91"/>
  <c r="K13" i="84"/>
  <c r="K18" i="91"/>
  <c r="K18" i="84"/>
  <c r="K22" i="84"/>
  <c r="K22" i="91"/>
  <c r="F13" i="41"/>
  <c r="D13" i="17" s="1"/>
  <c r="N13" i="41"/>
  <c r="H13" i="17" s="1"/>
  <c r="L13" i="41"/>
  <c r="G13" i="17" s="1"/>
  <c r="L14" i="41"/>
  <c r="G14" i="17" s="1"/>
  <c r="N14" i="41"/>
  <c r="H14" i="17" s="1"/>
  <c r="F14" i="41"/>
  <c r="H14" i="41"/>
  <c r="E14" i="17" s="1"/>
  <c r="F18" i="41"/>
  <c r="D18" i="17" s="1"/>
  <c r="J18" i="41"/>
  <c r="F18" i="17" s="1"/>
  <c r="H18" i="41"/>
  <c r="E18" i="17" s="1"/>
  <c r="L27" i="51"/>
  <c r="L34" i="51" s="1"/>
  <c r="N7" i="51"/>
  <c r="N27" i="51" s="1"/>
  <c r="V26" i="60"/>
  <c r="Y26" i="60" s="1"/>
  <c r="Y7" i="60"/>
  <c r="L34" i="73"/>
  <c r="J114" i="73"/>
  <c r="L114" i="73" s="1"/>
  <c r="K109" i="73"/>
  <c r="L109" i="73" s="1"/>
  <c r="L73" i="73"/>
  <c r="P9" i="73"/>
  <c r="V111" i="73"/>
  <c r="O7" i="79" s="1"/>
  <c r="R7" i="79" s="1"/>
  <c r="N9" i="73"/>
  <c r="N111" i="73" s="1"/>
  <c r="N12" i="73"/>
  <c r="P12" i="73"/>
  <c r="V121" i="73"/>
  <c r="O20" i="79" s="1"/>
  <c r="R20" i="79" s="1"/>
  <c r="N19" i="73"/>
  <c r="N121" i="73" s="1"/>
  <c r="P19" i="73"/>
  <c r="O62" i="73"/>
  <c r="V120" i="73"/>
  <c r="O19" i="79" s="1"/>
  <c r="R19" i="79" s="1"/>
  <c r="E88" i="66"/>
  <c r="F87" i="78"/>
  <c r="D42" i="78"/>
  <c r="L18" i="41"/>
  <c r="G18" i="17" s="1"/>
  <c r="W25" i="51"/>
  <c r="Y25" i="51"/>
  <c r="W24" i="68" s="1"/>
  <c r="D19" i="78"/>
  <c r="D19" i="66"/>
  <c r="D19" i="85"/>
  <c r="D43" i="85"/>
  <c r="D65" i="78"/>
  <c r="H26" i="80"/>
  <c r="AE17" i="60"/>
  <c r="H31" i="66"/>
  <c r="D20" i="66"/>
  <c r="D39" i="78"/>
  <c r="D86" i="85"/>
  <c r="G11" i="85"/>
  <c r="G82" i="85"/>
  <c r="G82" i="66"/>
  <c r="W18" i="51"/>
  <c r="Y18" i="51"/>
  <c r="W15" i="68" s="1"/>
  <c r="N20" i="51"/>
  <c r="P20" i="51" s="1"/>
  <c r="P27" i="51" s="1"/>
  <c r="J22" i="41"/>
  <c r="F22" i="17" s="1"/>
  <c r="F22" i="41"/>
  <c r="D22" i="17" s="1"/>
  <c r="N22" i="41"/>
  <c r="H22" i="17" s="1"/>
  <c r="H22" i="41"/>
  <c r="E22" i="17" s="1"/>
  <c r="F15" i="41"/>
  <c r="D15" i="17" s="1"/>
  <c r="H15" i="41"/>
  <c r="E15" i="17" s="1"/>
  <c r="N15" i="41"/>
  <c r="H15" i="17" s="1"/>
  <c r="L15" i="41"/>
  <c r="G15" i="17" s="1"/>
  <c r="L10" i="41"/>
  <c r="G10" i="17" s="1"/>
  <c r="F10" i="41"/>
  <c r="D10" i="17" s="1"/>
  <c r="J10" i="41"/>
  <c r="F10" i="17" s="1"/>
  <c r="K31" i="51"/>
  <c r="N31" i="51" s="1"/>
  <c r="X26" i="60"/>
  <c r="Z5" i="17"/>
  <c r="V30" i="107" s="1"/>
  <c r="W30" i="107" s="1"/>
  <c r="Z8" i="17"/>
  <c r="E7" i="66"/>
  <c r="E7" i="78"/>
  <c r="J35" i="41"/>
  <c r="F55" i="85" s="1"/>
  <c r="F35" i="41"/>
  <c r="D11" i="66" s="1"/>
  <c r="H35" i="41"/>
  <c r="M107" i="66"/>
  <c r="L118" i="66"/>
  <c r="M18" i="69" s="1"/>
  <c r="P18" i="69" s="1"/>
  <c r="M17" i="66"/>
  <c r="M118" i="66" s="1"/>
  <c r="X18" i="69" s="1"/>
  <c r="W25" i="17"/>
  <c r="V116" i="78"/>
  <c r="O23" i="74" s="1"/>
  <c r="R23" i="74" s="1"/>
  <c r="R123" i="73"/>
  <c r="S123" i="73" s="1"/>
  <c r="L87" i="73"/>
  <c r="N16" i="73"/>
  <c r="N118" i="73" s="1"/>
  <c r="E32" i="78"/>
  <c r="E54" i="85"/>
  <c r="L45" i="41"/>
  <c r="G87" i="66" s="1"/>
  <c r="H30" i="41"/>
  <c r="E72" i="78" s="1"/>
  <c r="L37" i="41"/>
  <c r="H37" i="41"/>
  <c r="E79" i="78" s="1"/>
  <c r="H20" i="41"/>
  <c r="E20" i="17" s="1"/>
  <c r="F20" i="41"/>
  <c r="Z113" i="78"/>
  <c r="Z117" i="78"/>
  <c r="Z121" i="78"/>
  <c r="Z125" i="78"/>
  <c r="P56" i="78"/>
  <c r="Y114" i="78" s="1"/>
  <c r="V114" i="78"/>
  <c r="O22" i="74" s="1"/>
  <c r="R22" i="74" s="1"/>
  <c r="AE17" i="81"/>
  <c r="AE20" i="81"/>
  <c r="B7" i="89"/>
  <c r="F118" i="73"/>
  <c r="K18" i="96"/>
  <c r="M18" i="96"/>
  <c r="I18" i="96"/>
  <c r="O18" i="96"/>
  <c r="G18" i="96"/>
  <c r="D142" i="96"/>
  <c r="N120" i="96"/>
  <c r="F9" i="95" s="1"/>
  <c r="P9" i="95" s="1"/>
  <c r="N115" i="95" s="1"/>
  <c r="F120" i="96"/>
  <c r="J120" i="96"/>
  <c r="D75" i="95" s="1"/>
  <c r="P120" i="96"/>
  <c r="N162" i="96" s="1"/>
  <c r="V162" i="96" s="1"/>
  <c r="L120" i="96"/>
  <c r="H9" i="95" s="1"/>
  <c r="L124" i="96"/>
  <c r="H57" i="95" s="1"/>
  <c r="D146" i="96"/>
  <c r="H124" i="96"/>
  <c r="E57" i="95" s="1"/>
  <c r="P124" i="96"/>
  <c r="N124" i="96"/>
  <c r="F79" i="95" s="1"/>
  <c r="M79" i="95" s="1"/>
  <c r="R119" i="95" s="1"/>
  <c r="J124" i="96"/>
  <c r="D35" i="95" s="1"/>
  <c r="V116" i="95"/>
  <c r="O8" i="94" s="1"/>
  <c r="R54" i="95"/>
  <c r="Y116" i="95" s="1"/>
  <c r="AA116" i="95" s="1"/>
  <c r="V120" i="95"/>
  <c r="O23" i="94" s="1"/>
  <c r="Q23" i="94" s="1"/>
  <c r="R58" i="95"/>
  <c r="Y120" i="95" s="1"/>
  <c r="V124" i="95"/>
  <c r="O19" i="94" s="1"/>
  <c r="Q19" i="94" s="1"/>
  <c r="R62" i="95"/>
  <c r="Y124" i="95" s="1"/>
  <c r="P62" i="95"/>
  <c r="O124" i="95" s="1"/>
  <c r="R66" i="95"/>
  <c r="Y128" i="95" s="1"/>
  <c r="AA128" i="95" s="1"/>
  <c r="V128" i="95"/>
  <c r="O14" i="94" s="1"/>
  <c r="F55" i="98"/>
  <c r="F64" i="98"/>
  <c r="H65" i="98" s="1"/>
  <c r="V127" i="95"/>
  <c r="O13" i="94" s="1"/>
  <c r="R21" i="95"/>
  <c r="Y127" i="95" s="1"/>
  <c r="AA127" i="95" s="1"/>
  <c r="R17" i="95"/>
  <c r="Y123" i="95" s="1"/>
  <c r="AA123" i="95" s="1"/>
  <c r="V123" i="95"/>
  <c r="O18" i="94" s="1"/>
  <c r="Q18" i="94" s="1"/>
  <c r="P17" i="95"/>
  <c r="N123" i="95" s="1"/>
  <c r="N18" i="95"/>
  <c r="D124" i="95" s="1"/>
  <c r="N25" i="17"/>
  <c r="V24" i="17"/>
  <c r="L34" i="41"/>
  <c r="L7" i="41"/>
  <c r="G7" i="17" s="1"/>
  <c r="K6" i="74"/>
  <c r="H33" i="41"/>
  <c r="E75" i="78" s="1"/>
  <c r="J33" i="41"/>
  <c r="F9" i="66" s="1"/>
  <c r="F37" i="41"/>
  <c r="D79" i="85" s="1"/>
  <c r="AB64" i="60"/>
  <c r="B6" i="82" s="1"/>
  <c r="AB62" i="60"/>
  <c r="M23" i="66"/>
  <c r="M124" i="66" s="1"/>
  <c r="N121" i="66"/>
  <c r="Y12" i="69" s="1"/>
  <c r="O25" i="17"/>
  <c r="N24" i="17"/>
  <c r="P14" i="78"/>
  <c r="Y116" i="78" s="1"/>
  <c r="V108" i="78"/>
  <c r="O4" i="74" s="1"/>
  <c r="AF120" i="73"/>
  <c r="AI113" i="73"/>
  <c r="AI115" i="73"/>
  <c r="AI124" i="73"/>
  <c r="J108" i="73"/>
  <c r="P62" i="85"/>
  <c r="Y120" i="85" s="1"/>
  <c r="AA120" i="85" s="1"/>
  <c r="G32" i="93"/>
  <c r="Q32" i="93"/>
  <c r="M32" i="93"/>
  <c r="I32" i="93"/>
  <c r="K32" i="93"/>
  <c r="O32" i="93"/>
  <c r="N30" i="41"/>
  <c r="L30" i="41"/>
  <c r="H45" i="41"/>
  <c r="E21" i="78" s="1"/>
  <c r="N45" i="41"/>
  <c r="K4" i="79"/>
  <c r="B15" i="61" s="1"/>
  <c r="K4" i="74"/>
  <c r="D15" i="61" s="1"/>
  <c r="G32" i="74"/>
  <c r="AI110" i="73"/>
  <c r="AI108" i="73"/>
  <c r="AF121" i="73"/>
  <c r="AI123" i="73"/>
  <c r="D119" i="73"/>
  <c r="F119" i="73" s="1"/>
  <c r="G122" i="73"/>
  <c r="I122" i="73" s="1"/>
  <c r="O20" i="73"/>
  <c r="O6" i="73"/>
  <c r="F120" i="73"/>
  <c r="Z114" i="73"/>
  <c r="Z118" i="73"/>
  <c r="P65" i="73"/>
  <c r="Y123" i="73" s="1"/>
  <c r="N65" i="73"/>
  <c r="O123" i="73" s="1"/>
  <c r="O65" i="73"/>
  <c r="V108" i="85"/>
  <c r="O4" i="84" s="1"/>
  <c r="AI4" i="84" s="1"/>
  <c r="P6" i="85"/>
  <c r="Y108" i="85" s="1"/>
  <c r="AA108" i="85" s="1"/>
  <c r="P10" i="85"/>
  <c r="Y112" i="85" s="1"/>
  <c r="AA112" i="85" s="1"/>
  <c r="V112" i="85"/>
  <c r="O8" i="84" s="1"/>
  <c r="W9" i="84"/>
  <c r="AI9" i="84"/>
  <c r="P52" i="85"/>
  <c r="V110" i="85"/>
  <c r="O6" i="84" s="1"/>
  <c r="Z6" i="84" s="1"/>
  <c r="V124" i="85"/>
  <c r="O14" i="84" s="1"/>
  <c r="AI14" i="84" s="1"/>
  <c r="P66" i="85"/>
  <c r="Y124" i="85" s="1"/>
  <c r="AA124" i="85" s="1"/>
  <c r="AE19" i="86"/>
  <c r="AA26" i="86"/>
  <c r="AA59" i="86" s="1"/>
  <c r="K11" i="91"/>
  <c r="K11" i="84"/>
  <c r="K15" i="91"/>
  <c r="K15" i="84"/>
  <c r="H14" i="83" s="1"/>
  <c r="E100" i="93"/>
  <c r="O14" i="91"/>
  <c r="Z10" i="17"/>
  <c r="AE20" i="60"/>
  <c r="Y109" i="78"/>
  <c r="V109" i="78"/>
  <c r="O5" i="74" s="1"/>
  <c r="R5" i="74" s="1"/>
  <c r="Z116" i="78"/>
  <c r="AE7" i="81"/>
  <c r="AI125" i="73"/>
  <c r="AF114" i="73"/>
  <c r="S119" i="73"/>
  <c r="P6" i="73"/>
  <c r="V108" i="73"/>
  <c r="O4" i="79" s="1"/>
  <c r="Z125" i="85"/>
  <c r="I13" i="93"/>
  <c r="I20" i="93"/>
  <c r="M54" i="92"/>
  <c r="E114" i="92" s="1"/>
  <c r="K39" i="92"/>
  <c r="J121" i="92" s="1"/>
  <c r="K40" i="92"/>
  <c r="K75" i="92"/>
  <c r="AA115" i="92"/>
  <c r="Q19" i="92"/>
  <c r="Y123" i="92" s="1"/>
  <c r="AA123" i="92" s="1"/>
  <c r="V123" i="92"/>
  <c r="O20" i="91" s="1"/>
  <c r="Q59" i="92"/>
  <c r="O59" i="92"/>
  <c r="O119" i="92" s="1"/>
  <c r="M12" i="93"/>
  <c r="I12" i="93"/>
  <c r="K12" i="93"/>
  <c r="M16" i="93"/>
  <c r="I16" i="93"/>
  <c r="O16" i="93"/>
  <c r="K16" i="93"/>
  <c r="G20" i="93"/>
  <c r="J23" i="95"/>
  <c r="U23" i="95" s="1"/>
  <c r="O176" i="96"/>
  <c r="W176" i="96" s="1"/>
  <c r="K8" i="96"/>
  <c r="G8" i="96"/>
  <c r="O8" i="96"/>
  <c r="I8" i="96"/>
  <c r="M8" i="96"/>
  <c r="M22" i="96"/>
  <c r="G22" i="96"/>
  <c r="G30" i="96"/>
  <c r="I30" i="96"/>
  <c r="Q30" i="96"/>
  <c r="M30" i="96"/>
  <c r="K30" i="96"/>
  <c r="Q41" i="96"/>
  <c r="N150" i="96" s="1"/>
  <c r="K41" i="96"/>
  <c r="J150" i="96" s="1"/>
  <c r="O45" i="96"/>
  <c r="Q45" i="96"/>
  <c r="I45" i="96"/>
  <c r="G45" i="96"/>
  <c r="K45" i="96"/>
  <c r="D139" i="96"/>
  <c r="F113" i="73"/>
  <c r="V123" i="73"/>
  <c r="O13" i="79" s="1"/>
  <c r="R13" i="79" s="1"/>
  <c r="Q60" i="92"/>
  <c r="Y120" i="92" s="1"/>
  <c r="AA120" i="92" s="1"/>
  <c r="O60" i="92"/>
  <c r="O120" i="92" s="1"/>
  <c r="N57" i="92"/>
  <c r="H117" i="92" s="1"/>
  <c r="K79" i="92"/>
  <c r="N50" i="92"/>
  <c r="H110" i="92" s="1"/>
  <c r="N60" i="92"/>
  <c r="H120" i="92" s="1"/>
  <c r="K30" i="92"/>
  <c r="J112" i="92" s="1"/>
  <c r="K36" i="92"/>
  <c r="K35" i="92"/>
  <c r="M57" i="92"/>
  <c r="E117" i="92" s="1"/>
  <c r="M62" i="92"/>
  <c r="E122" i="92" s="1"/>
  <c r="M53" i="92"/>
  <c r="K41" i="92"/>
  <c r="K83" i="92"/>
  <c r="K73" i="92"/>
  <c r="N52" i="92"/>
  <c r="H112" i="92" s="1"/>
  <c r="K31" i="92"/>
  <c r="M50" i="92"/>
  <c r="E110" i="92" s="1"/>
  <c r="M61" i="92"/>
  <c r="E121" i="92" s="1"/>
  <c r="K9" i="93"/>
  <c r="G9" i="93"/>
  <c r="O30" i="93"/>
  <c r="G30" i="93"/>
  <c r="K30" i="93"/>
  <c r="Z109" i="73"/>
  <c r="L89" i="92"/>
  <c r="R127" i="92" s="1"/>
  <c r="L30" i="92"/>
  <c r="Q112" i="92" s="1"/>
  <c r="H124" i="93"/>
  <c r="P127" i="93"/>
  <c r="H127" i="93"/>
  <c r="P131" i="93"/>
  <c r="N131" i="93"/>
  <c r="J131" i="93"/>
  <c r="G5" i="96"/>
  <c r="O5" i="96"/>
  <c r="I12" i="96"/>
  <c r="G12" i="96"/>
  <c r="M16" i="96"/>
  <c r="K16" i="96"/>
  <c r="S125" i="95"/>
  <c r="V112" i="95"/>
  <c r="O4" i="94" s="1"/>
  <c r="S108" i="73"/>
  <c r="N21" i="73"/>
  <c r="P7" i="73"/>
  <c r="Z110" i="73"/>
  <c r="Z117" i="73"/>
  <c r="H10" i="83"/>
  <c r="AA112" i="92"/>
  <c r="K165" i="96"/>
  <c r="S165" i="96" s="1"/>
  <c r="H117" i="93"/>
  <c r="F117" i="93"/>
  <c r="J121" i="93"/>
  <c r="L121" i="93"/>
  <c r="F121" i="93"/>
  <c r="J124" i="93"/>
  <c r="F124" i="93"/>
  <c r="R124" i="93"/>
  <c r="P132" i="93"/>
  <c r="H132" i="93"/>
  <c r="R132" i="93"/>
  <c r="F132" i="93"/>
  <c r="M47" i="96"/>
  <c r="K47" i="96"/>
  <c r="J156" i="96" s="1"/>
  <c r="O47" i="96"/>
  <c r="R156" i="96" s="1"/>
  <c r="G47" i="96"/>
  <c r="H119" i="96"/>
  <c r="E52" i="95" s="1"/>
  <c r="R119" i="96"/>
  <c r="N119" i="96"/>
  <c r="F74" i="95" s="1"/>
  <c r="M74" i="95" s="1"/>
  <c r="R114" i="95" s="1"/>
  <c r="J119" i="96"/>
  <c r="D52" i="95" s="1"/>
  <c r="D145" i="96"/>
  <c r="N123" i="96"/>
  <c r="F123" i="96"/>
  <c r="H123" i="96"/>
  <c r="E78" i="95" s="1"/>
  <c r="P123" i="96"/>
  <c r="I78" i="95" s="1"/>
  <c r="R123" i="96"/>
  <c r="J34" i="95" s="1"/>
  <c r="U34" i="95" s="1"/>
  <c r="P127" i="96"/>
  <c r="I82" i="95" s="1"/>
  <c r="L127" i="96"/>
  <c r="H82" i="95" s="1"/>
  <c r="N127" i="96"/>
  <c r="M169" i="96" s="1"/>
  <c r="U169" i="96" s="1"/>
  <c r="H131" i="96"/>
  <c r="E64" i="95" s="1"/>
  <c r="N131" i="96"/>
  <c r="M173" i="96" s="1"/>
  <c r="U173" i="96" s="1"/>
  <c r="R131" i="96"/>
  <c r="J20" i="95" s="1"/>
  <c r="U20" i="95" s="1"/>
  <c r="F62" i="98"/>
  <c r="H62" i="98" s="1"/>
  <c r="P64" i="98"/>
  <c r="AB26" i="101"/>
  <c r="AB59" i="101" s="1"/>
  <c r="E48" i="96"/>
  <c r="D151" i="96"/>
  <c r="V120" i="92"/>
  <c r="O11" i="91" s="1"/>
  <c r="Z114" i="92"/>
  <c r="Z118" i="92"/>
  <c r="Z122" i="92"/>
  <c r="Z126" i="92"/>
  <c r="H118" i="93"/>
  <c r="G46" i="96"/>
  <c r="Q42" i="96"/>
  <c r="N151" i="96" s="1"/>
  <c r="F125" i="93"/>
  <c r="K10" i="96"/>
  <c r="L6" i="102"/>
  <c r="E37" i="85"/>
  <c r="E59" i="78"/>
  <c r="E15" i="78"/>
  <c r="E59" i="66"/>
  <c r="E81" i="66"/>
  <c r="E37" i="78"/>
  <c r="E37" i="66"/>
  <c r="E59" i="85"/>
  <c r="E81" i="78"/>
  <c r="E15" i="66"/>
  <c r="N124" i="66"/>
  <c r="Y15" i="69" s="1"/>
  <c r="N120" i="66"/>
  <c r="Y20" i="69" s="1"/>
  <c r="N116" i="66"/>
  <c r="Y10" i="69" s="1"/>
  <c r="N112" i="66"/>
  <c r="Y17" i="69" s="1"/>
  <c r="N108" i="66"/>
  <c r="Y5" i="69" s="1"/>
  <c r="N122" i="66"/>
  <c r="Y13" i="69" s="1"/>
  <c r="N118" i="66"/>
  <c r="Y18" i="69" s="1"/>
  <c r="N114" i="66"/>
  <c r="Y9" i="69" s="1"/>
  <c r="D26" i="68"/>
  <c r="D28" i="68" s="1"/>
  <c r="D27" i="69" s="1"/>
  <c r="E26" i="68"/>
  <c r="E28" i="68" s="1"/>
  <c r="E27" i="69" s="1"/>
  <c r="AE15" i="60"/>
  <c r="G125" i="73"/>
  <c r="I125" i="73" s="1"/>
  <c r="M28" i="68"/>
  <c r="I29" i="69"/>
  <c r="P13" i="78"/>
  <c r="Y115" i="78" s="1"/>
  <c r="V115" i="78"/>
  <c r="O9" i="74" s="1"/>
  <c r="R9" i="74" s="1"/>
  <c r="K118" i="73"/>
  <c r="L81" i="73"/>
  <c r="K117" i="73"/>
  <c r="B11" i="83"/>
  <c r="C15" i="76"/>
  <c r="AI120" i="73"/>
  <c r="L80" i="73"/>
  <c r="K116" i="73"/>
  <c r="L116" i="73" s="1"/>
  <c r="D112" i="73"/>
  <c r="F112" i="73" s="1"/>
  <c r="N13" i="51"/>
  <c r="N18" i="51"/>
  <c r="Z18" i="17"/>
  <c r="AI61" i="81"/>
  <c r="AK26" i="81"/>
  <c r="AL26" i="81" s="1"/>
  <c r="AL20" i="81"/>
  <c r="D111" i="73"/>
  <c r="F111" i="73" s="1"/>
  <c r="F122" i="73"/>
  <c r="AF123" i="73"/>
  <c r="AF109" i="73"/>
  <c r="F125" i="73"/>
  <c r="F121" i="73"/>
  <c r="I118" i="73"/>
  <c r="F123" i="73"/>
  <c r="I114" i="73"/>
  <c r="L76" i="73"/>
  <c r="Y114" i="85"/>
  <c r="V113" i="85"/>
  <c r="O17" i="84" s="1"/>
  <c r="W17" i="84" s="1"/>
  <c r="Z113" i="85"/>
  <c r="Y113" i="92"/>
  <c r="R120" i="93"/>
  <c r="J120" i="93"/>
  <c r="F120" i="93"/>
  <c r="O40" i="96"/>
  <c r="D149" i="96"/>
  <c r="M40" i="96"/>
  <c r="K40" i="96"/>
  <c r="Q40" i="96"/>
  <c r="G40" i="96"/>
  <c r="I40" i="96"/>
  <c r="H149" i="96" s="1"/>
  <c r="H51" i="98"/>
  <c r="H52" i="98"/>
  <c r="P55" i="95"/>
  <c r="O117" i="95" s="1"/>
  <c r="V118" i="95"/>
  <c r="O22" i="94" s="1"/>
  <c r="R12" i="95"/>
  <c r="Y118" i="95" s="1"/>
  <c r="AA118" i="95" s="1"/>
  <c r="L107" i="66"/>
  <c r="M4" i="69" s="1"/>
  <c r="P4" i="69" s="1"/>
  <c r="M110" i="66"/>
  <c r="N109" i="66"/>
  <c r="Y6" i="69" s="1"/>
  <c r="G29" i="69"/>
  <c r="F26" i="68"/>
  <c r="F28" i="68" s="1"/>
  <c r="F27" i="69" s="1"/>
  <c r="F29" i="69" s="1"/>
  <c r="Y121" i="78"/>
  <c r="AE15" i="81"/>
  <c r="G55" i="81"/>
  <c r="AF110" i="73"/>
  <c r="AI119" i="73"/>
  <c r="S120" i="73"/>
  <c r="S117" i="73"/>
  <c r="S109" i="73"/>
  <c r="AE7" i="86"/>
  <c r="Z113" i="92"/>
  <c r="Z117" i="92"/>
  <c r="Z121" i="92"/>
  <c r="Z125" i="92"/>
  <c r="M175" i="96"/>
  <c r="U175" i="96" s="1"/>
  <c r="K6" i="96"/>
  <c r="I6" i="96"/>
  <c r="O6" i="96"/>
  <c r="O34" i="96"/>
  <c r="G34" i="96"/>
  <c r="Q34" i="96"/>
  <c r="N143" i="96" s="1"/>
  <c r="M34" i="96"/>
  <c r="L143" i="96" s="1"/>
  <c r="K34" i="96"/>
  <c r="L112" i="73"/>
  <c r="F124" i="73"/>
  <c r="Z119" i="73"/>
  <c r="Z123" i="73"/>
  <c r="AD26" i="86"/>
  <c r="AD66" i="86" s="1"/>
  <c r="AE20" i="86"/>
  <c r="AE64" i="86"/>
  <c r="J133" i="93"/>
  <c r="L133" i="93"/>
  <c r="F133" i="93"/>
  <c r="I20" i="96"/>
  <c r="O20" i="96"/>
  <c r="G20" i="96"/>
  <c r="F133" i="96"/>
  <c r="G88" i="95" s="1"/>
  <c r="P133" i="96"/>
  <c r="I44" i="95" s="1"/>
  <c r="L133" i="96"/>
  <c r="H88" i="95" s="1"/>
  <c r="R133" i="96"/>
  <c r="O175" i="96" s="1"/>
  <c r="W175" i="96" s="1"/>
  <c r="H133" i="96"/>
  <c r="E66" i="95" s="1"/>
  <c r="J133" i="96"/>
  <c r="D88" i="95" s="1"/>
  <c r="Z119" i="95"/>
  <c r="Z26" i="60"/>
  <c r="Z66" i="60" s="1"/>
  <c r="F13" i="58"/>
  <c r="Z111" i="78"/>
  <c r="Z119" i="78"/>
  <c r="Z123" i="78"/>
  <c r="AF108" i="73"/>
  <c r="AF125" i="73"/>
  <c r="AF112" i="73"/>
  <c r="AF119" i="73"/>
  <c r="AF115" i="73"/>
  <c r="AI111" i="73"/>
  <c r="AI118" i="73"/>
  <c r="AF124" i="73"/>
  <c r="X26" i="86"/>
  <c r="AE10" i="86"/>
  <c r="AE15" i="86"/>
  <c r="AE17" i="86"/>
  <c r="E25" i="84"/>
  <c r="D25" i="84"/>
  <c r="V110" i="92"/>
  <c r="E60" i="107" s="1"/>
  <c r="V113" i="92"/>
  <c r="E75" i="107" s="1"/>
  <c r="Z119" i="92"/>
  <c r="H133" i="93"/>
  <c r="H120" i="93"/>
  <c r="P120" i="93"/>
  <c r="N126" i="93"/>
  <c r="R126" i="93"/>
  <c r="H126" i="93"/>
  <c r="J126" i="93"/>
  <c r="P126" i="93"/>
  <c r="L118" i="96"/>
  <c r="H51" i="95" s="1"/>
  <c r="N118" i="96"/>
  <c r="F73" i="95" s="1"/>
  <c r="M73" i="95" s="1"/>
  <c r="R113" i="95" s="1"/>
  <c r="R118" i="96"/>
  <c r="O160" i="96" s="1"/>
  <c r="W160" i="96" s="1"/>
  <c r="F118" i="96"/>
  <c r="J118" i="96"/>
  <c r="K160" i="96" s="1"/>
  <c r="S160" i="96" s="1"/>
  <c r="P118" i="96"/>
  <c r="J126" i="96"/>
  <c r="D37" i="95" s="1"/>
  <c r="P126" i="96"/>
  <c r="I15" i="95" s="1"/>
  <c r="H126" i="96"/>
  <c r="J168" i="96" s="1"/>
  <c r="R168" i="96" s="1"/>
  <c r="F126" i="96"/>
  <c r="N126" i="96"/>
  <c r="F59" i="95" s="1"/>
  <c r="P59" i="95" s="1"/>
  <c r="O121" i="95" s="1"/>
  <c r="R126" i="96"/>
  <c r="J81" i="95" s="1"/>
  <c r="U81" i="95" s="1"/>
  <c r="R6" i="95"/>
  <c r="Y112" i="95" s="1"/>
  <c r="AA112" i="95" s="1"/>
  <c r="J118" i="93"/>
  <c r="V122" i="95"/>
  <c r="Z120" i="95"/>
  <c r="Z124" i="95"/>
  <c r="X26" i="101"/>
  <c r="S117" i="95"/>
  <c r="D150" i="96"/>
  <c r="G55" i="101"/>
  <c r="AI61" i="101"/>
  <c r="Y122" i="95"/>
  <c r="F47" i="98"/>
  <c r="AE7" i="101"/>
  <c r="AE10" i="101"/>
  <c r="AD26" i="101"/>
  <c r="AD66" i="101" s="1"/>
  <c r="AC26" i="101"/>
  <c r="AC59" i="101" s="1"/>
  <c r="AS26" i="101"/>
  <c r="AE21" i="101"/>
  <c r="AE23" i="101"/>
  <c r="E111" i="96"/>
  <c r="K112" i="96" s="1"/>
  <c r="H11" i="41"/>
  <c r="E11" i="17" s="1"/>
  <c r="N11" i="41"/>
  <c r="H11" i="17" s="1"/>
  <c r="J11" i="41"/>
  <c r="F11" i="17" s="1"/>
  <c r="L11" i="41"/>
  <c r="G11" i="17" s="1"/>
  <c r="F11" i="41"/>
  <c r="F8" i="41"/>
  <c r="J8" i="41"/>
  <c r="F8" i="17" s="1"/>
  <c r="H8" i="41"/>
  <c r="E8" i="17" s="1"/>
  <c r="N8" i="41"/>
  <c r="H8" i="17" s="1"/>
  <c r="N5" i="41"/>
  <c r="J5" i="41"/>
  <c r="L5" i="41"/>
  <c r="D24" i="41"/>
  <c r="F5" i="41"/>
  <c r="M7" i="17"/>
  <c r="Z7" i="17" s="1"/>
  <c r="V32" i="107" s="1"/>
  <c r="W32" i="107" s="1"/>
  <c r="M16" i="17"/>
  <c r="Z16" i="17" s="1"/>
  <c r="V41" i="107" s="1"/>
  <c r="W41" i="107" s="1"/>
  <c r="U14" i="17"/>
  <c r="Z14" i="17" s="1"/>
  <c r="V39" i="107" s="1"/>
  <c r="W39" i="107" s="1"/>
  <c r="Q113" i="73"/>
  <c r="S113" i="73" s="1"/>
  <c r="L33" i="73"/>
  <c r="R23" i="95"/>
  <c r="Y129" i="95" s="1"/>
  <c r="AA129" i="95" s="1"/>
  <c r="V129" i="95"/>
  <c r="O15" i="94" s="1"/>
  <c r="R19" i="95"/>
  <c r="Y125" i="95" s="1"/>
  <c r="AA125" i="95" s="1"/>
  <c r="V125" i="95"/>
  <c r="O20" i="94" s="1"/>
  <c r="Q20" i="94" s="1"/>
  <c r="P19" i="95"/>
  <c r="N125" i="95" s="1"/>
  <c r="V121" i="95"/>
  <c r="O10" i="94" s="1"/>
  <c r="R15" i="95"/>
  <c r="Y121" i="95" s="1"/>
  <c r="AA121" i="95" s="1"/>
  <c r="V117" i="95"/>
  <c r="O17" i="94" s="1"/>
  <c r="Q17" i="94" s="1"/>
  <c r="R11" i="95"/>
  <c r="Y117" i="95" s="1"/>
  <c r="AA117" i="95" s="1"/>
  <c r="P11" i="95"/>
  <c r="N117" i="95" s="1"/>
  <c r="V113" i="95"/>
  <c r="O5" i="94" s="1"/>
  <c r="R7" i="95"/>
  <c r="Y113" i="95" s="1"/>
  <c r="AA113" i="95" s="1"/>
  <c r="Y13" i="51"/>
  <c r="W10" i="68" s="1"/>
  <c r="W13" i="51"/>
  <c r="S42" i="41"/>
  <c r="V42" i="96"/>
  <c r="R20" i="68"/>
  <c r="U20" i="68" s="1"/>
  <c r="V42" i="93"/>
  <c r="W22" i="51"/>
  <c r="Y22" i="51"/>
  <c r="W20" i="68" s="1"/>
  <c r="H5" i="41"/>
  <c r="AC26" i="60"/>
  <c r="AC59" i="60" s="1"/>
  <c r="AE22" i="60"/>
  <c r="AD26" i="81"/>
  <c r="AE18" i="81"/>
  <c r="AE64" i="81"/>
  <c r="G124" i="73"/>
  <c r="I124" i="73" s="1"/>
  <c r="D58" i="85"/>
  <c r="D14" i="78"/>
  <c r="D80" i="66"/>
  <c r="D36" i="85"/>
  <c r="D58" i="78"/>
  <c r="D14" i="66"/>
  <c r="D58" i="66"/>
  <c r="D80" i="85"/>
  <c r="D36" i="78"/>
  <c r="E23" i="85"/>
  <c r="G104" i="107" s="1"/>
  <c r="E89" i="85"/>
  <c r="E67" i="85"/>
  <c r="E67" i="78"/>
  <c r="E67" i="66"/>
  <c r="E45" i="85"/>
  <c r="E23" i="78"/>
  <c r="E89" i="66"/>
  <c r="E45" i="78"/>
  <c r="E23" i="66"/>
  <c r="N12" i="41"/>
  <c r="H12" i="17" s="1"/>
  <c r="H12" i="41"/>
  <c r="E12" i="17" s="1"/>
  <c r="L12" i="41"/>
  <c r="G12" i="17" s="1"/>
  <c r="J12" i="41"/>
  <c r="F12" i="17" s="1"/>
  <c r="F12" i="41"/>
  <c r="L17" i="41"/>
  <c r="G17" i="17" s="1"/>
  <c r="J17" i="41"/>
  <c r="F17" i="17" s="1"/>
  <c r="F17" i="41"/>
  <c r="H17" i="41"/>
  <c r="E17" i="17" s="1"/>
  <c r="M34" i="51"/>
  <c r="S37" i="41"/>
  <c r="L108" i="66"/>
  <c r="M51" i="66"/>
  <c r="M108" i="66" s="1"/>
  <c r="Y21" i="51"/>
  <c r="W19" i="68" s="1"/>
  <c r="W21" i="51"/>
  <c r="D25" i="69"/>
  <c r="R9" i="68"/>
  <c r="U9" i="68" s="1"/>
  <c r="F31" i="66"/>
  <c r="L110" i="66"/>
  <c r="M7" i="69" s="1"/>
  <c r="P7" i="69" s="1"/>
  <c r="E89" i="78"/>
  <c r="Q14" i="51"/>
  <c r="T14" i="51" s="1"/>
  <c r="V14" i="51" s="1"/>
  <c r="N14" i="51"/>
  <c r="G79" i="96"/>
  <c r="G79" i="93"/>
  <c r="H52" i="78"/>
  <c r="N52" i="78" s="1"/>
  <c r="O110" i="78" s="1"/>
  <c r="E73" i="85"/>
  <c r="E73" i="78"/>
  <c r="E51" i="66"/>
  <c r="E51" i="85"/>
  <c r="E51" i="78"/>
  <c r="E29" i="66"/>
  <c r="E73" i="66"/>
  <c r="E7" i="85"/>
  <c r="G64" i="107" s="1"/>
  <c r="E29" i="78"/>
  <c r="D85" i="85"/>
  <c r="D41" i="78"/>
  <c r="D63" i="66"/>
  <c r="D63" i="85"/>
  <c r="D85" i="78"/>
  <c r="D85" i="66"/>
  <c r="D41" i="85"/>
  <c r="D63" i="78"/>
  <c r="D41" i="66"/>
  <c r="M13" i="17"/>
  <c r="Z13" i="17" s="1"/>
  <c r="V38" i="107" s="1"/>
  <c r="W38" i="107" s="1"/>
  <c r="J31" i="41"/>
  <c r="D48" i="41"/>
  <c r="N31" i="41"/>
  <c r="F31" i="41"/>
  <c r="L31" i="41"/>
  <c r="N38" i="41"/>
  <c r="H38" i="41"/>
  <c r="J38" i="41"/>
  <c r="L38" i="41"/>
  <c r="H41" i="41"/>
  <c r="N41" i="41"/>
  <c r="L41" i="41"/>
  <c r="E21" i="85"/>
  <c r="G94" i="107" s="1"/>
  <c r="M8" i="66"/>
  <c r="M109" i="66" s="1"/>
  <c r="L109" i="66"/>
  <c r="M6" i="69" s="1"/>
  <c r="P6" i="69" s="1"/>
  <c r="L115" i="66"/>
  <c r="M23" i="69" s="1"/>
  <c r="P23" i="69" s="1"/>
  <c r="M14" i="66"/>
  <c r="M115" i="66" s="1"/>
  <c r="L116" i="66"/>
  <c r="M10" i="69" s="1"/>
  <c r="P10" i="69" s="1"/>
  <c r="M59" i="66"/>
  <c r="M116" i="66" s="1"/>
  <c r="M65" i="66"/>
  <c r="M122" i="66" s="1"/>
  <c r="L122" i="66"/>
  <c r="M13" i="69" s="1"/>
  <c r="P13" i="69" s="1"/>
  <c r="Y23" i="51"/>
  <c r="W21" i="68" s="1"/>
  <c r="W23" i="51"/>
  <c r="K22" i="74"/>
  <c r="K22" i="79"/>
  <c r="K18" i="74"/>
  <c r="K18" i="79"/>
  <c r="K13" i="74"/>
  <c r="K13" i="79"/>
  <c r="AE25" i="60"/>
  <c r="AA26" i="60"/>
  <c r="G113" i="73"/>
  <c r="I113" i="73" s="1"/>
  <c r="O11" i="73"/>
  <c r="G121" i="73"/>
  <c r="I121" i="73" s="1"/>
  <c r="G116" i="73"/>
  <c r="I116" i="73" s="1"/>
  <c r="J120" i="73"/>
  <c r="L40" i="73"/>
  <c r="E25" i="79"/>
  <c r="E30" i="74" s="1"/>
  <c r="H11" i="80"/>
  <c r="D11" i="80"/>
  <c r="E29" i="85"/>
  <c r="R8" i="68"/>
  <c r="U8" i="68" s="1"/>
  <c r="D17" i="85"/>
  <c r="D83" i="78"/>
  <c r="D17" i="66"/>
  <c r="D83" i="85"/>
  <c r="D61" i="78"/>
  <c r="D83" i="66"/>
  <c r="D61" i="66"/>
  <c r="D61" i="85"/>
  <c r="D17" i="78"/>
  <c r="D56" i="85"/>
  <c r="Q9" i="51"/>
  <c r="N9" i="51"/>
  <c r="K27" i="51"/>
  <c r="G32" i="66"/>
  <c r="U23" i="17"/>
  <c r="Z23" i="17" s="1"/>
  <c r="V47" i="107" s="1"/>
  <c r="W47" i="107" s="1"/>
  <c r="U6" i="17"/>
  <c r="Z6" i="17" s="1"/>
  <c r="V31" i="107" s="1"/>
  <c r="W31" i="107" s="1"/>
  <c r="H43" i="41"/>
  <c r="J43" i="41"/>
  <c r="N43" i="41"/>
  <c r="L47" i="41"/>
  <c r="N47" i="41"/>
  <c r="J47" i="41"/>
  <c r="F47" i="41"/>
  <c r="N24" i="51"/>
  <c r="Q24" i="51"/>
  <c r="T24" i="51" s="1"/>
  <c r="V24" i="51" s="1"/>
  <c r="Y7" i="51"/>
  <c r="W4" i="68" s="1"/>
  <c r="W7" i="51"/>
  <c r="P52" i="78"/>
  <c r="Y110" i="78" s="1"/>
  <c r="V110" i="78"/>
  <c r="P60" i="78"/>
  <c r="Y118" i="78" s="1"/>
  <c r="V118" i="78"/>
  <c r="O11" i="74" s="1"/>
  <c r="R11" i="74" s="1"/>
  <c r="D110" i="73"/>
  <c r="P13" i="73"/>
  <c r="N13" i="73"/>
  <c r="V115" i="73"/>
  <c r="O9" i="79" s="1"/>
  <c r="R9" i="79" s="1"/>
  <c r="P52" i="73"/>
  <c r="Y110" i="73" s="1"/>
  <c r="V110" i="73"/>
  <c r="O6" i="79" s="1"/>
  <c r="R6" i="79" s="1"/>
  <c r="N52" i="73"/>
  <c r="O110" i="73" s="1"/>
  <c r="O52" i="73"/>
  <c r="P56" i="73"/>
  <c r="O56" i="73"/>
  <c r="N56" i="73"/>
  <c r="O114" i="73" s="1"/>
  <c r="V114" i="73"/>
  <c r="O22" i="79" s="1"/>
  <c r="R22" i="79" s="1"/>
  <c r="P60" i="73"/>
  <c r="Y118" i="73" s="1"/>
  <c r="O60" i="73"/>
  <c r="N60" i="73"/>
  <c r="O118" i="73" s="1"/>
  <c r="V118" i="73"/>
  <c r="O11" i="79" s="1"/>
  <c r="R11" i="79" s="1"/>
  <c r="P64" i="73"/>
  <c r="O64" i="73"/>
  <c r="N64" i="73"/>
  <c r="O122" i="73" s="1"/>
  <c r="P122" i="73" s="1"/>
  <c r="P22" i="78"/>
  <c r="Y124" i="78" s="1"/>
  <c r="V124" i="78"/>
  <c r="O14" i="74" s="1"/>
  <c r="R14" i="74" s="1"/>
  <c r="Z23" i="84"/>
  <c r="AI5" i="84"/>
  <c r="Z5" i="84"/>
  <c r="W5" i="84"/>
  <c r="Z19" i="17"/>
  <c r="V44" i="107" s="1"/>
  <c r="W44" i="107" s="1"/>
  <c r="D21" i="85"/>
  <c r="F94" i="107" s="1"/>
  <c r="D43" i="78"/>
  <c r="D21" i="66"/>
  <c r="D87" i="85"/>
  <c r="D87" i="78"/>
  <c r="D65" i="66"/>
  <c r="M114" i="66"/>
  <c r="H23" i="41"/>
  <c r="E23" i="17" s="1"/>
  <c r="L23" i="41"/>
  <c r="G23" i="17" s="1"/>
  <c r="N23" i="41"/>
  <c r="H23" i="17" s="1"/>
  <c r="F23" i="41"/>
  <c r="F9" i="58"/>
  <c r="J34" i="41"/>
  <c r="N34" i="41"/>
  <c r="F34" i="41"/>
  <c r="H40" i="41"/>
  <c r="J40" i="41"/>
  <c r="F40" i="41"/>
  <c r="N40" i="41"/>
  <c r="N23" i="51"/>
  <c r="P23" i="51" s="1"/>
  <c r="H30" i="61"/>
  <c r="J115" i="73"/>
  <c r="L35" i="73"/>
  <c r="K115" i="73"/>
  <c r="L79" i="73"/>
  <c r="Q111" i="73"/>
  <c r="S111" i="73" s="1"/>
  <c r="L31" i="73"/>
  <c r="P22" i="73"/>
  <c r="N22" i="73"/>
  <c r="N124" i="73" s="1"/>
  <c r="V124" i="73"/>
  <c r="O14" i="79" s="1"/>
  <c r="O51" i="73"/>
  <c r="P51" i="73"/>
  <c r="N51" i="73"/>
  <c r="O109" i="73" s="1"/>
  <c r="P109" i="73" s="1"/>
  <c r="V109" i="73"/>
  <c r="P55" i="73"/>
  <c r="O55" i="73"/>
  <c r="N55" i="73"/>
  <c r="O113" i="73" s="1"/>
  <c r="P113" i="73" s="1"/>
  <c r="N59" i="73"/>
  <c r="O117" i="73" s="1"/>
  <c r="O59" i="73"/>
  <c r="P59" i="73"/>
  <c r="V117" i="73"/>
  <c r="O10" i="79" s="1"/>
  <c r="R10" i="79" s="1"/>
  <c r="N63" i="73"/>
  <c r="O121" i="73" s="1"/>
  <c r="P63" i="73"/>
  <c r="O63" i="73"/>
  <c r="N67" i="73"/>
  <c r="O125" i="73" s="1"/>
  <c r="O67" i="73"/>
  <c r="P67" i="73"/>
  <c r="Y125" i="73" s="1"/>
  <c r="AA125" i="73" s="1"/>
  <c r="V125" i="73"/>
  <c r="O15" i="79" s="1"/>
  <c r="R15" i="79" s="1"/>
  <c r="AE12" i="86"/>
  <c r="Z26" i="86"/>
  <c r="K12" i="91"/>
  <c r="K12" i="84"/>
  <c r="K19" i="91"/>
  <c r="K19" i="84"/>
  <c r="J126" i="92"/>
  <c r="G38" i="85"/>
  <c r="G60" i="78"/>
  <c r="G60" i="66"/>
  <c r="G16" i="85"/>
  <c r="G82" i="78"/>
  <c r="G16" i="66"/>
  <c r="D30" i="85"/>
  <c r="D8" i="78"/>
  <c r="D52" i="66"/>
  <c r="D74" i="85"/>
  <c r="D52" i="78"/>
  <c r="D74" i="66"/>
  <c r="F88" i="85"/>
  <c r="H9" i="85"/>
  <c r="J74" i="107" s="1"/>
  <c r="H9" i="78"/>
  <c r="N9" i="78" s="1"/>
  <c r="N111" i="78" s="1"/>
  <c r="H53" i="66"/>
  <c r="H31" i="85"/>
  <c r="K31" i="85" s="1"/>
  <c r="Q111" i="85" s="1"/>
  <c r="H75" i="78"/>
  <c r="K75" i="78" s="1"/>
  <c r="R111" i="78" s="1"/>
  <c r="H9" i="66"/>
  <c r="E32" i="85"/>
  <c r="E76" i="78"/>
  <c r="E32" i="66"/>
  <c r="E76" i="85"/>
  <c r="E54" i="78"/>
  <c r="E76" i="66"/>
  <c r="E12" i="85"/>
  <c r="E12" i="78"/>
  <c r="E78" i="85"/>
  <c r="E78" i="78"/>
  <c r="E12" i="66"/>
  <c r="H21" i="41"/>
  <c r="E21" i="17" s="1"/>
  <c r="N21" i="41"/>
  <c r="H21" i="17" s="1"/>
  <c r="F6" i="41"/>
  <c r="N6" i="41"/>
  <c r="H6" i="17" s="1"/>
  <c r="F16" i="41"/>
  <c r="L16" i="41"/>
  <c r="G16" i="17" s="1"/>
  <c r="J16" i="41"/>
  <c r="F16" i="17" s="1"/>
  <c r="H16" i="41"/>
  <c r="E16" i="17" s="1"/>
  <c r="AA64" i="60"/>
  <c r="Y19" i="51"/>
  <c r="W16" i="68" s="1"/>
  <c r="W19" i="51"/>
  <c r="B5" i="82"/>
  <c r="D10" i="61"/>
  <c r="D25" i="74"/>
  <c r="H10" i="61"/>
  <c r="K19" i="74"/>
  <c r="K19" i="79"/>
  <c r="K15" i="74"/>
  <c r="B14" i="83" s="1"/>
  <c r="K15" i="79"/>
  <c r="K11" i="74"/>
  <c r="K11" i="79"/>
  <c r="D23" i="75"/>
  <c r="D30" i="75" s="1"/>
  <c r="V113" i="78"/>
  <c r="O17" i="74" s="1"/>
  <c r="R17" i="74" s="1"/>
  <c r="P11" i="78"/>
  <c r="Y113" i="78" s="1"/>
  <c r="V117" i="78"/>
  <c r="O10" i="74" s="1"/>
  <c r="R10" i="74" s="1"/>
  <c r="P15" i="78"/>
  <c r="Y117" i="78" s="1"/>
  <c r="V120" i="78"/>
  <c r="O19" i="74" s="1"/>
  <c r="R19" i="74" s="1"/>
  <c r="P18" i="78"/>
  <c r="Y120" i="78" s="1"/>
  <c r="AA120" i="78" s="1"/>
  <c r="V125" i="78"/>
  <c r="O15" i="74" s="1"/>
  <c r="C18" i="76"/>
  <c r="E25" i="74"/>
  <c r="B5" i="77"/>
  <c r="F5" i="77" s="1"/>
  <c r="F30" i="74"/>
  <c r="F32" i="74" s="1"/>
  <c r="Z26" i="81"/>
  <c r="AC26" i="81"/>
  <c r="AC59" i="81" s="1"/>
  <c r="I117" i="73"/>
  <c r="L85" i="73"/>
  <c r="K121" i="73"/>
  <c r="Z20" i="84"/>
  <c r="W20" i="84"/>
  <c r="AI20" i="84"/>
  <c r="E15" i="85"/>
  <c r="G84" i="107" s="1"/>
  <c r="E81" i="85"/>
  <c r="Z110" i="78"/>
  <c r="Z122" i="78"/>
  <c r="P64" i="78"/>
  <c r="Y122" i="78" s="1"/>
  <c r="V122" i="78"/>
  <c r="O12" i="74" s="1"/>
  <c r="R12" i="74" s="1"/>
  <c r="AE19" i="81"/>
  <c r="AA26" i="81"/>
  <c r="AA59" i="81" s="1"/>
  <c r="AI114" i="73"/>
  <c r="I110" i="73"/>
  <c r="I115" i="73"/>
  <c r="P14" i="73"/>
  <c r="N14" i="73"/>
  <c r="N116" i="73" s="1"/>
  <c r="V111" i="85"/>
  <c r="O7" i="84" s="1"/>
  <c r="V111" i="92"/>
  <c r="E65" i="107" s="1"/>
  <c r="O51" i="92"/>
  <c r="O111" i="92" s="1"/>
  <c r="Q51" i="92"/>
  <c r="Y111" i="92" s="1"/>
  <c r="Q54" i="92"/>
  <c r="Y114" i="92" s="1"/>
  <c r="V114" i="92"/>
  <c r="E80" i="107" s="1"/>
  <c r="O57" i="92"/>
  <c r="O117" i="92" s="1"/>
  <c r="Q57" i="92"/>
  <c r="Y117" i="92" s="1"/>
  <c r="Q64" i="92"/>
  <c r="Y124" i="92" s="1"/>
  <c r="AA124" i="92" s="1"/>
  <c r="V124" i="92"/>
  <c r="E90" i="107" s="1"/>
  <c r="O64" i="92"/>
  <c r="O124" i="92" s="1"/>
  <c r="V127" i="92"/>
  <c r="E105" i="107" s="1"/>
  <c r="O67" i="92"/>
  <c r="O127" i="92" s="1"/>
  <c r="Q67" i="92"/>
  <c r="Y127" i="92" s="1"/>
  <c r="AA127" i="92" s="1"/>
  <c r="I14" i="93"/>
  <c r="M14" i="93"/>
  <c r="K14" i="93"/>
  <c r="O17" i="93"/>
  <c r="G17" i="93"/>
  <c r="I17" i="93"/>
  <c r="M17" i="93"/>
  <c r="K17" i="93"/>
  <c r="I42" i="93"/>
  <c r="E18" i="92" s="1"/>
  <c r="M42" i="93"/>
  <c r="G18" i="92" s="1"/>
  <c r="G42" i="93"/>
  <c r="O42" i="93"/>
  <c r="H18" i="92" s="1"/>
  <c r="Q42" i="93"/>
  <c r="I18" i="92" s="1"/>
  <c r="O18" i="92" s="1"/>
  <c r="N122" i="92" s="1"/>
  <c r="K42" i="93"/>
  <c r="F18" i="92" s="1"/>
  <c r="O39" i="93"/>
  <c r="I39" i="93"/>
  <c r="M39" i="93"/>
  <c r="Q39" i="93"/>
  <c r="K39" i="93"/>
  <c r="F76" i="95"/>
  <c r="M76" i="95" s="1"/>
  <c r="R116" i="95" s="1"/>
  <c r="F32" i="95"/>
  <c r="M32" i="95" s="1"/>
  <c r="Q116" i="95" s="1"/>
  <c r="F10" i="95"/>
  <c r="P10" i="95" s="1"/>
  <c r="N116" i="95" s="1"/>
  <c r="F54" i="95"/>
  <c r="P54" i="95" s="1"/>
  <c r="O116" i="95" s="1"/>
  <c r="M163" i="96"/>
  <c r="U163" i="96" s="1"/>
  <c r="P54" i="78"/>
  <c r="Y112" i="78" s="1"/>
  <c r="V112" i="78"/>
  <c r="O8" i="74" s="1"/>
  <c r="R8" i="74" s="1"/>
  <c r="X26" i="81"/>
  <c r="AB26" i="81"/>
  <c r="AB59" i="81" s="1"/>
  <c r="AE10" i="81"/>
  <c r="AF122" i="73"/>
  <c r="J121" i="73"/>
  <c r="L41" i="73"/>
  <c r="F116" i="73"/>
  <c r="H127" i="73"/>
  <c r="S114" i="73"/>
  <c r="P11" i="73"/>
  <c r="V113" i="73"/>
  <c r="O17" i="79" s="1"/>
  <c r="R17" i="79" s="1"/>
  <c r="V114" i="85"/>
  <c r="O22" i="84" s="1"/>
  <c r="V118" i="85"/>
  <c r="O11" i="84" s="1"/>
  <c r="P16" i="85"/>
  <c r="Y118" i="85" s="1"/>
  <c r="V125" i="85"/>
  <c r="O15" i="84" s="1"/>
  <c r="P23" i="85"/>
  <c r="Y125" i="85" s="1"/>
  <c r="P59" i="85"/>
  <c r="Y117" i="85" s="1"/>
  <c r="V117" i="85"/>
  <c r="O10" i="84" s="1"/>
  <c r="P65" i="85"/>
  <c r="Y123" i="85" s="1"/>
  <c r="V123" i="85"/>
  <c r="O13" i="84" s="1"/>
  <c r="I119" i="73"/>
  <c r="E127" i="73"/>
  <c r="S112" i="73"/>
  <c r="V122" i="73"/>
  <c r="O12" i="79" s="1"/>
  <c r="R12" i="79" s="1"/>
  <c r="P20" i="73"/>
  <c r="Z115" i="73"/>
  <c r="P57" i="73"/>
  <c r="N57" i="73"/>
  <c r="O115" i="73" s="1"/>
  <c r="P61" i="73"/>
  <c r="Y119" i="73" s="1"/>
  <c r="N61" i="73"/>
  <c r="O119" i="73" s="1"/>
  <c r="O61" i="73"/>
  <c r="Y113" i="85"/>
  <c r="Z109" i="85"/>
  <c r="Z121" i="85"/>
  <c r="AS26" i="86"/>
  <c r="D23" i="87"/>
  <c r="H29" i="83"/>
  <c r="E25" i="91"/>
  <c r="O13" i="92"/>
  <c r="N117" i="92" s="1"/>
  <c r="V117" i="92"/>
  <c r="O9" i="91" s="1"/>
  <c r="V121" i="92"/>
  <c r="O18" i="91" s="1"/>
  <c r="Q17" i="92"/>
  <c r="Y121" i="92" s="1"/>
  <c r="V125" i="92"/>
  <c r="E95" i="107" s="1"/>
  <c r="Q21" i="92"/>
  <c r="Y125" i="92" s="1"/>
  <c r="V122" i="92"/>
  <c r="O19" i="91" s="1"/>
  <c r="Q62" i="92"/>
  <c r="Y122" i="92" s="1"/>
  <c r="I6" i="93"/>
  <c r="M6" i="93"/>
  <c r="O6" i="93"/>
  <c r="E24" i="93"/>
  <c r="F25" i="93" s="1"/>
  <c r="O9" i="93"/>
  <c r="I9" i="93"/>
  <c r="M9" i="93"/>
  <c r="I22" i="93"/>
  <c r="M22" i="93"/>
  <c r="K22" i="93"/>
  <c r="O44" i="93"/>
  <c r="Q44" i="93"/>
  <c r="I44" i="93"/>
  <c r="K44" i="93"/>
  <c r="O35" i="93"/>
  <c r="H11" i="92" s="1"/>
  <c r="G35" i="93"/>
  <c r="I35" i="93"/>
  <c r="E11" i="92" s="1"/>
  <c r="M35" i="93"/>
  <c r="G11" i="92" s="1"/>
  <c r="Q35" i="93"/>
  <c r="I11" i="92" s="1"/>
  <c r="O11" i="92" s="1"/>
  <c r="N115" i="92" s="1"/>
  <c r="E48" i="93"/>
  <c r="L49" i="93" s="1"/>
  <c r="I111" i="73"/>
  <c r="I108" i="73"/>
  <c r="I120" i="73"/>
  <c r="L42" i="73"/>
  <c r="J122" i="73"/>
  <c r="L122" i="73" s="1"/>
  <c r="K108" i="73"/>
  <c r="L72" i="73"/>
  <c r="S115" i="73"/>
  <c r="R122" i="73"/>
  <c r="S122" i="73" s="1"/>
  <c r="L86" i="73"/>
  <c r="N18" i="73"/>
  <c r="P18" i="73"/>
  <c r="P50" i="73"/>
  <c r="N50" i="73"/>
  <c r="O108" i="73" s="1"/>
  <c r="P54" i="73"/>
  <c r="Y112" i="73" s="1"/>
  <c r="N54" i="73"/>
  <c r="O112" i="73" s="1"/>
  <c r="P112" i="73" s="1"/>
  <c r="O54" i="73"/>
  <c r="P58" i="73"/>
  <c r="N58" i="73"/>
  <c r="O116" i="73" s="1"/>
  <c r="O58" i="73"/>
  <c r="P62" i="73"/>
  <c r="N62" i="73"/>
  <c r="O120" i="73" s="1"/>
  <c r="P66" i="73"/>
  <c r="N66" i="73"/>
  <c r="O124" i="73" s="1"/>
  <c r="AC26" i="86"/>
  <c r="AC59" i="86" s="1"/>
  <c r="AE18" i="86"/>
  <c r="AB26" i="86"/>
  <c r="AB59" i="86" s="1"/>
  <c r="AL20" i="86"/>
  <c r="AK26" i="86"/>
  <c r="AL26" i="86" s="1"/>
  <c r="K167" i="96"/>
  <c r="S167" i="96" s="1"/>
  <c r="H50" i="95"/>
  <c r="G10" i="93"/>
  <c r="I10" i="93"/>
  <c r="O10" i="93"/>
  <c r="O13" i="93"/>
  <c r="G13" i="93"/>
  <c r="K13" i="93"/>
  <c r="O43" i="93"/>
  <c r="H19" i="92" s="1"/>
  <c r="G43" i="93"/>
  <c r="M40" i="93"/>
  <c r="G16" i="92" s="1"/>
  <c r="I40" i="93"/>
  <c r="Q40" i="93"/>
  <c r="I16" i="92" s="1"/>
  <c r="O16" i="92" s="1"/>
  <c r="N120" i="92" s="1"/>
  <c r="G34" i="93"/>
  <c r="M34" i="93"/>
  <c r="O34" i="93"/>
  <c r="M9" i="96"/>
  <c r="K9" i="96"/>
  <c r="O9" i="96"/>
  <c r="M15" i="96"/>
  <c r="O15" i="96"/>
  <c r="K15" i="96"/>
  <c r="I15" i="96"/>
  <c r="G15" i="96"/>
  <c r="Q31" i="96"/>
  <c r="K31" i="96"/>
  <c r="I31" i="96"/>
  <c r="H140" i="96" s="1"/>
  <c r="M31" i="96"/>
  <c r="D140" i="96"/>
  <c r="G31" i="96"/>
  <c r="O31" i="96"/>
  <c r="M44" i="96"/>
  <c r="I44" i="96"/>
  <c r="H153" i="96" s="1"/>
  <c r="O44" i="96"/>
  <c r="K44" i="96"/>
  <c r="J153" i="96" s="1"/>
  <c r="G44" i="96"/>
  <c r="F53" i="98"/>
  <c r="H53" i="98" s="1"/>
  <c r="P58" i="98"/>
  <c r="D25" i="91"/>
  <c r="L83" i="95"/>
  <c r="O17" i="95"/>
  <c r="L41" i="95"/>
  <c r="O55" i="95"/>
  <c r="O11" i="95"/>
  <c r="O61" i="95"/>
  <c r="H123" i="95" s="1"/>
  <c r="L33" i="95"/>
  <c r="L84" i="95"/>
  <c r="O62" i="95"/>
  <c r="K87" i="92"/>
  <c r="K74" i="92"/>
  <c r="K82" i="92"/>
  <c r="K72" i="92"/>
  <c r="K80" i="92"/>
  <c r="K81" i="92"/>
  <c r="K28" i="92"/>
  <c r="K34" i="92"/>
  <c r="N62" i="92"/>
  <c r="N54" i="92"/>
  <c r="H114" i="92" s="1"/>
  <c r="K37" i="92"/>
  <c r="N61" i="92"/>
  <c r="H121" i="92" s="1"/>
  <c r="K32" i="92"/>
  <c r="N56" i="92"/>
  <c r="H116" i="92" s="1"/>
  <c r="N63" i="92"/>
  <c r="N55" i="92"/>
  <c r="H115" i="92" s="1"/>
  <c r="M56" i="92"/>
  <c r="M66" i="92"/>
  <c r="M59" i="92"/>
  <c r="K77" i="92"/>
  <c r="K78" i="92"/>
  <c r="K86" i="92"/>
  <c r="K76" i="92"/>
  <c r="K84" i="92"/>
  <c r="K42" i="92"/>
  <c r="N66" i="92"/>
  <c r="H126" i="92" s="1"/>
  <c r="N58" i="92"/>
  <c r="K45" i="92"/>
  <c r="K29" i="92"/>
  <c r="N64" i="92"/>
  <c r="H124" i="92" s="1"/>
  <c r="N67" i="92"/>
  <c r="H127" i="92" s="1"/>
  <c r="N59" i="92"/>
  <c r="H119" i="92" s="1"/>
  <c r="N51" i="92"/>
  <c r="M67" i="92"/>
  <c r="M55" i="92"/>
  <c r="M52" i="92"/>
  <c r="M60" i="92"/>
  <c r="M65" i="92"/>
  <c r="M64" i="92"/>
  <c r="I5" i="93"/>
  <c r="O5" i="93"/>
  <c r="M5" i="93"/>
  <c r="M18" i="93"/>
  <c r="O18" i="93"/>
  <c r="I21" i="93"/>
  <c r="K21" i="93"/>
  <c r="O21" i="93"/>
  <c r="O45" i="93"/>
  <c r="Q45" i="93"/>
  <c r="K36" i="93"/>
  <c r="F12" i="92" s="1"/>
  <c r="G36" i="93"/>
  <c r="O36" i="93"/>
  <c r="H12" i="92" s="1"/>
  <c r="G9" i="96"/>
  <c r="D153" i="96"/>
  <c r="I19" i="96"/>
  <c r="K19" i="96"/>
  <c r="O19" i="96"/>
  <c r="G19" i="96"/>
  <c r="M19" i="96"/>
  <c r="K39" i="96"/>
  <c r="I39" i="96"/>
  <c r="D148" i="96"/>
  <c r="O39" i="96"/>
  <c r="G39" i="96"/>
  <c r="D86" i="95"/>
  <c r="D42" i="95"/>
  <c r="D64" i="95"/>
  <c r="K173" i="96"/>
  <c r="S173" i="96" s="1"/>
  <c r="Y119" i="95"/>
  <c r="I7" i="96"/>
  <c r="M7" i="96"/>
  <c r="M21" i="96"/>
  <c r="K21" i="96"/>
  <c r="O21" i="96"/>
  <c r="I21" i="96"/>
  <c r="G21" i="96"/>
  <c r="I41" i="96"/>
  <c r="H150" i="96" s="1"/>
  <c r="O41" i="96"/>
  <c r="R150" i="96" s="1"/>
  <c r="M41" i="96"/>
  <c r="L150" i="96" s="1"/>
  <c r="G41" i="96"/>
  <c r="F49" i="98"/>
  <c r="D20" i="95"/>
  <c r="L39" i="95"/>
  <c r="H21" i="95"/>
  <c r="H65" i="95"/>
  <c r="H43" i="95"/>
  <c r="L154" i="96"/>
  <c r="H87" i="95"/>
  <c r="H76" i="95"/>
  <c r="H32" i="95"/>
  <c r="H10" i="95"/>
  <c r="H54" i="95"/>
  <c r="K7" i="96"/>
  <c r="H81" i="95"/>
  <c r="H37" i="95"/>
  <c r="H59" i="95"/>
  <c r="H15" i="95"/>
  <c r="J72" i="95"/>
  <c r="U72" i="95" s="1"/>
  <c r="J50" i="95"/>
  <c r="J6" i="95"/>
  <c r="U6" i="95" s="1"/>
  <c r="J28" i="95"/>
  <c r="U28" i="95" s="1"/>
  <c r="O159" i="96"/>
  <c r="W159" i="96" s="1"/>
  <c r="R139" i="96"/>
  <c r="M17" i="96"/>
  <c r="I17" i="96"/>
  <c r="G17" i="96"/>
  <c r="O17" i="96"/>
  <c r="Q33" i="96"/>
  <c r="I33" i="96"/>
  <c r="M33" i="96"/>
  <c r="K33" i="96"/>
  <c r="G33" i="96"/>
  <c r="O33" i="96"/>
  <c r="M37" i="96"/>
  <c r="G37" i="96"/>
  <c r="Q37" i="96"/>
  <c r="O37" i="96"/>
  <c r="K37" i="96"/>
  <c r="I46" i="96"/>
  <c r="D155" i="96"/>
  <c r="Q46" i="96"/>
  <c r="N155" i="96" s="1"/>
  <c r="M46" i="96"/>
  <c r="N117" i="96"/>
  <c r="P117" i="96"/>
  <c r="H117" i="96"/>
  <c r="F117" i="96"/>
  <c r="D143" i="96"/>
  <c r="H121" i="96"/>
  <c r="R121" i="96"/>
  <c r="P121" i="96"/>
  <c r="L125" i="96"/>
  <c r="P125" i="96"/>
  <c r="D147" i="96"/>
  <c r="F125" i="96"/>
  <c r="N125" i="96"/>
  <c r="R132" i="96"/>
  <c r="H132" i="96"/>
  <c r="J132" i="96"/>
  <c r="D154" i="96"/>
  <c r="N132" i="96"/>
  <c r="P132" i="96"/>
  <c r="F132" i="96"/>
  <c r="F119" i="93"/>
  <c r="D45" i="95"/>
  <c r="D23" i="95"/>
  <c r="D89" i="95"/>
  <c r="Q35" i="96"/>
  <c r="N144" i="96" s="1"/>
  <c r="V126" i="95"/>
  <c r="O12" i="94" s="1"/>
  <c r="Q12" i="94" s="1"/>
  <c r="E82" i="95"/>
  <c r="E16" i="95"/>
  <c r="F127" i="93"/>
  <c r="R127" i="93"/>
  <c r="R125" i="93"/>
  <c r="D144" i="96"/>
  <c r="D156" i="96"/>
  <c r="F134" i="96"/>
  <c r="P134" i="96"/>
  <c r="L134" i="96"/>
  <c r="D67" i="95"/>
  <c r="L77" i="95"/>
  <c r="D78" i="95"/>
  <c r="D12" i="95"/>
  <c r="D34" i="95"/>
  <c r="D56" i="95"/>
  <c r="J89" i="95"/>
  <c r="U89" i="95" s="1"/>
  <c r="J45" i="95"/>
  <c r="U45" i="95" s="1"/>
  <c r="J67" i="95"/>
  <c r="U67" i="95" s="1"/>
  <c r="P117" i="93"/>
  <c r="J117" i="93"/>
  <c r="R117" i="93"/>
  <c r="L117" i="93"/>
  <c r="N117" i="93"/>
  <c r="J119" i="93"/>
  <c r="N119" i="93"/>
  <c r="L123" i="93"/>
  <c r="R123" i="93"/>
  <c r="P123" i="93"/>
  <c r="F123" i="93"/>
  <c r="H125" i="93"/>
  <c r="P125" i="93"/>
  <c r="N125" i="93"/>
  <c r="J125" i="93"/>
  <c r="L127" i="93"/>
  <c r="J127" i="93"/>
  <c r="P133" i="93"/>
  <c r="R133" i="93"/>
  <c r="M5" i="96"/>
  <c r="E24" i="96"/>
  <c r="F25" i="96" s="1"/>
  <c r="K5" i="96"/>
  <c r="I11" i="96"/>
  <c r="K11" i="96"/>
  <c r="M14" i="96"/>
  <c r="K14" i="96"/>
  <c r="O14" i="96"/>
  <c r="M23" i="96"/>
  <c r="O23" i="96"/>
  <c r="K23" i="96"/>
  <c r="G23" i="96"/>
  <c r="I23" i="96"/>
  <c r="K35" i="96"/>
  <c r="J144" i="96" s="1"/>
  <c r="I35" i="96"/>
  <c r="H144" i="96" s="1"/>
  <c r="G35" i="96"/>
  <c r="R120" i="96"/>
  <c r="H120" i="96"/>
  <c r="F124" i="96"/>
  <c r="R124" i="96"/>
  <c r="F131" i="96"/>
  <c r="P131" i="96"/>
  <c r="L131" i="96"/>
  <c r="R53" i="95"/>
  <c r="Y115" i="95" s="1"/>
  <c r="AA115" i="95" s="1"/>
  <c r="V115" i="95"/>
  <c r="O7" i="94" s="1"/>
  <c r="L40" i="95"/>
  <c r="E38" i="95"/>
  <c r="E51" i="95"/>
  <c r="E73" i="95"/>
  <c r="E7" i="95"/>
  <c r="F44" i="95"/>
  <c r="M44" i="95" s="1"/>
  <c r="Q128" i="95" s="1"/>
  <c r="S128" i="95" s="1"/>
  <c r="F66" i="95"/>
  <c r="P66" i="95" s="1"/>
  <c r="O128" i="95" s="1"/>
  <c r="H60" i="95"/>
  <c r="L85" i="95"/>
  <c r="K9" i="94"/>
  <c r="K25" i="94" s="1"/>
  <c r="D23" i="100"/>
  <c r="D30" i="100" s="1"/>
  <c r="K8" i="102"/>
  <c r="L4" i="102"/>
  <c r="E88" i="95"/>
  <c r="O19" i="95"/>
  <c r="F22" i="95"/>
  <c r="P22" i="95" s="1"/>
  <c r="N128" i="95" s="1"/>
  <c r="E29" i="95"/>
  <c r="O18" i="95"/>
  <c r="AY26" i="101"/>
  <c r="AZ20" i="101"/>
  <c r="J8" i="102"/>
  <c r="L14" i="102" s="1"/>
  <c r="O63" i="95"/>
  <c r="AE15" i="101"/>
  <c r="Z26" i="101"/>
  <c r="AE18" i="101"/>
  <c r="AK26" i="101"/>
  <c r="AL26" i="101" s="1"/>
  <c r="AL20" i="101"/>
  <c r="AE20" i="101"/>
  <c r="J36" i="102"/>
  <c r="J41" i="102" s="1"/>
  <c r="K41" i="102" s="1"/>
  <c r="N41" i="102" s="1"/>
  <c r="K18" i="102"/>
  <c r="K36" i="102" s="1"/>
  <c r="I45" i="102"/>
  <c r="I49" i="102" s="1"/>
  <c r="I51" i="102" s="1"/>
  <c r="I53" i="102" s="1"/>
  <c r="AE64" i="101"/>
  <c r="L5" i="102"/>
  <c r="L7" i="102"/>
  <c r="H24" i="148" l="1"/>
  <c r="H72" i="148"/>
  <c r="B8" i="90"/>
  <c r="B9" i="90"/>
  <c r="G8" i="90"/>
  <c r="D30" i="90"/>
  <c r="AD9" i="120"/>
  <c r="AF9" i="120" s="1"/>
  <c r="AD11" i="120"/>
  <c r="AF11" i="120" s="1"/>
  <c r="AD13" i="120"/>
  <c r="AF13" i="120" s="1"/>
  <c r="AD12" i="120"/>
  <c r="AF12" i="120" s="1"/>
  <c r="AD20" i="120"/>
  <c r="AF20" i="120" s="1"/>
  <c r="AD14" i="120"/>
  <c r="AF14" i="120" s="1"/>
  <c r="AD16" i="120"/>
  <c r="AF16" i="120" s="1"/>
  <c r="AD10" i="120"/>
  <c r="AF10" i="120" s="1"/>
  <c r="AD6" i="120"/>
  <c r="AF6" i="120" s="1"/>
  <c r="AR108" i="121"/>
  <c r="AT108" i="121" s="1"/>
  <c r="AR113" i="121"/>
  <c r="AT113" i="121" s="1"/>
  <c r="AR119" i="121"/>
  <c r="AT119" i="121" s="1"/>
  <c r="D9" i="90"/>
  <c r="G9" i="90"/>
  <c r="AR117" i="121"/>
  <c r="AT117" i="121" s="1"/>
  <c r="AD4" i="120"/>
  <c r="AF4" i="120" s="1"/>
  <c r="AR122" i="121"/>
  <c r="AT122" i="121" s="1"/>
  <c r="AR120" i="121"/>
  <c r="AT120" i="121" s="1"/>
  <c r="AR114" i="121"/>
  <c r="AT114" i="121" s="1"/>
  <c r="AR110" i="121"/>
  <c r="AT110" i="121" s="1"/>
  <c r="AR116" i="121"/>
  <c r="AT116" i="121" s="1"/>
  <c r="AR123" i="121"/>
  <c r="AT123" i="121" s="1"/>
  <c r="AR109" i="121"/>
  <c r="AT109" i="121" s="1"/>
  <c r="AD8" i="120"/>
  <c r="AF8" i="120" s="1"/>
  <c r="K20" i="148"/>
  <c r="L20" i="148" s="1"/>
  <c r="L63" i="148" s="1"/>
  <c r="N63" i="148" s="1"/>
  <c r="K15" i="148"/>
  <c r="L58" i="148" s="1"/>
  <c r="N58" i="148" s="1"/>
  <c r="E22" i="148"/>
  <c r="K5" i="148"/>
  <c r="L5" i="148" s="1"/>
  <c r="L48" i="148" s="1"/>
  <c r="N48" i="148" s="1"/>
  <c r="AD17" i="120"/>
  <c r="AF17" i="120" s="1"/>
  <c r="K13" i="148"/>
  <c r="L13" i="148" s="1"/>
  <c r="K11" i="148"/>
  <c r="L11" i="148" s="1"/>
  <c r="L54" i="148" s="1"/>
  <c r="N54" i="148" s="1"/>
  <c r="K19" i="148"/>
  <c r="L19" i="148" s="1"/>
  <c r="L62" i="148" s="1"/>
  <c r="N62" i="148" s="1"/>
  <c r="K12" i="148"/>
  <c r="L12" i="148" s="1"/>
  <c r="L55" i="148" s="1"/>
  <c r="N55" i="148" s="1"/>
  <c r="K6" i="148"/>
  <c r="L6" i="148" s="1"/>
  <c r="L49" i="148" s="1"/>
  <c r="N49" i="148" s="1"/>
  <c r="K16" i="148"/>
  <c r="L16" i="148" s="1"/>
  <c r="L59" i="148" s="1"/>
  <c r="N59" i="148" s="1"/>
  <c r="K4" i="148"/>
  <c r="D24" i="148"/>
  <c r="D48" i="148" s="1"/>
  <c r="K9" i="148"/>
  <c r="L9" i="148" s="1"/>
  <c r="L52" i="148" s="1"/>
  <c r="N52" i="148" s="1"/>
  <c r="K17" i="148"/>
  <c r="L17" i="148" s="1"/>
  <c r="L60" i="148" s="1"/>
  <c r="N60" i="148" s="1"/>
  <c r="K18" i="148"/>
  <c r="L18" i="148" s="1"/>
  <c r="L61" i="148" s="1"/>
  <c r="N61" i="148" s="1"/>
  <c r="K14" i="148"/>
  <c r="L14" i="148" s="1"/>
  <c r="L57" i="148" s="1"/>
  <c r="N57" i="148" s="1"/>
  <c r="K10" i="148"/>
  <c r="L10" i="148" s="1"/>
  <c r="L53" i="148" s="1"/>
  <c r="N53" i="148" s="1"/>
  <c r="D8" i="90"/>
  <c r="K8" i="148"/>
  <c r="L8" i="148" s="1"/>
  <c r="L51" i="148" s="1"/>
  <c r="N51" i="148" s="1"/>
  <c r="P59" i="98"/>
  <c r="P60" i="98" s="1"/>
  <c r="P62" i="98" s="1"/>
  <c r="L165" i="96"/>
  <c r="T165" i="96" s="1"/>
  <c r="E96" i="107"/>
  <c r="K97" i="107" s="1"/>
  <c r="F95" i="107"/>
  <c r="F96" i="107" s="1"/>
  <c r="F97" i="107" s="1"/>
  <c r="K95" i="107"/>
  <c r="G95" i="107"/>
  <c r="G96" i="107" s="1"/>
  <c r="F31" i="78"/>
  <c r="AA118" i="92"/>
  <c r="S45" i="41"/>
  <c r="V45" i="107"/>
  <c r="W45" i="107" s="1"/>
  <c r="E74" i="78"/>
  <c r="V37" i="93"/>
  <c r="V37" i="107"/>
  <c r="W37" i="107" s="1"/>
  <c r="V35" i="93"/>
  <c r="V35" i="107"/>
  <c r="W35" i="107" s="1"/>
  <c r="O10" i="91"/>
  <c r="E85" i="107"/>
  <c r="F69" i="96"/>
  <c r="F69" i="107"/>
  <c r="J82" i="95"/>
  <c r="U82" i="95" s="1"/>
  <c r="E91" i="107"/>
  <c r="F90" i="107"/>
  <c r="K90" i="107"/>
  <c r="Q4" i="94"/>
  <c r="H56" i="95"/>
  <c r="E13" i="85"/>
  <c r="V43" i="96"/>
  <c r="V43" i="107"/>
  <c r="W43" i="107" s="1"/>
  <c r="V33" i="93"/>
  <c r="V33" i="107"/>
  <c r="W33" i="107" s="1"/>
  <c r="F6" i="66"/>
  <c r="F21" i="85"/>
  <c r="S38" i="93"/>
  <c r="F60" i="107"/>
  <c r="E61" i="107"/>
  <c r="K60" i="107"/>
  <c r="H12" i="95"/>
  <c r="H81" i="78"/>
  <c r="K81" i="78" s="1"/>
  <c r="R117" i="78" s="1"/>
  <c r="F74" i="96"/>
  <c r="F74" i="107"/>
  <c r="H78" i="95"/>
  <c r="F69" i="93"/>
  <c r="E70" i="93"/>
  <c r="E70" i="107"/>
  <c r="H37" i="66"/>
  <c r="E85" i="96"/>
  <c r="W12" i="51"/>
  <c r="S40" i="41"/>
  <c r="V40" i="107"/>
  <c r="W40" i="107" s="1"/>
  <c r="R14" i="68"/>
  <c r="U14" i="68" s="1"/>
  <c r="V46" i="107"/>
  <c r="W46" i="107" s="1"/>
  <c r="E85" i="93"/>
  <c r="AZ26" i="101"/>
  <c r="B9" i="103"/>
  <c r="F9" i="103" s="1"/>
  <c r="E81" i="107"/>
  <c r="K82" i="107" s="1"/>
  <c r="K80" i="107"/>
  <c r="G80" i="107"/>
  <c r="G81" i="107" s="1"/>
  <c r="F65" i="85"/>
  <c r="E106" i="107"/>
  <c r="K105" i="107"/>
  <c r="G105" i="107"/>
  <c r="G106" i="107" s="1"/>
  <c r="K65" i="107"/>
  <c r="G65" i="107"/>
  <c r="G66" i="107" s="1"/>
  <c r="E66" i="107"/>
  <c r="K67" i="107" s="1"/>
  <c r="Q15" i="94"/>
  <c r="F75" i="107"/>
  <c r="J75" i="107"/>
  <c r="J76" i="107" s="1"/>
  <c r="K75" i="107"/>
  <c r="E76" i="107"/>
  <c r="F109" i="93"/>
  <c r="F110" i="93" s="1"/>
  <c r="F111" i="93" s="1"/>
  <c r="F112" i="93" s="1"/>
  <c r="D14" i="92" s="1"/>
  <c r="F109" i="107"/>
  <c r="F110" i="107" s="1"/>
  <c r="F111" i="107" s="1"/>
  <c r="F112" i="107" s="1"/>
  <c r="R23" i="68"/>
  <c r="U23" i="68" s="1"/>
  <c r="V36" i="107"/>
  <c r="W36" i="107" s="1"/>
  <c r="V34" i="96"/>
  <c r="V34" i="107"/>
  <c r="W34" i="107" s="1"/>
  <c r="W49" i="107" s="1"/>
  <c r="E100" i="96"/>
  <c r="E100" i="107"/>
  <c r="R19" i="112"/>
  <c r="S19" i="112" s="1"/>
  <c r="AA20" i="112"/>
  <c r="AC20" i="112" s="1"/>
  <c r="R17" i="112"/>
  <c r="S17" i="112" s="1"/>
  <c r="AA18" i="112"/>
  <c r="AC18" i="112" s="1"/>
  <c r="E25" i="112"/>
  <c r="K14" i="112"/>
  <c r="L14" i="112" s="1"/>
  <c r="R14" i="112" s="1"/>
  <c r="S14" i="112" s="1"/>
  <c r="P49" i="98"/>
  <c r="H47" i="98"/>
  <c r="AA13" i="112"/>
  <c r="AC13" i="112" s="1"/>
  <c r="AA15" i="112"/>
  <c r="AC15" i="112" s="1"/>
  <c r="D25" i="112"/>
  <c r="R23" i="112"/>
  <c r="S23" i="112" s="1"/>
  <c r="Q4" i="104"/>
  <c r="AR112" i="121"/>
  <c r="AT112" i="121" s="1"/>
  <c r="AR115" i="121"/>
  <c r="AT115" i="121" s="1"/>
  <c r="F12" i="118"/>
  <c r="K12" i="118"/>
  <c r="I12" i="118"/>
  <c r="H12" i="118"/>
  <c r="J12" i="118"/>
  <c r="G12" i="118"/>
  <c r="L12" i="118"/>
  <c r="O11" i="104"/>
  <c r="E74" i="118"/>
  <c r="I5" i="117"/>
  <c r="AP122" i="113"/>
  <c r="AR122" i="113" s="1"/>
  <c r="O15" i="104"/>
  <c r="E123" i="118"/>
  <c r="AP129" i="113"/>
  <c r="AR129" i="113" s="1"/>
  <c r="O7" i="104"/>
  <c r="E25" i="118"/>
  <c r="AP115" i="113"/>
  <c r="AR115" i="113" s="1"/>
  <c r="O12" i="104"/>
  <c r="E102" i="118"/>
  <c r="AP126" i="113"/>
  <c r="AR126" i="113" s="1"/>
  <c r="O8" i="104"/>
  <c r="V8" i="112" s="1"/>
  <c r="E32" i="118"/>
  <c r="AP116" i="113"/>
  <c r="AR116" i="113" s="1"/>
  <c r="O10" i="104"/>
  <c r="E67" i="118"/>
  <c r="AP121" i="113"/>
  <c r="AR121" i="113" s="1"/>
  <c r="AP118" i="113"/>
  <c r="AR118" i="113" s="1"/>
  <c r="E18" i="118"/>
  <c r="AP114" i="113"/>
  <c r="AR114" i="113" s="1"/>
  <c r="O23" i="104"/>
  <c r="E60" i="118"/>
  <c r="E76" i="125" s="1"/>
  <c r="AP120" i="113"/>
  <c r="AR120" i="113" s="1"/>
  <c r="O18" i="104"/>
  <c r="E81" i="118"/>
  <c r="AP123" i="113"/>
  <c r="AR123" i="113" s="1"/>
  <c r="H4" i="118"/>
  <c r="K4" i="118"/>
  <c r="L4" i="118"/>
  <c r="J4" i="118"/>
  <c r="I4" i="118"/>
  <c r="F4" i="118"/>
  <c r="O14" i="104"/>
  <c r="E116" i="118"/>
  <c r="AP128" i="113"/>
  <c r="AR128" i="113" s="1"/>
  <c r="O9" i="104"/>
  <c r="E53" i="118"/>
  <c r="AP119" i="113"/>
  <c r="AR119" i="113" s="1"/>
  <c r="O20" i="104"/>
  <c r="E95" i="118"/>
  <c r="AP125" i="113"/>
  <c r="AR125" i="113" s="1"/>
  <c r="AW129" i="108"/>
  <c r="R15" i="94" s="1"/>
  <c r="D39" i="104"/>
  <c r="K39" i="104" s="1"/>
  <c r="L39" i="104" s="1"/>
  <c r="R39" i="104" s="1"/>
  <c r="S39" i="104" s="1"/>
  <c r="U39" i="104" s="1"/>
  <c r="V39" i="104" s="1"/>
  <c r="AW117" i="108"/>
  <c r="R17" i="94" s="1"/>
  <c r="L4" i="112"/>
  <c r="R4" i="112" s="1"/>
  <c r="AL123" i="108"/>
  <c r="AL128" i="108"/>
  <c r="AL120" i="108"/>
  <c r="AL114" i="108"/>
  <c r="AL116" i="108"/>
  <c r="AL126" i="108"/>
  <c r="AL129" i="108"/>
  <c r="AL115" i="108"/>
  <c r="O6" i="104"/>
  <c r="Z19" i="94"/>
  <c r="AW125" i="108"/>
  <c r="AW123" i="108"/>
  <c r="Z9" i="94"/>
  <c r="AW124" i="108"/>
  <c r="AW112" i="108"/>
  <c r="AC23" i="94"/>
  <c r="AL125" i="108"/>
  <c r="T124" i="108"/>
  <c r="M19" i="104"/>
  <c r="AA14" i="104"/>
  <c r="X14" i="104"/>
  <c r="AJ14" i="104"/>
  <c r="AJ6" i="104"/>
  <c r="AA6" i="104"/>
  <c r="X6" i="104"/>
  <c r="X10" i="104"/>
  <c r="AA10" i="104"/>
  <c r="AJ10" i="104"/>
  <c r="AA23" i="104"/>
  <c r="AJ23" i="104"/>
  <c r="X23" i="104"/>
  <c r="AA12" i="104"/>
  <c r="AJ12" i="104"/>
  <c r="X12" i="104"/>
  <c r="T127" i="108"/>
  <c r="M13" i="104"/>
  <c r="T117" i="108"/>
  <c r="M17" i="104"/>
  <c r="AA18" i="104"/>
  <c r="AJ18" i="104"/>
  <c r="X18" i="104"/>
  <c r="T113" i="108"/>
  <c r="AL113" i="108" s="1"/>
  <c r="M5" i="104"/>
  <c r="AJ11" i="104"/>
  <c r="AA11" i="104"/>
  <c r="X11" i="104"/>
  <c r="AJ9" i="104"/>
  <c r="X9" i="104"/>
  <c r="AA9" i="104"/>
  <c r="AA15" i="104"/>
  <c r="AJ15" i="104"/>
  <c r="X15" i="104"/>
  <c r="AA20" i="104"/>
  <c r="AJ20" i="104"/>
  <c r="X20" i="104"/>
  <c r="AA7" i="104"/>
  <c r="AJ7" i="104"/>
  <c r="X7" i="104"/>
  <c r="X8" i="104"/>
  <c r="AA8" i="104"/>
  <c r="AJ8" i="104"/>
  <c r="T118" i="108"/>
  <c r="M22" i="104"/>
  <c r="F125" i="95"/>
  <c r="R131" i="108"/>
  <c r="K10" i="104"/>
  <c r="L10" i="104" s="1"/>
  <c r="K18" i="104"/>
  <c r="L18" i="104" s="1"/>
  <c r="R18" i="104" s="1"/>
  <c r="K7" i="104"/>
  <c r="L7" i="104" s="1"/>
  <c r="R7" i="104" s="1"/>
  <c r="K9" i="104"/>
  <c r="L9" i="104" s="1"/>
  <c r="R9" i="104" s="1"/>
  <c r="K6" i="104"/>
  <c r="L6" i="104" s="1"/>
  <c r="K20" i="104"/>
  <c r="L20" i="104" s="1"/>
  <c r="I25" i="104"/>
  <c r="K14" i="104"/>
  <c r="L14" i="104" s="1"/>
  <c r="R14" i="104" s="1"/>
  <c r="K23" i="104"/>
  <c r="L23" i="104" s="1"/>
  <c r="K11" i="104"/>
  <c r="L11" i="104" s="1"/>
  <c r="R11" i="104" s="1"/>
  <c r="K15" i="104"/>
  <c r="L15" i="104" s="1"/>
  <c r="R15" i="104" s="1"/>
  <c r="J131" i="108"/>
  <c r="AL112" i="108"/>
  <c r="AI23" i="91"/>
  <c r="D9" i="66"/>
  <c r="D19" i="102"/>
  <c r="H28" i="95"/>
  <c r="AJ114" i="73"/>
  <c r="E9" i="66"/>
  <c r="AJ111" i="73"/>
  <c r="AA109" i="78"/>
  <c r="E8" i="78"/>
  <c r="S123" i="92"/>
  <c r="D9" i="78"/>
  <c r="P116" i="92"/>
  <c r="D75" i="78"/>
  <c r="AA112" i="73"/>
  <c r="AI17" i="91"/>
  <c r="F59" i="66"/>
  <c r="S34" i="41"/>
  <c r="E20" i="78"/>
  <c r="G20" i="78"/>
  <c r="Y110" i="85"/>
  <c r="W23" i="91"/>
  <c r="Q15" i="93"/>
  <c r="Q11" i="93"/>
  <c r="M123" i="73"/>
  <c r="I13" i="79" s="1"/>
  <c r="D13" i="95"/>
  <c r="G22" i="78"/>
  <c r="D12" i="85"/>
  <c r="F43" i="66"/>
  <c r="F87" i="66"/>
  <c r="K163" i="96"/>
  <c r="S163" i="96" s="1"/>
  <c r="H77" i="85"/>
  <c r="K77" i="85" s="1"/>
  <c r="R113" i="85" s="1"/>
  <c r="P50" i="98"/>
  <c r="P51" i="98" s="1"/>
  <c r="P55" i="98" s="1"/>
  <c r="AL61" i="81"/>
  <c r="P123" i="95"/>
  <c r="T123" i="95" s="1"/>
  <c r="J18" i="94" s="1"/>
  <c r="F87" i="85"/>
  <c r="F21" i="66"/>
  <c r="F65" i="78"/>
  <c r="D7" i="102"/>
  <c r="J29" i="95"/>
  <c r="U29" i="95" s="1"/>
  <c r="D31" i="95"/>
  <c r="E6" i="66"/>
  <c r="F65" i="66"/>
  <c r="F21" i="78"/>
  <c r="F43" i="85"/>
  <c r="J58" i="95"/>
  <c r="U58" i="95" s="1"/>
  <c r="AA123" i="85"/>
  <c r="H55" i="66"/>
  <c r="G42" i="78"/>
  <c r="AA122" i="95"/>
  <c r="P119" i="73"/>
  <c r="O11" i="94"/>
  <c r="O23" i="73"/>
  <c r="G20" i="66"/>
  <c r="H66" i="85"/>
  <c r="N66" i="85" s="1"/>
  <c r="O124" i="85" s="1"/>
  <c r="Q23" i="93"/>
  <c r="F23" i="95"/>
  <c r="P23" i="95" s="1"/>
  <c r="N129" i="95" s="1"/>
  <c r="J140" i="96"/>
  <c r="S111" i="78"/>
  <c r="E64" i="78"/>
  <c r="J37" i="95"/>
  <c r="U37" i="95" s="1"/>
  <c r="G22" i="95"/>
  <c r="AA117" i="85"/>
  <c r="P14" i="69"/>
  <c r="H55" i="78"/>
  <c r="F52" i="85"/>
  <c r="E86" i="78"/>
  <c r="F53" i="85"/>
  <c r="O123" i="66"/>
  <c r="Z14" i="69" s="1"/>
  <c r="G86" i="85"/>
  <c r="F17" i="78"/>
  <c r="O10" i="73"/>
  <c r="Y119" i="92"/>
  <c r="H33" i="78"/>
  <c r="K33" i="78" s="1"/>
  <c r="Q113" i="78" s="1"/>
  <c r="H57" i="85"/>
  <c r="N57" i="85" s="1"/>
  <c r="O115" i="85" s="1"/>
  <c r="P115" i="85" s="1"/>
  <c r="O17" i="73"/>
  <c r="J38" i="95"/>
  <c r="U38" i="95" s="1"/>
  <c r="L146" i="96"/>
  <c r="F13" i="95"/>
  <c r="P13" i="95" s="1"/>
  <c r="N119" i="95" s="1"/>
  <c r="O8" i="73"/>
  <c r="E44" i="95"/>
  <c r="I59" i="95"/>
  <c r="D51" i="95"/>
  <c r="D8" i="95"/>
  <c r="N146" i="96"/>
  <c r="AJ122" i="73"/>
  <c r="AA113" i="78"/>
  <c r="H42" i="85"/>
  <c r="K42" i="85" s="1"/>
  <c r="Q122" i="85" s="1"/>
  <c r="F78" i="85"/>
  <c r="Z18" i="84"/>
  <c r="AA118" i="78"/>
  <c r="H11" i="85"/>
  <c r="N11" i="85" s="1"/>
  <c r="N113" i="85" s="1"/>
  <c r="F74" i="66"/>
  <c r="G85" i="66"/>
  <c r="G86" i="66"/>
  <c r="V35" i="96"/>
  <c r="R141" i="96"/>
  <c r="H33" i="85"/>
  <c r="K33" i="85" s="1"/>
  <c r="Q113" i="85" s="1"/>
  <c r="S113" i="85" s="1"/>
  <c r="H88" i="85"/>
  <c r="K88" i="85" s="1"/>
  <c r="R124" i="85" s="1"/>
  <c r="V36" i="93"/>
  <c r="D15" i="95"/>
  <c r="J88" i="95"/>
  <c r="U88" i="95" s="1"/>
  <c r="F38" i="95"/>
  <c r="M38" i="95" s="1"/>
  <c r="Q122" i="95" s="1"/>
  <c r="F89" i="95"/>
  <c r="M89" i="95" s="1"/>
  <c r="R129" i="95" s="1"/>
  <c r="S129" i="95" s="1"/>
  <c r="E13" i="95"/>
  <c r="I31" i="95"/>
  <c r="G85" i="78"/>
  <c r="E66" i="85"/>
  <c r="G30" i="78"/>
  <c r="G19" i="66"/>
  <c r="E12" i="95"/>
  <c r="J86" i="95"/>
  <c r="U86" i="95" s="1"/>
  <c r="M176" i="96"/>
  <c r="U176" i="96" s="1"/>
  <c r="M168" i="96"/>
  <c r="U168" i="96" s="1"/>
  <c r="G10" i="95"/>
  <c r="AL19" i="94"/>
  <c r="J80" i="95"/>
  <c r="U80" i="95" s="1"/>
  <c r="P120" i="92"/>
  <c r="T120" i="92" s="1"/>
  <c r="J11" i="91" s="1"/>
  <c r="D36" i="95"/>
  <c r="AA121" i="85"/>
  <c r="E23" i="95"/>
  <c r="AA117" i="92"/>
  <c r="D81" i="78"/>
  <c r="AI19" i="84"/>
  <c r="AA124" i="78"/>
  <c r="H77" i="66"/>
  <c r="H77" i="78"/>
  <c r="K77" i="78" s="1"/>
  <c r="R113" i="78" s="1"/>
  <c r="O19" i="73"/>
  <c r="O120" i="66"/>
  <c r="Z20" i="69" s="1"/>
  <c r="E65" i="66"/>
  <c r="G19" i="78"/>
  <c r="G63" i="85"/>
  <c r="E20" i="66"/>
  <c r="E86" i="66"/>
  <c r="F53" i="66"/>
  <c r="O121" i="66"/>
  <c r="Z12" i="69" s="1"/>
  <c r="G86" i="78"/>
  <c r="G42" i="85"/>
  <c r="D66" i="85"/>
  <c r="V45" i="93"/>
  <c r="AJ113" i="73"/>
  <c r="Y111" i="73"/>
  <c r="AA111" i="73" s="1"/>
  <c r="E66" i="78"/>
  <c r="E52" i="66"/>
  <c r="G52" i="78"/>
  <c r="G8" i="66"/>
  <c r="B8" i="77"/>
  <c r="F8" i="77" s="1"/>
  <c r="H156" i="96"/>
  <c r="D58" i="95"/>
  <c r="AA112" i="78"/>
  <c r="H78" i="85"/>
  <c r="K78" i="85" s="1"/>
  <c r="R114" i="85" s="1"/>
  <c r="S114" i="85" s="1"/>
  <c r="W19" i="84"/>
  <c r="E64" i="85"/>
  <c r="E42" i="85"/>
  <c r="E20" i="85"/>
  <c r="AJ121" i="73"/>
  <c r="AJ112" i="73"/>
  <c r="N156" i="96"/>
  <c r="F67" i="95"/>
  <c r="P67" i="95" s="1"/>
  <c r="O129" i="95" s="1"/>
  <c r="L155" i="96"/>
  <c r="H64" i="98"/>
  <c r="G32" i="95"/>
  <c r="Y122" i="73"/>
  <c r="AA122" i="73" s="1"/>
  <c r="AL122" i="73" s="1"/>
  <c r="E67" i="95"/>
  <c r="F86" i="78"/>
  <c r="Y109" i="73"/>
  <c r="AA109" i="73" s="1"/>
  <c r="AC109" i="73" s="1"/>
  <c r="H33" i="66"/>
  <c r="H11" i="78"/>
  <c r="N11" i="78" s="1"/>
  <c r="N113" i="78" s="1"/>
  <c r="H55" i="85"/>
  <c r="N55" i="85" s="1"/>
  <c r="O113" i="85" s="1"/>
  <c r="E87" i="85"/>
  <c r="G85" i="85"/>
  <c r="E86" i="85"/>
  <c r="E64" i="66"/>
  <c r="L64" i="66" s="1"/>
  <c r="E121" i="66" s="1"/>
  <c r="E42" i="66"/>
  <c r="F9" i="85"/>
  <c r="G64" i="85"/>
  <c r="G20" i="85"/>
  <c r="F61" i="78"/>
  <c r="P125" i="95"/>
  <c r="T125" i="95" s="1"/>
  <c r="J20" i="94" s="1"/>
  <c r="AJ109" i="73"/>
  <c r="S125" i="92"/>
  <c r="S117" i="92"/>
  <c r="G81" i="85"/>
  <c r="G30" i="66"/>
  <c r="N13" i="92"/>
  <c r="G117" i="92" s="1"/>
  <c r="I117" i="92" s="1"/>
  <c r="Q19" i="93"/>
  <c r="F82" i="95"/>
  <c r="M82" i="95" s="1"/>
  <c r="R122" i="95" s="1"/>
  <c r="E74" i="95"/>
  <c r="E35" i="95"/>
  <c r="I75" i="95"/>
  <c r="H7" i="95"/>
  <c r="H37" i="78"/>
  <c r="K37" i="78" s="1"/>
  <c r="Q117" i="78" s="1"/>
  <c r="D37" i="78"/>
  <c r="Y121" i="73"/>
  <c r="AA121" i="73" s="1"/>
  <c r="AC121" i="73" s="1"/>
  <c r="G44" i="78"/>
  <c r="F59" i="78"/>
  <c r="D34" i="66"/>
  <c r="D34" i="78"/>
  <c r="F109" i="96"/>
  <c r="F110" i="96" s="1"/>
  <c r="F111" i="96" s="1"/>
  <c r="F112" i="96" s="1"/>
  <c r="Q16" i="96"/>
  <c r="F124" i="95"/>
  <c r="M109" i="73"/>
  <c r="I5" i="79" s="1"/>
  <c r="H94" i="96"/>
  <c r="F81" i="78"/>
  <c r="E30" i="66"/>
  <c r="P123" i="92"/>
  <c r="T123" i="92" s="1"/>
  <c r="J20" i="91" s="1"/>
  <c r="AA122" i="85"/>
  <c r="S31" i="93"/>
  <c r="H15" i="78"/>
  <c r="N15" i="78" s="1"/>
  <c r="N117" i="78" s="1"/>
  <c r="P117" i="78" s="1"/>
  <c r="AJ116" i="73"/>
  <c r="E59" i="95"/>
  <c r="I34" i="95"/>
  <c r="E30" i="95"/>
  <c r="J166" i="96"/>
  <c r="R166" i="96" s="1"/>
  <c r="E79" i="95"/>
  <c r="P142" i="96"/>
  <c r="M39" i="92"/>
  <c r="H81" i="85"/>
  <c r="K81" i="85" s="1"/>
  <c r="R117" i="85" s="1"/>
  <c r="F37" i="85"/>
  <c r="D78" i="78"/>
  <c r="D78" i="66"/>
  <c r="D34" i="85"/>
  <c r="G8" i="95"/>
  <c r="H59" i="85"/>
  <c r="N59" i="85" s="1"/>
  <c r="O117" i="85" s="1"/>
  <c r="D50" i="78"/>
  <c r="E74" i="85"/>
  <c r="F117" i="95"/>
  <c r="D56" i="78"/>
  <c r="D56" i="66"/>
  <c r="F16" i="95"/>
  <c r="D29" i="95"/>
  <c r="H146" i="96"/>
  <c r="I53" i="95"/>
  <c r="AC19" i="94"/>
  <c r="M119" i="73"/>
  <c r="I18" i="79" s="1"/>
  <c r="P122" i="92"/>
  <c r="F42" i="85"/>
  <c r="F15" i="78"/>
  <c r="D12" i="66"/>
  <c r="D12" i="78"/>
  <c r="F60" i="95"/>
  <c r="P60" i="95" s="1"/>
  <c r="O122" i="95" s="1"/>
  <c r="N145" i="96"/>
  <c r="AA116" i="78"/>
  <c r="E74" i="66"/>
  <c r="F64" i="78"/>
  <c r="S38" i="96"/>
  <c r="G42" i="66"/>
  <c r="G64" i="78"/>
  <c r="AJ123" i="73"/>
  <c r="O107" i="66"/>
  <c r="Z4" i="69" s="1"/>
  <c r="R11" i="68"/>
  <c r="U11" i="68" s="1"/>
  <c r="O6" i="91"/>
  <c r="W6" i="91" s="1"/>
  <c r="L125" i="73"/>
  <c r="G8" i="85"/>
  <c r="G52" i="66"/>
  <c r="S47" i="93"/>
  <c r="H37" i="85"/>
  <c r="K37" i="85" s="1"/>
  <c r="Q117" i="85" s="1"/>
  <c r="S117" i="85" s="1"/>
  <c r="H81" i="66"/>
  <c r="H59" i="66"/>
  <c r="D59" i="95"/>
  <c r="E81" i="95"/>
  <c r="J30" i="95"/>
  <c r="U30" i="95" s="1"/>
  <c r="D60" i="95"/>
  <c r="D73" i="95"/>
  <c r="I66" i="95"/>
  <c r="J146" i="96"/>
  <c r="D54" i="95"/>
  <c r="H54" i="98"/>
  <c r="K166" i="96"/>
  <c r="S166" i="96" s="1"/>
  <c r="J36" i="95"/>
  <c r="U36" i="95" s="1"/>
  <c r="D53" i="95"/>
  <c r="AA119" i="73"/>
  <c r="AC119" i="73" s="1"/>
  <c r="W17" i="91"/>
  <c r="H15" i="66"/>
  <c r="F86" i="66"/>
  <c r="F88" i="66"/>
  <c r="P125" i="73"/>
  <c r="T125" i="73" s="1"/>
  <c r="J15" i="79" s="1"/>
  <c r="AI23" i="84"/>
  <c r="F37" i="66"/>
  <c r="J37" i="66" s="1"/>
  <c r="G116" i="66" s="1"/>
  <c r="F15" i="66"/>
  <c r="E21" i="66"/>
  <c r="F52" i="66"/>
  <c r="G41" i="85"/>
  <c r="G41" i="78"/>
  <c r="G63" i="66"/>
  <c r="F53" i="78"/>
  <c r="F9" i="78"/>
  <c r="F31" i="85"/>
  <c r="V45" i="96"/>
  <c r="AJ115" i="73"/>
  <c r="N149" i="96"/>
  <c r="W4" i="84"/>
  <c r="G82" i="95"/>
  <c r="J139" i="96"/>
  <c r="P24" i="17"/>
  <c r="F42" i="66"/>
  <c r="V40" i="93"/>
  <c r="E8" i="85"/>
  <c r="G69" i="107" s="1"/>
  <c r="H66" i="66"/>
  <c r="D50" i="66"/>
  <c r="E30" i="85"/>
  <c r="S115" i="92"/>
  <c r="M33" i="92"/>
  <c r="G15" i="66"/>
  <c r="AA110" i="92"/>
  <c r="G74" i="78"/>
  <c r="F20" i="78"/>
  <c r="O19" i="17"/>
  <c r="G59" i="85"/>
  <c r="S122" i="92"/>
  <c r="S33" i="93"/>
  <c r="AJ117" i="73"/>
  <c r="G30" i="85"/>
  <c r="G8" i="78"/>
  <c r="G74" i="85"/>
  <c r="F56" i="95"/>
  <c r="P56" i="95" s="1"/>
  <c r="O118" i="95" s="1"/>
  <c r="J22" i="95"/>
  <c r="U22" i="95" s="1"/>
  <c r="E15" i="95"/>
  <c r="E37" i="95"/>
  <c r="J78" i="95"/>
  <c r="U78" i="95" s="1"/>
  <c r="D7" i="95"/>
  <c r="J51" i="95"/>
  <c r="U51" i="95" s="1"/>
  <c r="J42" i="95"/>
  <c r="U42" i="95" s="1"/>
  <c r="K159" i="96"/>
  <c r="S159" i="96" s="1"/>
  <c r="D79" i="95"/>
  <c r="H15" i="85"/>
  <c r="J84" i="107" s="1"/>
  <c r="F42" i="78"/>
  <c r="F64" i="85"/>
  <c r="P111" i="78"/>
  <c r="F22" i="78"/>
  <c r="W8" i="51"/>
  <c r="F37" i="78"/>
  <c r="F81" i="85"/>
  <c r="F59" i="85"/>
  <c r="G41" i="66"/>
  <c r="G19" i="85"/>
  <c r="F75" i="66"/>
  <c r="R18" i="68"/>
  <c r="U18" i="68" s="1"/>
  <c r="S35" i="41"/>
  <c r="AJ118" i="73"/>
  <c r="AA119" i="78"/>
  <c r="L118" i="73"/>
  <c r="Z4" i="84"/>
  <c r="I161" i="96"/>
  <c r="Q161" i="96" s="1"/>
  <c r="M43" i="92"/>
  <c r="F20" i="85"/>
  <c r="H89" i="107" s="1"/>
  <c r="H90" i="107" s="1"/>
  <c r="H91" i="107" s="1"/>
  <c r="H92" i="107" s="1"/>
  <c r="V40" i="96"/>
  <c r="F15" i="85"/>
  <c r="H84" i="107" s="1"/>
  <c r="E8" i="66"/>
  <c r="S127" i="92"/>
  <c r="E70" i="96"/>
  <c r="F70" i="96" s="1"/>
  <c r="G37" i="85"/>
  <c r="G52" i="85"/>
  <c r="Q7" i="93"/>
  <c r="P39" i="41"/>
  <c r="J8" i="95"/>
  <c r="U8" i="95" s="1"/>
  <c r="X25" i="17"/>
  <c r="D31" i="85"/>
  <c r="D53" i="85"/>
  <c r="D31" i="66"/>
  <c r="D53" i="78"/>
  <c r="D75" i="66"/>
  <c r="D17" i="102"/>
  <c r="D27" i="102"/>
  <c r="J66" i="95"/>
  <c r="U66" i="95" s="1"/>
  <c r="I81" i="95"/>
  <c r="J44" i="95"/>
  <c r="U44" i="95" s="1"/>
  <c r="H16" i="95"/>
  <c r="J74" i="95"/>
  <c r="U74" i="95" s="1"/>
  <c r="J12" i="95"/>
  <c r="U12" i="95" s="1"/>
  <c r="D74" i="95"/>
  <c r="R148" i="96"/>
  <c r="D57" i="95"/>
  <c r="J147" i="96"/>
  <c r="D80" i="95"/>
  <c r="D9" i="95"/>
  <c r="E45" i="95"/>
  <c r="E18" i="85"/>
  <c r="D37" i="85"/>
  <c r="E50" i="66"/>
  <c r="G88" i="66"/>
  <c r="G88" i="85"/>
  <c r="AI18" i="84"/>
  <c r="V34" i="93"/>
  <c r="H15" i="61"/>
  <c r="V37" i="96"/>
  <c r="N148" i="96"/>
  <c r="M112" i="73"/>
  <c r="I8" i="79" s="1"/>
  <c r="F143" i="96"/>
  <c r="O16" i="73"/>
  <c r="S30" i="93"/>
  <c r="F74" i="93"/>
  <c r="AA114" i="78"/>
  <c r="E44" i="66"/>
  <c r="E66" i="66"/>
  <c r="E88" i="78"/>
  <c r="S124" i="92"/>
  <c r="Q8" i="93"/>
  <c r="S32" i="96"/>
  <c r="D31" i="78"/>
  <c r="AA108" i="78"/>
  <c r="Y117" i="73"/>
  <c r="AA117" i="73" s="1"/>
  <c r="AL117" i="73" s="1"/>
  <c r="S110" i="92"/>
  <c r="Y116" i="92"/>
  <c r="AA116" i="92" s="1"/>
  <c r="P111" i="73"/>
  <c r="T111" i="73" s="1"/>
  <c r="J7" i="79" s="1"/>
  <c r="D59" i="66"/>
  <c r="D81" i="66"/>
  <c r="D81" i="85"/>
  <c r="D15" i="66"/>
  <c r="D15" i="85"/>
  <c r="F84" i="107" s="1"/>
  <c r="D59" i="78"/>
  <c r="L59" i="78" s="1"/>
  <c r="E117" i="78" s="1"/>
  <c r="D15" i="78"/>
  <c r="D15" i="102"/>
  <c r="J59" i="95"/>
  <c r="U59" i="95" s="1"/>
  <c r="I37" i="95"/>
  <c r="F78" i="95"/>
  <c r="M78" i="95" s="1"/>
  <c r="R118" i="95" s="1"/>
  <c r="D22" i="95"/>
  <c r="D82" i="95"/>
  <c r="J142" i="96"/>
  <c r="D50" i="95"/>
  <c r="E36" i="95"/>
  <c r="S42" i="96"/>
  <c r="K162" i="96"/>
  <c r="S162" i="96" s="1"/>
  <c r="AA109" i="85"/>
  <c r="J176" i="96"/>
  <c r="R176" i="96" s="1"/>
  <c r="D59" i="85"/>
  <c r="P121" i="73"/>
  <c r="T121" i="73" s="1"/>
  <c r="J20" i="79" s="1"/>
  <c r="P117" i="73"/>
  <c r="T117" i="73" s="1"/>
  <c r="J10" i="79" s="1"/>
  <c r="P118" i="73"/>
  <c r="T118" i="73" s="1"/>
  <c r="J11" i="79" s="1"/>
  <c r="P110" i="73"/>
  <c r="T110" i="73" s="1"/>
  <c r="J6" i="79" s="1"/>
  <c r="L149" i="96"/>
  <c r="Q12" i="96"/>
  <c r="S37" i="93"/>
  <c r="K126" i="92"/>
  <c r="L126" i="92" s="1"/>
  <c r="P124" i="95"/>
  <c r="T124" i="95" s="1"/>
  <c r="J19" i="94" s="1"/>
  <c r="O15" i="73"/>
  <c r="N34" i="51"/>
  <c r="O18" i="17"/>
  <c r="E44" i="78"/>
  <c r="E88" i="85"/>
  <c r="E44" i="85"/>
  <c r="F141" i="96"/>
  <c r="G15" i="85"/>
  <c r="I84" i="107" s="1"/>
  <c r="G81" i="78"/>
  <c r="G59" i="66"/>
  <c r="O124" i="66"/>
  <c r="Z15" i="69" s="1"/>
  <c r="X15" i="69"/>
  <c r="AC13" i="94"/>
  <c r="AL13" i="94"/>
  <c r="I79" i="95"/>
  <c r="I35" i="95"/>
  <c r="I52" i="95"/>
  <c r="N161" i="96"/>
  <c r="V161" i="96" s="1"/>
  <c r="P141" i="96"/>
  <c r="D25" i="102"/>
  <c r="Z22" i="94"/>
  <c r="AC22" i="94"/>
  <c r="M13" i="92"/>
  <c r="D117" i="92" s="1"/>
  <c r="F117" i="92" s="1"/>
  <c r="W14" i="91"/>
  <c r="Z14" i="91"/>
  <c r="T116" i="92"/>
  <c r="J22" i="91" s="1"/>
  <c r="H20" i="66"/>
  <c r="H64" i="78"/>
  <c r="N64" i="78" s="1"/>
  <c r="O122" i="78" s="1"/>
  <c r="H42" i="66"/>
  <c r="H86" i="78"/>
  <c r="K86" i="78" s="1"/>
  <c r="R122" i="78" s="1"/>
  <c r="H64" i="85"/>
  <c r="N64" i="85" s="1"/>
  <c r="O122" i="85" s="1"/>
  <c r="H86" i="66"/>
  <c r="P44" i="41"/>
  <c r="H86" i="85"/>
  <c r="K86" i="85" s="1"/>
  <c r="R122" i="85" s="1"/>
  <c r="H20" i="78"/>
  <c r="N20" i="78" s="1"/>
  <c r="N122" i="78" s="1"/>
  <c r="F12" i="66"/>
  <c r="F56" i="78"/>
  <c r="F56" i="85"/>
  <c r="F34" i="78"/>
  <c r="F34" i="85"/>
  <c r="F78" i="66"/>
  <c r="F34" i="66"/>
  <c r="F56" i="66"/>
  <c r="P36" i="41"/>
  <c r="F12" i="78"/>
  <c r="H8" i="85"/>
  <c r="J69" i="107" s="1"/>
  <c r="H52" i="85"/>
  <c r="N52" i="85" s="1"/>
  <c r="O110" i="85" s="1"/>
  <c r="H52" i="66"/>
  <c r="H74" i="85"/>
  <c r="K74" i="85" s="1"/>
  <c r="R110" i="85" s="1"/>
  <c r="H30" i="66"/>
  <c r="H74" i="78"/>
  <c r="K74" i="78" s="1"/>
  <c r="R110" i="78" s="1"/>
  <c r="H30" i="78"/>
  <c r="K30" i="78" s="1"/>
  <c r="Q110" i="78" s="1"/>
  <c r="H30" i="85"/>
  <c r="K30" i="85" s="1"/>
  <c r="Q110" i="85" s="1"/>
  <c r="S110" i="85" s="1"/>
  <c r="D9" i="17"/>
  <c r="O9" i="17" s="1"/>
  <c r="P9" i="41"/>
  <c r="W12" i="84"/>
  <c r="AI12" i="84"/>
  <c r="D12" i="102"/>
  <c r="D4" i="102"/>
  <c r="D5" i="102"/>
  <c r="D11" i="102"/>
  <c r="J73" i="95"/>
  <c r="U73" i="95" s="1"/>
  <c r="F30" i="95"/>
  <c r="M30" i="95" s="1"/>
  <c r="Q114" i="95" s="1"/>
  <c r="S114" i="95" s="1"/>
  <c r="F37" i="95"/>
  <c r="M37" i="95" s="1"/>
  <c r="Q121" i="95" s="1"/>
  <c r="H147" i="96"/>
  <c r="I74" i="95"/>
  <c r="M30" i="92"/>
  <c r="H20" i="85"/>
  <c r="H8" i="66"/>
  <c r="N141" i="96"/>
  <c r="F7" i="95"/>
  <c r="P7" i="95" s="1"/>
  <c r="N113" i="95" s="1"/>
  <c r="F29" i="95"/>
  <c r="M29" i="95" s="1"/>
  <c r="Q113" i="95" s="1"/>
  <c r="S113" i="95" s="1"/>
  <c r="F79" i="66"/>
  <c r="F6" i="78"/>
  <c r="D39" i="61" s="1"/>
  <c r="F72" i="66"/>
  <c r="S119" i="92"/>
  <c r="D28" i="85"/>
  <c r="D72" i="78"/>
  <c r="M44" i="92"/>
  <c r="V46" i="96"/>
  <c r="S46" i="41"/>
  <c r="V46" i="93"/>
  <c r="G12" i="85"/>
  <c r="G34" i="66"/>
  <c r="G56" i="78"/>
  <c r="G12" i="66"/>
  <c r="G78" i="66"/>
  <c r="G78" i="85"/>
  <c r="G34" i="78"/>
  <c r="G56" i="85"/>
  <c r="G12" i="78"/>
  <c r="G34" i="85"/>
  <c r="G78" i="78"/>
  <c r="G56" i="66"/>
  <c r="F52" i="78"/>
  <c r="F30" i="85"/>
  <c r="F30" i="66"/>
  <c r="F8" i="85"/>
  <c r="F74" i="78"/>
  <c r="F30" i="78"/>
  <c r="F8" i="78"/>
  <c r="F8" i="66"/>
  <c r="P32" i="41"/>
  <c r="H22" i="66"/>
  <c r="H44" i="66"/>
  <c r="H22" i="85"/>
  <c r="H66" i="78"/>
  <c r="N66" i="78" s="1"/>
  <c r="O124" i="78" s="1"/>
  <c r="P124" i="78" s="1"/>
  <c r="H88" i="78"/>
  <c r="K88" i="78" s="1"/>
  <c r="R124" i="78" s="1"/>
  <c r="H44" i="85"/>
  <c r="K44" i="85" s="1"/>
  <c r="Q124" i="85" s="1"/>
  <c r="H44" i="78"/>
  <c r="K44" i="78" s="1"/>
  <c r="Q124" i="78" s="1"/>
  <c r="H88" i="66"/>
  <c r="L139" i="96"/>
  <c r="H6" i="95"/>
  <c r="L159" i="96"/>
  <c r="T159" i="96" s="1"/>
  <c r="L161" i="96"/>
  <c r="T161" i="96" s="1"/>
  <c r="H30" i="95"/>
  <c r="H74" i="95"/>
  <c r="D13" i="102"/>
  <c r="D10" i="102"/>
  <c r="D8" i="102"/>
  <c r="D26" i="102"/>
  <c r="I30" i="95"/>
  <c r="F15" i="95"/>
  <c r="P15" i="95" s="1"/>
  <c r="N121" i="95" s="1"/>
  <c r="P121" i="95" s="1"/>
  <c r="F81" i="95"/>
  <c r="M81" i="95" s="1"/>
  <c r="R121" i="95" s="1"/>
  <c r="K168" i="96"/>
  <c r="S168" i="96" s="1"/>
  <c r="D81" i="95"/>
  <c r="N175" i="96"/>
  <c r="V175" i="96" s="1"/>
  <c r="P155" i="96"/>
  <c r="AA114" i="85"/>
  <c r="X11" i="69"/>
  <c r="O117" i="66"/>
  <c r="Z11" i="69" s="1"/>
  <c r="D6" i="95"/>
  <c r="D28" i="95"/>
  <c r="W22" i="91"/>
  <c r="AI22" i="91"/>
  <c r="D23" i="102"/>
  <c r="D14" i="102"/>
  <c r="D6" i="102"/>
  <c r="D20" i="102"/>
  <c r="I57" i="95"/>
  <c r="I88" i="95"/>
  <c r="E14" i="95"/>
  <c r="O113" i="66"/>
  <c r="Z22" i="69" s="1"/>
  <c r="H42" i="78"/>
  <c r="K42" i="78" s="1"/>
  <c r="Q122" i="78" s="1"/>
  <c r="F78" i="78"/>
  <c r="H8" i="78"/>
  <c r="N8" i="78" s="1"/>
  <c r="N110" i="78" s="1"/>
  <c r="P110" i="78" s="1"/>
  <c r="Y11" i="51"/>
  <c r="W8" i="68" s="1"/>
  <c r="P19" i="41"/>
  <c r="P46" i="41"/>
  <c r="O173" i="96"/>
  <c r="W173" i="96" s="1"/>
  <c r="J64" i="95"/>
  <c r="U64" i="95" s="1"/>
  <c r="L169" i="96"/>
  <c r="T169" i="96" s="1"/>
  <c r="H38" i="95"/>
  <c r="K161" i="96"/>
  <c r="S161" i="96" s="1"/>
  <c r="J141" i="96"/>
  <c r="D30" i="95"/>
  <c r="L141" i="96"/>
  <c r="F35" i="85"/>
  <c r="F79" i="78"/>
  <c r="H35" i="95"/>
  <c r="H13" i="95"/>
  <c r="E57" i="85"/>
  <c r="E57" i="78"/>
  <c r="E35" i="66"/>
  <c r="F77" i="85"/>
  <c r="F33" i="78"/>
  <c r="F72" i="78"/>
  <c r="R147" i="96"/>
  <c r="O167" i="96"/>
  <c r="W167" i="96" s="1"/>
  <c r="Q13" i="96"/>
  <c r="D33" i="94"/>
  <c r="M33" i="94" s="1"/>
  <c r="N33" i="94" s="1"/>
  <c r="R153" i="96"/>
  <c r="S34" i="93"/>
  <c r="AA118" i="85"/>
  <c r="AA117" i="78"/>
  <c r="D32" i="74"/>
  <c r="P117" i="95"/>
  <c r="T117" i="95" s="1"/>
  <c r="J17" i="94" s="1"/>
  <c r="F70" i="93"/>
  <c r="AJ124" i="73"/>
  <c r="AJ119" i="73"/>
  <c r="Z129" i="92"/>
  <c r="Q22" i="96"/>
  <c r="Q12" i="93"/>
  <c r="O9" i="73"/>
  <c r="H56" i="85"/>
  <c r="N56" i="85" s="1"/>
  <c r="O114" i="85" s="1"/>
  <c r="H78" i="78"/>
  <c r="K78" i="78" s="1"/>
  <c r="R114" i="78" s="1"/>
  <c r="H12" i="66"/>
  <c r="H56" i="78"/>
  <c r="N56" i="78" s="1"/>
  <c r="O114" i="78" s="1"/>
  <c r="H34" i="66"/>
  <c r="H34" i="78"/>
  <c r="K34" i="78" s="1"/>
  <c r="Q114" i="78" s="1"/>
  <c r="H78" i="66"/>
  <c r="H56" i="66"/>
  <c r="H12" i="85"/>
  <c r="N12" i="85" s="1"/>
  <c r="N114" i="85" s="1"/>
  <c r="P114" i="85" s="1"/>
  <c r="H12" i="78"/>
  <c r="N12" i="78" s="1"/>
  <c r="N114" i="78" s="1"/>
  <c r="E22" i="85"/>
  <c r="G99" i="107" s="1"/>
  <c r="E22" i="66"/>
  <c r="AA122" i="92"/>
  <c r="S111" i="85"/>
  <c r="J149" i="96"/>
  <c r="AA115" i="78"/>
  <c r="E29" i="69"/>
  <c r="AA125" i="78"/>
  <c r="AA115" i="85"/>
  <c r="F123" i="95"/>
  <c r="V36" i="96"/>
  <c r="S36" i="41"/>
  <c r="F86" i="85"/>
  <c r="F20" i="66"/>
  <c r="E52" i="85"/>
  <c r="E52" i="78"/>
  <c r="E60" i="93"/>
  <c r="K60" i="93" s="1"/>
  <c r="O4" i="91"/>
  <c r="AI4" i="91" s="1"/>
  <c r="X19" i="69"/>
  <c r="O119" i="66"/>
  <c r="Z19" i="69" s="1"/>
  <c r="E86" i="95"/>
  <c r="J173" i="96"/>
  <c r="R173" i="96" s="1"/>
  <c r="E20" i="95"/>
  <c r="G32" i="85"/>
  <c r="G10" i="66"/>
  <c r="H55" i="98"/>
  <c r="H56" i="98"/>
  <c r="H31" i="95"/>
  <c r="H75" i="95"/>
  <c r="F31" i="95"/>
  <c r="M31" i="95" s="1"/>
  <c r="Q115" i="95" s="1"/>
  <c r="F53" i="95"/>
  <c r="P53" i="95" s="1"/>
  <c r="O115" i="95" s="1"/>
  <c r="P115" i="95" s="1"/>
  <c r="G43" i="78"/>
  <c r="G65" i="85"/>
  <c r="G65" i="78"/>
  <c r="G43" i="85"/>
  <c r="S111" i="92"/>
  <c r="R129" i="92"/>
  <c r="K123" i="92"/>
  <c r="M85" i="92"/>
  <c r="K25" i="84"/>
  <c r="G31" i="85"/>
  <c r="G31" i="78"/>
  <c r="G53" i="66"/>
  <c r="G53" i="78"/>
  <c r="G75" i="85"/>
  <c r="G9" i="78"/>
  <c r="G31" i="66"/>
  <c r="G53" i="85"/>
  <c r="G9" i="66"/>
  <c r="L9" i="66" s="1"/>
  <c r="D110" i="66" s="1"/>
  <c r="G9" i="85"/>
  <c r="AL6" i="94"/>
  <c r="Z6" i="94"/>
  <c r="L117" i="73"/>
  <c r="M117" i="73" s="1"/>
  <c r="I10" i="79" s="1"/>
  <c r="F152" i="96"/>
  <c r="S43" i="96"/>
  <c r="F61" i="66"/>
  <c r="F39" i="85"/>
  <c r="F39" i="66"/>
  <c r="F61" i="85"/>
  <c r="F17" i="85"/>
  <c r="F39" i="78"/>
  <c r="H57" i="78"/>
  <c r="N57" i="78" s="1"/>
  <c r="O115" i="78" s="1"/>
  <c r="H35" i="85"/>
  <c r="K35" i="85" s="1"/>
  <c r="Q115" i="85" s="1"/>
  <c r="H79" i="78"/>
  <c r="K79" i="78" s="1"/>
  <c r="R115" i="78" s="1"/>
  <c r="H35" i="66"/>
  <c r="H35" i="78"/>
  <c r="K35" i="78" s="1"/>
  <c r="Q115" i="78" s="1"/>
  <c r="H57" i="66"/>
  <c r="H79" i="85"/>
  <c r="K79" i="85" s="1"/>
  <c r="R115" i="85" s="1"/>
  <c r="H79" i="66"/>
  <c r="H13" i="78"/>
  <c r="N13" i="78" s="1"/>
  <c r="N115" i="78" s="1"/>
  <c r="P115" i="78" s="1"/>
  <c r="F34" i="95"/>
  <c r="M34" i="95" s="1"/>
  <c r="Q118" i="95" s="1"/>
  <c r="J16" i="95"/>
  <c r="U16" i="95" s="1"/>
  <c r="J52" i="95"/>
  <c r="U52" i="95" s="1"/>
  <c r="I13" i="95"/>
  <c r="L142" i="96"/>
  <c r="D32" i="95"/>
  <c r="H53" i="95"/>
  <c r="L162" i="96"/>
  <c r="T162" i="96" s="1"/>
  <c r="H48" i="98"/>
  <c r="M162" i="96"/>
  <c r="U162" i="96" s="1"/>
  <c r="G10" i="78"/>
  <c r="F83" i="78"/>
  <c r="G87" i="85"/>
  <c r="H63" i="98"/>
  <c r="AJ110" i="73"/>
  <c r="O110" i="66"/>
  <c r="Z7" i="69" s="1"/>
  <c r="X7" i="69"/>
  <c r="E43" i="85"/>
  <c r="E87" i="66"/>
  <c r="E65" i="78"/>
  <c r="E65" i="85"/>
  <c r="E43" i="78"/>
  <c r="E53" i="78"/>
  <c r="E75" i="66"/>
  <c r="E75" i="85"/>
  <c r="E9" i="78"/>
  <c r="D18" i="102"/>
  <c r="D22" i="102"/>
  <c r="AC9" i="94"/>
  <c r="AL9" i="94"/>
  <c r="J167" i="96"/>
  <c r="R167" i="96" s="1"/>
  <c r="E58" i="95"/>
  <c r="F17" i="92"/>
  <c r="N17" i="92" s="1"/>
  <c r="G121" i="92" s="1"/>
  <c r="I121" i="92" s="1"/>
  <c r="S41" i="93"/>
  <c r="S114" i="92"/>
  <c r="Q20" i="93"/>
  <c r="D16" i="95"/>
  <c r="K169" i="96"/>
  <c r="S169" i="96" s="1"/>
  <c r="S36" i="96"/>
  <c r="L145" i="96"/>
  <c r="F28" i="85"/>
  <c r="F28" i="66"/>
  <c r="F50" i="85"/>
  <c r="F50" i="78"/>
  <c r="F28" i="78"/>
  <c r="F50" i="66"/>
  <c r="F6" i="85"/>
  <c r="S46" i="93"/>
  <c r="F57" i="85"/>
  <c r="F13" i="78"/>
  <c r="F35" i="78"/>
  <c r="F79" i="85"/>
  <c r="F35" i="66"/>
  <c r="F57" i="66"/>
  <c r="F57" i="78"/>
  <c r="F13" i="66"/>
  <c r="E60" i="96"/>
  <c r="I7" i="95"/>
  <c r="I73" i="95"/>
  <c r="S34" i="96"/>
  <c r="Z17" i="84"/>
  <c r="AI17" i="84"/>
  <c r="M114" i="73"/>
  <c r="I22" i="79" s="1"/>
  <c r="D33" i="66"/>
  <c r="D11" i="78"/>
  <c r="D77" i="85"/>
  <c r="S33" i="41"/>
  <c r="V33" i="96"/>
  <c r="V30" i="93"/>
  <c r="S30" i="41"/>
  <c r="R4" i="68"/>
  <c r="U4" i="68" s="1"/>
  <c r="H8" i="95"/>
  <c r="N142" i="96"/>
  <c r="D76" i="95"/>
  <c r="I29" i="95"/>
  <c r="E42" i="95"/>
  <c r="F75" i="95"/>
  <c r="M75" i="95" s="1"/>
  <c r="R115" i="95" s="1"/>
  <c r="AA125" i="92"/>
  <c r="M116" i="73"/>
  <c r="I23" i="79" s="1"/>
  <c r="F83" i="66"/>
  <c r="F83" i="85"/>
  <c r="P65" i="98"/>
  <c r="P66" i="98" s="1"/>
  <c r="P68" i="98" s="1"/>
  <c r="L160" i="96"/>
  <c r="T160" i="96" s="1"/>
  <c r="H73" i="95"/>
  <c r="H29" i="95"/>
  <c r="O169" i="96"/>
  <c r="W169" i="96" s="1"/>
  <c r="O161" i="96"/>
  <c r="W161" i="96" s="1"/>
  <c r="J143" i="96"/>
  <c r="AC6" i="94"/>
  <c r="R149" i="96"/>
  <c r="Z13" i="94"/>
  <c r="Q10" i="96"/>
  <c r="F155" i="96"/>
  <c r="N49" i="96"/>
  <c r="N52" i="96" s="1"/>
  <c r="P49" i="96"/>
  <c r="F86" i="95"/>
  <c r="M86" i="95" s="1"/>
  <c r="R126" i="95" s="1"/>
  <c r="F20" i="95"/>
  <c r="P20" i="95" s="1"/>
  <c r="N126" i="95" s="1"/>
  <c r="H89" i="96"/>
  <c r="H89" i="93"/>
  <c r="G75" i="78"/>
  <c r="F57" i="95"/>
  <c r="P57" i="95" s="1"/>
  <c r="O119" i="95" s="1"/>
  <c r="F35" i="95"/>
  <c r="M35" i="95" s="1"/>
  <c r="Q119" i="95" s="1"/>
  <c r="S119" i="95" s="1"/>
  <c r="M166" i="96"/>
  <c r="U166" i="96" s="1"/>
  <c r="E28" i="85"/>
  <c r="E50" i="85"/>
  <c r="E50" i="78"/>
  <c r="F11" i="78"/>
  <c r="F11" i="66"/>
  <c r="F55" i="66"/>
  <c r="D44" i="66"/>
  <c r="D22" i="85"/>
  <c r="D44" i="85"/>
  <c r="H13" i="66"/>
  <c r="H148" i="96"/>
  <c r="L140" i="96"/>
  <c r="Y108" i="73"/>
  <c r="AA108" i="73" s="1"/>
  <c r="AC108" i="73" s="1"/>
  <c r="O129" i="92"/>
  <c r="AA114" i="92"/>
  <c r="T113" i="73"/>
  <c r="J17" i="79" s="1"/>
  <c r="AA118" i="73"/>
  <c r="AL118" i="73" s="1"/>
  <c r="Y114" i="73"/>
  <c r="AA114" i="73" s="1"/>
  <c r="AL114" i="73" s="1"/>
  <c r="AA110" i="73"/>
  <c r="AC110" i="73" s="1"/>
  <c r="V15" i="17"/>
  <c r="AA124" i="95"/>
  <c r="AA110" i="85"/>
  <c r="P30" i="41"/>
  <c r="P25" i="17"/>
  <c r="V18" i="17"/>
  <c r="N13" i="17"/>
  <c r="L110" i="73"/>
  <c r="M110" i="73" s="1"/>
  <c r="I6" i="79" s="1"/>
  <c r="G76" i="95"/>
  <c r="G54" i="95"/>
  <c r="S121" i="92"/>
  <c r="T121" i="92" s="1"/>
  <c r="J18" i="91" s="1"/>
  <c r="AA119" i="85"/>
  <c r="D6" i="78"/>
  <c r="D37" i="61" s="1"/>
  <c r="D72" i="85"/>
  <c r="D72" i="66"/>
  <c r="D28" i="78"/>
  <c r="D28" i="66"/>
  <c r="D50" i="85"/>
  <c r="D6" i="66"/>
  <c r="H16" i="80"/>
  <c r="D16" i="80"/>
  <c r="P115" i="92"/>
  <c r="T122" i="92"/>
  <c r="J19" i="91" s="1"/>
  <c r="K25" i="79"/>
  <c r="K30" i="74" s="1"/>
  <c r="R155" i="96"/>
  <c r="AJ125" i="73"/>
  <c r="Q6" i="96"/>
  <c r="AJ120" i="73"/>
  <c r="S30" i="96"/>
  <c r="Q16" i="93"/>
  <c r="Q18" i="96"/>
  <c r="K70" i="93"/>
  <c r="E71" i="93"/>
  <c r="S118" i="92"/>
  <c r="J120" i="92"/>
  <c r="M38" i="92"/>
  <c r="Y126" i="92"/>
  <c r="G38" i="95"/>
  <c r="I169" i="96"/>
  <c r="Q169" i="96" s="1"/>
  <c r="G16" i="95"/>
  <c r="G30" i="95"/>
  <c r="G52" i="95"/>
  <c r="H22" i="95"/>
  <c r="L175" i="96"/>
  <c r="T175" i="96" s="1"/>
  <c r="H44" i="95"/>
  <c r="W8" i="84"/>
  <c r="Z8" i="84"/>
  <c r="AI8" i="84"/>
  <c r="K25" i="91"/>
  <c r="W6" i="84"/>
  <c r="V19" i="17"/>
  <c r="N19" i="17"/>
  <c r="K25" i="41"/>
  <c r="E25" i="41"/>
  <c r="P140" i="96"/>
  <c r="I51" i="95"/>
  <c r="M160" i="96"/>
  <c r="U160" i="96" s="1"/>
  <c r="F51" i="95"/>
  <c r="P51" i="95" s="1"/>
  <c r="O113" i="95" s="1"/>
  <c r="S43" i="41"/>
  <c r="R21" i="68"/>
  <c r="U21" i="68" s="1"/>
  <c r="H49" i="96"/>
  <c r="F49" i="96"/>
  <c r="F52" i="96" s="1"/>
  <c r="L49" i="96"/>
  <c r="J49" i="96"/>
  <c r="F42" i="95"/>
  <c r="M42" i="95" s="1"/>
  <c r="Q126" i="95" s="1"/>
  <c r="N153" i="96"/>
  <c r="F64" i="95"/>
  <c r="P64" i="95" s="1"/>
  <c r="O126" i="95" s="1"/>
  <c r="N169" i="96"/>
  <c r="V169" i="96" s="1"/>
  <c r="P149" i="96"/>
  <c r="I38" i="95"/>
  <c r="I16" i="95"/>
  <c r="G56" i="95"/>
  <c r="G78" i="95"/>
  <c r="G34" i="95"/>
  <c r="I165" i="96"/>
  <c r="Q165" i="96" s="1"/>
  <c r="G12" i="95"/>
  <c r="F145" i="96"/>
  <c r="F8" i="95"/>
  <c r="P8" i="95" s="1"/>
  <c r="N114" i="95" s="1"/>
  <c r="M161" i="96"/>
  <c r="U161" i="96" s="1"/>
  <c r="M31" i="92"/>
  <c r="J113" i="92"/>
  <c r="J123" i="92"/>
  <c r="M41" i="92"/>
  <c r="J117" i="92"/>
  <c r="M35" i="92"/>
  <c r="R4" i="79"/>
  <c r="B23" i="61"/>
  <c r="G35" i="85"/>
  <c r="G79" i="78"/>
  <c r="G13" i="85"/>
  <c r="G35" i="78"/>
  <c r="G57" i="85"/>
  <c r="G57" i="78"/>
  <c r="G57" i="66"/>
  <c r="G35" i="66"/>
  <c r="G13" i="66"/>
  <c r="G13" i="78"/>
  <c r="G79" i="85"/>
  <c r="G79" i="66"/>
  <c r="N114" i="73"/>
  <c r="P114" i="73" s="1"/>
  <c r="O12" i="73"/>
  <c r="D14" i="17"/>
  <c r="P14" i="41"/>
  <c r="I60" i="95"/>
  <c r="F52" i="95"/>
  <c r="P52" i="95" s="1"/>
  <c r="O114" i="95" s="1"/>
  <c r="N160" i="96"/>
  <c r="V160" i="96" s="1"/>
  <c r="P50" i="92"/>
  <c r="D14" i="83"/>
  <c r="P22" i="41"/>
  <c r="AI6" i="84"/>
  <c r="V43" i="93"/>
  <c r="X4" i="69"/>
  <c r="J175" i="96"/>
  <c r="R175" i="96" s="1"/>
  <c r="E22" i="95"/>
  <c r="H87" i="85"/>
  <c r="K87" i="85" s="1"/>
  <c r="R123" i="85" s="1"/>
  <c r="H21" i="85"/>
  <c r="J94" i="107" s="1"/>
  <c r="J95" i="107" s="1"/>
  <c r="J96" i="107" s="1"/>
  <c r="J97" i="107" s="1"/>
  <c r="H21" i="78"/>
  <c r="N21" i="78" s="1"/>
  <c r="N123" i="78" s="1"/>
  <c r="H65" i="66"/>
  <c r="H65" i="78"/>
  <c r="N65" i="78" s="1"/>
  <c r="O123" i="78" s="1"/>
  <c r="H43" i="66"/>
  <c r="H21" i="66"/>
  <c r="H87" i="78"/>
  <c r="K87" i="78" s="1"/>
  <c r="R123" i="78" s="1"/>
  <c r="H65" i="85"/>
  <c r="N65" i="85" s="1"/>
  <c r="O123" i="85" s="1"/>
  <c r="H43" i="78"/>
  <c r="K43" i="78" s="1"/>
  <c r="Q123" i="78" s="1"/>
  <c r="H87" i="66"/>
  <c r="H43" i="85"/>
  <c r="K43" i="85" s="1"/>
  <c r="Q123" i="85" s="1"/>
  <c r="E53" i="85"/>
  <c r="E31" i="78"/>
  <c r="P33" i="41"/>
  <c r="E53" i="66"/>
  <c r="E31" i="66"/>
  <c r="E31" i="85"/>
  <c r="E9" i="85"/>
  <c r="G74" i="107" s="1"/>
  <c r="G75" i="107" s="1"/>
  <c r="G76" i="107" s="1"/>
  <c r="G77" i="107" s="1"/>
  <c r="G76" i="66"/>
  <c r="G54" i="85"/>
  <c r="G76" i="78"/>
  <c r="G76" i="85"/>
  <c r="G54" i="78"/>
  <c r="G54" i="66"/>
  <c r="G10" i="85"/>
  <c r="G32" i="78"/>
  <c r="Z23" i="94"/>
  <c r="AL23" i="94"/>
  <c r="L166" i="96"/>
  <c r="T166" i="96" s="1"/>
  <c r="H79" i="95"/>
  <c r="G53" i="95"/>
  <c r="G75" i="95"/>
  <c r="I162" i="96"/>
  <c r="Q162" i="96" s="1"/>
  <c r="G9" i="95"/>
  <c r="G31" i="95"/>
  <c r="F142" i="96"/>
  <c r="O118" i="66"/>
  <c r="Z18" i="69" s="1"/>
  <c r="N15" i="17"/>
  <c r="O111" i="66"/>
  <c r="Z8" i="69" s="1"/>
  <c r="X8" i="69"/>
  <c r="Q14" i="96"/>
  <c r="H66" i="95"/>
  <c r="S44" i="93"/>
  <c r="Q6" i="93"/>
  <c r="U31" i="93" s="1"/>
  <c r="AA111" i="78"/>
  <c r="O15" i="17"/>
  <c r="W15" i="17"/>
  <c r="P13" i="41"/>
  <c r="P18" i="41"/>
  <c r="S47" i="96"/>
  <c r="N18" i="17"/>
  <c r="D88" i="66"/>
  <c r="D22" i="66"/>
  <c r="D88" i="85"/>
  <c r="D22" i="78"/>
  <c r="L22" i="78" s="1"/>
  <c r="D88" i="78"/>
  <c r="D44" i="78"/>
  <c r="D66" i="66"/>
  <c r="H62" i="85"/>
  <c r="N62" i="85" s="1"/>
  <c r="O120" i="85" s="1"/>
  <c r="H40" i="85"/>
  <c r="K40" i="85" s="1"/>
  <c r="Q120" i="85" s="1"/>
  <c r="H18" i="66"/>
  <c r="H84" i="85"/>
  <c r="K84" i="85" s="1"/>
  <c r="R120" i="85" s="1"/>
  <c r="H62" i="78"/>
  <c r="N62" i="78" s="1"/>
  <c r="O120" i="78" s="1"/>
  <c r="H40" i="66"/>
  <c r="H40" i="78"/>
  <c r="K40" i="78" s="1"/>
  <c r="Q120" i="78" s="1"/>
  <c r="H84" i="66"/>
  <c r="H84" i="78"/>
  <c r="K84" i="78" s="1"/>
  <c r="R120" i="78" s="1"/>
  <c r="H18" i="85"/>
  <c r="N18" i="85" s="1"/>
  <c r="N120" i="85" s="1"/>
  <c r="H62" i="66"/>
  <c r="H18" i="78"/>
  <c r="N18" i="78" s="1"/>
  <c r="N120" i="78" s="1"/>
  <c r="Q18" i="93"/>
  <c r="N140" i="96"/>
  <c r="Q9" i="93"/>
  <c r="AI14" i="91"/>
  <c r="AA123" i="78"/>
  <c r="AE26" i="60"/>
  <c r="P7" i="41"/>
  <c r="D29" i="69"/>
  <c r="R7" i="68"/>
  <c r="U7" i="68" s="1"/>
  <c r="V30" i="96"/>
  <c r="R13" i="68"/>
  <c r="U13" i="68" s="1"/>
  <c r="G21" i="78"/>
  <c r="G87" i="78"/>
  <c r="G21" i="85"/>
  <c r="Z131" i="95"/>
  <c r="AA119" i="92"/>
  <c r="AJ108" i="73"/>
  <c r="J56" i="95"/>
  <c r="U56" i="95" s="1"/>
  <c r="R145" i="96"/>
  <c r="O165" i="96"/>
  <c r="W165" i="96" s="1"/>
  <c r="F12" i="95"/>
  <c r="P12" i="95" s="1"/>
  <c r="N118" i="95" s="1"/>
  <c r="M165" i="96"/>
  <c r="U165" i="96" s="1"/>
  <c r="E113" i="92"/>
  <c r="P53" i="92"/>
  <c r="M36" i="92"/>
  <c r="J118" i="92"/>
  <c r="K117" i="92"/>
  <c r="M79" i="92"/>
  <c r="M89" i="92"/>
  <c r="K113" i="92"/>
  <c r="M75" i="92"/>
  <c r="E87" i="78"/>
  <c r="E43" i="66"/>
  <c r="G28" i="85"/>
  <c r="G6" i="78"/>
  <c r="D40" i="61" s="1"/>
  <c r="G28" i="66"/>
  <c r="G6" i="85"/>
  <c r="I59" i="107" s="1"/>
  <c r="I60" i="107" s="1"/>
  <c r="F61" i="107" s="1"/>
  <c r="F62" i="107" s="1"/>
  <c r="G50" i="78"/>
  <c r="G50" i="66"/>
  <c r="G50" i="85"/>
  <c r="G72" i="78"/>
  <c r="G72" i="66"/>
  <c r="G72" i="85"/>
  <c r="G28" i="78"/>
  <c r="G6" i="66"/>
  <c r="X24" i="17"/>
  <c r="N166" i="96"/>
  <c r="V166" i="96" s="1"/>
  <c r="P146" i="96"/>
  <c r="E28" i="78"/>
  <c r="E28" i="66"/>
  <c r="E72" i="85"/>
  <c r="E6" i="85"/>
  <c r="G59" i="107" s="1"/>
  <c r="G60" i="107" s="1"/>
  <c r="G61" i="107" s="1"/>
  <c r="G62" i="107" s="1"/>
  <c r="E72" i="66"/>
  <c r="E6" i="78"/>
  <c r="E33" i="85"/>
  <c r="E33" i="78"/>
  <c r="E55" i="66"/>
  <c r="E55" i="85"/>
  <c r="E11" i="78"/>
  <c r="E33" i="66"/>
  <c r="E11" i="85"/>
  <c r="E55" i="78"/>
  <c r="E77" i="78"/>
  <c r="E11" i="66"/>
  <c r="E77" i="66"/>
  <c r="E77" i="85"/>
  <c r="Y15" i="51"/>
  <c r="W12" i="68" s="1"/>
  <c r="W15" i="51"/>
  <c r="F18" i="85"/>
  <c r="F18" i="78"/>
  <c r="F18" i="66"/>
  <c r="F84" i="85"/>
  <c r="F84" i="78"/>
  <c r="F40" i="66"/>
  <c r="F62" i="85"/>
  <c r="F62" i="78"/>
  <c r="F62" i="66"/>
  <c r="F40" i="85"/>
  <c r="F40" i="78"/>
  <c r="F84" i="66"/>
  <c r="E62" i="78"/>
  <c r="E18" i="66"/>
  <c r="E84" i="85"/>
  <c r="E18" i="78"/>
  <c r="E40" i="85"/>
  <c r="E40" i="66"/>
  <c r="E84" i="78"/>
  <c r="E84" i="66"/>
  <c r="E40" i="78"/>
  <c r="E62" i="66"/>
  <c r="F59" i="93"/>
  <c r="F59" i="96"/>
  <c r="AI11" i="91"/>
  <c r="Z11" i="91"/>
  <c r="W11" i="91"/>
  <c r="N165" i="96"/>
  <c r="V165" i="96" s="1"/>
  <c r="P145" i="96"/>
  <c r="J161" i="96"/>
  <c r="R161" i="96" s="1"/>
  <c r="H141" i="96"/>
  <c r="N123" i="73"/>
  <c r="P123" i="73" s="1"/>
  <c r="T123" i="73" s="1"/>
  <c r="J13" i="79" s="1"/>
  <c r="M13" i="79" s="1"/>
  <c r="N13" i="79" s="1"/>
  <c r="Q13" i="79" s="1"/>
  <c r="S13" i="79" s="1"/>
  <c r="O21" i="73"/>
  <c r="M73" i="92"/>
  <c r="K111" i="92"/>
  <c r="S45" i="96"/>
  <c r="Q8" i="96"/>
  <c r="W20" i="91"/>
  <c r="Z20" i="91"/>
  <c r="AI20" i="91"/>
  <c r="J122" i="92"/>
  <c r="M40" i="92"/>
  <c r="H28" i="85"/>
  <c r="K28" i="85" s="1"/>
  <c r="Q108" i="85" s="1"/>
  <c r="H6" i="78"/>
  <c r="H50" i="66"/>
  <c r="H6" i="85"/>
  <c r="J59" i="107" s="1"/>
  <c r="J60" i="107" s="1"/>
  <c r="J61" i="107" s="1"/>
  <c r="J62" i="107" s="1"/>
  <c r="H72" i="85"/>
  <c r="K72" i="85" s="1"/>
  <c r="R108" i="85" s="1"/>
  <c r="H72" i="78"/>
  <c r="K72" i="78" s="1"/>
  <c r="R108" i="78" s="1"/>
  <c r="H50" i="85"/>
  <c r="N50" i="85" s="1"/>
  <c r="O108" i="85" s="1"/>
  <c r="H50" i="78"/>
  <c r="N50" i="78" s="1"/>
  <c r="O108" i="78" s="1"/>
  <c r="H28" i="78"/>
  <c r="K28" i="78" s="1"/>
  <c r="Q108" i="78" s="1"/>
  <c r="H28" i="66"/>
  <c r="H6" i="66"/>
  <c r="H72" i="66"/>
  <c r="D23" i="61"/>
  <c r="R4" i="74"/>
  <c r="D79" i="66"/>
  <c r="D13" i="78"/>
  <c r="D13" i="66"/>
  <c r="D13" i="85"/>
  <c r="D57" i="66"/>
  <c r="D79" i="78"/>
  <c r="D35" i="66"/>
  <c r="D35" i="85"/>
  <c r="D35" i="78"/>
  <c r="D57" i="78"/>
  <c r="P37" i="41"/>
  <c r="AC18" i="94"/>
  <c r="AL18" i="94"/>
  <c r="Z18" i="94"/>
  <c r="AC14" i="94"/>
  <c r="Z14" i="94"/>
  <c r="AL14" i="94"/>
  <c r="AC8" i="94"/>
  <c r="Z8" i="94"/>
  <c r="AL8" i="94"/>
  <c r="D33" i="85"/>
  <c r="D33" i="78"/>
  <c r="D55" i="66"/>
  <c r="D77" i="66"/>
  <c r="D55" i="85"/>
  <c r="D55" i="78"/>
  <c r="F66" i="85"/>
  <c r="F44" i="78"/>
  <c r="F44" i="85"/>
  <c r="F66" i="66"/>
  <c r="F66" i="78"/>
  <c r="F22" i="66"/>
  <c r="D18" i="85"/>
  <c r="D84" i="78"/>
  <c r="D62" i="85"/>
  <c r="D18" i="66"/>
  <c r="D18" i="78"/>
  <c r="P42" i="41"/>
  <c r="D62" i="78"/>
  <c r="D40" i="66"/>
  <c r="D84" i="85"/>
  <c r="D40" i="78"/>
  <c r="D84" i="66"/>
  <c r="D40" i="85"/>
  <c r="D62" i="66"/>
  <c r="F89" i="93"/>
  <c r="F89" i="96"/>
  <c r="I56" i="95"/>
  <c r="E8" i="95"/>
  <c r="I12" i="95"/>
  <c r="Q11" i="96"/>
  <c r="J7" i="95"/>
  <c r="U7" i="95" s="1"/>
  <c r="I22" i="95"/>
  <c r="Q7" i="96"/>
  <c r="U32" i="96" s="1"/>
  <c r="AA119" i="95"/>
  <c r="I9" i="95"/>
  <c r="J148" i="96"/>
  <c r="AL22" i="94"/>
  <c r="R140" i="96"/>
  <c r="AL61" i="86"/>
  <c r="AA121" i="92"/>
  <c r="P117" i="92"/>
  <c r="AA113" i="85"/>
  <c r="T119" i="73"/>
  <c r="J18" i="79" s="1"/>
  <c r="AA125" i="85"/>
  <c r="D57" i="85"/>
  <c r="F88" i="78"/>
  <c r="F22" i="85"/>
  <c r="D77" i="78"/>
  <c r="D11" i="85"/>
  <c r="J127" i="73"/>
  <c r="P45" i="41"/>
  <c r="P35" i="41"/>
  <c r="L120" i="73"/>
  <c r="M120" i="73" s="1"/>
  <c r="I19" i="79" s="1"/>
  <c r="P10" i="41"/>
  <c r="P15" i="41"/>
  <c r="G65" i="66"/>
  <c r="G21" i="66"/>
  <c r="G43" i="66"/>
  <c r="Q20" i="96"/>
  <c r="AA123" i="73"/>
  <c r="AC123" i="73" s="1"/>
  <c r="AA121" i="78"/>
  <c r="E56" i="95"/>
  <c r="E34" i="95"/>
  <c r="J165" i="96"/>
  <c r="R165" i="96" s="1"/>
  <c r="H145" i="96"/>
  <c r="K121" i="92"/>
  <c r="L121" i="92" s="1"/>
  <c r="M83" i="92"/>
  <c r="K100" i="93"/>
  <c r="E101" i="93"/>
  <c r="K102" i="93" s="1"/>
  <c r="H22" i="92" s="1"/>
  <c r="W14" i="84"/>
  <c r="Z14" i="84"/>
  <c r="S32" i="93"/>
  <c r="U32" i="93" s="1"/>
  <c r="F75" i="85"/>
  <c r="F75" i="78"/>
  <c r="D20" i="17"/>
  <c r="P20" i="41"/>
  <c r="E35" i="85"/>
  <c r="E79" i="66"/>
  <c r="E13" i="78"/>
  <c r="E79" i="85"/>
  <c r="E13" i="66"/>
  <c r="E35" i="78"/>
  <c r="E57" i="66"/>
  <c r="F11" i="85"/>
  <c r="F77" i="78"/>
  <c r="F55" i="78"/>
  <c r="F77" i="66"/>
  <c r="F33" i="85"/>
  <c r="F33" i="66"/>
  <c r="G69" i="93"/>
  <c r="G70" i="93" s="1"/>
  <c r="G71" i="93" s="1"/>
  <c r="G69" i="96"/>
  <c r="G88" i="78"/>
  <c r="G22" i="66"/>
  <c r="G66" i="66"/>
  <c r="G66" i="78"/>
  <c r="G44" i="66"/>
  <c r="G22" i="85"/>
  <c r="I99" i="107" s="1"/>
  <c r="G66" i="85"/>
  <c r="G40" i="85"/>
  <c r="G84" i="85"/>
  <c r="G18" i="78"/>
  <c r="G84" i="66"/>
  <c r="G18" i="66"/>
  <c r="G18" i="85"/>
  <c r="G40" i="78"/>
  <c r="G40" i="66"/>
  <c r="G62" i="66"/>
  <c r="G62" i="85"/>
  <c r="G84" i="78"/>
  <c r="G62" i="78"/>
  <c r="AL61" i="101"/>
  <c r="K24" i="93"/>
  <c r="Y120" i="73"/>
  <c r="AA120" i="73" s="1"/>
  <c r="AL120" i="73" s="1"/>
  <c r="S39" i="93"/>
  <c r="K25" i="74"/>
  <c r="D28" i="87" s="1"/>
  <c r="D30" i="87" s="1"/>
  <c r="O22" i="73"/>
  <c r="S40" i="96"/>
  <c r="F149" i="96"/>
  <c r="O24" i="96"/>
  <c r="S37" i="96"/>
  <c r="P57" i="92"/>
  <c r="P116" i="73"/>
  <c r="T116" i="73" s="1"/>
  <c r="J23" i="79" s="1"/>
  <c r="G15" i="95"/>
  <c r="I168" i="96"/>
  <c r="Q168" i="96" s="1"/>
  <c r="G81" i="95"/>
  <c r="G59" i="95"/>
  <c r="G37" i="95"/>
  <c r="D66" i="95"/>
  <c r="K175" i="96"/>
  <c r="S175" i="96" s="1"/>
  <c r="J155" i="96"/>
  <c r="D44" i="95"/>
  <c r="AA120" i="95"/>
  <c r="AA113" i="92"/>
  <c r="M118" i="73"/>
  <c r="I11" i="79" s="1"/>
  <c r="S127" i="73"/>
  <c r="Y116" i="73"/>
  <c r="AA116" i="73" s="1"/>
  <c r="AC116" i="73" s="1"/>
  <c r="E75" i="93"/>
  <c r="E75" i="96"/>
  <c r="O7" i="91"/>
  <c r="I175" i="96"/>
  <c r="Q175" i="96" s="1"/>
  <c r="G66" i="95"/>
  <c r="G44" i="95"/>
  <c r="M24" i="93"/>
  <c r="Y131" i="95"/>
  <c r="P61" i="92"/>
  <c r="Q22" i="93"/>
  <c r="G24" i="93"/>
  <c r="Q14" i="93"/>
  <c r="J15" i="95"/>
  <c r="U15" i="95" s="1"/>
  <c r="O168" i="96"/>
  <c r="W168" i="96" s="1"/>
  <c r="N168" i="96"/>
  <c r="V168" i="96" s="1"/>
  <c r="P148" i="96"/>
  <c r="G7" i="95"/>
  <c r="I160" i="96"/>
  <c r="Q160" i="96" s="1"/>
  <c r="G29" i="95"/>
  <c r="G73" i="95"/>
  <c r="G51" i="95"/>
  <c r="K116" i="66"/>
  <c r="T112" i="73"/>
  <c r="J8" i="79" s="1"/>
  <c r="M8" i="79" s="1"/>
  <c r="N8" i="79" s="1"/>
  <c r="U112" i="73"/>
  <c r="W112" i="73" s="1"/>
  <c r="AL112" i="73"/>
  <c r="AC112" i="73"/>
  <c r="T109" i="73"/>
  <c r="J5" i="79" s="1"/>
  <c r="U109" i="73"/>
  <c r="W109" i="73" s="1"/>
  <c r="G124" i="95"/>
  <c r="H86" i="95"/>
  <c r="H64" i="95"/>
  <c r="H42" i="95"/>
  <c r="H20" i="95"/>
  <c r="L153" i="96"/>
  <c r="L173" i="96"/>
  <c r="T173" i="96" s="1"/>
  <c r="G35" i="95"/>
  <c r="G57" i="95"/>
  <c r="I166" i="96"/>
  <c r="Q166" i="96" s="1"/>
  <c r="G13" i="95"/>
  <c r="F146" i="96"/>
  <c r="G79" i="95"/>
  <c r="K24" i="96"/>
  <c r="Q5" i="96"/>
  <c r="K117" i="95"/>
  <c r="N77" i="95"/>
  <c r="F14" i="95"/>
  <c r="P14" i="95" s="1"/>
  <c r="N120" i="95" s="1"/>
  <c r="F58" i="95"/>
  <c r="P58" i="95" s="1"/>
  <c r="O120" i="95" s="1"/>
  <c r="M167" i="96"/>
  <c r="U167" i="96" s="1"/>
  <c r="F36" i="95"/>
  <c r="M36" i="95" s="1"/>
  <c r="Q120" i="95" s="1"/>
  <c r="N147" i="96"/>
  <c r="F80" i="95"/>
  <c r="M80" i="95" s="1"/>
  <c r="R120" i="95" s="1"/>
  <c r="H80" i="95"/>
  <c r="H36" i="95"/>
  <c r="H14" i="95"/>
  <c r="H58" i="95"/>
  <c r="L147" i="96"/>
  <c r="L167" i="96"/>
  <c r="T167" i="96" s="1"/>
  <c r="F72" i="95"/>
  <c r="M72" i="95" s="1"/>
  <c r="R112" i="95" s="1"/>
  <c r="F28" i="95"/>
  <c r="M28" i="95" s="1"/>
  <c r="Q112" i="95" s="1"/>
  <c r="F6" i="95"/>
  <c r="P6" i="95" s="1"/>
  <c r="N112" i="95" s="1"/>
  <c r="N139" i="96"/>
  <c r="F50" i="95"/>
  <c r="P50" i="95" s="1"/>
  <c r="O112" i="95" s="1"/>
  <c r="M159" i="96"/>
  <c r="U159" i="96" s="1"/>
  <c r="H155" i="96"/>
  <c r="S46" i="96"/>
  <c r="N39" i="95"/>
  <c r="J123" i="95"/>
  <c r="P65" i="92"/>
  <c r="E125" i="92"/>
  <c r="K124" i="92"/>
  <c r="M86" i="92"/>
  <c r="M81" i="92"/>
  <c r="K119" i="92"/>
  <c r="D19" i="92"/>
  <c r="S43" i="93"/>
  <c r="M17" i="92"/>
  <c r="R127" i="73"/>
  <c r="S112" i="92"/>
  <c r="Q129" i="92"/>
  <c r="T122" i="73"/>
  <c r="J12" i="79" s="1"/>
  <c r="AL125" i="73"/>
  <c r="AC125" i="73"/>
  <c r="X9" i="69"/>
  <c r="O114" i="66"/>
  <c r="Z9" i="69" s="1"/>
  <c r="F23" i="85"/>
  <c r="H104" i="107" s="1"/>
  <c r="H105" i="107" s="1"/>
  <c r="H106" i="107" s="1"/>
  <c r="H107" i="107" s="1"/>
  <c r="F23" i="78"/>
  <c r="F23" i="66"/>
  <c r="F89" i="85"/>
  <c r="F45" i="78"/>
  <c r="F89" i="66"/>
  <c r="F45" i="85"/>
  <c r="F89" i="78"/>
  <c r="F45" i="66"/>
  <c r="F67" i="85"/>
  <c r="F67" i="78"/>
  <c r="F67" i="66"/>
  <c r="O14" i="73"/>
  <c r="G14" i="85"/>
  <c r="I109" i="107" s="1"/>
  <c r="I110" i="107" s="1"/>
  <c r="I111" i="107" s="1"/>
  <c r="I112" i="107" s="1"/>
  <c r="G58" i="78"/>
  <c r="G14" i="66"/>
  <c r="G36" i="85"/>
  <c r="G80" i="78"/>
  <c r="G36" i="66"/>
  <c r="G36" i="78"/>
  <c r="G80" i="85"/>
  <c r="G80" i="66"/>
  <c r="G58" i="85"/>
  <c r="G14" i="78"/>
  <c r="G58" i="66"/>
  <c r="R24" i="68"/>
  <c r="U24" i="68" s="1"/>
  <c r="V38" i="93"/>
  <c r="S38" i="41"/>
  <c r="V38" i="96"/>
  <c r="W7" i="17"/>
  <c r="V7" i="17"/>
  <c r="O7" i="17"/>
  <c r="Y14" i="51"/>
  <c r="W11" i="68" s="1"/>
  <c r="W14" i="51"/>
  <c r="M124" i="73"/>
  <c r="I14" i="79" s="1"/>
  <c r="X17" i="69"/>
  <c r="O112" i="66"/>
  <c r="Z17" i="69" s="1"/>
  <c r="K125" i="95"/>
  <c r="N85" i="95"/>
  <c r="I86" i="95"/>
  <c r="I42" i="95"/>
  <c r="I64" i="95"/>
  <c r="I20" i="95"/>
  <c r="N173" i="96"/>
  <c r="V173" i="96" s="1"/>
  <c r="P153" i="96"/>
  <c r="G45" i="95"/>
  <c r="F156" i="96"/>
  <c r="G23" i="95"/>
  <c r="I176" i="96"/>
  <c r="Q176" i="96" s="1"/>
  <c r="G89" i="95"/>
  <c r="G67" i="95"/>
  <c r="D87" i="95"/>
  <c r="D65" i="95"/>
  <c r="D21" i="95"/>
  <c r="D43" i="95"/>
  <c r="K174" i="96"/>
  <c r="S174" i="96" s="1"/>
  <c r="J154" i="96"/>
  <c r="I54" i="95"/>
  <c r="I32" i="95"/>
  <c r="I10" i="95"/>
  <c r="N163" i="96"/>
  <c r="V163" i="96" s="1"/>
  <c r="I76" i="95"/>
  <c r="P143" i="96"/>
  <c r="Q17" i="96"/>
  <c r="Q21" i="93"/>
  <c r="E120" i="92"/>
  <c r="P60" i="92"/>
  <c r="J111" i="92"/>
  <c r="M29" i="92"/>
  <c r="M78" i="92"/>
  <c r="K116" i="92"/>
  <c r="J114" i="92"/>
  <c r="M32" i="92"/>
  <c r="K118" i="92"/>
  <c r="M80" i="92"/>
  <c r="Q11" i="95"/>
  <c r="G117" i="95"/>
  <c r="Q15" i="96"/>
  <c r="O18" i="73"/>
  <c r="N120" i="73"/>
  <c r="P120" i="73" s="1"/>
  <c r="T120" i="73" s="1"/>
  <c r="J19" i="79" s="1"/>
  <c r="W19" i="91"/>
  <c r="Z19" i="91"/>
  <c r="AI19" i="91"/>
  <c r="P54" i="92"/>
  <c r="W13" i="84"/>
  <c r="AI13" i="84"/>
  <c r="Z13" i="84"/>
  <c r="E105" i="96"/>
  <c r="O15" i="91"/>
  <c r="E105" i="93"/>
  <c r="AA111" i="92"/>
  <c r="Z127" i="78"/>
  <c r="J84" i="96"/>
  <c r="J85" i="96" s="1"/>
  <c r="J86" i="96" s="1"/>
  <c r="J84" i="93"/>
  <c r="J85" i="93" s="1"/>
  <c r="J86" i="93" s="1"/>
  <c r="N15" i="85"/>
  <c r="N117" i="85" s="1"/>
  <c r="P117" i="85" s="1"/>
  <c r="D24" i="80"/>
  <c r="R14" i="79"/>
  <c r="E16" i="85"/>
  <c r="E82" i="85"/>
  <c r="E60" i="85"/>
  <c r="E16" i="78"/>
  <c r="E38" i="66"/>
  <c r="E38" i="85"/>
  <c r="E82" i="78"/>
  <c r="E16" i="66"/>
  <c r="E60" i="66"/>
  <c r="E60" i="78"/>
  <c r="E82" i="66"/>
  <c r="E38" i="78"/>
  <c r="R5" i="68"/>
  <c r="U5" i="68" s="1"/>
  <c r="V31" i="93"/>
  <c r="V31" i="96"/>
  <c r="S31" i="41"/>
  <c r="E85" i="85"/>
  <c r="E41" i="85"/>
  <c r="E85" i="78"/>
  <c r="E85" i="66"/>
  <c r="E19" i="66"/>
  <c r="E63" i="78"/>
  <c r="E63" i="66"/>
  <c r="E19" i="85"/>
  <c r="E41" i="78"/>
  <c r="E63" i="85"/>
  <c r="E41" i="66"/>
  <c r="P43" i="41"/>
  <c r="E19" i="78"/>
  <c r="G17" i="85"/>
  <c r="G17" i="78"/>
  <c r="G83" i="66"/>
  <c r="G83" i="85"/>
  <c r="G61" i="78"/>
  <c r="G17" i="66"/>
  <c r="G61" i="85"/>
  <c r="G39" i="66"/>
  <c r="G39" i="78"/>
  <c r="G39" i="85"/>
  <c r="G83" i="78"/>
  <c r="G61" i="66"/>
  <c r="F14" i="85"/>
  <c r="H109" i="107" s="1"/>
  <c r="H110" i="107" s="1"/>
  <c r="H111" i="107" s="1"/>
  <c r="H112" i="107" s="1"/>
  <c r="F14" i="78"/>
  <c r="F80" i="66"/>
  <c r="F80" i="85"/>
  <c r="F58" i="78"/>
  <c r="F36" i="66"/>
  <c r="F58" i="85"/>
  <c r="F80" i="78"/>
  <c r="F14" i="66"/>
  <c r="F58" i="66"/>
  <c r="F36" i="85"/>
  <c r="F36" i="78"/>
  <c r="D51" i="85"/>
  <c r="D7" i="78"/>
  <c r="D73" i="66"/>
  <c r="D29" i="85"/>
  <c r="D29" i="78"/>
  <c r="D29" i="66"/>
  <c r="D7" i="66"/>
  <c r="D7" i="85"/>
  <c r="F64" i="107" s="1"/>
  <c r="F65" i="107" s="1"/>
  <c r="F66" i="107" s="1"/>
  <c r="F67" i="107" s="1"/>
  <c r="D73" i="78"/>
  <c r="P31" i="41"/>
  <c r="D73" i="85"/>
  <c r="D51" i="66"/>
  <c r="D51" i="78"/>
  <c r="G64" i="93"/>
  <c r="G64" i="96"/>
  <c r="O108" i="66"/>
  <c r="Z5" i="69" s="1"/>
  <c r="X5" i="69"/>
  <c r="P38" i="41"/>
  <c r="AD66" i="81"/>
  <c r="B8" i="82"/>
  <c r="E5" i="17"/>
  <c r="H24" i="41"/>
  <c r="C25" i="76"/>
  <c r="C29" i="76" s="1"/>
  <c r="D18" i="76" s="1"/>
  <c r="AC10" i="94"/>
  <c r="Z10" i="94"/>
  <c r="AL10" i="94"/>
  <c r="U119" i="73"/>
  <c r="W119" i="73" s="1"/>
  <c r="V39" i="96"/>
  <c r="S39" i="41"/>
  <c r="V39" i="93"/>
  <c r="R10" i="68"/>
  <c r="U10" i="68" s="1"/>
  <c r="V32" i="93"/>
  <c r="S32" i="41"/>
  <c r="V32" i="96"/>
  <c r="R6" i="68"/>
  <c r="U6" i="68" s="1"/>
  <c r="D5" i="17"/>
  <c r="F24" i="41"/>
  <c r="P5" i="41"/>
  <c r="H5" i="17"/>
  <c r="N24" i="41"/>
  <c r="D8" i="17"/>
  <c r="P8" i="41"/>
  <c r="AE26" i="101"/>
  <c r="Z66" i="101"/>
  <c r="Q19" i="95"/>
  <c r="G125" i="95"/>
  <c r="L8" i="102"/>
  <c r="AL7" i="94"/>
  <c r="AC7" i="94"/>
  <c r="Z7" i="94"/>
  <c r="F153" i="96"/>
  <c r="G86" i="95"/>
  <c r="G20" i="95"/>
  <c r="I173" i="96"/>
  <c r="Q173" i="96" s="1"/>
  <c r="G42" i="95"/>
  <c r="G64" i="95"/>
  <c r="J9" i="95"/>
  <c r="U9" i="95" s="1"/>
  <c r="J53" i="95"/>
  <c r="U53" i="95" s="1"/>
  <c r="J75" i="95"/>
  <c r="U75" i="95" s="1"/>
  <c r="O162" i="96"/>
  <c r="W162" i="96" s="1"/>
  <c r="J31" i="95"/>
  <c r="U31" i="95" s="1"/>
  <c r="R142" i="96"/>
  <c r="M24" i="96"/>
  <c r="I87" i="95"/>
  <c r="I43" i="95"/>
  <c r="I21" i="95"/>
  <c r="I65" i="95"/>
  <c r="N174" i="96"/>
  <c r="V174" i="96" s="1"/>
  <c r="P154" i="96"/>
  <c r="E87" i="95"/>
  <c r="E43" i="95"/>
  <c r="E21" i="95"/>
  <c r="E65" i="95"/>
  <c r="J174" i="96"/>
  <c r="R174" i="96" s="1"/>
  <c r="H154" i="96"/>
  <c r="J76" i="95"/>
  <c r="U76" i="95" s="1"/>
  <c r="J32" i="95"/>
  <c r="U32" i="95" s="1"/>
  <c r="J54" i="95"/>
  <c r="U54" i="95" s="1"/>
  <c r="J10" i="95"/>
  <c r="U10" i="95" s="1"/>
  <c r="R143" i="96"/>
  <c r="O163" i="96"/>
  <c r="W163" i="96" s="1"/>
  <c r="E72" i="95"/>
  <c r="E28" i="95"/>
  <c r="E50" i="95"/>
  <c r="J159" i="96"/>
  <c r="R159" i="96" s="1"/>
  <c r="E6" i="95"/>
  <c r="H139" i="96"/>
  <c r="Q19" i="96"/>
  <c r="Q9" i="96"/>
  <c r="S45" i="93"/>
  <c r="Q5" i="93"/>
  <c r="I24" i="93"/>
  <c r="E112" i="92"/>
  <c r="P52" i="92"/>
  <c r="M45" i="92"/>
  <c r="J127" i="92"/>
  <c r="L127" i="92" s="1"/>
  <c r="K122" i="92"/>
  <c r="M84" i="92"/>
  <c r="M77" i="92"/>
  <c r="K115" i="92"/>
  <c r="L115" i="92" s="1"/>
  <c r="J116" i="92"/>
  <c r="M34" i="92"/>
  <c r="M72" i="92"/>
  <c r="K110" i="92"/>
  <c r="K124" i="95"/>
  <c r="N84" i="95"/>
  <c r="H117" i="95"/>
  <c r="Q55" i="95"/>
  <c r="V131" i="95"/>
  <c r="S40" i="93"/>
  <c r="U40" i="93" s="1"/>
  <c r="E16" i="92"/>
  <c r="Z127" i="85"/>
  <c r="P108" i="73"/>
  <c r="O127" i="73"/>
  <c r="K127" i="73"/>
  <c r="I127" i="73"/>
  <c r="AI18" i="91"/>
  <c r="Z18" i="91"/>
  <c r="W18" i="91"/>
  <c r="V129" i="92"/>
  <c r="W15" i="84"/>
  <c r="Z15" i="84"/>
  <c r="AI15" i="84"/>
  <c r="D22" i="83"/>
  <c r="W22" i="84"/>
  <c r="AI22" i="84"/>
  <c r="Z22" i="84"/>
  <c r="P116" i="95"/>
  <c r="Q127" i="73"/>
  <c r="G84" i="96"/>
  <c r="G85" i="96" s="1"/>
  <c r="G86" i="96" s="1"/>
  <c r="G84" i="93"/>
  <c r="G85" i="93" s="1"/>
  <c r="G86" i="93" s="1"/>
  <c r="AA59" i="60"/>
  <c r="S117" i="78"/>
  <c r="H99" i="96"/>
  <c r="H100" i="96" s="1"/>
  <c r="H101" i="96" s="1"/>
  <c r="P124" i="73"/>
  <c r="T124" i="73" s="1"/>
  <c r="J14" i="79" s="1"/>
  <c r="H60" i="85"/>
  <c r="N60" i="85" s="1"/>
  <c r="O118" i="85" s="1"/>
  <c r="H38" i="78"/>
  <c r="K38" i="78" s="1"/>
  <c r="Q118" i="78" s="1"/>
  <c r="H82" i="66"/>
  <c r="H16" i="85"/>
  <c r="N16" i="85" s="1"/>
  <c r="N118" i="85" s="1"/>
  <c r="H60" i="78"/>
  <c r="N60" i="78" s="1"/>
  <c r="O118" i="78" s="1"/>
  <c r="H38" i="66"/>
  <c r="H38" i="85"/>
  <c r="K38" i="85" s="1"/>
  <c r="Q118" i="85" s="1"/>
  <c r="H82" i="78"/>
  <c r="K82" i="78" s="1"/>
  <c r="R118" i="78" s="1"/>
  <c r="H16" i="66"/>
  <c r="H60" i="66"/>
  <c r="H82" i="85"/>
  <c r="K82" i="85" s="1"/>
  <c r="R118" i="85" s="1"/>
  <c r="H16" i="78"/>
  <c r="N16" i="78" s="1"/>
  <c r="N118" i="78" s="1"/>
  <c r="D76" i="85"/>
  <c r="D32" i="78"/>
  <c r="D10" i="66"/>
  <c r="P34" i="41"/>
  <c r="D10" i="85"/>
  <c r="F79" i="107" s="1"/>
  <c r="F80" i="107" s="1"/>
  <c r="F81" i="107" s="1"/>
  <c r="F82" i="107" s="1"/>
  <c r="D76" i="78"/>
  <c r="D10" i="78"/>
  <c r="D32" i="85"/>
  <c r="D76" i="66"/>
  <c r="D54" i="85"/>
  <c r="D54" i="66"/>
  <c r="D54" i="78"/>
  <c r="D32" i="66"/>
  <c r="P23" i="41"/>
  <c r="D23" i="17"/>
  <c r="N22" i="17"/>
  <c r="V22" i="17"/>
  <c r="O22" i="17"/>
  <c r="W22" i="17"/>
  <c r="Y127" i="85"/>
  <c r="Y115" i="73"/>
  <c r="AA115" i="73" s="1"/>
  <c r="F110" i="73"/>
  <c r="D127" i="73"/>
  <c r="O6" i="74"/>
  <c r="V127" i="78"/>
  <c r="X13" i="69"/>
  <c r="O122" i="66"/>
  <c r="Z13" i="69" s="1"/>
  <c r="G23" i="85"/>
  <c r="I104" i="107" s="1"/>
  <c r="I105" i="107" s="1"/>
  <c r="G45" i="85"/>
  <c r="G89" i="85"/>
  <c r="G67" i="78"/>
  <c r="G89" i="66"/>
  <c r="G67" i="85"/>
  <c r="G45" i="78"/>
  <c r="G89" i="78"/>
  <c r="G67" i="66"/>
  <c r="G45" i="66"/>
  <c r="G23" i="66"/>
  <c r="G23" i="78"/>
  <c r="M59" i="78"/>
  <c r="H117" i="78" s="1"/>
  <c r="P21" i="41"/>
  <c r="N55" i="78"/>
  <c r="O113" i="78" s="1"/>
  <c r="X6" i="69"/>
  <c r="O109" i="66"/>
  <c r="Z6" i="69" s="1"/>
  <c r="H17" i="85"/>
  <c r="N17" i="85" s="1"/>
  <c r="N119" i="85" s="1"/>
  <c r="H39" i="78"/>
  <c r="K39" i="78" s="1"/>
  <c r="Q119" i="78" s="1"/>
  <c r="H17" i="66"/>
  <c r="H39" i="85"/>
  <c r="K39" i="85" s="1"/>
  <c r="Q119" i="85" s="1"/>
  <c r="H61" i="78"/>
  <c r="N61" i="78" s="1"/>
  <c r="O119" i="78" s="1"/>
  <c r="H83" i="66"/>
  <c r="H61" i="85"/>
  <c r="N61" i="85" s="1"/>
  <c r="O119" i="85" s="1"/>
  <c r="H17" i="78"/>
  <c r="N17" i="78" s="1"/>
  <c r="N119" i="78" s="1"/>
  <c r="H61" i="66"/>
  <c r="H83" i="85"/>
  <c r="K83" i="85" s="1"/>
  <c r="R119" i="85" s="1"/>
  <c r="H39" i="66"/>
  <c r="H83" i="78"/>
  <c r="K83" i="78" s="1"/>
  <c r="R119" i="78" s="1"/>
  <c r="E36" i="85"/>
  <c r="E14" i="78"/>
  <c r="E58" i="66"/>
  <c r="E14" i="85"/>
  <c r="G109" i="107" s="1"/>
  <c r="G110" i="107" s="1"/>
  <c r="G111" i="107" s="1"/>
  <c r="G112" i="107" s="1"/>
  <c r="E80" i="78"/>
  <c r="E14" i="66"/>
  <c r="E58" i="78"/>
  <c r="E36" i="66"/>
  <c r="E80" i="85"/>
  <c r="E36" i="78"/>
  <c r="E80" i="66"/>
  <c r="E58" i="85"/>
  <c r="H29" i="85"/>
  <c r="K29" i="85" s="1"/>
  <c r="Q109" i="85" s="1"/>
  <c r="H51" i="78"/>
  <c r="N51" i="78" s="1"/>
  <c r="O109" i="78" s="1"/>
  <c r="H29" i="66"/>
  <c r="H51" i="85"/>
  <c r="N51" i="85" s="1"/>
  <c r="O109" i="85" s="1"/>
  <c r="H29" i="78"/>
  <c r="K29" i="78" s="1"/>
  <c r="Q109" i="78" s="1"/>
  <c r="H73" i="66"/>
  <c r="H7" i="78"/>
  <c r="N7" i="78" s="1"/>
  <c r="N109" i="78" s="1"/>
  <c r="H7" i="66"/>
  <c r="H73" i="85"/>
  <c r="K73" i="85" s="1"/>
  <c r="R109" i="85" s="1"/>
  <c r="H73" i="78"/>
  <c r="K73" i="78" s="1"/>
  <c r="R109" i="78" s="1"/>
  <c r="H51" i="66"/>
  <c r="H7" i="85"/>
  <c r="J64" i="107" s="1"/>
  <c r="J65" i="107" s="1"/>
  <c r="J66" i="107" s="1"/>
  <c r="J67" i="107" s="1"/>
  <c r="O10" i="17"/>
  <c r="V10" i="17"/>
  <c r="N10" i="17"/>
  <c r="W10" i="17"/>
  <c r="M5" i="69"/>
  <c r="L126" i="66"/>
  <c r="V13" i="17"/>
  <c r="W13" i="17"/>
  <c r="O13" i="17"/>
  <c r="G104" i="96"/>
  <c r="D35" i="83"/>
  <c r="G104" i="93"/>
  <c r="I89" i="96"/>
  <c r="D7" i="89"/>
  <c r="F7" i="89" s="1"/>
  <c r="F6" i="82"/>
  <c r="AL17" i="94"/>
  <c r="AC17" i="94"/>
  <c r="Z17" i="94"/>
  <c r="AC15" i="94"/>
  <c r="AL15" i="94"/>
  <c r="Z15" i="94"/>
  <c r="I25" i="41"/>
  <c r="M25" i="41"/>
  <c r="G25" i="41"/>
  <c r="Q18" i="95"/>
  <c r="H125" i="95"/>
  <c r="Q63" i="95"/>
  <c r="I23" i="95"/>
  <c r="I67" i="95"/>
  <c r="I45" i="95"/>
  <c r="I89" i="95"/>
  <c r="P156" i="96"/>
  <c r="N176" i="96"/>
  <c r="V176" i="96" s="1"/>
  <c r="S39" i="96"/>
  <c r="F148" i="96"/>
  <c r="P67" i="92"/>
  <c r="E127" i="92"/>
  <c r="P66" i="92"/>
  <c r="E126" i="92"/>
  <c r="M74" i="92"/>
  <c r="K112" i="92"/>
  <c r="L112" i="92" s="1"/>
  <c r="G123" i="95"/>
  <c r="I123" i="95" s="1"/>
  <c r="Q17" i="95"/>
  <c r="N49" i="93"/>
  <c r="N52" i="93" s="1"/>
  <c r="P49" i="93"/>
  <c r="J49" i="93"/>
  <c r="H49" i="93"/>
  <c r="F49" i="93"/>
  <c r="F52" i="93" s="1"/>
  <c r="D11" i="92"/>
  <c r="S35" i="93"/>
  <c r="L25" i="93"/>
  <c r="L52" i="93" s="1"/>
  <c r="J25" i="93"/>
  <c r="H25" i="93"/>
  <c r="N25" i="93"/>
  <c r="AI11" i="84"/>
  <c r="Z11" i="84"/>
  <c r="W11" i="84"/>
  <c r="Z66" i="81"/>
  <c r="AE26" i="81"/>
  <c r="F5" i="82"/>
  <c r="D5" i="89"/>
  <c r="F5" i="89" s="1"/>
  <c r="N9" i="85"/>
  <c r="N111" i="85" s="1"/>
  <c r="P111" i="85" s="1"/>
  <c r="J74" i="93"/>
  <c r="J74" i="96"/>
  <c r="Z66" i="86"/>
  <c r="AE26" i="86"/>
  <c r="F82" i="85"/>
  <c r="F82" i="78"/>
  <c r="F82" i="66"/>
  <c r="F60" i="85"/>
  <c r="F60" i="78"/>
  <c r="F16" i="66"/>
  <c r="F38" i="85"/>
  <c r="F16" i="78"/>
  <c r="F60" i="66"/>
  <c r="F38" i="66"/>
  <c r="F16" i="85"/>
  <c r="F38" i="78"/>
  <c r="F76" i="85"/>
  <c r="F54" i="85"/>
  <c r="F32" i="85"/>
  <c r="F10" i="78"/>
  <c r="F10" i="85"/>
  <c r="H79" i="107" s="1"/>
  <c r="H80" i="107" s="1"/>
  <c r="H81" i="107" s="1"/>
  <c r="H82" i="107" s="1"/>
  <c r="F76" i="78"/>
  <c r="F32" i="66"/>
  <c r="F32" i="78"/>
  <c r="F54" i="66"/>
  <c r="F76" i="66"/>
  <c r="F10" i="66"/>
  <c r="F54" i="78"/>
  <c r="F94" i="96"/>
  <c r="F94" i="93"/>
  <c r="V127" i="85"/>
  <c r="Y24" i="51"/>
  <c r="W23" i="68" s="1"/>
  <c r="W24" i="51"/>
  <c r="F41" i="85"/>
  <c r="F85" i="78"/>
  <c r="F19" i="66"/>
  <c r="F19" i="85"/>
  <c r="F63" i="66"/>
  <c r="F63" i="78"/>
  <c r="F85" i="66"/>
  <c r="F19" i="78"/>
  <c r="F85" i="85"/>
  <c r="F41" i="66"/>
  <c r="F41" i="78"/>
  <c r="F63" i="85"/>
  <c r="G94" i="96"/>
  <c r="G94" i="93"/>
  <c r="G7" i="85"/>
  <c r="I64" i="107" s="1"/>
  <c r="I65" i="107" s="1"/>
  <c r="I66" i="107" s="1"/>
  <c r="I67" i="107" s="1"/>
  <c r="G7" i="78"/>
  <c r="G7" i="66"/>
  <c r="G73" i="85"/>
  <c r="G73" i="78"/>
  <c r="G29" i="66"/>
  <c r="G51" i="78"/>
  <c r="G73" i="66"/>
  <c r="G51" i="85"/>
  <c r="G51" i="66"/>
  <c r="G29" i="85"/>
  <c r="G29" i="78"/>
  <c r="F73" i="85"/>
  <c r="F51" i="85"/>
  <c r="F51" i="78"/>
  <c r="F7" i="66"/>
  <c r="F7" i="78"/>
  <c r="F51" i="66"/>
  <c r="F29" i="78"/>
  <c r="F7" i="85"/>
  <c r="H64" i="107" s="1"/>
  <c r="H65" i="107" s="1"/>
  <c r="H66" i="107" s="1"/>
  <c r="H67" i="107" s="1"/>
  <c r="F29" i="66"/>
  <c r="F73" i="66"/>
  <c r="F29" i="85"/>
  <c r="F73" i="78"/>
  <c r="P17" i="41"/>
  <c r="D17" i="17"/>
  <c r="N7" i="17"/>
  <c r="J24" i="41"/>
  <c r="F5" i="17"/>
  <c r="P11" i="41"/>
  <c r="R36" i="41" s="1"/>
  <c r="D11" i="17"/>
  <c r="P128" i="95"/>
  <c r="T128" i="95" s="1"/>
  <c r="J14" i="94" s="1"/>
  <c r="E75" i="95"/>
  <c r="E31" i="95"/>
  <c r="E9" i="95"/>
  <c r="E53" i="95"/>
  <c r="H142" i="96"/>
  <c r="J162" i="96"/>
  <c r="R162" i="96" s="1"/>
  <c r="L25" i="96"/>
  <c r="J25" i="96"/>
  <c r="H25" i="96"/>
  <c r="AC12" i="94"/>
  <c r="AL12" i="94"/>
  <c r="Z12" i="94"/>
  <c r="F154" i="96"/>
  <c r="G65" i="95"/>
  <c r="G43" i="95"/>
  <c r="G21" i="95"/>
  <c r="I174" i="96"/>
  <c r="Q174" i="96" s="1"/>
  <c r="G87" i="95"/>
  <c r="G58" i="95"/>
  <c r="I167" i="96"/>
  <c r="Q167" i="96" s="1"/>
  <c r="G36" i="95"/>
  <c r="G80" i="95"/>
  <c r="F147" i="96"/>
  <c r="G14" i="95"/>
  <c r="G72" i="95"/>
  <c r="F139" i="96"/>
  <c r="G28" i="95"/>
  <c r="G50" i="95"/>
  <c r="I159" i="96"/>
  <c r="Q159" i="96" s="1"/>
  <c r="G6" i="95"/>
  <c r="G24" i="96"/>
  <c r="H49" i="98"/>
  <c r="H50" i="98"/>
  <c r="Q21" i="96"/>
  <c r="O24" i="93"/>
  <c r="H111" i="92"/>
  <c r="P51" i="92"/>
  <c r="J124" i="92"/>
  <c r="M42" i="92"/>
  <c r="E116" i="92"/>
  <c r="P56" i="92"/>
  <c r="H122" i="92"/>
  <c r="P62" i="92"/>
  <c r="K125" i="92"/>
  <c r="L125" i="92" s="1"/>
  <c r="M87" i="92"/>
  <c r="K123" i="95"/>
  <c r="N83" i="95"/>
  <c r="S44" i="96"/>
  <c r="AL4" i="94"/>
  <c r="Z4" i="94"/>
  <c r="AC4" i="94"/>
  <c r="Y113" i="73"/>
  <c r="AA113" i="73" s="1"/>
  <c r="L121" i="73"/>
  <c r="M121" i="73" s="1"/>
  <c r="I20" i="79" s="1"/>
  <c r="D18" i="92"/>
  <c r="S42" i="93"/>
  <c r="Q17" i="93"/>
  <c r="AI7" i="84"/>
  <c r="Z7" i="84"/>
  <c r="W7" i="84"/>
  <c r="O25" i="84"/>
  <c r="G127" i="73"/>
  <c r="B22" i="83"/>
  <c r="R15" i="74"/>
  <c r="D6" i="17"/>
  <c r="P6" i="41"/>
  <c r="O5" i="79"/>
  <c r="V127" i="73"/>
  <c r="R12" i="68"/>
  <c r="U12" i="68" s="1"/>
  <c r="V44" i="93"/>
  <c r="S44" i="41"/>
  <c r="V44" i="96"/>
  <c r="O13" i="73"/>
  <c r="N115" i="73"/>
  <c r="H67" i="85"/>
  <c r="N67" i="85" s="1"/>
  <c r="O125" i="85" s="1"/>
  <c r="H45" i="78"/>
  <c r="K45" i="78" s="1"/>
  <c r="Q125" i="78" s="1"/>
  <c r="H89" i="85"/>
  <c r="K89" i="85" s="1"/>
  <c r="R125" i="85" s="1"/>
  <c r="H23" i="66"/>
  <c r="H67" i="66"/>
  <c r="H67" i="78"/>
  <c r="N67" i="78" s="1"/>
  <c r="O125" i="78" s="1"/>
  <c r="H45" i="85"/>
  <c r="K45" i="85" s="1"/>
  <c r="Q125" i="85" s="1"/>
  <c r="H45" i="66"/>
  <c r="H89" i="78"/>
  <c r="K89" i="78" s="1"/>
  <c r="R125" i="78" s="1"/>
  <c r="H89" i="66"/>
  <c r="H23" i="85"/>
  <c r="J104" i="107" s="1"/>
  <c r="J105" i="107" s="1"/>
  <c r="J106" i="107" s="1"/>
  <c r="J107" i="107" s="1"/>
  <c r="H23" i="78"/>
  <c r="N23" i="78" s="1"/>
  <c r="N125" i="78" s="1"/>
  <c r="R16" i="68"/>
  <c r="U16" i="68" s="1"/>
  <c r="V47" i="93"/>
  <c r="S47" i="41"/>
  <c r="V47" i="96"/>
  <c r="J124" i="95"/>
  <c r="N40" i="95"/>
  <c r="J13" i="95"/>
  <c r="U13" i="95" s="1"/>
  <c r="J57" i="95"/>
  <c r="U57" i="95" s="1"/>
  <c r="J35" i="95"/>
  <c r="U35" i="95" s="1"/>
  <c r="R146" i="96"/>
  <c r="J79" i="95"/>
  <c r="U79" i="95" s="1"/>
  <c r="O166" i="96"/>
  <c r="W166" i="96" s="1"/>
  <c r="F144" i="96"/>
  <c r="S35" i="96"/>
  <c r="Q23" i="96"/>
  <c r="H89" i="95"/>
  <c r="H45" i="95"/>
  <c r="H67" i="95"/>
  <c r="H23" i="95"/>
  <c r="L156" i="96"/>
  <c r="L176" i="96"/>
  <c r="T176" i="96" s="1"/>
  <c r="F87" i="95"/>
  <c r="M87" i="95" s="1"/>
  <c r="R127" i="95" s="1"/>
  <c r="F43" i="95"/>
  <c r="M43" i="95" s="1"/>
  <c r="Q127" i="95" s="1"/>
  <c r="F65" i="95"/>
  <c r="P65" i="95" s="1"/>
  <c r="O127" i="95" s="1"/>
  <c r="F21" i="95"/>
  <c r="P21" i="95" s="1"/>
  <c r="N127" i="95" s="1"/>
  <c r="M174" i="96"/>
  <c r="U174" i="96" s="1"/>
  <c r="N154" i="96"/>
  <c r="J43" i="95"/>
  <c r="U43" i="95" s="1"/>
  <c r="J21" i="95"/>
  <c r="U21" i="95" s="1"/>
  <c r="J65" i="95"/>
  <c r="U65" i="95" s="1"/>
  <c r="J87" i="95"/>
  <c r="U87" i="95" s="1"/>
  <c r="R154" i="96"/>
  <c r="O174" i="96"/>
  <c r="W174" i="96" s="1"/>
  <c r="I80" i="95"/>
  <c r="I58" i="95"/>
  <c r="P147" i="96"/>
  <c r="I14" i="95"/>
  <c r="N167" i="96"/>
  <c r="V167" i="96" s="1"/>
  <c r="I36" i="95"/>
  <c r="E76" i="95"/>
  <c r="E32" i="95"/>
  <c r="E54" i="95"/>
  <c r="J163" i="96"/>
  <c r="R163" i="96" s="1"/>
  <c r="E10" i="95"/>
  <c r="H143" i="96"/>
  <c r="I72" i="95"/>
  <c r="I28" i="95"/>
  <c r="I6" i="95"/>
  <c r="P139" i="96"/>
  <c r="I50" i="95"/>
  <c r="N159" i="96"/>
  <c r="V159" i="96" s="1"/>
  <c r="S33" i="96"/>
  <c r="F150" i="96"/>
  <c r="S41" i="96"/>
  <c r="U41" i="96" s="1"/>
  <c r="N25" i="96"/>
  <c r="I24" i="96"/>
  <c r="S36" i="93"/>
  <c r="U36" i="93" s="1"/>
  <c r="W36" i="93" s="1"/>
  <c r="D12" i="92"/>
  <c r="P64" i="92"/>
  <c r="E124" i="92"/>
  <c r="E115" i="92"/>
  <c r="P55" i="92"/>
  <c r="H118" i="92"/>
  <c r="P58" i="92"/>
  <c r="K114" i="92"/>
  <c r="M76" i="92"/>
  <c r="P59" i="92"/>
  <c r="E119" i="92"/>
  <c r="P63" i="92"/>
  <c r="H123" i="92"/>
  <c r="J119" i="92"/>
  <c r="M37" i="92"/>
  <c r="J110" i="92"/>
  <c r="M28" i="92"/>
  <c r="M82" i="92"/>
  <c r="K120" i="92"/>
  <c r="H124" i="95"/>
  <c r="Q62" i="95"/>
  <c r="N33" i="95"/>
  <c r="J117" i="95"/>
  <c r="N41" i="95"/>
  <c r="J125" i="95"/>
  <c r="S31" i="96"/>
  <c r="F140" i="96"/>
  <c r="Q13" i="93"/>
  <c r="U38" i="93" s="1"/>
  <c r="Q10" i="93"/>
  <c r="U122" i="73"/>
  <c r="W122" i="73" s="1"/>
  <c r="M122" i="73"/>
  <c r="I12" i="79" s="1"/>
  <c r="M111" i="73"/>
  <c r="I7" i="79" s="1"/>
  <c r="E95" i="93"/>
  <c r="E95" i="96"/>
  <c r="O13" i="91"/>
  <c r="W9" i="91"/>
  <c r="AI9" i="91"/>
  <c r="Z9" i="91"/>
  <c r="E61" i="96"/>
  <c r="W10" i="84"/>
  <c r="AI10" i="84"/>
  <c r="Z10" i="84"/>
  <c r="S116" i="95"/>
  <c r="O12" i="91"/>
  <c r="E90" i="96"/>
  <c r="E90" i="93"/>
  <c r="E80" i="96"/>
  <c r="O8" i="91"/>
  <c r="E80" i="93"/>
  <c r="E65" i="93"/>
  <c r="O5" i="91"/>
  <c r="E65" i="96"/>
  <c r="AA122" i="78"/>
  <c r="E32" i="74"/>
  <c r="AE64" i="60"/>
  <c r="B6" i="77"/>
  <c r="F6" i="77" s="1"/>
  <c r="D16" i="17"/>
  <c r="P16" i="41"/>
  <c r="J74" i="66"/>
  <c r="H109" i="66" s="1"/>
  <c r="K109" i="66"/>
  <c r="Y124" i="73"/>
  <c r="AA124" i="73" s="1"/>
  <c r="L115" i="73"/>
  <c r="D16" i="85"/>
  <c r="D16" i="78"/>
  <c r="D38" i="66"/>
  <c r="D38" i="85"/>
  <c r="D60" i="78"/>
  <c r="D60" i="66"/>
  <c r="D60" i="85"/>
  <c r="D38" i="78"/>
  <c r="D16" i="66"/>
  <c r="D82" i="66"/>
  <c r="D82" i="78"/>
  <c r="P40" i="41"/>
  <c r="D82" i="85"/>
  <c r="H54" i="85"/>
  <c r="N54" i="85" s="1"/>
  <c r="O112" i="85" s="1"/>
  <c r="H10" i="66"/>
  <c r="H54" i="66"/>
  <c r="H54" i="78"/>
  <c r="N54" i="78" s="1"/>
  <c r="O112" i="78" s="1"/>
  <c r="H76" i="78"/>
  <c r="K76" i="78" s="1"/>
  <c r="R112" i="78" s="1"/>
  <c r="H32" i="66"/>
  <c r="H10" i="85"/>
  <c r="J79" i="107" s="1"/>
  <c r="J80" i="107" s="1"/>
  <c r="J81" i="107" s="1"/>
  <c r="J82" i="107" s="1"/>
  <c r="H32" i="85"/>
  <c r="K32" i="85" s="1"/>
  <c r="Q112" i="85" s="1"/>
  <c r="H32" i="78"/>
  <c r="K32" i="78" s="1"/>
  <c r="Q112" i="78" s="1"/>
  <c r="H76" i="66"/>
  <c r="H10" i="78"/>
  <c r="N10" i="78" s="1"/>
  <c r="N112" i="78" s="1"/>
  <c r="H76" i="85"/>
  <c r="K76" i="85" s="1"/>
  <c r="R112" i="85" s="1"/>
  <c r="W18" i="17"/>
  <c r="Y127" i="78"/>
  <c r="AA110" i="78"/>
  <c r="D67" i="85"/>
  <c r="D23" i="66"/>
  <c r="D89" i="78"/>
  <c r="D89" i="66"/>
  <c r="D45" i="85"/>
  <c r="D45" i="66"/>
  <c r="D23" i="78"/>
  <c r="P47" i="41"/>
  <c r="D23" i="85"/>
  <c r="F104" i="107" s="1"/>
  <c r="F105" i="107" s="1"/>
  <c r="F106" i="107" s="1"/>
  <c r="F107" i="107" s="1"/>
  <c r="D45" i="78"/>
  <c r="D67" i="66"/>
  <c r="D67" i="78"/>
  <c r="D89" i="85"/>
  <c r="H19" i="85"/>
  <c r="N19" i="85" s="1"/>
  <c r="N121" i="85" s="1"/>
  <c r="H63" i="78"/>
  <c r="N63" i="78" s="1"/>
  <c r="O121" i="78" s="1"/>
  <c r="H19" i="66"/>
  <c r="H41" i="85"/>
  <c r="K41" i="85" s="1"/>
  <c r="Q121" i="85" s="1"/>
  <c r="H85" i="78"/>
  <c r="K85" i="78" s="1"/>
  <c r="R121" i="78" s="1"/>
  <c r="H85" i="66"/>
  <c r="H63" i="85"/>
  <c r="N63" i="85" s="1"/>
  <c r="O121" i="85" s="1"/>
  <c r="H41" i="78"/>
  <c r="K41" i="78" s="1"/>
  <c r="Q121" i="78" s="1"/>
  <c r="H63" i="66"/>
  <c r="H85" i="85"/>
  <c r="K85" i="85" s="1"/>
  <c r="R121" i="85" s="1"/>
  <c r="H41" i="66"/>
  <c r="H19" i="78"/>
  <c r="N19" i="78" s="1"/>
  <c r="N121" i="78" s="1"/>
  <c r="T9" i="51"/>
  <c r="V9" i="51" s="1"/>
  <c r="Q27" i="51"/>
  <c r="O21" i="17"/>
  <c r="N21" i="17"/>
  <c r="V21" i="17"/>
  <c r="W21" i="17"/>
  <c r="M113" i="73"/>
  <c r="I17" i="79" s="1"/>
  <c r="U113" i="73"/>
  <c r="W113" i="73" s="1"/>
  <c r="O116" i="66"/>
  <c r="Z10" i="69" s="1"/>
  <c r="X10" i="69"/>
  <c r="X23" i="69"/>
  <c r="O115" i="66"/>
  <c r="Z23" i="69" s="1"/>
  <c r="E17" i="85"/>
  <c r="E39" i="78"/>
  <c r="E83" i="66"/>
  <c r="E61" i="85"/>
  <c r="E17" i="78"/>
  <c r="E39" i="66"/>
  <c r="E83" i="85"/>
  <c r="E61" i="78"/>
  <c r="E17" i="66"/>
  <c r="P41" i="41"/>
  <c r="E39" i="85"/>
  <c r="E61" i="66"/>
  <c r="E83" i="78"/>
  <c r="H58" i="85"/>
  <c r="N58" i="85" s="1"/>
  <c r="O116" i="85" s="1"/>
  <c r="H36" i="85"/>
  <c r="K36" i="85" s="1"/>
  <c r="Q116" i="85" s="1"/>
  <c r="H80" i="85"/>
  <c r="K80" i="85" s="1"/>
  <c r="R116" i="85" s="1"/>
  <c r="H14" i="78"/>
  <c r="N14" i="78" s="1"/>
  <c r="N116" i="78" s="1"/>
  <c r="H80" i="66"/>
  <c r="H58" i="78"/>
  <c r="N58" i="78" s="1"/>
  <c r="O116" i="78" s="1"/>
  <c r="H58" i="66"/>
  <c r="H80" i="78"/>
  <c r="K80" i="78" s="1"/>
  <c r="R116" i="78" s="1"/>
  <c r="H14" i="66"/>
  <c r="H36" i="78"/>
  <c r="K36" i="78" s="1"/>
  <c r="Q116" i="78" s="1"/>
  <c r="H36" i="66"/>
  <c r="H14" i="85"/>
  <c r="J109" i="107" s="1"/>
  <c r="J110" i="107" s="1"/>
  <c r="J111" i="107" s="1"/>
  <c r="J112" i="107" s="1"/>
  <c r="M49" i="41"/>
  <c r="I49" i="41"/>
  <c r="E49" i="41"/>
  <c r="G49" i="41"/>
  <c r="K49" i="41"/>
  <c r="G89" i="96"/>
  <c r="W19" i="17"/>
  <c r="P12" i="41"/>
  <c r="D12" i="17"/>
  <c r="AC5" i="94"/>
  <c r="Z5" i="94"/>
  <c r="AL5" i="94"/>
  <c r="AC20" i="94"/>
  <c r="Z20" i="94"/>
  <c r="AL20" i="94"/>
  <c r="L108" i="73"/>
  <c r="M108" i="73" s="1"/>
  <c r="V41" i="96"/>
  <c r="R19" i="68"/>
  <c r="U19" i="68" s="1"/>
  <c r="V41" i="93"/>
  <c r="S41" i="41"/>
  <c r="G5" i="17"/>
  <c r="L24" i="41"/>
  <c r="Q61" i="95"/>
  <c r="E24" i="148" l="1"/>
  <c r="E72" i="148"/>
  <c r="L56" i="148"/>
  <c r="AR111" i="121"/>
  <c r="AT111" i="121" s="1"/>
  <c r="AR121" i="121"/>
  <c r="AT121" i="121" s="1"/>
  <c r="AR107" i="121"/>
  <c r="AT107" i="121" s="1"/>
  <c r="AR118" i="121"/>
  <c r="AT118" i="121" s="1"/>
  <c r="L4" i="148"/>
  <c r="L47" i="148" s="1"/>
  <c r="N47" i="148" s="1"/>
  <c r="K22" i="148"/>
  <c r="AW121" i="108"/>
  <c r="R10" i="94" s="1"/>
  <c r="AW122" i="108"/>
  <c r="R11" i="94" s="1"/>
  <c r="AW120" i="108"/>
  <c r="R23" i="94" s="1"/>
  <c r="U91" i="95"/>
  <c r="AW119" i="108"/>
  <c r="AX119" i="108" s="1"/>
  <c r="AW128" i="108"/>
  <c r="R14" i="94" s="1"/>
  <c r="AW114" i="108"/>
  <c r="R6" i="94" s="1"/>
  <c r="AW127" i="108"/>
  <c r="R13" i="94" s="1"/>
  <c r="AW126" i="108"/>
  <c r="R12" i="94" s="1"/>
  <c r="AW115" i="108"/>
  <c r="AX115" i="108" s="1"/>
  <c r="AW118" i="108"/>
  <c r="R22" i="94" s="1"/>
  <c r="AW116" i="108"/>
  <c r="R8" i="94" s="1"/>
  <c r="I74" i="96"/>
  <c r="I74" i="107"/>
  <c r="I75" i="107" s="1"/>
  <c r="F76" i="107" s="1"/>
  <c r="F77" i="107" s="1"/>
  <c r="M77" i="107" s="1"/>
  <c r="M112" i="107"/>
  <c r="Q10" i="94"/>
  <c r="H99" i="93"/>
  <c r="H100" i="93" s="1"/>
  <c r="H101" i="93" s="1"/>
  <c r="H99" i="107"/>
  <c r="J89" i="93"/>
  <c r="J89" i="107"/>
  <c r="J90" i="107" s="1"/>
  <c r="J91" i="107" s="1"/>
  <c r="J92" i="107" s="1"/>
  <c r="H74" i="96"/>
  <c r="H74" i="107"/>
  <c r="H75" i="107" s="1"/>
  <c r="H76" i="107" s="1"/>
  <c r="H77" i="107" s="1"/>
  <c r="AW113" i="108"/>
  <c r="R5" i="94" s="1"/>
  <c r="Q6" i="94"/>
  <c r="I92" i="107"/>
  <c r="K92" i="107"/>
  <c r="Q8" i="94"/>
  <c r="I69" i="96"/>
  <c r="I69" i="107"/>
  <c r="I70" i="107" s="1"/>
  <c r="I100" i="107"/>
  <c r="I101" i="107" s="1"/>
  <c r="I102" i="107" s="1"/>
  <c r="E101" i="107"/>
  <c r="K102" i="107" s="1"/>
  <c r="H100" i="107"/>
  <c r="H101" i="107" s="1"/>
  <c r="K100" i="107"/>
  <c r="J100" i="107"/>
  <c r="J101" i="107" s="1"/>
  <c r="J102" i="107" s="1"/>
  <c r="G100" i="107"/>
  <c r="G101" i="107" s="1"/>
  <c r="G102" i="107" s="1"/>
  <c r="I77" i="107"/>
  <c r="K77" i="107"/>
  <c r="Q9" i="94"/>
  <c r="Q13" i="94"/>
  <c r="H94" i="93"/>
  <c r="H94" i="107"/>
  <c r="H95" i="107" s="1"/>
  <c r="H96" i="107" s="1"/>
  <c r="H97" i="107" s="1"/>
  <c r="Q14" i="94"/>
  <c r="I94" i="96"/>
  <c r="I94" i="107"/>
  <c r="I95" i="107" s="1"/>
  <c r="I96" i="107" s="1"/>
  <c r="I97" i="107" s="1"/>
  <c r="J99" i="93"/>
  <c r="J100" i="93" s="1"/>
  <c r="J101" i="93" s="1"/>
  <c r="J99" i="107"/>
  <c r="H69" i="96"/>
  <c r="H69" i="107"/>
  <c r="K100" i="96"/>
  <c r="E101" i="96"/>
  <c r="K102" i="96" s="1"/>
  <c r="Q22" i="94"/>
  <c r="S112" i="78"/>
  <c r="J77" i="107"/>
  <c r="G107" i="107"/>
  <c r="M107" i="107" s="1"/>
  <c r="Q5" i="94"/>
  <c r="F99" i="93"/>
  <c r="F100" i="93" s="1"/>
  <c r="F99" i="107"/>
  <c r="F100" i="107" s="1"/>
  <c r="F101" i="107" s="1"/>
  <c r="F102" i="107" s="1"/>
  <c r="H59" i="96"/>
  <c r="H59" i="107"/>
  <c r="H60" i="107" s="1"/>
  <c r="H61" i="107" s="1"/>
  <c r="H62" i="107" s="1"/>
  <c r="M62" i="107" s="1"/>
  <c r="G89" i="93"/>
  <c r="G89" i="107"/>
  <c r="G90" i="107" s="1"/>
  <c r="G91" i="107" s="1"/>
  <c r="G92" i="107" s="1"/>
  <c r="Q11" i="94"/>
  <c r="E86" i="93"/>
  <c r="K87" i="93" s="1"/>
  <c r="H15" i="92" s="1"/>
  <c r="K85" i="93"/>
  <c r="E86" i="96"/>
  <c r="K87" i="96" s="1"/>
  <c r="K85" i="96"/>
  <c r="K85" i="107"/>
  <c r="I85" i="107"/>
  <c r="I86" i="107" s="1"/>
  <c r="F85" i="107"/>
  <c r="F86" i="107" s="1"/>
  <c r="F87" i="107" s="1"/>
  <c r="E86" i="107"/>
  <c r="J85" i="107"/>
  <c r="J86" i="107" s="1"/>
  <c r="J87" i="107" s="1"/>
  <c r="H85" i="107"/>
  <c r="H86" i="107" s="1"/>
  <c r="G85" i="107"/>
  <c r="G86" i="107" s="1"/>
  <c r="Q7" i="94"/>
  <c r="I79" i="96"/>
  <c r="I79" i="107"/>
  <c r="I80" i="107" s="1"/>
  <c r="I81" i="107" s="1"/>
  <c r="I82" i="107" s="1"/>
  <c r="S114" i="78"/>
  <c r="I107" i="107"/>
  <c r="K107" i="107"/>
  <c r="G82" i="107"/>
  <c r="M82" i="107" s="1"/>
  <c r="I62" i="107"/>
  <c r="K62" i="107"/>
  <c r="Z10" i="91"/>
  <c r="AI10" i="91"/>
  <c r="W10" i="91"/>
  <c r="G97" i="107"/>
  <c r="M97" i="107" s="1"/>
  <c r="I89" i="93"/>
  <c r="I89" i="107"/>
  <c r="I90" i="107" s="1"/>
  <c r="F91" i="107" s="1"/>
  <c r="F92" i="107" s="1"/>
  <c r="G67" i="107"/>
  <c r="M67" i="107" s="1"/>
  <c r="E71" i="107"/>
  <c r="H70" i="107"/>
  <c r="H71" i="107" s="1"/>
  <c r="F70" i="107"/>
  <c r="F71" i="107" s="1"/>
  <c r="F72" i="107" s="1"/>
  <c r="J70" i="107"/>
  <c r="J71" i="107" s="1"/>
  <c r="G70" i="107"/>
  <c r="G71" i="107" s="1"/>
  <c r="K70" i="107"/>
  <c r="K25" i="112"/>
  <c r="S18" i="104"/>
  <c r="S11" i="104"/>
  <c r="AA14" i="112"/>
  <c r="AC14" i="112" s="1"/>
  <c r="F19" i="118"/>
  <c r="G19" i="118"/>
  <c r="K19" i="118"/>
  <c r="I19" i="118"/>
  <c r="J19" i="118"/>
  <c r="H19" i="118"/>
  <c r="L19" i="118"/>
  <c r="J26" i="118"/>
  <c r="L26" i="118"/>
  <c r="K26" i="118"/>
  <c r="F26" i="118"/>
  <c r="G26" i="118"/>
  <c r="I26" i="118"/>
  <c r="H26" i="118"/>
  <c r="H33" i="118"/>
  <c r="I33" i="118"/>
  <c r="J33" i="118"/>
  <c r="K33" i="118"/>
  <c r="L33" i="118"/>
  <c r="F33" i="118"/>
  <c r="G33" i="118"/>
  <c r="S14" i="104"/>
  <c r="S15" i="104"/>
  <c r="S7" i="104"/>
  <c r="E11" i="118"/>
  <c r="AP113" i="113"/>
  <c r="AR113" i="113" s="1"/>
  <c r="L53" i="118"/>
  <c r="F53" i="118"/>
  <c r="G53" i="118"/>
  <c r="J53" i="118"/>
  <c r="H53" i="118"/>
  <c r="I53" i="118"/>
  <c r="K53" i="118"/>
  <c r="L60" i="118"/>
  <c r="G60" i="118"/>
  <c r="H60" i="118"/>
  <c r="I60" i="118"/>
  <c r="J60" i="118"/>
  <c r="K60" i="118"/>
  <c r="F60" i="118"/>
  <c r="Q7" i="104"/>
  <c r="V7" i="112"/>
  <c r="O19" i="104"/>
  <c r="E88" i="118"/>
  <c r="H88" i="118" s="1"/>
  <c r="AP124" i="113"/>
  <c r="AR124" i="113" s="1"/>
  <c r="Q9" i="104"/>
  <c r="V9" i="112"/>
  <c r="Q23" i="104"/>
  <c r="V23" i="112"/>
  <c r="L32" i="118"/>
  <c r="G32" i="118"/>
  <c r="H32" i="118"/>
  <c r="I32" i="118"/>
  <c r="F32" i="118"/>
  <c r="J32" i="118"/>
  <c r="K32" i="118"/>
  <c r="Q6" i="104"/>
  <c r="V6" i="112"/>
  <c r="K116" i="118"/>
  <c r="J116" i="118"/>
  <c r="L116" i="118"/>
  <c r="F116" i="118"/>
  <c r="I116" i="118"/>
  <c r="G116" i="118"/>
  <c r="H116" i="118"/>
  <c r="H18" i="118"/>
  <c r="K18" i="118"/>
  <c r="L18" i="118"/>
  <c r="F18" i="118"/>
  <c r="G18" i="118"/>
  <c r="I18" i="118"/>
  <c r="J18" i="118"/>
  <c r="Q15" i="104"/>
  <c r="V15" i="112"/>
  <c r="Z39" i="104"/>
  <c r="AB39" i="104" s="1"/>
  <c r="AD39" i="104" s="1"/>
  <c r="AE39" i="104" s="1"/>
  <c r="O22" i="104"/>
  <c r="E46" i="118"/>
  <c r="AX129" i="108"/>
  <c r="Q8" i="104"/>
  <c r="Q14" i="104"/>
  <c r="V14" i="112"/>
  <c r="K102" i="118"/>
  <c r="L102" i="118"/>
  <c r="H102" i="118"/>
  <c r="F102" i="118"/>
  <c r="G102" i="118"/>
  <c r="I102" i="118"/>
  <c r="J102" i="118"/>
  <c r="E39" i="118"/>
  <c r="AP117" i="113"/>
  <c r="AR117" i="113" s="1"/>
  <c r="L95" i="118"/>
  <c r="F95" i="118"/>
  <c r="I95" i="118"/>
  <c r="J95" i="118"/>
  <c r="K95" i="118"/>
  <c r="G95" i="118"/>
  <c r="H95" i="118"/>
  <c r="K81" i="118"/>
  <c r="F81" i="118"/>
  <c r="L81" i="118"/>
  <c r="G81" i="118"/>
  <c r="I81" i="118"/>
  <c r="H81" i="118"/>
  <c r="J81" i="118"/>
  <c r="Q12" i="104"/>
  <c r="V12" i="112"/>
  <c r="L5" i="117"/>
  <c r="N5" i="117"/>
  <c r="M5" i="117"/>
  <c r="J5" i="117"/>
  <c r="O5" i="117"/>
  <c r="K5" i="117"/>
  <c r="P5" i="117"/>
  <c r="H123" i="118"/>
  <c r="I123" i="118"/>
  <c r="J123" i="118"/>
  <c r="K123" i="118"/>
  <c r="L123" i="118"/>
  <c r="G123" i="118"/>
  <c r="F123" i="118"/>
  <c r="Q20" i="104"/>
  <c r="V20" i="112"/>
  <c r="Q18" i="104"/>
  <c r="V18" i="112"/>
  <c r="I67" i="118"/>
  <c r="H67" i="118"/>
  <c r="L67" i="118"/>
  <c r="J67" i="118"/>
  <c r="K67" i="118"/>
  <c r="F67" i="118"/>
  <c r="G67" i="118"/>
  <c r="G74" i="118"/>
  <c r="H74" i="118"/>
  <c r="F74" i="118"/>
  <c r="I74" i="118"/>
  <c r="J74" i="118"/>
  <c r="K74" i="118"/>
  <c r="L74" i="118"/>
  <c r="S9" i="104"/>
  <c r="O13" i="104"/>
  <c r="E109" i="118"/>
  <c r="E139" i="125" s="1"/>
  <c r="AP127" i="113"/>
  <c r="AR127" i="113" s="1"/>
  <c r="Q10" i="104"/>
  <c r="V10" i="112"/>
  <c r="G25" i="118"/>
  <c r="F25" i="118"/>
  <c r="J25" i="118"/>
  <c r="I25" i="118"/>
  <c r="H25" i="118"/>
  <c r="L25" i="118"/>
  <c r="K25" i="118"/>
  <c r="Q11" i="104"/>
  <c r="V11" i="112"/>
  <c r="AX122" i="108"/>
  <c r="AX117" i="108"/>
  <c r="O5" i="104"/>
  <c r="V5" i="112" s="1"/>
  <c r="AA4" i="112"/>
  <c r="AC4" i="112" s="1"/>
  <c r="L25" i="112"/>
  <c r="AL117" i="108"/>
  <c r="AL124" i="108"/>
  <c r="T131" i="108"/>
  <c r="AL118" i="108"/>
  <c r="O17" i="104"/>
  <c r="Z23" i="104"/>
  <c r="AB23" i="104" s="1"/>
  <c r="R23" i="104"/>
  <c r="S23" i="104" s="1"/>
  <c r="R4" i="94"/>
  <c r="AX112" i="108"/>
  <c r="R18" i="94"/>
  <c r="AX123" i="108"/>
  <c r="R20" i="94"/>
  <c r="AX125" i="108"/>
  <c r="O25" i="94"/>
  <c r="Z20" i="104"/>
  <c r="AB20" i="104" s="1"/>
  <c r="R20" i="104"/>
  <c r="S20" i="104" s="1"/>
  <c r="Z6" i="104"/>
  <c r="AB6" i="104" s="1"/>
  <c r="R6" i="104"/>
  <c r="S6" i="104" s="1"/>
  <c r="Z10" i="104"/>
  <c r="AB10" i="104" s="1"/>
  <c r="R10" i="104"/>
  <c r="S10" i="104" s="1"/>
  <c r="R19" i="94"/>
  <c r="AX124" i="108"/>
  <c r="AJ13" i="104"/>
  <c r="X13" i="104"/>
  <c r="AA13" i="104"/>
  <c r="AJ22" i="104"/>
  <c r="AA22" i="104"/>
  <c r="X22" i="104"/>
  <c r="AJ5" i="104"/>
  <c r="X5" i="104"/>
  <c r="AA5" i="104"/>
  <c r="M25" i="104"/>
  <c r="AL127" i="108"/>
  <c r="AJ17" i="104"/>
  <c r="AA17" i="104"/>
  <c r="X17" i="104"/>
  <c r="X19" i="104"/>
  <c r="AA19" i="104"/>
  <c r="AJ19" i="104"/>
  <c r="K17" i="104"/>
  <c r="L17" i="104" s="1"/>
  <c r="R17" i="104" s="1"/>
  <c r="K8" i="104"/>
  <c r="L8" i="104" s="1"/>
  <c r="W39" i="104"/>
  <c r="Y39" i="104" s="1"/>
  <c r="AF39" i="104" s="1"/>
  <c r="AG39" i="104" s="1"/>
  <c r="AI39" i="104" s="1"/>
  <c r="Z18" i="104"/>
  <c r="AB18" i="104" s="1"/>
  <c r="K19" i="104"/>
  <c r="L19" i="104" s="1"/>
  <c r="R19" i="104" s="1"/>
  <c r="Z9" i="104"/>
  <c r="AB9" i="104" s="1"/>
  <c r="Z14" i="104"/>
  <c r="AB14" i="104" s="1"/>
  <c r="K4" i="104"/>
  <c r="K12" i="104"/>
  <c r="L12" i="104" s="1"/>
  <c r="Z11" i="104"/>
  <c r="AB11" i="104" s="1"/>
  <c r="Z7" i="104"/>
  <c r="AB7" i="104" s="1"/>
  <c r="Z15" i="104"/>
  <c r="AB15" i="104" s="1"/>
  <c r="H25" i="104"/>
  <c r="S113" i="78"/>
  <c r="AC117" i="73"/>
  <c r="R30" i="41"/>
  <c r="T30" i="41" s="1"/>
  <c r="S122" i="85"/>
  <c r="P119" i="95"/>
  <c r="M21" i="85"/>
  <c r="G123" i="85" s="1"/>
  <c r="Y129" i="92"/>
  <c r="U47" i="93"/>
  <c r="W47" i="93" s="1"/>
  <c r="J42" i="85"/>
  <c r="U37" i="96"/>
  <c r="S118" i="95"/>
  <c r="M52" i="85"/>
  <c r="H110" i="85" s="1"/>
  <c r="L59" i="85"/>
  <c r="E117" i="85" s="1"/>
  <c r="L82" i="95"/>
  <c r="K122" i="95" s="1"/>
  <c r="Z11" i="94"/>
  <c r="L124" i="92"/>
  <c r="U117" i="73"/>
  <c r="W117" i="73" s="1"/>
  <c r="AC11" i="94"/>
  <c r="L13" i="85"/>
  <c r="D115" i="85" s="1"/>
  <c r="L88" i="95"/>
  <c r="K128" i="95" s="1"/>
  <c r="S124" i="85"/>
  <c r="J30" i="66"/>
  <c r="G109" i="66" s="1"/>
  <c r="I109" i="66" s="1"/>
  <c r="P16" i="95"/>
  <c r="N122" i="95" s="1"/>
  <c r="P122" i="95" s="1"/>
  <c r="P129" i="95"/>
  <c r="T129" i="95" s="1"/>
  <c r="J15" i="94" s="1"/>
  <c r="AL111" i="73"/>
  <c r="AC111" i="73"/>
  <c r="AL11" i="94"/>
  <c r="O60" i="95"/>
  <c r="H122" i="95" s="1"/>
  <c r="AL119" i="73"/>
  <c r="T111" i="78"/>
  <c r="J7" i="74" s="1"/>
  <c r="S125" i="85"/>
  <c r="J37" i="78"/>
  <c r="J117" i="78" s="1"/>
  <c r="M15" i="78"/>
  <c r="G117" i="78" s="1"/>
  <c r="I117" i="78" s="1"/>
  <c r="S122" i="95"/>
  <c r="P113" i="85"/>
  <c r="L64" i="78"/>
  <c r="E122" i="78" s="1"/>
  <c r="J75" i="96"/>
  <c r="J76" i="96" s="1"/>
  <c r="H74" i="93"/>
  <c r="H75" i="93" s="1"/>
  <c r="H76" i="93" s="1"/>
  <c r="AC122" i="73"/>
  <c r="AL121" i="73"/>
  <c r="P126" i="95"/>
  <c r="N60" i="95"/>
  <c r="E122" i="95" s="1"/>
  <c r="U35" i="96"/>
  <c r="W35" i="96" s="1"/>
  <c r="T117" i="92"/>
  <c r="J9" i="91" s="1"/>
  <c r="I70" i="96"/>
  <c r="F71" i="96" s="1"/>
  <c r="G70" i="96"/>
  <c r="G71" i="96" s="1"/>
  <c r="L34" i="95"/>
  <c r="N34" i="95" s="1"/>
  <c r="O8" i="95"/>
  <c r="G114" i="95" s="1"/>
  <c r="U34" i="93"/>
  <c r="W34" i="93" s="1"/>
  <c r="P18" i="17"/>
  <c r="U44" i="93"/>
  <c r="W44" i="93" s="1"/>
  <c r="I69" i="93"/>
  <c r="I70" i="93" s="1"/>
  <c r="F71" i="93" s="1"/>
  <c r="F72" i="93" s="1"/>
  <c r="D8" i="92" s="1"/>
  <c r="J86" i="85"/>
  <c r="K122" i="85" s="1"/>
  <c r="J78" i="85"/>
  <c r="L78" i="85" s="1"/>
  <c r="J81" i="78"/>
  <c r="L81" i="78" s="1"/>
  <c r="W40" i="93"/>
  <c r="N59" i="95"/>
  <c r="E121" i="95" s="1"/>
  <c r="W37" i="96"/>
  <c r="J99" i="96"/>
  <c r="J100" i="96" s="1"/>
  <c r="J101" i="96" s="1"/>
  <c r="J102" i="96" s="1"/>
  <c r="L78" i="95"/>
  <c r="K118" i="95" s="1"/>
  <c r="S126" i="95"/>
  <c r="T126" i="95" s="1"/>
  <c r="J12" i="94" s="1"/>
  <c r="N52" i="95"/>
  <c r="E114" i="95" s="1"/>
  <c r="L74" i="95"/>
  <c r="K114" i="95" s="1"/>
  <c r="L8" i="78"/>
  <c r="U125" i="73"/>
  <c r="W125" i="73" s="1"/>
  <c r="U31" i="96"/>
  <c r="W31" i="96" s="1"/>
  <c r="M59" i="85"/>
  <c r="H117" i="85" s="1"/>
  <c r="P113" i="78"/>
  <c r="T113" i="78" s="1"/>
  <c r="J17" i="74" s="1"/>
  <c r="U42" i="96"/>
  <c r="W42" i="96" s="1"/>
  <c r="O59" i="85"/>
  <c r="U39" i="96"/>
  <c r="W39" i="96" s="1"/>
  <c r="H69" i="93"/>
  <c r="H70" i="93" s="1"/>
  <c r="H71" i="93" s="1"/>
  <c r="H72" i="93" s="1"/>
  <c r="F8" i="92" s="1"/>
  <c r="T117" i="78"/>
  <c r="J10" i="74" s="1"/>
  <c r="L66" i="85"/>
  <c r="E124" i="85" s="1"/>
  <c r="M18" i="79"/>
  <c r="N18" i="79" s="1"/>
  <c r="Q18" i="79" s="1"/>
  <c r="S18" i="79" s="1"/>
  <c r="P118" i="95"/>
  <c r="J88" i="85"/>
  <c r="K124" i="85" s="1"/>
  <c r="L53" i="66"/>
  <c r="E110" i="66" s="1"/>
  <c r="F110" i="66" s="1"/>
  <c r="E71" i="96"/>
  <c r="K72" i="96" s="1"/>
  <c r="J81" i="66"/>
  <c r="H116" i="66" s="1"/>
  <c r="I116" i="66" s="1"/>
  <c r="I94" i="93"/>
  <c r="O56" i="95"/>
  <c r="H118" i="95" s="1"/>
  <c r="L15" i="78"/>
  <c r="D117" i="78" s="1"/>
  <c r="F117" i="78" s="1"/>
  <c r="X15" i="17"/>
  <c r="P19" i="17"/>
  <c r="J37" i="85"/>
  <c r="L37" i="85" s="1"/>
  <c r="M23" i="79"/>
  <c r="N23" i="79" s="1"/>
  <c r="Q23" i="79" s="1"/>
  <c r="S23" i="79" s="1"/>
  <c r="U36" i="96"/>
  <c r="W36" i="96" s="1"/>
  <c r="M125" i="73"/>
  <c r="I15" i="79" s="1"/>
  <c r="M15" i="79" s="1"/>
  <c r="N15" i="79" s="1"/>
  <c r="Q15" i="79" s="1"/>
  <c r="S15" i="79" s="1"/>
  <c r="K70" i="96"/>
  <c r="J42" i="66"/>
  <c r="G121" i="66" s="1"/>
  <c r="L20" i="78"/>
  <c r="D122" i="78" s="1"/>
  <c r="W31" i="93"/>
  <c r="M5" i="79"/>
  <c r="N5" i="79" s="1"/>
  <c r="Q5" i="79" s="1"/>
  <c r="S5" i="79" s="1"/>
  <c r="J75" i="85"/>
  <c r="K111" i="85" s="1"/>
  <c r="R39" i="41"/>
  <c r="T39" i="41" s="1"/>
  <c r="J77" i="85"/>
  <c r="K113" i="85" s="1"/>
  <c r="U38" i="96"/>
  <c r="J34" i="85"/>
  <c r="J114" i="85" s="1"/>
  <c r="N16" i="95"/>
  <c r="D122" i="95" s="1"/>
  <c r="L52" i="85"/>
  <c r="E110" i="85" s="1"/>
  <c r="F110" i="85" s="1"/>
  <c r="O7" i="95"/>
  <c r="G113" i="95" s="1"/>
  <c r="K121" i="66"/>
  <c r="L52" i="66"/>
  <c r="E109" i="66" s="1"/>
  <c r="O56" i="78"/>
  <c r="L118" i="92"/>
  <c r="AL108" i="73"/>
  <c r="N66" i="95"/>
  <c r="E128" i="95" s="1"/>
  <c r="H70" i="96"/>
  <c r="H71" i="96" s="1"/>
  <c r="L12" i="66"/>
  <c r="D113" i="66" s="1"/>
  <c r="L20" i="66"/>
  <c r="D121" i="66" s="1"/>
  <c r="F121" i="66" s="1"/>
  <c r="L15" i="85"/>
  <c r="D117" i="85" s="1"/>
  <c r="L59" i="66"/>
  <c r="E116" i="66" s="1"/>
  <c r="M64" i="85"/>
  <c r="H122" i="85" s="1"/>
  <c r="L65" i="78"/>
  <c r="E123" i="78" s="1"/>
  <c r="M65" i="85"/>
  <c r="H123" i="85" s="1"/>
  <c r="K52" i="41"/>
  <c r="O22" i="95"/>
  <c r="G128" i="95" s="1"/>
  <c r="N22" i="85"/>
  <c r="N124" i="85" s="1"/>
  <c r="P124" i="85" s="1"/>
  <c r="M57" i="85"/>
  <c r="H115" i="85" s="1"/>
  <c r="Z6" i="91"/>
  <c r="R42" i="41"/>
  <c r="T42" i="41" s="1"/>
  <c r="O64" i="85"/>
  <c r="O65" i="85"/>
  <c r="O59" i="78"/>
  <c r="R34" i="41"/>
  <c r="T34" i="41" s="1"/>
  <c r="P13" i="92"/>
  <c r="M20" i="78"/>
  <c r="G122" i="78" s="1"/>
  <c r="U40" i="96"/>
  <c r="W40" i="96" s="1"/>
  <c r="N13" i="95"/>
  <c r="D119" i="95" s="1"/>
  <c r="E61" i="93"/>
  <c r="I62" i="93" s="1"/>
  <c r="G6" i="92" s="1"/>
  <c r="J44" i="78"/>
  <c r="L44" i="78" s="1"/>
  <c r="L55" i="66"/>
  <c r="E112" i="66" s="1"/>
  <c r="F60" i="93"/>
  <c r="L50" i="66"/>
  <c r="E107" i="66" s="1"/>
  <c r="P15" i="17"/>
  <c r="L9" i="85"/>
  <c r="D111" i="85" s="1"/>
  <c r="J87" i="66"/>
  <c r="H122" i="66" s="1"/>
  <c r="T115" i="92"/>
  <c r="J17" i="91" s="1"/>
  <c r="M9" i="78"/>
  <c r="G111" i="78" s="1"/>
  <c r="O52" i="85"/>
  <c r="S122" i="78"/>
  <c r="AI6" i="91"/>
  <c r="S124" i="78"/>
  <c r="T124" i="78" s="1"/>
  <c r="J14" i="74" s="1"/>
  <c r="J30" i="78"/>
  <c r="J110" i="78" s="1"/>
  <c r="J30" i="85"/>
  <c r="L30" i="85" s="1"/>
  <c r="S121" i="95"/>
  <c r="T121" i="95" s="1"/>
  <c r="J10" i="94" s="1"/>
  <c r="L12" i="78"/>
  <c r="U37" i="93"/>
  <c r="W37" i="93" s="1"/>
  <c r="U118" i="73"/>
  <c r="W118" i="73" s="1"/>
  <c r="L15" i="66"/>
  <c r="D116" i="66" s="1"/>
  <c r="J75" i="66"/>
  <c r="H110" i="66" s="1"/>
  <c r="L64" i="85"/>
  <c r="E122" i="85" s="1"/>
  <c r="K112" i="66"/>
  <c r="U33" i="93"/>
  <c r="W33" i="93" s="1"/>
  <c r="H84" i="93"/>
  <c r="H85" i="93" s="1"/>
  <c r="H86" i="93" s="1"/>
  <c r="H87" i="93" s="1"/>
  <c r="F15" i="92" s="1"/>
  <c r="H84" i="96"/>
  <c r="H85" i="96" s="1"/>
  <c r="H86" i="96" s="1"/>
  <c r="H87" i="96" s="1"/>
  <c r="M20" i="79"/>
  <c r="N20" i="79" s="1"/>
  <c r="Q20" i="79" s="1"/>
  <c r="S20" i="79" s="1"/>
  <c r="N53" i="95"/>
  <c r="E115" i="95" s="1"/>
  <c r="J75" i="93"/>
  <c r="J76" i="93" s="1"/>
  <c r="J86" i="78"/>
  <c r="L86" i="78" s="1"/>
  <c r="R46" i="41"/>
  <c r="T46" i="41" s="1"/>
  <c r="U30" i="93"/>
  <c r="W30" i="93" s="1"/>
  <c r="T117" i="85"/>
  <c r="J10" i="84" s="1"/>
  <c r="L65" i="66"/>
  <c r="E122" i="66" s="1"/>
  <c r="Y24" i="17"/>
  <c r="AA24" i="17" s="1"/>
  <c r="H59" i="93"/>
  <c r="H60" i="93" s="1"/>
  <c r="H61" i="93" s="1"/>
  <c r="S123" i="78"/>
  <c r="L21" i="85"/>
  <c r="D123" i="85" s="1"/>
  <c r="M6" i="79"/>
  <c r="N6" i="79" s="1"/>
  <c r="O53" i="85"/>
  <c r="P114" i="78"/>
  <c r="T114" i="78" s="1"/>
  <c r="J22" i="74" s="1"/>
  <c r="J74" i="78"/>
  <c r="L74" i="78" s="1"/>
  <c r="L12" i="85"/>
  <c r="D114" i="85" s="1"/>
  <c r="S110" i="78"/>
  <c r="T110" i="78" s="1"/>
  <c r="J6" i="74" s="1"/>
  <c r="J86" i="66"/>
  <c r="H121" i="66" s="1"/>
  <c r="J81" i="85"/>
  <c r="L81" i="85" s="1"/>
  <c r="L53" i="78"/>
  <c r="E111" i="78" s="1"/>
  <c r="D29" i="102"/>
  <c r="K113" i="66"/>
  <c r="K110" i="66"/>
  <c r="Z4" i="91"/>
  <c r="N15" i="95"/>
  <c r="D121" i="95" s="1"/>
  <c r="U123" i="73"/>
  <c r="W123" i="73" s="1"/>
  <c r="M21" i="78"/>
  <c r="G123" i="78" s="1"/>
  <c r="I84" i="96"/>
  <c r="I85" i="96" s="1"/>
  <c r="I86" i="96" s="1"/>
  <c r="I87" i="96" s="1"/>
  <c r="I84" i="93"/>
  <c r="I85" i="93" s="1"/>
  <c r="I86" i="93" s="1"/>
  <c r="I87" i="93" s="1"/>
  <c r="G15" i="92" s="1"/>
  <c r="M20" i="85"/>
  <c r="G122" i="85" s="1"/>
  <c r="O65" i="78"/>
  <c r="R40" i="41"/>
  <c r="T40" i="41" s="1"/>
  <c r="O10" i="95"/>
  <c r="M64" i="78"/>
  <c r="H122" i="78" s="1"/>
  <c r="AL110" i="73"/>
  <c r="M15" i="85"/>
  <c r="G117" i="85" s="1"/>
  <c r="M22" i="78"/>
  <c r="G124" i="78" s="1"/>
  <c r="W4" i="91"/>
  <c r="J78" i="66"/>
  <c r="H113" i="66" s="1"/>
  <c r="M13" i="85"/>
  <c r="G115" i="85" s="1"/>
  <c r="L18" i="85"/>
  <c r="AA127" i="85"/>
  <c r="O62" i="85"/>
  <c r="M55" i="78"/>
  <c r="H113" i="78" s="1"/>
  <c r="J33" i="78"/>
  <c r="L33" i="78" s="1"/>
  <c r="R32" i="41"/>
  <c r="T32" i="41" s="1"/>
  <c r="J31" i="66"/>
  <c r="G110" i="66" s="1"/>
  <c r="L53" i="85"/>
  <c r="E111" i="85" s="1"/>
  <c r="L123" i="92"/>
  <c r="P113" i="95"/>
  <c r="T113" i="95" s="1"/>
  <c r="J5" i="94" s="1"/>
  <c r="U43" i="96"/>
  <c r="W43" i="96" s="1"/>
  <c r="Y25" i="17"/>
  <c r="AA25" i="17" s="1"/>
  <c r="F60" i="96"/>
  <c r="L57" i="85"/>
  <c r="E115" i="85" s="1"/>
  <c r="U41" i="93"/>
  <c r="W41" i="93" s="1"/>
  <c r="J43" i="85"/>
  <c r="J123" i="85" s="1"/>
  <c r="S115" i="78"/>
  <c r="T115" i="78" s="1"/>
  <c r="J9" i="74" s="1"/>
  <c r="M52" i="78"/>
  <c r="H110" i="78" s="1"/>
  <c r="P122" i="78"/>
  <c r="L30" i="95"/>
  <c r="N30" i="95" s="1"/>
  <c r="N58" i="95"/>
  <c r="E120" i="95" s="1"/>
  <c r="L37" i="95"/>
  <c r="N37" i="95" s="1"/>
  <c r="J40" i="66"/>
  <c r="G119" i="66" s="1"/>
  <c r="J35" i="66"/>
  <c r="G114" i="66" s="1"/>
  <c r="S108" i="78"/>
  <c r="L11" i="78"/>
  <c r="D113" i="78" s="1"/>
  <c r="M10" i="79"/>
  <c r="N10" i="79" s="1"/>
  <c r="Q10" i="79" s="1"/>
  <c r="S10" i="79" s="1"/>
  <c r="J31" i="85"/>
  <c r="J111" i="85" s="1"/>
  <c r="M53" i="78"/>
  <c r="H111" i="78" s="1"/>
  <c r="L20" i="85"/>
  <c r="U111" i="73"/>
  <c r="W111" i="73" s="1"/>
  <c r="N20" i="85"/>
  <c r="N122" i="85" s="1"/>
  <c r="P122" i="85" s="1"/>
  <c r="AC114" i="73"/>
  <c r="F99" i="96"/>
  <c r="F100" i="96" s="1"/>
  <c r="P13" i="17"/>
  <c r="O64" i="78"/>
  <c r="N7" i="95"/>
  <c r="D113" i="95" s="1"/>
  <c r="AL109" i="73"/>
  <c r="N57" i="95"/>
  <c r="E119" i="95" s="1"/>
  <c r="L73" i="95"/>
  <c r="N73" i="95" s="1"/>
  <c r="J77" i="78"/>
  <c r="L77" i="78" s="1"/>
  <c r="J88" i="66"/>
  <c r="H123" i="66" s="1"/>
  <c r="L65" i="85"/>
  <c r="E123" i="85" s="1"/>
  <c r="M8" i="78"/>
  <c r="G110" i="78" s="1"/>
  <c r="J78" i="78"/>
  <c r="K114" i="78" s="1"/>
  <c r="J34" i="78"/>
  <c r="L34" i="78" s="1"/>
  <c r="M56" i="78"/>
  <c r="H114" i="78" s="1"/>
  <c r="J79" i="66"/>
  <c r="H114" i="66" s="1"/>
  <c r="L8" i="66"/>
  <c r="D109" i="66" s="1"/>
  <c r="L8" i="85"/>
  <c r="D110" i="85" s="1"/>
  <c r="J34" i="66"/>
  <c r="G113" i="66" s="1"/>
  <c r="O56" i="85"/>
  <c r="F84" i="93"/>
  <c r="F85" i="93" s="1"/>
  <c r="F86" i="93" s="1"/>
  <c r="F87" i="93" s="1"/>
  <c r="D15" i="92" s="1"/>
  <c r="F84" i="96"/>
  <c r="F85" i="96" s="1"/>
  <c r="F86" i="96" s="1"/>
  <c r="F87" i="96" s="1"/>
  <c r="T114" i="85"/>
  <c r="J22" i="84" s="1"/>
  <c r="L11" i="85"/>
  <c r="D113" i="85" s="1"/>
  <c r="P52" i="96"/>
  <c r="O52" i="78"/>
  <c r="L56" i="85"/>
  <c r="E114" i="85" s="1"/>
  <c r="U34" i="96"/>
  <c r="W34" i="96" s="1"/>
  <c r="P120" i="95"/>
  <c r="AO31" i="84"/>
  <c r="AP31" i="84" s="1"/>
  <c r="AQ31" i="84" s="1"/>
  <c r="R37" i="41"/>
  <c r="T37" i="41" s="1"/>
  <c r="M52" i="41"/>
  <c r="J39" i="66"/>
  <c r="G118" i="66" s="1"/>
  <c r="L67" i="66"/>
  <c r="E124" i="66" s="1"/>
  <c r="V9" i="17"/>
  <c r="U116" i="73"/>
  <c r="W116" i="73" s="1"/>
  <c r="H60" i="96"/>
  <c r="H61" i="96" s="1"/>
  <c r="H62" i="96" s="1"/>
  <c r="M12" i="79"/>
  <c r="N12" i="79" s="1"/>
  <c r="Q12" i="79" s="1"/>
  <c r="S12" i="79" s="1"/>
  <c r="J89" i="96"/>
  <c r="J90" i="96" s="1"/>
  <c r="J91" i="96" s="1"/>
  <c r="AL116" i="73"/>
  <c r="L52" i="96"/>
  <c r="N9" i="95"/>
  <c r="D115" i="95" s="1"/>
  <c r="L52" i="78"/>
  <c r="E110" i="78" s="1"/>
  <c r="T111" i="85"/>
  <c r="J7" i="84" s="1"/>
  <c r="M9" i="85"/>
  <c r="G111" i="85" s="1"/>
  <c r="M56" i="85"/>
  <c r="H114" i="85" s="1"/>
  <c r="W9" i="17"/>
  <c r="O50" i="95"/>
  <c r="H112" i="95" s="1"/>
  <c r="N9" i="17"/>
  <c r="P9" i="17" s="1"/>
  <c r="U46" i="93"/>
  <c r="W46" i="93" s="1"/>
  <c r="O59" i="95"/>
  <c r="H121" i="95" s="1"/>
  <c r="W38" i="96"/>
  <c r="AC120" i="73"/>
  <c r="S120" i="95"/>
  <c r="AC118" i="73"/>
  <c r="L81" i="95"/>
  <c r="K121" i="95" s="1"/>
  <c r="I74" i="93"/>
  <c r="I75" i="93" s="1"/>
  <c r="H102" i="93"/>
  <c r="F22" i="92" s="1"/>
  <c r="N8" i="95"/>
  <c r="L55" i="85"/>
  <c r="E113" i="85" s="1"/>
  <c r="J35" i="78"/>
  <c r="J115" i="78" s="1"/>
  <c r="K114" i="66"/>
  <c r="L6" i="66"/>
  <c r="D107" i="66" s="1"/>
  <c r="J72" i="78"/>
  <c r="L72" i="78" s="1"/>
  <c r="L38" i="95"/>
  <c r="N38" i="95" s="1"/>
  <c r="N22" i="95"/>
  <c r="D128" i="95" s="1"/>
  <c r="J74" i="85"/>
  <c r="J87" i="85"/>
  <c r="L87" i="85" s="1"/>
  <c r="O16" i="95"/>
  <c r="M65" i="78"/>
  <c r="H123" i="78" s="1"/>
  <c r="L9" i="78"/>
  <c r="J69" i="96"/>
  <c r="J70" i="96" s="1"/>
  <c r="J71" i="96" s="1"/>
  <c r="N8" i="85"/>
  <c r="N110" i="85" s="1"/>
  <c r="P110" i="85" s="1"/>
  <c r="T110" i="85" s="1"/>
  <c r="J6" i="84" s="1"/>
  <c r="J69" i="93"/>
  <c r="J70" i="93" s="1"/>
  <c r="J71" i="93" s="1"/>
  <c r="J72" i="93" s="1"/>
  <c r="R47" i="41"/>
  <c r="T47" i="41" s="1"/>
  <c r="K60" i="96"/>
  <c r="R33" i="41"/>
  <c r="T33" i="41" s="1"/>
  <c r="M12" i="78"/>
  <c r="G114" i="78" s="1"/>
  <c r="P120" i="78"/>
  <c r="O66" i="95"/>
  <c r="H128" i="95" s="1"/>
  <c r="L56" i="78"/>
  <c r="E114" i="78" s="1"/>
  <c r="R44" i="41"/>
  <c r="T44" i="41" s="1"/>
  <c r="X19" i="17"/>
  <c r="M17" i="79"/>
  <c r="N17" i="79" s="1"/>
  <c r="Q17" i="79" s="1"/>
  <c r="S17" i="79" s="1"/>
  <c r="H129" i="92"/>
  <c r="N10" i="95"/>
  <c r="D116" i="95" s="1"/>
  <c r="L32" i="95"/>
  <c r="N32" i="95" s="1"/>
  <c r="P127" i="95"/>
  <c r="O57" i="95"/>
  <c r="H119" i="95" s="1"/>
  <c r="T36" i="41"/>
  <c r="G74" i="93"/>
  <c r="G75" i="93" s="1"/>
  <c r="G76" i="93" s="1"/>
  <c r="M8" i="85"/>
  <c r="G110" i="85" s="1"/>
  <c r="P119" i="85"/>
  <c r="M12" i="85"/>
  <c r="G114" i="85" s="1"/>
  <c r="I114" i="85" s="1"/>
  <c r="W32" i="93"/>
  <c r="M50" i="85"/>
  <c r="H108" i="85" s="1"/>
  <c r="J42" i="78"/>
  <c r="J44" i="85"/>
  <c r="L44" i="85" s="1"/>
  <c r="G99" i="96"/>
  <c r="G100" i="96" s="1"/>
  <c r="G101" i="96" s="1"/>
  <c r="G102" i="96" s="1"/>
  <c r="G99" i="93"/>
  <c r="G100" i="93" s="1"/>
  <c r="G101" i="93" s="1"/>
  <c r="G102" i="93" s="1"/>
  <c r="E22" i="92" s="1"/>
  <c r="L56" i="66"/>
  <c r="E113" i="66" s="1"/>
  <c r="U114" i="73"/>
  <c r="W114" i="73" s="1"/>
  <c r="T114" i="73"/>
  <c r="J22" i="79" s="1"/>
  <c r="M22" i="79" s="1"/>
  <c r="N22" i="79" s="1"/>
  <c r="Q22" i="79" s="1"/>
  <c r="S22" i="79" s="1"/>
  <c r="J72" i="85"/>
  <c r="K108" i="85" s="1"/>
  <c r="K123" i="66"/>
  <c r="I72" i="93"/>
  <c r="G8" i="92" s="1"/>
  <c r="K72" i="93"/>
  <c r="H8" i="92" s="1"/>
  <c r="AA126" i="92"/>
  <c r="AA129" i="92" s="1"/>
  <c r="L17" i="66"/>
  <c r="D118" i="66" s="1"/>
  <c r="L17" i="78"/>
  <c r="D119" i="78" s="1"/>
  <c r="M17" i="85"/>
  <c r="G119" i="85" s="1"/>
  <c r="X18" i="17"/>
  <c r="U33" i="96"/>
  <c r="W33" i="96" s="1"/>
  <c r="L79" i="95"/>
  <c r="K119" i="95" s="1"/>
  <c r="U42" i="93"/>
  <c r="W42" i="93" s="1"/>
  <c r="L31" i="95"/>
  <c r="J115" i="95" s="1"/>
  <c r="M53" i="85"/>
  <c r="H111" i="85" s="1"/>
  <c r="L22" i="85"/>
  <c r="D124" i="85" s="1"/>
  <c r="G74" i="96"/>
  <c r="G75" i="96" s="1"/>
  <c r="G76" i="96" s="1"/>
  <c r="U45" i="93"/>
  <c r="W45" i="93" s="1"/>
  <c r="J41" i="85"/>
  <c r="J121" i="85" s="1"/>
  <c r="L111" i="92"/>
  <c r="S129" i="92"/>
  <c r="U43" i="93"/>
  <c r="W43" i="93" s="1"/>
  <c r="U30" i="96"/>
  <c r="W30" i="96" s="1"/>
  <c r="M18" i="85"/>
  <c r="G120" i="85" s="1"/>
  <c r="J44" i="66"/>
  <c r="G123" i="66" s="1"/>
  <c r="I123" i="66" s="1"/>
  <c r="J79" i="85"/>
  <c r="L79" i="85" s="1"/>
  <c r="J75" i="78"/>
  <c r="K111" i="78" s="1"/>
  <c r="N56" i="95"/>
  <c r="L21" i="66"/>
  <c r="D122" i="66" s="1"/>
  <c r="R35" i="41"/>
  <c r="T35" i="41" s="1"/>
  <c r="L62" i="85"/>
  <c r="E120" i="85" s="1"/>
  <c r="O66" i="78"/>
  <c r="M66" i="85"/>
  <c r="H124" i="85" s="1"/>
  <c r="L55" i="78"/>
  <c r="E113" i="78" s="1"/>
  <c r="L57" i="78"/>
  <c r="E115" i="78" s="1"/>
  <c r="J79" i="78"/>
  <c r="K115" i="78" s="1"/>
  <c r="S123" i="85"/>
  <c r="AL123" i="73"/>
  <c r="J40" i="78"/>
  <c r="J120" i="78" s="1"/>
  <c r="J84" i="78"/>
  <c r="L84" i="78" s="1"/>
  <c r="S120" i="85"/>
  <c r="L66" i="66"/>
  <c r="E123" i="66" s="1"/>
  <c r="J28" i="85"/>
  <c r="S115" i="95"/>
  <c r="T115" i="95" s="1"/>
  <c r="J7" i="94" s="1"/>
  <c r="H75" i="96"/>
  <c r="H76" i="96" s="1"/>
  <c r="M55" i="85"/>
  <c r="H113" i="85" s="1"/>
  <c r="L63" i="66"/>
  <c r="E120" i="66" s="1"/>
  <c r="J38" i="85"/>
  <c r="L38" i="85" s="1"/>
  <c r="L120" i="92"/>
  <c r="T119" i="95"/>
  <c r="J9" i="94" s="1"/>
  <c r="N54" i="95"/>
  <c r="E116" i="95" s="1"/>
  <c r="L124" i="95"/>
  <c r="J52" i="96"/>
  <c r="M22" i="85"/>
  <c r="G124" i="85" s="1"/>
  <c r="R38" i="41"/>
  <c r="T38" i="41" s="1"/>
  <c r="O52" i="95"/>
  <c r="H114" i="95" s="1"/>
  <c r="L29" i="95"/>
  <c r="N29" i="95" s="1"/>
  <c r="O53" i="78"/>
  <c r="AA131" i="95"/>
  <c r="G72" i="93"/>
  <c r="E8" i="92" s="1"/>
  <c r="J88" i="78"/>
  <c r="K124" i="78" s="1"/>
  <c r="J77" i="66"/>
  <c r="H112" i="66" s="1"/>
  <c r="L11" i="66"/>
  <c r="D112" i="66" s="1"/>
  <c r="J33" i="66"/>
  <c r="G112" i="66" s="1"/>
  <c r="O50" i="85"/>
  <c r="J87" i="78"/>
  <c r="L87" i="78" s="1"/>
  <c r="L22" i="66"/>
  <c r="D123" i="66" s="1"/>
  <c r="J31" i="78"/>
  <c r="L31" i="78" s="1"/>
  <c r="L113" i="92"/>
  <c r="S115" i="85"/>
  <c r="T115" i="85" s="1"/>
  <c r="J9" i="84" s="1"/>
  <c r="L88" i="85"/>
  <c r="J80" i="66"/>
  <c r="H115" i="66" s="1"/>
  <c r="K119" i="66"/>
  <c r="J84" i="66"/>
  <c r="H119" i="66" s="1"/>
  <c r="P112" i="78"/>
  <c r="T112" i="78" s="1"/>
  <c r="J8" i="74" s="1"/>
  <c r="U47" i="96"/>
  <c r="W47" i="96" s="1"/>
  <c r="I79" i="93"/>
  <c r="I80" i="93" s="1"/>
  <c r="I81" i="93" s="1"/>
  <c r="M66" i="78"/>
  <c r="H124" i="78" s="1"/>
  <c r="O20" i="17"/>
  <c r="V20" i="17"/>
  <c r="W20" i="17"/>
  <c r="N12" i="95"/>
  <c r="D118" i="95" s="1"/>
  <c r="J33" i="85"/>
  <c r="L57" i="66"/>
  <c r="E114" i="66" s="1"/>
  <c r="N21" i="85"/>
  <c r="N123" i="85" s="1"/>
  <c r="P123" i="85" s="1"/>
  <c r="J94" i="96"/>
  <c r="J95" i="96" s="1"/>
  <c r="J96" i="96" s="1"/>
  <c r="J94" i="93"/>
  <c r="J95" i="93" s="1"/>
  <c r="J96" i="93" s="1"/>
  <c r="O55" i="78"/>
  <c r="E52" i="41"/>
  <c r="L61" i="66"/>
  <c r="E118" i="66" s="1"/>
  <c r="O61" i="78"/>
  <c r="K122" i="66"/>
  <c r="T113" i="85"/>
  <c r="J17" i="84" s="1"/>
  <c r="J82" i="78"/>
  <c r="L82" i="78" s="1"/>
  <c r="O57" i="85"/>
  <c r="M7" i="79"/>
  <c r="N7" i="79" s="1"/>
  <c r="Q7" i="79" s="1"/>
  <c r="S7" i="79" s="1"/>
  <c r="M11" i="78"/>
  <c r="G113" i="78" s="1"/>
  <c r="U120" i="73"/>
  <c r="W120" i="73" s="1"/>
  <c r="L28" i="95"/>
  <c r="J112" i="95" s="1"/>
  <c r="H52" i="96"/>
  <c r="L75" i="95"/>
  <c r="K115" i="95" s="1"/>
  <c r="P52" i="93"/>
  <c r="O57" i="78"/>
  <c r="P10" i="17"/>
  <c r="L58" i="85"/>
  <c r="E116" i="85" s="1"/>
  <c r="M11" i="85"/>
  <c r="G113" i="85" s="1"/>
  <c r="L122" i="92"/>
  <c r="M62" i="85"/>
  <c r="H120" i="85" s="1"/>
  <c r="R43" i="41"/>
  <c r="T43" i="41" s="1"/>
  <c r="I117" i="95"/>
  <c r="O66" i="85"/>
  <c r="L66" i="78"/>
  <c r="E124" i="78" s="1"/>
  <c r="L58" i="78"/>
  <c r="E116" i="78" s="1"/>
  <c r="L50" i="85"/>
  <c r="E108" i="85" s="1"/>
  <c r="M50" i="78"/>
  <c r="H108" i="78" s="1"/>
  <c r="O55" i="85"/>
  <c r="M121" i="92"/>
  <c r="I18" i="91" s="1"/>
  <c r="O12" i="95"/>
  <c r="G118" i="95" s="1"/>
  <c r="L35" i="95"/>
  <c r="J119" i="95" s="1"/>
  <c r="L42" i="95"/>
  <c r="J126" i="95" s="1"/>
  <c r="M11" i="79"/>
  <c r="N11" i="79" s="1"/>
  <c r="Q11" i="79" s="1"/>
  <c r="S11" i="79" s="1"/>
  <c r="N51" i="95"/>
  <c r="E113" i="95" s="1"/>
  <c r="L44" i="95"/>
  <c r="J128" i="95" s="1"/>
  <c r="O15" i="95"/>
  <c r="L62" i="66"/>
  <c r="E119" i="66" s="1"/>
  <c r="J84" i="85"/>
  <c r="L18" i="78"/>
  <c r="M18" i="78"/>
  <c r="G120" i="78" s="1"/>
  <c r="J35" i="85"/>
  <c r="N6" i="78"/>
  <c r="N108" i="78" s="1"/>
  <c r="P108" i="78" s="1"/>
  <c r="D41" i="61"/>
  <c r="U45" i="96"/>
  <c r="W45" i="96" s="1"/>
  <c r="D38" i="61"/>
  <c r="L6" i="78"/>
  <c r="M6" i="78"/>
  <c r="G108" i="78" s="1"/>
  <c r="I108" i="78" s="1"/>
  <c r="J28" i="66"/>
  <c r="G107" i="66" s="1"/>
  <c r="P120" i="85"/>
  <c r="P123" i="78"/>
  <c r="J43" i="78"/>
  <c r="N20" i="17"/>
  <c r="L117" i="92"/>
  <c r="M117" i="92" s="1"/>
  <c r="I9" i="91" s="1"/>
  <c r="O62" i="78"/>
  <c r="L62" i="78"/>
  <c r="E120" i="78" s="1"/>
  <c r="M62" i="78"/>
  <c r="H120" i="78" s="1"/>
  <c r="M13" i="78"/>
  <c r="G115" i="78" s="1"/>
  <c r="L13" i="78"/>
  <c r="J59" i="93"/>
  <c r="J60" i="93" s="1"/>
  <c r="J61" i="93" s="1"/>
  <c r="N6" i="85"/>
  <c r="N108" i="85" s="1"/>
  <c r="P108" i="85" s="1"/>
  <c r="J59" i="96"/>
  <c r="J60" i="96" s="1"/>
  <c r="J61" i="96" s="1"/>
  <c r="J62" i="96" s="1"/>
  <c r="L6" i="85"/>
  <c r="G59" i="93"/>
  <c r="G60" i="93" s="1"/>
  <c r="G61" i="93" s="1"/>
  <c r="G59" i="96"/>
  <c r="G60" i="96" s="1"/>
  <c r="G61" i="96" s="1"/>
  <c r="G62" i="96" s="1"/>
  <c r="M57" i="78"/>
  <c r="H115" i="78" s="1"/>
  <c r="I115" i="78" s="1"/>
  <c r="J83" i="78"/>
  <c r="L83" i="78" s="1"/>
  <c r="O50" i="78"/>
  <c r="I52" i="41"/>
  <c r="J83" i="85"/>
  <c r="K119" i="85" s="1"/>
  <c r="L117" i="95"/>
  <c r="W41" i="96"/>
  <c r="S125" i="78"/>
  <c r="O9" i="95"/>
  <c r="G115" i="95" s="1"/>
  <c r="N6" i="95"/>
  <c r="D112" i="95" s="1"/>
  <c r="O51" i="95"/>
  <c r="H113" i="95" s="1"/>
  <c r="S118" i="78"/>
  <c r="N20" i="95"/>
  <c r="D126" i="95" s="1"/>
  <c r="L21" i="78"/>
  <c r="X7" i="17"/>
  <c r="L50" i="78"/>
  <c r="E108" i="78" s="1"/>
  <c r="I99" i="93"/>
  <c r="I100" i="93" s="1"/>
  <c r="I101" i="93" s="1"/>
  <c r="I102" i="93" s="1"/>
  <c r="G22" i="92" s="1"/>
  <c r="I99" i="96"/>
  <c r="I100" i="96" s="1"/>
  <c r="I101" i="96" s="1"/>
  <c r="I102" i="96" s="1"/>
  <c r="J43" i="66"/>
  <c r="G122" i="66" s="1"/>
  <c r="R45" i="41"/>
  <c r="T45" i="41" s="1"/>
  <c r="J40" i="85"/>
  <c r="L18" i="66"/>
  <c r="D119" i="66" s="1"/>
  <c r="J102" i="93"/>
  <c r="I22" i="92" s="1"/>
  <c r="O22" i="92" s="1"/>
  <c r="N126" i="92" s="1"/>
  <c r="P126" i="92" s="1"/>
  <c r="T126" i="92" s="1"/>
  <c r="J14" i="91" s="1"/>
  <c r="L13" i="66"/>
  <c r="D114" i="66" s="1"/>
  <c r="S108" i="85"/>
  <c r="M6" i="85"/>
  <c r="G108" i="85" s="1"/>
  <c r="K107" i="66"/>
  <c r="J72" i="66"/>
  <c r="H107" i="66" s="1"/>
  <c r="J28" i="78"/>
  <c r="I59" i="93"/>
  <c r="I60" i="93" s="1"/>
  <c r="I59" i="96"/>
  <c r="I60" i="96" s="1"/>
  <c r="S120" i="78"/>
  <c r="P114" i="95"/>
  <c r="T114" i="95" s="1"/>
  <c r="J6" i="94" s="1"/>
  <c r="W14" i="17"/>
  <c r="O14" i="17"/>
  <c r="V14" i="17"/>
  <c r="N14" i="17"/>
  <c r="M63" i="85"/>
  <c r="H121" i="85" s="1"/>
  <c r="J32" i="78"/>
  <c r="L32" i="78" s="1"/>
  <c r="L86" i="95"/>
  <c r="N86" i="95" s="1"/>
  <c r="AI7" i="91"/>
  <c r="Z7" i="91"/>
  <c r="W7" i="91"/>
  <c r="M61" i="85"/>
  <c r="H119" i="85" s="1"/>
  <c r="L119" i="92"/>
  <c r="L80" i="95"/>
  <c r="N80" i="95" s="1"/>
  <c r="X10" i="17"/>
  <c r="J76" i="85"/>
  <c r="L76" i="85" s="1"/>
  <c r="R31" i="41"/>
  <c r="T31" i="41" s="1"/>
  <c r="L58" i="66"/>
  <c r="E115" i="66" s="1"/>
  <c r="N67" i="95"/>
  <c r="E129" i="95" s="1"/>
  <c r="K115" i="66"/>
  <c r="O64" i="95"/>
  <c r="H126" i="95" s="1"/>
  <c r="K32" i="74"/>
  <c r="K75" i="96"/>
  <c r="I75" i="96"/>
  <c r="E76" i="96"/>
  <c r="F75" i="96"/>
  <c r="U39" i="93"/>
  <c r="W39" i="93" s="1"/>
  <c r="M58" i="85"/>
  <c r="H116" i="85" s="1"/>
  <c r="S116" i="78"/>
  <c r="J83" i="66"/>
  <c r="H118" i="66" s="1"/>
  <c r="J38" i="78"/>
  <c r="J118" i="78" s="1"/>
  <c r="O14" i="95"/>
  <c r="G120" i="95" s="1"/>
  <c r="O23" i="95"/>
  <c r="G129" i="95" s="1"/>
  <c r="L72" i="95"/>
  <c r="N72" i="95" s="1"/>
  <c r="J41" i="66"/>
  <c r="G120" i="66" s="1"/>
  <c r="O63" i="78"/>
  <c r="R127" i="78"/>
  <c r="O127" i="78"/>
  <c r="J36" i="78"/>
  <c r="J116" i="78" s="1"/>
  <c r="L14" i="66"/>
  <c r="D115" i="66" s="1"/>
  <c r="L14" i="78"/>
  <c r="D116" i="78" s="1"/>
  <c r="S119" i="78"/>
  <c r="M58" i="78"/>
  <c r="H116" i="78" s="1"/>
  <c r="J85" i="66"/>
  <c r="H120" i="66" s="1"/>
  <c r="O54" i="95"/>
  <c r="H116" i="95" s="1"/>
  <c r="L89" i="95"/>
  <c r="K129" i="95" s="1"/>
  <c r="L45" i="95"/>
  <c r="N45" i="95" s="1"/>
  <c r="K75" i="93"/>
  <c r="E76" i="93"/>
  <c r="F75" i="93"/>
  <c r="J76" i="78"/>
  <c r="L76" i="78" s="1"/>
  <c r="S121" i="78"/>
  <c r="W38" i="93"/>
  <c r="L76" i="95"/>
  <c r="N76" i="95" s="1"/>
  <c r="N14" i="95"/>
  <c r="D120" i="95" s="1"/>
  <c r="J41" i="78"/>
  <c r="L41" i="78" s="1"/>
  <c r="J85" i="85"/>
  <c r="L85" i="85" s="1"/>
  <c r="J80" i="78"/>
  <c r="K116" i="78" s="1"/>
  <c r="J36" i="85"/>
  <c r="J116" i="85" s="1"/>
  <c r="M17" i="78"/>
  <c r="G119" i="78" s="1"/>
  <c r="T116" i="95"/>
  <c r="J8" i="94" s="1"/>
  <c r="J85" i="78"/>
  <c r="L85" i="78" s="1"/>
  <c r="W9" i="51"/>
  <c r="Y9" i="51"/>
  <c r="W6" i="68" s="1"/>
  <c r="Z8" i="91"/>
  <c r="AI8" i="91"/>
  <c r="W8" i="91"/>
  <c r="W12" i="91"/>
  <c r="AI12" i="91"/>
  <c r="Z12" i="91"/>
  <c r="W13" i="91"/>
  <c r="AI13" i="91"/>
  <c r="Z13" i="91"/>
  <c r="L110" i="92"/>
  <c r="J129" i="92"/>
  <c r="J80" i="85"/>
  <c r="O63" i="85"/>
  <c r="M63" i="78"/>
  <c r="H121" i="78" s="1"/>
  <c r="O54" i="85"/>
  <c r="L54" i="85"/>
  <c r="E112" i="85" s="1"/>
  <c r="M54" i="85"/>
  <c r="H112" i="85" s="1"/>
  <c r="I4" i="79"/>
  <c r="V5" i="17"/>
  <c r="W5" i="17"/>
  <c r="N5" i="17"/>
  <c r="O5" i="17"/>
  <c r="U46" i="96"/>
  <c r="W46" i="96" s="1"/>
  <c r="U121" i="73"/>
  <c r="W121" i="73" s="1"/>
  <c r="Q8" i="79"/>
  <c r="S8" i="79" s="1"/>
  <c r="L127" i="73"/>
  <c r="D122" i="85"/>
  <c r="M23" i="78"/>
  <c r="G125" i="78" s="1"/>
  <c r="L23" i="78"/>
  <c r="J89" i="78"/>
  <c r="J38" i="66"/>
  <c r="G117" i="66" s="1"/>
  <c r="AC124" i="73"/>
  <c r="AL124" i="73"/>
  <c r="Z5" i="91"/>
  <c r="W5" i="91"/>
  <c r="AI5" i="91"/>
  <c r="E81" i="96"/>
  <c r="K82" i="96" s="1"/>
  <c r="G80" i="96"/>
  <c r="G81" i="96" s="1"/>
  <c r="I80" i="96"/>
  <c r="I81" i="96" s="1"/>
  <c r="K80" i="96"/>
  <c r="I64" i="96"/>
  <c r="I65" i="96" s="1"/>
  <c r="I66" i="96" s="1"/>
  <c r="I64" i="93"/>
  <c r="I65" i="93" s="1"/>
  <c r="I66" i="93" s="1"/>
  <c r="Q127" i="78"/>
  <c r="S109" i="78"/>
  <c r="S109" i="85"/>
  <c r="Q127" i="85"/>
  <c r="J32" i="66"/>
  <c r="G111" i="66" s="1"/>
  <c r="J76" i="66"/>
  <c r="H111" i="66" s="1"/>
  <c r="K111" i="66"/>
  <c r="F79" i="96"/>
  <c r="F80" i="96" s="1"/>
  <c r="F81" i="96" s="1"/>
  <c r="F79" i="93"/>
  <c r="F80" i="93" s="1"/>
  <c r="F81" i="93" s="1"/>
  <c r="M10" i="85"/>
  <c r="G112" i="85" s="1"/>
  <c r="L10" i="85"/>
  <c r="L116" i="92"/>
  <c r="E129" i="92"/>
  <c r="I125" i="95"/>
  <c r="J73" i="78"/>
  <c r="L51" i="85"/>
  <c r="E109" i="85" s="1"/>
  <c r="M51" i="85"/>
  <c r="H109" i="85" s="1"/>
  <c r="O51" i="85"/>
  <c r="H109" i="96"/>
  <c r="H110" i="96" s="1"/>
  <c r="H111" i="96" s="1"/>
  <c r="H112" i="96" s="1"/>
  <c r="H109" i="93"/>
  <c r="H110" i="93" s="1"/>
  <c r="H111" i="93" s="1"/>
  <c r="H112" i="93" s="1"/>
  <c r="F14" i="92" s="1"/>
  <c r="I109" i="93"/>
  <c r="I110" i="93" s="1"/>
  <c r="I111" i="93" s="1"/>
  <c r="I112" i="93" s="1"/>
  <c r="G14" i="92" s="1"/>
  <c r="I109" i="96"/>
  <c r="I110" i="96" s="1"/>
  <c r="I111" i="96" s="1"/>
  <c r="I112" i="96" s="1"/>
  <c r="AA127" i="78"/>
  <c r="R41" i="41"/>
  <c r="T41" i="41" s="1"/>
  <c r="J39" i="78"/>
  <c r="O61" i="85"/>
  <c r="X21" i="17"/>
  <c r="P121" i="85"/>
  <c r="J45" i="78"/>
  <c r="J45" i="66"/>
  <c r="G124" i="66" s="1"/>
  <c r="L23" i="66"/>
  <c r="D124" i="66" s="1"/>
  <c r="F124" i="66" s="1"/>
  <c r="K117" i="66"/>
  <c r="J82" i="66"/>
  <c r="H117" i="66" s="1"/>
  <c r="L60" i="66"/>
  <c r="E117" i="66" s="1"/>
  <c r="M16" i="78"/>
  <c r="G118" i="78" s="1"/>
  <c r="L16" i="78"/>
  <c r="O16" i="17"/>
  <c r="V16" i="17"/>
  <c r="W16" i="17"/>
  <c r="N16" i="17"/>
  <c r="M115" i="73"/>
  <c r="I9" i="79" s="1"/>
  <c r="K65" i="93"/>
  <c r="E66" i="93"/>
  <c r="K67" i="93" s="1"/>
  <c r="H7" i="92" s="1"/>
  <c r="G65" i="93"/>
  <c r="G66" i="93" s="1"/>
  <c r="K90" i="93"/>
  <c r="E91" i="93"/>
  <c r="I90" i="93"/>
  <c r="G90" i="93"/>
  <c r="G91" i="93" s="1"/>
  <c r="H90" i="93"/>
  <c r="H91" i="93" s="1"/>
  <c r="J90" i="93"/>
  <c r="J91" i="93" s="1"/>
  <c r="J92" i="93" s="1"/>
  <c r="I20" i="92" s="1"/>
  <c r="O20" i="92" s="1"/>
  <c r="N124" i="92" s="1"/>
  <c r="P124" i="92" s="1"/>
  <c r="T124" i="92" s="1"/>
  <c r="J12" i="91" s="1"/>
  <c r="F90" i="93"/>
  <c r="F91" i="93" s="1"/>
  <c r="K95" i="93"/>
  <c r="F95" i="93"/>
  <c r="F96" i="93" s="1"/>
  <c r="G95" i="93"/>
  <c r="G96" i="93" s="1"/>
  <c r="I95" i="93"/>
  <c r="I96" i="93" s="1"/>
  <c r="E96" i="93"/>
  <c r="K97" i="93" s="1"/>
  <c r="H21" i="92" s="1"/>
  <c r="H95" i="93"/>
  <c r="H96" i="93" s="1"/>
  <c r="O58" i="95"/>
  <c r="H120" i="95" s="1"/>
  <c r="S127" i="95"/>
  <c r="K118" i="66"/>
  <c r="U44" i="96"/>
  <c r="W44" i="96" s="1"/>
  <c r="H64" i="96"/>
  <c r="H65" i="96" s="1"/>
  <c r="H66" i="96" s="1"/>
  <c r="H64" i="93"/>
  <c r="H65" i="93" s="1"/>
  <c r="H66" i="93" s="1"/>
  <c r="H79" i="93"/>
  <c r="H80" i="93" s="1"/>
  <c r="H81" i="93" s="1"/>
  <c r="H79" i="96"/>
  <c r="H80" i="96" s="1"/>
  <c r="H81" i="96" s="1"/>
  <c r="H52" i="93"/>
  <c r="O58" i="85"/>
  <c r="O58" i="78"/>
  <c r="L63" i="78"/>
  <c r="E121" i="78" s="1"/>
  <c r="J64" i="96"/>
  <c r="J65" i="96" s="1"/>
  <c r="J66" i="96" s="1"/>
  <c r="J64" i="93"/>
  <c r="J65" i="93" s="1"/>
  <c r="J66" i="93" s="1"/>
  <c r="N7" i="85"/>
  <c r="N109" i="85" s="1"/>
  <c r="O127" i="85"/>
  <c r="J36" i="66"/>
  <c r="G115" i="66" s="1"/>
  <c r="G109" i="93"/>
  <c r="G110" i="93" s="1"/>
  <c r="G111" i="93" s="1"/>
  <c r="G112" i="93" s="1"/>
  <c r="G109" i="96"/>
  <c r="G110" i="96" s="1"/>
  <c r="G111" i="96" s="1"/>
  <c r="G112" i="96" s="1"/>
  <c r="L14" i="85"/>
  <c r="M14" i="85"/>
  <c r="G116" i="85" s="1"/>
  <c r="P119" i="78"/>
  <c r="S119" i="85"/>
  <c r="L17" i="85"/>
  <c r="L61" i="78"/>
  <c r="E119" i="78" s="1"/>
  <c r="AC115" i="73"/>
  <c r="AL115" i="73"/>
  <c r="X22" i="17"/>
  <c r="L54" i="78"/>
  <c r="E112" i="78" s="1"/>
  <c r="O54" i="78"/>
  <c r="M54" i="78"/>
  <c r="H112" i="78" s="1"/>
  <c r="J32" i="85"/>
  <c r="P118" i="78"/>
  <c r="P118" i="85"/>
  <c r="H15" i="80"/>
  <c r="D15" i="80"/>
  <c r="U108" i="73"/>
  <c r="M16" i="92"/>
  <c r="N16" i="92"/>
  <c r="G120" i="92" s="1"/>
  <c r="I120" i="92" s="1"/>
  <c r="K129" i="92"/>
  <c r="O13" i="95"/>
  <c r="N64" i="95"/>
  <c r="D124" i="78"/>
  <c r="M14" i="78"/>
  <c r="G116" i="78" s="1"/>
  <c r="L51" i="66"/>
  <c r="E108" i="66" s="1"/>
  <c r="M7" i="85"/>
  <c r="G109" i="85" s="1"/>
  <c r="F64" i="93"/>
  <c r="F65" i="93" s="1"/>
  <c r="F66" i="93" s="1"/>
  <c r="L7" i="85"/>
  <c r="F64" i="96"/>
  <c r="F65" i="96" s="1"/>
  <c r="F66" i="96" s="1"/>
  <c r="J29" i="85"/>
  <c r="W15" i="91"/>
  <c r="AI15" i="91"/>
  <c r="Z15" i="91"/>
  <c r="L87" i="95"/>
  <c r="O67" i="95"/>
  <c r="H129" i="95" s="1"/>
  <c r="U124" i="73"/>
  <c r="W124" i="73" s="1"/>
  <c r="D45" i="80" s="1"/>
  <c r="N19" i="92"/>
  <c r="G123" i="92" s="1"/>
  <c r="I123" i="92" s="1"/>
  <c r="M19" i="92"/>
  <c r="L123" i="95"/>
  <c r="M123" i="95" s="1"/>
  <c r="I18" i="94" s="1"/>
  <c r="S112" i="95"/>
  <c r="Q131" i="95"/>
  <c r="I124" i="95"/>
  <c r="M67" i="78"/>
  <c r="H125" i="78" s="1"/>
  <c r="L67" i="78"/>
  <c r="E125" i="78" s="1"/>
  <c r="O67" i="78"/>
  <c r="J89" i="66"/>
  <c r="H124" i="66" s="1"/>
  <c r="K124" i="66"/>
  <c r="N10" i="85"/>
  <c r="N112" i="85" s="1"/>
  <c r="P112" i="85" s="1"/>
  <c r="J79" i="93"/>
  <c r="J80" i="93" s="1"/>
  <c r="J81" i="93" s="1"/>
  <c r="J79" i="96"/>
  <c r="J80" i="96" s="1"/>
  <c r="J81" i="96" s="1"/>
  <c r="E66" i="96"/>
  <c r="K67" i="96" s="1"/>
  <c r="K65" i="96"/>
  <c r="G65" i="96"/>
  <c r="G66" i="96" s="1"/>
  <c r="J104" i="96"/>
  <c r="J105" i="96" s="1"/>
  <c r="J106" i="96" s="1"/>
  <c r="J104" i="93"/>
  <c r="J105" i="93" s="1"/>
  <c r="J106" i="93" s="1"/>
  <c r="D39" i="83"/>
  <c r="N23" i="85"/>
  <c r="N125" i="85" s="1"/>
  <c r="P125" i="85" s="1"/>
  <c r="O6" i="17"/>
  <c r="W6" i="17"/>
  <c r="N6" i="17"/>
  <c r="V6" i="17"/>
  <c r="N11" i="92"/>
  <c r="G115" i="92" s="1"/>
  <c r="I115" i="92" s="1"/>
  <c r="M115" i="92" s="1"/>
  <c r="I17" i="91" s="1"/>
  <c r="M11" i="92"/>
  <c r="M61" i="78"/>
  <c r="H119" i="78" s="1"/>
  <c r="O20" i="78"/>
  <c r="J29" i="66"/>
  <c r="G108" i="66" s="1"/>
  <c r="M7" i="78"/>
  <c r="G109" i="78" s="1"/>
  <c r="L7" i="78"/>
  <c r="L19" i="85"/>
  <c r="M19" i="85"/>
  <c r="G121" i="85" s="1"/>
  <c r="O25" i="91"/>
  <c r="O21" i="95"/>
  <c r="K120" i="66"/>
  <c r="O12" i="17"/>
  <c r="W12" i="17"/>
  <c r="N12" i="17"/>
  <c r="V12" i="17"/>
  <c r="J122" i="85"/>
  <c r="L42" i="85"/>
  <c r="S116" i="85"/>
  <c r="J39" i="85"/>
  <c r="L61" i="85"/>
  <c r="E119" i="85" s="1"/>
  <c r="L60" i="85"/>
  <c r="E118" i="85" s="1"/>
  <c r="M60" i="85"/>
  <c r="H118" i="85" s="1"/>
  <c r="O60" i="85"/>
  <c r="E96" i="96"/>
  <c r="K97" i="96" s="1"/>
  <c r="K95" i="96"/>
  <c r="F95" i="96"/>
  <c r="F96" i="96" s="1"/>
  <c r="G95" i="96"/>
  <c r="G96" i="96" s="1"/>
  <c r="I95" i="96"/>
  <c r="I96" i="96" s="1"/>
  <c r="H95" i="96"/>
  <c r="H96" i="96" s="1"/>
  <c r="M18" i="92"/>
  <c r="N18" i="92"/>
  <c r="G122" i="92" s="1"/>
  <c r="I122" i="92" s="1"/>
  <c r="AL113" i="73"/>
  <c r="AC113" i="73"/>
  <c r="L36" i="95"/>
  <c r="N65" i="95"/>
  <c r="X13" i="17"/>
  <c r="L63" i="85"/>
  <c r="E121" i="85" s="1"/>
  <c r="R127" i="85"/>
  <c r="U110" i="73"/>
  <c r="W110" i="73" s="1"/>
  <c r="F127" i="73"/>
  <c r="M51" i="78"/>
  <c r="H109" i="78" s="1"/>
  <c r="L51" i="78"/>
  <c r="E109" i="78" s="1"/>
  <c r="O51" i="78"/>
  <c r="J29" i="78"/>
  <c r="D114" i="78"/>
  <c r="E106" i="93"/>
  <c r="K105" i="93"/>
  <c r="G105" i="93"/>
  <c r="G106" i="93" s="1"/>
  <c r="O65" i="95"/>
  <c r="H127" i="95" s="1"/>
  <c r="H104" i="96"/>
  <c r="H105" i="96" s="1"/>
  <c r="H106" i="96" s="1"/>
  <c r="D36" i="83"/>
  <c r="H104" i="93"/>
  <c r="H105" i="93" s="1"/>
  <c r="H106" i="93" s="1"/>
  <c r="P112" i="95"/>
  <c r="G52" i="41"/>
  <c r="J109" i="96"/>
  <c r="J110" i="96" s="1"/>
  <c r="J111" i="96" s="1"/>
  <c r="J112" i="96" s="1"/>
  <c r="J109" i="93"/>
  <c r="J110" i="93" s="1"/>
  <c r="J111" i="93" s="1"/>
  <c r="J112" i="93" s="1"/>
  <c r="I14" i="92" s="1"/>
  <c r="O14" i="92" s="1"/>
  <c r="N118" i="92" s="1"/>
  <c r="P118" i="92" s="1"/>
  <c r="T118" i="92" s="1"/>
  <c r="J23" i="91" s="1"/>
  <c r="N14" i="85"/>
  <c r="N116" i="85" s="1"/>
  <c r="P116" i="85" s="1"/>
  <c r="P116" i="78"/>
  <c r="P21" i="17"/>
  <c r="P121" i="78"/>
  <c r="S121" i="85"/>
  <c r="J89" i="85"/>
  <c r="F104" i="96"/>
  <c r="F105" i="96" s="1"/>
  <c r="F104" i="93"/>
  <c r="F105" i="93" s="1"/>
  <c r="D34" i="83"/>
  <c r="L23" i="85"/>
  <c r="M23" i="85"/>
  <c r="G125" i="85" s="1"/>
  <c r="J45" i="85"/>
  <c r="L67" i="85"/>
  <c r="E125" i="85" s="1"/>
  <c r="O67" i="85"/>
  <c r="M67" i="85"/>
  <c r="H125" i="85" s="1"/>
  <c r="S112" i="85"/>
  <c r="J82" i="85"/>
  <c r="L16" i="66"/>
  <c r="D117" i="66" s="1"/>
  <c r="L60" i="78"/>
  <c r="E118" i="78" s="1"/>
  <c r="M60" i="78"/>
  <c r="H118" i="78" s="1"/>
  <c r="O60" i="78"/>
  <c r="L16" i="85"/>
  <c r="M16" i="85"/>
  <c r="G118" i="85" s="1"/>
  <c r="L77" i="85"/>
  <c r="K80" i="93"/>
  <c r="E81" i="93"/>
  <c r="K82" i="93" s="1"/>
  <c r="H10" i="92" s="1"/>
  <c r="G80" i="93"/>
  <c r="G81" i="93" s="1"/>
  <c r="E91" i="96"/>
  <c r="G90" i="96"/>
  <c r="G91" i="96" s="1"/>
  <c r="H90" i="96"/>
  <c r="H91" i="96" s="1"/>
  <c r="F90" i="96"/>
  <c r="I90" i="96"/>
  <c r="K90" i="96"/>
  <c r="K62" i="96"/>
  <c r="I62" i="96"/>
  <c r="L125" i="95"/>
  <c r="N12" i="92"/>
  <c r="G116" i="92" s="1"/>
  <c r="I116" i="92" s="1"/>
  <c r="M12" i="92"/>
  <c r="P125" i="78"/>
  <c r="P115" i="73"/>
  <c r="T115" i="73" s="1"/>
  <c r="J9" i="79" s="1"/>
  <c r="N127" i="73"/>
  <c r="R5" i="79"/>
  <c r="O25" i="79"/>
  <c r="M19" i="79"/>
  <c r="N19" i="79" s="1"/>
  <c r="N50" i="95"/>
  <c r="N21" i="95"/>
  <c r="W11" i="17"/>
  <c r="O11" i="17"/>
  <c r="V11" i="17"/>
  <c r="N11" i="17"/>
  <c r="P7" i="17"/>
  <c r="W17" i="17"/>
  <c r="O17" i="17"/>
  <c r="N17" i="17"/>
  <c r="V17" i="17"/>
  <c r="U35" i="93"/>
  <c r="W35" i="93" s="1"/>
  <c r="J52" i="93"/>
  <c r="R26" i="68"/>
  <c r="R28" i="68" s="1"/>
  <c r="M27" i="69" s="1"/>
  <c r="P5" i="69"/>
  <c r="M25" i="69"/>
  <c r="P109" i="78"/>
  <c r="I104" i="93"/>
  <c r="I105" i="93" s="1"/>
  <c r="I104" i="96"/>
  <c r="I105" i="96" s="1"/>
  <c r="D37" i="83"/>
  <c r="O25" i="74"/>
  <c r="R6" i="74"/>
  <c r="P22" i="17"/>
  <c r="W23" i="17"/>
  <c r="N23" i="17"/>
  <c r="O23" i="17"/>
  <c r="V23" i="17"/>
  <c r="L54" i="66"/>
  <c r="E111" i="66" s="1"/>
  <c r="M10" i="78"/>
  <c r="G112" i="78" s="1"/>
  <c r="L10" i="78"/>
  <c r="L10" i="66"/>
  <c r="D111" i="66" s="1"/>
  <c r="S118" i="85"/>
  <c r="Q6" i="79"/>
  <c r="S6" i="79" s="1"/>
  <c r="O53" i="95"/>
  <c r="H115" i="95" s="1"/>
  <c r="T108" i="73"/>
  <c r="O20" i="95"/>
  <c r="O6" i="95"/>
  <c r="W8" i="17"/>
  <c r="O8" i="17"/>
  <c r="V8" i="17"/>
  <c r="N8" i="17"/>
  <c r="D22" i="76"/>
  <c r="D8" i="76"/>
  <c r="D21" i="76"/>
  <c r="D6" i="76"/>
  <c r="D20" i="76"/>
  <c r="D9" i="76"/>
  <c r="D23" i="76"/>
  <c r="D12" i="76"/>
  <c r="D16" i="76"/>
  <c r="D5" i="76"/>
  <c r="D17" i="76"/>
  <c r="D15" i="76"/>
  <c r="D19" i="76"/>
  <c r="D13" i="76"/>
  <c r="D11" i="76"/>
  <c r="D7" i="76"/>
  <c r="D10" i="76"/>
  <c r="D14" i="76"/>
  <c r="H32" i="80" s="1"/>
  <c r="H33" i="80" s="1"/>
  <c r="D4" i="76"/>
  <c r="D9" i="89"/>
  <c r="F9" i="89" s="1"/>
  <c r="F8" i="82"/>
  <c r="J73" i="85"/>
  <c r="L7" i="66"/>
  <c r="D108" i="66" s="1"/>
  <c r="J73" i="66"/>
  <c r="H108" i="66" s="1"/>
  <c r="K108" i="66"/>
  <c r="M19" i="78"/>
  <c r="G121" i="78" s="1"/>
  <c r="L19" i="78"/>
  <c r="L19" i="66"/>
  <c r="D120" i="66" s="1"/>
  <c r="K105" i="96"/>
  <c r="E106" i="96"/>
  <c r="G105" i="96"/>
  <c r="G106" i="96" s="1"/>
  <c r="W32" i="96"/>
  <c r="L114" i="92"/>
  <c r="L43" i="95"/>
  <c r="N23" i="95"/>
  <c r="H14" i="80"/>
  <c r="M14" i="79"/>
  <c r="N14" i="79" s="1"/>
  <c r="D14" i="80"/>
  <c r="D121" i="92"/>
  <c r="F121" i="92" s="1"/>
  <c r="U121" i="92" s="1"/>
  <c r="W121" i="92" s="1"/>
  <c r="AQ123" i="108" s="1"/>
  <c r="AR123" i="108" s="1"/>
  <c r="P17" i="92"/>
  <c r="O131" i="95"/>
  <c r="R131" i="95"/>
  <c r="AB33" i="94"/>
  <c r="AD33" i="94" s="1"/>
  <c r="AF33" i="94" s="1"/>
  <c r="AG33" i="94" s="1"/>
  <c r="T33" i="94"/>
  <c r="U33" i="94" s="1"/>
  <c r="K72" i="148" l="1"/>
  <c r="K24" i="148"/>
  <c r="N56" i="148"/>
  <c r="L65" i="148"/>
  <c r="AX120" i="108"/>
  <c r="D14" i="90"/>
  <c r="AX121" i="108"/>
  <c r="L22" i="148"/>
  <c r="L72" i="148" s="1"/>
  <c r="R9" i="94"/>
  <c r="AX128" i="108"/>
  <c r="AX114" i="108"/>
  <c r="AX127" i="108"/>
  <c r="AX116" i="108"/>
  <c r="R7" i="94"/>
  <c r="AX126" i="108"/>
  <c r="AX118" i="108"/>
  <c r="H72" i="107"/>
  <c r="I87" i="107"/>
  <c r="K87" i="107"/>
  <c r="AX113" i="108"/>
  <c r="I72" i="107"/>
  <c r="K72" i="107"/>
  <c r="G87" i="93"/>
  <c r="E15" i="92" s="1"/>
  <c r="Q25" i="94"/>
  <c r="I97" i="96"/>
  <c r="AW131" i="108"/>
  <c r="J87" i="93"/>
  <c r="I15" i="92" s="1"/>
  <c r="O15" i="92" s="1"/>
  <c r="N119" i="92" s="1"/>
  <c r="P119" i="92" s="1"/>
  <c r="T119" i="92" s="1"/>
  <c r="J10" i="91" s="1"/>
  <c r="T125" i="85"/>
  <c r="J15" i="84" s="1"/>
  <c r="F117" i="85"/>
  <c r="M92" i="107"/>
  <c r="G87" i="96"/>
  <c r="H102" i="107"/>
  <c r="M102" i="107" s="1"/>
  <c r="G72" i="107"/>
  <c r="M72" i="107" s="1"/>
  <c r="G87" i="107"/>
  <c r="M87" i="107" s="1"/>
  <c r="K117" i="78"/>
  <c r="L117" i="78" s="1"/>
  <c r="L43" i="85"/>
  <c r="J72" i="107"/>
  <c r="J87" i="96"/>
  <c r="H87" i="107"/>
  <c r="H102" i="96"/>
  <c r="L5" i="118"/>
  <c r="F6" i="118"/>
  <c r="J5" i="118"/>
  <c r="J6" i="118" s="1"/>
  <c r="K5" i="118"/>
  <c r="K6" i="118" s="1"/>
  <c r="G5" i="118"/>
  <c r="G6" i="118" s="1"/>
  <c r="H5" i="118"/>
  <c r="H6" i="118" s="1"/>
  <c r="I5" i="118"/>
  <c r="I6" i="118" s="1"/>
  <c r="G40" i="118"/>
  <c r="H40" i="118"/>
  <c r="I40" i="118"/>
  <c r="J40" i="118"/>
  <c r="F40" i="118"/>
  <c r="K40" i="118"/>
  <c r="L40" i="118"/>
  <c r="F109" i="118"/>
  <c r="F139" i="125" s="1"/>
  <c r="J109" i="118"/>
  <c r="J139" i="125" s="1"/>
  <c r="G109" i="118"/>
  <c r="G139" i="125" s="1"/>
  <c r="H109" i="118"/>
  <c r="H139" i="125" s="1"/>
  <c r="I109" i="118"/>
  <c r="I139" i="125" s="1"/>
  <c r="K109" i="118"/>
  <c r="K139" i="125" s="1"/>
  <c r="L109" i="118"/>
  <c r="O7" i="117"/>
  <c r="Q13" i="104"/>
  <c r="V13" i="112"/>
  <c r="H39" i="118"/>
  <c r="I39" i="118"/>
  <c r="J39" i="118"/>
  <c r="K39" i="118"/>
  <c r="G39" i="118"/>
  <c r="L39" i="118"/>
  <c r="F39" i="118"/>
  <c r="J7" i="117"/>
  <c r="M7" i="117"/>
  <c r="Q17" i="104"/>
  <c r="V17" i="112"/>
  <c r="N7" i="117"/>
  <c r="K88" i="118"/>
  <c r="J88" i="118"/>
  <c r="L88" i="118"/>
  <c r="F88" i="118"/>
  <c r="I88" i="118"/>
  <c r="G88" i="118"/>
  <c r="L7" i="117"/>
  <c r="L46" i="118"/>
  <c r="J46" i="118"/>
  <c r="F46" i="118"/>
  <c r="G46" i="118"/>
  <c r="K46" i="118"/>
  <c r="H46" i="118"/>
  <c r="I46" i="118"/>
  <c r="Q19" i="104"/>
  <c r="V19" i="112"/>
  <c r="P7" i="117"/>
  <c r="Q22" i="104"/>
  <c r="V22" i="112"/>
  <c r="K7" i="117"/>
  <c r="H11" i="118"/>
  <c r="J11" i="118"/>
  <c r="I11" i="118"/>
  <c r="F11" i="118"/>
  <c r="K11" i="118"/>
  <c r="G11" i="118"/>
  <c r="L11" i="118"/>
  <c r="Q5" i="104"/>
  <c r="S4" i="112"/>
  <c r="L4" i="104"/>
  <c r="AJ25" i="104"/>
  <c r="Z8" i="104"/>
  <c r="AB8" i="104" s="1"/>
  <c r="R8" i="104"/>
  <c r="S8" i="104" s="1"/>
  <c r="N74" i="95"/>
  <c r="Z12" i="104"/>
  <c r="AB12" i="104" s="1"/>
  <c r="R12" i="104"/>
  <c r="S12" i="104" s="1"/>
  <c r="Z19" i="104"/>
  <c r="AB19" i="104" s="1"/>
  <c r="S19" i="104"/>
  <c r="Z17" i="104"/>
  <c r="AB17" i="104" s="1"/>
  <c r="J121" i="95"/>
  <c r="L121" i="95" s="1"/>
  <c r="J116" i="95"/>
  <c r="N88" i="95"/>
  <c r="J118" i="95"/>
  <c r="L118" i="95" s="1"/>
  <c r="N28" i="95"/>
  <c r="F121" i="95"/>
  <c r="N78" i="95"/>
  <c r="N79" i="95"/>
  <c r="L128" i="95"/>
  <c r="AX18" i="104"/>
  <c r="K22" i="104"/>
  <c r="L22" i="104" s="1"/>
  <c r="E25" i="104"/>
  <c r="K13" i="104"/>
  <c r="L13" i="104" s="1"/>
  <c r="R13" i="104" s="1"/>
  <c r="S13" i="104" s="1"/>
  <c r="K5" i="104"/>
  <c r="D25" i="104"/>
  <c r="D30" i="104" s="1"/>
  <c r="T122" i="95"/>
  <c r="J11" i="94" s="1"/>
  <c r="Q60" i="95"/>
  <c r="H77" i="93"/>
  <c r="F9" i="92" s="1"/>
  <c r="L40" i="78"/>
  <c r="K114" i="85"/>
  <c r="L114" i="85" s="1"/>
  <c r="M114" i="85" s="1"/>
  <c r="I22" i="84" s="1"/>
  <c r="T122" i="85"/>
  <c r="J12" i="84" s="1"/>
  <c r="L122" i="85"/>
  <c r="T119" i="85"/>
  <c r="J18" i="84" s="1"/>
  <c r="K115" i="85"/>
  <c r="O13" i="85"/>
  <c r="I110" i="85"/>
  <c r="T120" i="95"/>
  <c r="J23" i="94" s="1"/>
  <c r="T118" i="95"/>
  <c r="J22" i="94" s="1"/>
  <c r="J124" i="78"/>
  <c r="I121" i="85"/>
  <c r="N82" i="95"/>
  <c r="F112" i="66"/>
  <c r="F109" i="66"/>
  <c r="I110" i="66"/>
  <c r="I123" i="85"/>
  <c r="L37" i="78"/>
  <c r="M116" i="92"/>
  <c r="I22" i="91" s="1"/>
  <c r="O8" i="85"/>
  <c r="I108" i="85"/>
  <c r="G62" i="93"/>
  <c r="E6" i="92" s="1"/>
  <c r="J62" i="93"/>
  <c r="I6" i="92" s="1"/>
  <c r="O6" i="92" s="1"/>
  <c r="N110" i="92" s="1"/>
  <c r="P110" i="92" s="1"/>
  <c r="T110" i="92" s="1"/>
  <c r="J4" i="91" s="1"/>
  <c r="Q56" i="95"/>
  <c r="F124" i="85"/>
  <c r="I118" i="95"/>
  <c r="F116" i="66"/>
  <c r="J116" i="66" s="1"/>
  <c r="H10" i="69" s="1"/>
  <c r="K10" i="69" s="1"/>
  <c r="L10" i="69" s="1"/>
  <c r="O10" i="69" s="1"/>
  <c r="Q10" i="69" s="1"/>
  <c r="L31" i="85"/>
  <c r="N131" i="95"/>
  <c r="I113" i="78"/>
  <c r="Y18" i="17"/>
  <c r="AA18" i="17" s="1"/>
  <c r="Y19" i="17"/>
  <c r="H12" i="68" s="1"/>
  <c r="K12" i="68" s="1"/>
  <c r="Q12" i="68" s="1"/>
  <c r="O9" i="78"/>
  <c r="I111" i="78"/>
  <c r="I122" i="78"/>
  <c r="T122" i="78"/>
  <c r="J12" i="74" s="1"/>
  <c r="T124" i="85"/>
  <c r="J14" i="84" s="1"/>
  <c r="O8" i="78"/>
  <c r="F117" i="66"/>
  <c r="J114" i="78"/>
  <c r="L114" i="78" s="1"/>
  <c r="I113" i="66"/>
  <c r="I114" i="66"/>
  <c r="G72" i="96"/>
  <c r="I117" i="85"/>
  <c r="N35" i="95"/>
  <c r="I111" i="85"/>
  <c r="M87" i="96"/>
  <c r="I116" i="85"/>
  <c r="L34" i="85"/>
  <c r="O20" i="85"/>
  <c r="I120" i="85"/>
  <c r="H77" i="96"/>
  <c r="F122" i="78"/>
  <c r="D110" i="78"/>
  <c r="F110" i="78" s="1"/>
  <c r="H6" i="74" s="1"/>
  <c r="F122" i="85"/>
  <c r="H12" i="91" s="1"/>
  <c r="J114" i="95"/>
  <c r="L114" i="95" s="1"/>
  <c r="L75" i="85"/>
  <c r="F115" i="85"/>
  <c r="H9" i="94" s="1"/>
  <c r="Q8" i="95"/>
  <c r="O18" i="85"/>
  <c r="Q57" i="95"/>
  <c r="F114" i="78"/>
  <c r="H22" i="74" s="1"/>
  <c r="K122" i="78"/>
  <c r="E118" i="95"/>
  <c r="F118" i="95" s="1"/>
  <c r="T120" i="78"/>
  <c r="J19" i="74" s="1"/>
  <c r="F113" i="66"/>
  <c r="J113" i="66" s="1"/>
  <c r="H22" i="69" s="1"/>
  <c r="K22" i="69" s="1"/>
  <c r="L22" i="69" s="1"/>
  <c r="O22" i="69" s="1"/>
  <c r="Q22" i="69" s="1"/>
  <c r="M15" i="92"/>
  <c r="D119" i="92" s="1"/>
  <c r="F119" i="92" s="1"/>
  <c r="H92" i="93"/>
  <c r="F20" i="92" s="1"/>
  <c r="D114" i="95"/>
  <c r="F114" i="95" s="1"/>
  <c r="Q13" i="95"/>
  <c r="O21" i="85"/>
  <c r="F92" i="93"/>
  <c r="J118" i="85"/>
  <c r="I114" i="95"/>
  <c r="J110" i="85"/>
  <c r="I110" i="78"/>
  <c r="F72" i="96"/>
  <c r="I115" i="85"/>
  <c r="O15" i="85"/>
  <c r="K113" i="95"/>
  <c r="F67" i="93"/>
  <c r="O15" i="78"/>
  <c r="L75" i="78"/>
  <c r="I118" i="66"/>
  <c r="I72" i="96"/>
  <c r="I114" i="78"/>
  <c r="F107" i="66"/>
  <c r="I122" i="85"/>
  <c r="Q10" i="95"/>
  <c r="L80" i="78"/>
  <c r="K118" i="78"/>
  <c r="L118" i="78" s="1"/>
  <c r="K113" i="78"/>
  <c r="T123" i="78"/>
  <c r="J13" i="74" s="1"/>
  <c r="J72" i="96"/>
  <c r="J117" i="85"/>
  <c r="L86" i="85"/>
  <c r="L30" i="78"/>
  <c r="H72" i="96"/>
  <c r="L111" i="85"/>
  <c r="M111" i="85" s="1"/>
  <c r="I7" i="84" s="1"/>
  <c r="Q52" i="95"/>
  <c r="M123" i="92"/>
  <c r="I20" i="91" s="1"/>
  <c r="K110" i="78"/>
  <c r="L110" i="78" s="1"/>
  <c r="L41" i="85"/>
  <c r="G116" i="95"/>
  <c r="I116" i="95" s="1"/>
  <c r="G77" i="96"/>
  <c r="N81" i="95"/>
  <c r="I122" i="66"/>
  <c r="F122" i="66"/>
  <c r="I121" i="66"/>
  <c r="J121" i="66" s="1"/>
  <c r="H12" i="69" s="1"/>
  <c r="K12" i="69" s="1"/>
  <c r="L12" i="69" s="1"/>
  <c r="O12" i="69" s="1"/>
  <c r="Q12" i="69" s="1"/>
  <c r="F111" i="85"/>
  <c r="H7" i="94" s="1"/>
  <c r="J124" i="85"/>
  <c r="L124" i="85" s="1"/>
  <c r="D120" i="85"/>
  <c r="F120" i="85" s="1"/>
  <c r="O9" i="85"/>
  <c r="D111" i="78"/>
  <c r="F111" i="78" s="1"/>
  <c r="K123" i="85"/>
  <c r="L123" i="85" s="1"/>
  <c r="M120" i="92"/>
  <c r="I11" i="91" s="1"/>
  <c r="F113" i="78"/>
  <c r="H17" i="74" s="1"/>
  <c r="T127" i="95"/>
  <c r="J13" i="94" s="1"/>
  <c r="L78" i="78"/>
  <c r="F61" i="93"/>
  <c r="F62" i="93" s="1"/>
  <c r="D6" i="92" s="1"/>
  <c r="J111" i="78"/>
  <c r="L111" i="78" s="1"/>
  <c r="M111" i="78" s="1"/>
  <c r="I7" i="74" s="1"/>
  <c r="F113" i="85"/>
  <c r="H17" i="84" s="1"/>
  <c r="K117" i="85"/>
  <c r="Y15" i="17"/>
  <c r="I113" i="85"/>
  <c r="J113" i="78"/>
  <c r="L113" i="78" s="1"/>
  <c r="M113" i="78" s="1"/>
  <c r="I17" i="74" s="1"/>
  <c r="K123" i="78"/>
  <c r="K108" i="78"/>
  <c r="I123" i="78"/>
  <c r="H62" i="93"/>
  <c r="F6" i="92" s="1"/>
  <c r="M6" i="92" s="1"/>
  <c r="F120" i="95"/>
  <c r="I124" i="85"/>
  <c r="J109" i="66"/>
  <c r="H6" i="69" s="1"/>
  <c r="K6" i="69" s="1"/>
  <c r="L6" i="69" s="1"/>
  <c r="O6" i="69" s="1"/>
  <c r="Q6" i="69" s="1"/>
  <c r="Q7" i="95"/>
  <c r="J82" i="96"/>
  <c r="V33" i="94"/>
  <c r="W33" i="94" s="1"/>
  <c r="X33" i="94" s="1"/>
  <c r="Q16" i="95"/>
  <c r="L88" i="78"/>
  <c r="K121" i="85"/>
  <c r="L121" i="85" s="1"/>
  <c r="T123" i="85"/>
  <c r="J13" i="84" s="1"/>
  <c r="Q22" i="95"/>
  <c r="I115" i="66"/>
  <c r="N75" i="95"/>
  <c r="K62" i="93"/>
  <c r="H6" i="92" s="1"/>
  <c r="P127" i="73"/>
  <c r="Y7" i="17"/>
  <c r="AA7" i="17" s="1"/>
  <c r="G122" i="95"/>
  <c r="I122" i="95" s="1"/>
  <c r="Y13" i="17"/>
  <c r="AA13" i="17" s="1"/>
  <c r="L83" i="85"/>
  <c r="J122" i="95"/>
  <c r="L122" i="95" s="1"/>
  <c r="N31" i="95"/>
  <c r="I120" i="66"/>
  <c r="F61" i="96"/>
  <c r="F62" i="96" s="1"/>
  <c r="M62" i="96" s="1"/>
  <c r="Q15" i="95"/>
  <c r="F118" i="66"/>
  <c r="L35" i="78"/>
  <c r="I124" i="78"/>
  <c r="I119" i="66"/>
  <c r="X9" i="17"/>
  <c r="Y9" i="17" s="1"/>
  <c r="H8" i="68" s="1"/>
  <c r="K8" i="68" s="1"/>
  <c r="N44" i="95"/>
  <c r="F114" i="85"/>
  <c r="H22" i="94" s="1"/>
  <c r="O22" i="78"/>
  <c r="T118" i="78"/>
  <c r="J11" i="74" s="1"/>
  <c r="T119" i="78"/>
  <c r="J18" i="74" s="1"/>
  <c r="F123" i="85"/>
  <c r="H13" i="91" s="1"/>
  <c r="Q9" i="95"/>
  <c r="K119" i="78"/>
  <c r="O21" i="78"/>
  <c r="T108" i="78"/>
  <c r="J4" i="74" s="1"/>
  <c r="D14" i="61" s="1"/>
  <c r="U117" i="95"/>
  <c r="W117" i="95" s="1"/>
  <c r="AO117" i="95" s="1"/>
  <c r="L72" i="85"/>
  <c r="I8" i="92"/>
  <c r="M72" i="93"/>
  <c r="X12" i="17"/>
  <c r="L124" i="78"/>
  <c r="L115" i="78"/>
  <c r="M115" i="78" s="1"/>
  <c r="I9" i="74" s="1"/>
  <c r="J122" i="78"/>
  <c r="L42" i="78"/>
  <c r="L74" i="85"/>
  <c r="K110" i="85"/>
  <c r="F120" i="66"/>
  <c r="F113" i="95"/>
  <c r="I112" i="78"/>
  <c r="I40" i="74"/>
  <c r="O12" i="78"/>
  <c r="O11" i="85"/>
  <c r="P6" i="17"/>
  <c r="O11" i="78"/>
  <c r="G92" i="93"/>
  <c r="E20" i="92" s="1"/>
  <c r="T49" i="41"/>
  <c r="F82" i="96"/>
  <c r="O22" i="85"/>
  <c r="K126" i="95"/>
  <c r="L126" i="95" s="1"/>
  <c r="J77" i="96"/>
  <c r="K120" i="78"/>
  <c r="L120" i="78" s="1"/>
  <c r="I112" i="66"/>
  <c r="J112" i="66" s="1"/>
  <c r="H17" i="69" s="1"/>
  <c r="K17" i="69" s="1"/>
  <c r="L17" i="69" s="1"/>
  <c r="O17" i="69" s="1"/>
  <c r="Q17" i="69" s="1"/>
  <c r="Y10" i="17"/>
  <c r="H18" i="68" s="1"/>
  <c r="K18" i="68" s="1"/>
  <c r="Q18" i="68" s="1"/>
  <c r="I121" i="78"/>
  <c r="O12" i="85"/>
  <c r="J113" i="95"/>
  <c r="K112" i="78"/>
  <c r="Q66" i="95"/>
  <c r="D123" i="78"/>
  <c r="F123" i="78" s="1"/>
  <c r="H13" i="74" s="1"/>
  <c r="F124" i="78"/>
  <c r="I67" i="96"/>
  <c r="I128" i="95"/>
  <c r="Q14" i="95"/>
  <c r="Q59" i="95"/>
  <c r="T120" i="85"/>
  <c r="J19" i="84" s="1"/>
  <c r="L79" i="78"/>
  <c r="P23" i="17"/>
  <c r="J129" i="95"/>
  <c r="L129" i="95" s="1"/>
  <c r="I107" i="66"/>
  <c r="I120" i="78"/>
  <c r="T116" i="78"/>
  <c r="J23" i="74" s="1"/>
  <c r="I113" i="95"/>
  <c r="I119" i="78"/>
  <c r="J110" i="66"/>
  <c r="H7" i="69" s="1"/>
  <c r="K7" i="69" s="1"/>
  <c r="L7" i="69" s="1"/>
  <c r="O7" i="69" s="1"/>
  <c r="Q7" i="69" s="1"/>
  <c r="H82" i="96"/>
  <c r="F115" i="95"/>
  <c r="Q53" i="95"/>
  <c r="J112" i="78"/>
  <c r="K120" i="95"/>
  <c r="K121" i="78"/>
  <c r="N89" i="95"/>
  <c r="L36" i="78"/>
  <c r="J77" i="93"/>
  <c r="I9" i="92" s="1"/>
  <c r="O9" i="92" s="1"/>
  <c r="N113" i="92" s="1"/>
  <c r="P113" i="92" s="1"/>
  <c r="T113" i="92" s="1"/>
  <c r="J7" i="91" s="1"/>
  <c r="F116" i="78"/>
  <c r="H23" i="74" s="1"/>
  <c r="F119" i="66"/>
  <c r="F101" i="93"/>
  <c r="F102" i="93" s="1"/>
  <c r="D22" i="92" s="1"/>
  <c r="N22" i="92" s="1"/>
  <c r="G126" i="92" s="1"/>
  <c r="I126" i="92" s="1"/>
  <c r="M126" i="92" s="1"/>
  <c r="I14" i="91" s="1"/>
  <c r="F114" i="66"/>
  <c r="J114" i="66" s="1"/>
  <c r="H9" i="69" s="1"/>
  <c r="K9" i="69" s="1"/>
  <c r="L9" i="69" s="1"/>
  <c r="O9" i="69" s="1"/>
  <c r="Q9" i="69" s="1"/>
  <c r="X20" i="17"/>
  <c r="Y21" i="17"/>
  <c r="AA21" i="17" s="1"/>
  <c r="K112" i="85"/>
  <c r="J121" i="78"/>
  <c r="Q51" i="95"/>
  <c r="W49" i="96"/>
  <c r="G121" i="95"/>
  <c r="I121" i="95" s="1"/>
  <c r="Q20" i="95"/>
  <c r="Y22" i="17"/>
  <c r="AA22" i="17" s="1"/>
  <c r="T116" i="85"/>
  <c r="J23" i="84" s="1"/>
  <c r="Q12" i="95"/>
  <c r="S131" i="95"/>
  <c r="F67" i="96"/>
  <c r="N42" i="95"/>
  <c r="O17" i="78"/>
  <c r="G77" i="93"/>
  <c r="E9" i="92" s="1"/>
  <c r="I119" i="85"/>
  <c r="M117" i="95"/>
  <c r="I17" i="94" s="1"/>
  <c r="U117" i="92"/>
  <c r="W117" i="92" s="1"/>
  <c r="AQ119" i="108" s="1"/>
  <c r="AR119" i="108" s="1"/>
  <c r="F123" i="66"/>
  <c r="J123" i="66" s="1"/>
  <c r="H14" i="69" s="1"/>
  <c r="L28" i="85"/>
  <c r="J108" i="85"/>
  <c r="L108" i="85" s="1"/>
  <c r="M108" i="85" s="1"/>
  <c r="P8" i="17"/>
  <c r="X11" i="17"/>
  <c r="E127" i="78"/>
  <c r="H127" i="85"/>
  <c r="P14" i="17"/>
  <c r="J108" i="78"/>
  <c r="L28" i="78"/>
  <c r="D108" i="78"/>
  <c r="F108" i="78" s="1"/>
  <c r="H4" i="74" s="1"/>
  <c r="O6" i="78"/>
  <c r="K120" i="85"/>
  <c r="L84" i="85"/>
  <c r="F101" i="96"/>
  <c r="F102" i="96" s="1"/>
  <c r="M102" i="96" s="1"/>
  <c r="F128" i="95"/>
  <c r="G107" i="96"/>
  <c r="N127" i="78"/>
  <c r="T125" i="78"/>
  <c r="J15" i="74" s="1"/>
  <c r="B13" i="83" s="1"/>
  <c r="I116" i="78"/>
  <c r="I112" i="85"/>
  <c r="S127" i="78"/>
  <c r="K116" i="95"/>
  <c r="X14" i="17"/>
  <c r="J120" i="85"/>
  <c r="L40" i="85"/>
  <c r="T108" i="85"/>
  <c r="J4" i="84" s="1"/>
  <c r="J115" i="85"/>
  <c r="L115" i="85" s="1"/>
  <c r="L35" i="85"/>
  <c r="P20" i="17"/>
  <c r="Q54" i="95"/>
  <c r="I118" i="85"/>
  <c r="T121" i="78"/>
  <c r="J20" i="74" s="1"/>
  <c r="G107" i="93"/>
  <c r="E23" i="92" s="1"/>
  <c r="M122" i="92"/>
  <c r="I19" i="91" s="1"/>
  <c r="E127" i="85"/>
  <c r="L36" i="85"/>
  <c r="F115" i="66"/>
  <c r="D108" i="85"/>
  <c r="F108" i="85" s="1"/>
  <c r="H4" i="84" s="1"/>
  <c r="O6" i="85"/>
  <c r="D115" i="78"/>
  <c r="F115" i="78" s="1"/>
  <c r="O13" i="78"/>
  <c r="L43" i="78"/>
  <c r="J123" i="78"/>
  <c r="D120" i="78"/>
  <c r="F120" i="78" s="1"/>
  <c r="O18" i="78"/>
  <c r="J113" i="85"/>
  <c r="L113" i="85" s="1"/>
  <c r="L33" i="85"/>
  <c r="F106" i="93"/>
  <c r="F107" i="93" s="1"/>
  <c r="D23" i="92" s="1"/>
  <c r="J107" i="96"/>
  <c r="W49" i="93"/>
  <c r="F106" i="96"/>
  <c r="F107" i="96" s="1"/>
  <c r="G97" i="96"/>
  <c r="Q58" i="95"/>
  <c r="J82" i="93"/>
  <c r="I10" i="92" s="1"/>
  <c r="O10" i="92" s="1"/>
  <c r="N114" i="92" s="1"/>
  <c r="P114" i="92" s="1"/>
  <c r="T114" i="92" s="1"/>
  <c r="J8" i="91" s="1"/>
  <c r="K130" i="66"/>
  <c r="F82" i="93"/>
  <c r="D10" i="92" s="1"/>
  <c r="H107" i="93"/>
  <c r="F23" i="92" s="1"/>
  <c r="J97" i="96"/>
  <c r="F97" i="96"/>
  <c r="L38" i="78"/>
  <c r="T112" i="85"/>
  <c r="J8" i="84" s="1"/>
  <c r="J67" i="93"/>
  <c r="I7" i="92" s="1"/>
  <c r="O7" i="92" s="1"/>
  <c r="N111" i="92" s="1"/>
  <c r="P111" i="92" s="1"/>
  <c r="H82" i="93"/>
  <c r="F10" i="92" s="1"/>
  <c r="H67" i="93"/>
  <c r="F7" i="92" s="1"/>
  <c r="M9" i="79"/>
  <c r="N9" i="79" s="1"/>
  <c r="U115" i="73"/>
  <c r="W115" i="73" s="1"/>
  <c r="K112" i="95"/>
  <c r="L112" i="95" s="1"/>
  <c r="F76" i="93"/>
  <c r="F77" i="93" s="1"/>
  <c r="I77" i="96"/>
  <c r="K77" i="96"/>
  <c r="J92" i="96"/>
  <c r="G92" i="96"/>
  <c r="G82" i="93"/>
  <c r="E10" i="92" s="1"/>
  <c r="H131" i="95"/>
  <c r="H127" i="78"/>
  <c r="X6" i="17"/>
  <c r="J67" i="96"/>
  <c r="G67" i="96"/>
  <c r="I125" i="78"/>
  <c r="K77" i="93"/>
  <c r="H9" i="92" s="1"/>
  <c r="I77" i="93"/>
  <c r="G9" i="92" s="1"/>
  <c r="F76" i="96"/>
  <c r="F77" i="96" s="1"/>
  <c r="J4" i="79"/>
  <c r="T127" i="73"/>
  <c r="D116" i="92"/>
  <c r="F116" i="92" s="1"/>
  <c r="U116" i="92" s="1"/>
  <c r="W116" i="92" s="1"/>
  <c r="AQ118" i="108" s="1"/>
  <c r="AR118" i="108" s="1"/>
  <c r="P12" i="92"/>
  <c r="I125" i="85"/>
  <c r="N36" i="95"/>
  <c r="J120" i="95"/>
  <c r="D121" i="85"/>
  <c r="F121" i="85" s="1"/>
  <c r="O19" i="85"/>
  <c r="I107" i="96"/>
  <c r="K107" i="96"/>
  <c r="F108" i="66"/>
  <c r="X14" i="79"/>
  <c r="Q14" i="79"/>
  <c r="D19" i="80"/>
  <c r="H107" i="96"/>
  <c r="G126" i="95"/>
  <c r="I126" i="95" s="1"/>
  <c r="H10" i="74"/>
  <c r="P17" i="17"/>
  <c r="P11" i="17"/>
  <c r="D127" i="95"/>
  <c r="Q21" i="95"/>
  <c r="H92" i="96"/>
  <c r="L45" i="85"/>
  <c r="J125" i="85"/>
  <c r="F119" i="95"/>
  <c r="K107" i="93"/>
  <c r="H23" i="92" s="1"/>
  <c r="I107" i="93"/>
  <c r="G23" i="92" s="1"/>
  <c r="E127" i="95"/>
  <c r="Q65" i="95"/>
  <c r="I109" i="78"/>
  <c r="G127" i="78"/>
  <c r="F116" i="95"/>
  <c r="J109" i="85"/>
  <c r="L29" i="85"/>
  <c r="I109" i="85"/>
  <c r="G127" i="85"/>
  <c r="G119" i="95"/>
  <c r="I119" i="95" s="1"/>
  <c r="W108" i="73"/>
  <c r="T118" i="85"/>
  <c r="J11" i="84" s="1"/>
  <c r="H97" i="93"/>
  <c r="F21" i="92" s="1"/>
  <c r="G97" i="93"/>
  <c r="E21" i="92" s="1"/>
  <c r="D20" i="92"/>
  <c r="O16" i="78"/>
  <c r="D118" i="78"/>
  <c r="F118" i="78" s="1"/>
  <c r="J125" i="78"/>
  <c r="L45" i="78"/>
  <c r="L73" i="78"/>
  <c r="K109" i="78"/>
  <c r="M125" i="95"/>
  <c r="I20" i="94" s="1"/>
  <c r="U125" i="95"/>
  <c r="W125" i="95" s="1"/>
  <c r="S127" i="85"/>
  <c r="H12" i="84"/>
  <c r="M127" i="73"/>
  <c r="L119" i="95"/>
  <c r="J97" i="93"/>
  <c r="I21" i="92" s="1"/>
  <c r="O21" i="92" s="1"/>
  <c r="N125" i="92" s="1"/>
  <c r="P125" i="92" s="1"/>
  <c r="T125" i="92" s="1"/>
  <c r="J13" i="91" s="1"/>
  <c r="F97" i="93"/>
  <c r="K92" i="93"/>
  <c r="H20" i="92" s="1"/>
  <c r="I92" i="93"/>
  <c r="G20" i="92" s="1"/>
  <c r="I67" i="93"/>
  <c r="G7" i="92" s="1"/>
  <c r="X16" i="17"/>
  <c r="I118" i="78"/>
  <c r="T121" i="85"/>
  <c r="J20" i="84" s="1"/>
  <c r="L39" i="78"/>
  <c r="J119" i="78"/>
  <c r="I111" i="66"/>
  <c r="H14" i="94"/>
  <c r="H14" i="84"/>
  <c r="H14" i="91"/>
  <c r="I115" i="95"/>
  <c r="F122" i="95"/>
  <c r="I82" i="96"/>
  <c r="I117" i="66"/>
  <c r="X5" i="17"/>
  <c r="O14" i="78"/>
  <c r="L116" i="78"/>
  <c r="I120" i="95"/>
  <c r="D121" i="78"/>
  <c r="F121" i="78" s="1"/>
  <c r="O19" i="78"/>
  <c r="O16" i="85"/>
  <c r="D118" i="85"/>
  <c r="F118" i="85" s="1"/>
  <c r="D122" i="92"/>
  <c r="F122" i="92" s="1"/>
  <c r="U122" i="92" s="1"/>
  <c r="W122" i="92" s="1"/>
  <c r="AQ124" i="108" s="1"/>
  <c r="AR124" i="108" s="1"/>
  <c r="P18" i="92"/>
  <c r="G127" i="95"/>
  <c r="I127" i="95" s="1"/>
  <c r="I108" i="66"/>
  <c r="H13" i="83"/>
  <c r="D13" i="83"/>
  <c r="K127" i="95"/>
  <c r="N87" i="95"/>
  <c r="O17" i="85"/>
  <c r="D119" i="85"/>
  <c r="F119" i="85" s="1"/>
  <c r="D116" i="85"/>
  <c r="F116" i="85" s="1"/>
  <c r="O14" i="85"/>
  <c r="Q23" i="95"/>
  <c r="D129" i="95"/>
  <c r="F129" i="95" s="1"/>
  <c r="H6" i="94"/>
  <c r="H6" i="84"/>
  <c r="H6" i="91"/>
  <c r="F111" i="66"/>
  <c r="X23" i="17"/>
  <c r="T109" i="78"/>
  <c r="P127" i="78"/>
  <c r="M29" i="69"/>
  <c r="Q19" i="79"/>
  <c r="S19" i="79" s="1"/>
  <c r="K92" i="96"/>
  <c r="I92" i="96"/>
  <c r="L82" i="85"/>
  <c r="K118" i="85"/>
  <c r="L118" i="85" s="1"/>
  <c r="O23" i="85"/>
  <c r="D125" i="85"/>
  <c r="F125" i="85" s="1"/>
  <c r="L89" i="85"/>
  <c r="K125" i="85"/>
  <c r="P131" i="95"/>
  <c r="T112" i="95"/>
  <c r="L39" i="85"/>
  <c r="J119" i="85"/>
  <c r="L119" i="85" s="1"/>
  <c r="H12" i="74"/>
  <c r="H17" i="94"/>
  <c r="H17" i="91"/>
  <c r="M17" i="91" s="1"/>
  <c r="N17" i="91" s="1"/>
  <c r="M124" i="95"/>
  <c r="I19" i="94" s="1"/>
  <c r="U124" i="95"/>
  <c r="W124" i="95" s="1"/>
  <c r="D123" i="92"/>
  <c r="F123" i="92" s="1"/>
  <c r="U123" i="92" s="1"/>
  <c r="W123" i="92" s="1"/>
  <c r="AQ125" i="108" s="1"/>
  <c r="AR125" i="108" s="1"/>
  <c r="P19" i="92"/>
  <c r="D109" i="85"/>
  <c r="O7" i="85"/>
  <c r="J112" i="85"/>
  <c r="L32" i="85"/>
  <c r="M112" i="96"/>
  <c r="P109" i="85"/>
  <c r="N127" i="85"/>
  <c r="U123" i="95"/>
  <c r="W123" i="95" s="1"/>
  <c r="D7" i="92"/>
  <c r="Q9" i="79"/>
  <c r="S9" i="79" s="1"/>
  <c r="K125" i="78"/>
  <c r="L89" i="78"/>
  <c r="I129" i="95"/>
  <c r="AT123" i="95"/>
  <c r="AQ121" i="92"/>
  <c r="N43" i="95"/>
  <c r="J127" i="95"/>
  <c r="L73" i="85"/>
  <c r="K109" i="85"/>
  <c r="D25" i="76"/>
  <c r="X8" i="17"/>
  <c r="G112" i="95"/>
  <c r="O10" i="78"/>
  <c r="D112" i="78"/>
  <c r="F112" i="78" s="1"/>
  <c r="X17" i="17"/>
  <c r="E112" i="95"/>
  <c r="Q50" i="95"/>
  <c r="F91" i="96"/>
  <c r="F92" i="96" s="1"/>
  <c r="I82" i="93"/>
  <c r="G10" i="92" s="1"/>
  <c r="J107" i="93"/>
  <c r="I23" i="92" s="1"/>
  <c r="O23" i="92" s="1"/>
  <c r="N127" i="92" s="1"/>
  <c r="P127" i="92" s="1"/>
  <c r="T127" i="92" s="1"/>
  <c r="J15" i="91" s="1"/>
  <c r="L29" i="78"/>
  <c r="J109" i="78"/>
  <c r="H97" i="96"/>
  <c r="P12" i="17"/>
  <c r="Q67" i="95"/>
  <c r="D109" i="78"/>
  <c r="O7" i="78"/>
  <c r="D115" i="92"/>
  <c r="F115" i="92" s="1"/>
  <c r="U115" i="92" s="1"/>
  <c r="W115" i="92" s="1"/>
  <c r="AQ117" i="108" s="1"/>
  <c r="AR117" i="108" s="1"/>
  <c r="P11" i="92"/>
  <c r="H67" i="96"/>
  <c r="Q64" i="95"/>
  <c r="E126" i="95"/>
  <c r="F126" i="95" s="1"/>
  <c r="P16" i="92"/>
  <c r="D120" i="92"/>
  <c r="F120" i="92" s="1"/>
  <c r="U120" i="92" s="1"/>
  <c r="W120" i="92" s="1"/>
  <c r="AQ122" i="108" s="1"/>
  <c r="AR122" i="108" s="1"/>
  <c r="H10" i="94"/>
  <c r="H10" i="84"/>
  <c r="H10" i="91"/>
  <c r="E14" i="92"/>
  <c r="M112" i="93"/>
  <c r="I97" i="93"/>
  <c r="G21" i="92" s="1"/>
  <c r="G67" i="93"/>
  <c r="E7" i="92" s="1"/>
  <c r="P16" i="17"/>
  <c r="I124" i="66"/>
  <c r="J124" i="66" s="1"/>
  <c r="H15" i="69" s="1"/>
  <c r="K15" i="69" s="1"/>
  <c r="L15" i="69" s="1"/>
  <c r="D112" i="85"/>
  <c r="F112" i="85" s="1"/>
  <c r="O10" i="85"/>
  <c r="Q6" i="95"/>
  <c r="G82" i="96"/>
  <c r="D125" i="78"/>
  <c r="F125" i="78" s="1"/>
  <c r="O23" i="78"/>
  <c r="P5" i="17"/>
  <c r="B13" i="61"/>
  <c r="I25" i="79"/>
  <c r="I30" i="74" s="1"/>
  <c r="L80" i="85"/>
  <c r="K116" i="85"/>
  <c r="L116" i="85" s="1"/>
  <c r="M116" i="85" s="1"/>
  <c r="I23" i="84" s="1"/>
  <c r="L129" i="92"/>
  <c r="F119" i="78"/>
  <c r="L115" i="95"/>
  <c r="R25" i="94" l="1"/>
  <c r="AX131" i="108"/>
  <c r="K142" i="125"/>
  <c r="K146" i="125"/>
  <c r="I142" i="125"/>
  <c r="I146" i="125"/>
  <c r="H142" i="125"/>
  <c r="H146" i="125"/>
  <c r="J142" i="125"/>
  <c r="J146" i="125"/>
  <c r="F142" i="125"/>
  <c r="F146" i="125"/>
  <c r="L139" i="125"/>
  <c r="L154" i="137"/>
  <c r="G142" i="125"/>
  <c r="G146" i="125"/>
  <c r="M117" i="78"/>
  <c r="I10" i="74" s="1"/>
  <c r="U117" i="78"/>
  <c r="W117" i="78" s="1"/>
  <c r="M87" i="93"/>
  <c r="N15" i="92"/>
  <c r="G119" i="92" s="1"/>
  <c r="I119" i="92" s="1"/>
  <c r="M119" i="92" s="1"/>
  <c r="I10" i="91" s="1"/>
  <c r="M10" i="91" s="1"/>
  <c r="N10" i="91" s="1"/>
  <c r="Q10" i="91" s="1"/>
  <c r="R10" i="91" s="1"/>
  <c r="M120" i="78"/>
  <c r="I19" i="74" s="1"/>
  <c r="M122" i="85"/>
  <c r="I12" i="84" s="1"/>
  <c r="M12" i="84" s="1"/>
  <c r="N12" i="84" s="1"/>
  <c r="Z4" i="104"/>
  <c r="AB4" i="104" s="1"/>
  <c r="R4" i="104"/>
  <c r="S4" i="104" s="1"/>
  <c r="L116" i="95"/>
  <c r="M116" i="95" s="1"/>
  <c r="I8" i="94" s="1"/>
  <c r="B18" i="111"/>
  <c r="F18" i="111" s="1"/>
  <c r="B15" i="105"/>
  <c r="Z22" i="104"/>
  <c r="AB22" i="104" s="1"/>
  <c r="R22" i="104"/>
  <c r="S22" i="104" s="1"/>
  <c r="S17" i="104"/>
  <c r="Z13" i="104"/>
  <c r="AB13" i="104" s="1"/>
  <c r="L5" i="104"/>
  <c r="K25" i="104"/>
  <c r="J117" i="66"/>
  <c r="H11" i="69" s="1"/>
  <c r="K11" i="69" s="1"/>
  <c r="L11" i="69" s="1"/>
  <c r="M123" i="85"/>
  <c r="I13" i="84" s="1"/>
  <c r="H9" i="91"/>
  <c r="M9" i="91" s="1"/>
  <c r="N9" i="91" s="1"/>
  <c r="Y9" i="91" s="1"/>
  <c r="AA9" i="91" s="1"/>
  <c r="L113" i="95"/>
  <c r="U113" i="95" s="1"/>
  <c r="W113" i="95" s="1"/>
  <c r="AO113" i="95" s="1"/>
  <c r="M121" i="85"/>
  <c r="I20" i="84" s="1"/>
  <c r="H21" i="68"/>
  <c r="K21" i="68" s="1"/>
  <c r="M110" i="78"/>
  <c r="I6" i="74" s="1"/>
  <c r="M6" i="74" s="1"/>
  <c r="N6" i="74" s="1"/>
  <c r="Q6" i="74" s="1"/>
  <c r="S6" i="74" s="1"/>
  <c r="M114" i="95"/>
  <c r="I6" i="94" s="1"/>
  <c r="H22" i="91"/>
  <c r="M22" i="91" s="1"/>
  <c r="N22" i="91" s="1"/>
  <c r="Y22" i="91" s="1"/>
  <c r="AA22" i="91" s="1"/>
  <c r="M22" i="92"/>
  <c r="H9" i="84"/>
  <c r="AA19" i="17"/>
  <c r="H6" i="68"/>
  <c r="K6" i="68" s="1"/>
  <c r="Q6" i="68" s="1"/>
  <c r="L123" i="78"/>
  <c r="M115" i="85"/>
  <c r="I9" i="84" s="1"/>
  <c r="M72" i="96"/>
  <c r="U111" i="85"/>
  <c r="W111" i="85" s="1"/>
  <c r="H12" i="94"/>
  <c r="M10" i="74"/>
  <c r="N10" i="74" s="1"/>
  <c r="Q10" i="74" s="1"/>
  <c r="S10" i="74" s="1"/>
  <c r="J115" i="66"/>
  <c r="H23" i="69" s="1"/>
  <c r="K23" i="69" s="1"/>
  <c r="L23" i="69" s="1"/>
  <c r="O23" i="69" s="1"/>
  <c r="Q23" i="69" s="1"/>
  <c r="M121" i="95"/>
  <c r="I10" i="94" s="1"/>
  <c r="L122" i="78"/>
  <c r="U122" i="78" s="1"/>
  <c r="W122" i="78" s="1"/>
  <c r="M124" i="78"/>
  <c r="I14" i="74" s="1"/>
  <c r="L117" i="85"/>
  <c r="M117" i="85" s="1"/>
  <c r="I10" i="84" s="1"/>
  <c r="M10" i="84" s="1"/>
  <c r="N10" i="84" s="1"/>
  <c r="U122" i="85"/>
  <c r="W122" i="85" s="1"/>
  <c r="L110" i="85"/>
  <c r="U110" i="85" s="1"/>
  <c r="W110" i="85" s="1"/>
  <c r="J122" i="66"/>
  <c r="H13" i="69" s="1"/>
  <c r="K13" i="69" s="1"/>
  <c r="L13" i="69" s="1"/>
  <c r="O13" i="69" s="1"/>
  <c r="Q13" i="69" s="1"/>
  <c r="N12" i="68"/>
  <c r="J107" i="66"/>
  <c r="H4" i="69" s="1"/>
  <c r="K4" i="69" s="1"/>
  <c r="L4" i="69" s="1"/>
  <c r="H19" i="94"/>
  <c r="H19" i="91"/>
  <c r="M19" i="91" s="1"/>
  <c r="N19" i="91" s="1"/>
  <c r="Y19" i="91" s="1"/>
  <c r="AA19" i="91" s="1"/>
  <c r="Y12" i="17"/>
  <c r="H9" i="68" s="1"/>
  <c r="K9" i="68" s="1"/>
  <c r="U124" i="78"/>
  <c r="W124" i="78" s="1"/>
  <c r="H15" i="68"/>
  <c r="K15" i="68" s="1"/>
  <c r="Q15" i="68" s="1"/>
  <c r="M62" i="93"/>
  <c r="Y6" i="17"/>
  <c r="AA6" i="17" s="1"/>
  <c r="N6" i="92"/>
  <c r="G110" i="92" s="1"/>
  <c r="I110" i="92" s="1"/>
  <c r="M110" i="92" s="1"/>
  <c r="U114" i="78"/>
  <c r="W114" i="78" s="1"/>
  <c r="M124" i="85"/>
  <c r="I14" i="84" s="1"/>
  <c r="M14" i="84" s="1"/>
  <c r="N14" i="84" s="1"/>
  <c r="Y14" i="84" s="1"/>
  <c r="AA14" i="84" s="1"/>
  <c r="M118" i="85"/>
  <c r="I11" i="84" s="1"/>
  <c r="M123" i="78"/>
  <c r="I13" i="74" s="1"/>
  <c r="M13" i="74" s="1"/>
  <c r="N13" i="74" s="1"/>
  <c r="Q13" i="74" s="1"/>
  <c r="S13" i="74" s="1"/>
  <c r="J119" i="66"/>
  <c r="H19" i="69" s="1"/>
  <c r="K19" i="69" s="1"/>
  <c r="L19" i="69" s="1"/>
  <c r="O19" i="69" s="1"/>
  <c r="Q19" i="69" s="1"/>
  <c r="M114" i="78"/>
  <c r="I22" i="74" s="1"/>
  <c r="M22" i="74" s="1"/>
  <c r="N22" i="74" s="1"/>
  <c r="Q22" i="74" s="1"/>
  <c r="S22" i="74" s="1"/>
  <c r="P15" i="92"/>
  <c r="H14" i="61"/>
  <c r="U123" i="85"/>
  <c r="W123" i="85" s="1"/>
  <c r="J118" i="66"/>
  <c r="H18" i="69" s="1"/>
  <c r="K18" i="69" s="1"/>
  <c r="L18" i="69" s="1"/>
  <c r="O18" i="69" s="1"/>
  <c r="Q18" i="69" s="1"/>
  <c r="U111" i="78"/>
  <c r="W111" i="78" s="1"/>
  <c r="AA15" i="17"/>
  <c r="H11" i="68"/>
  <c r="K11" i="68" s="1"/>
  <c r="H7" i="91"/>
  <c r="U124" i="85"/>
  <c r="W124" i="85" s="1"/>
  <c r="H14" i="74"/>
  <c r="L108" i="78"/>
  <c r="M108" i="78" s="1"/>
  <c r="I4" i="74" s="1"/>
  <c r="M4" i="74" s="1"/>
  <c r="M122" i="95"/>
  <c r="I11" i="94" s="1"/>
  <c r="H7" i="74"/>
  <c r="M7" i="74" s="1"/>
  <c r="N7" i="74" s="1"/>
  <c r="Q7" i="74" s="1"/>
  <c r="S7" i="74" s="1"/>
  <c r="H7" i="84"/>
  <c r="M7" i="84" s="1"/>
  <c r="N7" i="84" s="1"/>
  <c r="AA10" i="17"/>
  <c r="L112" i="78"/>
  <c r="M112" i="78" s="1"/>
  <c r="I8" i="74" s="1"/>
  <c r="U114" i="85"/>
  <c r="W114" i="85" s="1"/>
  <c r="H13" i="94"/>
  <c r="AA9" i="17"/>
  <c r="U119" i="92"/>
  <c r="W119" i="92" s="1"/>
  <c r="H22" i="84"/>
  <c r="M22" i="84" s="1"/>
  <c r="N22" i="84" s="1"/>
  <c r="Y22" i="84" s="1"/>
  <c r="AA22" i="84" s="1"/>
  <c r="N18" i="68"/>
  <c r="P18" i="68" s="1"/>
  <c r="P26" i="68" s="1"/>
  <c r="P28" i="68" s="1"/>
  <c r="H13" i="84"/>
  <c r="M13" i="84" s="1"/>
  <c r="N13" i="84" s="1"/>
  <c r="Q13" i="84" s="1"/>
  <c r="R13" i="84" s="1"/>
  <c r="H24" i="68"/>
  <c r="K24" i="68" s="1"/>
  <c r="N24" i="68" s="1"/>
  <c r="U118" i="95"/>
  <c r="W118" i="95" s="1"/>
  <c r="AO118" i="95" s="1"/>
  <c r="L121" i="78"/>
  <c r="M121" i="78" s="1"/>
  <c r="I20" i="74" s="1"/>
  <c r="J120" i="66"/>
  <c r="H20" i="69" s="1"/>
  <c r="K20" i="69" s="1"/>
  <c r="L20" i="69" s="1"/>
  <c r="O20" i="69" s="1"/>
  <c r="Q20" i="69" s="1"/>
  <c r="H14" i="68"/>
  <c r="K14" i="68" s="1"/>
  <c r="Q14" i="68" s="1"/>
  <c r="Y8" i="17"/>
  <c r="H7" i="68" s="1"/>
  <c r="K7" i="68" s="1"/>
  <c r="U110" i="78"/>
  <c r="W110" i="78" s="1"/>
  <c r="M126" i="95"/>
  <c r="I12" i="94" s="1"/>
  <c r="M102" i="93"/>
  <c r="U128" i="95"/>
  <c r="W128" i="95" s="1"/>
  <c r="AO128" i="95" s="1"/>
  <c r="L119" i="78"/>
  <c r="M119" i="78" s="1"/>
  <c r="I18" i="74" s="1"/>
  <c r="U123" i="78"/>
  <c r="W123" i="78" s="1"/>
  <c r="M128" i="95"/>
  <c r="I14" i="94" s="1"/>
  <c r="Y23" i="17"/>
  <c r="AA23" i="17" s="1"/>
  <c r="Y20" i="17"/>
  <c r="AA20" i="17" s="1"/>
  <c r="M110" i="85"/>
  <c r="I6" i="84" s="1"/>
  <c r="M6" i="84" s="1"/>
  <c r="N6" i="84" s="1"/>
  <c r="U126" i="95"/>
  <c r="W126" i="95" s="1"/>
  <c r="AO126" i="95" s="1"/>
  <c r="H19" i="84"/>
  <c r="I127" i="85"/>
  <c r="M107" i="96"/>
  <c r="O8" i="92"/>
  <c r="N112" i="92" s="1"/>
  <c r="P112" i="92" s="1"/>
  <c r="T112" i="92" s="1"/>
  <c r="J6" i="91" s="1"/>
  <c r="N8" i="92"/>
  <c r="G112" i="92" s="1"/>
  <c r="I112" i="92" s="1"/>
  <c r="M112" i="92" s="1"/>
  <c r="I6" i="91" s="1"/>
  <c r="M82" i="96"/>
  <c r="U114" i="95"/>
  <c r="W114" i="95" s="1"/>
  <c r="M8" i="92"/>
  <c r="B13" i="80"/>
  <c r="K14" i="69"/>
  <c r="L14" i="69" s="1"/>
  <c r="O14" i="69" s="1"/>
  <c r="Q14" i="69" s="1"/>
  <c r="U113" i="78"/>
  <c r="W113" i="78" s="1"/>
  <c r="U108" i="85"/>
  <c r="W108" i="85" s="1"/>
  <c r="AN112" i="108" s="1"/>
  <c r="AO112" i="108" s="1"/>
  <c r="U121" i="95"/>
  <c r="W121" i="95" s="1"/>
  <c r="L112" i="85"/>
  <c r="M112" i="85" s="1"/>
  <c r="I8" i="84" s="1"/>
  <c r="W127" i="73"/>
  <c r="L120" i="95"/>
  <c r="U120" i="95" s="1"/>
  <c r="W120" i="95" s="1"/>
  <c r="AO120" i="95" s="1"/>
  <c r="L120" i="85"/>
  <c r="M120" i="85" s="1"/>
  <c r="I19" i="84" s="1"/>
  <c r="L127" i="95"/>
  <c r="M127" i="95" s="1"/>
  <c r="I13" i="94" s="1"/>
  <c r="M17" i="74"/>
  <c r="N17" i="74" s="1"/>
  <c r="Q17" i="74" s="1"/>
  <c r="S17" i="74" s="1"/>
  <c r="M119" i="85"/>
  <c r="I18" i="84" s="1"/>
  <c r="D110" i="92"/>
  <c r="F110" i="92" s="1"/>
  <c r="J111" i="66"/>
  <c r="H8" i="69" s="1"/>
  <c r="K8" i="69" s="1"/>
  <c r="L8" i="69" s="1"/>
  <c r="O8" i="69" s="1"/>
  <c r="Q8" i="69" s="1"/>
  <c r="U116" i="78"/>
  <c r="W116" i="78" s="1"/>
  <c r="U127" i="73"/>
  <c r="D131" i="95"/>
  <c r="Y14" i="17"/>
  <c r="AA14" i="17" s="1"/>
  <c r="AQ117" i="92"/>
  <c r="AT119" i="95"/>
  <c r="H19" i="74"/>
  <c r="M19" i="74" s="1"/>
  <c r="N19" i="74" s="1"/>
  <c r="Q19" i="74" s="1"/>
  <c r="S19" i="74" s="1"/>
  <c r="U120" i="78"/>
  <c r="W120" i="78" s="1"/>
  <c r="M113" i="85"/>
  <c r="I17" i="84" s="1"/>
  <c r="M17" i="84" s="1"/>
  <c r="N17" i="84" s="1"/>
  <c r="U113" i="85"/>
  <c r="W113" i="85" s="1"/>
  <c r="H4" i="94"/>
  <c r="K131" i="95"/>
  <c r="I127" i="78"/>
  <c r="H9" i="74"/>
  <c r="M9" i="74" s="1"/>
  <c r="N9" i="74" s="1"/>
  <c r="Q9" i="74" s="1"/>
  <c r="S9" i="74" s="1"/>
  <c r="U115" i="78"/>
  <c r="W115" i="78" s="1"/>
  <c r="H4" i="91"/>
  <c r="U115" i="95"/>
  <c r="W115" i="95" s="1"/>
  <c r="M67" i="96"/>
  <c r="Y11" i="17"/>
  <c r="AA11" i="17" s="1"/>
  <c r="U115" i="85"/>
  <c r="W115" i="85" s="1"/>
  <c r="M118" i="95"/>
  <c r="I22" i="94" s="1"/>
  <c r="M92" i="96"/>
  <c r="M92" i="93"/>
  <c r="D9" i="92"/>
  <c r="M77" i="93"/>
  <c r="M97" i="96"/>
  <c r="E131" i="95"/>
  <c r="U122" i="95"/>
  <c r="W122" i="95" s="1"/>
  <c r="M77" i="96"/>
  <c r="O15" i="69"/>
  <c r="Q15" i="69" s="1"/>
  <c r="H16" i="68"/>
  <c r="K16" i="68" s="1"/>
  <c r="H8" i="94"/>
  <c r="H8" i="84"/>
  <c r="H8" i="91"/>
  <c r="N14" i="92"/>
  <c r="G118" i="92" s="1"/>
  <c r="I118" i="92" s="1"/>
  <c r="M118" i="92" s="1"/>
  <c r="I23" i="91" s="1"/>
  <c r="M14" i="92"/>
  <c r="G131" i="95"/>
  <c r="I112" i="95"/>
  <c r="T12" i="68"/>
  <c r="V12" i="68" s="1"/>
  <c r="X12" i="68" s="1"/>
  <c r="AQ122" i="92"/>
  <c r="AT124" i="95"/>
  <c r="AU124" i="95" s="1"/>
  <c r="AB18" i="68"/>
  <c r="AC18" i="68" s="1"/>
  <c r="AD18" i="68" s="1"/>
  <c r="AE18" i="68" s="1"/>
  <c r="R17" i="69" s="1"/>
  <c r="S17" i="69" s="1"/>
  <c r="T18" i="68"/>
  <c r="V18" i="68" s="1"/>
  <c r="X18" i="68" s="1"/>
  <c r="Y18" i="68" s="1"/>
  <c r="Z18" i="68" s="1"/>
  <c r="L109" i="85"/>
  <c r="M109" i="85" s="1"/>
  <c r="I5" i="84" s="1"/>
  <c r="J127" i="85"/>
  <c r="Y17" i="17"/>
  <c r="J108" i="66"/>
  <c r="O11" i="69"/>
  <c r="Q11" i="69" s="1"/>
  <c r="M116" i="78"/>
  <c r="I23" i="74" s="1"/>
  <c r="M23" i="74" s="1"/>
  <c r="N23" i="74" s="1"/>
  <c r="F109" i="78"/>
  <c r="D127" i="78"/>
  <c r="Q8" i="68"/>
  <c r="N8" i="68"/>
  <c r="H8" i="74"/>
  <c r="M8" i="74" s="1"/>
  <c r="N8" i="74" s="1"/>
  <c r="AT125" i="95"/>
  <c r="AU125" i="95" s="1"/>
  <c r="AQ123" i="92"/>
  <c r="N15" i="68"/>
  <c r="H12" i="61"/>
  <c r="D12" i="61"/>
  <c r="H20" i="94"/>
  <c r="U121" i="85"/>
  <c r="W121" i="85" s="1"/>
  <c r="H20" i="84"/>
  <c r="M20" i="84" s="1"/>
  <c r="N20" i="84" s="1"/>
  <c r="H20" i="91"/>
  <c r="M20" i="91" s="1"/>
  <c r="N20" i="91" s="1"/>
  <c r="J25" i="79"/>
  <c r="J30" i="74" s="1"/>
  <c r="B14" i="61"/>
  <c r="Y33" i="94"/>
  <c r="AA33" i="94" s="1"/>
  <c r="AH33" i="94" s="1"/>
  <c r="AI33" i="94" s="1"/>
  <c r="AK33" i="94" s="1"/>
  <c r="P127" i="85"/>
  <c r="T109" i="85"/>
  <c r="AO124" i="95"/>
  <c r="H23" i="84"/>
  <c r="M23" i="84" s="1"/>
  <c r="N23" i="84" s="1"/>
  <c r="H23" i="94"/>
  <c r="H23" i="91"/>
  <c r="U116" i="85"/>
  <c r="W116" i="85" s="1"/>
  <c r="H20" i="74"/>
  <c r="M115" i="95"/>
  <c r="I7" i="94" s="1"/>
  <c r="J131" i="95"/>
  <c r="K127" i="78"/>
  <c r="L125" i="78"/>
  <c r="M125" i="78" s="1"/>
  <c r="I15" i="74" s="1"/>
  <c r="N20" i="92"/>
  <c r="G124" i="92" s="1"/>
  <c r="I124" i="92" s="1"/>
  <c r="M124" i="92" s="1"/>
  <c r="I12" i="91" s="1"/>
  <c r="M12" i="91" s="1"/>
  <c r="N12" i="91" s="1"/>
  <c r="M20" i="92"/>
  <c r="Y13" i="84"/>
  <c r="AA13" i="84" s="1"/>
  <c r="M119" i="95"/>
  <c r="I9" i="94" s="1"/>
  <c r="L125" i="85"/>
  <c r="U125" i="85" s="1"/>
  <c r="W125" i="85" s="1"/>
  <c r="AN129" i="108" s="1"/>
  <c r="AO129" i="108" s="1"/>
  <c r="M82" i="93"/>
  <c r="F127" i="95"/>
  <c r="S14" i="79"/>
  <c r="D30" i="80" s="1"/>
  <c r="D26" i="80"/>
  <c r="AT118" i="95"/>
  <c r="AQ116" i="92"/>
  <c r="N7" i="92"/>
  <c r="G111" i="92" s="1"/>
  <c r="M7" i="92"/>
  <c r="AU123" i="95"/>
  <c r="AO123" i="95"/>
  <c r="H15" i="94"/>
  <c r="H15" i="91"/>
  <c r="H15" i="84"/>
  <c r="M97" i="93"/>
  <c r="D21" i="92"/>
  <c r="AO125" i="95"/>
  <c r="N23" i="92"/>
  <c r="G127" i="92" s="1"/>
  <c r="I127" i="92" s="1"/>
  <c r="M127" i="92" s="1"/>
  <c r="I15" i="91" s="1"/>
  <c r="M23" i="92"/>
  <c r="T111" i="92"/>
  <c r="Y16" i="17"/>
  <c r="AT122" i="95"/>
  <c r="AQ120" i="92"/>
  <c r="Q17" i="91"/>
  <c r="R17" i="91" s="1"/>
  <c r="Y17" i="91"/>
  <c r="AA17" i="91" s="1"/>
  <c r="H11" i="91"/>
  <c r="M11" i="91" s="1"/>
  <c r="N11" i="91" s="1"/>
  <c r="H11" i="84"/>
  <c r="H11" i="94"/>
  <c r="U118" i="85"/>
  <c r="W118" i="85" s="1"/>
  <c r="I4" i="84"/>
  <c r="F112" i="95"/>
  <c r="U119" i="95"/>
  <c r="W119" i="95" s="1"/>
  <c r="N10" i="92"/>
  <c r="G114" i="92" s="1"/>
  <c r="I114" i="92" s="1"/>
  <c r="M114" i="92" s="1"/>
  <c r="I8" i="91" s="1"/>
  <c r="M10" i="92"/>
  <c r="H18" i="74"/>
  <c r="M4" i="79"/>
  <c r="Y5" i="17"/>
  <c r="H15" i="74"/>
  <c r="AQ115" i="92"/>
  <c r="AT117" i="95"/>
  <c r="AU117" i="95" s="1"/>
  <c r="AA12" i="17"/>
  <c r="L109" i="78"/>
  <c r="M109" i="78" s="1"/>
  <c r="I5" i="74" s="1"/>
  <c r="J127" i="78"/>
  <c r="N6" i="68"/>
  <c r="K127" i="85"/>
  <c r="M129" i="95"/>
  <c r="I15" i="94" s="1"/>
  <c r="M67" i="93"/>
  <c r="F109" i="85"/>
  <c r="D127" i="85"/>
  <c r="J4" i="94"/>
  <c r="T131" i="95"/>
  <c r="J5" i="74"/>
  <c r="J25" i="74" s="1"/>
  <c r="T127" i="78"/>
  <c r="U129" i="95"/>
  <c r="W129" i="95" s="1"/>
  <c r="H18" i="94"/>
  <c r="M18" i="94" s="1"/>
  <c r="N18" i="94" s="1"/>
  <c r="T18" i="94" s="1"/>
  <c r="U18" i="94" s="1"/>
  <c r="H18" i="84"/>
  <c r="U119" i="85"/>
  <c r="W119" i="85" s="1"/>
  <c r="H18" i="91"/>
  <c r="M18" i="91" s="1"/>
  <c r="N18" i="91" s="1"/>
  <c r="D126" i="92"/>
  <c r="F126" i="92" s="1"/>
  <c r="U126" i="92" s="1"/>
  <c r="W126" i="92" s="1"/>
  <c r="AQ128" i="108" s="1"/>
  <c r="AR128" i="108" s="1"/>
  <c r="P22" i="92"/>
  <c r="M14" i="91"/>
  <c r="N14" i="91" s="1"/>
  <c r="M118" i="78"/>
  <c r="I11" i="74" s="1"/>
  <c r="U118" i="78"/>
  <c r="W118" i="78" s="1"/>
  <c r="H11" i="74"/>
  <c r="Y14" i="79"/>
  <c r="Z14" i="79" s="1"/>
  <c r="AA14" i="79" s="1"/>
  <c r="T14" i="74" s="1"/>
  <c r="H19" i="80"/>
  <c r="H35" i="80" s="1"/>
  <c r="M107" i="93"/>
  <c r="I154" i="137" l="1"/>
  <c r="I157" i="137" s="1"/>
  <c r="F154" i="137"/>
  <c r="F157" i="137" s="1"/>
  <c r="J154" i="137"/>
  <c r="J157" i="137" s="1"/>
  <c r="G154" i="137"/>
  <c r="G156" i="137" s="1"/>
  <c r="H154" i="137"/>
  <c r="H156" i="137" s="1"/>
  <c r="E146" i="125"/>
  <c r="K154" i="137"/>
  <c r="Y12" i="84"/>
  <c r="AA12" i="84" s="1"/>
  <c r="Q12" i="84"/>
  <c r="R12" i="84" s="1"/>
  <c r="AQ127" i="95"/>
  <c r="AN127" i="108"/>
  <c r="AO127" i="108" s="1"/>
  <c r="AQ123" i="95"/>
  <c r="AR123" i="95" s="1"/>
  <c r="AN123" i="108"/>
  <c r="AO123" i="108" s="1"/>
  <c r="AQ117" i="95"/>
  <c r="AR117" i="95" s="1"/>
  <c r="AN117" i="108"/>
  <c r="AO117" i="108" s="1"/>
  <c r="AQ128" i="95"/>
  <c r="AN128" i="108"/>
  <c r="AO128" i="108" s="1"/>
  <c r="AQ125" i="95"/>
  <c r="AR125" i="95" s="1"/>
  <c r="AN125" i="108"/>
  <c r="AO125" i="108" s="1"/>
  <c r="AR114" i="95"/>
  <c r="P6" i="92"/>
  <c r="U121" i="78"/>
  <c r="W121" i="78" s="1"/>
  <c r="AQ119" i="95"/>
  <c r="AN119" i="108"/>
  <c r="AO119" i="108" s="1"/>
  <c r="AQ114" i="95"/>
  <c r="AN114" i="108"/>
  <c r="AO114" i="108" s="1"/>
  <c r="AQ118" i="95"/>
  <c r="AR118" i="95" s="1"/>
  <c r="AN118" i="108"/>
  <c r="AO118" i="108" s="1"/>
  <c r="AQ122" i="95"/>
  <c r="AN122" i="108"/>
  <c r="AO122" i="108" s="1"/>
  <c r="AQ126" i="95"/>
  <c r="AN126" i="108"/>
  <c r="AO126" i="108" s="1"/>
  <c r="AQ115" i="95"/>
  <c r="AR115" i="95" s="1"/>
  <c r="AN115" i="108"/>
  <c r="AO115" i="108" s="1"/>
  <c r="AQ120" i="95"/>
  <c r="AN120" i="108"/>
  <c r="AO120" i="108" s="1"/>
  <c r="U108" i="78"/>
  <c r="W108" i="78" s="1"/>
  <c r="AT121" i="95"/>
  <c r="AU121" i="95" s="1"/>
  <c r="AQ121" i="108"/>
  <c r="AR121" i="108" s="1"/>
  <c r="Q22" i="91"/>
  <c r="R22" i="91" s="1"/>
  <c r="U116" i="95"/>
  <c r="W116" i="95" s="1"/>
  <c r="AO116" i="95" s="1"/>
  <c r="AX19" i="104"/>
  <c r="M113" i="95"/>
  <c r="I5" i="94" s="1"/>
  <c r="R5" i="104"/>
  <c r="M17" i="94"/>
  <c r="N17" i="94" s="1"/>
  <c r="T17" i="94" s="1"/>
  <c r="U17" i="94" s="1"/>
  <c r="M22" i="94"/>
  <c r="N22" i="94" s="1"/>
  <c r="T22" i="94" s="1"/>
  <c r="U22" i="94" s="1"/>
  <c r="M11" i="94"/>
  <c r="N11" i="94" s="1"/>
  <c r="T11" i="94" s="1"/>
  <c r="U11" i="94" s="1"/>
  <c r="Z5" i="104"/>
  <c r="AB5" i="104" s="1"/>
  <c r="L25" i="104"/>
  <c r="M9" i="84"/>
  <c r="N9" i="84" s="1"/>
  <c r="Y9" i="84" s="1"/>
  <c r="AA9" i="84" s="1"/>
  <c r="Q9" i="91"/>
  <c r="R9" i="91" s="1"/>
  <c r="AA8" i="17"/>
  <c r="M14" i="74"/>
  <c r="N14" i="74" s="1"/>
  <c r="Q14" i="74" s="1"/>
  <c r="S14" i="74" s="1"/>
  <c r="Q21" i="68"/>
  <c r="N21" i="68"/>
  <c r="P21" i="68" s="1"/>
  <c r="M122" i="78"/>
  <c r="I12" i="74" s="1"/>
  <c r="M12" i="74" s="1"/>
  <c r="N12" i="74" s="1"/>
  <c r="Q12" i="74" s="1"/>
  <c r="S12" i="74" s="1"/>
  <c r="AR128" i="95"/>
  <c r="U117" i="85"/>
  <c r="W117" i="85" s="1"/>
  <c r="M18" i="84"/>
  <c r="N18" i="84" s="1"/>
  <c r="Q18" i="84" s="1"/>
  <c r="R18" i="84" s="1"/>
  <c r="Q24" i="68"/>
  <c r="T24" i="68" s="1"/>
  <c r="V24" i="68" s="1"/>
  <c r="X24" i="68" s="1"/>
  <c r="U112" i="78"/>
  <c r="W112" i="78" s="1"/>
  <c r="H5" i="68"/>
  <c r="K5" i="68" s="1"/>
  <c r="AO122" i="95"/>
  <c r="M11" i="84"/>
  <c r="N11" i="84" s="1"/>
  <c r="Y11" i="84" s="1"/>
  <c r="AA11" i="84" s="1"/>
  <c r="Q14" i="84"/>
  <c r="R14" i="84" s="1"/>
  <c r="AO114" i="95"/>
  <c r="N14" i="68"/>
  <c r="Y10" i="84"/>
  <c r="AA10" i="84" s="1"/>
  <c r="AE10" i="94" s="1"/>
  <c r="Q10" i="84"/>
  <c r="R10" i="84" s="1"/>
  <c r="N129" i="92"/>
  <c r="M20" i="74"/>
  <c r="N20" i="74" s="1"/>
  <c r="Q20" i="74" s="1"/>
  <c r="S20" i="74" s="1"/>
  <c r="Q19" i="91"/>
  <c r="R19" i="91" s="1"/>
  <c r="P129" i="92"/>
  <c r="H10" i="68"/>
  <c r="K10" i="68" s="1"/>
  <c r="N10" i="68" s="1"/>
  <c r="Q22" i="84"/>
  <c r="R22" i="84" s="1"/>
  <c r="M6" i="91"/>
  <c r="N6" i="91" s="1"/>
  <c r="Y6" i="91" s="1"/>
  <c r="AA6" i="91" s="1"/>
  <c r="AQ119" i="92"/>
  <c r="AO121" i="95"/>
  <c r="Q11" i="68"/>
  <c r="T11" i="68" s="1"/>
  <c r="V11" i="68" s="1"/>
  <c r="X11" i="68" s="1"/>
  <c r="N11" i="68"/>
  <c r="Q6" i="84"/>
  <c r="R6" i="84" s="1"/>
  <c r="Y6" i="84"/>
  <c r="AA6" i="84" s="1"/>
  <c r="AB6" i="91" s="1"/>
  <c r="H23" i="68"/>
  <c r="K23" i="68" s="1"/>
  <c r="N23" i="68" s="1"/>
  <c r="AR122" i="95"/>
  <c r="AU118" i="95"/>
  <c r="J32" i="74"/>
  <c r="U119" i="78"/>
  <c r="W119" i="78" s="1"/>
  <c r="AR120" i="95"/>
  <c r="AO115" i="95"/>
  <c r="U120" i="85"/>
  <c r="W120" i="85" s="1"/>
  <c r="H13" i="68"/>
  <c r="K13" i="68" s="1"/>
  <c r="Q13" i="68" s="1"/>
  <c r="T13" i="68" s="1"/>
  <c r="V13" i="68" s="1"/>
  <c r="X13" i="68" s="1"/>
  <c r="M120" i="95"/>
  <c r="I23" i="94" s="1"/>
  <c r="M18" i="74"/>
  <c r="N18" i="74" s="1"/>
  <c r="Q18" i="74" s="1"/>
  <c r="S18" i="74" s="1"/>
  <c r="L131" i="95"/>
  <c r="Q9" i="84"/>
  <c r="R9" i="84" s="1"/>
  <c r="U127" i="95"/>
  <c r="W127" i="95" s="1"/>
  <c r="AO127" i="95" s="1"/>
  <c r="Y10" i="91"/>
  <c r="AA10" i="91" s="1"/>
  <c r="M8" i="84"/>
  <c r="N8" i="84" s="1"/>
  <c r="Y8" i="84" s="1"/>
  <c r="AA8" i="84" s="1"/>
  <c r="AR126" i="95"/>
  <c r="M19" i="84"/>
  <c r="N19" i="84" s="1"/>
  <c r="Q19" i="84" s="1"/>
  <c r="R19" i="84" s="1"/>
  <c r="P8" i="92"/>
  <c r="D112" i="92"/>
  <c r="F112" i="92" s="1"/>
  <c r="U112" i="92" s="1"/>
  <c r="W112" i="92" s="1"/>
  <c r="AQ114" i="108" s="1"/>
  <c r="AR114" i="108" s="1"/>
  <c r="U112" i="85"/>
  <c r="W112" i="85" s="1"/>
  <c r="M11" i="74"/>
  <c r="N11" i="74" s="1"/>
  <c r="Q11" i="74" s="1"/>
  <c r="S11" i="74" s="1"/>
  <c r="U125" i="78"/>
  <c r="W125" i="78" s="1"/>
  <c r="AU122" i="95"/>
  <c r="M125" i="85"/>
  <c r="I15" i="84" s="1"/>
  <c r="D12" i="83" s="1"/>
  <c r="N9" i="92"/>
  <c r="G113" i="92" s="1"/>
  <c r="I113" i="92" s="1"/>
  <c r="M113" i="92" s="1"/>
  <c r="I7" i="91" s="1"/>
  <c r="M7" i="91" s="1"/>
  <c r="N7" i="91" s="1"/>
  <c r="M9" i="92"/>
  <c r="L127" i="78"/>
  <c r="M23" i="91"/>
  <c r="N23" i="91" s="1"/>
  <c r="Y23" i="91" s="1"/>
  <c r="AA23" i="91" s="1"/>
  <c r="Y12" i="91"/>
  <c r="AA12" i="91" s="1"/>
  <c r="Q12" i="91"/>
  <c r="R12" i="91" s="1"/>
  <c r="H5" i="94"/>
  <c r="H25" i="94" s="1"/>
  <c r="H5" i="84"/>
  <c r="H5" i="91"/>
  <c r="U109" i="85"/>
  <c r="F127" i="85"/>
  <c r="U112" i="95"/>
  <c r="F131" i="95"/>
  <c r="I111" i="92"/>
  <c r="Q23" i="74"/>
  <c r="S23" i="74" s="1"/>
  <c r="Q8" i="74"/>
  <c r="S8" i="74" s="1"/>
  <c r="H5" i="69"/>
  <c r="J126" i="66"/>
  <c r="P14" i="92"/>
  <c r="D118" i="92"/>
  <c r="F118" i="92" s="1"/>
  <c r="U118" i="92" s="1"/>
  <c r="W118" i="92" s="1"/>
  <c r="AQ120" i="108" s="1"/>
  <c r="AR120" i="108" s="1"/>
  <c r="N16" i="68"/>
  <c r="Q16" i="68"/>
  <c r="T6" i="68"/>
  <c r="V6" i="68" s="1"/>
  <c r="X6" i="68" s="1"/>
  <c r="B12" i="83"/>
  <c r="M15" i="74"/>
  <c r="N15" i="74" s="1"/>
  <c r="AO119" i="95"/>
  <c r="AU119" i="95"/>
  <c r="AR119" i="95"/>
  <c r="AQ112" i="95"/>
  <c r="D44" i="61"/>
  <c r="AB18" i="94"/>
  <c r="AD18" i="94" s="1"/>
  <c r="AQ126" i="92"/>
  <c r="AT128" i="95"/>
  <c r="AU128" i="95" s="1"/>
  <c r="M19" i="94"/>
  <c r="N19" i="94" s="1"/>
  <c r="T19" i="94" s="1"/>
  <c r="U19" i="94" s="1"/>
  <c r="J5" i="91"/>
  <c r="J25" i="91" s="1"/>
  <c r="T129" i="92"/>
  <c r="M21" i="92"/>
  <c r="N21" i="92"/>
  <c r="G125" i="92" s="1"/>
  <c r="I125" i="92" s="1"/>
  <c r="M125" i="92" s="1"/>
  <c r="I13" i="91" s="1"/>
  <c r="M13" i="91" s="1"/>
  <c r="N13" i="91" s="1"/>
  <c r="AQ129" i="95"/>
  <c r="AR129" i="95" s="1"/>
  <c r="D42" i="83"/>
  <c r="I4" i="91"/>
  <c r="AE9" i="94"/>
  <c r="AB9" i="91"/>
  <c r="AC9" i="91" s="1"/>
  <c r="AD9" i="91" s="1"/>
  <c r="AE13" i="94"/>
  <c r="AB13" i="91"/>
  <c r="Q20" i="84"/>
  <c r="R20" i="84" s="1"/>
  <c r="Y20" i="84"/>
  <c r="AA20" i="84" s="1"/>
  <c r="Q5" i="68"/>
  <c r="N5" i="68"/>
  <c r="M4" i="84"/>
  <c r="M8" i="91"/>
  <c r="N8" i="91" s="1"/>
  <c r="N7" i="68"/>
  <c r="Q7" i="68"/>
  <c r="Q14" i="91"/>
  <c r="R14" i="91" s="1"/>
  <c r="Y14" i="91"/>
  <c r="AA14" i="91" s="1"/>
  <c r="N4" i="79"/>
  <c r="M25" i="79"/>
  <c r="M30" i="74" s="1"/>
  <c r="AA16" i="17"/>
  <c r="H19" i="68"/>
  <c r="K19" i="68" s="1"/>
  <c r="AE12" i="94"/>
  <c r="AB12" i="91"/>
  <c r="U110" i="92"/>
  <c r="Y17" i="84"/>
  <c r="AA17" i="84" s="1"/>
  <c r="Q17" i="84"/>
  <c r="R17" i="84" s="1"/>
  <c r="J5" i="84"/>
  <c r="J25" i="84" s="1"/>
  <c r="T127" i="85"/>
  <c r="Y7" i="84"/>
  <c r="AA7" i="84" s="1"/>
  <c r="Q7" i="84"/>
  <c r="R7" i="84" s="1"/>
  <c r="O4" i="69"/>
  <c r="Q4" i="69" s="1"/>
  <c r="M127" i="78"/>
  <c r="M112" i="95"/>
  <c r="I131" i="95"/>
  <c r="J25" i="94"/>
  <c r="Q9" i="68"/>
  <c r="N9" i="68"/>
  <c r="M15" i="91"/>
  <c r="N15" i="91" s="1"/>
  <c r="P20" i="92"/>
  <c r="D124" i="92"/>
  <c r="F124" i="92" s="1"/>
  <c r="U124" i="92" s="1"/>
  <c r="W124" i="92" s="1"/>
  <c r="AQ126" i="108" s="1"/>
  <c r="AR126" i="108" s="1"/>
  <c r="Y20" i="91"/>
  <c r="AA20" i="91" s="1"/>
  <c r="Q20" i="91"/>
  <c r="R20" i="91" s="1"/>
  <c r="N4" i="74"/>
  <c r="U109" i="78"/>
  <c r="H5" i="74"/>
  <c r="F127" i="78"/>
  <c r="U14" i="74"/>
  <c r="H13" i="61"/>
  <c r="I25" i="74"/>
  <c r="I32" i="74" s="1"/>
  <c r="D13" i="61"/>
  <c r="Q23" i="68"/>
  <c r="Y18" i="91"/>
  <c r="AA18" i="91" s="1"/>
  <c r="Q18" i="91"/>
  <c r="R18" i="91" s="1"/>
  <c r="AO129" i="95"/>
  <c r="H4" i="68"/>
  <c r="AA5" i="17"/>
  <c r="P10" i="92"/>
  <c r="D114" i="92"/>
  <c r="F114" i="92" s="1"/>
  <c r="U114" i="92" s="1"/>
  <c r="W114" i="92" s="1"/>
  <c r="AQ116" i="108" s="1"/>
  <c r="AR116" i="108" s="1"/>
  <c r="M20" i="94"/>
  <c r="N20" i="94" s="1"/>
  <c r="T20" i="94" s="1"/>
  <c r="U20" i="94" s="1"/>
  <c r="Q11" i="91"/>
  <c r="R11" i="91" s="1"/>
  <c r="Y11" i="91"/>
  <c r="AA11" i="91" s="1"/>
  <c r="D127" i="92"/>
  <c r="F127" i="92" s="1"/>
  <c r="U127" i="92" s="1"/>
  <c r="W127" i="92" s="1"/>
  <c r="AQ129" i="108" s="1"/>
  <c r="AR129" i="108" s="1"/>
  <c r="P23" i="92"/>
  <c r="AE14" i="94"/>
  <c r="AB14" i="91"/>
  <c r="P7" i="92"/>
  <c r="D111" i="92"/>
  <c r="Y11" i="68"/>
  <c r="Z11" i="68" s="1"/>
  <c r="AA11" i="68"/>
  <c r="AB11" i="68" s="1"/>
  <c r="AC11" i="68" s="1"/>
  <c r="AD11" i="68" s="1"/>
  <c r="AE11" i="68" s="1"/>
  <c r="R11" i="69" s="1"/>
  <c r="S11" i="69" s="1"/>
  <c r="Q23" i="84"/>
  <c r="R23" i="84" s="1"/>
  <c r="Y23" i="84"/>
  <c r="AA23" i="84" s="1"/>
  <c r="T14" i="68"/>
  <c r="V14" i="68" s="1"/>
  <c r="X14" i="68" s="1"/>
  <c r="T15" i="68"/>
  <c r="V15" i="68" s="1"/>
  <c r="X15" i="68" s="1"/>
  <c r="AE22" i="94"/>
  <c r="AB22" i="91"/>
  <c r="AC22" i="91" s="1"/>
  <c r="AD22" i="91" s="1"/>
  <c r="T8" i="68"/>
  <c r="V8" i="68" s="1"/>
  <c r="X8" i="68" s="1"/>
  <c r="H20" i="68"/>
  <c r="K20" i="68" s="1"/>
  <c r="AA17" i="17"/>
  <c r="L127" i="85"/>
  <c r="T17" i="69"/>
  <c r="U17" i="69" s="1"/>
  <c r="L33" i="66" s="1"/>
  <c r="T112" i="66" s="1"/>
  <c r="AD17" i="69" s="1"/>
  <c r="N55" i="66"/>
  <c r="S112" i="66" s="1"/>
  <c r="AB17" i="69" s="1"/>
  <c r="V17" i="69"/>
  <c r="W17" i="69" s="1"/>
  <c r="P112" i="66" s="1"/>
  <c r="Q112" i="66" s="1"/>
  <c r="L77" i="66"/>
  <c r="U112" i="66" s="1"/>
  <c r="AE17" i="69" s="1"/>
  <c r="N11" i="66"/>
  <c r="R112" i="66" s="1"/>
  <c r="AA17" i="69" s="1"/>
  <c r="AA12" i="68"/>
  <c r="AB12" i="68" s="1"/>
  <c r="AC12" i="68" s="1"/>
  <c r="AD12" i="68" s="1"/>
  <c r="AE12" i="68" s="1"/>
  <c r="R12" i="69" s="1"/>
  <c r="S12" i="69" s="1"/>
  <c r="Y12" i="68"/>
  <c r="Z12" i="68" s="1"/>
  <c r="Q8" i="84"/>
  <c r="R8" i="84" s="1"/>
  <c r="G157" i="137" l="1"/>
  <c r="I156" i="137"/>
  <c r="F156" i="137"/>
  <c r="H157" i="137"/>
  <c r="J156" i="137"/>
  <c r="E154" i="137"/>
  <c r="K157" i="137"/>
  <c r="K156" i="137"/>
  <c r="Y18" i="84"/>
  <c r="AA18" i="84" s="1"/>
  <c r="AQ124" i="95"/>
  <c r="AR124" i="95" s="1"/>
  <c r="AN124" i="108"/>
  <c r="AO124" i="108" s="1"/>
  <c r="AQ121" i="95"/>
  <c r="AR121" i="95" s="1"/>
  <c r="AN121" i="108"/>
  <c r="AO121" i="108" s="1"/>
  <c r="AQ116" i="95"/>
  <c r="AN116" i="108"/>
  <c r="AO116" i="108" s="1"/>
  <c r="AR116" i="95"/>
  <c r="M5" i="94"/>
  <c r="N5" i="94" s="1"/>
  <c r="T5" i="94" s="1"/>
  <c r="U5" i="94" s="1"/>
  <c r="AB17" i="94"/>
  <c r="AD17" i="94" s="1"/>
  <c r="S5" i="104"/>
  <c r="AB22" i="94"/>
  <c r="AD22" i="94" s="1"/>
  <c r="AF22" i="94" s="1"/>
  <c r="AG22" i="94" s="1"/>
  <c r="M10" i="94"/>
  <c r="N10" i="94" s="1"/>
  <c r="T10" i="94" s="1"/>
  <c r="U10" i="94" s="1"/>
  <c r="M8" i="94"/>
  <c r="N8" i="94" s="1"/>
  <c r="T8" i="94" s="1"/>
  <c r="U8" i="94" s="1"/>
  <c r="M6" i="94"/>
  <c r="N6" i="94" s="1"/>
  <c r="T6" i="94" s="1"/>
  <c r="U6" i="94" s="1"/>
  <c r="M12" i="94"/>
  <c r="N12" i="94" s="1"/>
  <c r="T12" i="94" s="1"/>
  <c r="U12" i="94" s="1"/>
  <c r="Q6" i="91"/>
  <c r="R6" i="91" s="1"/>
  <c r="M14" i="94"/>
  <c r="N14" i="94" s="1"/>
  <c r="T14" i="94" s="1"/>
  <c r="U14" i="94" s="1"/>
  <c r="T21" i="68"/>
  <c r="V21" i="68" s="1"/>
  <c r="X21" i="68" s="1"/>
  <c r="Y21" i="68" s="1"/>
  <c r="Z21" i="68" s="1"/>
  <c r="AB21" i="68"/>
  <c r="AC21" i="68" s="1"/>
  <c r="AD21" i="68" s="1"/>
  <c r="AE21" i="68" s="1"/>
  <c r="R20" i="69" s="1"/>
  <c r="S20" i="69" s="1"/>
  <c r="V20" i="69" s="1"/>
  <c r="W20" i="69" s="1"/>
  <c r="P120" i="66" s="1"/>
  <c r="Q120" i="66" s="1"/>
  <c r="AB10" i="91"/>
  <c r="Q11" i="84"/>
  <c r="R11" i="84" s="1"/>
  <c r="Q10" i="68"/>
  <c r="T10" i="68" s="1"/>
  <c r="V10" i="68" s="1"/>
  <c r="X10" i="68" s="1"/>
  <c r="AA10" i="68" s="1"/>
  <c r="AB10" i="68" s="1"/>
  <c r="AC10" i="68" s="1"/>
  <c r="AD10" i="68" s="1"/>
  <c r="AE10" i="68" s="1"/>
  <c r="R10" i="69" s="1"/>
  <c r="S10" i="69" s="1"/>
  <c r="N59" i="66" s="1"/>
  <c r="S116" i="66" s="1"/>
  <c r="AB10" i="69" s="1"/>
  <c r="AC6" i="91"/>
  <c r="AD6" i="91" s="1"/>
  <c r="H12" i="83"/>
  <c r="N13" i="68"/>
  <c r="Y19" i="84"/>
  <c r="AA19" i="84" s="1"/>
  <c r="AE6" i="94"/>
  <c r="M15" i="84"/>
  <c r="N15" i="84" s="1"/>
  <c r="Q15" i="84" s="1"/>
  <c r="D19" i="83" s="1"/>
  <c r="M127" i="85"/>
  <c r="AR127" i="95"/>
  <c r="I25" i="84"/>
  <c r="AC10" i="91"/>
  <c r="AD10" i="91" s="1"/>
  <c r="AT114" i="95"/>
  <c r="AU114" i="95" s="1"/>
  <c r="AQ112" i="92"/>
  <c r="Q23" i="91"/>
  <c r="R23" i="91" s="1"/>
  <c r="Y13" i="68"/>
  <c r="Z13" i="68" s="1"/>
  <c r="AA13" i="68"/>
  <c r="AB13" i="68" s="1"/>
  <c r="AC13" i="68" s="1"/>
  <c r="AD13" i="68" s="1"/>
  <c r="AE13" i="68" s="1"/>
  <c r="R13" i="69" s="1"/>
  <c r="S13" i="69" s="1"/>
  <c r="D113" i="92"/>
  <c r="F113" i="92" s="1"/>
  <c r="U113" i="92" s="1"/>
  <c r="W113" i="92" s="1"/>
  <c r="AQ115" i="108" s="1"/>
  <c r="AR115" i="108" s="1"/>
  <c r="P9" i="92"/>
  <c r="M13" i="94"/>
  <c r="N13" i="94" s="1"/>
  <c r="T13" i="94" s="1"/>
  <c r="U13" i="94" s="1"/>
  <c r="Q7" i="91"/>
  <c r="R7" i="91" s="1"/>
  <c r="Y7" i="91"/>
  <c r="AA7" i="91" s="1"/>
  <c r="N16" i="66"/>
  <c r="R117" i="66" s="1"/>
  <c r="AA11" i="69" s="1"/>
  <c r="L82" i="66"/>
  <c r="U117" i="66" s="1"/>
  <c r="AE11" i="69" s="1"/>
  <c r="N60" i="66"/>
  <c r="S117" i="66" s="1"/>
  <c r="AB11" i="69" s="1"/>
  <c r="V11" i="69"/>
  <c r="W11" i="69" s="1"/>
  <c r="P117" i="66" s="1"/>
  <c r="Q117" i="66" s="1"/>
  <c r="T11" i="69"/>
  <c r="U11" i="69" s="1"/>
  <c r="L38" i="66" s="1"/>
  <c r="T117" i="66" s="1"/>
  <c r="AD11" i="69" s="1"/>
  <c r="Q20" i="68"/>
  <c r="N20" i="68"/>
  <c r="P20" i="68" s="1"/>
  <c r="Y8" i="68"/>
  <c r="Z8" i="68" s="1"/>
  <c r="AA8" i="68"/>
  <c r="AB8" i="68" s="1"/>
  <c r="AC8" i="68" s="1"/>
  <c r="AD8" i="68" s="1"/>
  <c r="AE8" i="68" s="1"/>
  <c r="R8" i="69" s="1"/>
  <c r="S8" i="69" s="1"/>
  <c r="V14" i="74"/>
  <c r="N88" i="78"/>
  <c r="AH124" i="78" s="1"/>
  <c r="Q22" i="78"/>
  <c r="AD124" i="78" s="1"/>
  <c r="Q66" i="78"/>
  <c r="AE124" i="78" s="1"/>
  <c r="N44" i="78"/>
  <c r="AG124" i="78" s="1"/>
  <c r="W14" i="74"/>
  <c r="X14" i="74" s="1"/>
  <c r="T9" i="68"/>
  <c r="V9" i="68" s="1"/>
  <c r="X9" i="68" s="1"/>
  <c r="I4" i="94"/>
  <c r="M131" i="95"/>
  <c r="Q19" i="68"/>
  <c r="N19" i="68"/>
  <c r="P19" i="68" s="1"/>
  <c r="N4" i="84"/>
  <c r="D125" i="92"/>
  <c r="F125" i="92" s="1"/>
  <c r="U125" i="92" s="1"/>
  <c r="W125" i="92" s="1"/>
  <c r="AQ127" i="108" s="1"/>
  <c r="AR127" i="108" s="1"/>
  <c r="P21" i="92"/>
  <c r="AB19" i="94"/>
  <c r="AD19" i="94" s="1"/>
  <c r="AQ118" i="92"/>
  <c r="AT120" i="95"/>
  <c r="AU120" i="95" s="1"/>
  <c r="K5" i="69"/>
  <c r="H25" i="69"/>
  <c r="AA24" i="68"/>
  <c r="AB24" i="68" s="1"/>
  <c r="AC24" i="68" s="1"/>
  <c r="AD24" i="68" s="1"/>
  <c r="AE24" i="68" s="1"/>
  <c r="R23" i="69" s="1"/>
  <c r="S23" i="69" s="1"/>
  <c r="Y24" i="68"/>
  <c r="Z24" i="68" s="1"/>
  <c r="W112" i="95"/>
  <c r="U131" i="95"/>
  <c r="M5" i="84"/>
  <c r="N5" i="84" s="1"/>
  <c r="H25" i="84"/>
  <c r="AC17" i="69"/>
  <c r="AF17" i="69"/>
  <c r="Y15" i="68"/>
  <c r="Z15" i="68" s="1"/>
  <c r="AA15" i="68"/>
  <c r="AB15" i="68" s="1"/>
  <c r="AC15" i="68" s="1"/>
  <c r="AD15" i="68" s="1"/>
  <c r="AE15" i="68" s="1"/>
  <c r="AB23" i="91"/>
  <c r="AC23" i="91" s="1"/>
  <c r="AD23" i="91" s="1"/>
  <c r="AE23" i="94"/>
  <c r="M15" i="94"/>
  <c r="N15" i="94" s="1"/>
  <c r="T15" i="94" s="1"/>
  <c r="U15" i="94" s="1"/>
  <c r="Y15" i="91"/>
  <c r="AA15" i="91" s="1"/>
  <c r="Q15" i="91"/>
  <c r="R15" i="91" s="1"/>
  <c r="AE17" i="94"/>
  <c r="AB17" i="91"/>
  <c r="AC17" i="91" s="1"/>
  <c r="AD17" i="91" s="1"/>
  <c r="M9" i="94"/>
  <c r="N9" i="94" s="1"/>
  <c r="T9" i="94" s="1"/>
  <c r="U9" i="94" s="1"/>
  <c r="T7" i="68"/>
  <c r="V7" i="68" s="1"/>
  <c r="X7" i="68" s="1"/>
  <c r="AB11" i="94"/>
  <c r="AD11" i="94" s="1"/>
  <c r="Q15" i="74"/>
  <c r="S15" i="74" s="1"/>
  <c r="G129" i="92"/>
  <c r="AC12" i="91"/>
  <c r="AD12" i="91" s="1"/>
  <c r="AB8" i="91"/>
  <c r="AE8" i="94"/>
  <c r="M7" i="94"/>
  <c r="N7" i="94" s="1"/>
  <c r="T7" i="94" s="1"/>
  <c r="U7" i="94" s="1"/>
  <c r="F111" i="92"/>
  <c r="AQ127" i="92"/>
  <c r="AT129" i="95"/>
  <c r="AU129" i="95" s="1"/>
  <c r="AB20" i="94"/>
  <c r="AD20" i="94" s="1"/>
  <c r="H26" i="68"/>
  <c r="H28" i="68" s="1"/>
  <c r="H27" i="69" s="1"/>
  <c r="K4" i="68"/>
  <c r="T23" i="68"/>
  <c r="V23" i="68" s="1"/>
  <c r="X23" i="68" s="1"/>
  <c r="M5" i="74"/>
  <c r="H25" i="74"/>
  <c r="H32" i="74" s="1"/>
  <c r="I38" i="74" s="1"/>
  <c r="I42" i="74" s="1"/>
  <c r="D18" i="61"/>
  <c r="Q4" i="74"/>
  <c r="AE7" i="94"/>
  <c r="AB7" i="91"/>
  <c r="T5" i="68"/>
  <c r="V5" i="68" s="1"/>
  <c r="X5" i="68" s="1"/>
  <c r="AB20" i="91"/>
  <c r="AC20" i="91" s="1"/>
  <c r="AD20" i="91" s="1"/>
  <c r="AE20" i="94"/>
  <c r="T16" i="68"/>
  <c r="V16" i="68" s="1"/>
  <c r="X16" i="68" s="1"/>
  <c r="M111" i="92"/>
  <c r="I129" i="92"/>
  <c r="W109" i="85"/>
  <c r="AN113" i="108" s="1"/>
  <c r="AO113" i="108" s="1"/>
  <c r="U127" i="85"/>
  <c r="T12" i="69"/>
  <c r="U12" i="69" s="1"/>
  <c r="L42" i="66" s="1"/>
  <c r="T121" i="66" s="1"/>
  <c r="AD12" i="69" s="1"/>
  <c r="N20" i="66"/>
  <c r="R121" i="66" s="1"/>
  <c r="AA12" i="69" s="1"/>
  <c r="L86" i="66"/>
  <c r="U121" i="66" s="1"/>
  <c r="AE12" i="69" s="1"/>
  <c r="V12" i="69"/>
  <c r="W12" i="69" s="1"/>
  <c r="P121" i="66" s="1"/>
  <c r="Q121" i="66" s="1"/>
  <c r="N64" i="66"/>
  <c r="S121" i="66" s="1"/>
  <c r="AB12" i="69" s="1"/>
  <c r="AA14" i="68"/>
  <c r="AB14" i="68" s="1"/>
  <c r="AC14" i="68" s="1"/>
  <c r="AD14" i="68" s="1"/>
  <c r="AE14" i="68" s="1"/>
  <c r="R14" i="69" s="1"/>
  <c r="S14" i="69" s="1"/>
  <c r="Y14" i="68"/>
  <c r="Z14" i="68" s="1"/>
  <c r="AQ114" i="92"/>
  <c r="AT116" i="95"/>
  <c r="AU116" i="95" s="1"/>
  <c r="W109" i="78"/>
  <c r="W127" i="78" s="1"/>
  <c r="U127" i="78"/>
  <c r="AQ124" i="92"/>
  <c r="AT126" i="95"/>
  <c r="AU126" i="95" s="1"/>
  <c r="W110" i="92"/>
  <c r="AQ112" i="108" s="1"/>
  <c r="AR112" i="108" s="1"/>
  <c r="N25" i="79"/>
  <c r="Q4" i="79"/>
  <c r="S4" i="79" s="1"/>
  <c r="Q8" i="91"/>
  <c r="R8" i="91" s="1"/>
  <c r="Y8" i="91"/>
  <c r="AA8" i="91" s="1"/>
  <c r="M4" i="91"/>
  <c r="Q13" i="91"/>
  <c r="R13" i="91" s="1"/>
  <c r="Y13" i="91"/>
  <c r="AA13" i="91" s="1"/>
  <c r="AC13" i="91" s="1"/>
  <c r="AD13" i="91" s="1"/>
  <c r="AE11" i="94"/>
  <c r="AB11" i="91"/>
  <c r="AC11" i="91" s="1"/>
  <c r="AD11" i="91" s="1"/>
  <c r="Y6" i="68"/>
  <c r="Z6" i="68" s="1"/>
  <c r="AA6" i="68"/>
  <c r="AB6" i="68" s="1"/>
  <c r="AC6" i="68" s="1"/>
  <c r="AD6" i="68" s="1"/>
  <c r="AE6" i="68" s="1"/>
  <c r="R6" i="69" s="1"/>
  <c r="S6" i="69" s="1"/>
  <c r="AB18" i="91"/>
  <c r="AC18" i="91" s="1"/>
  <c r="AD18" i="91" s="1"/>
  <c r="AE18" i="94"/>
  <c r="AF18" i="94" s="1"/>
  <c r="AG18" i="94" s="1"/>
  <c r="H25" i="91"/>
  <c r="V10" i="69" l="1"/>
  <c r="W10" i="69" s="1"/>
  <c r="P116" i="66" s="1"/>
  <c r="Q116" i="66" s="1"/>
  <c r="T20" i="69"/>
  <c r="U20" i="69" s="1"/>
  <c r="L41" i="66" s="1"/>
  <c r="T120" i="66" s="1"/>
  <c r="AD20" i="69" s="1"/>
  <c r="N15" i="66"/>
  <c r="R116" i="66" s="1"/>
  <c r="AA10" i="69" s="1"/>
  <c r="N19" i="66"/>
  <c r="R120" i="66" s="1"/>
  <c r="AA20" i="69" s="1"/>
  <c r="AF17" i="94"/>
  <c r="AG17" i="94" s="1"/>
  <c r="AB8" i="94"/>
  <c r="AD8" i="94" s="1"/>
  <c r="AF8" i="94" s="1"/>
  <c r="AG8" i="94" s="1"/>
  <c r="AB6" i="94"/>
  <c r="AD6" i="94" s="1"/>
  <c r="AF6" i="94" s="1"/>
  <c r="AG6" i="94" s="1"/>
  <c r="AB10" i="94"/>
  <c r="AD10" i="94" s="1"/>
  <c r="AF10" i="94" s="1"/>
  <c r="AG10" i="94" s="1"/>
  <c r="AB13" i="94"/>
  <c r="AD13" i="94" s="1"/>
  <c r="AF13" i="94" s="1"/>
  <c r="AG13" i="94" s="1"/>
  <c r="AB14" i="94"/>
  <c r="AD14" i="94" s="1"/>
  <c r="AB12" i="94"/>
  <c r="AD12" i="94" s="1"/>
  <c r="AF12" i="94" s="1"/>
  <c r="AG12" i="94" s="1"/>
  <c r="E25" i="94"/>
  <c r="L81" i="66"/>
  <c r="U116" i="66" s="1"/>
  <c r="AE10" i="69" s="1"/>
  <c r="T10" i="69"/>
  <c r="U10" i="69" s="1"/>
  <c r="L37" i="66" s="1"/>
  <c r="T116" i="66" s="1"/>
  <c r="AD10" i="69" s="1"/>
  <c r="AF10" i="69" s="1"/>
  <c r="N63" i="66"/>
  <c r="S120" i="66" s="1"/>
  <c r="AB20" i="69" s="1"/>
  <c r="AC20" i="69" s="1"/>
  <c r="L85" i="66"/>
  <c r="U120" i="66" s="1"/>
  <c r="AE20" i="69" s="1"/>
  <c r="AF20" i="69" s="1"/>
  <c r="Y10" i="68"/>
  <c r="Z10" i="68" s="1"/>
  <c r="Y15" i="84"/>
  <c r="AA15" i="84" s="1"/>
  <c r="R15" i="84"/>
  <c r="D17" i="83"/>
  <c r="AE19" i="94"/>
  <c r="AF19" i="94" s="1"/>
  <c r="AG19" i="94" s="1"/>
  <c r="AB19" i="91"/>
  <c r="AC19" i="91" s="1"/>
  <c r="AD19" i="91" s="1"/>
  <c r="AB5" i="94"/>
  <c r="AD5" i="94" s="1"/>
  <c r="M23" i="94"/>
  <c r="N23" i="94" s="1"/>
  <c r="T23" i="94" s="1"/>
  <c r="U23" i="94" s="1"/>
  <c r="AF20" i="94"/>
  <c r="AG20" i="94" s="1"/>
  <c r="AC7" i="91"/>
  <c r="AD7" i="91" s="1"/>
  <c r="N21" i="66"/>
  <c r="R122" i="66" s="1"/>
  <c r="AA13" i="69" s="1"/>
  <c r="L87" i="66"/>
  <c r="U122" i="66" s="1"/>
  <c r="AE13" i="69" s="1"/>
  <c r="V13" i="69"/>
  <c r="W13" i="69" s="1"/>
  <c r="P122" i="66" s="1"/>
  <c r="Q122" i="66" s="1"/>
  <c r="N65" i="66"/>
  <c r="S122" i="66" s="1"/>
  <c r="AB13" i="69" s="1"/>
  <c r="T13" i="69"/>
  <c r="U13" i="69" s="1"/>
  <c r="L43" i="66" s="1"/>
  <c r="T122" i="66" s="1"/>
  <c r="AD13" i="69" s="1"/>
  <c r="AT115" i="95"/>
  <c r="AU115" i="95" s="1"/>
  <c r="AQ113" i="92"/>
  <c r="D129" i="92"/>
  <c r="AF11" i="94"/>
  <c r="AG11" i="94" s="1"/>
  <c r="AF12" i="69"/>
  <c r="AG17" i="69"/>
  <c r="AH17" i="69" s="1"/>
  <c r="AI17" i="69" s="1"/>
  <c r="AJ17" i="69" s="1"/>
  <c r="AK17" i="69" s="1"/>
  <c r="T17" i="79" s="1"/>
  <c r="U17" i="79" s="1"/>
  <c r="W17" i="79" s="1"/>
  <c r="X17" i="79" s="1"/>
  <c r="Y17" i="79" s="1"/>
  <c r="Z17" i="79" s="1"/>
  <c r="AA17" i="79" s="1"/>
  <c r="T17" i="74" s="1"/>
  <c r="U17" i="74" s="1"/>
  <c r="AF11" i="69"/>
  <c r="AC11" i="69"/>
  <c r="N4" i="91"/>
  <c r="AQ110" i="92"/>
  <c r="AT112" i="95"/>
  <c r="AU112" i="95" s="1"/>
  <c r="N5" i="74"/>
  <c r="M25" i="74"/>
  <c r="M32" i="74" s="1"/>
  <c r="Q4" i="68"/>
  <c r="K26" i="68"/>
  <c r="K28" i="68" s="1"/>
  <c r="K27" i="69" s="1"/>
  <c r="N4" i="68"/>
  <c r="N26" i="68" s="1"/>
  <c r="N28" i="68" s="1"/>
  <c r="AB15" i="94"/>
  <c r="AD15" i="94" s="1"/>
  <c r="Y5" i="84"/>
  <c r="AA5" i="84" s="1"/>
  <c r="Q5" i="84"/>
  <c r="R5" i="84" s="1"/>
  <c r="N14" i="66"/>
  <c r="R115" i="66" s="1"/>
  <c r="AA23" i="69" s="1"/>
  <c r="N58" i="66"/>
  <c r="S115" i="66" s="1"/>
  <c r="AB23" i="69" s="1"/>
  <c r="T23" i="69"/>
  <c r="U23" i="69" s="1"/>
  <c r="L36" i="66" s="1"/>
  <c r="T115" i="66" s="1"/>
  <c r="AD23" i="69" s="1"/>
  <c r="L80" i="66"/>
  <c r="U115" i="66" s="1"/>
  <c r="AE23" i="69" s="1"/>
  <c r="V23" i="69"/>
  <c r="W23" i="69" s="1"/>
  <c r="P115" i="66" s="1"/>
  <c r="Q115" i="66" s="1"/>
  <c r="Y14" i="74"/>
  <c r="Z14" i="74" s="1"/>
  <c r="AA14" i="74" s="1"/>
  <c r="AB14" i="84" s="1"/>
  <c r="AC14" i="84" s="1"/>
  <c r="AD14" i="84" s="1"/>
  <c r="AB14" i="74"/>
  <c r="AC14" i="74" s="1"/>
  <c r="AD14" i="74" s="1"/>
  <c r="S14" i="84" s="1"/>
  <c r="AB124" i="78"/>
  <c r="AC124" i="78" s="1"/>
  <c r="L76" i="66"/>
  <c r="U111" i="66" s="1"/>
  <c r="AE8" i="69" s="1"/>
  <c r="N54" i="66"/>
  <c r="S111" i="66" s="1"/>
  <c r="AB8" i="69" s="1"/>
  <c r="T8" i="69"/>
  <c r="U8" i="69" s="1"/>
  <c r="L32" i="66" s="1"/>
  <c r="T111" i="66" s="1"/>
  <c r="AD8" i="69" s="1"/>
  <c r="N10" i="66"/>
  <c r="R111" i="66" s="1"/>
  <c r="AA8" i="69" s="1"/>
  <c r="V8" i="69"/>
  <c r="W8" i="69" s="1"/>
  <c r="P111" i="66" s="1"/>
  <c r="Q111" i="66" s="1"/>
  <c r="V6" i="69"/>
  <c r="W6" i="69" s="1"/>
  <c r="P109" i="66" s="1"/>
  <c r="Q109" i="66" s="1"/>
  <c r="N8" i="66"/>
  <c r="R109" i="66" s="1"/>
  <c r="AA6" i="69" s="1"/>
  <c r="L74" i="66"/>
  <c r="U109" i="66" s="1"/>
  <c r="AE6" i="69" s="1"/>
  <c r="T6" i="69"/>
  <c r="U6" i="69" s="1"/>
  <c r="L30" i="66" s="1"/>
  <c r="T109" i="66" s="1"/>
  <c r="AD6" i="69" s="1"/>
  <c r="N52" i="66"/>
  <c r="S109" i="66" s="1"/>
  <c r="AB6" i="69" s="1"/>
  <c r="AQ113" i="95"/>
  <c r="AR113" i="95" s="1"/>
  <c r="W127" i="85"/>
  <c r="AA5" i="68"/>
  <c r="AB5" i="68" s="1"/>
  <c r="AC5" i="68" s="1"/>
  <c r="AD5" i="68" s="1"/>
  <c r="AE5" i="68" s="1"/>
  <c r="R5" i="69" s="1"/>
  <c r="Y5" i="68"/>
  <c r="Z5" i="68" s="1"/>
  <c r="AA23" i="68"/>
  <c r="AB23" i="68" s="1"/>
  <c r="AC23" i="68" s="1"/>
  <c r="AD23" i="68" s="1"/>
  <c r="AE23" i="68" s="1"/>
  <c r="R22" i="69" s="1"/>
  <c r="S22" i="69" s="1"/>
  <c r="Y23" i="68"/>
  <c r="Z23" i="68" s="1"/>
  <c r="U111" i="92"/>
  <c r="F129" i="92"/>
  <c r="AB9" i="94"/>
  <c r="AD9" i="94" s="1"/>
  <c r="H29" i="69"/>
  <c r="AQ125" i="92"/>
  <c r="AT127" i="95"/>
  <c r="AU127" i="95" s="1"/>
  <c r="I25" i="94"/>
  <c r="AI124" i="78"/>
  <c r="AA16" i="68"/>
  <c r="AB16" i="68" s="1"/>
  <c r="AC16" i="68" s="1"/>
  <c r="AD16" i="68" s="1"/>
  <c r="AE16" i="68" s="1"/>
  <c r="R15" i="69" s="1"/>
  <c r="S15" i="69" s="1"/>
  <c r="Y16" i="68"/>
  <c r="Z16" i="68" s="1"/>
  <c r="AB7" i="94"/>
  <c r="AD7" i="94" s="1"/>
  <c r="AR112" i="95"/>
  <c r="AO112" i="95"/>
  <c r="W131" i="95"/>
  <c r="L5" i="69"/>
  <c r="K25" i="69"/>
  <c r="M25" i="84"/>
  <c r="AB19" i="68"/>
  <c r="AC19" i="68" s="1"/>
  <c r="AD19" i="68" s="1"/>
  <c r="AE19" i="68" s="1"/>
  <c r="R18" i="69" s="1"/>
  <c r="S18" i="69" s="1"/>
  <c r="T19" i="68"/>
  <c r="V19" i="68" s="1"/>
  <c r="X19" i="68" s="1"/>
  <c r="Y19" i="68" s="1"/>
  <c r="Z19" i="68" s="1"/>
  <c r="AA9" i="68"/>
  <c r="AB9" i="68" s="1"/>
  <c r="AC9" i="68" s="1"/>
  <c r="AD9" i="68" s="1"/>
  <c r="AE9" i="68" s="1"/>
  <c r="R9" i="69" s="1"/>
  <c r="S9" i="69" s="1"/>
  <c r="Y9" i="68"/>
  <c r="Z9" i="68" s="1"/>
  <c r="AC8" i="91"/>
  <c r="AD8" i="91" s="1"/>
  <c r="L88" i="66"/>
  <c r="U123" i="66" s="1"/>
  <c r="AE14" i="69" s="1"/>
  <c r="T14" i="69"/>
  <c r="U14" i="69" s="1"/>
  <c r="L44" i="66" s="1"/>
  <c r="T123" i="66" s="1"/>
  <c r="AD14" i="69" s="1"/>
  <c r="N22" i="66"/>
  <c r="R123" i="66" s="1"/>
  <c r="AA14" i="69" s="1"/>
  <c r="N66" i="66"/>
  <c r="S123" i="66" s="1"/>
  <c r="AB14" i="69" s="1"/>
  <c r="V14" i="69"/>
  <c r="AC12" i="69"/>
  <c r="I5" i="91"/>
  <c r="M129" i="92"/>
  <c r="S4" i="74"/>
  <c r="D25" i="61"/>
  <c r="Y7" i="68"/>
  <c r="Z7" i="68" s="1"/>
  <c r="AA7" i="68"/>
  <c r="AB7" i="68" s="1"/>
  <c r="AC7" i="68" s="1"/>
  <c r="AD7" i="68" s="1"/>
  <c r="AE7" i="68" s="1"/>
  <c r="R7" i="69" s="1"/>
  <c r="S7" i="69" s="1"/>
  <c r="AC10" i="69"/>
  <c r="Q4" i="84"/>
  <c r="R4" i="84" s="1"/>
  <c r="N25" i="84"/>
  <c r="Y4" i="84"/>
  <c r="AA4" i="84" s="1"/>
  <c r="D24" i="83"/>
  <c r="AF124" i="78"/>
  <c r="T20" i="68"/>
  <c r="V20" i="68" s="1"/>
  <c r="X20" i="68" s="1"/>
  <c r="Y20" i="68" s="1"/>
  <c r="Z20" i="68" s="1"/>
  <c r="AB20" i="68"/>
  <c r="AC20" i="68" s="1"/>
  <c r="AD20" i="68" s="1"/>
  <c r="AE20" i="68" s="1"/>
  <c r="R19" i="69" s="1"/>
  <c r="S19" i="69" s="1"/>
  <c r="AG20" i="69" l="1"/>
  <c r="AH20" i="69" s="1"/>
  <c r="AI20" i="69" s="1"/>
  <c r="AJ20" i="69" s="1"/>
  <c r="AK20" i="69" s="1"/>
  <c r="T20" i="79" s="1"/>
  <c r="U20" i="79" s="1"/>
  <c r="W20" i="79" s="1"/>
  <c r="X20" i="79" s="1"/>
  <c r="Y20" i="79" s="1"/>
  <c r="Z20" i="79" s="1"/>
  <c r="AA20" i="79" s="1"/>
  <c r="T20" i="74" s="1"/>
  <c r="U20" i="74" s="1"/>
  <c r="AB23" i="94"/>
  <c r="AD23" i="94" s="1"/>
  <c r="AF23" i="94" s="1"/>
  <c r="AG23" i="94" s="1"/>
  <c r="AF9" i="94"/>
  <c r="AG9" i="94" s="1"/>
  <c r="AF7" i="94"/>
  <c r="AG7" i="94" s="1"/>
  <c r="K29" i="69"/>
  <c r="V20" i="79"/>
  <c r="AB15" i="91"/>
  <c r="AC15" i="91" s="1"/>
  <c r="AD15" i="91" s="1"/>
  <c r="AE15" i="94"/>
  <c r="AF15" i="94" s="1"/>
  <c r="AG15" i="94" s="1"/>
  <c r="AG11" i="69"/>
  <c r="AH11" i="69" s="1"/>
  <c r="AI11" i="69" s="1"/>
  <c r="AJ11" i="69" s="1"/>
  <c r="AK11" i="69" s="1"/>
  <c r="T11" i="79" s="1"/>
  <c r="U11" i="79" s="1"/>
  <c r="AG12" i="69"/>
  <c r="AH12" i="69" s="1"/>
  <c r="AI12" i="69" s="1"/>
  <c r="AJ12" i="69" s="1"/>
  <c r="AK12" i="69" s="1"/>
  <c r="T12" i="79" s="1"/>
  <c r="U12" i="79" s="1"/>
  <c r="AF14" i="69"/>
  <c r="AC6" i="69"/>
  <c r="AF13" i="69"/>
  <c r="AF23" i="69"/>
  <c r="AF6" i="69"/>
  <c r="V17" i="79"/>
  <c r="AC13" i="69"/>
  <c r="AG13" i="69" s="1"/>
  <c r="AH13" i="69" s="1"/>
  <c r="AI13" i="69" s="1"/>
  <c r="AJ13" i="69" s="1"/>
  <c r="AK13" i="69" s="1"/>
  <c r="T13" i="79" s="1"/>
  <c r="U13" i="79" s="1"/>
  <c r="AC8" i="69"/>
  <c r="AF8" i="69"/>
  <c r="V19" i="69"/>
  <c r="W19" i="69" s="1"/>
  <c r="P119" i="66" s="1"/>
  <c r="Q119" i="66" s="1"/>
  <c r="N62" i="66"/>
  <c r="S119" i="66" s="1"/>
  <c r="AB19" i="69" s="1"/>
  <c r="N18" i="66"/>
  <c r="R119" i="66" s="1"/>
  <c r="AA19" i="69" s="1"/>
  <c r="T19" i="69"/>
  <c r="U19" i="69" s="1"/>
  <c r="L40" i="66" s="1"/>
  <c r="T119" i="66" s="1"/>
  <c r="AD19" i="69" s="1"/>
  <c r="L84" i="66"/>
  <c r="U119" i="66" s="1"/>
  <c r="AE19" i="69" s="1"/>
  <c r="T7" i="69"/>
  <c r="U7" i="69" s="1"/>
  <c r="L31" i="66" s="1"/>
  <c r="T110" i="66" s="1"/>
  <c r="AD7" i="69" s="1"/>
  <c r="N9" i="66"/>
  <c r="R110" i="66" s="1"/>
  <c r="AA7" i="69" s="1"/>
  <c r="V7" i="69"/>
  <c r="W7" i="69" s="1"/>
  <c r="P110" i="66" s="1"/>
  <c r="Q110" i="66" s="1"/>
  <c r="N53" i="66"/>
  <c r="S110" i="66" s="1"/>
  <c r="AB7" i="69" s="1"/>
  <c r="L75" i="66"/>
  <c r="U110" i="66" s="1"/>
  <c r="AE7" i="69" s="1"/>
  <c r="W12" i="79"/>
  <c r="X12" i="79" s="1"/>
  <c r="Y12" i="79" s="1"/>
  <c r="Z12" i="79" s="1"/>
  <c r="AA12" i="79" s="1"/>
  <c r="T12" i="74" s="1"/>
  <c r="U12" i="74" s="1"/>
  <c r="V12" i="79"/>
  <c r="D25" i="94"/>
  <c r="D30" i="94" s="1"/>
  <c r="M4" i="94"/>
  <c r="T22" i="69"/>
  <c r="U22" i="69" s="1"/>
  <c r="L34" i="66" s="1"/>
  <c r="T113" i="66" s="1"/>
  <c r="AD22" i="69" s="1"/>
  <c r="V22" i="69"/>
  <c r="W22" i="69" s="1"/>
  <c r="P113" i="66" s="1"/>
  <c r="Q113" i="66" s="1"/>
  <c r="L78" i="66"/>
  <c r="U113" i="66" s="1"/>
  <c r="AE22" i="69" s="1"/>
  <c r="N12" i="66"/>
  <c r="R113" i="66" s="1"/>
  <c r="AA22" i="69" s="1"/>
  <c r="N56" i="66"/>
  <c r="S113" i="66" s="1"/>
  <c r="AB22" i="69" s="1"/>
  <c r="Q55" i="78"/>
  <c r="AE113" i="78" s="1"/>
  <c r="W17" i="74"/>
  <c r="X17" i="74" s="1"/>
  <c r="Q11" i="78"/>
  <c r="AD113" i="78" s="1"/>
  <c r="N33" i="78"/>
  <c r="AG113" i="78" s="1"/>
  <c r="N77" i="78"/>
  <c r="AH113" i="78" s="1"/>
  <c r="V17" i="74"/>
  <c r="D29" i="61"/>
  <c r="B18" i="80"/>
  <c r="W14" i="69"/>
  <c r="V9" i="69"/>
  <c r="W9" i="69" s="1"/>
  <c r="P114" i="66" s="1"/>
  <c r="Q114" i="66" s="1"/>
  <c r="L79" i="66"/>
  <c r="U114" i="66" s="1"/>
  <c r="AE9" i="69" s="1"/>
  <c r="N57" i="66"/>
  <c r="S114" i="66" s="1"/>
  <c r="AB9" i="69" s="1"/>
  <c r="N13" i="66"/>
  <c r="R114" i="66" s="1"/>
  <c r="AA9" i="69" s="1"/>
  <c r="T9" i="69"/>
  <c r="U9" i="69" s="1"/>
  <c r="L35" i="66" s="1"/>
  <c r="T114" i="66" s="1"/>
  <c r="AD9" i="69" s="1"/>
  <c r="V15" i="69"/>
  <c r="W15" i="69" s="1"/>
  <c r="P124" i="66" s="1"/>
  <c r="Q124" i="66" s="1"/>
  <c r="N67" i="66"/>
  <c r="S124" i="66" s="1"/>
  <c r="AB15" i="69" s="1"/>
  <c r="T15" i="69"/>
  <c r="U15" i="69" s="1"/>
  <c r="L45" i="66" s="1"/>
  <c r="T124" i="66" s="1"/>
  <c r="AD15" i="69" s="1"/>
  <c r="N23" i="66"/>
  <c r="R124" i="66" s="1"/>
  <c r="AA15" i="69" s="1"/>
  <c r="L89" i="66"/>
  <c r="U124" i="66" s="1"/>
  <c r="AE15" i="69" s="1"/>
  <c r="Q5" i="74"/>
  <c r="S5" i="74" s="1"/>
  <c r="N25" i="74"/>
  <c r="AJ124" i="78"/>
  <c r="AL124" i="78"/>
  <c r="AB4" i="91"/>
  <c r="AE4" i="94"/>
  <c r="AG10" i="69"/>
  <c r="AH10" i="69" s="1"/>
  <c r="AI10" i="69" s="1"/>
  <c r="AJ10" i="69" s="1"/>
  <c r="AK10" i="69" s="1"/>
  <c r="T10" i="79" s="1"/>
  <c r="U10" i="79" s="1"/>
  <c r="W111" i="92"/>
  <c r="AQ113" i="108" s="1"/>
  <c r="AR113" i="108" s="1"/>
  <c r="U129" i="92"/>
  <c r="W11" i="79"/>
  <c r="X11" i="79" s="1"/>
  <c r="Y11" i="79" s="1"/>
  <c r="Z11" i="79" s="1"/>
  <c r="AA11" i="79" s="1"/>
  <c r="T11" i="74" s="1"/>
  <c r="U11" i="74" s="1"/>
  <c r="V11" i="79"/>
  <c r="S14" i="91"/>
  <c r="T14" i="91" s="1"/>
  <c r="U14" i="91" s="1"/>
  <c r="T14" i="84"/>
  <c r="U14" i="84" s="1"/>
  <c r="AC23" i="69"/>
  <c r="AE5" i="94"/>
  <c r="AF5" i="94" s="1"/>
  <c r="AG5" i="94" s="1"/>
  <c r="AB5" i="91"/>
  <c r="Q4" i="91"/>
  <c r="R4" i="91" s="1"/>
  <c r="Y4" i="91"/>
  <c r="AA4" i="91" s="1"/>
  <c r="I25" i="91"/>
  <c r="M5" i="91"/>
  <c r="AC14" i="69"/>
  <c r="L83" i="66"/>
  <c r="U118" i="66" s="1"/>
  <c r="AE18" i="69" s="1"/>
  <c r="N61" i="66"/>
  <c r="S118" i="66" s="1"/>
  <c r="AB18" i="69" s="1"/>
  <c r="T18" i="69"/>
  <c r="U18" i="69" s="1"/>
  <c r="L39" i="66" s="1"/>
  <c r="T118" i="66" s="1"/>
  <c r="AD18" i="69" s="1"/>
  <c r="N17" i="66"/>
  <c r="R118" i="66" s="1"/>
  <c r="AA18" i="69" s="1"/>
  <c r="V18" i="69"/>
  <c r="W18" i="69" s="1"/>
  <c r="P118" i="66" s="1"/>
  <c r="Q118" i="66" s="1"/>
  <c r="O5" i="69"/>
  <c r="Q5" i="69" s="1"/>
  <c r="S5" i="69" s="1"/>
  <c r="L25" i="69"/>
  <c r="T4" i="68"/>
  <c r="V4" i="68" s="1"/>
  <c r="X4" i="68" s="1"/>
  <c r="Q26" i="68"/>
  <c r="Q28" i="68" s="1"/>
  <c r="L27" i="69" s="1"/>
  <c r="Q19" i="78"/>
  <c r="AD121" i="78" s="1"/>
  <c r="W20" i="74"/>
  <c r="X20" i="74" s="1"/>
  <c r="N41" i="78"/>
  <c r="AG121" i="78" s="1"/>
  <c r="N85" i="78"/>
  <c r="AH121" i="78" s="1"/>
  <c r="V20" i="74"/>
  <c r="Q63" i="78"/>
  <c r="AE121" i="78" s="1"/>
  <c r="AG14" i="69" l="1"/>
  <c r="AH14" i="69" s="1"/>
  <c r="AI14" i="69" s="1"/>
  <c r="AG6" i="69"/>
  <c r="AH6" i="69" s="1"/>
  <c r="AI6" i="69" s="1"/>
  <c r="AJ6" i="69" s="1"/>
  <c r="AK6" i="69" s="1"/>
  <c r="T6" i="79" s="1"/>
  <c r="U6" i="79" s="1"/>
  <c r="W6" i="79" s="1"/>
  <c r="X6" i="79" s="1"/>
  <c r="Y6" i="79" s="1"/>
  <c r="Z6" i="79" s="1"/>
  <c r="AA6" i="79" s="1"/>
  <c r="T6" i="74" s="1"/>
  <c r="U6" i="74" s="1"/>
  <c r="AC18" i="69"/>
  <c r="AG23" i="69"/>
  <c r="AH23" i="69" s="1"/>
  <c r="AI23" i="69" s="1"/>
  <c r="AJ23" i="69" s="1"/>
  <c r="AK23" i="69" s="1"/>
  <c r="T23" i="79" s="1"/>
  <c r="U23" i="79" s="1"/>
  <c r="V23" i="79" s="1"/>
  <c r="AI121" i="78"/>
  <c r="V13" i="79"/>
  <c r="W13" i="79"/>
  <c r="X13" i="79" s="1"/>
  <c r="Y13" i="79" s="1"/>
  <c r="Z13" i="79" s="1"/>
  <c r="AA13" i="79" s="1"/>
  <c r="T13" i="74" s="1"/>
  <c r="U13" i="74" s="1"/>
  <c r="AC19" i="69"/>
  <c r="AG8" i="69"/>
  <c r="AH8" i="69" s="1"/>
  <c r="AI8" i="69" s="1"/>
  <c r="AJ8" i="69" s="1"/>
  <c r="AK8" i="69" s="1"/>
  <c r="T8" i="79" s="1"/>
  <c r="U8" i="79" s="1"/>
  <c r="N38" i="78"/>
  <c r="AG118" i="78" s="1"/>
  <c r="N82" i="78"/>
  <c r="AH118" i="78" s="1"/>
  <c r="Q60" i="78"/>
  <c r="AE118" i="78" s="1"/>
  <c r="W11" i="74"/>
  <c r="X11" i="74" s="1"/>
  <c r="V11" i="74"/>
  <c r="Q16" i="78"/>
  <c r="AD118" i="78" s="1"/>
  <c r="Y17" i="74"/>
  <c r="Z17" i="74" s="1"/>
  <c r="AA17" i="74" s="1"/>
  <c r="AB17" i="84" s="1"/>
  <c r="AC17" i="84" s="1"/>
  <c r="AD17" i="84" s="1"/>
  <c r="AB17" i="74"/>
  <c r="AC17" i="74" s="1"/>
  <c r="AD17" i="74" s="1"/>
  <c r="S17" i="84" s="1"/>
  <c r="AB113" i="78"/>
  <c r="AC113" i="78" s="1"/>
  <c r="AB121" i="78"/>
  <c r="AC121" i="78" s="1"/>
  <c r="AB20" i="74"/>
  <c r="AC20" i="74" s="1"/>
  <c r="AD20" i="74" s="1"/>
  <c r="S20" i="84" s="1"/>
  <c r="Y20" i="74"/>
  <c r="Z20" i="74" s="1"/>
  <c r="AA20" i="74" s="1"/>
  <c r="AB20" i="84" s="1"/>
  <c r="AC20" i="84" s="1"/>
  <c r="AD20" i="84" s="1"/>
  <c r="AA4" i="68"/>
  <c r="Y4" i="68"/>
  <c r="Z4" i="68" s="1"/>
  <c r="L29" i="69"/>
  <c r="AJ14" i="69"/>
  <c r="B21" i="80"/>
  <c r="V14" i="84"/>
  <c r="X14" i="84" s="1"/>
  <c r="AE14" i="84" s="1"/>
  <c r="AF14" i="84" s="1"/>
  <c r="V6" i="79"/>
  <c r="AF19" i="69"/>
  <c r="AF121" i="78"/>
  <c r="AF18" i="69"/>
  <c r="AG18" i="69" s="1"/>
  <c r="AH18" i="69" s="1"/>
  <c r="AI18" i="69" s="1"/>
  <c r="AJ18" i="69" s="1"/>
  <c r="AK18" i="69" s="1"/>
  <c r="T18" i="79" s="1"/>
  <c r="U18" i="79" s="1"/>
  <c r="N5" i="91"/>
  <c r="M25" i="91"/>
  <c r="AC4" i="91"/>
  <c r="AD4" i="91" s="1"/>
  <c r="V14" i="91"/>
  <c r="X14" i="91" s="1"/>
  <c r="AE14" i="91" s="1"/>
  <c r="AF14" i="91" s="1"/>
  <c r="W10" i="79"/>
  <c r="X10" i="79" s="1"/>
  <c r="Y10" i="79" s="1"/>
  <c r="Z10" i="79" s="1"/>
  <c r="AA10" i="79" s="1"/>
  <c r="T10" i="74" s="1"/>
  <c r="U10" i="74" s="1"/>
  <c r="V10" i="79"/>
  <c r="AC15" i="69"/>
  <c r="AF9" i="69"/>
  <c r="AI113" i="78"/>
  <c r="AF22" i="69"/>
  <c r="W12" i="74"/>
  <c r="X12" i="74" s="1"/>
  <c r="V12" i="74"/>
  <c r="N86" i="78"/>
  <c r="AH122" i="78" s="1"/>
  <c r="Q64" i="78"/>
  <c r="AE122" i="78" s="1"/>
  <c r="N42" i="78"/>
  <c r="AG122" i="78" s="1"/>
  <c r="Q20" i="78"/>
  <c r="AD122" i="78" s="1"/>
  <c r="AC7" i="69"/>
  <c r="N7" i="66"/>
  <c r="R108" i="66" s="1"/>
  <c r="AA5" i="69" s="1"/>
  <c r="V5" i="69"/>
  <c r="W5" i="69" s="1"/>
  <c r="P108" i="66" s="1"/>
  <c r="Q108" i="66" s="1"/>
  <c r="T5" i="69"/>
  <c r="U5" i="69" s="1"/>
  <c r="L29" i="66" s="1"/>
  <c r="T108" i="66" s="1"/>
  <c r="AD5" i="69" s="1"/>
  <c r="N51" i="66"/>
  <c r="S108" i="66" s="1"/>
  <c r="AB5" i="69" s="1"/>
  <c r="L73" i="66"/>
  <c r="U108" i="66" s="1"/>
  <c r="AE5" i="69" s="1"/>
  <c r="AQ111" i="92"/>
  <c r="AT113" i="95"/>
  <c r="AU113" i="95" s="1"/>
  <c r="W129" i="92"/>
  <c r="AF15" i="69"/>
  <c r="AC9" i="69"/>
  <c r="B19" i="80"/>
  <c r="P123" i="66"/>
  <c r="Q123" i="66" s="1"/>
  <c r="AF113" i="78"/>
  <c r="AC22" i="69"/>
  <c r="N4" i="94"/>
  <c r="T4" i="94" s="1"/>
  <c r="U4" i="94" s="1"/>
  <c r="M25" i="94"/>
  <c r="AF7" i="69"/>
  <c r="W23" i="79" l="1"/>
  <c r="X23" i="79" s="1"/>
  <c r="Y23" i="79" s="1"/>
  <c r="Z23" i="79" s="1"/>
  <c r="AA23" i="79" s="1"/>
  <c r="T23" i="74" s="1"/>
  <c r="U23" i="74" s="1"/>
  <c r="Q14" i="78" s="1"/>
  <c r="AD116" i="78" s="1"/>
  <c r="AF118" i="78"/>
  <c r="AG19" i="69"/>
  <c r="AH19" i="69" s="1"/>
  <c r="AI19" i="69" s="1"/>
  <c r="AJ19" i="69" s="1"/>
  <c r="AK19" i="69" s="1"/>
  <c r="T19" i="79" s="1"/>
  <c r="U19" i="79" s="1"/>
  <c r="AF5" i="69"/>
  <c r="AG7" i="69"/>
  <c r="AH7" i="69" s="1"/>
  <c r="AI7" i="69" s="1"/>
  <c r="AJ7" i="69" s="1"/>
  <c r="AK7" i="69" s="1"/>
  <c r="T7" i="79" s="1"/>
  <c r="U7" i="79" s="1"/>
  <c r="W7" i="79" s="1"/>
  <c r="X7" i="79" s="1"/>
  <c r="Y7" i="79" s="1"/>
  <c r="Z7" i="79" s="1"/>
  <c r="AA7" i="79" s="1"/>
  <c r="T7" i="74" s="1"/>
  <c r="U7" i="74" s="1"/>
  <c r="AG15" i="69"/>
  <c r="AH15" i="69" s="1"/>
  <c r="AI15" i="69" s="1"/>
  <c r="AJ15" i="69" s="1"/>
  <c r="AK15" i="69" s="1"/>
  <c r="T15" i="79" s="1"/>
  <c r="U15" i="79" s="1"/>
  <c r="V15" i="79" s="1"/>
  <c r="N43" i="78"/>
  <c r="AG123" i="78" s="1"/>
  <c r="V13" i="74"/>
  <c r="Q65" i="78"/>
  <c r="AE123" i="78" s="1"/>
  <c r="W13" i="74"/>
  <c r="X13" i="74" s="1"/>
  <c r="Q21" i="78"/>
  <c r="AD123" i="78" s="1"/>
  <c r="N87" i="78"/>
  <c r="AH123" i="78" s="1"/>
  <c r="W8" i="79"/>
  <c r="X8" i="79" s="1"/>
  <c r="Y8" i="79" s="1"/>
  <c r="Z8" i="79" s="1"/>
  <c r="AA8" i="79" s="1"/>
  <c r="T8" i="74" s="1"/>
  <c r="U8" i="74" s="1"/>
  <c r="V8" i="79"/>
  <c r="AH14" i="91"/>
  <c r="AL14" i="91"/>
  <c r="AB126" i="92"/>
  <c r="AC126" i="92" s="1"/>
  <c r="AJ14" i="91"/>
  <c r="AK14" i="91" s="1"/>
  <c r="V18" i="79"/>
  <c r="W18" i="79"/>
  <c r="X18" i="79" s="1"/>
  <c r="Y18" i="79" s="1"/>
  <c r="Z18" i="79" s="1"/>
  <c r="AA18" i="79" s="1"/>
  <c r="T18" i="74" s="1"/>
  <c r="U18" i="74" s="1"/>
  <c r="AB4" i="94"/>
  <c r="AD4" i="94" s="1"/>
  <c r="N25" i="94"/>
  <c r="W19" i="79"/>
  <c r="X19" i="79" s="1"/>
  <c r="Y19" i="79" s="1"/>
  <c r="Z19" i="79" s="1"/>
  <c r="AA19" i="79" s="1"/>
  <c r="T19" i="74" s="1"/>
  <c r="U19" i="74" s="1"/>
  <c r="V19" i="79"/>
  <c r="Y5" i="91"/>
  <c r="AA5" i="91" s="1"/>
  <c r="AC5" i="91" s="1"/>
  <c r="AD5" i="91" s="1"/>
  <c r="Q5" i="91"/>
  <c r="R5" i="91" s="1"/>
  <c r="N25" i="91"/>
  <c r="AL14" i="84"/>
  <c r="AO14" i="84"/>
  <c r="AP14" i="84" s="1"/>
  <c r="AJ14" i="94"/>
  <c r="AB124" i="85"/>
  <c r="AC124" i="85" s="1"/>
  <c r="AJ14" i="84"/>
  <c r="AK14" i="84" s="1"/>
  <c r="AH14" i="84"/>
  <c r="S20" i="91"/>
  <c r="T20" i="91" s="1"/>
  <c r="U20" i="91" s="1"/>
  <c r="T20" i="84"/>
  <c r="U20" i="84" s="1"/>
  <c r="AG22" i="69"/>
  <c r="AH22" i="69" s="1"/>
  <c r="AI22" i="69" s="1"/>
  <c r="AJ22" i="69" s="1"/>
  <c r="AK22" i="69" s="1"/>
  <c r="T22" i="79" s="1"/>
  <c r="U22" i="79" s="1"/>
  <c r="V6" i="74"/>
  <c r="Q52" i="78"/>
  <c r="AE110" i="78" s="1"/>
  <c r="Q8" i="78"/>
  <c r="AD110" i="78" s="1"/>
  <c r="N74" i="78"/>
  <c r="AH110" i="78" s="1"/>
  <c r="N30" i="78"/>
  <c r="AG110" i="78" s="1"/>
  <c r="W6" i="74"/>
  <c r="X6" i="74" s="1"/>
  <c r="AI118" i="78"/>
  <c r="AG9" i="69"/>
  <c r="AH9" i="69" s="1"/>
  <c r="AI9" i="69" s="1"/>
  <c r="AJ9" i="69" s="1"/>
  <c r="AK9" i="69" s="1"/>
  <c r="T9" i="79" s="1"/>
  <c r="U9" i="79" s="1"/>
  <c r="AF122" i="78"/>
  <c r="AL121" i="78"/>
  <c r="AJ121" i="78"/>
  <c r="B26" i="80"/>
  <c r="AK14" i="69"/>
  <c r="B30" i="80" s="1"/>
  <c r="AA26" i="68"/>
  <c r="V27" i="69" s="1"/>
  <c r="AB4" i="68"/>
  <c r="S17" i="91"/>
  <c r="T17" i="91" s="1"/>
  <c r="U17" i="91" s="1"/>
  <c r="T17" i="84"/>
  <c r="U17" i="84" s="1"/>
  <c r="AB118" i="78"/>
  <c r="AC118" i="78" s="1"/>
  <c r="AB11" i="74"/>
  <c r="AC11" i="74" s="1"/>
  <c r="AD11" i="74" s="1"/>
  <c r="S11" i="84" s="1"/>
  <c r="Y11" i="74"/>
  <c r="Z11" i="74" s="1"/>
  <c r="AA11" i="74" s="1"/>
  <c r="AB11" i="84" s="1"/>
  <c r="AC11" i="84" s="1"/>
  <c r="AD11" i="84" s="1"/>
  <c r="AJ113" i="78"/>
  <c r="AL113" i="78"/>
  <c r="AC5" i="69"/>
  <c r="AG5" i="69" s="1"/>
  <c r="AH5" i="69" s="1"/>
  <c r="AI5" i="69" s="1"/>
  <c r="AJ5" i="69" s="1"/>
  <c r="AK5" i="69" s="1"/>
  <c r="T5" i="79" s="1"/>
  <c r="U5" i="79" s="1"/>
  <c r="AI122" i="78"/>
  <c r="Y12" i="74"/>
  <c r="Z12" i="74" s="1"/>
  <c r="AA12" i="74" s="1"/>
  <c r="AB12" i="84" s="1"/>
  <c r="AC12" i="84" s="1"/>
  <c r="AD12" i="84" s="1"/>
  <c r="AB122" i="78"/>
  <c r="AC122" i="78" s="1"/>
  <c r="AB12" i="74"/>
  <c r="AC12" i="74" s="1"/>
  <c r="AD12" i="74" s="1"/>
  <c r="S12" i="84" s="1"/>
  <c r="Q59" i="78"/>
  <c r="AE117" i="78" s="1"/>
  <c r="Q15" i="78"/>
  <c r="AD117" i="78" s="1"/>
  <c r="N37" i="78"/>
  <c r="AG117" i="78" s="1"/>
  <c r="V10" i="74"/>
  <c r="N81" i="78"/>
  <c r="AH117" i="78" s="1"/>
  <c r="W10" i="74"/>
  <c r="X10" i="74" s="1"/>
  <c r="V23" i="74"/>
  <c r="W23" i="74"/>
  <c r="X23" i="74" s="1"/>
  <c r="Q58" i="78"/>
  <c r="AE116" i="78" s="1"/>
  <c r="N36" i="78"/>
  <c r="AG116" i="78" s="1"/>
  <c r="AF4" i="94" l="1"/>
  <c r="AG4" i="94" s="1"/>
  <c r="N80" i="78"/>
  <c r="AH116" i="78" s="1"/>
  <c r="V7" i="79"/>
  <c r="AI123" i="78"/>
  <c r="AJ118" i="78"/>
  <c r="AI117" i="78"/>
  <c r="W15" i="79"/>
  <c r="X15" i="79" s="1"/>
  <c r="Y15" i="79" s="1"/>
  <c r="Z15" i="79" s="1"/>
  <c r="AA15" i="79" s="1"/>
  <c r="T15" i="74" s="1"/>
  <c r="U15" i="74" s="1"/>
  <c r="Q67" i="78" s="1"/>
  <c r="AE125" i="78" s="1"/>
  <c r="AF123" i="78"/>
  <c r="AB13" i="74"/>
  <c r="AC13" i="74" s="1"/>
  <c r="AD13" i="74" s="1"/>
  <c r="S13" i="84" s="1"/>
  <c r="Y13" i="74"/>
  <c r="Z13" i="74" s="1"/>
  <c r="AA13" i="74" s="1"/>
  <c r="AB13" i="84" s="1"/>
  <c r="AC13" i="84" s="1"/>
  <c r="AD13" i="84" s="1"/>
  <c r="AB123" i="78"/>
  <c r="AC123" i="78" s="1"/>
  <c r="AF117" i="78"/>
  <c r="AL118" i="78"/>
  <c r="AI116" i="78"/>
  <c r="V8" i="74"/>
  <c r="N76" i="78"/>
  <c r="AH112" i="78" s="1"/>
  <c r="N32" i="78"/>
  <c r="AG112" i="78" s="1"/>
  <c r="W8" i="74"/>
  <c r="X8" i="74" s="1"/>
  <c r="Q54" i="78"/>
  <c r="AE112" i="78" s="1"/>
  <c r="Q10" i="78"/>
  <c r="AD112" i="78" s="1"/>
  <c r="AB10" i="74"/>
  <c r="AC10" i="74" s="1"/>
  <c r="AD10" i="74" s="1"/>
  <c r="S10" i="84" s="1"/>
  <c r="Y10" i="74"/>
  <c r="Z10" i="74" s="1"/>
  <c r="AA10" i="74" s="1"/>
  <c r="AB10" i="84" s="1"/>
  <c r="AC10" i="84" s="1"/>
  <c r="AD10" i="84" s="1"/>
  <c r="AB117" i="78"/>
  <c r="AC117" i="78" s="1"/>
  <c r="AB23" i="74"/>
  <c r="AC23" i="74" s="1"/>
  <c r="AD23" i="74" s="1"/>
  <c r="S23" i="84" s="1"/>
  <c r="Y23" i="74"/>
  <c r="Z23" i="74" s="1"/>
  <c r="AA23" i="74" s="1"/>
  <c r="AB23" i="84" s="1"/>
  <c r="AC23" i="84" s="1"/>
  <c r="AD23" i="84" s="1"/>
  <c r="AB116" i="78"/>
  <c r="AC116" i="78" s="1"/>
  <c r="V17" i="91"/>
  <c r="X17" i="91" s="1"/>
  <c r="AE17" i="91" s="1"/>
  <c r="AF17" i="91" s="1"/>
  <c r="W9" i="79"/>
  <c r="X9" i="79" s="1"/>
  <c r="Y9" i="79" s="1"/>
  <c r="Z9" i="79" s="1"/>
  <c r="AA9" i="79" s="1"/>
  <c r="T9" i="74" s="1"/>
  <c r="U9" i="74" s="1"/>
  <c r="V9" i="79"/>
  <c r="AB110" i="78"/>
  <c r="AC110" i="78" s="1"/>
  <c r="Y6" i="74"/>
  <c r="Z6" i="74" s="1"/>
  <c r="AA6" i="74" s="1"/>
  <c r="AB6" i="84" s="1"/>
  <c r="AC6" i="84" s="1"/>
  <c r="AD6" i="84" s="1"/>
  <c r="AB6" i="74"/>
  <c r="AC6" i="74" s="1"/>
  <c r="AD6" i="74" s="1"/>
  <c r="S6" i="84" s="1"/>
  <c r="V14" i="94"/>
  <c r="AQ14" i="84"/>
  <c r="V19" i="74"/>
  <c r="Q18" i="78"/>
  <c r="AD120" i="78" s="1"/>
  <c r="N40" i="78"/>
  <c r="AG120" i="78" s="1"/>
  <c r="Q62" i="78"/>
  <c r="AE120" i="78" s="1"/>
  <c r="N84" i="78"/>
  <c r="AH120" i="78" s="1"/>
  <c r="W19" i="74"/>
  <c r="X19" i="74" s="1"/>
  <c r="R22" i="92"/>
  <c r="AD126" i="92" s="1"/>
  <c r="O44" i="92"/>
  <c r="AG126" i="92" s="1"/>
  <c r="R66" i="92"/>
  <c r="AE126" i="92" s="1"/>
  <c r="O88" i="92"/>
  <c r="AH126" i="92" s="1"/>
  <c r="S12" i="91"/>
  <c r="T12" i="91" s="1"/>
  <c r="U12" i="91" s="1"/>
  <c r="T12" i="84"/>
  <c r="U12" i="84" s="1"/>
  <c r="V5" i="79"/>
  <c r="W5" i="79"/>
  <c r="X5" i="79" s="1"/>
  <c r="Y5" i="79" s="1"/>
  <c r="Z5" i="79" s="1"/>
  <c r="AA5" i="79" s="1"/>
  <c r="T5" i="74" s="1"/>
  <c r="U5" i="74" s="1"/>
  <c r="S11" i="91"/>
  <c r="T11" i="91" s="1"/>
  <c r="U11" i="91" s="1"/>
  <c r="T11" i="84"/>
  <c r="U11" i="84" s="1"/>
  <c r="AB26" i="68"/>
  <c r="AB28" i="68" s="1"/>
  <c r="AH27" i="69" s="1"/>
  <c r="AC4" i="68"/>
  <c r="AD4" i="68" s="1"/>
  <c r="AE4" i="68" s="1"/>
  <c r="R4" i="69" s="1"/>
  <c r="S4" i="69" s="1"/>
  <c r="AI110" i="78"/>
  <c r="V22" i="79"/>
  <c r="W22" i="79"/>
  <c r="X22" i="79" s="1"/>
  <c r="Y22" i="79" s="1"/>
  <c r="Z22" i="79" s="1"/>
  <c r="AA22" i="79" s="1"/>
  <c r="T22" i="74" s="1"/>
  <c r="U22" i="74" s="1"/>
  <c r="Q22" i="85"/>
  <c r="AD124" i="85" s="1"/>
  <c r="N88" i="85"/>
  <c r="AH124" i="85" s="1"/>
  <c r="Q66" i="85"/>
  <c r="AE124" i="85" s="1"/>
  <c r="N44" i="85"/>
  <c r="AG124" i="85" s="1"/>
  <c r="V20" i="84"/>
  <c r="X20" i="84" s="1"/>
  <c r="AE20" i="84" s="1"/>
  <c r="AF20" i="84" s="1"/>
  <c r="W18" i="74"/>
  <c r="X18" i="74" s="1"/>
  <c r="Q61" i="78"/>
  <c r="AE119" i="78" s="1"/>
  <c r="N83" i="78"/>
  <c r="AH119" i="78" s="1"/>
  <c r="N39" i="78"/>
  <c r="AG119" i="78" s="1"/>
  <c r="Q17" i="78"/>
  <c r="AD119" i="78" s="1"/>
  <c r="V18" i="74"/>
  <c r="AF116" i="78"/>
  <c r="V17" i="84"/>
  <c r="X17" i="84" s="1"/>
  <c r="AE17" i="84" s="1"/>
  <c r="AF17" i="84" s="1"/>
  <c r="AJ122" i="78"/>
  <c r="AL122" i="78"/>
  <c r="AF110" i="78"/>
  <c r="Q23" i="78"/>
  <c r="AD125" i="78" s="1"/>
  <c r="N45" i="78"/>
  <c r="AG125" i="78" s="1"/>
  <c r="N89" i="78"/>
  <c r="AH125" i="78" s="1"/>
  <c r="W7" i="74"/>
  <c r="X7" i="74" s="1"/>
  <c r="Q9" i="78"/>
  <c r="AD111" i="78" s="1"/>
  <c r="V7" i="74"/>
  <c r="Q53" i="78"/>
  <c r="AE111" i="78" s="1"/>
  <c r="N31" i="78"/>
  <c r="AG111" i="78" s="1"/>
  <c r="N75" i="78"/>
  <c r="AH111" i="78" s="1"/>
  <c r="V20" i="91"/>
  <c r="X20" i="91" s="1"/>
  <c r="AE20" i="91" s="1"/>
  <c r="AF20" i="91" s="1"/>
  <c r="W15" i="74" l="1"/>
  <c r="AJ117" i="78"/>
  <c r="AF124" i="85"/>
  <c r="AL117" i="78"/>
  <c r="V15" i="74"/>
  <c r="AI111" i="78"/>
  <c r="AL123" i="78"/>
  <c r="AJ123" i="78"/>
  <c r="AI126" i="92"/>
  <c r="AI112" i="78"/>
  <c r="S13" i="91"/>
  <c r="T13" i="91" s="1"/>
  <c r="U13" i="91" s="1"/>
  <c r="T13" i="84"/>
  <c r="U13" i="84" s="1"/>
  <c r="V13" i="84" s="1"/>
  <c r="X13" i="84" s="1"/>
  <c r="AE13" i="84" s="1"/>
  <c r="AF13" i="84" s="1"/>
  <c r="AJ13" i="84" s="1"/>
  <c r="AK13" i="84" s="1"/>
  <c r="Y8" i="74"/>
  <c r="Z8" i="74" s="1"/>
  <c r="AA8" i="74" s="1"/>
  <c r="AB8" i="84" s="1"/>
  <c r="AC8" i="84" s="1"/>
  <c r="AD8" i="84" s="1"/>
  <c r="AB112" i="78"/>
  <c r="AC112" i="78" s="1"/>
  <c r="AB8" i="74"/>
  <c r="AC8" i="74" s="1"/>
  <c r="AD8" i="74" s="1"/>
  <c r="S8" i="84" s="1"/>
  <c r="AF112" i="78"/>
  <c r="AH17" i="84"/>
  <c r="AJ17" i="84"/>
  <c r="AK17" i="84" s="1"/>
  <c r="AB113" i="85"/>
  <c r="AC113" i="85" s="1"/>
  <c r="AL17" i="84"/>
  <c r="AJ17" i="94"/>
  <c r="AO17" i="84"/>
  <c r="AP17" i="84" s="1"/>
  <c r="AJ20" i="91"/>
  <c r="AK20" i="91" s="1"/>
  <c r="AL20" i="91"/>
  <c r="AB123" i="92"/>
  <c r="AC123" i="92" s="1"/>
  <c r="AH20" i="91"/>
  <c r="AH20" i="84"/>
  <c r="AJ20" i="84"/>
  <c r="AK20" i="84" s="1"/>
  <c r="AO20" i="84"/>
  <c r="AP20" i="84" s="1"/>
  <c r="AB121" i="85"/>
  <c r="AC121" i="85" s="1"/>
  <c r="AJ20" i="94"/>
  <c r="AL20" i="84"/>
  <c r="AF119" i="78"/>
  <c r="N35" i="78"/>
  <c r="AG115" i="78" s="1"/>
  <c r="Q13" i="78"/>
  <c r="AD115" i="78" s="1"/>
  <c r="W9" i="74"/>
  <c r="X9" i="74" s="1"/>
  <c r="N79" i="78"/>
  <c r="AH115" i="78" s="1"/>
  <c r="Q57" i="78"/>
  <c r="AE115" i="78" s="1"/>
  <c r="V9" i="74"/>
  <c r="AF111" i="78"/>
  <c r="B16" i="83"/>
  <c r="X15" i="74"/>
  <c r="AJ110" i="78"/>
  <c r="AL110" i="78"/>
  <c r="AI119" i="78"/>
  <c r="AI124" i="85"/>
  <c r="V11" i="91"/>
  <c r="X11" i="91" s="1"/>
  <c r="AE11" i="91" s="1"/>
  <c r="AF11" i="91" s="1"/>
  <c r="V12" i="91"/>
  <c r="X12" i="91" s="1"/>
  <c r="AE12" i="91" s="1"/>
  <c r="AF12" i="91" s="1"/>
  <c r="AF126" i="92"/>
  <c r="AI120" i="78"/>
  <c r="W14" i="94"/>
  <c r="X14" i="94" s="1"/>
  <c r="AV14" i="94"/>
  <c r="N78" i="78"/>
  <c r="AH114" i="78" s="1"/>
  <c r="N34" i="78"/>
  <c r="AG114" i="78" s="1"/>
  <c r="Q12" i="78"/>
  <c r="AD114" i="78" s="1"/>
  <c r="W22" i="74"/>
  <c r="X22" i="74" s="1"/>
  <c r="Q56" i="78"/>
  <c r="AE114" i="78" s="1"/>
  <c r="V22" i="74"/>
  <c r="S23" i="91"/>
  <c r="T23" i="91" s="1"/>
  <c r="U23" i="91" s="1"/>
  <c r="T23" i="84"/>
  <c r="U23" i="84" s="1"/>
  <c r="AF125" i="78"/>
  <c r="AB18" i="74"/>
  <c r="AC18" i="74" s="1"/>
  <c r="AD18" i="74" s="1"/>
  <c r="S18" i="84" s="1"/>
  <c r="Y18" i="74"/>
  <c r="Z18" i="74" s="1"/>
  <c r="AA18" i="74" s="1"/>
  <c r="AB18" i="84" s="1"/>
  <c r="AC18" i="84" s="1"/>
  <c r="AD18" i="84" s="1"/>
  <c r="AB119" i="78"/>
  <c r="AC119" i="78" s="1"/>
  <c r="V11" i="84"/>
  <c r="X11" i="84" s="1"/>
  <c r="AE11" i="84" s="1"/>
  <c r="V12" i="84"/>
  <c r="X12" i="84" s="1"/>
  <c r="AE12" i="84" s="1"/>
  <c r="AF12" i="84" s="1"/>
  <c r="S6" i="91"/>
  <c r="T6" i="91" s="1"/>
  <c r="U6" i="91" s="1"/>
  <c r="T6" i="84"/>
  <c r="U6" i="84" s="1"/>
  <c r="AB111" i="78"/>
  <c r="AC111" i="78" s="1"/>
  <c r="AB7" i="74"/>
  <c r="AC7" i="74" s="1"/>
  <c r="AD7" i="74" s="1"/>
  <c r="S7" i="84" s="1"/>
  <c r="Y7" i="74"/>
  <c r="Z7" i="74" s="1"/>
  <c r="AA7" i="74" s="1"/>
  <c r="AB7" i="84" s="1"/>
  <c r="AC7" i="84" s="1"/>
  <c r="AD7" i="84" s="1"/>
  <c r="AI125" i="78"/>
  <c r="AJ116" i="78"/>
  <c r="AL116" i="78"/>
  <c r="V4" i="69"/>
  <c r="L72" i="66"/>
  <c r="U107" i="66" s="1"/>
  <c r="AE4" i="69" s="1"/>
  <c r="N50" i="66"/>
  <c r="S107" i="66" s="1"/>
  <c r="AB4" i="69" s="1"/>
  <c r="N6" i="66"/>
  <c r="R107" i="66" s="1"/>
  <c r="AA4" i="69" s="1"/>
  <c r="T4" i="69"/>
  <c r="U4" i="69" s="1"/>
  <c r="L28" i="66" s="1"/>
  <c r="T107" i="66" s="1"/>
  <c r="AD4" i="69" s="1"/>
  <c r="Q7" i="78"/>
  <c r="AD109" i="78" s="1"/>
  <c r="N29" i="78"/>
  <c r="AG109" i="78" s="1"/>
  <c r="V5" i="74"/>
  <c r="W5" i="74"/>
  <c r="X5" i="74" s="1"/>
  <c r="N73" i="78"/>
  <c r="AH109" i="78" s="1"/>
  <c r="Q51" i="78"/>
  <c r="AE109" i="78" s="1"/>
  <c r="AB120" i="78"/>
  <c r="AC120" i="78" s="1"/>
  <c r="Y19" i="74"/>
  <c r="Z19" i="74" s="1"/>
  <c r="AA19" i="74" s="1"/>
  <c r="AB19" i="84" s="1"/>
  <c r="AC19" i="84" s="1"/>
  <c r="AD19" i="84" s="1"/>
  <c r="AB19" i="74"/>
  <c r="AC19" i="74" s="1"/>
  <c r="AD19" i="74" s="1"/>
  <c r="S19" i="84" s="1"/>
  <c r="AF120" i="78"/>
  <c r="AH17" i="91"/>
  <c r="AB115" i="92"/>
  <c r="AC115" i="92" s="1"/>
  <c r="AJ17" i="91"/>
  <c r="AK17" i="91" s="1"/>
  <c r="AL17" i="91"/>
  <c r="S10" i="91"/>
  <c r="T10" i="91" s="1"/>
  <c r="U10" i="91" s="1"/>
  <c r="T10" i="84"/>
  <c r="U10" i="84" s="1"/>
  <c r="AF11" i="84" l="1"/>
  <c r="AL124" i="85"/>
  <c r="AF115" i="78"/>
  <c r="AL13" i="84"/>
  <c r="AO13" i="84"/>
  <c r="AP13" i="84" s="1"/>
  <c r="V13" i="94" s="1"/>
  <c r="AB123" i="85"/>
  <c r="AC123" i="85" s="1"/>
  <c r="AJ13" i="94"/>
  <c r="AH13" i="84"/>
  <c r="AC4" i="69"/>
  <c r="AI114" i="78"/>
  <c r="V13" i="91"/>
  <c r="X13" i="91" s="1"/>
  <c r="AE13" i="91" s="1"/>
  <c r="AF13" i="91" s="1"/>
  <c r="S8" i="91"/>
  <c r="T8" i="91" s="1"/>
  <c r="U8" i="91" s="1"/>
  <c r="V8" i="91" s="1"/>
  <c r="X8" i="91" s="1"/>
  <c r="AE8" i="91" s="1"/>
  <c r="AF8" i="91" s="1"/>
  <c r="AB114" i="92" s="1"/>
  <c r="AC114" i="92" s="1"/>
  <c r="T8" i="84"/>
  <c r="U8" i="84" s="1"/>
  <c r="V8" i="84" s="1"/>
  <c r="X8" i="84" s="1"/>
  <c r="AE8" i="84" s="1"/>
  <c r="AF8" i="84" s="1"/>
  <c r="AL8" i="84" s="1"/>
  <c r="AF109" i="78"/>
  <c r="AL112" i="78"/>
  <c r="AJ112" i="78"/>
  <c r="AF114" i="78"/>
  <c r="AJ11" i="91"/>
  <c r="AK11" i="91" s="1"/>
  <c r="AL11" i="91"/>
  <c r="AB120" i="92"/>
  <c r="AC120" i="92" s="1"/>
  <c r="AH11" i="91"/>
  <c r="AB118" i="85"/>
  <c r="AC118" i="85" s="1"/>
  <c r="AL11" i="84"/>
  <c r="AJ11" i="84"/>
  <c r="AK11" i="84" s="1"/>
  <c r="AJ11" i="94"/>
  <c r="AH11" i="84"/>
  <c r="AO11" i="84"/>
  <c r="AJ12" i="91"/>
  <c r="AK12" i="91" s="1"/>
  <c r="AL12" i="91"/>
  <c r="AB124" i="92"/>
  <c r="AC124" i="92" s="1"/>
  <c r="AH12" i="91"/>
  <c r="AB122" i="85"/>
  <c r="AC122" i="85" s="1"/>
  <c r="AL12" i="84"/>
  <c r="AO12" i="84"/>
  <c r="AP12" i="84" s="1"/>
  <c r="AJ12" i="94"/>
  <c r="AJ12" i="84"/>
  <c r="AK12" i="84" s="1"/>
  <c r="AH12" i="84"/>
  <c r="S19" i="91"/>
  <c r="T19" i="91" s="1"/>
  <c r="U19" i="91" s="1"/>
  <c r="T19" i="84"/>
  <c r="U19" i="84" s="1"/>
  <c r="AB114" i="78"/>
  <c r="AC114" i="78" s="1"/>
  <c r="AB22" i="74"/>
  <c r="AC22" i="74" s="1"/>
  <c r="AD22" i="74" s="1"/>
  <c r="S22" i="84" s="1"/>
  <c r="Y22" i="74"/>
  <c r="Z22" i="74" s="1"/>
  <c r="AA22" i="74" s="1"/>
  <c r="AB22" i="84" s="1"/>
  <c r="AC22" i="84" s="1"/>
  <c r="AD22" i="84" s="1"/>
  <c r="AX14" i="94"/>
  <c r="AW14" i="94"/>
  <c r="AJ111" i="78"/>
  <c r="AL111" i="78"/>
  <c r="N41" i="85"/>
  <c r="AG121" i="85" s="1"/>
  <c r="N85" i="85"/>
  <c r="AH121" i="85" s="1"/>
  <c r="Q63" i="85"/>
  <c r="AE121" i="85" s="1"/>
  <c r="Q19" i="85"/>
  <c r="AD121" i="85" s="1"/>
  <c r="AF4" i="69"/>
  <c r="V23" i="91"/>
  <c r="X23" i="91" s="1"/>
  <c r="AE23" i="91" s="1"/>
  <c r="AF23" i="91" s="1"/>
  <c r="Y14" i="94"/>
  <c r="AA14" i="94" s="1"/>
  <c r="AJ119" i="78"/>
  <c r="AL119" i="78"/>
  <c r="V6" i="84"/>
  <c r="X6" i="84" s="1"/>
  <c r="AE6" i="84" s="1"/>
  <c r="AF6" i="84" s="1"/>
  <c r="S18" i="91"/>
  <c r="T18" i="91" s="1"/>
  <c r="U18" i="91" s="1"/>
  <c r="T18" i="84"/>
  <c r="U18" i="84" s="1"/>
  <c r="AB125" i="78"/>
  <c r="AC125" i="78" s="1"/>
  <c r="AB15" i="74"/>
  <c r="Y15" i="74"/>
  <c r="Z15" i="74" s="1"/>
  <c r="AA15" i="74" s="1"/>
  <c r="AB15" i="84" s="1"/>
  <c r="AC15" i="84" s="1"/>
  <c r="AD15" i="84" s="1"/>
  <c r="B17" i="83"/>
  <c r="AI115" i="78"/>
  <c r="Q65" i="85"/>
  <c r="AE123" i="85" s="1"/>
  <c r="N87" i="85"/>
  <c r="AH123" i="85" s="1"/>
  <c r="N43" i="85"/>
  <c r="AG123" i="85" s="1"/>
  <c r="Q21" i="85"/>
  <c r="AD123" i="85" s="1"/>
  <c r="V17" i="94"/>
  <c r="AQ17" i="84"/>
  <c r="N77" i="85"/>
  <c r="AH113" i="85" s="1"/>
  <c r="N33" i="85"/>
  <c r="AG113" i="85" s="1"/>
  <c r="Q11" i="85"/>
  <c r="AD113" i="85" s="1"/>
  <c r="Q55" i="85"/>
  <c r="AE113" i="85" s="1"/>
  <c r="R11" i="92"/>
  <c r="AD115" i="92" s="1"/>
  <c r="O33" i="92"/>
  <c r="AG115" i="92" s="1"/>
  <c r="R55" i="92"/>
  <c r="AE115" i="92" s="1"/>
  <c r="O77" i="92"/>
  <c r="AH115" i="92" s="1"/>
  <c r="S7" i="91"/>
  <c r="T7" i="91" s="1"/>
  <c r="U7" i="91" s="1"/>
  <c r="T7" i="84"/>
  <c r="U7" i="84" s="1"/>
  <c r="V23" i="84"/>
  <c r="X23" i="84" s="1"/>
  <c r="AE23" i="84" s="1"/>
  <c r="AF23" i="84" s="1"/>
  <c r="Y9" i="74"/>
  <c r="Z9" i="74" s="1"/>
  <c r="AA9" i="74" s="1"/>
  <c r="AB9" i="84" s="1"/>
  <c r="AC9" i="84" s="1"/>
  <c r="AD9" i="84" s="1"/>
  <c r="AB9" i="74"/>
  <c r="AC9" i="74" s="1"/>
  <c r="AD9" i="74" s="1"/>
  <c r="S9" i="84" s="1"/>
  <c r="AB115" i="78"/>
  <c r="AC115" i="78" s="1"/>
  <c r="AJ124" i="85"/>
  <c r="V10" i="84"/>
  <c r="X10" i="84" s="1"/>
  <c r="AE10" i="84" s="1"/>
  <c r="AF10" i="84" s="1"/>
  <c r="AB5" i="74"/>
  <c r="AC5" i="74" s="1"/>
  <c r="AD5" i="74" s="1"/>
  <c r="S5" i="84" s="1"/>
  <c r="Y5" i="74"/>
  <c r="Z5" i="74" s="1"/>
  <c r="AA5" i="74" s="1"/>
  <c r="AB5" i="84" s="1"/>
  <c r="AC5" i="84" s="1"/>
  <c r="AD5" i="84" s="1"/>
  <c r="AB109" i="78"/>
  <c r="AC109" i="78" s="1"/>
  <c r="V25" i="69"/>
  <c r="V29" i="69" s="1"/>
  <c r="W4" i="69"/>
  <c r="P107" i="66" s="1"/>
  <c r="Q107" i="66" s="1"/>
  <c r="O41" i="92"/>
  <c r="AG123" i="92" s="1"/>
  <c r="R63" i="92"/>
  <c r="AE123" i="92" s="1"/>
  <c r="O85" i="92"/>
  <c r="AH123" i="92" s="1"/>
  <c r="R19" i="92"/>
  <c r="AD123" i="92" s="1"/>
  <c r="V10" i="91"/>
  <c r="X10" i="91" s="1"/>
  <c r="AE10" i="91" s="1"/>
  <c r="AF10" i="91" s="1"/>
  <c r="AJ120" i="78"/>
  <c r="AL120" i="78"/>
  <c r="AI109" i="78"/>
  <c r="V6" i="91"/>
  <c r="X6" i="91" s="1"/>
  <c r="AE6" i="91" s="1"/>
  <c r="AF6" i="91" s="1"/>
  <c r="AJ125" i="78"/>
  <c r="AL125" i="78"/>
  <c r="AJ126" i="92"/>
  <c r="AL126" i="92"/>
  <c r="AQ20" i="84"/>
  <c r="V20" i="94"/>
  <c r="AH14" i="94" l="1"/>
  <c r="AI14" i="94" s="1"/>
  <c r="AC14" i="104"/>
  <c r="AD14" i="104" s="1"/>
  <c r="AH14" i="104"/>
  <c r="AP11" i="84"/>
  <c r="V11" i="94" s="1"/>
  <c r="AQ13" i="84"/>
  <c r="AL8" i="91"/>
  <c r="AH8" i="84"/>
  <c r="AL115" i="78"/>
  <c r="AB112" i="85"/>
  <c r="AC112" i="85" s="1"/>
  <c r="AL114" i="78"/>
  <c r="AH8" i="91"/>
  <c r="AJ8" i="91"/>
  <c r="AK8" i="91" s="1"/>
  <c r="O76" i="92" s="1"/>
  <c r="AH114" i="92" s="1"/>
  <c r="AJ114" i="78"/>
  <c r="AO8" i="84"/>
  <c r="AP8" i="84" s="1"/>
  <c r="V8" i="94" s="1"/>
  <c r="AI115" i="92"/>
  <c r="AI113" i="85"/>
  <c r="AG4" i="69"/>
  <c r="AH4" i="69" s="1"/>
  <c r="AI4" i="69" s="1"/>
  <c r="AJ4" i="69" s="1"/>
  <c r="AK4" i="69" s="1"/>
  <c r="T4" i="79" s="1"/>
  <c r="U4" i="79" s="1"/>
  <c r="AJ8" i="84"/>
  <c r="AK8" i="84" s="1"/>
  <c r="N32" i="85" s="1"/>
  <c r="AG112" i="85" s="1"/>
  <c r="AJ8" i="94"/>
  <c r="AJ13" i="91"/>
  <c r="AK13" i="91" s="1"/>
  <c r="AL13" i="91"/>
  <c r="AB125" i="92"/>
  <c r="AC125" i="92" s="1"/>
  <c r="AH13" i="91"/>
  <c r="AF123" i="85"/>
  <c r="AF115" i="92"/>
  <c r="AF121" i="85"/>
  <c r="AI123" i="92"/>
  <c r="AF123" i="92"/>
  <c r="AI123" i="85"/>
  <c r="AI121" i="85"/>
  <c r="AL109" i="78"/>
  <c r="AJ23" i="94"/>
  <c r="AH23" i="84"/>
  <c r="AO23" i="84"/>
  <c r="AP23" i="84" s="1"/>
  <c r="AJ23" i="84"/>
  <c r="AK23" i="84" s="1"/>
  <c r="AB116" i="85"/>
  <c r="AC116" i="85" s="1"/>
  <c r="AL23" i="84"/>
  <c r="AL6" i="91"/>
  <c r="AB112" i="92"/>
  <c r="AC112" i="92" s="1"/>
  <c r="AJ6" i="91"/>
  <c r="AK6" i="91" s="1"/>
  <c r="AH6" i="91"/>
  <c r="AH10" i="84"/>
  <c r="AJ10" i="84"/>
  <c r="AK10" i="84" s="1"/>
  <c r="AO10" i="84"/>
  <c r="AP10" i="84" s="1"/>
  <c r="AJ10" i="94"/>
  <c r="AB117" i="85"/>
  <c r="AC117" i="85" s="1"/>
  <c r="AL10" i="84"/>
  <c r="AH23" i="91"/>
  <c r="AB118" i="92"/>
  <c r="AC118" i="92" s="1"/>
  <c r="AL23" i="91"/>
  <c r="AJ23" i="91"/>
  <c r="AK23" i="91" s="1"/>
  <c r="W13" i="94"/>
  <c r="X13" i="94" s="1"/>
  <c r="AV13" i="94"/>
  <c r="AJ10" i="91"/>
  <c r="AK10" i="91" s="1"/>
  <c r="AH10" i="91"/>
  <c r="AL10" i="91"/>
  <c r="AB119" i="92"/>
  <c r="AC119" i="92" s="1"/>
  <c r="AL6" i="84"/>
  <c r="AJ6" i="94"/>
  <c r="AB110" i="85"/>
  <c r="AC110" i="85" s="1"/>
  <c r="AH6" i="84"/>
  <c r="AJ6" i="84"/>
  <c r="AK6" i="84" s="1"/>
  <c r="AO6" i="84"/>
  <c r="AP6" i="84" s="1"/>
  <c r="V19" i="84"/>
  <c r="X19" i="84" s="1"/>
  <c r="AE19" i="84" s="1"/>
  <c r="AF19" i="84" s="1"/>
  <c r="V18" i="84"/>
  <c r="X18" i="84" s="1"/>
  <c r="AE18" i="84" s="1"/>
  <c r="AF18" i="84" s="1"/>
  <c r="AQ12" i="84"/>
  <c r="V12" i="94"/>
  <c r="AJ115" i="78"/>
  <c r="S9" i="91"/>
  <c r="T9" i="91" s="1"/>
  <c r="U9" i="91" s="1"/>
  <c r="T9" i="84"/>
  <c r="U9" i="84" s="1"/>
  <c r="V7" i="84"/>
  <c r="X7" i="84" s="1"/>
  <c r="AE7" i="84" s="1"/>
  <c r="AF7" i="84" s="1"/>
  <c r="V18" i="91"/>
  <c r="X18" i="91" s="1"/>
  <c r="AE18" i="91" s="1"/>
  <c r="AF18" i="91" s="1"/>
  <c r="S22" i="91"/>
  <c r="T22" i="91" s="1"/>
  <c r="U22" i="91" s="1"/>
  <c r="T22" i="84"/>
  <c r="U22" i="84" s="1"/>
  <c r="AJ109" i="78"/>
  <c r="S5" i="91"/>
  <c r="T5" i="91" s="1"/>
  <c r="U5" i="91" s="1"/>
  <c r="T5" i="84"/>
  <c r="U5" i="84" s="1"/>
  <c r="V19" i="91"/>
  <c r="X19" i="91" s="1"/>
  <c r="AE19" i="91" s="1"/>
  <c r="AF19" i="91" s="1"/>
  <c r="R16" i="92"/>
  <c r="AD120" i="92" s="1"/>
  <c r="O38" i="92"/>
  <c r="AG120" i="92" s="1"/>
  <c r="O82" i="92"/>
  <c r="AH120" i="92" s="1"/>
  <c r="R60" i="92"/>
  <c r="AE120" i="92" s="1"/>
  <c r="AV20" i="94"/>
  <c r="W20" i="94"/>
  <c r="X20" i="94" s="1"/>
  <c r="V7" i="91"/>
  <c r="X7" i="91" s="1"/>
  <c r="AE7" i="91" s="1"/>
  <c r="AF7" i="91" s="1"/>
  <c r="AF113" i="85"/>
  <c r="AV17" i="94"/>
  <c r="W17" i="94"/>
  <c r="X17" i="94" s="1"/>
  <c r="AC15" i="74"/>
  <c r="B19" i="83"/>
  <c r="N42" i="85"/>
  <c r="AG122" i="85" s="1"/>
  <c r="N86" i="85"/>
  <c r="AH122" i="85" s="1"/>
  <c r="Q20" i="85"/>
  <c r="AD122" i="85" s="1"/>
  <c r="Q64" i="85"/>
  <c r="AE122" i="85" s="1"/>
  <c r="R20" i="92"/>
  <c r="AD124" i="92" s="1"/>
  <c r="O42" i="92"/>
  <c r="AG124" i="92" s="1"/>
  <c r="O86" i="92"/>
  <c r="AH124" i="92" s="1"/>
  <c r="R64" i="92"/>
  <c r="AE124" i="92" s="1"/>
  <c r="N38" i="85"/>
  <c r="AG118" i="85" s="1"/>
  <c r="Q60" i="85"/>
  <c r="AE118" i="85" s="1"/>
  <c r="N82" i="85"/>
  <c r="AH118" i="85" s="1"/>
  <c r="Q16" i="85"/>
  <c r="AD118" i="85" s="1"/>
  <c r="AR14" i="94" l="1"/>
  <c r="AS14" i="94" s="1"/>
  <c r="AE14" i="104"/>
  <c r="AI14" i="112"/>
  <c r="R10" i="92"/>
  <c r="AD114" i="92" s="1"/>
  <c r="AO14" i="94"/>
  <c r="AB128" i="95"/>
  <c r="AC128" i="95" s="1"/>
  <c r="AM14" i="94"/>
  <c r="AN14" i="94" s="1"/>
  <c r="AK14" i="94"/>
  <c r="AQ11" i="84"/>
  <c r="AJ121" i="85"/>
  <c r="Q54" i="85"/>
  <c r="AE112" i="85" s="1"/>
  <c r="Q10" i="85"/>
  <c r="AD112" i="85" s="1"/>
  <c r="AQ8" i="84"/>
  <c r="AL115" i="92"/>
  <c r="AH25" i="69"/>
  <c r="AH29" i="69" s="1"/>
  <c r="O32" i="92"/>
  <c r="AG114" i="92" s="1"/>
  <c r="AI114" i="92" s="1"/>
  <c r="R54" i="92"/>
  <c r="AE114" i="92" s="1"/>
  <c r="AL121" i="85"/>
  <c r="N76" i="85"/>
  <c r="AH112" i="85" s="1"/>
  <c r="AI112" i="85" s="1"/>
  <c r="AL123" i="92"/>
  <c r="AJ123" i="85"/>
  <c r="AJ123" i="92"/>
  <c r="AJ115" i="92"/>
  <c r="AF122" i="85"/>
  <c r="AL123" i="85"/>
  <c r="O43" i="92"/>
  <c r="AG125" i="92" s="1"/>
  <c r="O87" i="92"/>
  <c r="AH125" i="92" s="1"/>
  <c r="R65" i="92"/>
  <c r="AE125" i="92" s="1"/>
  <c r="R21" i="92"/>
  <c r="AD125" i="92" s="1"/>
  <c r="AF124" i="92"/>
  <c r="AL19" i="91"/>
  <c r="AH19" i="91"/>
  <c r="AB122" i="92"/>
  <c r="AC122" i="92" s="1"/>
  <c r="AJ19" i="91"/>
  <c r="AK19" i="91" s="1"/>
  <c r="AL7" i="91"/>
  <c r="AB113" i="92"/>
  <c r="AC113" i="92" s="1"/>
  <c r="AJ7" i="91"/>
  <c r="AK7" i="91" s="1"/>
  <c r="AH7" i="91"/>
  <c r="AL18" i="91"/>
  <c r="AB121" i="92"/>
  <c r="AC121" i="92" s="1"/>
  <c r="AJ18" i="91"/>
  <c r="AK18" i="91" s="1"/>
  <c r="AH18" i="91"/>
  <c r="AH18" i="84"/>
  <c r="AO18" i="84"/>
  <c r="AP18" i="84" s="1"/>
  <c r="AJ18" i="84"/>
  <c r="AK18" i="84" s="1"/>
  <c r="AB119" i="85"/>
  <c r="AC119" i="85" s="1"/>
  <c r="AJ18" i="94"/>
  <c r="AL18" i="84"/>
  <c r="AL7" i="84"/>
  <c r="AB111" i="85"/>
  <c r="AC111" i="85" s="1"/>
  <c r="AH7" i="84"/>
  <c r="AJ7" i="94"/>
  <c r="AO7" i="84"/>
  <c r="AP7" i="84" s="1"/>
  <c r="AJ7" i="84"/>
  <c r="AK7" i="84" s="1"/>
  <c r="AB120" i="85"/>
  <c r="AC120" i="85" s="1"/>
  <c r="AJ19" i="84"/>
  <c r="AK19" i="84" s="1"/>
  <c r="AJ19" i="94"/>
  <c r="AL19" i="84"/>
  <c r="AH19" i="84"/>
  <c r="AO19" i="84"/>
  <c r="AP19" i="84" s="1"/>
  <c r="V22" i="84"/>
  <c r="X22" i="84" s="1"/>
  <c r="AE22" i="84" s="1"/>
  <c r="AF22" i="84" s="1"/>
  <c r="AV11" i="94"/>
  <c r="W11" i="94"/>
  <c r="X11" i="94" s="1"/>
  <c r="AI124" i="92"/>
  <c r="Y17" i="94"/>
  <c r="AA17" i="94" s="1"/>
  <c r="Y13" i="94"/>
  <c r="AA13" i="94" s="1"/>
  <c r="O74" i="92"/>
  <c r="AH112" i="92" s="1"/>
  <c r="O30" i="92"/>
  <c r="AG112" i="92" s="1"/>
  <c r="R52" i="92"/>
  <c r="AE112" i="92" s="1"/>
  <c r="R8" i="92"/>
  <c r="AD112" i="92" s="1"/>
  <c r="AI118" i="85"/>
  <c r="AI122" i="85"/>
  <c r="AW17" i="94"/>
  <c r="Y20" i="94"/>
  <c r="AA20" i="94" s="1"/>
  <c r="AI120" i="92"/>
  <c r="V5" i="84"/>
  <c r="X5" i="84" s="1"/>
  <c r="AE5" i="84" s="1"/>
  <c r="AF5" i="84" s="1"/>
  <c r="V9" i="84"/>
  <c r="X9" i="84" s="1"/>
  <c r="AE9" i="84" s="1"/>
  <c r="AF9" i="84" s="1"/>
  <c r="W8" i="94"/>
  <c r="X8" i="94" s="1"/>
  <c r="AV8" i="94"/>
  <c r="O36" i="92"/>
  <c r="AG118" i="92" s="1"/>
  <c r="R14" i="92"/>
  <c r="AD118" i="92" s="1"/>
  <c r="O80" i="92"/>
  <c r="AH118" i="92" s="1"/>
  <c r="R58" i="92"/>
  <c r="AE118" i="92" s="1"/>
  <c r="N81" i="85"/>
  <c r="AH117" i="85" s="1"/>
  <c r="Q15" i="85"/>
  <c r="AD117" i="85" s="1"/>
  <c r="N37" i="85"/>
  <c r="AG117" i="85" s="1"/>
  <c r="Q59" i="85"/>
  <c r="AE117" i="85" s="1"/>
  <c r="Q58" i="85"/>
  <c r="AE116" i="85" s="1"/>
  <c r="N80" i="85"/>
  <c r="AH116" i="85" s="1"/>
  <c r="N36" i="85"/>
  <c r="AG116" i="85" s="1"/>
  <c r="Q14" i="85"/>
  <c r="AD116" i="85" s="1"/>
  <c r="AD15" i="74"/>
  <c r="B24" i="83"/>
  <c r="AQ6" i="84"/>
  <c r="V6" i="94"/>
  <c r="AX13" i="94"/>
  <c r="AW13" i="94"/>
  <c r="V22" i="91"/>
  <c r="X22" i="91" s="1"/>
  <c r="AE22" i="91" s="1"/>
  <c r="AF22" i="91" s="1"/>
  <c r="W12" i="94"/>
  <c r="X12" i="94" s="1"/>
  <c r="AV12" i="94"/>
  <c r="Q8" i="85"/>
  <c r="AD110" i="85" s="1"/>
  <c r="N74" i="85"/>
  <c r="AH110" i="85" s="1"/>
  <c r="Q52" i="85"/>
  <c r="AE110" i="85" s="1"/>
  <c r="N30" i="85"/>
  <c r="AG110" i="85" s="1"/>
  <c r="AQ10" i="84"/>
  <c r="V10" i="94"/>
  <c r="AF118" i="85"/>
  <c r="AJ113" i="85"/>
  <c r="AL113" i="85"/>
  <c r="AW20" i="94"/>
  <c r="AF120" i="92"/>
  <c r="V5" i="91"/>
  <c r="X5" i="91" s="1"/>
  <c r="AE5" i="91" s="1"/>
  <c r="AF5" i="91" s="1"/>
  <c r="V9" i="91"/>
  <c r="X9" i="91" s="1"/>
  <c r="AE9" i="91" s="1"/>
  <c r="AF9" i="91" s="1"/>
  <c r="O81" i="92"/>
  <c r="AH119" i="92" s="1"/>
  <c r="R59" i="92"/>
  <c r="AE119" i="92" s="1"/>
  <c r="R15" i="92"/>
  <c r="AD119" i="92" s="1"/>
  <c r="O37" i="92"/>
  <c r="AG119" i="92" s="1"/>
  <c r="AQ23" i="84"/>
  <c r="V23" i="94"/>
  <c r="W4" i="79"/>
  <c r="V4" i="79"/>
  <c r="AF112" i="85" l="1"/>
  <c r="AF114" i="92"/>
  <c r="AT14" i="94"/>
  <c r="T14" i="104"/>
  <c r="AT14" i="104" s="1"/>
  <c r="S66" i="95"/>
  <c r="AE128" i="95" s="1"/>
  <c r="P44" i="95"/>
  <c r="AG128" i="95" s="1"/>
  <c r="S22" i="95"/>
  <c r="AD128" i="95" s="1"/>
  <c r="P88" i="95"/>
  <c r="AH128" i="95" s="1"/>
  <c r="AH20" i="94"/>
  <c r="AI20" i="94" s="1"/>
  <c r="AC20" i="104"/>
  <c r="AD20" i="104" s="1"/>
  <c r="AH13" i="94"/>
  <c r="AI13" i="94" s="1"/>
  <c r="AR13" i="94" s="1"/>
  <c r="AC13" i="104"/>
  <c r="AD13" i="104" s="1"/>
  <c r="AH17" i="94"/>
  <c r="AC17" i="104"/>
  <c r="AD17" i="104" s="1"/>
  <c r="AH20" i="104"/>
  <c r="AH13" i="104"/>
  <c r="AH17" i="104"/>
  <c r="AX20" i="94"/>
  <c r="AX17" i="94"/>
  <c r="AL124" i="92"/>
  <c r="AL112" i="85"/>
  <c r="AL114" i="92"/>
  <c r="AF116" i="85"/>
  <c r="AL116" i="85" s="1"/>
  <c r="AI117" i="85"/>
  <c r="AJ122" i="85"/>
  <c r="AJ124" i="92"/>
  <c r="AF125" i="92"/>
  <c r="AF110" i="85"/>
  <c r="AJ112" i="85"/>
  <c r="AJ114" i="92"/>
  <c r="AI125" i="92"/>
  <c r="AI116" i="85"/>
  <c r="AI112" i="92"/>
  <c r="AL122" i="85"/>
  <c r="AL22" i="91"/>
  <c r="AJ22" i="91"/>
  <c r="AK22" i="91" s="1"/>
  <c r="AB116" i="92"/>
  <c r="AC116" i="92" s="1"/>
  <c r="AH22" i="91"/>
  <c r="AH5" i="84"/>
  <c r="AJ5" i="84"/>
  <c r="AK5" i="84" s="1"/>
  <c r="AO5" i="84"/>
  <c r="AP5" i="84" s="1"/>
  <c r="AB109" i="85"/>
  <c r="AC109" i="85" s="1"/>
  <c r="AJ5" i="94"/>
  <c r="AL5" i="84"/>
  <c r="AJ9" i="94"/>
  <c r="AB115" i="85"/>
  <c r="AC115" i="85" s="1"/>
  <c r="AJ9" i="84"/>
  <c r="AK9" i="84" s="1"/>
  <c r="AO9" i="84"/>
  <c r="AP9" i="84" s="1"/>
  <c r="AL9" i="84"/>
  <c r="AH9" i="84"/>
  <c r="AJ22" i="84"/>
  <c r="AK22" i="84" s="1"/>
  <c r="AJ22" i="94"/>
  <c r="AH22" i="84"/>
  <c r="AL22" i="84"/>
  <c r="AB114" i="85"/>
  <c r="AC114" i="85" s="1"/>
  <c r="AO22" i="84"/>
  <c r="AP22" i="84" s="1"/>
  <c r="AH5" i="91"/>
  <c r="AB111" i="92"/>
  <c r="AC111" i="92" s="1"/>
  <c r="AJ5" i="91"/>
  <c r="AK5" i="91" s="1"/>
  <c r="AL5" i="91"/>
  <c r="AV6" i="94"/>
  <c r="W6" i="94"/>
  <c r="X6" i="94" s="1"/>
  <c r="Q53" i="85"/>
  <c r="AE111" i="85" s="1"/>
  <c r="Q9" i="85"/>
  <c r="AD111" i="85" s="1"/>
  <c r="N31" i="85"/>
  <c r="AG111" i="85" s="1"/>
  <c r="N75" i="85"/>
  <c r="AH111" i="85" s="1"/>
  <c r="R62" i="92"/>
  <c r="AE122" i="92" s="1"/>
  <c r="R18" i="92"/>
  <c r="AD122" i="92" s="1"/>
  <c r="O40" i="92"/>
  <c r="AG122" i="92" s="1"/>
  <c r="O84" i="92"/>
  <c r="AH122" i="92" s="1"/>
  <c r="AJ120" i="92"/>
  <c r="AL120" i="92"/>
  <c r="AQ7" i="84"/>
  <c r="V7" i="94"/>
  <c r="Q17" i="85"/>
  <c r="AD119" i="85" s="1"/>
  <c r="N83" i="85"/>
  <c r="AH119" i="85" s="1"/>
  <c r="N39" i="85"/>
  <c r="AG119" i="85" s="1"/>
  <c r="Q61" i="85"/>
  <c r="AE119" i="85" s="1"/>
  <c r="O31" i="92"/>
  <c r="AG113" i="92" s="1"/>
  <c r="R9" i="92"/>
  <c r="AD113" i="92" s="1"/>
  <c r="O75" i="92"/>
  <c r="AH113" i="92" s="1"/>
  <c r="R53" i="92"/>
  <c r="AE113" i="92" s="1"/>
  <c r="AI119" i="92"/>
  <c r="AI110" i="85"/>
  <c r="AW12" i="94"/>
  <c r="AX12" i="94" s="1"/>
  <c r="AF117" i="85"/>
  <c r="AF118" i="92"/>
  <c r="Y11" i="94"/>
  <c r="AA11" i="94" s="1"/>
  <c r="AQ19" i="84"/>
  <c r="V19" i="94"/>
  <c r="N84" i="85"/>
  <c r="AH120" i="85" s="1"/>
  <c r="Q62" i="85"/>
  <c r="AE120" i="85" s="1"/>
  <c r="N40" i="85"/>
  <c r="AG120" i="85" s="1"/>
  <c r="Q18" i="85"/>
  <c r="AD120" i="85" s="1"/>
  <c r="AQ18" i="84"/>
  <c r="V18" i="94"/>
  <c r="AV23" i="94"/>
  <c r="W23" i="94"/>
  <c r="X23" i="94" s="1"/>
  <c r="AB117" i="92"/>
  <c r="AC117" i="92" s="1"/>
  <c r="AH9" i="91"/>
  <c r="AJ9" i="91"/>
  <c r="AK9" i="91" s="1"/>
  <c r="AL9" i="91"/>
  <c r="AV10" i="94"/>
  <c r="W10" i="94"/>
  <c r="X10" i="94" s="1"/>
  <c r="AX8" i="94"/>
  <c r="AW8" i="94"/>
  <c r="Y8" i="94"/>
  <c r="AA8" i="94" s="1"/>
  <c r="O83" i="92"/>
  <c r="AH121" i="92" s="1"/>
  <c r="R61" i="92"/>
  <c r="AE121" i="92" s="1"/>
  <c r="R17" i="92"/>
  <c r="AD121" i="92" s="1"/>
  <c r="O39" i="92"/>
  <c r="AG121" i="92" s="1"/>
  <c r="AJ118" i="85"/>
  <c r="AL118" i="85"/>
  <c r="W25" i="79"/>
  <c r="B17" i="61"/>
  <c r="X4" i="79"/>
  <c r="AF119" i="92"/>
  <c r="Y12" i="94"/>
  <c r="AA12" i="94" s="1"/>
  <c r="S15" i="84"/>
  <c r="B26" i="83"/>
  <c r="AI118" i="92"/>
  <c r="AF112" i="92"/>
  <c r="AW11" i="94"/>
  <c r="AL125" i="92" l="1"/>
  <c r="AR20" i="94"/>
  <c r="AS20" i="94" s="1"/>
  <c r="AE20" i="104"/>
  <c r="AI20" i="112"/>
  <c r="AE13" i="104"/>
  <c r="AI13" i="112"/>
  <c r="AE17" i="104"/>
  <c r="AI17" i="112"/>
  <c r="AU14" i="104"/>
  <c r="AV14" i="104" s="1"/>
  <c r="AM13" i="94"/>
  <c r="AN13" i="94" s="1"/>
  <c r="P43" i="95" s="1"/>
  <c r="AG127" i="95" s="1"/>
  <c r="AS13" i="94"/>
  <c r="AK20" i="94"/>
  <c r="AI17" i="94"/>
  <c r="AK13" i="94"/>
  <c r="AI128" i="95"/>
  <c r="U14" i="104"/>
  <c r="N116" i="118" s="1"/>
  <c r="AM20" i="94"/>
  <c r="AN20" i="94" s="1"/>
  <c r="AB125" i="95"/>
  <c r="AC125" i="95" s="1"/>
  <c r="AO13" i="94"/>
  <c r="AB127" i="95"/>
  <c r="AC127" i="95" s="1"/>
  <c r="AF128" i="95"/>
  <c r="AH8" i="94"/>
  <c r="AI8" i="94" s="1"/>
  <c r="AO8" i="94" s="1"/>
  <c r="AC8" i="104"/>
  <c r="AD8" i="104" s="1"/>
  <c r="AH12" i="94"/>
  <c r="AI12" i="94" s="1"/>
  <c r="AC12" i="104"/>
  <c r="AD12" i="104" s="1"/>
  <c r="AO20" i="94"/>
  <c r="AH11" i="94"/>
  <c r="AI11" i="94" s="1"/>
  <c r="AC11" i="104"/>
  <c r="AD11" i="104" s="1"/>
  <c r="AH8" i="104"/>
  <c r="AH12" i="104"/>
  <c r="AX11" i="94"/>
  <c r="AJ116" i="85"/>
  <c r="AJ110" i="85"/>
  <c r="AL110" i="85"/>
  <c r="AJ125" i="92"/>
  <c r="AI119" i="85"/>
  <c r="AF122" i="92"/>
  <c r="AF111" i="85"/>
  <c r="AL119" i="92"/>
  <c r="AJ119" i="92"/>
  <c r="W7" i="94"/>
  <c r="X7" i="94" s="1"/>
  <c r="AV7" i="94"/>
  <c r="AI111" i="85"/>
  <c r="AW6" i="94"/>
  <c r="AX6" i="94" s="1"/>
  <c r="AJ112" i="92"/>
  <c r="AL112" i="92"/>
  <c r="Y23" i="94"/>
  <c r="AA23" i="94" s="1"/>
  <c r="AF120" i="85"/>
  <c r="W19" i="94"/>
  <c r="X19" i="94" s="1"/>
  <c r="AV19" i="94"/>
  <c r="AJ118" i="92"/>
  <c r="AL118" i="92"/>
  <c r="AF113" i="92"/>
  <c r="AQ22" i="84"/>
  <c r="V22" i="94"/>
  <c r="V9" i="94"/>
  <c r="AQ9" i="84"/>
  <c r="Q51" i="85"/>
  <c r="AE109" i="85" s="1"/>
  <c r="N73" i="85"/>
  <c r="AH109" i="85" s="1"/>
  <c r="N29" i="85"/>
  <c r="AG109" i="85" s="1"/>
  <c r="Q7" i="85"/>
  <c r="AD109" i="85" s="1"/>
  <c r="O78" i="92"/>
  <c r="AH116" i="92" s="1"/>
  <c r="R12" i="92"/>
  <c r="AD116" i="92" s="1"/>
  <c r="R56" i="92"/>
  <c r="AE116" i="92" s="1"/>
  <c r="O34" i="92"/>
  <c r="AG116" i="92" s="1"/>
  <c r="Y10" i="94"/>
  <c r="AA10" i="94" s="1"/>
  <c r="AV18" i="94"/>
  <c r="W18" i="94"/>
  <c r="X18" i="94" s="1"/>
  <c r="Y6" i="94"/>
  <c r="AA6" i="94" s="1"/>
  <c r="S15" i="91"/>
  <c r="T15" i="91" s="1"/>
  <c r="U15" i="91" s="1"/>
  <c r="T15" i="84"/>
  <c r="U15" i="84" s="1"/>
  <c r="B18" i="61"/>
  <c r="Y4" i="79"/>
  <c r="X25" i="79"/>
  <c r="AX10" i="94"/>
  <c r="AW10" i="94"/>
  <c r="AI122" i="92"/>
  <c r="V5" i="94"/>
  <c r="AQ5" i="84"/>
  <c r="AI121" i="92"/>
  <c r="W31" i="79"/>
  <c r="W30" i="74"/>
  <c r="AF121" i="92"/>
  <c r="R13" i="92"/>
  <c r="AD117" i="92" s="1"/>
  <c r="O79" i="92"/>
  <c r="AH117" i="92" s="1"/>
  <c r="R57" i="92"/>
  <c r="AE117" i="92" s="1"/>
  <c r="O35" i="92"/>
  <c r="AG117" i="92" s="1"/>
  <c r="AW23" i="94"/>
  <c r="AI120" i="85"/>
  <c r="AJ117" i="85"/>
  <c r="AL117" i="85"/>
  <c r="AI113" i="92"/>
  <c r="AF119" i="85"/>
  <c r="O29" i="92"/>
  <c r="AG111" i="92" s="1"/>
  <c r="O73" i="92"/>
  <c r="AH111" i="92" s="1"/>
  <c r="R51" i="92"/>
  <c r="AE111" i="92" s="1"/>
  <c r="R7" i="92"/>
  <c r="AD111" i="92" s="1"/>
  <c r="Q56" i="85"/>
  <c r="AE114" i="85" s="1"/>
  <c r="N78" i="85"/>
  <c r="AH114" i="85" s="1"/>
  <c r="Q12" i="85"/>
  <c r="AD114" i="85" s="1"/>
  <c r="N34" i="85"/>
  <c r="AG114" i="85" s="1"/>
  <c r="Q13" i="85"/>
  <c r="AD115" i="85" s="1"/>
  <c r="Q57" i="85"/>
  <c r="AE115" i="85" s="1"/>
  <c r="N79" i="85"/>
  <c r="AH115" i="85" s="1"/>
  <c r="N35" i="85"/>
  <c r="AG115" i="85" s="1"/>
  <c r="P87" i="95" l="1"/>
  <c r="AH127" i="95" s="1"/>
  <c r="S65" i="95"/>
  <c r="AE127" i="95" s="1"/>
  <c r="S21" i="95"/>
  <c r="AD127" i="95" s="1"/>
  <c r="N117" i="118"/>
  <c r="N148" i="125"/>
  <c r="AT20" i="94"/>
  <c r="T20" i="104"/>
  <c r="U20" i="104" s="1"/>
  <c r="N95" i="118" s="1"/>
  <c r="AR12" i="94"/>
  <c r="AS12" i="94" s="1"/>
  <c r="AR17" i="94"/>
  <c r="AS17" i="94" s="1"/>
  <c r="AR8" i="94"/>
  <c r="AS8" i="94" s="1"/>
  <c r="AR11" i="94"/>
  <c r="AS11" i="94" s="1"/>
  <c r="T11" i="104" s="1"/>
  <c r="AE12" i="104"/>
  <c r="AI12" i="112"/>
  <c r="AE11" i="104"/>
  <c r="AI11" i="112"/>
  <c r="AE8" i="104"/>
  <c r="AI8" i="112"/>
  <c r="AK17" i="94"/>
  <c r="AM17" i="94"/>
  <c r="AN17" i="94" s="1"/>
  <c r="P33" i="95" s="1"/>
  <c r="AG117" i="95" s="1"/>
  <c r="AO17" i="94"/>
  <c r="AJ128" i="95"/>
  <c r="V14" i="104"/>
  <c r="T13" i="104"/>
  <c r="AT13" i="104" s="1"/>
  <c r="AT13" i="94"/>
  <c r="AB126" i="95"/>
  <c r="AC126" i="95" s="1"/>
  <c r="AB122" i="95"/>
  <c r="AC122" i="95" s="1"/>
  <c r="AB116" i="95"/>
  <c r="AC116" i="95" s="1"/>
  <c r="AB117" i="95"/>
  <c r="AC117" i="95" s="1"/>
  <c r="AK8" i="94"/>
  <c r="AK12" i="94"/>
  <c r="S19" i="95"/>
  <c r="AD125" i="95" s="1"/>
  <c r="P85" i="95"/>
  <c r="AH125" i="95" s="1"/>
  <c r="P41" i="95"/>
  <c r="AG125" i="95" s="1"/>
  <c r="S63" i="95"/>
  <c r="AE125" i="95" s="1"/>
  <c r="AM12" i="94"/>
  <c r="AN12" i="94" s="1"/>
  <c r="AO12" i="94"/>
  <c r="AM8" i="94"/>
  <c r="AN8" i="94" s="1"/>
  <c r="AL128" i="95"/>
  <c r="AH23" i="94"/>
  <c r="AI23" i="94" s="1"/>
  <c r="AC23" i="104"/>
  <c r="AD23" i="104" s="1"/>
  <c r="AH10" i="94"/>
  <c r="AI10" i="94" s="1"/>
  <c r="AR10" i="94" s="1"/>
  <c r="AC10" i="104"/>
  <c r="AD10" i="104" s="1"/>
  <c r="AH6" i="94"/>
  <c r="AC6" i="104"/>
  <c r="AD6" i="104" s="1"/>
  <c r="AH10" i="104"/>
  <c r="AH23" i="104"/>
  <c r="AH6" i="104"/>
  <c r="AM11" i="94"/>
  <c r="AN11" i="94" s="1"/>
  <c r="AX23" i="94"/>
  <c r="AH11" i="104"/>
  <c r="AK11" i="94"/>
  <c r="AO11" i="94"/>
  <c r="AI115" i="85"/>
  <c r="AI114" i="85"/>
  <c r="AL111" i="85"/>
  <c r="AF111" i="92"/>
  <c r="AJ111" i="85"/>
  <c r="AI109" i="85"/>
  <c r="AF114" i="85"/>
  <c r="AL122" i="92"/>
  <c r="AJ119" i="85"/>
  <c r="AL119" i="85"/>
  <c r="W5" i="94"/>
  <c r="X5" i="94" s="1"/>
  <c r="AV5" i="94"/>
  <c r="V15" i="91"/>
  <c r="X15" i="91" s="1"/>
  <c r="AE15" i="91" s="1"/>
  <c r="AF15" i="91" s="1"/>
  <c r="AW18" i="94"/>
  <c r="W9" i="94"/>
  <c r="X9" i="94" s="1"/>
  <c r="AV9" i="94"/>
  <c r="AJ120" i="85"/>
  <c r="AL120" i="85"/>
  <c r="AW7" i="94"/>
  <c r="AX7" i="94" s="1"/>
  <c r="Z4" i="79"/>
  <c r="B20" i="61"/>
  <c r="W22" i="94"/>
  <c r="X22" i="94" s="1"/>
  <c r="AV22" i="94"/>
  <c r="AF117" i="92"/>
  <c r="AJ122" i="92"/>
  <c r="AW19" i="94"/>
  <c r="X30" i="74"/>
  <c r="B4" i="77"/>
  <c r="AI127" i="95"/>
  <c r="AF116" i="92"/>
  <c r="Y7" i="94"/>
  <c r="AA7" i="94" s="1"/>
  <c r="AF115" i="85"/>
  <c r="AI111" i="92"/>
  <c r="AI117" i="92"/>
  <c r="AJ121" i="92"/>
  <c r="AL121" i="92"/>
  <c r="V15" i="84"/>
  <c r="X15" i="84" s="1"/>
  <c r="AE15" i="84" s="1"/>
  <c r="Y18" i="94"/>
  <c r="AA18" i="94" s="1"/>
  <c r="AI116" i="92"/>
  <c r="AF109" i="85"/>
  <c r="AJ113" i="92"/>
  <c r="AL113" i="92"/>
  <c r="Y19" i="94"/>
  <c r="AA19" i="94" s="1"/>
  <c r="AF127" i="95" l="1"/>
  <c r="N96" i="118"/>
  <c r="N121" i="125"/>
  <c r="AT20" i="104"/>
  <c r="AU20" i="104" s="1"/>
  <c r="AV20" i="104" s="1"/>
  <c r="V20" i="104"/>
  <c r="W20" i="104" s="1"/>
  <c r="Y20" i="104" s="1"/>
  <c r="W14" i="104"/>
  <c r="Y14" i="104" s="1"/>
  <c r="AF14" i="104" s="1"/>
  <c r="BA128" i="108" s="1"/>
  <c r="BB128" i="108" s="1"/>
  <c r="O116" i="118"/>
  <c r="S55" i="95"/>
  <c r="AE117" i="95" s="1"/>
  <c r="AR23" i="94"/>
  <c r="AS23" i="94" s="1"/>
  <c r="AK10" i="94"/>
  <c r="AE6" i="104"/>
  <c r="AI6" i="112"/>
  <c r="AE23" i="104"/>
  <c r="AI23" i="112"/>
  <c r="AE10" i="104"/>
  <c r="AI10" i="112"/>
  <c r="AU13" i="104"/>
  <c r="AV13" i="104" s="1"/>
  <c r="S11" i="95"/>
  <c r="AD117" i="95" s="1"/>
  <c r="P77" i="95"/>
  <c r="AH117" i="95" s="1"/>
  <c r="AI117" i="95" s="1"/>
  <c r="AM10" i="94"/>
  <c r="AN10" i="94" s="1"/>
  <c r="P37" i="95" s="1"/>
  <c r="AG121" i="95" s="1"/>
  <c r="AS10" i="94"/>
  <c r="AT10" i="94" s="1"/>
  <c r="AI125" i="95"/>
  <c r="U13" i="104"/>
  <c r="AO10" i="94"/>
  <c r="AI6" i="94"/>
  <c r="AR6" i="94" s="1"/>
  <c r="AB121" i="95"/>
  <c r="AC121" i="95" s="1"/>
  <c r="AB120" i="95"/>
  <c r="AC120" i="95" s="1"/>
  <c r="AM23" i="94"/>
  <c r="AN23" i="94" s="1"/>
  <c r="S58" i="95" s="1"/>
  <c r="AE120" i="95" s="1"/>
  <c r="AF125" i="95"/>
  <c r="AO23" i="94"/>
  <c r="AK23" i="94"/>
  <c r="S54" i="95"/>
  <c r="AE116" i="95" s="1"/>
  <c r="P32" i="95"/>
  <c r="AG116" i="95" s="1"/>
  <c r="S10" i="95"/>
  <c r="AD116" i="95" s="1"/>
  <c r="P76" i="95"/>
  <c r="AH116" i="95" s="1"/>
  <c r="S20" i="95"/>
  <c r="AD126" i="95" s="1"/>
  <c r="P86" i="95"/>
  <c r="AH126" i="95" s="1"/>
  <c r="S64" i="95"/>
  <c r="AE126" i="95" s="1"/>
  <c r="P42" i="95"/>
  <c r="AG126" i="95" s="1"/>
  <c r="S16" i="95"/>
  <c r="AD122" i="95" s="1"/>
  <c r="P82" i="95"/>
  <c r="AH122" i="95" s="1"/>
  <c r="S60" i="95"/>
  <c r="AE122" i="95" s="1"/>
  <c r="P38" i="95"/>
  <c r="AG122" i="95" s="1"/>
  <c r="AT8" i="94"/>
  <c r="T8" i="104"/>
  <c r="U8" i="104" s="1"/>
  <c r="N32" i="118" s="1"/>
  <c r="AT12" i="94"/>
  <c r="T12" i="104"/>
  <c r="AT12" i="104" s="1"/>
  <c r="AH18" i="94"/>
  <c r="AC18" i="104"/>
  <c r="AD18" i="104" s="1"/>
  <c r="AH7" i="94"/>
  <c r="AI7" i="94" s="1"/>
  <c r="AM7" i="94" s="1"/>
  <c r="AN7" i="94" s="1"/>
  <c r="AC7" i="104"/>
  <c r="AD7" i="104" s="1"/>
  <c r="AH19" i="94"/>
  <c r="AC19" i="104"/>
  <c r="AD19" i="104" s="1"/>
  <c r="AH18" i="104"/>
  <c r="AH7" i="104"/>
  <c r="AT11" i="94"/>
  <c r="AH19" i="104"/>
  <c r="AX18" i="94"/>
  <c r="AX19" i="94"/>
  <c r="AL114" i="85"/>
  <c r="AL111" i="92"/>
  <c r="AJ114" i="85"/>
  <c r="AJ111" i="92"/>
  <c r="AX5" i="94"/>
  <c r="AW5" i="94"/>
  <c r="B12" i="77"/>
  <c r="F4" i="77"/>
  <c r="F12" i="77" s="1"/>
  <c r="AJ117" i="92"/>
  <c r="AL117" i="92"/>
  <c r="AA4" i="79"/>
  <c r="B25" i="61"/>
  <c r="Y5" i="94"/>
  <c r="AA5" i="94" s="1"/>
  <c r="AJ115" i="85"/>
  <c r="AL115" i="85"/>
  <c r="AX22" i="94"/>
  <c r="AW22" i="94"/>
  <c r="AW9" i="94"/>
  <c r="B28" i="83"/>
  <c r="H16" i="83"/>
  <c r="AF15" i="84"/>
  <c r="AJ109" i="85"/>
  <c r="AL109" i="85"/>
  <c r="AJ127" i="95"/>
  <c r="AL127" i="95"/>
  <c r="AJ116" i="92"/>
  <c r="AL116" i="92"/>
  <c r="Y22" i="94"/>
  <c r="AA22" i="94" s="1"/>
  <c r="Y9" i="94"/>
  <c r="AA9" i="94" s="1"/>
  <c r="AJ15" i="91"/>
  <c r="AK15" i="91" s="1"/>
  <c r="AH15" i="91"/>
  <c r="AB127" i="92"/>
  <c r="AC127" i="92" s="1"/>
  <c r="AL15" i="91"/>
  <c r="P81" i="95" l="1"/>
  <c r="AH121" i="95" s="1"/>
  <c r="S15" i="95"/>
  <c r="AD121" i="95" s="1"/>
  <c r="S59" i="95"/>
  <c r="AE121" i="95" s="1"/>
  <c r="O95" i="118"/>
  <c r="N33" i="118"/>
  <c r="N40" i="125"/>
  <c r="AI19" i="94"/>
  <c r="AR19" i="94" s="1"/>
  <c r="AS19" i="94" s="1"/>
  <c r="AT19" i="94" s="1"/>
  <c r="AU19" i="94"/>
  <c r="T19" i="104" s="1"/>
  <c r="AI18" i="94"/>
  <c r="AR18" i="94" s="1"/>
  <c r="AS18" i="94" s="1"/>
  <c r="AT18" i="94" s="1"/>
  <c r="AU18" i="94"/>
  <c r="T18" i="104" s="1"/>
  <c r="AF20" i="104"/>
  <c r="AG20" i="104" s="1"/>
  <c r="AP20" i="104" s="1"/>
  <c r="AQ20" i="104" s="1"/>
  <c r="AD20" i="112"/>
  <c r="AE20" i="112" s="1"/>
  <c r="AD14" i="112"/>
  <c r="AE14" i="112" s="1"/>
  <c r="AF117" i="95"/>
  <c r="AL117" i="95" s="1"/>
  <c r="V13" i="104"/>
  <c r="N109" i="118"/>
  <c r="AK7" i="94"/>
  <c r="AG14" i="104"/>
  <c r="AP14" i="104" s="1"/>
  <c r="AQ14" i="104" s="1"/>
  <c r="AO6" i="94"/>
  <c r="AR7" i="94"/>
  <c r="AS7" i="94" s="1"/>
  <c r="AE7" i="104"/>
  <c r="AI7" i="112"/>
  <c r="AE18" i="104"/>
  <c r="AI18" i="112"/>
  <c r="AE19" i="104"/>
  <c r="AI19" i="112"/>
  <c r="AU12" i="104"/>
  <c r="AV12" i="104" s="1"/>
  <c r="AS6" i="94"/>
  <c r="T10" i="104"/>
  <c r="AT10" i="104" s="1"/>
  <c r="AB114" i="95"/>
  <c r="AC114" i="95" s="1"/>
  <c r="AL125" i="95"/>
  <c r="S14" i="95"/>
  <c r="AD120" i="95" s="1"/>
  <c r="AF120" i="95" s="1"/>
  <c r="P80" i="95"/>
  <c r="AH120" i="95" s="1"/>
  <c r="AM6" i="94"/>
  <c r="AN6" i="94" s="1"/>
  <c r="P30" i="95" s="1"/>
  <c r="AG114" i="95" s="1"/>
  <c r="AK6" i="94"/>
  <c r="V8" i="104"/>
  <c r="T17" i="104"/>
  <c r="AT17" i="94"/>
  <c r="AI126" i="95"/>
  <c r="P36" i="95"/>
  <c r="AG120" i="95" s="1"/>
  <c r="AJ125" i="95"/>
  <c r="AT8" i="104"/>
  <c r="AT23" i="94"/>
  <c r="T23" i="104"/>
  <c r="AT23" i="104" s="1"/>
  <c r="U12" i="104"/>
  <c r="N102" i="118" s="1"/>
  <c r="AF126" i="95"/>
  <c r="AI116" i="95"/>
  <c r="AF116" i="95"/>
  <c r="P31" i="95"/>
  <c r="AG115" i="95" s="1"/>
  <c r="S9" i="95"/>
  <c r="AD115" i="95" s="1"/>
  <c r="P75" i="95"/>
  <c r="AH115" i="95" s="1"/>
  <c r="S53" i="95"/>
  <c r="AE115" i="95" s="1"/>
  <c r="AO7" i="94"/>
  <c r="AB115" i="95"/>
  <c r="AC115" i="95" s="1"/>
  <c r="AH9" i="94"/>
  <c r="AI9" i="94" s="1"/>
  <c r="AC9" i="104"/>
  <c r="AD9" i="104" s="1"/>
  <c r="AH22" i="94"/>
  <c r="AI22" i="94" s="1"/>
  <c r="AC22" i="104"/>
  <c r="AD22" i="104" s="1"/>
  <c r="AH5" i="94"/>
  <c r="AI5" i="94" s="1"/>
  <c r="AR5" i="94" s="1"/>
  <c r="AC5" i="104"/>
  <c r="AD5" i="104" s="1"/>
  <c r="U11" i="104"/>
  <c r="AT11" i="104"/>
  <c r="AH9" i="104"/>
  <c r="AH5" i="104"/>
  <c r="AH22" i="104"/>
  <c r="AX9" i="94"/>
  <c r="AI122" i="95"/>
  <c r="AF122" i="95"/>
  <c r="R23" i="92"/>
  <c r="AD127" i="92" s="1"/>
  <c r="O89" i="92"/>
  <c r="AH127" i="92" s="1"/>
  <c r="R67" i="92"/>
  <c r="AE127" i="92" s="1"/>
  <c r="O45" i="92"/>
  <c r="AG127" i="92" s="1"/>
  <c r="AJ15" i="94"/>
  <c r="AB125" i="85"/>
  <c r="AC125" i="85" s="1"/>
  <c r="H17" i="83"/>
  <c r="H31" i="83" s="1"/>
  <c r="AL15" i="84"/>
  <c r="AJ15" i="84"/>
  <c r="AK15" i="84" s="1"/>
  <c r="AH15" i="84"/>
  <c r="AO15" i="84"/>
  <c r="AP15" i="84" s="1"/>
  <c r="T4" i="74"/>
  <c r="U4" i="74" s="1"/>
  <c r="B29" i="61"/>
  <c r="H19" i="77"/>
  <c r="H21" i="77" s="1"/>
  <c r="H24" i="77"/>
  <c r="B17" i="77"/>
  <c r="B22" i="77" s="1"/>
  <c r="B26" i="77" s="1"/>
  <c r="AI121" i="95"/>
  <c r="AF121" i="95" l="1"/>
  <c r="AO19" i="94"/>
  <c r="AB123" i="95"/>
  <c r="AC123" i="95" s="1"/>
  <c r="AB124" i="95"/>
  <c r="AC124" i="95" s="1"/>
  <c r="AK19" i="94"/>
  <c r="AJ117" i="95"/>
  <c r="AM19" i="94"/>
  <c r="AN19" i="94" s="1"/>
  <c r="P84" i="95" s="1"/>
  <c r="AH124" i="95" s="1"/>
  <c r="AM18" i="94"/>
  <c r="AN18" i="94" s="1"/>
  <c r="P83" i="95" s="1"/>
  <c r="AH123" i="95" s="1"/>
  <c r="AO18" i="94"/>
  <c r="AK18" i="94"/>
  <c r="N103" i="118"/>
  <c r="N130" i="125"/>
  <c r="N110" i="118"/>
  <c r="N139" i="125"/>
  <c r="BA125" i="108"/>
  <c r="BB125" i="108" s="1"/>
  <c r="AF20" i="112"/>
  <c r="AF14" i="112"/>
  <c r="T20" i="112"/>
  <c r="T14" i="112"/>
  <c r="P74" i="95"/>
  <c r="AH114" i="95" s="1"/>
  <c r="AI114" i="95" s="1"/>
  <c r="AK20" i="104"/>
  <c r="AL20" i="104" s="1"/>
  <c r="P19" i="108" s="1"/>
  <c r="AA125" i="108" s="1"/>
  <c r="AR20" i="104"/>
  <c r="Y125" i="108"/>
  <c r="Z125" i="108" s="1"/>
  <c r="AI20" i="104"/>
  <c r="AM20" i="104"/>
  <c r="Y128" i="108"/>
  <c r="Z128" i="108" s="1"/>
  <c r="AK14" i="104"/>
  <c r="AL14" i="104" s="1"/>
  <c r="P44" i="108" s="1"/>
  <c r="AD128" i="108" s="1"/>
  <c r="W8" i="104"/>
  <c r="Y8" i="104" s="1"/>
  <c r="AF8" i="104" s="1"/>
  <c r="O32" i="118"/>
  <c r="AI14" i="104"/>
  <c r="N74" i="118"/>
  <c r="R5" i="117"/>
  <c r="S5" i="117" s="1"/>
  <c r="W13" i="104"/>
  <c r="Y13" i="104" s="1"/>
  <c r="AD13" i="112" s="1"/>
  <c r="AE13" i="112" s="1"/>
  <c r="O109" i="118"/>
  <c r="AM14" i="104"/>
  <c r="AR14" i="104"/>
  <c r="S52" i="95"/>
  <c r="AE114" i="95" s="1"/>
  <c r="T7" i="104"/>
  <c r="U7" i="104" s="1"/>
  <c r="N25" i="118" s="1"/>
  <c r="AT7" i="94"/>
  <c r="AR9" i="94"/>
  <c r="AS9" i="94" s="1"/>
  <c r="AR22" i="94"/>
  <c r="AS22" i="94" s="1"/>
  <c r="AT22" i="94" s="1"/>
  <c r="U10" i="104"/>
  <c r="AE22" i="104"/>
  <c r="AI22" i="112"/>
  <c r="AE9" i="104"/>
  <c r="AI9" i="112"/>
  <c r="AE5" i="104"/>
  <c r="AI5" i="112"/>
  <c r="AU8" i="104"/>
  <c r="AV8" i="104" s="1"/>
  <c r="AU10" i="104"/>
  <c r="AV10" i="104" s="1"/>
  <c r="AU11" i="104"/>
  <c r="AV11" i="104" s="1"/>
  <c r="AU23" i="104"/>
  <c r="AV23" i="104" s="1"/>
  <c r="AO5" i="94"/>
  <c r="AS5" i="94"/>
  <c r="AK22" i="94"/>
  <c r="S18" i="95"/>
  <c r="AD124" i="95" s="1"/>
  <c r="AT18" i="104"/>
  <c r="U19" i="104"/>
  <c r="N88" i="118" s="1"/>
  <c r="AI120" i="95"/>
  <c r="AJ120" i="95" s="1"/>
  <c r="S8" i="95"/>
  <c r="AD114" i="95" s="1"/>
  <c r="V11" i="104"/>
  <c r="AJ126" i="95"/>
  <c r="AJ116" i="95"/>
  <c r="V12" i="104"/>
  <c r="AO22" i="94"/>
  <c r="U17" i="104"/>
  <c r="N39" i="118" s="1"/>
  <c r="AT17" i="104"/>
  <c r="AB113" i="95"/>
  <c r="AC113" i="95" s="1"/>
  <c r="U23" i="104"/>
  <c r="N60" i="118" s="1"/>
  <c r="AL116" i="95"/>
  <c r="AL126" i="95"/>
  <c r="AM22" i="94"/>
  <c r="AN22" i="94" s="1"/>
  <c r="AB118" i="95"/>
  <c r="AC118" i="95" s="1"/>
  <c r="AM9" i="94"/>
  <c r="AN9" i="94" s="1"/>
  <c r="AB119" i="95"/>
  <c r="AC119" i="95" s="1"/>
  <c r="AK5" i="94"/>
  <c r="AO9" i="94"/>
  <c r="AM5" i="94"/>
  <c r="AN5" i="94" s="1"/>
  <c r="AK9" i="94"/>
  <c r="AL122" i="95"/>
  <c r="AJ122" i="95"/>
  <c r="AI127" i="92"/>
  <c r="AF115" i="95"/>
  <c r="AJ121" i="95"/>
  <c r="AL121" i="95"/>
  <c r="Q67" i="85"/>
  <c r="AE125" i="85" s="1"/>
  <c r="N45" i="85"/>
  <c r="AG125" i="85" s="1"/>
  <c r="Q23" i="85"/>
  <c r="AD125" i="85" s="1"/>
  <c r="N89" i="85"/>
  <c r="AH125" i="85" s="1"/>
  <c r="V15" i="94"/>
  <c r="AQ15" i="84"/>
  <c r="AI115" i="95"/>
  <c r="N72" i="78"/>
  <c r="AH108" i="78" s="1"/>
  <c r="AH127" i="78" s="1"/>
  <c r="V4" i="74"/>
  <c r="Q50" i="78"/>
  <c r="AE108" i="78" s="1"/>
  <c r="AE127" i="78" s="1"/>
  <c r="Q6" i="78"/>
  <c r="AD108" i="78" s="1"/>
  <c r="W4" i="74"/>
  <c r="D31" i="61"/>
  <c r="N28" i="78"/>
  <c r="AG108" i="78" s="1"/>
  <c r="AF127" i="92"/>
  <c r="S62" i="95" l="1"/>
  <c r="AE124" i="95" s="1"/>
  <c r="AF124" i="95" s="1"/>
  <c r="N112" i="125"/>
  <c r="P39" i="95"/>
  <c r="AG123" i="95" s="1"/>
  <c r="AI123" i="95" s="1"/>
  <c r="S61" i="95"/>
  <c r="AE123" i="95" s="1"/>
  <c r="P40" i="95"/>
  <c r="AG124" i="95" s="1"/>
  <c r="AI124" i="95" s="1"/>
  <c r="S17" i="95"/>
  <c r="AD123" i="95" s="1"/>
  <c r="AT7" i="104"/>
  <c r="AU7" i="104" s="1"/>
  <c r="AV7" i="104" s="1"/>
  <c r="N26" i="118"/>
  <c r="N31" i="125"/>
  <c r="N40" i="118"/>
  <c r="N49" i="125"/>
  <c r="N61" i="118"/>
  <c r="N76" i="125"/>
  <c r="P63" i="108"/>
  <c r="AB125" i="108" s="1"/>
  <c r="AC125" i="108" s="1"/>
  <c r="P85" i="108"/>
  <c r="AE125" i="108" s="1"/>
  <c r="P41" i="108"/>
  <c r="AD125" i="108" s="1"/>
  <c r="U14" i="112"/>
  <c r="N149" i="125" s="1"/>
  <c r="P88" i="108"/>
  <c r="AE128" i="108" s="1"/>
  <c r="AF128" i="108" s="1"/>
  <c r="AF13" i="112"/>
  <c r="AU20" i="112"/>
  <c r="U20" i="112"/>
  <c r="N122" i="125" s="1"/>
  <c r="AV20" i="112"/>
  <c r="AV14" i="112"/>
  <c r="AU14" i="112"/>
  <c r="P22" i="108"/>
  <c r="AA128" i="108" s="1"/>
  <c r="P66" i="108"/>
  <c r="AB128" i="108" s="1"/>
  <c r="N75" i="118"/>
  <c r="AF114" i="95"/>
  <c r="AL114" i="95" s="1"/>
  <c r="BA116" i="108"/>
  <c r="BB116" i="108" s="1"/>
  <c r="AG8" i="104"/>
  <c r="AP8" i="104" s="1"/>
  <c r="AQ8" i="104" s="1"/>
  <c r="W12" i="104"/>
  <c r="Y12" i="104" s="1"/>
  <c r="AD12" i="112" s="1"/>
  <c r="AE12" i="112" s="1"/>
  <c r="O102" i="118"/>
  <c r="V19" i="104"/>
  <c r="N89" i="118"/>
  <c r="AD8" i="112"/>
  <c r="AE8" i="112" s="1"/>
  <c r="N9" i="117"/>
  <c r="O9" i="117"/>
  <c r="J9" i="117"/>
  <c r="P9" i="117"/>
  <c r="L9" i="117"/>
  <c r="M9" i="117"/>
  <c r="K9" i="117"/>
  <c r="K11" i="117"/>
  <c r="N11" i="117"/>
  <c r="L11" i="117"/>
  <c r="M11" i="117"/>
  <c r="O11" i="117"/>
  <c r="J11" i="117"/>
  <c r="V10" i="104"/>
  <c r="N67" i="118"/>
  <c r="W11" i="104"/>
  <c r="Y11" i="104" s="1"/>
  <c r="AF11" i="104" s="1"/>
  <c r="BA122" i="108" s="1"/>
  <c r="BB122" i="108" s="1"/>
  <c r="O74" i="118"/>
  <c r="AF13" i="104"/>
  <c r="AT9" i="94"/>
  <c r="T9" i="104"/>
  <c r="AT9" i="104" s="1"/>
  <c r="AU18" i="104"/>
  <c r="AV18" i="104" s="1"/>
  <c r="U18" i="104"/>
  <c r="AL120" i="95"/>
  <c r="T22" i="104"/>
  <c r="AT22" i="104" s="1"/>
  <c r="AT19" i="104"/>
  <c r="AT6" i="94"/>
  <c r="T6" i="104"/>
  <c r="AT6" i="104" s="1"/>
  <c r="V7" i="104"/>
  <c r="V23" i="104"/>
  <c r="V17" i="104"/>
  <c r="AU17" i="104"/>
  <c r="AV17" i="104" s="1"/>
  <c r="S56" i="95"/>
  <c r="AE118" i="95" s="1"/>
  <c r="S12" i="95"/>
  <c r="AD118" i="95" s="1"/>
  <c r="P34" i="95"/>
  <c r="AG118" i="95" s="1"/>
  <c r="P78" i="95"/>
  <c r="AH118" i="95" s="1"/>
  <c r="AT5" i="94"/>
  <c r="T5" i="104"/>
  <c r="U5" i="104" s="1"/>
  <c r="N11" i="118" s="1"/>
  <c r="P73" i="95"/>
  <c r="AH113" i="95" s="1"/>
  <c r="S51" i="95"/>
  <c r="AE113" i="95" s="1"/>
  <c r="P29" i="95"/>
  <c r="AG113" i="95" s="1"/>
  <c r="S7" i="95"/>
  <c r="AD113" i="95" s="1"/>
  <c r="P35" i="95"/>
  <c r="AG119" i="95" s="1"/>
  <c r="S13" i="95"/>
  <c r="AD119" i="95" s="1"/>
  <c r="P79" i="95"/>
  <c r="AH119" i="95" s="1"/>
  <c r="S57" i="95"/>
  <c r="AE119" i="95" s="1"/>
  <c r="AI125" i="85"/>
  <c r="AJ115" i="95"/>
  <c r="AL115" i="95"/>
  <c r="AJ127" i="92"/>
  <c r="AL127" i="92"/>
  <c r="W25" i="74"/>
  <c r="W32" i="74" s="1"/>
  <c r="D33" i="61"/>
  <c r="H17" i="61"/>
  <c r="X4" i="74"/>
  <c r="AD127" i="78"/>
  <c r="AF108" i="78"/>
  <c r="AF125" i="85"/>
  <c r="AG127" i="78"/>
  <c r="AI108" i="78"/>
  <c r="AI127" i="78" s="1"/>
  <c r="AV15" i="94"/>
  <c r="W15" i="94"/>
  <c r="X15" i="94" s="1"/>
  <c r="AL124" i="95" l="1"/>
  <c r="AF123" i="95"/>
  <c r="AL123" i="95" s="1"/>
  <c r="N13" i="125"/>
  <c r="AF125" i="108"/>
  <c r="AI125" i="108" s="1"/>
  <c r="N68" i="118"/>
  <c r="N85" i="125"/>
  <c r="AJ114" i="95"/>
  <c r="AF8" i="112"/>
  <c r="AF12" i="112"/>
  <c r="AW20" i="112"/>
  <c r="T8" i="112"/>
  <c r="U8" i="112" s="1"/>
  <c r="N41" i="125" s="1"/>
  <c r="Y116" i="108"/>
  <c r="Z116" i="108" s="1"/>
  <c r="AC128" i="108"/>
  <c r="AI128" i="108" s="1"/>
  <c r="AF12" i="104"/>
  <c r="AG12" i="104" s="1"/>
  <c r="AP12" i="104" s="1"/>
  <c r="AQ12" i="104" s="1"/>
  <c r="AR8" i="104"/>
  <c r="AK8" i="104"/>
  <c r="AL8" i="104" s="1"/>
  <c r="P10" i="108" s="1"/>
  <c r="AA116" i="108" s="1"/>
  <c r="AD11" i="112"/>
  <c r="AE11" i="112" s="1"/>
  <c r="AM8" i="104"/>
  <c r="AI8" i="104"/>
  <c r="AW14" i="112"/>
  <c r="R11" i="117"/>
  <c r="W17" i="104"/>
  <c r="Y17" i="104" s="1"/>
  <c r="AF17" i="104" s="1"/>
  <c r="BA117" i="108" s="1"/>
  <c r="BB117" i="108" s="1"/>
  <c r="O39" i="118"/>
  <c r="W7" i="104"/>
  <c r="Y7" i="104" s="1"/>
  <c r="AF7" i="104" s="1"/>
  <c r="BA115" i="108" s="1"/>
  <c r="O25" i="118"/>
  <c r="W19" i="104"/>
  <c r="Y19" i="104" s="1"/>
  <c r="O88" i="118"/>
  <c r="W23" i="104"/>
  <c r="Y23" i="104" s="1"/>
  <c r="AD23" i="112" s="1"/>
  <c r="AE23" i="112" s="1"/>
  <c r="O60" i="118"/>
  <c r="BA127" i="108"/>
  <c r="BB127" i="108" s="1"/>
  <c r="AG13" i="104"/>
  <c r="V18" i="104"/>
  <c r="N81" i="118"/>
  <c r="W10" i="104"/>
  <c r="Y10" i="104" s="1"/>
  <c r="O67" i="118"/>
  <c r="R9" i="117"/>
  <c r="U9" i="104"/>
  <c r="N53" i="118" s="1"/>
  <c r="N12" i="118"/>
  <c r="AJ124" i="95"/>
  <c r="AG11" i="104"/>
  <c r="AP11" i="104" s="1"/>
  <c r="AQ11" i="104" s="1"/>
  <c r="AU19" i="104"/>
  <c r="AV19" i="104" s="1"/>
  <c r="AU22" i="104"/>
  <c r="AV22" i="104" s="1"/>
  <c r="AU9" i="104"/>
  <c r="AV9" i="104" s="1"/>
  <c r="AG125" i="108"/>
  <c r="U22" i="104"/>
  <c r="U6" i="104"/>
  <c r="AF118" i="95"/>
  <c r="AI118" i="95"/>
  <c r="V5" i="104"/>
  <c r="AF119" i="95"/>
  <c r="AF113" i="95"/>
  <c r="AI119" i="95"/>
  <c r="AI113" i="95"/>
  <c r="AT5" i="104"/>
  <c r="AB4" i="74"/>
  <c r="AC4" i="74" s="1"/>
  <c r="AD4" i="74" s="1"/>
  <c r="S4" i="84" s="1"/>
  <c r="H18" i="61"/>
  <c r="H32" i="61" s="1"/>
  <c r="AB108" i="78"/>
  <c r="X25" i="74"/>
  <c r="Y4" i="74"/>
  <c r="Z4" i="74" s="1"/>
  <c r="AA4" i="74" s="1"/>
  <c r="AB4" i="84" s="1"/>
  <c r="AC4" i="84" s="1"/>
  <c r="AD4" i="84" s="1"/>
  <c r="AW15" i="94"/>
  <c r="AX15" i="94" s="1"/>
  <c r="Y15" i="94"/>
  <c r="AA15" i="94" s="1"/>
  <c r="AJ125" i="85"/>
  <c r="AL125" i="85"/>
  <c r="AJ108" i="78"/>
  <c r="AJ127" i="78" s="1"/>
  <c r="AF127" i="78"/>
  <c r="AL108" i="78"/>
  <c r="AL127" i="78" s="1"/>
  <c r="AJ123" i="95" l="1"/>
  <c r="N103" i="125"/>
  <c r="AK12" i="104"/>
  <c r="AL12" i="104" s="1"/>
  <c r="P64" i="108" s="1"/>
  <c r="AB126" i="108" s="1"/>
  <c r="N54" i="118"/>
  <c r="N67" i="125"/>
  <c r="AM12" i="104"/>
  <c r="Y126" i="108"/>
  <c r="Z126" i="108" s="1"/>
  <c r="BA126" i="108"/>
  <c r="BB126" i="108" s="1"/>
  <c r="AI12" i="104"/>
  <c r="P76" i="108"/>
  <c r="AE116" i="108" s="1"/>
  <c r="P32" i="108"/>
  <c r="AD116" i="108" s="1"/>
  <c r="AF23" i="112"/>
  <c r="AF11" i="112"/>
  <c r="AR12" i="104"/>
  <c r="T12" i="112"/>
  <c r="AU8" i="112"/>
  <c r="AR11" i="104"/>
  <c r="AV8" i="112"/>
  <c r="N82" i="118"/>
  <c r="P54" i="108"/>
  <c r="AB116" i="108" s="1"/>
  <c r="AC116" i="108" s="1"/>
  <c r="AG128" i="108"/>
  <c r="AD7" i="112"/>
  <c r="AE7" i="112" s="1"/>
  <c r="AD17" i="112"/>
  <c r="AE17" i="112" s="1"/>
  <c r="AF23" i="104"/>
  <c r="AG23" i="104" s="1"/>
  <c r="AP23" i="104" s="1"/>
  <c r="AQ23" i="104" s="1"/>
  <c r="V9" i="104"/>
  <c r="O53" i="118" s="1"/>
  <c r="AF19" i="104"/>
  <c r="AD19" i="112"/>
  <c r="AE19" i="112" s="1"/>
  <c r="AP13" i="104"/>
  <c r="AQ13" i="104" s="1"/>
  <c r="AI13" i="104"/>
  <c r="Y127" i="108"/>
  <c r="Z127" i="108" s="1"/>
  <c r="AM13" i="104"/>
  <c r="AK13" i="104"/>
  <c r="AL13" i="104" s="1"/>
  <c r="W5" i="104"/>
  <c r="Y5" i="104" s="1"/>
  <c r="AF5" i="104" s="1"/>
  <c r="O11" i="118"/>
  <c r="V6" i="104"/>
  <c r="N18" i="118"/>
  <c r="AF10" i="104"/>
  <c r="AD10" i="112"/>
  <c r="AE10" i="112" s="1"/>
  <c r="AG7" i="104"/>
  <c r="AP7" i="104" s="1"/>
  <c r="AQ7" i="104" s="1"/>
  <c r="V22" i="104"/>
  <c r="N46" i="118"/>
  <c r="AI11" i="104"/>
  <c r="W18" i="104"/>
  <c r="Y18" i="104" s="1"/>
  <c r="O81" i="118"/>
  <c r="AK11" i="104"/>
  <c r="AL11" i="104" s="1"/>
  <c r="P82" i="108" s="1"/>
  <c r="AE122" i="108" s="1"/>
  <c r="Y122" i="108"/>
  <c r="Z122" i="108" s="1"/>
  <c r="AG17" i="104"/>
  <c r="AP17" i="104" s="1"/>
  <c r="AQ17" i="104" s="1"/>
  <c r="AM11" i="104"/>
  <c r="AZ115" i="108"/>
  <c r="BB115" i="108" s="1"/>
  <c r="T11" i="112"/>
  <c r="AU5" i="104"/>
  <c r="AV5" i="104" s="1"/>
  <c r="AL118" i="95"/>
  <c r="AJ118" i="95"/>
  <c r="AU6" i="104"/>
  <c r="P86" i="108"/>
  <c r="AE126" i="108" s="1"/>
  <c r="AL113" i="95"/>
  <c r="AJ119" i="95"/>
  <c r="AJ113" i="95"/>
  <c r="AL119" i="95"/>
  <c r="AH15" i="94"/>
  <c r="AI15" i="94" s="1"/>
  <c r="AC15" i="104"/>
  <c r="AD15" i="104" s="1"/>
  <c r="AH15" i="104"/>
  <c r="X32" i="74"/>
  <c r="B4" i="82"/>
  <c r="AC108" i="78"/>
  <c r="AC127" i="78" s="1"/>
  <c r="AB127" i="78"/>
  <c r="S4" i="91"/>
  <c r="T4" i="91" s="1"/>
  <c r="U4" i="91" s="1"/>
  <c r="T4" i="84"/>
  <c r="U4" i="84" s="1"/>
  <c r="P42" i="108" l="1"/>
  <c r="AD126" i="108" s="1"/>
  <c r="AF126" i="108" s="1"/>
  <c r="P20" i="108"/>
  <c r="AA126" i="108" s="1"/>
  <c r="AC126" i="108" s="1"/>
  <c r="N58" i="125"/>
  <c r="N22" i="125"/>
  <c r="AF116" i="108"/>
  <c r="AG116" i="108" s="1"/>
  <c r="U12" i="112"/>
  <c r="N131" i="125" s="1"/>
  <c r="AF17" i="112"/>
  <c r="AF7" i="112"/>
  <c r="AW8" i="112"/>
  <c r="AF19" i="112"/>
  <c r="AF10" i="112"/>
  <c r="AV11" i="112"/>
  <c r="AR23" i="104"/>
  <c r="T17" i="112"/>
  <c r="AR7" i="104"/>
  <c r="AV12" i="112"/>
  <c r="AU12" i="112"/>
  <c r="AM23" i="104"/>
  <c r="Y120" i="108"/>
  <c r="Z120" i="108" s="1"/>
  <c r="AI23" i="104"/>
  <c r="AK23" i="104"/>
  <c r="AL23" i="104" s="1"/>
  <c r="P36" i="108" s="1"/>
  <c r="AD120" i="108" s="1"/>
  <c r="T23" i="112"/>
  <c r="W9" i="104"/>
  <c r="Y9" i="104" s="1"/>
  <c r="AF9" i="104" s="1"/>
  <c r="AG9" i="104" s="1"/>
  <c r="AP9" i="104" s="1"/>
  <c r="AQ9" i="104" s="1"/>
  <c r="P60" i="108"/>
  <c r="AB122" i="108" s="1"/>
  <c r="P38" i="108"/>
  <c r="AD122" i="108" s="1"/>
  <c r="AF122" i="108" s="1"/>
  <c r="N19" i="118"/>
  <c r="N47" i="118"/>
  <c r="BA120" i="108"/>
  <c r="BB120" i="108" s="1"/>
  <c r="P16" i="108"/>
  <c r="AA122" i="108" s="1"/>
  <c r="AD5" i="112"/>
  <c r="AE5" i="112" s="1"/>
  <c r="AU11" i="112"/>
  <c r="AM17" i="104"/>
  <c r="AI17" i="104"/>
  <c r="AK7" i="104"/>
  <c r="AL7" i="104" s="1"/>
  <c r="P9" i="108" s="1"/>
  <c r="AA115" i="108" s="1"/>
  <c r="Y117" i="108"/>
  <c r="Z117" i="108" s="1"/>
  <c r="AR17" i="104"/>
  <c r="AK17" i="104"/>
  <c r="AL17" i="104" s="1"/>
  <c r="P33" i="108" s="1"/>
  <c r="AD117" i="108" s="1"/>
  <c r="T7" i="112"/>
  <c r="AM7" i="104"/>
  <c r="W6" i="104"/>
  <c r="Y6" i="104" s="1"/>
  <c r="O18" i="118"/>
  <c r="W22" i="104"/>
  <c r="Y22" i="104" s="1"/>
  <c r="AD22" i="112" s="1"/>
  <c r="AE22" i="112" s="1"/>
  <c r="O46" i="118"/>
  <c r="AD18" i="112"/>
  <c r="AE18" i="112" s="1"/>
  <c r="AF18" i="104"/>
  <c r="T13" i="112"/>
  <c r="AR13" i="104"/>
  <c r="Y115" i="108"/>
  <c r="Z115" i="108" s="1"/>
  <c r="BA124" i="108"/>
  <c r="BB124" i="108" s="1"/>
  <c r="AG19" i="104"/>
  <c r="AI7" i="104"/>
  <c r="BA121" i="108"/>
  <c r="AG10" i="104"/>
  <c r="AZ121" i="108"/>
  <c r="P43" i="108"/>
  <c r="AD127" i="108" s="1"/>
  <c r="P65" i="108"/>
  <c r="AB127" i="108" s="1"/>
  <c r="P21" i="108"/>
  <c r="AA127" i="108" s="1"/>
  <c r="P87" i="108"/>
  <c r="AE127" i="108" s="1"/>
  <c r="AG5" i="104"/>
  <c r="AP5" i="104" s="1"/>
  <c r="AQ5" i="104" s="1"/>
  <c r="BA113" i="108"/>
  <c r="BB113" i="108" s="1"/>
  <c r="U11" i="112"/>
  <c r="AR15" i="94"/>
  <c r="AS15" i="94" s="1"/>
  <c r="AE15" i="104"/>
  <c r="AI15" i="112"/>
  <c r="AV6" i="104"/>
  <c r="AO15" i="94"/>
  <c r="AB129" i="95"/>
  <c r="AC129" i="95" s="1"/>
  <c r="AM15" i="94"/>
  <c r="AN15" i="94" s="1"/>
  <c r="AK15" i="94"/>
  <c r="U25" i="84"/>
  <c r="V4" i="84"/>
  <c r="B12" i="82"/>
  <c r="B17" i="82" s="1"/>
  <c r="B22" i="82" s="1"/>
  <c r="B26" i="82" s="1"/>
  <c r="D4" i="89"/>
  <c r="D13" i="89" s="1"/>
  <c r="D17" i="89" s="1"/>
  <c r="F4" i="82"/>
  <c r="F12" i="82" s="1"/>
  <c r="U25" i="91"/>
  <c r="V4" i="91"/>
  <c r="P14" i="108" l="1"/>
  <c r="AA120" i="108" s="1"/>
  <c r="AI116" i="108"/>
  <c r="P58" i="108"/>
  <c r="AB120" i="108" s="1"/>
  <c r="AW11" i="112"/>
  <c r="P77" i="108"/>
  <c r="AE117" i="108" s="1"/>
  <c r="AF117" i="108" s="1"/>
  <c r="AF22" i="112"/>
  <c r="AW12" i="112"/>
  <c r="AF5" i="112"/>
  <c r="AF18" i="112"/>
  <c r="AV17" i="112"/>
  <c r="AU17" i="112"/>
  <c r="U17" i="112"/>
  <c r="N50" i="125" s="1"/>
  <c r="AR9" i="104"/>
  <c r="AU7" i="112"/>
  <c r="AV23" i="112"/>
  <c r="P80" i="108"/>
  <c r="AE120" i="108" s="1"/>
  <c r="AF120" i="108" s="1"/>
  <c r="AC122" i="108"/>
  <c r="AG122" i="108" s="1"/>
  <c r="AI9" i="104"/>
  <c r="AM9" i="104"/>
  <c r="AD9" i="112"/>
  <c r="AE9" i="112" s="1"/>
  <c r="U23" i="112"/>
  <c r="N77" i="125" s="1"/>
  <c r="BA119" i="108"/>
  <c r="Y119" i="108"/>
  <c r="Z119" i="108" s="1"/>
  <c r="AZ119" i="108"/>
  <c r="P55" i="108"/>
  <c r="AB117" i="108" s="1"/>
  <c r="T9" i="112"/>
  <c r="AU9" i="112" s="1"/>
  <c r="AK9" i="104"/>
  <c r="AL9" i="104" s="1"/>
  <c r="P35" i="108" s="1"/>
  <c r="AD119" i="108" s="1"/>
  <c r="AU23" i="112"/>
  <c r="P11" i="108"/>
  <c r="AA117" i="108" s="1"/>
  <c r="AU13" i="112"/>
  <c r="AV13" i="112"/>
  <c r="AV7" i="112"/>
  <c r="P75" i="108"/>
  <c r="AE115" i="108" s="1"/>
  <c r="P31" i="108"/>
  <c r="AD115" i="108" s="1"/>
  <c r="P53" i="108"/>
  <c r="AB115" i="108" s="1"/>
  <c r="AC115" i="108" s="1"/>
  <c r="U7" i="112"/>
  <c r="N32" i="125" s="1"/>
  <c r="AC127" i="108"/>
  <c r="AF127" i="108"/>
  <c r="BA123" i="108"/>
  <c r="AZ123" i="108"/>
  <c r="AG18" i="104"/>
  <c r="BB121" i="108"/>
  <c r="AP10" i="104"/>
  <c r="AQ10" i="104" s="1"/>
  <c r="Y121" i="108"/>
  <c r="Z121" i="108" s="1"/>
  <c r="AM10" i="104"/>
  <c r="AI10" i="104"/>
  <c r="AK10" i="104"/>
  <c r="AL10" i="104" s="1"/>
  <c r="U13" i="112"/>
  <c r="N140" i="125" s="1"/>
  <c r="F144" i="125" s="1"/>
  <c r="F145" i="125" s="1"/>
  <c r="AF6" i="104"/>
  <c r="AD6" i="112"/>
  <c r="AE6" i="112" s="1"/>
  <c r="AP19" i="104"/>
  <c r="AQ19" i="104" s="1"/>
  <c r="AK19" i="104"/>
  <c r="AL19" i="104" s="1"/>
  <c r="AM19" i="104"/>
  <c r="Y124" i="108"/>
  <c r="Z124" i="108" s="1"/>
  <c r="AI19" i="104"/>
  <c r="AF22" i="104"/>
  <c r="AK5" i="104"/>
  <c r="AL5" i="104" s="1"/>
  <c r="P29" i="108" s="1"/>
  <c r="AD113" i="108" s="1"/>
  <c r="AR5" i="104"/>
  <c r="AI5" i="104"/>
  <c r="AM5" i="104"/>
  <c r="Y113" i="108"/>
  <c r="Z113" i="108" s="1"/>
  <c r="T5" i="112"/>
  <c r="AI126" i="108"/>
  <c r="AG126" i="108"/>
  <c r="AT15" i="94"/>
  <c r="T15" i="104"/>
  <c r="AT15" i="104" s="1"/>
  <c r="P89" i="95"/>
  <c r="AH129" i="95" s="1"/>
  <c r="S67" i="95"/>
  <c r="AE129" i="95" s="1"/>
  <c r="P45" i="95"/>
  <c r="AG129" i="95" s="1"/>
  <c r="S23" i="95"/>
  <c r="AD129" i="95" s="1"/>
  <c r="V25" i="84"/>
  <c r="X4" i="84"/>
  <c r="AE4" i="84" s="1"/>
  <c r="V25" i="91"/>
  <c r="X4" i="91"/>
  <c r="AE4" i="91" s="1"/>
  <c r="AC120" i="108" l="1"/>
  <c r="AI120" i="108" s="1"/>
  <c r="AI122" i="108"/>
  <c r="AW7" i="112"/>
  <c r="G144" i="125"/>
  <c r="G145" i="125" s="1"/>
  <c r="K144" i="125"/>
  <c r="K145" i="125" s="1"/>
  <c r="I144" i="125"/>
  <c r="I145" i="125" s="1"/>
  <c r="H144" i="125"/>
  <c r="H145" i="125" s="1"/>
  <c r="J144" i="125"/>
  <c r="J145" i="125" s="1"/>
  <c r="AW17" i="112"/>
  <c r="AF6" i="112"/>
  <c r="AF9" i="112"/>
  <c r="AW23" i="112"/>
  <c r="AV9" i="112"/>
  <c r="AG127" i="108"/>
  <c r="BB119" i="108"/>
  <c r="AC117" i="108"/>
  <c r="AG117" i="108" s="1"/>
  <c r="P57" i="108"/>
  <c r="AB119" i="108" s="1"/>
  <c r="P13" i="108"/>
  <c r="AA119" i="108" s="1"/>
  <c r="P79" i="108"/>
  <c r="AE119" i="108" s="1"/>
  <c r="AF119" i="108" s="1"/>
  <c r="U9" i="112"/>
  <c r="AI127" i="108"/>
  <c r="AF115" i="108"/>
  <c r="AG115" i="108" s="1"/>
  <c r="AW13" i="112"/>
  <c r="AU5" i="112"/>
  <c r="BB123" i="108"/>
  <c r="P15" i="108"/>
  <c r="AA121" i="108" s="1"/>
  <c r="P59" i="108"/>
  <c r="AB121" i="108" s="1"/>
  <c r="P81" i="108"/>
  <c r="AE121" i="108" s="1"/>
  <c r="P37" i="108"/>
  <c r="AD121" i="108" s="1"/>
  <c r="T19" i="112"/>
  <c r="AR19" i="104"/>
  <c r="AP18" i="104"/>
  <c r="AQ18" i="104" s="1"/>
  <c r="AK18" i="104"/>
  <c r="AL18" i="104" s="1"/>
  <c r="AI18" i="104"/>
  <c r="Y123" i="108"/>
  <c r="Z123" i="108" s="1"/>
  <c r="AM18" i="104"/>
  <c r="P73" i="108"/>
  <c r="AE113" i="108" s="1"/>
  <c r="AF113" i="108" s="1"/>
  <c r="BA118" i="108"/>
  <c r="AG22" i="104"/>
  <c r="AZ118" i="108"/>
  <c r="AR10" i="104"/>
  <c r="T10" i="112"/>
  <c r="P62" i="108"/>
  <c r="AB124" i="108" s="1"/>
  <c r="P40" i="108"/>
  <c r="AD124" i="108" s="1"/>
  <c r="P84" i="108"/>
  <c r="AE124" i="108" s="1"/>
  <c r="P18" i="108"/>
  <c r="AA124" i="108" s="1"/>
  <c r="BA114" i="108"/>
  <c r="BB114" i="108" s="1"/>
  <c r="AG6" i="104"/>
  <c r="P51" i="108"/>
  <c r="AB113" i="108" s="1"/>
  <c r="P7" i="108"/>
  <c r="AA113" i="108" s="1"/>
  <c r="U5" i="112"/>
  <c r="AW9" i="112"/>
  <c r="AU15" i="104"/>
  <c r="AV15" i="104" s="1"/>
  <c r="U15" i="104"/>
  <c r="N123" i="118" s="1"/>
  <c r="AI129" i="95"/>
  <c r="AF129" i="95"/>
  <c r="AE25" i="91"/>
  <c r="AF4" i="91"/>
  <c r="AE25" i="84"/>
  <c r="AF4" i="84"/>
  <c r="AG120" i="108" l="1"/>
  <c r="H158" i="137"/>
  <c r="H160" i="137" s="1"/>
  <c r="I158" i="137"/>
  <c r="I160" i="137" s="1"/>
  <c r="G158" i="137"/>
  <c r="G160" i="137" s="1"/>
  <c r="K158" i="137"/>
  <c r="K160" i="137" s="1"/>
  <c r="J158" i="137"/>
  <c r="J160" i="137" s="1"/>
  <c r="N157" i="125"/>
  <c r="AI117" i="108"/>
  <c r="F158" i="137"/>
  <c r="F160" i="137" s="1"/>
  <c r="F143" i="155" s="1"/>
  <c r="F145" i="155" s="1"/>
  <c r="L144" i="125"/>
  <c r="AC119" i="108"/>
  <c r="AI119" i="108" s="1"/>
  <c r="W9" i="112"/>
  <c r="N68" i="125"/>
  <c r="N14" i="125"/>
  <c r="AV19" i="112"/>
  <c r="AI115" i="108"/>
  <c r="AF121" i="108"/>
  <c r="BB118" i="108"/>
  <c r="AU10" i="112"/>
  <c r="AV10" i="112"/>
  <c r="N124" i="118"/>
  <c r="AC113" i="108"/>
  <c r="AG113" i="108" s="1"/>
  <c r="U10" i="112"/>
  <c r="N86" i="125" s="1"/>
  <c r="AK6" i="104"/>
  <c r="AL6" i="104" s="1"/>
  <c r="AP6" i="104"/>
  <c r="AQ6" i="104" s="1"/>
  <c r="AI6" i="104"/>
  <c r="Y114" i="108"/>
  <c r="Z114" i="108" s="1"/>
  <c r="AM6" i="104"/>
  <c r="AU19" i="112"/>
  <c r="U19" i="112"/>
  <c r="N113" i="125" s="1"/>
  <c r="P39" i="108"/>
  <c r="AD123" i="108" s="1"/>
  <c r="P83" i="108"/>
  <c r="AE123" i="108" s="1"/>
  <c r="P61" i="108"/>
  <c r="AB123" i="108" s="1"/>
  <c r="P17" i="108"/>
  <c r="AA123" i="108" s="1"/>
  <c r="AC124" i="108"/>
  <c r="T18" i="112"/>
  <c r="AR18" i="104"/>
  <c r="AP22" i="104"/>
  <c r="AQ22" i="104" s="1"/>
  <c r="Y118" i="108"/>
  <c r="Z118" i="108" s="1"/>
  <c r="AI22" i="104"/>
  <c r="AK22" i="104"/>
  <c r="AL22" i="104" s="1"/>
  <c r="AM22" i="104"/>
  <c r="AF124" i="108"/>
  <c r="AC121" i="108"/>
  <c r="V15" i="104"/>
  <c r="AJ129" i="95"/>
  <c r="AL129" i="95"/>
  <c r="AH4" i="91"/>
  <c r="AB110" i="92"/>
  <c r="AF25" i="91"/>
  <c r="AL4" i="91"/>
  <c r="AJ4" i="91"/>
  <c r="AK4" i="91" s="1"/>
  <c r="AJ4" i="84"/>
  <c r="AK4" i="84" s="1"/>
  <c r="AJ4" i="94"/>
  <c r="AH4" i="84"/>
  <c r="AF25" i="84"/>
  <c r="B4" i="89" s="1"/>
  <c r="AO4" i="84"/>
  <c r="AP4" i="84" s="1"/>
  <c r="AB108" i="85"/>
  <c r="AL4" i="84"/>
  <c r="K161" i="137" l="1"/>
  <c r="K162" i="137" s="1"/>
  <c r="K139" i="155" s="1"/>
  <c r="K142" i="155" s="1"/>
  <c r="K143" i="155"/>
  <c r="K145" i="155" s="1"/>
  <c r="I161" i="137"/>
  <c r="I162" i="137" s="1"/>
  <c r="I139" i="155" s="1"/>
  <c r="I141" i="155" s="1"/>
  <c r="I143" i="155"/>
  <c r="I145" i="155" s="1"/>
  <c r="J161" i="137"/>
  <c r="J162" i="137" s="1"/>
  <c r="J139" i="155" s="1"/>
  <c r="J141" i="155" s="1"/>
  <c r="J143" i="155"/>
  <c r="J145" i="155" s="1"/>
  <c r="G161" i="137"/>
  <c r="G162" i="137" s="1"/>
  <c r="G139" i="155" s="1"/>
  <c r="G142" i="155" s="1"/>
  <c r="G143" i="155"/>
  <c r="G145" i="155" s="1"/>
  <c r="H161" i="137"/>
  <c r="H162" i="137" s="1"/>
  <c r="H139" i="155" s="1"/>
  <c r="H141" i="155" s="1"/>
  <c r="H143" i="155"/>
  <c r="H145" i="155" s="1"/>
  <c r="I142" i="155"/>
  <c r="F161" i="137"/>
  <c r="O154" i="137"/>
  <c r="AG119" i="108"/>
  <c r="X9" i="112"/>
  <c r="Z9" i="112" s="1"/>
  <c r="O67" i="125"/>
  <c r="AW19" i="112"/>
  <c r="AV18" i="112"/>
  <c r="AI113" i="108"/>
  <c r="AW10" i="112"/>
  <c r="AC123" i="108"/>
  <c r="AF123" i="108"/>
  <c r="T6" i="112"/>
  <c r="AR6" i="104"/>
  <c r="P8" i="108"/>
  <c r="AA114" i="108" s="1"/>
  <c r="P74" i="108"/>
  <c r="AE114" i="108" s="1"/>
  <c r="P52" i="108"/>
  <c r="AB114" i="108" s="1"/>
  <c r="P30" i="108"/>
  <c r="AD114" i="108" s="1"/>
  <c r="AG121" i="108"/>
  <c r="AI121" i="108"/>
  <c r="U18" i="112"/>
  <c r="N104" i="125" s="1"/>
  <c r="AU18" i="112"/>
  <c r="T22" i="112"/>
  <c r="AR22" i="104"/>
  <c r="W15" i="104"/>
  <c r="Y15" i="104" s="1"/>
  <c r="AF15" i="104" s="1"/>
  <c r="AG15" i="104" s="1"/>
  <c r="AP15" i="104" s="1"/>
  <c r="AQ15" i="104" s="1"/>
  <c r="O123" i="118"/>
  <c r="AG124" i="108"/>
  <c r="AI124" i="108"/>
  <c r="P78" i="108"/>
  <c r="AE118" i="108" s="1"/>
  <c r="P56" i="108"/>
  <c r="AB118" i="108" s="1"/>
  <c r="P12" i="108"/>
  <c r="AA118" i="108" s="1"/>
  <c r="P34" i="108"/>
  <c r="AD118" i="108" s="1"/>
  <c r="F4" i="89"/>
  <c r="F13" i="89" s="1"/>
  <c r="B13" i="89"/>
  <c r="B19" i="89" s="1"/>
  <c r="R6" i="92"/>
  <c r="AD110" i="92" s="1"/>
  <c r="O28" i="92"/>
  <c r="AG110" i="92" s="1"/>
  <c r="O72" i="92"/>
  <c r="AH110" i="92" s="1"/>
  <c r="AH129" i="92" s="1"/>
  <c r="R50" i="92"/>
  <c r="AE110" i="92" s="1"/>
  <c r="AE129" i="92" s="1"/>
  <c r="AC108" i="85"/>
  <c r="AC127" i="85" s="1"/>
  <c r="AB127" i="85"/>
  <c r="AQ4" i="84"/>
  <c r="V4" i="94"/>
  <c r="AV4" i="94" s="1"/>
  <c r="N72" i="85"/>
  <c r="AH108" i="85" s="1"/>
  <c r="AH127" i="85" s="1"/>
  <c r="Q50" i="85"/>
  <c r="AE108" i="85" s="1"/>
  <c r="AE127" i="85" s="1"/>
  <c r="N28" i="85"/>
  <c r="AG108" i="85" s="1"/>
  <c r="Q6" i="85"/>
  <c r="AD108" i="85" s="1"/>
  <c r="AC110" i="92"/>
  <c r="AC129" i="92" s="1"/>
  <c r="AB129" i="92"/>
  <c r="I146" i="155" l="1"/>
  <c r="G146" i="155"/>
  <c r="G141" i="155"/>
  <c r="K146" i="155"/>
  <c r="H142" i="155"/>
  <c r="H146" i="155" s="1"/>
  <c r="J142" i="155"/>
  <c r="J146" i="155" s="1"/>
  <c r="K141" i="155"/>
  <c r="L161" i="137"/>
  <c r="O139" i="155" s="1"/>
  <c r="F162" i="137"/>
  <c r="F139" i="155" s="1"/>
  <c r="AG123" i="108"/>
  <c r="AI123" i="108"/>
  <c r="AW18" i="112"/>
  <c r="AG9" i="112"/>
  <c r="AH9" i="112" s="1"/>
  <c r="AV22" i="112"/>
  <c r="AC118" i="108"/>
  <c r="AF114" i="108"/>
  <c r="AU6" i="112"/>
  <c r="AV6" i="112"/>
  <c r="AD15" i="112"/>
  <c r="AE15" i="112" s="1"/>
  <c r="U6" i="112"/>
  <c r="N23" i="125" s="1"/>
  <c r="AF118" i="108"/>
  <c r="U22" i="112"/>
  <c r="N59" i="125" s="1"/>
  <c r="AU22" i="112"/>
  <c r="AC114" i="108"/>
  <c r="BA129" i="108"/>
  <c r="AZ129" i="108"/>
  <c r="T15" i="112"/>
  <c r="AR15" i="104"/>
  <c r="AK15" i="104"/>
  <c r="AL15" i="104" s="1"/>
  <c r="P67" i="108" s="1"/>
  <c r="AB129" i="108" s="1"/>
  <c r="AI15" i="104"/>
  <c r="AM15" i="104"/>
  <c r="Y129" i="108"/>
  <c r="Z129" i="108" s="1"/>
  <c r="AI108" i="85"/>
  <c r="AI127" i="85" s="1"/>
  <c r="AG127" i="85"/>
  <c r="AG129" i="92"/>
  <c r="AI110" i="92"/>
  <c r="AI129" i="92" s="1"/>
  <c r="AD129" i="92"/>
  <c r="AF110" i="92"/>
  <c r="AD127" i="85"/>
  <c r="AF108" i="85"/>
  <c r="W4" i="94"/>
  <c r="X4" i="94" s="1"/>
  <c r="Q18" i="120" l="1"/>
  <c r="F142" i="155"/>
  <c r="F146" i="155" s="1"/>
  <c r="L146" i="155" s="1"/>
  <c r="F141" i="155"/>
  <c r="E139" i="155"/>
  <c r="AW22" i="112"/>
  <c r="Y119" i="113"/>
  <c r="Z119" i="113" s="1"/>
  <c r="AL9" i="112"/>
  <c r="AM9" i="112" s="1"/>
  <c r="AJ9" i="112"/>
  <c r="AN9" i="112"/>
  <c r="AG118" i="108"/>
  <c r="AF15" i="112"/>
  <c r="AW6" i="112"/>
  <c r="AU15" i="112"/>
  <c r="AV15" i="112"/>
  <c r="BB129" i="108"/>
  <c r="AI118" i="108"/>
  <c r="AG114" i="108"/>
  <c r="AI114" i="108"/>
  <c r="P89" i="108"/>
  <c r="AE129" i="108" s="1"/>
  <c r="P45" i="108"/>
  <c r="AD129" i="108" s="1"/>
  <c r="U15" i="112"/>
  <c r="N158" i="125" s="1"/>
  <c r="P23" i="108"/>
  <c r="AA129" i="108" s="1"/>
  <c r="AC129" i="108" s="1"/>
  <c r="X25" i="94"/>
  <c r="Y4" i="94"/>
  <c r="AJ108" i="85"/>
  <c r="AJ127" i="85" s="1"/>
  <c r="AL108" i="85"/>
  <c r="AL127" i="85" s="1"/>
  <c r="AF127" i="85"/>
  <c r="AW4" i="94"/>
  <c r="AX4" i="94" s="1"/>
  <c r="AJ110" i="92"/>
  <c r="AJ129" i="92" s="1"/>
  <c r="AL110" i="92"/>
  <c r="AL129" i="92" s="1"/>
  <c r="AF129" i="92"/>
  <c r="Q18" i="148" l="1"/>
  <c r="R18" i="148" s="1"/>
  <c r="M146" i="155"/>
  <c r="P57" i="113"/>
  <c r="AB119" i="113" s="1"/>
  <c r="D46" i="134"/>
  <c r="F46" i="134" s="1"/>
  <c r="P79" i="113"/>
  <c r="AE119" i="113" s="1"/>
  <c r="P35" i="113"/>
  <c r="AD119" i="113" s="1"/>
  <c r="P13" i="113"/>
  <c r="AA119" i="113" s="1"/>
  <c r="AF129" i="108"/>
  <c r="AG129" i="108" s="1"/>
  <c r="AW15" i="112"/>
  <c r="Y25" i="94"/>
  <c r="AA4" i="94"/>
  <c r="Y120" i="149" l="1"/>
  <c r="Z18" i="148"/>
  <c r="AA18" i="148" s="1"/>
  <c r="AB18" i="148" s="1"/>
  <c r="U18" i="148"/>
  <c r="Y18" i="148" s="1"/>
  <c r="T18" i="148"/>
  <c r="AC119" i="113"/>
  <c r="AF119" i="113"/>
  <c r="AI129" i="108"/>
  <c r="AH4" i="94"/>
  <c r="AH25" i="94" s="1"/>
  <c r="AC4" i="104"/>
  <c r="AD4" i="104" s="1"/>
  <c r="D19" i="147" l="1"/>
  <c r="F19" i="147" s="1"/>
  <c r="P41" i="149"/>
  <c r="P83" i="149"/>
  <c r="P62" i="149"/>
  <c r="P20" i="149"/>
  <c r="AI119" i="113"/>
  <c r="AG119" i="113"/>
  <c r="AE4" i="104"/>
  <c r="AI4" i="112"/>
  <c r="AI4" i="94"/>
  <c r="AH4" i="104"/>
  <c r="AR4" i="94" l="1"/>
  <c r="AS4" i="94" s="1"/>
  <c r="T4" i="104" s="1"/>
  <c r="AB112" i="95"/>
  <c r="AB131" i="95" s="1"/>
  <c r="AO4" i="94"/>
  <c r="AM4" i="94"/>
  <c r="AN4" i="94" s="1"/>
  <c r="AK4" i="94"/>
  <c r="AI25" i="94"/>
  <c r="D4" i="105" s="1"/>
  <c r="D13" i="105" s="1"/>
  <c r="AT4" i="94" l="1"/>
  <c r="AC112" i="95"/>
  <c r="AC131" i="95" s="1"/>
  <c r="B4" i="103"/>
  <c r="B13" i="103" s="1"/>
  <c r="S50" i="95"/>
  <c r="AE112" i="95" s="1"/>
  <c r="AE131" i="95" s="1"/>
  <c r="S6" i="95"/>
  <c r="AD112" i="95" s="1"/>
  <c r="AD131" i="95" s="1"/>
  <c r="P72" i="95"/>
  <c r="AH112" i="95" s="1"/>
  <c r="AH131" i="95" s="1"/>
  <c r="P28" i="95"/>
  <c r="AG112" i="95" s="1"/>
  <c r="AG131" i="95" s="1"/>
  <c r="AI31" i="94"/>
  <c r="AK31" i="94" s="1"/>
  <c r="U4" i="104"/>
  <c r="N4" i="118" s="1"/>
  <c r="AT4" i="104"/>
  <c r="V4" i="104" l="1"/>
  <c r="O4" i="118" s="1"/>
  <c r="AU4" i="104"/>
  <c r="AV4" i="104" s="1"/>
  <c r="F4" i="103"/>
  <c r="F13" i="103" s="1"/>
  <c r="AF112" i="95"/>
  <c r="AI112" i="95"/>
  <c r="AI131" i="95" s="1"/>
  <c r="N4" i="125" l="1"/>
  <c r="V25" i="104"/>
  <c r="W4" i="104"/>
  <c r="Y4" i="104" s="1"/>
  <c r="N5" i="118"/>
  <c r="AV5" i="112"/>
  <c r="AJ112" i="95"/>
  <c r="AJ131" i="95" s="1"/>
  <c r="AF131" i="95"/>
  <c r="AL112" i="95"/>
  <c r="AL131" i="95" s="1"/>
  <c r="N5" i="125" l="1"/>
  <c r="I8" i="118"/>
  <c r="I9" i="118" s="1"/>
  <c r="I4" i="125" s="1"/>
  <c r="F7" i="118"/>
  <c r="W25" i="104"/>
  <c r="F8" i="118"/>
  <c r="H7" i="118"/>
  <c r="I7" i="118"/>
  <c r="G8" i="118"/>
  <c r="K8" i="118"/>
  <c r="J8" i="118"/>
  <c r="H8" i="118"/>
  <c r="K7" i="118"/>
  <c r="G7" i="118"/>
  <c r="J7" i="118"/>
  <c r="G13" i="118"/>
  <c r="G15" i="118" s="1"/>
  <c r="G14" i="118"/>
  <c r="I13" i="118"/>
  <c r="I15" i="118" s="1"/>
  <c r="I14" i="118"/>
  <c r="F13" i="118"/>
  <c r="F15" i="118" s="1"/>
  <c r="F14" i="118"/>
  <c r="K13" i="118"/>
  <c r="K15" i="118" s="1"/>
  <c r="K14" i="118"/>
  <c r="J13" i="118"/>
  <c r="J15" i="118" s="1"/>
  <c r="J14" i="118"/>
  <c r="H13" i="118"/>
  <c r="H15" i="118" s="1"/>
  <c r="H14" i="118"/>
  <c r="AW5" i="112"/>
  <c r="AF4" i="104"/>
  <c r="AG4" i="104" s="1"/>
  <c r="AP4" i="104" s="1"/>
  <c r="AQ4" i="104" s="1"/>
  <c r="AD4" i="112"/>
  <c r="AE4" i="112" s="1"/>
  <c r="AZ131" i="108"/>
  <c r="I7" i="125" l="1"/>
  <c r="I11" i="125"/>
  <c r="I6" i="125"/>
  <c r="H9" i="118"/>
  <c r="H4" i="125" s="1"/>
  <c r="J9" i="118"/>
  <c r="J4" i="125" s="1"/>
  <c r="F9" i="118"/>
  <c r="K9" i="118"/>
  <c r="K4" i="125" s="1"/>
  <c r="G9" i="118"/>
  <c r="G4" i="125" s="1"/>
  <c r="H16" i="118"/>
  <c r="H13" i="125" s="1"/>
  <c r="I16" i="118"/>
  <c r="I13" i="125" s="1"/>
  <c r="J16" i="118"/>
  <c r="J13" i="125" s="1"/>
  <c r="F16" i="118"/>
  <c r="F13" i="125" s="1"/>
  <c r="G16" i="118"/>
  <c r="G13" i="125" s="1"/>
  <c r="K16" i="118"/>
  <c r="K13" i="125" s="1"/>
  <c r="L8" i="118"/>
  <c r="AF4" i="112"/>
  <c r="L7" i="118"/>
  <c r="O7" i="118"/>
  <c r="P7" i="118" s="1"/>
  <c r="K20" i="118"/>
  <c r="K22" i="118" s="1"/>
  <c r="K21" i="118"/>
  <c r="J20" i="118"/>
  <c r="J22" i="118" s="1"/>
  <c r="J21" i="118"/>
  <c r="L14" i="118"/>
  <c r="O14" i="118"/>
  <c r="P14" i="118" s="1"/>
  <c r="G20" i="118"/>
  <c r="G22" i="118" s="1"/>
  <c r="G21" i="118"/>
  <c r="F20" i="118"/>
  <c r="F22" i="118" s="1"/>
  <c r="L15" i="118"/>
  <c r="F21" i="118"/>
  <c r="I20" i="118"/>
  <c r="I22" i="118" s="1"/>
  <c r="I21" i="118"/>
  <c r="H20" i="118"/>
  <c r="H22" i="118" s="1"/>
  <c r="H21" i="118"/>
  <c r="AF25" i="104"/>
  <c r="BA112" i="108"/>
  <c r="BB112" i="108" s="1"/>
  <c r="BB131" i="108" s="1"/>
  <c r="Y112" i="108"/>
  <c r="AI4" i="104"/>
  <c r="AM4" i="104"/>
  <c r="AK4" i="104"/>
  <c r="AG25" i="104"/>
  <c r="I4" i="137" l="1"/>
  <c r="I7" i="137" s="1"/>
  <c r="F4" i="125"/>
  <c r="F11" i="125" s="1"/>
  <c r="E9" i="118"/>
  <c r="I16" i="125"/>
  <c r="I18" i="125" s="1"/>
  <c r="I19" i="125" s="1"/>
  <c r="I20" i="125"/>
  <c r="F16" i="125"/>
  <c r="F18" i="125" s="1"/>
  <c r="F19" i="125" s="1"/>
  <c r="F20" i="125"/>
  <c r="G7" i="125"/>
  <c r="G9" i="125" s="1"/>
  <c r="G11" i="125"/>
  <c r="H7" i="125"/>
  <c r="H11" i="125"/>
  <c r="G16" i="125"/>
  <c r="G18" i="125" s="1"/>
  <c r="G19" i="125" s="1"/>
  <c r="G20" i="125"/>
  <c r="H16" i="125"/>
  <c r="H18" i="125" s="1"/>
  <c r="H19" i="125" s="1"/>
  <c r="H20" i="125"/>
  <c r="J16" i="125"/>
  <c r="J18" i="125" s="1"/>
  <c r="J19" i="125" s="1"/>
  <c r="J20" i="125"/>
  <c r="K7" i="125"/>
  <c r="K11" i="125"/>
  <c r="K16" i="125"/>
  <c r="K18" i="125" s="1"/>
  <c r="K19" i="125" s="1"/>
  <c r="K20" i="125"/>
  <c r="F7" i="125"/>
  <c r="F9" i="125" s="1"/>
  <c r="J7" i="125"/>
  <c r="J11" i="125"/>
  <c r="F15" i="125"/>
  <c r="H15" i="125"/>
  <c r="I15" i="125"/>
  <c r="G6" i="125"/>
  <c r="H6" i="125"/>
  <c r="K6" i="125"/>
  <c r="J6" i="125"/>
  <c r="K15" i="125"/>
  <c r="G15" i="125"/>
  <c r="J15" i="125"/>
  <c r="E16" i="118"/>
  <c r="G23" i="118"/>
  <c r="G22" i="125" s="1"/>
  <c r="H23" i="118"/>
  <c r="H22" i="125" s="1"/>
  <c r="J23" i="118"/>
  <c r="J22" i="125" s="1"/>
  <c r="F23" i="118"/>
  <c r="F22" i="125" s="1"/>
  <c r="F29" i="125" s="1"/>
  <c r="K23" i="118"/>
  <c r="K22" i="125" s="1"/>
  <c r="I23" i="118"/>
  <c r="I22" i="125" s="1"/>
  <c r="M8" i="118"/>
  <c r="W4" i="112"/>
  <c r="O4" i="125" s="1"/>
  <c r="BA131" i="108"/>
  <c r="W5" i="112"/>
  <c r="M15" i="118"/>
  <c r="K27" i="118"/>
  <c r="K29" i="118" s="1"/>
  <c r="K30" i="118" s="1"/>
  <c r="K31" i="125" s="1"/>
  <c r="K38" i="125" s="1"/>
  <c r="K28" i="118"/>
  <c r="G27" i="118"/>
  <c r="G29" i="118" s="1"/>
  <c r="G28" i="118"/>
  <c r="H27" i="118"/>
  <c r="H29" i="118" s="1"/>
  <c r="H30" i="118" s="1"/>
  <c r="H31" i="125" s="1"/>
  <c r="H38" i="125" s="1"/>
  <c r="H28" i="118"/>
  <c r="I27" i="118"/>
  <c r="I29" i="118" s="1"/>
  <c r="I30" i="118" s="1"/>
  <c r="I31" i="125" s="1"/>
  <c r="I38" i="125" s="1"/>
  <c r="I28" i="118"/>
  <c r="F27" i="118"/>
  <c r="F29" i="118" s="1"/>
  <c r="F30" i="118" s="1"/>
  <c r="F31" i="125" s="1"/>
  <c r="F28" i="118"/>
  <c r="L22" i="118"/>
  <c r="J27" i="118"/>
  <c r="J29" i="118" s="1"/>
  <c r="J30" i="118" s="1"/>
  <c r="J31" i="125" s="1"/>
  <c r="J38" i="125" s="1"/>
  <c r="J28" i="118"/>
  <c r="O21" i="118"/>
  <c r="P21" i="118" s="1"/>
  <c r="L21" i="118"/>
  <c r="B4" i="111"/>
  <c r="B16" i="111" s="1"/>
  <c r="AH27" i="112"/>
  <c r="AL4" i="104"/>
  <c r="P28" i="108" s="1"/>
  <c r="AD112" i="108" s="1"/>
  <c r="AK25" i="104"/>
  <c r="Z112" i="108"/>
  <c r="Z131" i="108" s="1"/>
  <c r="Y131" i="108"/>
  <c r="B4" i="105"/>
  <c r="AG29" i="104"/>
  <c r="I6" i="137" l="1"/>
  <c r="H18" i="137"/>
  <c r="H20" i="137" s="1"/>
  <c r="H17" i="155" s="1"/>
  <c r="H19" i="155" s="1"/>
  <c r="F18" i="137"/>
  <c r="F20" i="137" s="1"/>
  <c r="F17" i="155" s="1"/>
  <c r="F19" i="155" s="1"/>
  <c r="H14" i="137"/>
  <c r="H17" i="137" s="1"/>
  <c r="K14" i="137"/>
  <c r="K17" i="137" s="1"/>
  <c r="G14" i="137"/>
  <c r="G16" i="137" s="1"/>
  <c r="I14" i="137"/>
  <c r="I16" i="137" s="1"/>
  <c r="K18" i="137"/>
  <c r="K20" i="137" s="1"/>
  <c r="K17" i="155" s="1"/>
  <c r="K19" i="155" s="1"/>
  <c r="G18" i="137"/>
  <c r="G20" i="137" s="1"/>
  <c r="G17" i="155" s="1"/>
  <c r="G19" i="155" s="1"/>
  <c r="I18" i="137"/>
  <c r="I20" i="137" s="1"/>
  <c r="I17" i="155" s="1"/>
  <c r="I19" i="155" s="1"/>
  <c r="J34" i="137"/>
  <c r="J36" i="137" s="1"/>
  <c r="J31" i="155"/>
  <c r="K4" i="137"/>
  <c r="K6" i="137" s="1"/>
  <c r="H4" i="137"/>
  <c r="H6" i="137" s="1"/>
  <c r="J4" i="137"/>
  <c r="J6" i="137" s="1"/>
  <c r="F4" i="137"/>
  <c r="F7" i="137" s="1"/>
  <c r="H34" i="137"/>
  <c r="H36" i="137" s="1"/>
  <c r="H31" i="155"/>
  <c r="K34" i="137"/>
  <c r="K37" i="137" s="1"/>
  <c r="K31" i="155"/>
  <c r="J14" i="137"/>
  <c r="J17" i="137" s="1"/>
  <c r="G4" i="137"/>
  <c r="G6" i="137" s="1"/>
  <c r="I34" i="137"/>
  <c r="I37" i="137" s="1"/>
  <c r="I31" i="155"/>
  <c r="J18" i="137"/>
  <c r="J20" i="137" s="1"/>
  <c r="J17" i="155" s="1"/>
  <c r="J19" i="155" s="1"/>
  <c r="F6" i="125"/>
  <c r="G30" i="118"/>
  <c r="G31" i="125" s="1"/>
  <c r="F38" i="125"/>
  <c r="F34" i="125"/>
  <c r="F36" i="125" s="1"/>
  <c r="L18" i="125"/>
  <c r="K25" i="125"/>
  <c r="K27" i="125" s="1"/>
  <c r="K28" i="125" s="1"/>
  <c r="K29" i="125"/>
  <c r="G25" i="125"/>
  <c r="G27" i="125" s="1"/>
  <c r="G28" i="125" s="1"/>
  <c r="G29" i="125"/>
  <c r="F14" i="137"/>
  <c r="E20" i="125"/>
  <c r="F25" i="125"/>
  <c r="F27" i="125" s="1"/>
  <c r="F28" i="125" s="1"/>
  <c r="F24" i="137"/>
  <c r="J25" i="125"/>
  <c r="J27" i="125" s="1"/>
  <c r="J28" i="125" s="1"/>
  <c r="J29" i="125"/>
  <c r="G17" i="137"/>
  <c r="I25" i="125"/>
  <c r="I27" i="125" s="1"/>
  <c r="I28" i="125" s="1"/>
  <c r="I29" i="125"/>
  <c r="H25" i="125"/>
  <c r="H27" i="125" s="1"/>
  <c r="H28" i="125" s="1"/>
  <c r="H29" i="125"/>
  <c r="F24" i="125"/>
  <c r="I24" i="125"/>
  <c r="H24" i="125"/>
  <c r="F33" i="125"/>
  <c r="K34" i="125"/>
  <c r="K36" i="125" s="1"/>
  <c r="K37" i="125" s="1"/>
  <c r="K33" i="125"/>
  <c r="H34" i="125"/>
  <c r="H36" i="125" s="1"/>
  <c r="H37" i="125" s="1"/>
  <c r="H33" i="125"/>
  <c r="J34" i="125"/>
  <c r="J36" i="125" s="1"/>
  <c r="J37" i="125" s="1"/>
  <c r="J33" i="125"/>
  <c r="K24" i="125"/>
  <c r="J24" i="125"/>
  <c r="M16" i="118"/>
  <c r="E13" i="125"/>
  <c r="I34" i="125"/>
  <c r="I36" i="125" s="1"/>
  <c r="I37" i="125" s="1"/>
  <c r="I33" i="125"/>
  <c r="M9" i="118"/>
  <c r="E4" i="125"/>
  <c r="G24" i="125"/>
  <c r="E23" i="118"/>
  <c r="E30" i="118"/>
  <c r="E31" i="125" s="1"/>
  <c r="X5" i="112"/>
  <c r="Z5" i="112" s="1"/>
  <c r="O13" i="125"/>
  <c r="T4" i="112"/>
  <c r="AU4" i="112" s="1"/>
  <c r="W6" i="112"/>
  <c r="B19" i="111"/>
  <c r="I34" i="118"/>
  <c r="I36" i="118" s="1"/>
  <c r="I35" i="118"/>
  <c r="H34" i="118"/>
  <c r="H36" i="118" s="1"/>
  <c r="H35" i="118"/>
  <c r="G34" i="118"/>
  <c r="G36" i="118" s="1"/>
  <c r="G35" i="118"/>
  <c r="J34" i="118"/>
  <c r="J36" i="118" s="1"/>
  <c r="J35" i="118"/>
  <c r="L28" i="118"/>
  <c r="O28" i="118"/>
  <c r="P28" i="118" s="1"/>
  <c r="M22" i="118"/>
  <c r="F34" i="118"/>
  <c r="F36" i="118" s="1"/>
  <c r="F35" i="118"/>
  <c r="L29" i="118"/>
  <c r="K34" i="118"/>
  <c r="K36" i="118" s="1"/>
  <c r="K35" i="118"/>
  <c r="AR4" i="104"/>
  <c r="X4" i="112"/>
  <c r="P50" i="108"/>
  <c r="AB112" i="108" s="1"/>
  <c r="AB131" i="108" s="1"/>
  <c r="P6" i="108"/>
  <c r="AA112" i="108" s="1"/>
  <c r="P72" i="108"/>
  <c r="AE112" i="108" s="1"/>
  <c r="AE131" i="108" s="1"/>
  <c r="B13" i="105"/>
  <c r="B16" i="105" s="1"/>
  <c r="F4" i="105"/>
  <c r="F13" i="105" s="1"/>
  <c r="AD131" i="108"/>
  <c r="K7" i="137" l="1"/>
  <c r="G7" i="137"/>
  <c r="I17" i="137"/>
  <c r="J37" i="137"/>
  <c r="H16" i="137"/>
  <c r="H37" i="137"/>
  <c r="J16" i="137"/>
  <c r="K16" i="137"/>
  <c r="I36" i="137"/>
  <c r="H7" i="137"/>
  <c r="I21" i="137"/>
  <c r="I22" i="137" s="1"/>
  <c r="I13" i="155" s="1"/>
  <c r="K21" i="137"/>
  <c r="K22" i="137" s="1"/>
  <c r="K13" i="155" s="1"/>
  <c r="K15" i="155" s="1"/>
  <c r="J21" i="137"/>
  <c r="J22" i="137" s="1"/>
  <c r="J13" i="155" s="1"/>
  <c r="J16" i="155" s="1"/>
  <c r="J20" i="155" s="1"/>
  <c r="J7" i="137"/>
  <c r="G21" i="137"/>
  <c r="G22" i="137" s="1"/>
  <c r="G13" i="155" s="1"/>
  <c r="G16" i="155" s="1"/>
  <c r="G20" i="155" s="1"/>
  <c r="H21" i="137"/>
  <c r="H22" i="137" s="1"/>
  <c r="H13" i="155" s="1"/>
  <c r="H16" i="155" s="1"/>
  <c r="H20" i="155" s="1"/>
  <c r="K24" i="137"/>
  <c r="K27" i="137" s="1"/>
  <c r="H33" i="155"/>
  <c r="H34" i="155"/>
  <c r="K28" i="137"/>
  <c r="K30" i="137" s="1"/>
  <c r="K26" i="155" s="1"/>
  <c r="K28" i="155" s="1"/>
  <c r="K36" i="137"/>
  <c r="J38" i="137"/>
  <c r="J40" i="137" s="1"/>
  <c r="J35" i="155"/>
  <c r="J37" i="155" s="1"/>
  <c r="F28" i="137"/>
  <c r="F30" i="137" s="1"/>
  <c r="F26" i="155" s="1"/>
  <c r="F28" i="155" s="1"/>
  <c r="E14" i="137"/>
  <c r="F6" i="137"/>
  <c r="I33" i="155"/>
  <c r="I34" i="155"/>
  <c r="J33" i="155"/>
  <c r="J34" i="155"/>
  <c r="H38" i="137"/>
  <c r="H40" i="137" s="1"/>
  <c r="H35" i="155"/>
  <c r="H37" i="155" s="1"/>
  <c r="I38" i="137"/>
  <c r="I40" i="137" s="1"/>
  <c r="I41" i="137" s="1"/>
  <c r="I35" i="155"/>
  <c r="I37" i="155" s="1"/>
  <c r="H28" i="137"/>
  <c r="H30" i="137" s="1"/>
  <c r="H26" i="155" s="1"/>
  <c r="H28" i="155" s="1"/>
  <c r="I24" i="137"/>
  <c r="I26" i="137" s="1"/>
  <c r="J24" i="137"/>
  <c r="J26" i="137" s="1"/>
  <c r="G24" i="137"/>
  <c r="G27" i="137" s="1"/>
  <c r="K34" i="155"/>
  <c r="K33" i="155"/>
  <c r="K38" i="137"/>
  <c r="K40" i="137" s="1"/>
  <c r="K41" i="137" s="1"/>
  <c r="K35" i="155"/>
  <c r="K37" i="155" s="1"/>
  <c r="I28" i="137"/>
  <c r="I30" i="137" s="1"/>
  <c r="I26" i="155" s="1"/>
  <c r="I28" i="155" s="1"/>
  <c r="J28" i="137"/>
  <c r="J30" i="137" s="1"/>
  <c r="J26" i="155" s="1"/>
  <c r="J28" i="155" s="1"/>
  <c r="G28" i="137"/>
  <c r="G30" i="137" s="1"/>
  <c r="G26" i="155" s="1"/>
  <c r="G28" i="155" s="1"/>
  <c r="F34" i="137"/>
  <c r="F36" i="137" s="1"/>
  <c r="F31" i="155"/>
  <c r="G38" i="125"/>
  <c r="G31" i="155" s="1"/>
  <c r="G34" i="125"/>
  <c r="G36" i="125" s="1"/>
  <c r="G37" i="125" s="1"/>
  <c r="G33" i="125"/>
  <c r="M18" i="125"/>
  <c r="O14" i="137"/>
  <c r="E29" i="125"/>
  <c r="H24" i="137"/>
  <c r="F27" i="137"/>
  <c r="F26" i="137"/>
  <c r="F17" i="137"/>
  <c r="F16" i="137"/>
  <c r="L27" i="125"/>
  <c r="M23" i="118"/>
  <c r="E22" i="125"/>
  <c r="F37" i="125"/>
  <c r="M30" i="118"/>
  <c r="K37" i="118"/>
  <c r="K40" i="125" s="1"/>
  <c r="J37" i="118"/>
  <c r="J40" i="125" s="1"/>
  <c r="H37" i="118"/>
  <c r="H40" i="125" s="1"/>
  <c r="G37" i="118"/>
  <c r="G40" i="125" s="1"/>
  <c r="I37" i="118"/>
  <c r="I40" i="125" s="1"/>
  <c r="F37" i="118"/>
  <c r="F40" i="125" s="1"/>
  <c r="X6" i="112"/>
  <c r="Z6" i="112" s="1"/>
  <c r="O22" i="125"/>
  <c r="AG5" i="112"/>
  <c r="AH5" i="112" s="1"/>
  <c r="U4" i="112"/>
  <c r="AV4" i="112"/>
  <c r="AW4" i="112" s="1"/>
  <c r="M29" i="118"/>
  <c r="W7" i="112"/>
  <c r="I41" i="118"/>
  <c r="I43" i="118" s="1"/>
  <c r="I42" i="118"/>
  <c r="K41" i="118"/>
  <c r="K43" i="118" s="1"/>
  <c r="K42" i="118"/>
  <c r="J41" i="118"/>
  <c r="J43" i="118" s="1"/>
  <c r="J42" i="118"/>
  <c r="O35" i="118"/>
  <c r="P35" i="118" s="1"/>
  <c r="L35" i="118"/>
  <c r="F41" i="118"/>
  <c r="F43" i="118" s="1"/>
  <c r="L36" i="118"/>
  <c r="F42" i="118"/>
  <c r="G41" i="118"/>
  <c r="G43" i="118" s="1"/>
  <c r="G42" i="118"/>
  <c r="H41" i="118"/>
  <c r="H43" i="118" s="1"/>
  <c r="H42" i="118"/>
  <c r="Z4" i="112"/>
  <c r="AC112" i="108"/>
  <c r="AC131" i="108" s="1"/>
  <c r="AF112" i="108"/>
  <c r="AF131" i="108" s="1"/>
  <c r="AA131" i="108"/>
  <c r="I38" i="155" l="1"/>
  <c r="K38" i="155"/>
  <c r="J15" i="155"/>
  <c r="I16" i="155"/>
  <c r="I20" i="155" s="1"/>
  <c r="G15" i="155"/>
  <c r="K26" i="137"/>
  <c r="J41" i="137"/>
  <c r="H41" i="137"/>
  <c r="J27" i="137"/>
  <c r="I15" i="155"/>
  <c r="I27" i="137"/>
  <c r="I31" i="137" s="1"/>
  <c r="I32" i="137" s="1"/>
  <c r="I22" i="155" s="1"/>
  <c r="G26" i="137"/>
  <c r="F37" i="137"/>
  <c r="H15" i="155"/>
  <c r="K16" i="155"/>
  <c r="K20" i="155" s="1"/>
  <c r="F31" i="137"/>
  <c r="F32" i="137" s="1"/>
  <c r="F22" i="155" s="1"/>
  <c r="K31" i="137"/>
  <c r="K32" i="137" s="1"/>
  <c r="K22" i="155" s="1"/>
  <c r="K25" i="155" s="1"/>
  <c r="K29" i="155" s="1"/>
  <c r="E24" i="137"/>
  <c r="H38" i="155"/>
  <c r="J38" i="155"/>
  <c r="G31" i="137"/>
  <c r="G32" i="137" s="1"/>
  <c r="G22" i="155" s="1"/>
  <c r="G25" i="155" s="1"/>
  <c r="G29" i="155" s="1"/>
  <c r="F33" i="155"/>
  <c r="F34" i="155"/>
  <c r="G38" i="137"/>
  <c r="G40" i="137" s="1"/>
  <c r="G35" i="155"/>
  <c r="G37" i="155" s="1"/>
  <c r="F38" i="137"/>
  <c r="F40" i="137" s="1"/>
  <c r="F35" i="155"/>
  <c r="F37" i="155" s="1"/>
  <c r="G34" i="155"/>
  <c r="G33" i="155"/>
  <c r="F21" i="137"/>
  <c r="F22" i="137" s="1"/>
  <c r="F13" i="155" s="1"/>
  <c r="E13" i="155" s="1"/>
  <c r="L36" i="125"/>
  <c r="G34" i="137"/>
  <c r="E38" i="125"/>
  <c r="M27" i="125"/>
  <c r="O24" i="137"/>
  <c r="G43" i="125"/>
  <c r="G45" i="125" s="1"/>
  <c r="G46" i="125" s="1"/>
  <c r="G47" i="125"/>
  <c r="H43" i="125"/>
  <c r="H45" i="125" s="1"/>
  <c r="H46" i="125" s="1"/>
  <c r="H47" i="125"/>
  <c r="F43" i="125"/>
  <c r="F45" i="125" s="1"/>
  <c r="F46" i="125" s="1"/>
  <c r="F47" i="125"/>
  <c r="J43" i="125"/>
  <c r="J45" i="125" s="1"/>
  <c r="J46" i="125" s="1"/>
  <c r="J47" i="125"/>
  <c r="H27" i="137"/>
  <c r="H26" i="137"/>
  <c r="O31" i="125"/>
  <c r="I43" i="125"/>
  <c r="I45" i="125" s="1"/>
  <c r="I46" i="125" s="1"/>
  <c r="I47" i="125"/>
  <c r="K43" i="125"/>
  <c r="K45" i="125" s="1"/>
  <c r="K46" i="125" s="1"/>
  <c r="K47" i="125"/>
  <c r="H42" i="125"/>
  <c r="K42" i="125"/>
  <c r="J42" i="125"/>
  <c r="I42" i="125"/>
  <c r="F42" i="125"/>
  <c r="G42" i="125"/>
  <c r="E37" i="118"/>
  <c r="K44" i="118"/>
  <c r="K49" i="125" s="1"/>
  <c r="H44" i="118"/>
  <c r="H49" i="125" s="1"/>
  <c r="F44" i="118"/>
  <c r="F49" i="125" s="1"/>
  <c r="J44" i="118"/>
  <c r="J49" i="125" s="1"/>
  <c r="I44" i="118"/>
  <c r="I49" i="125" s="1"/>
  <c r="G44" i="118"/>
  <c r="G49" i="125" s="1"/>
  <c r="AL5" i="112"/>
  <c r="AM5" i="112" s="1"/>
  <c r="D40" i="134" s="1"/>
  <c r="F40" i="134" s="1"/>
  <c r="Y113" i="113"/>
  <c r="Z113" i="113" s="1"/>
  <c r="AN5" i="112"/>
  <c r="AJ5" i="112"/>
  <c r="AG4" i="112"/>
  <c r="AG6" i="112"/>
  <c r="AH6" i="112" s="1"/>
  <c r="W8" i="112"/>
  <c r="X7" i="112"/>
  <c r="Z7" i="112" s="1"/>
  <c r="J48" i="118"/>
  <c r="J50" i="118" s="1"/>
  <c r="J51" i="118" s="1"/>
  <c r="J58" i="125" s="1"/>
  <c r="J65" i="125" s="1"/>
  <c r="J49" i="118"/>
  <c r="G48" i="118"/>
  <c r="G50" i="118" s="1"/>
  <c r="G51" i="118" s="1"/>
  <c r="G58" i="125" s="1"/>
  <c r="G65" i="125" s="1"/>
  <c r="G49" i="118"/>
  <c r="O42" i="118"/>
  <c r="P42" i="118" s="1"/>
  <c r="L42" i="118"/>
  <c r="K48" i="118"/>
  <c r="K50" i="118" s="1"/>
  <c r="K51" i="118" s="1"/>
  <c r="K58" i="125" s="1"/>
  <c r="K65" i="125" s="1"/>
  <c r="K49" i="118"/>
  <c r="M36" i="118"/>
  <c r="L43" i="118"/>
  <c r="H48" i="118"/>
  <c r="H50" i="118" s="1"/>
  <c r="H51" i="118" s="1"/>
  <c r="H58" i="125" s="1"/>
  <c r="H65" i="125" s="1"/>
  <c r="H49" i="118"/>
  <c r="F48" i="118"/>
  <c r="F50" i="118" s="1"/>
  <c r="F51" i="118" s="1"/>
  <c r="F58" i="125" s="1"/>
  <c r="F65" i="125" s="1"/>
  <c r="F49" i="118"/>
  <c r="I48" i="118"/>
  <c r="I50" i="118" s="1"/>
  <c r="I51" i="118" s="1"/>
  <c r="I58" i="125" s="1"/>
  <c r="I65" i="125" s="1"/>
  <c r="I49" i="118"/>
  <c r="AI112" i="108"/>
  <c r="AI131" i="108" s="1"/>
  <c r="AG112" i="108"/>
  <c r="AG131" i="108" s="1"/>
  <c r="F38" i="155" l="1"/>
  <c r="L38" i="155" s="1"/>
  <c r="G24" i="155"/>
  <c r="F16" i="155"/>
  <c r="F20" i="155" s="1"/>
  <c r="L20" i="155" s="1"/>
  <c r="Q5" i="148" s="1"/>
  <c r="I25" i="155"/>
  <c r="I29" i="155" s="1"/>
  <c r="F15" i="155"/>
  <c r="I24" i="155"/>
  <c r="J31" i="137"/>
  <c r="J32" i="137" s="1"/>
  <c r="J22" i="155" s="1"/>
  <c r="J24" i="155" s="1"/>
  <c r="K24" i="155"/>
  <c r="F41" i="137"/>
  <c r="L21" i="137"/>
  <c r="O13" i="155" s="1"/>
  <c r="H31" i="137"/>
  <c r="H32" i="137" s="1"/>
  <c r="H22" i="155" s="1"/>
  <c r="F24" i="155"/>
  <c r="F25" i="155"/>
  <c r="F29" i="155" s="1"/>
  <c r="G64" i="137"/>
  <c r="G67" i="137" s="1"/>
  <c r="K48" i="137"/>
  <c r="K50" i="137" s="1"/>
  <c r="K44" i="155" s="1"/>
  <c r="K46" i="155" s="1"/>
  <c r="E34" i="137"/>
  <c r="E31" i="155"/>
  <c r="K44" i="137"/>
  <c r="K46" i="137" s="1"/>
  <c r="F48" i="137"/>
  <c r="F50" i="137" s="1"/>
  <c r="F44" i="155" s="1"/>
  <c r="F46" i="155" s="1"/>
  <c r="G38" i="155"/>
  <c r="H64" i="137"/>
  <c r="H66" i="137" s="1"/>
  <c r="J64" i="137"/>
  <c r="J66" i="137" s="1"/>
  <c r="I48" i="137"/>
  <c r="I50" i="137" s="1"/>
  <c r="I44" i="155" s="1"/>
  <c r="I46" i="155" s="1"/>
  <c r="H44" i="137"/>
  <c r="H47" i="137" s="1"/>
  <c r="O34" i="137"/>
  <c r="O31" i="155"/>
  <c r="M38" i="155" s="1"/>
  <c r="H48" i="137"/>
  <c r="H50" i="137" s="1"/>
  <c r="H44" i="155" s="1"/>
  <c r="H46" i="155" s="1"/>
  <c r="I64" i="137"/>
  <c r="I66" i="137" s="1"/>
  <c r="I44" i="137"/>
  <c r="I47" i="137" s="1"/>
  <c r="G48" i="137"/>
  <c r="G50" i="137" s="1"/>
  <c r="G44" i="155" s="1"/>
  <c r="G46" i="155" s="1"/>
  <c r="J48" i="137"/>
  <c r="J50" i="137" s="1"/>
  <c r="J44" i="155" s="1"/>
  <c r="J46" i="155" s="1"/>
  <c r="K64" i="137"/>
  <c r="K67" i="137" s="1"/>
  <c r="G44" i="137"/>
  <c r="G46" i="137" s="1"/>
  <c r="J44" i="137"/>
  <c r="J47" i="137" s="1"/>
  <c r="M36" i="125"/>
  <c r="G37" i="137"/>
  <c r="G41" i="137" s="1"/>
  <c r="G36" i="137"/>
  <c r="J67" i="137"/>
  <c r="G52" i="125"/>
  <c r="G54" i="125" s="1"/>
  <c r="G55" i="125" s="1"/>
  <c r="G56" i="125"/>
  <c r="H52" i="125"/>
  <c r="H54" i="125" s="1"/>
  <c r="H55" i="125" s="1"/>
  <c r="H56" i="125"/>
  <c r="F44" i="137"/>
  <c r="E47" i="125"/>
  <c r="H67" i="137"/>
  <c r="I52" i="125"/>
  <c r="I54" i="125" s="1"/>
  <c r="I55" i="125" s="1"/>
  <c r="I56" i="125"/>
  <c r="J52" i="125"/>
  <c r="J54" i="125" s="1"/>
  <c r="J55" i="125" s="1"/>
  <c r="J56" i="125"/>
  <c r="L45" i="125"/>
  <c r="K52" i="125"/>
  <c r="K54" i="125" s="1"/>
  <c r="K55" i="125" s="1"/>
  <c r="K56" i="125"/>
  <c r="E65" i="125"/>
  <c r="F64" i="137"/>
  <c r="F52" i="125"/>
  <c r="F54" i="125" s="1"/>
  <c r="F55" i="125" s="1"/>
  <c r="F56" i="125"/>
  <c r="H51" i="125"/>
  <c r="J51" i="125"/>
  <c r="G51" i="125"/>
  <c r="F51" i="125"/>
  <c r="K51" i="125"/>
  <c r="I51" i="125"/>
  <c r="I61" i="125"/>
  <c r="I63" i="125" s="1"/>
  <c r="I64" i="125" s="1"/>
  <c r="I60" i="125"/>
  <c r="H61" i="125"/>
  <c r="H63" i="125" s="1"/>
  <c r="H64" i="125" s="1"/>
  <c r="H60" i="125"/>
  <c r="K61" i="125"/>
  <c r="K63" i="125" s="1"/>
  <c r="K64" i="125" s="1"/>
  <c r="K60" i="125"/>
  <c r="G61" i="125"/>
  <c r="G63" i="125" s="1"/>
  <c r="G64" i="125" s="1"/>
  <c r="G60" i="125"/>
  <c r="F61" i="125"/>
  <c r="F63" i="125" s="1"/>
  <c r="F60" i="125"/>
  <c r="J61" i="125"/>
  <c r="J63" i="125" s="1"/>
  <c r="J64" i="125" s="1"/>
  <c r="J60" i="125"/>
  <c r="M37" i="118"/>
  <c r="E40" i="125"/>
  <c r="I9" i="125"/>
  <c r="K9" i="125"/>
  <c r="H9" i="125"/>
  <c r="H10" i="125" s="1"/>
  <c r="J9" i="125"/>
  <c r="E51" i="118"/>
  <c r="E58" i="125" s="1"/>
  <c r="E44" i="118"/>
  <c r="AH4" i="112"/>
  <c r="AL6" i="112"/>
  <c r="AM6" i="112" s="1"/>
  <c r="D41" i="134" s="1"/>
  <c r="F41" i="134" s="1"/>
  <c r="Y114" i="113"/>
  <c r="Z114" i="113" s="1"/>
  <c r="AN6" i="112"/>
  <c r="P7" i="113"/>
  <c r="AA113" i="113" s="1"/>
  <c r="P29" i="113"/>
  <c r="AD113" i="113" s="1"/>
  <c r="P73" i="113"/>
  <c r="AE113" i="113" s="1"/>
  <c r="P51" i="113"/>
  <c r="AB113" i="113" s="1"/>
  <c r="AG7" i="112"/>
  <c r="AH7" i="112" s="1"/>
  <c r="X8" i="112"/>
  <c r="Z8" i="112" s="1"/>
  <c r="O40" i="125"/>
  <c r="AJ6" i="112"/>
  <c r="W17" i="112"/>
  <c r="M43" i="118"/>
  <c r="K55" i="118"/>
  <c r="K57" i="118" s="1"/>
  <c r="K58" i="118" s="1"/>
  <c r="K56" i="118"/>
  <c r="I55" i="118"/>
  <c r="I57" i="118" s="1"/>
  <c r="I58" i="118" s="1"/>
  <c r="I56" i="118"/>
  <c r="F55" i="118"/>
  <c r="F57" i="118" s="1"/>
  <c r="F58" i="118" s="1"/>
  <c r="F56" i="118"/>
  <c r="L50" i="118"/>
  <c r="H55" i="118"/>
  <c r="H57" i="118" s="1"/>
  <c r="H58" i="118" s="1"/>
  <c r="H56" i="118"/>
  <c r="G55" i="118"/>
  <c r="G57" i="118" s="1"/>
  <c r="G58" i="118" s="1"/>
  <c r="G56" i="118"/>
  <c r="L49" i="118"/>
  <c r="O49" i="118"/>
  <c r="P49" i="118" s="1"/>
  <c r="J55" i="118"/>
  <c r="J57" i="118" s="1"/>
  <c r="J58" i="118" s="1"/>
  <c r="J56" i="118"/>
  <c r="E22" i="155" l="1"/>
  <c r="L41" i="137"/>
  <c r="J25" i="155"/>
  <c r="J29" i="155" s="1"/>
  <c r="L31" i="137"/>
  <c r="M31" i="137" s="1"/>
  <c r="M20" i="155"/>
  <c r="K47" i="137"/>
  <c r="K51" i="137" s="1"/>
  <c r="K52" i="137" s="1"/>
  <c r="K40" i="155" s="1"/>
  <c r="Q5" i="120"/>
  <c r="J46" i="137"/>
  <c r="G66" i="137"/>
  <c r="M21" i="137"/>
  <c r="G47" i="137"/>
  <c r="R5" i="148"/>
  <c r="Y107" i="149" s="1"/>
  <c r="K66" i="137"/>
  <c r="H46" i="137"/>
  <c r="I67" i="137"/>
  <c r="H24" i="155"/>
  <c r="H25" i="155"/>
  <c r="H29" i="155" s="1"/>
  <c r="H51" i="137"/>
  <c r="H52" i="137" s="1"/>
  <c r="H40" i="155" s="1"/>
  <c r="H43" i="155" s="1"/>
  <c r="H47" i="155" s="1"/>
  <c r="I51" i="137"/>
  <c r="I52" i="137" s="1"/>
  <c r="I40" i="155" s="1"/>
  <c r="I42" i="155" s="1"/>
  <c r="O22" i="155"/>
  <c r="J51" i="137"/>
  <c r="J52" i="137" s="1"/>
  <c r="J40" i="155" s="1"/>
  <c r="J43" i="155" s="1"/>
  <c r="J47" i="155" s="1"/>
  <c r="H54" i="137"/>
  <c r="H57" i="137" s="1"/>
  <c r="H68" i="137"/>
  <c r="H70" i="137" s="1"/>
  <c r="H58" i="137"/>
  <c r="H60" i="137" s="1"/>
  <c r="H53" i="155" s="1"/>
  <c r="H55" i="155" s="1"/>
  <c r="J68" i="137"/>
  <c r="J70" i="137" s="1"/>
  <c r="F54" i="137"/>
  <c r="F57" i="137" s="1"/>
  <c r="G54" i="137"/>
  <c r="G57" i="137" s="1"/>
  <c r="H8" i="137"/>
  <c r="H10" i="137" s="1"/>
  <c r="H8" i="155" s="1"/>
  <c r="I68" i="137"/>
  <c r="I70" i="137" s="1"/>
  <c r="I62" i="155" s="1"/>
  <c r="I64" i="155" s="1"/>
  <c r="F58" i="137"/>
  <c r="F60" i="137" s="1"/>
  <c r="F53" i="155" s="1"/>
  <c r="F55" i="155" s="1"/>
  <c r="G58" i="137"/>
  <c r="G60" i="137" s="1"/>
  <c r="G53" i="155" s="1"/>
  <c r="G55" i="155" s="1"/>
  <c r="J54" i="137"/>
  <c r="J57" i="137" s="1"/>
  <c r="E44" i="137"/>
  <c r="E64" i="137"/>
  <c r="J58" i="137"/>
  <c r="J60" i="137" s="1"/>
  <c r="J53" i="155" s="1"/>
  <c r="J55" i="155" s="1"/>
  <c r="K54" i="137"/>
  <c r="K56" i="137" s="1"/>
  <c r="I46" i="137"/>
  <c r="G68" i="137"/>
  <c r="G70" i="137" s="1"/>
  <c r="K68" i="137"/>
  <c r="K70" i="137" s="1"/>
  <c r="K58" i="137"/>
  <c r="K60" i="137" s="1"/>
  <c r="K53" i="155" s="1"/>
  <c r="K55" i="155" s="1"/>
  <c r="I58" i="137"/>
  <c r="I60" i="137" s="1"/>
  <c r="I53" i="155" s="1"/>
  <c r="I55" i="155" s="1"/>
  <c r="M41" i="137"/>
  <c r="O44" i="137"/>
  <c r="L54" i="125"/>
  <c r="M45" i="125"/>
  <c r="E56" i="125"/>
  <c r="I54" i="137"/>
  <c r="F47" i="137"/>
  <c r="F46" i="137"/>
  <c r="F67" i="137"/>
  <c r="F66" i="137"/>
  <c r="K10" i="125"/>
  <c r="G10" i="125"/>
  <c r="J10" i="125"/>
  <c r="I10" i="125"/>
  <c r="O49" i="125"/>
  <c r="L63" i="125"/>
  <c r="F64" i="125"/>
  <c r="M44" i="118"/>
  <c r="E49" i="125"/>
  <c r="AL4" i="112"/>
  <c r="AM4" i="112" s="1"/>
  <c r="D39" i="134" s="1"/>
  <c r="F39" i="134" s="1"/>
  <c r="F10" i="125"/>
  <c r="L9" i="125"/>
  <c r="M51" i="118"/>
  <c r="E58" i="118"/>
  <c r="Y112" i="113"/>
  <c r="Z112" i="113" s="1"/>
  <c r="AJ4" i="112"/>
  <c r="AN4" i="112"/>
  <c r="X17" i="112"/>
  <c r="Z17" i="112" s="1"/>
  <c r="AL7" i="112"/>
  <c r="AM7" i="112" s="1"/>
  <c r="Y115" i="113"/>
  <c r="Z115" i="113" s="1"/>
  <c r="P30" i="113"/>
  <c r="AD114" i="113" s="1"/>
  <c r="P8" i="113"/>
  <c r="AA114" i="113" s="1"/>
  <c r="P74" i="113"/>
  <c r="AE114" i="113" s="1"/>
  <c r="P52" i="113"/>
  <c r="AB114" i="113" s="1"/>
  <c r="AG8" i="112"/>
  <c r="AH8" i="112" s="1"/>
  <c r="AF113" i="113"/>
  <c r="AC113" i="113"/>
  <c r="AJ7" i="112"/>
  <c r="AN7" i="112"/>
  <c r="M50" i="118"/>
  <c r="W22" i="112"/>
  <c r="O56" i="118"/>
  <c r="P56" i="118" s="1"/>
  <c r="L56" i="118"/>
  <c r="F62" i="118"/>
  <c r="F64" i="118" s="1"/>
  <c r="F65" i="118" s="1"/>
  <c r="F76" i="125" s="1"/>
  <c r="F83" i="125" s="1"/>
  <c r="F63" i="118"/>
  <c r="L57" i="118"/>
  <c r="H62" i="118"/>
  <c r="H64" i="118" s="1"/>
  <c r="H63" i="118"/>
  <c r="J62" i="118"/>
  <c r="J64" i="118" s="1"/>
  <c r="J63" i="118"/>
  <c r="I62" i="118"/>
  <c r="I64" i="118" s="1"/>
  <c r="I63" i="118"/>
  <c r="G62" i="118"/>
  <c r="G64" i="118" s="1"/>
  <c r="G63" i="118"/>
  <c r="K62" i="118"/>
  <c r="K64" i="118" s="1"/>
  <c r="K63" i="118"/>
  <c r="H10" i="155" l="1"/>
  <c r="I11" i="119" s="1"/>
  <c r="I9" i="119"/>
  <c r="K71" i="137"/>
  <c r="K72" i="137" s="1"/>
  <c r="K58" i="155" s="1"/>
  <c r="K61" i="155" s="1"/>
  <c r="K62" i="155"/>
  <c r="K64" i="155" s="1"/>
  <c r="H71" i="137"/>
  <c r="H72" i="137" s="1"/>
  <c r="H58" i="155" s="1"/>
  <c r="H60" i="155" s="1"/>
  <c r="H62" i="155"/>
  <c r="H64" i="155" s="1"/>
  <c r="G71" i="137"/>
  <c r="G72" i="137" s="1"/>
  <c r="G58" i="155" s="1"/>
  <c r="G61" i="155" s="1"/>
  <c r="G62" i="155"/>
  <c r="G64" i="155" s="1"/>
  <c r="J71" i="137"/>
  <c r="J72" i="137" s="1"/>
  <c r="J58" i="155" s="1"/>
  <c r="J61" i="155" s="1"/>
  <c r="J62" i="155"/>
  <c r="J64" i="155" s="1"/>
  <c r="Q6" i="120"/>
  <c r="L29" i="155"/>
  <c r="Q6" i="148" s="1"/>
  <c r="R6" i="148" s="1"/>
  <c r="Y108" i="149" s="1"/>
  <c r="J42" i="155"/>
  <c r="I71" i="137"/>
  <c r="I72" i="137" s="1"/>
  <c r="I58" i="155" s="1"/>
  <c r="I43" i="155"/>
  <c r="I47" i="155" s="1"/>
  <c r="K43" i="155"/>
  <c r="K47" i="155" s="1"/>
  <c r="G51" i="137"/>
  <c r="G52" i="137" s="1"/>
  <c r="G40" i="155" s="1"/>
  <c r="G43" i="155" s="1"/>
  <c r="G47" i="155" s="1"/>
  <c r="H42" i="155"/>
  <c r="U5" i="148"/>
  <c r="Y5" i="148" s="1"/>
  <c r="P49" i="149" s="1"/>
  <c r="K57" i="137"/>
  <c r="K61" i="137" s="1"/>
  <c r="K62" i="137" s="1"/>
  <c r="K49" i="155" s="1"/>
  <c r="F56" i="137"/>
  <c r="T5" i="148"/>
  <c r="Z5" i="148"/>
  <c r="AA5" i="148" s="1"/>
  <c r="AB5" i="148" s="1"/>
  <c r="J56" i="137"/>
  <c r="G61" i="137"/>
  <c r="G62" i="137" s="1"/>
  <c r="G49" i="155" s="1"/>
  <c r="F61" i="137"/>
  <c r="F62" i="137" s="1"/>
  <c r="F49" i="155" s="1"/>
  <c r="F51" i="137"/>
  <c r="F52" i="137" s="1"/>
  <c r="F40" i="155" s="1"/>
  <c r="H56" i="137"/>
  <c r="G56" i="137"/>
  <c r="J61" i="137"/>
  <c r="J62" i="137" s="1"/>
  <c r="J49" i="155" s="1"/>
  <c r="J8" i="137"/>
  <c r="J10" i="137" s="1"/>
  <c r="J8" i="155" s="1"/>
  <c r="G8" i="137"/>
  <c r="G10" i="137" s="1"/>
  <c r="G8" i="155" s="1"/>
  <c r="O4" i="137"/>
  <c r="K8" i="137"/>
  <c r="K10" i="137" s="1"/>
  <c r="K8" i="155" s="1"/>
  <c r="H61" i="137"/>
  <c r="H62" i="137" s="1"/>
  <c r="H49" i="155" s="1"/>
  <c r="H51" i="155" s="1"/>
  <c r="I8" i="137"/>
  <c r="I10" i="137" s="1"/>
  <c r="I8" i="155" s="1"/>
  <c r="F68" i="137"/>
  <c r="F70" i="137" s="1"/>
  <c r="E54" i="137"/>
  <c r="H11" i="137"/>
  <c r="H12" i="137" s="1"/>
  <c r="H4" i="155" s="1"/>
  <c r="I6" i="119" s="1"/>
  <c r="F8" i="137"/>
  <c r="F10" i="137" s="1"/>
  <c r="F8" i="155" s="1"/>
  <c r="O64" i="137"/>
  <c r="O54" i="137"/>
  <c r="M54" i="125"/>
  <c r="F84" i="137"/>
  <c r="I57" i="137"/>
  <c r="I56" i="137"/>
  <c r="E11" i="125"/>
  <c r="P9" i="113"/>
  <c r="AA115" i="113" s="1"/>
  <c r="D42" i="134"/>
  <c r="F42" i="134" s="1"/>
  <c r="AL8" i="112"/>
  <c r="AM8" i="112" s="1"/>
  <c r="D43" i="134" s="1"/>
  <c r="F43" i="134" s="1"/>
  <c r="AG17" i="112"/>
  <c r="AH17" i="112" s="1"/>
  <c r="M58" i="118"/>
  <c r="M9" i="125"/>
  <c r="I65" i="118"/>
  <c r="I76" i="125" s="1"/>
  <c r="I83" i="125" s="1"/>
  <c r="J65" i="118"/>
  <c r="J76" i="125" s="1"/>
  <c r="K65" i="118"/>
  <c r="K76" i="125" s="1"/>
  <c r="K83" i="125" s="1"/>
  <c r="H65" i="118"/>
  <c r="H76" i="125" s="1"/>
  <c r="G65" i="118"/>
  <c r="G76" i="125" s="1"/>
  <c r="G83" i="125" s="1"/>
  <c r="P53" i="113"/>
  <c r="AB115" i="113" s="1"/>
  <c r="P75" i="113"/>
  <c r="AE115" i="113" s="1"/>
  <c r="AN8" i="112"/>
  <c r="AJ8" i="112"/>
  <c r="AF114" i="113"/>
  <c r="P31" i="113"/>
  <c r="AD115" i="113" s="1"/>
  <c r="X22" i="112"/>
  <c r="Z22" i="112" s="1"/>
  <c r="O58" i="125"/>
  <c r="AI113" i="113"/>
  <c r="AG113" i="113"/>
  <c r="Y116" i="113"/>
  <c r="Z116" i="113" s="1"/>
  <c r="AC114" i="113"/>
  <c r="M57" i="118"/>
  <c r="K69" i="118"/>
  <c r="K71" i="118" s="1"/>
  <c r="K72" i="118" s="1"/>
  <c r="K70" i="118"/>
  <c r="J69" i="118"/>
  <c r="J71" i="118" s="1"/>
  <c r="J72" i="118" s="1"/>
  <c r="J70" i="118"/>
  <c r="G69" i="118"/>
  <c r="G71" i="118" s="1"/>
  <c r="G72" i="118" s="1"/>
  <c r="G70" i="118"/>
  <c r="I69" i="118"/>
  <c r="I71" i="118" s="1"/>
  <c r="I72" i="118" s="1"/>
  <c r="I70" i="118"/>
  <c r="O63" i="118"/>
  <c r="P63" i="118" s="1"/>
  <c r="L63" i="118"/>
  <c r="F69" i="118"/>
  <c r="F71" i="118" s="1"/>
  <c r="F72" i="118" s="1"/>
  <c r="F70" i="118"/>
  <c r="L64" i="118"/>
  <c r="H69" i="118"/>
  <c r="H71" i="118" s="1"/>
  <c r="H72" i="118" s="1"/>
  <c r="H70" i="118"/>
  <c r="P72" i="113"/>
  <c r="P50" i="113"/>
  <c r="P28" i="113"/>
  <c r="P6" i="113"/>
  <c r="G65" i="155" l="1"/>
  <c r="K65" i="155"/>
  <c r="G60" i="155"/>
  <c r="J60" i="155"/>
  <c r="H61" i="155"/>
  <c r="H65" i="155" s="1"/>
  <c r="K60" i="155"/>
  <c r="F10" i="155"/>
  <c r="G11" i="119" s="1"/>
  <c r="G9" i="119"/>
  <c r="I10" i="155"/>
  <c r="J11" i="119" s="1"/>
  <c r="J9" i="119"/>
  <c r="G10" i="155"/>
  <c r="H11" i="119" s="1"/>
  <c r="H9" i="119"/>
  <c r="J65" i="155"/>
  <c r="J10" i="155"/>
  <c r="K11" i="119" s="1"/>
  <c r="K9" i="119"/>
  <c r="K10" i="155"/>
  <c r="L11" i="119" s="1"/>
  <c r="L9" i="119"/>
  <c r="F71" i="137"/>
  <c r="F72" i="137" s="1"/>
  <c r="F58" i="155" s="1"/>
  <c r="F62" i="155"/>
  <c r="F64" i="155" s="1"/>
  <c r="P28" i="149"/>
  <c r="P7" i="149"/>
  <c r="M29" i="155"/>
  <c r="G42" i="155"/>
  <c r="U6" i="148"/>
  <c r="Y6" i="148" s="1"/>
  <c r="P71" i="149" s="1"/>
  <c r="Z6" i="148"/>
  <c r="AA6" i="148" s="1"/>
  <c r="AB6" i="148" s="1"/>
  <c r="T6" i="148"/>
  <c r="D6" i="147"/>
  <c r="F6" i="147" s="1"/>
  <c r="E40" i="155"/>
  <c r="P70" i="149"/>
  <c r="H6" i="155"/>
  <c r="H7" i="155"/>
  <c r="H52" i="155"/>
  <c r="H56" i="155" s="1"/>
  <c r="I61" i="155"/>
  <c r="I65" i="155" s="1"/>
  <c r="I60" i="155"/>
  <c r="L51" i="137"/>
  <c r="O40" i="155" s="1"/>
  <c r="K42" i="155"/>
  <c r="K51" i="155"/>
  <c r="F43" i="155"/>
  <c r="F47" i="155" s="1"/>
  <c r="L47" i="155" s="1"/>
  <c r="F42" i="155"/>
  <c r="K52" i="155"/>
  <c r="K56" i="155" s="1"/>
  <c r="G52" i="155"/>
  <c r="G56" i="155" s="1"/>
  <c r="G51" i="155"/>
  <c r="J52" i="155"/>
  <c r="J56" i="155" s="1"/>
  <c r="J51" i="155"/>
  <c r="F52" i="155"/>
  <c r="F56" i="155" s="1"/>
  <c r="F51" i="155"/>
  <c r="I61" i="137"/>
  <c r="E4" i="137"/>
  <c r="I84" i="137"/>
  <c r="I86" i="137" s="1"/>
  <c r="K84" i="137"/>
  <c r="K87" i="137" s="1"/>
  <c r="G84" i="137"/>
  <c r="G87" i="137" s="1"/>
  <c r="G11" i="137"/>
  <c r="G12" i="137" s="1"/>
  <c r="G4" i="155" s="1"/>
  <c r="H6" i="119" s="1"/>
  <c r="J11" i="137"/>
  <c r="J12" i="137" s="1"/>
  <c r="J4" i="155" s="1"/>
  <c r="K6" i="119" s="1"/>
  <c r="I11" i="137"/>
  <c r="I12" i="137" s="1"/>
  <c r="I4" i="155" s="1"/>
  <c r="J6" i="119" s="1"/>
  <c r="K11" i="137"/>
  <c r="K12" i="137" s="1"/>
  <c r="K4" i="155" s="1"/>
  <c r="L6" i="119" s="1"/>
  <c r="P32" i="113"/>
  <c r="AD116" i="113" s="1"/>
  <c r="AC115" i="113"/>
  <c r="J79" i="125"/>
  <c r="J81" i="125" s="1"/>
  <c r="J83" i="125"/>
  <c r="F87" i="137"/>
  <c r="F86" i="137"/>
  <c r="H79" i="125"/>
  <c r="H81" i="125" s="1"/>
  <c r="H83" i="125"/>
  <c r="P10" i="113"/>
  <c r="AA116" i="113" s="1"/>
  <c r="P76" i="113"/>
  <c r="AE116" i="113" s="1"/>
  <c r="P54" i="113"/>
  <c r="AB116" i="113" s="1"/>
  <c r="AL17" i="112"/>
  <c r="AM17" i="112" s="1"/>
  <c r="P11" i="113" s="1"/>
  <c r="AA117" i="113" s="1"/>
  <c r="AN17" i="112"/>
  <c r="Y117" i="113"/>
  <c r="Z117" i="113" s="1"/>
  <c r="AJ17" i="112"/>
  <c r="K67" i="125"/>
  <c r="K74" i="125" s="1"/>
  <c r="K85" i="125"/>
  <c r="K92" i="125" s="1"/>
  <c r="G67" i="125"/>
  <c r="G74" i="125" s="1"/>
  <c r="G85" i="125"/>
  <c r="G92" i="125" s="1"/>
  <c r="F67" i="125"/>
  <c r="F74" i="125" s="1"/>
  <c r="F85" i="125"/>
  <c r="F92" i="125" s="1"/>
  <c r="I67" i="125"/>
  <c r="I74" i="125" s="1"/>
  <c r="I85" i="125"/>
  <c r="I92" i="125" s="1"/>
  <c r="J67" i="125"/>
  <c r="J74" i="125" s="1"/>
  <c r="J85" i="125"/>
  <c r="J92" i="125" s="1"/>
  <c r="H85" i="125"/>
  <c r="H92" i="125" s="1"/>
  <c r="H67" i="125"/>
  <c r="H74" i="125" s="1"/>
  <c r="M63" i="125"/>
  <c r="G78" i="125"/>
  <c r="G79" i="125"/>
  <c r="G81" i="125" s="1"/>
  <c r="K78" i="125"/>
  <c r="K79" i="125"/>
  <c r="K81" i="125" s="1"/>
  <c r="F78" i="125"/>
  <c r="F79" i="125"/>
  <c r="F81" i="125" s="1"/>
  <c r="I78" i="125"/>
  <c r="I79" i="125"/>
  <c r="I81" i="125" s="1"/>
  <c r="H78" i="125"/>
  <c r="J78" i="125"/>
  <c r="AF115" i="113"/>
  <c r="E65" i="118"/>
  <c r="M65" i="118" s="1"/>
  <c r="O70" i="118"/>
  <c r="P70" i="118" s="1"/>
  <c r="E72" i="118"/>
  <c r="AI114" i="113"/>
  <c r="AG114" i="113"/>
  <c r="AG22" i="112"/>
  <c r="AH22" i="112" s="1"/>
  <c r="W23" i="112"/>
  <c r="I76" i="118"/>
  <c r="I78" i="118" s="1"/>
  <c r="I79" i="118" s="1"/>
  <c r="I94" i="125" s="1"/>
  <c r="I77" i="118"/>
  <c r="H76" i="118"/>
  <c r="H78" i="118" s="1"/>
  <c r="H79" i="118" s="1"/>
  <c r="H94" i="125" s="1"/>
  <c r="H77" i="118"/>
  <c r="G76" i="118"/>
  <c r="G78" i="118" s="1"/>
  <c r="G79" i="118" s="1"/>
  <c r="G94" i="125" s="1"/>
  <c r="G101" i="125" s="1"/>
  <c r="G77" i="118"/>
  <c r="M64" i="118"/>
  <c r="L70" i="118"/>
  <c r="J76" i="118"/>
  <c r="J78" i="118" s="1"/>
  <c r="J79" i="118" s="1"/>
  <c r="J94" i="125" s="1"/>
  <c r="J77" i="118"/>
  <c r="F76" i="118"/>
  <c r="F78" i="118" s="1"/>
  <c r="F79" i="118" s="1"/>
  <c r="F94" i="125" s="1"/>
  <c r="F101" i="125" s="1"/>
  <c r="F77" i="118"/>
  <c r="L71" i="118"/>
  <c r="M72" i="118" s="1"/>
  <c r="K76" i="118"/>
  <c r="K78" i="118" s="1"/>
  <c r="K79" i="118" s="1"/>
  <c r="K94" i="125" s="1"/>
  <c r="K77" i="118"/>
  <c r="AA112" i="113"/>
  <c r="AE112" i="113"/>
  <c r="AD112" i="113"/>
  <c r="AB112" i="113"/>
  <c r="P8" i="149" l="1"/>
  <c r="P29" i="149"/>
  <c r="L71" i="137"/>
  <c r="O58" i="155" s="1"/>
  <c r="K86" i="137"/>
  <c r="Q7" i="120"/>
  <c r="H11" i="155"/>
  <c r="I12" i="119" s="1"/>
  <c r="I8" i="119"/>
  <c r="D7" i="147"/>
  <c r="F7" i="147" s="1"/>
  <c r="P50" i="149"/>
  <c r="M51" i="137"/>
  <c r="K6" i="155"/>
  <c r="K7" i="155"/>
  <c r="I7" i="155"/>
  <c r="I6" i="155"/>
  <c r="E58" i="155"/>
  <c r="F61" i="155"/>
  <c r="F65" i="155" s="1"/>
  <c r="L65" i="155" s="1"/>
  <c r="F60" i="155"/>
  <c r="J7" i="155"/>
  <c r="J6" i="155"/>
  <c r="G7" i="155"/>
  <c r="G6" i="155"/>
  <c r="M47" i="155"/>
  <c r="Q7" i="148"/>
  <c r="R7" i="148" s="1"/>
  <c r="Y109" i="149" s="1"/>
  <c r="L61" i="137"/>
  <c r="M61" i="137" s="1"/>
  <c r="I62" i="137"/>
  <c r="I49" i="155" s="1"/>
  <c r="E49" i="155" s="1"/>
  <c r="I87" i="137"/>
  <c r="G86" i="137"/>
  <c r="G104" i="137"/>
  <c r="G107" i="137" s="1"/>
  <c r="H74" i="137"/>
  <c r="H77" i="137" s="1"/>
  <c r="J74" i="137"/>
  <c r="J77" i="137" s="1"/>
  <c r="K74" i="137"/>
  <c r="K77" i="137" s="1"/>
  <c r="H84" i="137"/>
  <c r="H87" i="137" s="1"/>
  <c r="G74" i="137"/>
  <c r="G77" i="137" s="1"/>
  <c r="I94" i="137"/>
  <c r="I97" i="137" s="1"/>
  <c r="J84" i="137"/>
  <c r="J87" i="137" s="1"/>
  <c r="I74" i="137"/>
  <c r="I77" i="137" s="1"/>
  <c r="F94" i="137"/>
  <c r="F97" i="137" s="1"/>
  <c r="G94" i="137"/>
  <c r="G97" i="137" s="1"/>
  <c r="H94" i="137"/>
  <c r="H97" i="137" s="1"/>
  <c r="J94" i="137"/>
  <c r="J97" i="137" s="1"/>
  <c r="AI115" i="113"/>
  <c r="F11" i="137"/>
  <c r="F12" i="137" s="1"/>
  <c r="F4" i="155" s="1"/>
  <c r="G6" i="119" s="1"/>
  <c r="AF116" i="113"/>
  <c r="P33" i="113"/>
  <c r="AD117" i="113" s="1"/>
  <c r="E74" i="125"/>
  <c r="F74" i="137"/>
  <c r="H101" i="125"/>
  <c r="E83" i="125"/>
  <c r="F104" i="137"/>
  <c r="K101" i="125"/>
  <c r="J101" i="125"/>
  <c r="I101" i="125"/>
  <c r="E92" i="125"/>
  <c r="K94" i="137"/>
  <c r="AC116" i="113"/>
  <c r="AG116" i="113" s="1"/>
  <c r="P55" i="113"/>
  <c r="AB117" i="113" s="1"/>
  <c r="AC117" i="113" s="1"/>
  <c r="D44" i="134"/>
  <c r="F44" i="134" s="1"/>
  <c r="P77" i="113"/>
  <c r="AE117" i="113" s="1"/>
  <c r="AJ22" i="112"/>
  <c r="G97" i="125"/>
  <c r="H88" i="125"/>
  <c r="H90" i="125" s="1"/>
  <c r="H87" i="125"/>
  <c r="I70" i="125"/>
  <c r="I72" i="125" s="1"/>
  <c r="I73" i="125" s="1"/>
  <c r="I69" i="125"/>
  <c r="G70" i="125"/>
  <c r="G72" i="125" s="1"/>
  <c r="G73" i="125" s="1"/>
  <c r="G69" i="125"/>
  <c r="H70" i="125"/>
  <c r="H72" i="125" s="1"/>
  <c r="H73" i="125" s="1"/>
  <c r="H69" i="125"/>
  <c r="I88" i="125"/>
  <c r="I90" i="125" s="1"/>
  <c r="I87" i="125"/>
  <c r="G88" i="125"/>
  <c r="G90" i="125" s="1"/>
  <c r="G87" i="125"/>
  <c r="J88" i="125"/>
  <c r="J90" i="125" s="1"/>
  <c r="J87" i="125"/>
  <c r="F88" i="125"/>
  <c r="F90" i="125" s="1"/>
  <c r="F87" i="125"/>
  <c r="K88" i="125"/>
  <c r="K90" i="125" s="1"/>
  <c r="K87" i="125"/>
  <c r="F97" i="125"/>
  <c r="F96" i="125"/>
  <c r="E67" i="125"/>
  <c r="E85" i="125"/>
  <c r="J70" i="125"/>
  <c r="J72" i="125" s="1"/>
  <c r="J73" i="125" s="1"/>
  <c r="J69" i="125"/>
  <c r="F70" i="125"/>
  <c r="F72" i="125" s="1"/>
  <c r="F69" i="125"/>
  <c r="K70" i="125"/>
  <c r="K72" i="125" s="1"/>
  <c r="K73" i="125" s="1"/>
  <c r="K69" i="125"/>
  <c r="AG115" i="113"/>
  <c r="AL22" i="112"/>
  <c r="AM22" i="112" s="1"/>
  <c r="X23" i="112"/>
  <c r="Z23" i="112" s="1"/>
  <c r="O76" i="125"/>
  <c r="Y118" i="113"/>
  <c r="Z118" i="113" s="1"/>
  <c r="AN22" i="112"/>
  <c r="W10" i="112"/>
  <c r="F83" i="118"/>
  <c r="F85" i="118" s="1"/>
  <c r="L78" i="118"/>
  <c r="F84" i="118"/>
  <c r="G83" i="118"/>
  <c r="G85" i="118" s="1"/>
  <c r="G84" i="118"/>
  <c r="K83" i="118"/>
  <c r="K85" i="118" s="1"/>
  <c r="K84" i="118"/>
  <c r="J83" i="118"/>
  <c r="J85" i="118" s="1"/>
  <c r="J84" i="118"/>
  <c r="H83" i="118"/>
  <c r="H85" i="118" s="1"/>
  <c r="H84" i="118"/>
  <c r="M71" i="118"/>
  <c r="O77" i="118"/>
  <c r="P77" i="118" s="1"/>
  <c r="L77" i="118"/>
  <c r="I83" i="118"/>
  <c r="I85" i="118" s="1"/>
  <c r="I84" i="118"/>
  <c r="AF112" i="113"/>
  <c r="AC112" i="113"/>
  <c r="Q9" i="120" l="1"/>
  <c r="M71" i="137"/>
  <c r="J11" i="155"/>
  <c r="K12" i="119" s="1"/>
  <c r="K8" i="119"/>
  <c r="I11" i="155"/>
  <c r="J12" i="119" s="1"/>
  <c r="J8" i="119"/>
  <c r="G11" i="155"/>
  <c r="H12" i="119" s="1"/>
  <c r="H8" i="119"/>
  <c r="K11" i="155"/>
  <c r="L12" i="119" s="1"/>
  <c r="L8" i="119"/>
  <c r="T7" i="148"/>
  <c r="Z7" i="148"/>
  <c r="AA7" i="148" s="1"/>
  <c r="AB7" i="148" s="1"/>
  <c r="U7" i="148"/>
  <c r="Y7" i="148" s="1"/>
  <c r="P72" i="149" s="1"/>
  <c r="Q8" i="120"/>
  <c r="I52" i="155"/>
  <c r="I56" i="155" s="1"/>
  <c r="L56" i="155" s="1"/>
  <c r="Q8" i="148" s="1"/>
  <c r="R8" i="148" s="1"/>
  <c r="Y110" i="149" s="1"/>
  <c r="E4" i="155"/>
  <c r="F6" i="119" s="1"/>
  <c r="F7" i="155"/>
  <c r="F6" i="155"/>
  <c r="I51" i="155"/>
  <c r="M65" i="155"/>
  <c r="Q9" i="148"/>
  <c r="R9" i="148" s="1"/>
  <c r="O49" i="155"/>
  <c r="H86" i="137"/>
  <c r="F96" i="137"/>
  <c r="J86" i="137"/>
  <c r="J76" i="137"/>
  <c r="I96" i="137"/>
  <c r="J96" i="137"/>
  <c r="G106" i="137"/>
  <c r="I76" i="137"/>
  <c r="H76" i="137"/>
  <c r="G96" i="137"/>
  <c r="E74" i="137"/>
  <c r="H96" i="137"/>
  <c r="J78" i="137"/>
  <c r="J80" i="137" s="1"/>
  <c r="H78" i="137"/>
  <c r="H80" i="137" s="1"/>
  <c r="E94" i="137"/>
  <c r="J104" i="137"/>
  <c r="J106" i="137" s="1"/>
  <c r="H104" i="137"/>
  <c r="H107" i="137" s="1"/>
  <c r="K104" i="137"/>
  <c r="K107" i="137" s="1"/>
  <c r="E84" i="137"/>
  <c r="G78" i="137"/>
  <c r="G80" i="137" s="1"/>
  <c r="G76" i="137"/>
  <c r="K76" i="137"/>
  <c r="I104" i="137"/>
  <c r="I106" i="137" s="1"/>
  <c r="K78" i="137"/>
  <c r="K80" i="137" s="1"/>
  <c r="I78" i="137"/>
  <c r="I80" i="137" s="1"/>
  <c r="L11" i="137"/>
  <c r="O4" i="155" s="1"/>
  <c r="O6" i="119" s="1"/>
  <c r="AF117" i="113"/>
  <c r="AI117" i="113" s="1"/>
  <c r="AI116" i="113"/>
  <c r="F77" i="137"/>
  <c r="F76" i="137"/>
  <c r="E101" i="125"/>
  <c r="F107" i="137"/>
  <c r="F106" i="137"/>
  <c r="K97" i="137"/>
  <c r="K96" i="137"/>
  <c r="P78" i="113"/>
  <c r="AE118" i="113" s="1"/>
  <c r="D45" i="134"/>
  <c r="F45" i="134" s="1"/>
  <c r="L72" i="125"/>
  <c r="F73" i="125"/>
  <c r="F86" i="118"/>
  <c r="F103" i="125" s="1"/>
  <c r="J86" i="118"/>
  <c r="J103" i="125" s="1"/>
  <c r="G86" i="118"/>
  <c r="G103" i="125" s="1"/>
  <c r="I86" i="118"/>
  <c r="I103" i="125" s="1"/>
  <c r="H86" i="118"/>
  <c r="H103" i="125" s="1"/>
  <c r="K86" i="118"/>
  <c r="K103" i="125" s="1"/>
  <c r="P34" i="113"/>
  <c r="AD118" i="113" s="1"/>
  <c r="P12" i="113"/>
  <c r="AA118" i="113" s="1"/>
  <c r="P56" i="113"/>
  <c r="AB118" i="113" s="1"/>
  <c r="G96" i="125"/>
  <c r="H96" i="125"/>
  <c r="H97" i="125"/>
  <c r="K97" i="125"/>
  <c r="K96" i="125"/>
  <c r="J97" i="125"/>
  <c r="J96" i="125"/>
  <c r="I96" i="125"/>
  <c r="I97" i="125"/>
  <c r="E79" i="118"/>
  <c r="E94" i="125" s="1"/>
  <c r="AG23" i="112"/>
  <c r="AH23" i="112" s="1"/>
  <c r="X10" i="112"/>
  <c r="Z10" i="112" s="1"/>
  <c r="O85" i="125"/>
  <c r="W11" i="112"/>
  <c r="G90" i="118"/>
  <c r="G92" i="118" s="1"/>
  <c r="G91" i="118"/>
  <c r="L85" i="118"/>
  <c r="H90" i="118"/>
  <c r="H92" i="118" s="1"/>
  <c r="H91" i="118"/>
  <c r="O84" i="118"/>
  <c r="P84" i="118" s="1"/>
  <c r="L84" i="118"/>
  <c r="M78" i="118"/>
  <c r="J90" i="118"/>
  <c r="J92" i="118" s="1"/>
  <c r="J91" i="118"/>
  <c r="F90" i="118"/>
  <c r="F92" i="118" s="1"/>
  <c r="F91" i="118"/>
  <c r="I90" i="118"/>
  <c r="I92" i="118" s="1"/>
  <c r="I91" i="118"/>
  <c r="K90" i="118"/>
  <c r="K92" i="118" s="1"/>
  <c r="K91" i="118"/>
  <c r="AI112" i="113"/>
  <c r="AG112" i="113"/>
  <c r="AG117" i="113" l="1"/>
  <c r="P9" i="149"/>
  <c r="J81" i="137"/>
  <c r="J82" i="137" s="1"/>
  <c r="J67" i="155" s="1"/>
  <c r="J70" i="155" s="1"/>
  <c r="J71" i="155"/>
  <c r="J73" i="155" s="1"/>
  <c r="K81" i="137"/>
  <c r="K82" i="137" s="1"/>
  <c r="K67" i="155" s="1"/>
  <c r="K69" i="155" s="1"/>
  <c r="K71" i="155"/>
  <c r="K73" i="155" s="1"/>
  <c r="G81" i="137"/>
  <c r="G82" i="137" s="1"/>
  <c r="G67" i="155" s="1"/>
  <c r="G69" i="155" s="1"/>
  <c r="G71" i="155"/>
  <c r="G73" i="155" s="1"/>
  <c r="F11" i="155"/>
  <c r="G8" i="119"/>
  <c r="H81" i="137"/>
  <c r="H82" i="137" s="1"/>
  <c r="H67" i="155" s="1"/>
  <c r="H70" i="155" s="1"/>
  <c r="H71" i="155"/>
  <c r="H73" i="155" s="1"/>
  <c r="I81" i="137"/>
  <c r="I82" i="137" s="1"/>
  <c r="I67" i="155" s="1"/>
  <c r="I69" i="155" s="1"/>
  <c r="I71" i="155"/>
  <c r="I73" i="155" s="1"/>
  <c r="P30" i="149"/>
  <c r="D8" i="147"/>
  <c r="F8" i="147" s="1"/>
  <c r="P51" i="149"/>
  <c r="T8" i="148"/>
  <c r="Z8" i="148"/>
  <c r="AA8" i="148" s="1"/>
  <c r="AB8" i="148" s="1"/>
  <c r="U8" i="148"/>
  <c r="M56" i="155"/>
  <c r="Y111" i="149"/>
  <c r="T9" i="148"/>
  <c r="Z9" i="148"/>
  <c r="AA9" i="148" s="1"/>
  <c r="AB9" i="148" s="1"/>
  <c r="U9" i="148"/>
  <c r="Y9" i="148" s="1"/>
  <c r="J107" i="137"/>
  <c r="K106" i="137"/>
  <c r="I107" i="137"/>
  <c r="H106" i="137"/>
  <c r="E104" i="137"/>
  <c r="F78" i="137"/>
  <c r="F80" i="137" s="1"/>
  <c r="O74" i="137"/>
  <c r="M11" i="137"/>
  <c r="Q4" i="120"/>
  <c r="AF118" i="113"/>
  <c r="I106" i="125"/>
  <c r="I108" i="125" s="1"/>
  <c r="I109" i="125" s="1"/>
  <c r="I110" i="125"/>
  <c r="O94" i="125"/>
  <c r="G106" i="125"/>
  <c r="G108" i="125" s="1"/>
  <c r="G109" i="125" s="1"/>
  <c r="G110" i="125"/>
  <c r="K106" i="125"/>
  <c r="K108" i="125" s="1"/>
  <c r="K109" i="125" s="1"/>
  <c r="K110" i="125"/>
  <c r="J106" i="125"/>
  <c r="J108" i="125" s="1"/>
  <c r="J109" i="125" s="1"/>
  <c r="J110" i="125"/>
  <c r="H106" i="125"/>
  <c r="H108" i="125" s="1"/>
  <c r="H109" i="125" s="1"/>
  <c r="H110" i="125"/>
  <c r="F106" i="125"/>
  <c r="F108" i="125" s="1"/>
  <c r="F109" i="125" s="1"/>
  <c r="F110" i="125"/>
  <c r="AJ23" i="112"/>
  <c r="I105" i="125"/>
  <c r="G105" i="125"/>
  <c r="F105" i="125"/>
  <c r="M72" i="125"/>
  <c r="H105" i="125"/>
  <c r="K105" i="125"/>
  <c r="J105" i="125"/>
  <c r="E86" i="118"/>
  <c r="H93" i="118"/>
  <c r="H112" i="125" s="1"/>
  <c r="F93" i="118"/>
  <c r="F112" i="125" s="1"/>
  <c r="K93" i="118"/>
  <c r="K112" i="125" s="1"/>
  <c r="I93" i="118"/>
  <c r="I112" i="125" s="1"/>
  <c r="J93" i="118"/>
  <c r="J112" i="125" s="1"/>
  <c r="G93" i="118"/>
  <c r="G112" i="125" s="1"/>
  <c r="AC118" i="113"/>
  <c r="M79" i="118"/>
  <c r="AL23" i="112"/>
  <c r="AM23" i="112" s="1"/>
  <c r="AG10" i="112"/>
  <c r="AH10" i="112" s="1"/>
  <c r="X11" i="112"/>
  <c r="Z11" i="112" s="1"/>
  <c r="AN23" i="112"/>
  <c r="Y120" i="113"/>
  <c r="Z120" i="113" s="1"/>
  <c r="W18" i="112"/>
  <c r="I97" i="118"/>
  <c r="I99" i="118" s="1"/>
  <c r="I98" i="118"/>
  <c r="L92" i="118"/>
  <c r="H97" i="118"/>
  <c r="H99" i="118" s="1"/>
  <c r="H98" i="118"/>
  <c r="F97" i="118"/>
  <c r="F99" i="118" s="1"/>
  <c r="F98" i="118"/>
  <c r="K97" i="118"/>
  <c r="K99" i="118" s="1"/>
  <c r="K98" i="118"/>
  <c r="J97" i="118"/>
  <c r="J99" i="118" s="1"/>
  <c r="J98" i="118"/>
  <c r="G97" i="118"/>
  <c r="G99" i="118" s="1"/>
  <c r="G98" i="118"/>
  <c r="O91" i="118"/>
  <c r="P91" i="118" s="1"/>
  <c r="L91" i="118"/>
  <c r="M85" i="118"/>
  <c r="H74" i="155" l="1"/>
  <c r="I70" i="155"/>
  <c r="I74" i="155" s="1"/>
  <c r="G70" i="155"/>
  <c r="G74" i="155" s="1"/>
  <c r="Y8" i="148"/>
  <c r="P10" i="149" s="1"/>
  <c r="K70" i="155"/>
  <c r="K74" i="155" s="1"/>
  <c r="J74" i="155"/>
  <c r="F81" i="137"/>
  <c r="F82" i="137" s="1"/>
  <c r="F67" i="155" s="1"/>
  <c r="F71" i="155"/>
  <c r="F73" i="155" s="1"/>
  <c r="H69" i="155"/>
  <c r="J69" i="155"/>
  <c r="L11" i="155"/>
  <c r="G12" i="119"/>
  <c r="P53" i="149"/>
  <c r="D10" i="147"/>
  <c r="F10" i="147" s="1"/>
  <c r="P32" i="149"/>
  <c r="P74" i="149"/>
  <c r="P11" i="149"/>
  <c r="J118" i="137"/>
  <c r="J120" i="137" s="1"/>
  <c r="J107" i="155" s="1"/>
  <c r="J109" i="155" s="1"/>
  <c r="K114" i="137"/>
  <c r="K116" i="137" s="1"/>
  <c r="K118" i="137"/>
  <c r="K120" i="137" s="1"/>
  <c r="K107" i="155" s="1"/>
  <c r="K109" i="155" s="1"/>
  <c r="G114" i="137"/>
  <c r="G117" i="137" s="1"/>
  <c r="G118" i="137"/>
  <c r="G120" i="137" s="1"/>
  <c r="G107" i="155" s="1"/>
  <c r="G109" i="155" s="1"/>
  <c r="H114" i="137"/>
  <c r="H117" i="137" s="1"/>
  <c r="H118" i="137"/>
  <c r="H120" i="137" s="1"/>
  <c r="H107" i="155" s="1"/>
  <c r="H109" i="155" s="1"/>
  <c r="I114" i="137"/>
  <c r="I117" i="137" s="1"/>
  <c r="F118" i="137"/>
  <c r="F120" i="137" s="1"/>
  <c r="F107" i="155" s="1"/>
  <c r="F109" i="155" s="1"/>
  <c r="J114" i="137"/>
  <c r="J117" i="137" s="1"/>
  <c r="J121" i="137" s="1"/>
  <c r="J122" i="137" s="1"/>
  <c r="J103" i="155" s="1"/>
  <c r="I118" i="137"/>
  <c r="I120" i="137" s="1"/>
  <c r="I107" i="155" s="1"/>
  <c r="I109" i="155" s="1"/>
  <c r="AI118" i="113"/>
  <c r="G115" i="125"/>
  <c r="G117" i="125" s="1"/>
  <c r="G118" i="125" s="1"/>
  <c r="G119" i="125"/>
  <c r="J115" i="125"/>
  <c r="J117" i="125" s="1"/>
  <c r="J118" i="125" s="1"/>
  <c r="J119" i="125"/>
  <c r="H115" i="125"/>
  <c r="H117" i="125" s="1"/>
  <c r="H118" i="125" s="1"/>
  <c r="H119" i="125"/>
  <c r="L108" i="125"/>
  <c r="F115" i="125"/>
  <c r="F117" i="125" s="1"/>
  <c r="F118" i="125" s="1"/>
  <c r="F119" i="125"/>
  <c r="N94" i="125"/>
  <c r="I115" i="125"/>
  <c r="I117" i="125" s="1"/>
  <c r="I118" i="125" s="1"/>
  <c r="I119" i="125"/>
  <c r="K115" i="125"/>
  <c r="K117" i="125" s="1"/>
  <c r="K118" i="125" s="1"/>
  <c r="K119" i="125"/>
  <c r="E110" i="125"/>
  <c r="F114" i="137"/>
  <c r="P80" i="113"/>
  <c r="AE120" i="113" s="1"/>
  <c r="D47" i="134"/>
  <c r="F47" i="134" s="1"/>
  <c r="P14" i="113"/>
  <c r="AA120" i="113" s="1"/>
  <c r="F114" i="125"/>
  <c r="AG118" i="113"/>
  <c r="H114" i="125"/>
  <c r="K114" i="125"/>
  <c r="M86" i="118"/>
  <c r="E103" i="125"/>
  <c r="I114" i="125"/>
  <c r="J82" i="125"/>
  <c r="I82" i="125"/>
  <c r="H82" i="125"/>
  <c r="K82" i="125"/>
  <c r="G82" i="125"/>
  <c r="I91" i="125"/>
  <c r="G91" i="125"/>
  <c r="H91" i="125"/>
  <c r="J91" i="125"/>
  <c r="K91" i="125"/>
  <c r="J114" i="125"/>
  <c r="G114" i="125"/>
  <c r="J100" i="118"/>
  <c r="J121" i="125" s="1"/>
  <c r="F100" i="118"/>
  <c r="F121" i="125" s="1"/>
  <c r="I100" i="118"/>
  <c r="I121" i="125" s="1"/>
  <c r="G100" i="118"/>
  <c r="G121" i="125" s="1"/>
  <c r="K100" i="118"/>
  <c r="K121" i="125" s="1"/>
  <c r="H100" i="118"/>
  <c r="H121" i="125" s="1"/>
  <c r="E93" i="118"/>
  <c r="P36" i="113"/>
  <c r="AD120" i="113" s="1"/>
  <c r="P58" i="113"/>
  <c r="AB120" i="113" s="1"/>
  <c r="AG11" i="112"/>
  <c r="AH11" i="112" s="1"/>
  <c r="Y121" i="113"/>
  <c r="Z121" i="113" s="1"/>
  <c r="X18" i="112"/>
  <c r="Z18" i="112" s="1"/>
  <c r="O103" i="125"/>
  <c r="W19" i="112"/>
  <c r="M92" i="118"/>
  <c r="AN10" i="112"/>
  <c r="AJ10" i="112"/>
  <c r="AL10" i="112"/>
  <c r="F104" i="118"/>
  <c r="F106" i="118" s="1"/>
  <c r="F107" i="118" s="1"/>
  <c r="F130" i="125" s="1"/>
  <c r="F137" i="125" s="1"/>
  <c r="F105" i="118"/>
  <c r="L99" i="118"/>
  <c r="H104" i="118"/>
  <c r="H106" i="118" s="1"/>
  <c r="H107" i="118" s="1"/>
  <c r="H130" i="125" s="1"/>
  <c r="H137" i="125" s="1"/>
  <c r="H105" i="118"/>
  <c r="K104" i="118"/>
  <c r="K106" i="118" s="1"/>
  <c r="K107" i="118" s="1"/>
  <c r="K130" i="125" s="1"/>
  <c r="K137" i="125" s="1"/>
  <c r="K105" i="118"/>
  <c r="G104" i="118"/>
  <c r="G106" i="118" s="1"/>
  <c r="G107" i="118" s="1"/>
  <c r="G130" i="125" s="1"/>
  <c r="G137" i="125" s="1"/>
  <c r="G105" i="118"/>
  <c r="J104" i="118"/>
  <c r="J106" i="118" s="1"/>
  <c r="J107" i="118" s="1"/>
  <c r="J130" i="125" s="1"/>
  <c r="J137" i="125" s="1"/>
  <c r="J105" i="118"/>
  <c r="O98" i="118"/>
  <c r="P98" i="118" s="1"/>
  <c r="L98" i="118"/>
  <c r="I104" i="118"/>
  <c r="I106" i="118" s="1"/>
  <c r="I107" i="118" s="1"/>
  <c r="I130" i="125" s="1"/>
  <c r="I137" i="125" s="1"/>
  <c r="I105" i="118"/>
  <c r="P31" i="149" l="1"/>
  <c r="D9" i="147"/>
  <c r="F9" i="147" s="1"/>
  <c r="P52" i="149"/>
  <c r="P73" i="149"/>
  <c r="L81" i="137"/>
  <c r="M81" i="137" s="1"/>
  <c r="Q4" i="148"/>
  <c r="R4" i="148" s="1"/>
  <c r="M11" i="155"/>
  <c r="F70" i="155"/>
  <c r="F74" i="155" s="1"/>
  <c r="L74" i="155" s="1"/>
  <c r="Q10" i="148" s="1"/>
  <c r="R10" i="148" s="1"/>
  <c r="Y112" i="149" s="1"/>
  <c r="F69" i="155"/>
  <c r="E67" i="155"/>
  <c r="K117" i="137"/>
  <c r="K121" i="137" s="1"/>
  <c r="K122" i="137" s="1"/>
  <c r="K103" i="155" s="1"/>
  <c r="I121" i="137"/>
  <c r="I122" i="137" s="1"/>
  <c r="I103" i="155" s="1"/>
  <c r="I105" i="155" s="1"/>
  <c r="H121" i="137"/>
  <c r="H122" i="137" s="1"/>
  <c r="H103" i="155" s="1"/>
  <c r="H105" i="155" s="1"/>
  <c r="G121" i="137"/>
  <c r="G122" i="137" s="1"/>
  <c r="G103" i="155" s="1"/>
  <c r="G106" i="155" s="1"/>
  <c r="G110" i="155" s="1"/>
  <c r="J116" i="137"/>
  <c r="G116" i="137"/>
  <c r="H116" i="137"/>
  <c r="I124" i="137"/>
  <c r="G88" i="137"/>
  <c r="G90" i="137" s="1"/>
  <c r="I128" i="137"/>
  <c r="I130" i="137" s="1"/>
  <c r="I116" i="155" s="1"/>
  <c r="I118" i="155" s="1"/>
  <c r="G124" i="137"/>
  <c r="G127" i="137" s="1"/>
  <c r="I144" i="137"/>
  <c r="I146" i="137" s="1"/>
  <c r="K88" i="137"/>
  <c r="K90" i="137" s="1"/>
  <c r="G128" i="137"/>
  <c r="G130" i="137" s="1"/>
  <c r="G116" i="155" s="1"/>
  <c r="G118" i="155" s="1"/>
  <c r="G144" i="137"/>
  <c r="G147" i="137" s="1"/>
  <c r="J128" i="137"/>
  <c r="J130" i="137" s="1"/>
  <c r="J116" i="155" s="1"/>
  <c r="J118" i="155" s="1"/>
  <c r="H88" i="137"/>
  <c r="H90" i="137" s="1"/>
  <c r="E114" i="137"/>
  <c r="J106" i="155"/>
  <c r="J110" i="155" s="1"/>
  <c r="J105" i="155"/>
  <c r="I98" i="137"/>
  <c r="I100" i="137" s="1"/>
  <c r="H144" i="137"/>
  <c r="H146" i="137" s="1"/>
  <c r="K98" i="137"/>
  <c r="K100" i="137" s="1"/>
  <c r="I88" i="137"/>
  <c r="I90" i="137" s="1"/>
  <c r="K124" i="137"/>
  <c r="K127" i="137" s="1"/>
  <c r="F128" i="137"/>
  <c r="F130" i="137" s="1"/>
  <c r="F116" i="155" s="1"/>
  <c r="F118" i="155"/>
  <c r="J98" i="137"/>
  <c r="J100" i="137" s="1"/>
  <c r="J88" i="137"/>
  <c r="J90" i="137" s="1"/>
  <c r="K128" i="137"/>
  <c r="K130" i="137" s="1"/>
  <c r="K116" i="155" s="1"/>
  <c r="K118" i="155" s="1"/>
  <c r="H124" i="137"/>
  <c r="J144" i="137"/>
  <c r="J146" i="137" s="1"/>
  <c r="H98" i="137"/>
  <c r="H100" i="137" s="1"/>
  <c r="I116" i="137"/>
  <c r="H128" i="137"/>
  <c r="H130" i="137" s="1"/>
  <c r="H116" i="155" s="1"/>
  <c r="H118" i="155" s="1"/>
  <c r="F144" i="137"/>
  <c r="F146" i="137" s="1"/>
  <c r="G98" i="137"/>
  <c r="G100" i="137" s="1"/>
  <c r="J124" i="137"/>
  <c r="N95" i="125"/>
  <c r="F99" i="125" s="1"/>
  <c r="AF120" i="113"/>
  <c r="AC120" i="113"/>
  <c r="M108" i="125"/>
  <c r="O114" i="137"/>
  <c r="L117" i="125"/>
  <c r="J124" i="125"/>
  <c r="J126" i="125" s="1"/>
  <c r="J127" i="125" s="1"/>
  <c r="J128" i="125"/>
  <c r="E137" i="125"/>
  <c r="K144" i="137"/>
  <c r="G124" i="125"/>
  <c r="G126" i="125" s="1"/>
  <c r="G127" i="125" s="1"/>
  <c r="G128" i="125"/>
  <c r="F117" i="137"/>
  <c r="F121" i="137" s="1"/>
  <c r="F122" i="137" s="1"/>
  <c r="F103" i="155" s="1"/>
  <c r="F116" i="137"/>
  <c r="K124" i="125"/>
  <c r="K126" i="125" s="1"/>
  <c r="K127" i="125" s="1"/>
  <c r="K128" i="125"/>
  <c r="I124" i="125"/>
  <c r="I126" i="125" s="1"/>
  <c r="I127" i="125" s="1"/>
  <c r="I128" i="125"/>
  <c r="H124" i="125"/>
  <c r="H126" i="125" s="1"/>
  <c r="H127" i="125" s="1"/>
  <c r="H128" i="125"/>
  <c r="F124" i="125"/>
  <c r="F126" i="125" s="1"/>
  <c r="F127" i="125" s="1"/>
  <c r="F128" i="125"/>
  <c r="F124" i="137"/>
  <c r="E119" i="125"/>
  <c r="K99" i="125"/>
  <c r="K100" i="125" s="1"/>
  <c r="H123" i="125"/>
  <c r="J133" i="125"/>
  <c r="J135" i="125" s="1"/>
  <c r="J136" i="125" s="1"/>
  <c r="J132" i="125"/>
  <c r="G99" i="125"/>
  <c r="G100" i="125" s="1"/>
  <c r="F100" i="125"/>
  <c r="I133" i="125"/>
  <c r="I135" i="125" s="1"/>
  <c r="I136" i="125" s="1"/>
  <c r="I132" i="125"/>
  <c r="F133" i="125"/>
  <c r="F135" i="125" s="1"/>
  <c r="F132" i="125"/>
  <c r="H99" i="125"/>
  <c r="H100" i="125" s="1"/>
  <c r="M93" i="118"/>
  <c r="E112" i="125"/>
  <c r="J123" i="125"/>
  <c r="I99" i="125"/>
  <c r="I100" i="125" s="1"/>
  <c r="K133" i="125"/>
  <c r="K135" i="125" s="1"/>
  <c r="K136" i="125" s="1"/>
  <c r="K132" i="125"/>
  <c r="G133" i="125"/>
  <c r="G135" i="125" s="1"/>
  <c r="G136" i="125" s="1"/>
  <c r="G132" i="125"/>
  <c r="H133" i="125"/>
  <c r="H135" i="125" s="1"/>
  <c r="H136" i="125" s="1"/>
  <c r="H132" i="125"/>
  <c r="K123" i="125"/>
  <c r="J99" i="125"/>
  <c r="J100" i="125" s="1"/>
  <c r="F82" i="125"/>
  <c r="L81" i="125"/>
  <c r="G123" i="125"/>
  <c r="F123" i="125"/>
  <c r="F91" i="125"/>
  <c r="L90" i="125"/>
  <c r="I123" i="125"/>
  <c r="E107" i="118"/>
  <c r="E130" i="125" s="1"/>
  <c r="E100" i="118"/>
  <c r="AG18" i="112"/>
  <c r="AH18" i="112" s="1"/>
  <c r="AL11" i="112"/>
  <c r="AM11" i="112" s="1"/>
  <c r="D49" i="134" s="1"/>
  <c r="F49" i="134" s="1"/>
  <c r="Y122" i="113"/>
  <c r="Z122" i="113" s="1"/>
  <c r="AN11" i="112"/>
  <c r="AJ11" i="112"/>
  <c r="X19" i="112"/>
  <c r="Z19" i="112" s="1"/>
  <c r="O112" i="125"/>
  <c r="W20" i="112"/>
  <c r="AM10" i="112"/>
  <c r="D48" i="134" s="1"/>
  <c r="F48" i="134" s="1"/>
  <c r="G111" i="118"/>
  <c r="G113" i="118" s="1"/>
  <c r="G112" i="118"/>
  <c r="H111" i="118"/>
  <c r="H113" i="118" s="1"/>
  <c r="H112" i="118"/>
  <c r="I111" i="118"/>
  <c r="I113" i="118" s="1"/>
  <c r="I112" i="118"/>
  <c r="M99" i="118"/>
  <c r="K111" i="118"/>
  <c r="K113" i="118" s="1"/>
  <c r="K112" i="118"/>
  <c r="J111" i="118"/>
  <c r="J113" i="118" s="1"/>
  <c r="J112" i="118"/>
  <c r="L105" i="118"/>
  <c r="O105" i="118"/>
  <c r="P105" i="118" s="1"/>
  <c r="F111" i="118"/>
  <c r="F113" i="118" s="1"/>
  <c r="F112" i="118"/>
  <c r="L106" i="118"/>
  <c r="K126" i="137" l="1"/>
  <c r="I106" i="155"/>
  <c r="I110" i="155" s="1"/>
  <c r="G105" i="155"/>
  <c r="O67" i="155"/>
  <c r="Q10" i="120"/>
  <c r="Z10" i="148"/>
  <c r="AA10" i="148" s="1"/>
  <c r="AB10" i="148" s="1"/>
  <c r="J147" i="137"/>
  <c r="G91" i="137"/>
  <c r="G92" i="137" s="1"/>
  <c r="G76" i="155" s="1"/>
  <c r="G78" i="155" s="1"/>
  <c r="G80" i="155"/>
  <c r="G82" i="155" s="1"/>
  <c r="I101" i="137"/>
  <c r="I102" i="137" s="1"/>
  <c r="I85" i="155" s="1"/>
  <c r="I88" i="155" s="1"/>
  <c r="I89" i="155"/>
  <c r="I91" i="155" s="1"/>
  <c r="G146" i="137"/>
  <c r="J91" i="137"/>
  <c r="J92" i="137" s="1"/>
  <c r="J76" i="155" s="1"/>
  <c r="J78" i="155" s="1"/>
  <c r="J80" i="155"/>
  <c r="J82" i="155" s="1"/>
  <c r="K101" i="137"/>
  <c r="K102" i="137" s="1"/>
  <c r="K85" i="155" s="1"/>
  <c r="K88" i="155" s="1"/>
  <c r="K89" i="155"/>
  <c r="K91" i="155" s="1"/>
  <c r="H91" i="137"/>
  <c r="H92" i="137" s="1"/>
  <c r="H76" i="155" s="1"/>
  <c r="H78" i="155" s="1"/>
  <c r="H80" i="155"/>
  <c r="H82" i="155" s="1"/>
  <c r="G101" i="137"/>
  <c r="G102" i="137" s="1"/>
  <c r="G85" i="155" s="1"/>
  <c r="G88" i="155" s="1"/>
  <c r="G89" i="155"/>
  <c r="G91" i="155" s="1"/>
  <c r="H101" i="137"/>
  <c r="H102" i="137" s="1"/>
  <c r="H85" i="155" s="1"/>
  <c r="H87" i="155" s="1"/>
  <c r="H89" i="155"/>
  <c r="H91" i="155" s="1"/>
  <c r="J101" i="137"/>
  <c r="J102" i="137" s="1"/>
  <c r="J85" i="155" s="1"/>
  <c r="J88" i="155" s="1"/>
  <c r="J89" i="155"/>
  <c r="J91" i="155" s="1"/>
  <c r="I91" i="137"/>
  <c r="I92" i="137" s="1"/>
  <c r="I76" i="155" s="1"/>
  <c r="I79" i="155" s="1"/>
  <c r="I80" i="155"/>
  <c r="I82" i="155" s="1"/>
  <c r="K91" i="137"/>
  <c r="K92" i="137" s="1"/>
  <c r="K76" i="155" s="1"/>
  <c r="K78" i="155" s="1"/>
  <c r="K80" i="155"/>
  <c r="K82" i="155" s="1"/>
  <c r="Z4" i="148"/>
  <c r="AA4" i="148" s="1"/>
  <c r="AB4" i="148" s="1"/>
  <c r="Y106" i="149"/>
  <c r="U4" i="148"/>
  <c r="Y4" i="148" s="1"/>
  <c r="T4" i="148"/>
  <c r="H106" i="155"/>
  <c r="H110" i="155" s="1"/>
  <c r="K105" i="155"/>
  <c r="K106" i="155"/>
  <c r="K110" i="155" s="1"/>
  <c r="M74" i="155"/>
  <c r="T10" i="148"/>
  <c r="U10" i="148"/>
  <c r="Y10" i="148" s="1"/>
  <c r="P54" i="149" s="1"/>
  <c r="K79" i="155"/>
  <c r="F105" i="155"/>
  <c r="F106" i="155"/>
  <c r="F110" i="155" s="1"/>
  <c r="E103" i="155"/>
  <c r="I147" i="137"/>
  <c r="I127" i="137"/>
  <c r="H147" i="137"/>
  <c r="G126" i="137"/>
  <c r="F147" i="137"/>
  <c r="H126" i="137"/>
  <c r="H127" i="137"/>
  <c r="H131" i="137" s="1"/>
  <c r="I126" i="137"/>
  <c r="J127" i="137"/>
  <c r="G148" i="137"/>
  <c r="G150" i="137" s="1"/>
  <c r="O94" i="137"/>
  <c r="F138" i="137"/>
  <c r="F140" i="137" s="1"/>
  <c r="F125" i="155" s="1"/>
  <c r="F127" i="155" s="1"/>
  <c r="E144" i="137"/>
  <c r="F88" i="137"/>
  <c r="F90" i="137" s="1"/>
  <c r="K148" i="137"/>
  <c r="K150" i="137" s="1"/>
  <c r="K134" i="155" s="1"/>
  <c r="K136" i="155" s="1"/>
  <c r="E124" i="137"/>
  <c r="H134" i="137"/>
  <c r="H136" i="137" s="1"/>
  <c r="K134" i="137"/>
  <c r="K136" i="137" s="1"/>
  <c r="H138" i="137"/>
  <c r="H140" i="137" s="1"/>
  <c r="H125" i="155" s="1"/>
  <c r="H127" i="155" s="1"/>
  <c r="I148" i="137"/>
  <c r="I150" i="137" s="1"/>
  <c r="I134" i="155" s="1"/>
  <c r="I136" i="155" s="1"/>
  <c r="K138" i="137"/>
  <c r="K140" i="137" s="1"/>
  <c r="K125" i="155" s="1"/>
  <c r="K127" i="155" s="1"/>
  <c r="F108" i="137"/>
  <c r="F110" i="137" s="1"/>
  <c r="J126" i="137"/>
  <c r="F98" i="137"/>
  <c r="F100" i="137" s="1"/>
  <c r="H148" i="137"/>
  <c r="H150" i="137" s="1"/>
  <c r="H134" i="155" s="1"/>
  <c r="H136" i="155" s="1"/>
  <c r="I134" i="137"/>
  <c r="I137" i="137" s="1"/>
  <c r="G134" i="137"/>
  <c r="G137" i="137" s="1"/>
  <c r="J134" i="137"/>
  <c r="J136" i="137" s="1"/>
  <c r="J148" i="137"/>
  <c r="J150" i="137" s="1"/>
  <c r="I138" i="137"/>
  <c r="I140" i="137" s="1"/>
  <c r="I125" i="155" s="1"/>
  <c r="I127" i="155" s="1"/>
  <c r="G138" i="137"/>
  <c r="G140" i="137" s="1"/>
  <c r="G125" i="155" s="1"/>
  <c r="G127" i="155" s="1"/>
  <c r="J138" i="137"/>
  <c r="J140" i="137" s="1"/>
  <c r="J125" i="155" s="1"/>
  <c r="J127" i="155" s="1"/>
  <c r="AG120" i="113"/>
  <c r="AI120" i="113"/>
  <c r="G131" i="137"/>
  <c r="K131" i="137"/>
  <c r="M117" i="125"/>
  <c r="L126" i="125"/>
  <c r="K108" i="137"/>
  <c r="I108" i="137"/>
  <c r="G108" i="137"/>
  <c r="J108" i="137"/>
  <c r="H108" i="137"/>
  <c r="O84" i="137"/>
  <c r="O124" i="137"/>
  <c r="K147" i="137"/>
  <c r="K146" i="137"/>
  <c r="F127" i="137"/>
  <c r="F126" i="137"/>
  <c r="L121" i="137"/>
  <c r="E128" i="125"/>
  <c r="F134" i="137"/>
  <c r="AL18" i="112"/>
  <c r="AM18" i="112" s="1"/>
  <c r="P39" i="113" s="1"/>
  <c r="AD123" i="113" s="1"/>
  <c r="M107" i="118"/>
  <c r="L99" i="125"/>
  <c r="M100" i="118"/>
  <c r="E121" i="125"/>
  <c r="L135" i="125"/>
  <c r="F136" i="125"/>
  <c r="M90" i="125"/>
  <c r="M81" i="125"/>
  <c r="K114" i="118"/>
  <c r="H141" i="125"/>
  <c r="H114" i="118"/>
  <c r="F141" i="125"/>
  <c r="F114" i="118"/>
  <c r="J141" i="125"/>
  <c r="J114" i="118"/>
  <c r="I141" i="125"/>
  <c r="I114" i="118"/>
  <c r="G141" i="125"/>
  <c r="G114" i="118"/>
  <c r="AJ18" i="112"/>
  <c r="Y123" i="113"/>
  <c r="Z123" i="113" s="1"/>
  <c r="X20" i="112"/>
  <c r="Z20" i="112" s="1"/>
  <c r="O121" i="125"/>
  <c r="AN18" i="112"/>
  <c r="AG19" i="112"/>
  <c r="AH19" i="112" s="1"/>
  <c r="P16" i="113"/>
  <c r="AA122" i="113" s="1"/>
  <c r="P60" i="113"/>
  <c r="AB122" i="113" s="1"/>
  <c r="P38" i="113"/>
  <c r="AD122" i="113" s="1"/>
  <c r="P82" i="113"/>
  <c r="AE122" i="113" s="1"/>
  <c r="W12" i="112"/>
  <c r="P37" i="113"/>
  <c r="AD121" i="113" s="1"/>
  <c r="P15" i="113"/>
  <c r="AA121" i="113" s="1"/>
  <c r="P81" i="113"/>
  <c r="AE121" i="113" s="1"/>
  <c r="P59" i="113"/>
  <c r="AB121" i="113" s="1"/>
  <c r="H118" i="118"/>
  <c r="H120" i="118" s="1"/>
  <c r="H121" i="118" s="1"/>
  <c r="H148" i="125" s="1"/>
  <c r="H155" i="125" s="1"/>
  <c r="H119" i="118"/>
  <c r="O112" i="118"/>
  <c r="P112" i="118" s="1"/>
  <c r="L112" i="118"/>
  <c r="F118" i="118"/>
  <c r="F120" i="118" s="1"/>
  <c r="F121" i="118" s="1"/>
  <c r="F148" i="125" s="1"/>
  <c r="F155" i="125" s="1"/>
  <c r="F119" i="118"/>
  <c r="L113" i="118"/>
  <c r="G118" i="118"/>
  <c r="G120" i="118" s="1"/>
  <c r="G121" i="118" s="1"/>
  <c r="G148" i="125" s="1"/>
  <c r="G155" i="125" s="1"/>
  <c r="G119" i="118"/>
  <c r="K118" i="118"/>
  <c r="K120" i="118" s="1"/>
  <c r="K121" i="118" s="1"/>
  <c r="K148" i="125" s="1"/>
  <c r="K155" i="125" s="1"/>
  <c r="K119" i="118"/>
  <c r="M106" i="118"/>
  <c r="J118" i="118"/>
  <c r="J120" i="118" s="1"/>
  <c r="J121" i="118" s="1"/>
  <c r="J148" i="125" s="1"/>
  <c r="J155" i="125" s="1"/>
  <c r="J119" i="118"/>
  <c r="I118" i="118"/>
  <c r="I120" i="118" s="1"/>
  <c r="I121" i="118" s="1"/>
  <c r="I148" i="125" s="1"/>
  <c r="I155" i="125" s="1"/>
  <c r="I119" i="118"/>
  <c r="I83" i="155" l="1"/>
  <c r="G87" i="155"/>
  <c r="I92" i="155"/>
  <c r="K83" i="155"/>
  <c r="J92" i="155"/>
  <c r="K92" i="155"/>
  <c r="G79" i="155"/>
  <c r="G83" i="155" s="1"/>
  <c r="P33" i="149"/>
  <c r="H88" i="155"/>
  <c r="H92" i="155" s="1"/>
  <c r="J87" i="155"/>
  <c r="I87" i="155"/>
  <c r="K87" i="155"/>
  <c r="J79" i="155"/>
  <c r="J83" i="155" s="1"/>
  <c r="H79" i="155"/>
  <c r="H83" i="155" s="1"/>
  <c r="I78" i="155"/>
  <c r="G92" i="155"/>
  <c r="F111" i="137"/>
  <c r="F112" i="137" s="1"/>
  <c r="F94" i="155" s="1"/>
  <c r="F96" i="155" s="1"/>
  <c r="F98" i="155"/>
  <c r="F100" i="155" s="1"/>
  <c r="F91" i="137"/>
  <c r="F92" i="137" s="1"/>
  <c r="F76" i="155" s="1"/>
  <c r="F80" i="155"/>
  <c r="F82" i="155" s="1"/>
  <c r="F101" i="137"/>
  <c r="L101" i="137" s="1"/>
  <c r="F89" i="155"/>
  <c r="F91" i="155" s="1"/>
  <c r="G136" i="137"/>
  <c r="J151" i="137"/>
  <c r="J152" i="137" s="1"/>
  <c r="J130" i="155" s="1"/>
  <c r="J133" i="155" s="1"/>
  <c r="J134" i="155"/>
  <c r="J136" i="155" s="1"/>
  <c r="G151" i="137"/>
  <c r="G152" i="137" s="1"/>
  <c r="G130" i="155" s="1"/>
  <c r="G133" i="155" s="1"/>
  <c r="G134" i="155"/>
  <c r="G136" i="155" s="1"/>
  <c r="D5" i="147"/>
  <c r="F5" i="147" s="1"/>
  <c r="P6" i="149"/>
  <c r="P69" i="149"/>
  <c r="P48" i="149"/>
  <c r="P27" i="149"/>
  <c r="D11" i="147"/>
  <c r="F11" i="147" s="1"/>
  <c r="L110" i="155"/>
  <c r="Q14" i="148" s="1"/>
  <c r="R14" i="148" s="1"/>
  <c r="Y116" i="149" s="1"/>
  <c r="I131" i="137"/>
  <c r="I132" i="137" s="1"/>
  <c r="I112" i="155" s="1"/>
  <c r="P75" i="149"/>
  <c r="P12" i="149"/>
  <c r="H132" i="137"/>
  <c r="H112" i="155" s="1"/>
  <c r="L91" i="137"/>
  <c r="O76" i="155" s="1"/>
  <c r="H151" i="137"/>
  <c r="H152" i="137" s="1"/>
  <c r="H130" i="155" s="1"/>
  <c r="G132" i="137"/>
  <c r="G112" i="155" s="1"/>
  <c r="K132" i="137"/>
  <c r="K112" i="155" s="1"/>
  <c r="I151" i="137"/>
  <c r="I152" i="137" s="1"/>
  <c r="I130" i="155" s="1"/>
  <c r="J131" i="137"/>
  <c r="K137" i="137"/>
  <c r="K141" i="137" s="1"/>
  <c r="K142" i="137" s="1"/>
  <c r="K121" i="155" s="1"/>
  <c r="K124" i="155" s="1"/>
  <c r="K128" i="155" s="1"/>
  <c r="I141" i="137"/>
  <c r="I142" i="137" s="1"/>
  <c r="I121" i="155" s="1"/>
  <c r="I124" i="155" s="1"/>
  <c r="I128" i="155" s="1"/>
  <c r="I136" i="137"/>
  <c r="J137" i="137"/>
  <c r="J141" i="137" s="1"/>
  <c r="J142" i="137" s="1"/>
  <c r="J121" i="155" s="1"/>
  <c r="J123" i="155" s="1"/>
  <c r="O103" i="155"/>
  <c r="K151" i="137"/>
  <c r="K152" i="137" s="1"/>
  <c r="K130" i="155" s="1"/>
  <c r="G141" i="137"/>
  <c r="G142" i="137" s="1"/>
  <c r="G121" i="155" s="1"/>
  <c r="G124" i="155" s="1"/>
  <c r="G128" i="155" s="1"/>
  <c r="I164" i="137"/>
  <c r="I167" i="137" s="1"/>
  <c r="G164" i="137"/>
  <c r="G166" i="137" s="1"/>
  <c r="E134" i="137"/>
  <c r="H137" i="137"/>
  <c r="H141" i="137" s="1"/>
  <c r="H142" i="137" s="1"/>
  <c r="H121" i="155" s="1"/>
  <c r="H124" i="155" s="1"/>
  <c r="H128" i="155" s="1"/>
  <c r="F148" i="137"/>
  <c r="F150" i="137" s="1"/>
  <c r="J164" i="137"/>
  <c r="J167" i="137" s="1"/>
  <c r="K164" i="137"/>
  <c r="K167" i="137" s="1"/>
  <c r="H164" i="137"/>
  <c r="H166" i="137" s="1"/>
  <c r="P61" i="113"/>
  <c r="AB123" i="113" s="1"/>
  <c r="H110" i="137"/>
  <c r="J110" i="137"/>
  <c r="G110" i="137"/>
  <c r="I110" i="137"/>
  <c r="K110" i="137"/>
  <c r="F131" i="137"/>
  <c r="P83" i="113"/>
  <c r="AE123" i="113" s="1"/>
  <c r="AF123" i="113" s="1"/>
  <c r="M121" i="137"/>
  <c r="Q14" i="120"/>
  <c r="M126" i="125"/>
  <c r="O134" i="137"/>
  <c r="O144" i="137"/>
  <c r="O104" i="137"/>
  <c r="F137" i="137"/>
  <c r="F141" i="137" s="1"/>
  <c r="F142" i="137" s="1"/>
  <c r="F121" i="155" s="1"/>
  <c r="F136" i="137"/>
  <c r="F164" i="137"/>
  <c r="E155" i="125"/>
  <c r="P17" i="113"/>
  <c r="AA123" i="113" s="1"/>
  <c r="D50" i="134"/>
  <c r="F50" i="134" s="1"/>
  <c r="AJ19" i="112"/>
  <c r="M99" i="125"/>
  <c r="J151" i="125"/>
  <c r="J153" i="125" s="1"/>
  <c r="J154" i="125" s="1"/>
  <c r="J150" i="125"/>
  <c r="F151" i="125"/>
  <c r="F153" i="125" s="1"/>
  <c r="F150" i="125"/>
  <c r="H151" i="125"/>
  <c r="H153" i="125" s="1"/>
  <c r="H154" i="125" s="1"/>
  <c r="H150" i="125"/>
  <c r="G151" i="125"/>
  <c r="G153" i="125" s="1"/>
  <c r="G154" i="125" s="1"/>
  <c r="G150" i="125"/>
  <c r="I151" i="125"/>
  <c r="I153" i="125" s="1"/>
  <c r="I154" i="125" s="1"/>
  <c r="I150" i="125"/>
  <c r="K151" i="125"/>
  <c r="K153" i="125" s="1"/>
  <c r="K154" i="125" s="1"/>
  <c r="K150" i="125"/>
  <c r="K141" i="125"/>
  <c r="E121" i="118"/>
  <c r="E148" i="125" s="1"/>
  <c r="E114" i="118"/>
  <c r="M114" i="118" s="1"/>
  <c r="AN19" i="112"/>
  <c r="AL19" i="112"/>
  <c r="AM19" i="112" s="1"/>
  <c r="AC122" i="113"/>
  <c r="AG20" i="112"/>
  <c r="AF122" i="113"/>
  <c r="X12" i="112"/>
  <c r="Z12" i="112" s="1"/>
  <c r="O130" i="125"/>
  <c r="M135" i="125" s="1"/>
  <c r="Y124" i="113"/>
  <c r="Z124" i="113" s="1"/>
  <c r="W13" i="112"/>
  <c r="M161" i="137" s="1"/>
  <c r="M113" i="118"/>
  <c r="AC121" i="113"/>
  <c r="AF121" i="113"/>
  <c r="G125" i="118"/>
  <c r="G127" i="118" s="1"/>
  <c r="G128" i="118" s="1"/>
  <c r="G157" i="125" s="1"/>
  <c r="G164" i="125" s="1"/>
  <c r="G126" i="118"/>
  <c r="O119" i="118"/>
  <c r="P119" i="118" s="1"/>
  <c r="L119" i="118"/>
  <c r="L120" i="118"/>
  <c r="F125" i="118"/>
  <c r="F127" i="118" s="1"/>
  <c r="F128" i="118" s="1"/>
  <c r="F126" i="118"/>
  <c r="I125" i="118"/>
  <c r="I127" i="118" s="1"/>
  <c r="I128" i="118" s="1"/>
  <c r="I157" i="125" s="1"/>
  <c r="I164" i="125" s="1"/>
  <c r="I126" i="118"/>
  <c r="J125" i="118"/>
  <c r="J127" i="118" s="1"/>
  <c r="J128" i="118" s="1"/>
  <c r="J157" i="125" s="1"/>
  <c r="J164" i="125" s="1"/>
  <c r="J126" i="118"/>
  <c r="K125" i="118"/>
  <c r="K127" i="118" s="1"/>
  <c r="K128" i="118" s="1"/>
  <c r="K157" i="125" s="1"/>
  <c r="K164" i="125" s="1"/>
  <c r="K126" i="118"/>
  <c r="H125" i="118"/>
  <c r="H127" i="118" s="1"/>
  <c r="H128" i="118" s="1"/>
  <c r="H157" i="125" s="1"/>
  <c r="H164" i="125" s="1"/>
  <c r="H126" i="118"/>
  <c r="AC123" i="113" l="1"/>
  <c r="G137" i="155"/>
  <c r="J137" i="155"/>
  <c r="F97" i="155"/>
  <c r="F101" i="155" s="1"/>
  <c r="F102" i="137"/>
  <c r="F85" i="155" s="1"/>
  <c r="F87" i="155" s="1"/>
  <c r="M91" i="137"/>
  <c r="G123" i="155"/>
  <c r="Q11" i="120"/>
  <c r="J132" i="155"/>
  <c r="G132" i="155"/>
  <c r="J124" i="155"/>
  <c r="J128" i="155" s="1"/>
  <c r="O85" i="155"/>
  <c r="Q12" i="120"/>
  <c r="I111" i="137"/>
  <c r="I112" i="137" s="1"/>
  <c r="I94" i="155" s="1"/>
  <c r="I96" i="155" s="1"/>
  <c r="I98" i="155"/>
  <c r="I100" i="155" s="1"/>
  <c r="G111" i="137"/>
  <c r="G112" i="137" s="1"/>
  <c r="G94" i="155" s="1"/>
  <c r="G96" i="155" s="1"/>
  <c r="G98" i="155"/>
  <c r="G100" i="155" s="1"/>
  <c r="I123" i="155"/>
  <c r="M110" i="155"/>
  <c r="J111" i="137"/>
  <c r="J112" i="137" s="1"/>
  <c r="J94" i="155" s="1"/>
  <c r="J96" i="155" s="1"/>
  <c r="J98" i="155"/>
  <c r="J100" i="155" s="1"/>
  <c r="K111" i="137"/>
  <c r="K112" i="137" s="1"/>
  <c r="K94" i="155" s="1"/>
  <c r="K96" i="155" s="1"/>
  <c r="K98" i="155"/>
  <c r="K100" i="155" s="1"/>
  <c r="H111" i="137"/>
  <c r="H112" i="137" s="1"/>
  <c r="H94" i="155" s="1"/>
  <c r="H96" i="155" s="1"/>
  <c r="H98" i="155"/>
  <c r="H100" i="155" s="1"/>
  <c r="F151" i="137"/>
  <c r="F152" i="137" s="1"/>
  <c r="F130" i="155" s="1"/>
  <c r="F132" i="155" s="1"/>
  <c r="F134" i="155"/>
  <c r="F136" i="155" s="1"/>
  <c r="K123" i="155"/>
  <c r="H123" i="155"/>
  <c r="I133" i="155"/>
  <c r="I137" i="155" s="1"/>
  <c r="I132" i="155"/>
  <c r="H132" i="155"/>
  <c r="H133" i="155"/>
  <c r="H137" i="155" s="1"/>
  <c r="F79" i="155"/>
  <c r="F83" i="155" s="1"/>
  <c r="L83" i="155" s="1"/>
  <c r="F78" i="155"/>
  <c r="E76" i="155"/>
  <c r="E121" i="155"/>
  <c r="F124" i="155"/>
  <c r="F128" i="155" s="1"/>
  <c r="F123" i="155"/>
  <c r="K133" i="155"/>
  <c r="K137" i="155" s="1"/>
  <c r="K132" i="155"/>
  <c r="K115" i="155"/>
  <c r="K119" i="155" s="1"/>
  <c r="K114" i="155"/>
  <c r="I115" i="155"/>
  <c r="I119" i="155" s="1"/>
  <c r="I114" i="155"/>
  <c r="H115" i="155"/>
  <c r="H119" i="155" s="1"/>
  <c r="H114" i="155"/>
  <c r="G114" i="155"/>
  <c r="G115" i="155"/>
  <c r="G119" i="155" s="1"/>
  <c r="M101" i="137"/>
  <c r="L131" i="137"/>
  <c r="O112" i="155" s="1"/>
  <c r="F132" i="137"/>
  <c r="F112" i="155" s="1"/>
  <c r="O12" i="119"/>
  <c r="J132" i="137"/>
  <c r="J112" i="155" s="1"/>
  <c r="J166" i="137"/>
  <c r="K166" i="137"/>
  <c r="G167" i="137"/>
  <c r="Z14" i="148"/>
  <c r="AA14" i="148" s="1"/>
  <c r="AB14" i="148" s="1"/>
  <c r="H167" i="137"/>
  <c r="I166" i="137"/>
  <c r="T14" i="148"/>
  <c r="U14" i="148"/>
  <c r="Y14" i="148" s="1"/>
  <c r="P58" i="149" s="1"/>
  <c r="G174" i="137"/>
  <c r="G177" i="137" s="1"/>
  <c r="I174" i="137"/>
  <c r="I177" i="137" s="1"/>
  <c r="K168" i="137"/>
  <c r="K170" i="137" s="1"/>
  <c r="K152" i="155" s="1"/>
  <c r="K154" i="155" s="1"/>
  <c r="J174" i="137"/>
  <c r="J177" i="137" s="1"/>
  <c r="H168" i="137"/>
  <c r="H170" i="137" s="1"/>
  <c r="H152" i="155" s="1"/>
  <c r="H154" i="155" s="1"/>
  <c r="I168" i="137"/>
  <c r="I170" i="137" s="1"/>
  <c r="E164" i="137"/>
  <c r="J168" i="137"/>
  <c r="J170" i="137" s="1"/>
  <c r="H174" i="137"/>
  <c r="H177" i="137" s="1"/>
  <c r="K174" i="137"/>
  <c r="K177" i="137" s="1"/>
  <c r="G168" i="137"/>
  <c r="G170" i="137" s="1"/>
  <c r="G152" i="155" s="1"/>
  <c r="G154" i="155" s="1"/>
  <c r="Q15" i="120"/>
  <c r="F167" i="137"/>
  <c r="F166" i="137"/>
  <c r="L141" i="137"/>
  <c r="AI123" i="113"/>
  <c r="P84" i="113"/>
  <c r="AE124" i="113" s="1"/>
  <c r="D51" i="134"/>
  <c r="F51" i="134" s="1"/>
  <c r="M121" i="118"/>
  <c r="AI122" i="113"/>
  <c r="AG123" i="113"/>
  <c r="K160" i="125"/>
  <c r="K162" i="125" s="1"/>
  <c r="K163" i="125" s="1"/>
  <c r="K159" i="125"/>
  <c r="I160" i="125"/>
  <c r="I162" i="125" s="1"/>
  <c r="I163" i="125" s="1"/>
  <c r="I159" i="125"/>
  <c r="F154" i="125"/>
  <c r="L153" i="125"/>
  <c r="H160" i="125"/>
  <c r="H162" i="125" s="1"/>
  <c r="H163" i="125" s="1"/>
  <c r="H159" i="125"/>
  <c r="J160" i="125"/>
  <c r="J162" i="125" s="1"/>
  <c r="J163" i="125" s="1"/>
  <c r="J159" i="125"/>
  <c r="F157" i="125"/>
  <c r="F164" i="125" s="1"/>
  <c r="E128" i="118"/>
  <c r="E157" i="125" s="1"/>
  <c r="G160" i="125"/>
  <c r="G162" i="125" s="1"/>
  <c r="G163" i="125" s="1"/>
  <c r="G159" i="125"/>
  <c r="P62" i="113"/>
  <c r="AB124" i="113" s="1"/>
  <c r="P40" i="113"/>
  <c r="AD124" i="113" s="1"/>
  <c r="P18" i="113"/>
  <c r="AA124" i="113" s="1"/>
  <c r="AG122" i="113"/>
  <c r="AG12" i="112"/>
  <c r="AH12" i="112" s="1"/>
  <c r="AH20" i="112"/>
  <c r="X13" i="112"/>
  <c r="Z13" i="112" s="1"/>
  <c r="O139" i="125"/>
  <c r="M144" i="125" s="1"/>
  <c r="W14" i="112"/>
  <c r="M120" i="118"/>
  <c r="L127" i="118"/>
  <c r="M128" i="118" s="1"/>
  <c r="AI121" i="113"/>
  <c r="AG121" i="113"/>
  <c r="O126" i="118"/>
  <c r="P126" i="118" s="1"/>
  <c r="L126" i="118"/>
  <c r="I97" i="155" l="1"/>
  <c r="K171" i="137"/>
  <c r="K172" i="137" s="1"/>
  <c r="K148" i="155" s="1"/>
  <c r="K150" i="155" s="1"/>
  <c r="J97" i="155"/>
  <c r="J101" i="155" s="1"/>
  <c r="L128" i="155"/>
  <c r="Q16" i="148" s="1"/>
  <c r="R16" i="148" s="1"/>
  <c r="Y118" i="149" s="1"/>
  <c r="M131" i="137"/>
  <c r="E85" i="155"/>
  <c r="F88" i="155"/>
  <c r="F92" i="155" s="1"/>
  <c r="L92" i="155" s="1"/>
  <c r="Q12" i="148" s="1"/>
  <c r="R12" i="148" s="1"/>
  <c r="Y114" i="149" s="1"/>
  <c r="H97" i="155"/>
  <c r="H101" i="155" s="1"/>
  <c r="F133" i="155"/>
  <c r="F137" i="155" s="1"/>
  <c r="L137" i="155" s="1"/>
  <c r="Q17" i="148" s="1"/>
  <c r="R17" i="148" s="1"/>
  <c r="K97" i="155"/>
  <c r="K101" i="155" s="1"/>
  <c r="G97" i="155"/>
  <c r="G101" i="155" s="1"/>
  <c r="E130" i="155"/>
  <c r="E94" i="155"/>
  <c r="L111" i="137"/>
  <c r="M111" i="137" s="1"/>
  <c r="L151" i="137"/>
  <c r="O130" i="155" s="1"/>
  <c r="I101" i="155"/>
  <c r="J171" i="137"/>
  <c r="J172" i="137" s="1"/>
  <c r="J148" i="155" s="1"/>
  <c r="J150" i="155" s="1"/>
  <c r="J152" i="155"/>
  <c r="J154" i="155" s="1"/>
  <c r="I171" i="137"/>
  <c r="I172" i="137" s="1"/>
  <c r="I148" i="155" s="1"/>
  <c r="I151" i="155" s="1"/>
  <c r="I152" i="155"/>
  <c r="I154" i="155" s="1"/>
  <c r="E112" i="155"/>
  <c r="K151" i="155"/>
  <c r="K155" i="155" s="1"/>
  <c r="P79" i="149"/>
  <c r="H171" i="137"/>
  <c r="H172" i="137" s="1"/>
  <c r="H148" i="155" s="1"/>
  <c r="J115" i="155"/>
  <c r="J119" i="155" s="1"/>
  <c r="J114" i="155"/>
  <c r="F115" i="155"/>
  <c r="F119" i="155" s="1"/>
  <c r="F114" i="155"/>
  <c r="Q11" i="148"/>
  <c r="R11" i="148" s="1"/>
  <c r="M83" i="155"/>
  <c r="P37" i="149"/>
  <c r="G171" i="137"/>
  <c r="G172" i="137" s="1"/>
  <c r="G148" i="155" s="1"/>
  <c r="H176" i="137"/>
  <c r="I176" i="137"/>
  <c r="D15" i="147"/>
  <c r="F15" i="147" s="1"/>
  <c r="J176" i="137"/>
  <c r="P16" i="149"/>
  <c r="O121" i="155"/>
  <c r="G176" i="137"/>
  <c r="K176" i="137"/>
  <c r="K178" i="137"/>
  <c r="K180" i="137" s="1"/>
  <c r="J178" i="137"/>
  <c r="J180" i="137" s="1"/>
  <c r="H178" i="137"/>
  <c r="H180" i="137" s="1"/>
  <c r="O164" i="137"/>
  <c r="G178" i="137"/>
  <c r="G180" i="137" s="1"/>
  <c r="F168" i="137"/>
  <c r="F170" i="137" s="1"/>
  <c r="I178" i="137"/>
  <c r="I180" i="137" s="1"/>
  <c r="B13" i="90"/>
  <c r="M141" i="137"/>
  <c r="Q16" i="120"/>
  <c r="AF124" i="113"/>
  <c r="E164" i="125"/>
  <c r="F174" i="137"/>
  <c r="F160" i="125"/>
  <c r="F162" i="125" s="1"/>
  <c r="F159" i="125"/>
  <c r="AC124" i="113"/>
  <c r="X14" i="112"/>
  <c r="Z14" i="112" s="1"/>
  <c r="O148" i="125"/>
  <c r="M153" i="125" s="1"/>
  <c r="Y126" i="113"/>
  <c r="Z126" i="113" s="1"/>
  <c r="AG13" i="112"/>
  <c r="AH13" i="112" s="1"/>
  <c r="Y125" i="113"/>
  <c r="Z125" i="113" s="1"/>
  <c r="AJ20" i="112"/>
  <c r="AN20" i="112"/>
  <c r="AL20" i="112"/>
  <c r="AM20" i="112" s="1"/>
  <c r="D52" i="134" s="1"/>
  <c r="F52" i="134" s="1"/>
  <c r="L131" i="118"/>
  <c r="M127" i="118"/>
  <c r="W15" i="112"/>
  <c r="AJ12" i="112"/>
  <c r="AN12" i="112"/>
  <c r="AL12" i="112"/>
  <c r="O94" i="155" l="1"/>
  <c r="T12" i="148"/>
  <c r="M128" i="155"/>
  <c r="Z12" i="148"/>
  <c r="AA12" i="148" s="1"/>
  <c r="AB12" i="148" s="1"/>
  <c r="U12" i="148"/>
  <c r="Y12" i="148" s="1"/>
  <c r="P56" i="149" s="1"/>
  <c r="M92" i="155"/>
  <c r="Q13" i="120"/>
  <c r="L101" i="155"/>
  <c r="Q13" i="148" s="1"/>
  <c r="R13" i="148" s="1"/>
  <c r="I155" i="155"/>
  <c r="J151" i="155"/>
  <c r="J155" i="155" s="1"/>
  <c r="Q17" i="120"/>
  <c r="M151" i="137"/>
  <c r="H181" i="137"/>
  <c r="H182" i="137" s="1"/>
  <c r="H157" i="155" s="1"/>
  <c r="H160" i="155" s="1"/>
  <c r="H161" i="155"/>
  <c r="H163" i="155" s="1"/>
  <c r="K181" i="137"/>
  <c r="K182" i="137" s="1"/>
  <c r="K157" i="155" s="1"/>
  <c r="K160" i="155" s="1"/>
  <c r="K161" i="155"/>
  <c r="K163" i="155" s="1"/>
  <c r="F171" i="137"/>
  <c r="L171" i="137" s="1"/>
  <c r="O148" i="155" s="1"/>
  <c r="F152" i="155"/>
  <c r="F154" i="155" s="1"/>
  <c r="I181" i="137"/>
  <c r="I182" i="137" s="1"/>
  <c r="I157" i="155" s="1"/>
  <c r="I160" i="155" s="1"/>
  <c r="I161" i="155"/>
  <c r="I163" i="155" s="1"/>
  <c r="G181" i="137"/>
  <c r="G182" i="137" s="1"/>
  <c r="G157" i="155" s="1"/>
  <c r="G160" i="155" s="1"/>
  <c r="G161" i="155"/>
  <c r="G163" i="155" s="1"/>
  <c r="I150" i="155"/>
  <c r="J181" i="137"/>
  <c r="J182" i="137" s="1"/>
  <c r="J157" i="155" s="1"/>
  <c r="J160" i="155" s="1"/>
  <c r="J161" i="155"/>
  <c r="J163" i="155" s="1"/>
  <c r="M137" i="155"/>
  <c r="Y119" i="149"/>
  <c r="U17" i="148"/>
  <c r="Y17" i="148" s="1"/>
  <c r="P40" i="149" s="1"/>
  <c r="T17" i="148"/>
  <c r="Z17" i="148"/>
  <c r="AA17" i="148" s="1"/>
  <c r="AB17" i="148" s="1"/>
  <c r="L119" i="155"/>
  <c r="M119" i="155" s="1"/>
  <c r="H151" i="155"/>
  <c r="H155" i="155" s="1"/>
  <c r="H150" i="155"/>
  <c r="G151" i="155"/>
  <c r="G155" i="155" s="1"/>
  <c r="G150" i="155"/>
  <c r="Y113" i="149"/>
  <c r="Z11" i="148"/>
  <c r="AA11" i="148" s="1"/>
  <c r="AB11" i="148" s="1"/>
  <c r="T11" i="148"/>
  <c r="U11" i="148"/>
  <c r="Y11" i="148" s="1"/>
  <c r="U16" i="148"/>
  <c r="Y16" i="148" s="1"/>
  <c r="P81" i="149" s="1"/>
  <c r="Z16" i="148"/>
  <c r="AA16" i="148" s="1"/>
  <c r="AB16" i="148" s="1"/>
  <c r="T16" i="148"/>
  <c r="E174" i="137"/>
  <c r="G13" i="90"/>
  <c r="B20" i="90"/>
  <c r="AG124" i="113"/>
  <c r="F177" i="137"/>
  <c r="F176" i="137"/>
  <c r="L169" i="125"/>
  <c r="AI124" i="113"/>
  <c r="F163" i="125"/>
  <c r="L162" i="125"/>
  <c r="P41" i="113"/>
  <c r="AD125" i="113" s="1"/>
  <c r="P85" i="113"/>
  <c r="AE125" i="113" s="1"/>
  <c r="P63" i="113"/>
  <c r="AB125" i="113" s="1"/>
  <c r="P19" i="113"/>
  <c r="AA125" i="113" s="1"/>
  <c r="AL13" i="112"/>
  <c r="AM13" i="112" s="1"/>
  <c r="D54" i="134" s="1"/>
  <c r="F54" i="134" s="1"/>
  <c r="Y127" i="113"/>
  <c r="Z127" i="113" s="1"/>
  <c r="AN13" i="112"/>
  <c r="AJ13" i="112"/>
  <c r="X15" i="112"/>
  <c r="Z15" i="112" s="1"/>
  <c r="O157" i="125"/>
  <c r="AG14" i="112"/>
  <c r="W25" i="112"/>
  <c r="AM12" i="112"/>
  <c r="D53" i="134" s="1"/>
  <c r="F53" i="134" s="1"/>
  <c r="Q15" i="148" l="1"/>
  <c r="R15" i="148" s="1"/>
  <c r="K159" i="155"/>
  <c r="P14" i="149"/>
  <c r="P77" i="149"/>
  <c r="D13" i="147"/>
  <c r="F13" i="147" s="1"/>
  <c r="P35" i="149"/>
  <c r="H159" i="155"/>
  <c r="J159" i="155"/>
  <c r="I159" i="155"/>
  <c r="P82" i="149"/>
  <c r="M101" i="155"/>
  <c r="G159" i="155"/>
  <c r="F172" i="137"/>
  <c r="F148" i="155" s="1"/>
  <c r="E148" i="155" s="1"/>
  <c r="G164" i="155"/>
  <c r="H164" i="155"/>
  <c r="J164" i="155"/>
  <c r="I164" i="155"/>
  <c r="K164" i="155"/>
  <c r="D17" i="147"/>
  <c r="F17" i="147" s="1"/>
  <c r="P61" i="149"/>
  <c r="M171" i="137"/>
  <c r="Q19" i="120"/>
  <c r="P39" i="149"/>
  <c r="P19" i="149"/>
  <c r="D18" i="147"/>
  <c r="F18" i="147" s="1"/>
  <c r="P76" i="149"/>
  <c r="P13" i="149"/>
  <c r="P55" i="149"/>
  <c r="D12" i="147"/>
  <c r="F12" i="147" s="1"/>
  <c r="P34" i="149"/>
  <c r="Y117" i="149"/>
  <c r="Z15" i="148"/>
  <c r="AA15" i="148" s="1"/>
  <c r="AB15" i="148" s="1"/>
  <c r="U15" i="148"/>
  <c r="Y15" i="148" s="1"/>
  <c r="T15" i="148"/>
  <c r="P60" i="149"/>
  <c r="P18" i="149"/>
  <c r="O174" i="137"/>
  <c r="F178" i="137"/>
  <c r="F180" i="137" s="1"/>
  <c r="G15" i="90"/>
  <c r="G19" i="90" s="1"/>
  <c r="G32" i="90" s="1"/>
  <c r="Y115" i="149"/>
  <c r="U13" i="148"/>
  <c r="Y13" i="148" s="1"/>
  <c r="Z13" i="148"/>
  <c r="AA13" i="148" s="1"/>
  <c r="T13" i="148"/>
  <c r="AH14" i="112"/>
  <c r="AJ14" i="112" s="1"/>
  <c r="M162" i="125"/>
  <c r="L167" i="125"/>
  <c r="AC125" i="113"/>
  <c r="X25" i="112"/>
  <c r="AG15" i="112"/>
  <c r="AG25" i="112" s="1"/>
  <c r="P43" i="113"/>
  <c r="AD127" i="113" s="1"/>
  <c r="P21" i="113"/>
  <c r="AA127" i="113" s="1"/>
  <c r="P65" i="113"/>
  <c r="AB127" i="113" s="1"/>
  <c r="P87" i="113"/>
  <c r="AE127" i="113" s="1"/>
  <c r="AF125" i="113"/>
  <c r="P42" i="113"/>
  <c r="AD126" i="113" s="1"/>
  <c r="P86" i="113"/>
  <c r="AE126" i="113" s="1"/>
  <c r="P64" i="113"/>
  <c r="AB126" i="113" s="1"/>
  <c r="P20" i="113"/>
  <c r="AA126" i="113" s="1"/>
  <c r="F151" i="155" l="1"/>
  <c r="F155" i="155" s="1"/>
  <c r="L155" i="155" s="1"/>
  <c r="Q19" i="148" s="1"/>
  <c r="R19" i="148" s="1"/>
  <c r="Y121" i="149" s="1"/>
  <c r="F150" i="155"/>
  <c r="F181" i="137"/>
  <c r="L181" i="137" s="1"/>
  <c r="O157" i="155" s="1"/>
  <c r="F161" i="155"/>
  <c r="F163" i="155" s="1"/>
  <c r="P38" i="149"/>
  <c r="P17" i="149"/>
  <c r="P80" i="149"/>
  <c r="P59" i="149"/>
  <c r="D16" i="147"/>
  <c r="F16" i="147" s="1"/>
  <c r="P57" i="149"/>
  <c r="P78" i="149"/>
  <c r="D14" i="147"/>
  <c r="F14" i="147" s="1"/>
  <c r="P15" i="149"/>
  <c r="P36" i="149"/>
  <c r="AB13" i="148"/>
  <c r="L171" i="125"/>
  <c r="L187" i="137"/>
  <c r="AL14" i="112"/>
  <c r="AM14" i="112" s="1"/>
  <c r="D55" i="134" s="1"/>
  <c r="F55" i="134" s="1"/>
  <c r="Y128" i="113"/>
  <c r="Z128" i="113" s="1"/>
  <c r="AN14" i="112"/>
  <c r="AH15" i="112"/>
  <c r="Y129" i="113" s="1"/>
  <c r="Z129" i="113" s="1"/>
  <c r="AI125" i="113"/>
  <c r="AG125" i="113"/>
  <c r="AC127" i="113"/>
  <c r="AF127" i="113"/>
  <c r="AC126" i="113"/>
  <c r="AF126" i="113"/>
  <c r="F182" i="137" l="1"/>
  <c r="F157" i="155" s="1"/>
  <c r="U19" i="148"/>
  <c r="Y19" i="148" s="1"/>
  <c r="P63" i="149" s="1"/>
  <c r="T19" i="148"/>
  <c r="M155" i="155"/>
  <c r="Z19" i="148"/>
  <c r="AA19" i="148" s="1"/>
  <c r="Q20" i="120"/>
  <c r="M181" i="137"/>
  <c r="L185" i="137"/>
  <c r="L169" i="155" s="1"/>
  <c r="E157" i="155"/>
  <c r="F160" i="155"/>
  <c r="F164" i="155" s="1"/>
  <c r="L164" i="155" s="1"/>
  <c r="F159" i="155"/>
  <c r="Z131" i="113"/>
  <c r="P66" i="113"/>
  <c r="AB128" i="113" s="1"/>
  <c r="P22" i="113"/>
  <c r="AA128" i="113" s="1"/>
  <c r="P44" i="113"/>
  <c r="AD128" i="113" s="1"/>
  <c r="P88" i="113"/>
  <c r="AE128" i="113" s="1"/>
  <c r="AJ15" i="112"/>
  <c r="AH25" i="112"/>
  <c r="AL15" i="112"/>
  <c r="AL25" i="112" s="1"/>
  <c r="AN15" i="112"/>
  <c r="Y131" i="113"/>
  <c r="AG127" i="113"/>
  <c r="AI127" i="113"/>
  <c r="AI126" i="113"/>
  <c r="AG126" i="113"/>
  <c r="P21" i="149" l="1"/>
  <c r="P84" i="149"/>
  <c r="P42" i="149"/>
  <c r="D20" i="147"/>
  <c r="F20" i="147" s="1"/>
  <c r="L189" i="137"/>
  <c r="Q20" i="148"/>
  <c r="M164" i="155"/>
  <c r="L167" i="155"/>
  <c r="L171" i="155" s="1"/>
  <c r="AB19" i="148"/>
  <c r="AF128" i="113"/>
  <c r="AC128" i="113"/>
  <c r="C4" i="124"/>
  <c r="AH29" i="112"/>
  <c r="D4" i="111"/>
  <c r="D16" i="111" s="1"/>
  <c r="D19" i="111" s="1"/>
  <c r="F19" i="111" s="1"/>
  <c r="AM15" i="112"/>
  <c r="R20" i="148" l="1"/>
  <c r="Q22" i="148"/>
  <c r="AI128" i="113"/>
  <c r="AG128" i="113"/>
  <c r="P67" i="113"/>
  <c r="AB129" i="113" s="1"/>
  <c r="AB131" i="113" s="1"/>
  <c r="D56" i="134"/>
  <c r="F56" i="134" s="1"/>
  <c r="F58" i="134" s="1"/>
  <c r="C8" i="124"/>
  <c r="P23" i="113"/>
  <c r="AA129" i="113" s="1"/>
  <c r="P89" i="113"/>
  <c r="AE129" i="113" s="1"/>
  <c r="AE131" i="113" s="1"/>
  <c r="P45" i="113"/>
  <c r="AD129" i="113" s="1"/>
  <c r="AD131" i="113" s="1"/>
  <c r="F4" i="111"/>
  <c r="F16" i="111" s="1"/>
  <c r="Q22" i="120"/>
  <c r="Q72" i="148" l="1"/>
  <c r="Q74" i="148" s="1"/>
  <c r="Q24" i="148"/>
  <c r="Y122" i="149"/>
  <c r="U20" i="148"/>
  <c r="R22" i="148"/>
  <c r="T20" i="148"/>
  <c r="Z20" i="148"/>
  <c r="AC129" i="113"/>
  <c r="AC131" i="113" s="1"/>
  <c r="C17" i="124"/>
  <c r="C25" i="124" s="1"/>
  <c r="AA131" i="113"/>
  <c r="AF129" i="113"/>
  <c r="AF131" i="113" s="1"/>
  <c r="Y20" i="148" l="1"/>
  <c r="C17" i="58" s="1"/>
  <c r="E19" i="58"/>
  <c r="R72" i="148"/>
  <c r="P85" i="149"/>
  <c r="P64" i="149"/>
  <c r="D21" i="147"/>
  <c r="F21" i="147" s="1"/>
  <c r="F23" i="147" s="1"/>
  <c r="E7" i="151" s="1"/>
  <c r="P43" i="149"/>
  <c r="P22" i="149"/>
  <c r="AA20" i="148"/>
  <c r="Z22" i="148"/>
  <c r="AG129" i="113"/>
  <c r="AG131" i="113" s="1"/>
  <c r="AI129" i="113"/>
  <c r="AI131" i="113" s="1"/>
  <c r="AB20" i="148" l="1"/>
  <c r="AA22" i="148"/>
  <c r="E4" i="151" s="1"/>
  <c r="I69" i="128"/>
  <c r="M69" i="128"/>
  <c r="G69" i="128" s="1"/>
  <c r="K69" i="128" s="1"/>
  <c r="AG22" i="127" l="1"/>
  <c r="AJ22" i="127" s="1"/>
  <c r="AG14" i="127"/>
  <c r="AJ14" i="127" s="1"/>
  <c r="AG17" i="127"/>
  <c r="AJ17" i="127" s="1"/>
  <c r="AG11" i="127"/>
  <c r="AJ11" i="127" s="1"/>
  <c r="AG8" i="127"/>
  <c r="AJ8" i="127" s="1"/>
  <c r="AG5" i="127"/>
  <c r="AJ5" i="127" s="1"/>
  <c r="P69" i="128"/>
  <c r="R69" i="128" s="1"/>
  <c r="AK11" i="127" l="1"/>
  <c r="AL11" i="127"/>
  <c r="AK5" i="127"/>
  <c r="AL5" i="127"/>
  <c r="AK14" i="127"/>
  <c r="AL14" i="127"/>
  <c r="AK8" i="127"/>
  <c r="AL8" i="127"/>
  <c r="AK17" i="127"/>
  <c r="AL17" i="127"/>
  <c r="AK22" i="127"/>
  <c r="AL22" i="127"/>
  <c r="L81" i="133"/>
  <c r="N81" i="133" s="1"/>
  <c r="L51" i="133"/>
  <c r="E113" i="133" s="1"/>
  <c r="L66" i="133"/>
  <c r="N66" i="133" s="1"/>
  <c r="L31" i="133"/>
  <c r="N31" i="133" s="1"/>
  <c r="L12" i="133"/>
  <c r="N12" i="133" s="1"/>
  <c r="L11" i="133"/>
  <c r="N11" i="133" s="1"/>
  <c r="L50" i="133"/>
  <c r="N50" i="133" s="1"/>
  <c r="L32" i="133"/>
  <c r="G116" i="133" s="1"/>
  <c r="L6" i="133"/>
  <c r="N6" i="133" s="1"/>
  <c r="L78" i="133"/>
  <c r="N78" i="133" s="1"/>
  <c r="L73" i="133"/>
  <c r="N73" i="133" s="1"/>
  <c r="L55" i="133"/>
  <c r="E117" i="133" s="1"/>
  <c r="L74" i="133"/>
  <c r="H114" i="133" s="1"/>
  <c r="L79" i="133"/>
  <c r="H119" i="133" s="1"/>
  <c r="L76" i="133"/>
  <c r="N76" i="133" s="1"/>
  <c r="L53" i="133"/>
  <c r="E115" i="133" s="1"/>
  <c r="L83" i="133"/>
  <c r="H123" i="133" s="1"/>
  <c r="L84" i="133"/>
  <c r="N84" i="133" s="1"/>
  <c r="L88" i="133"/>
  <c r="N88" i="133" s="1"/>
  <c r="L28" i="133"/>
  <c r="N28" i="133" s="1"/>
  <c r="L87" i="133"/>
  <c r="H127" i="133" s="1"/>
  <c r="L89" i="133"/>
  <c r="N89" i="133" s="1"/>
  <c r="L82" i="133"/>
  <c r="H122" i="133" s="1"/>
  <c r="L85" i="133"/>
  <c r="H125" i="133" s="1"/>
  <c r="L65" i="133"/>
  <c r="E127" i="133" s="1"/>
  <c r="L57" i="133"/>
  <c r="N57" i="133" s="1"/>
  <c r="L8" i="133"/>
  <c r="N8" i="133" s="1"/>
  <c r="L44" i="133"/>
  <c r="N44" i="133" s="1"/>
  <c r="L35" i="133"/>
  <c r="N35" i="133" s="1"/>
  <c r="L63" i="133"/>
  <c r="E125" i="133" s="1"/>
  <c r="L61" i="133"/>
  <c r="N61" i="133" s="1"/>
  <c r="L16" i="133"/>
  <c r="N16" i="133" s="1"/>
  <c r="L20" i="133"/>
  <c r="N20" i="133" s="1"/>
  <c r="L7" i="133"/>
  <c r="L13" i="133"/>
  <c r="N13" i="133" s="1"/>
  <c r="L22" i="133"/>
  <c r="D128" i="133" s="1"/>
  <c r="L17" i="133"/>
  <c r="N17" i="133" s="1"/>
  <c r="L14" i="133"/>
  <c r="N14" i="133" s="1"/>
  <c r="L40" i="133"/>
  <c r="N40" i="133" s="1"/>
  <c r="L67" i="133"/>
  <c r="N67" i="133" s="1"/>
  <c r="L58" i="133"/>
  <c r="N58" i="133" s="1"/>
  <c r="L29" i="133"/>
  <c r="G113" i="133" s="1"/>
  <c r="L33" i="133"/>
  <c r="N33" i="133" s="1"/>
  <c r="L34" i="133"/>
  <c r="N34" i="133" s="1"/>
  <c r="L42" i="133"/>
  <c r="N42" i="133" s="1"/>
  <c r="L15" i="133"/>
  <c r="N15" i="133" s="1"/>
  <c r="L10" i="133"/>
  <c r="N10" i="133" s="1"/>
  <c r="L75" i="133"/>
  <c r="N75" i="133" s="1"/>
  <c r="L39" i="133"/>
  <c r="N39" i="133" s="1"/>
  <c r="L64" i="133"/>
  <c r="E126" i="133" s="1"/>
  <c r="L18" i="133"/>
  <c r="N18" i="133" s="1"/>
  <c r="L80" i="133"/>
  <c r="N80" i="133" s="1"/>
  <c r="L86" i="133"/>
  <c r="H126" i="133" s="1"/>
  <c r="L54" i="133"/>
  <c r="E116" i="133" s="1"/>
  <c r="L59" i="133"/>
  <c r="N59" i="133" s="1"/>
  <c r="L52" i="133"/>
  <c r="N52" i="133" s="1"/>
  <c r="L60" i="133"/>
  <c r="N60" i="133" s="1"/>
  <c r="L38" i="133"/>
  <c r="N38" i="133" s="1"/>
  <c r="L56" i="133"/>
  <c r="E118" i="133" s="1"/>
  <c r="L21" i="133"/>
  <c r="N21" i="133" s="1"/>
  <c r="L9" i="133"/>
  <c r="N9" i="133" s="1"/>
  <c r="L19" i="133"/>
  <c r="D125" i="133" s="1"/>
  <c r="L36" i="133"/>
  <c r="N36" i="133" s="1"/>
  <c r="L37" i="133"/>
  <c r="N37" i="133" s="1"/>
  <c r="L45" i="133"/>
  <c r="N45" i="133" s="1"/>
  <c r="L30" i="133"/>
  <c r="G114" i="133" s="1"/>
  <c r="L43" i="133"/>
  <c r="N43" i="133" s="1"/>
  <c r="L77" i="133"/>
  <c r="N77" i="133" s="1"/>
  <c r="L62" i="133"/>
  <c r="E124" i="133" s="1"/>
  <c r="L23" i="133"/>
  <c r="D129" i="133" s="1"/>
  <c r="L72" i="133"/>
  <c r="N72" i="133" s="1"/>
  <c r="L41" i="133"/>
  <c r="N41" i="133" s="1"/>
  <c r="N7" i="133" l="1"/>
  <c r="D113" i="133"/>
  <c r="N85" i="133"/>
  <c r="E120" i="133"/>
  <c r="N55" i="133"/>
  <c r="D126" i="133"/>
  <c r="F126" i="133" s="1"/>
  <c r="N53" i="133"/>
  <c r="N62" i="133"/>
  <c r="G127" i="133"/>
  <c r="E114" i="133"/>
  <c r="D124" i="133"/>
  <c r="F124" i="133" s="1"/>
  <c r="H115" i="133"/>
  <c r="H117" i="133"/>
  <c r="E121" i="133"/>
  <c r="H120" i="133"/>
  <c r="D116" i="133"/>
  <c r="F116" i="133" s="1"/>
  <c r="G112" i="133"/>
  <c r="G129" i="133"/>
  <c r="G120" i="133"/>
  <c r="D115" i="133"/>
  <c r="F115" i="133" s="1"/>
  <c r="E122" i="133"/>
  <c r="N86" i="133"/>
  <c r="G123" i="133"/>
  <c r="G118" i="133"/>
  <c r="E129" i="133"/>
  <c r="F129" i="133" s="1"/>
  <c r="D120" i="133"/>
  <c r="D119" i="133"/>
  <c r="D114" i="133"/>
  <c r="N65" i="133"/>
  <c r="N83" i="133"/>
  <c r="H116" i="133"/>
  <c r="I116" i="133" s="1"/>
  <c r="E112" i="133"/>
  <c r="N51" i="133"/>
  <c r="H112" i="133"/>
  <c r="G121" i="133"/>
  <c r="D127" i="133"/>
  <c r="F127" i="133" s="1"/>
  <c r="G126" i="133"/>
  <c r="G117" i="133"/>
  <c r="G124" i="133"/>
  <c r="E123" i="133"/>
  <c r="G128" i="133"/>
  <c r="N87" i="133"/>
  <c r="N79" i="133"/>
  <c r="D112" i="133"/>
  <c r="D117" i="133"/>
  <c r="F117" i="133" s="1"/>
  <c r="N32" i="133"/>
  <c r="I114" i="133"/>
  <c r="F125" i="133"/>
  <c r="N56" i="133"/>
  <c r="G122" i="133"/>
  <c r="N82" i="133"/>
  <c r="H128" i="133"/>
  <c r="N74" i="133"/>
  <c r="H113" i="133"/>
  <c r="I113" i="133" s="1"/>
  <c r="N23" i="133"/>
  <c r="N54" i="133"/>
  <c r="N64" i="133"/>
  <c r="N29" i="133"/>
  <c r="N63" i="133"/>
  <c r="E119" i="133"/>
  <c r="H129" i="133"/>
  <c r="H124" i="133"/>
  <c r="H118" i="133"/>
  <c r="N19" i="133"/>
  <c r="G125" i="133"/>
  <c r="D121" i="133"/>
  <c r="N30" i="133"/>
  <c r="N22" i="133"/>
  <c r="D122" i="133"/>
  <c r="D123" i="133"/>
  <c r="F113" i="133"/>
  <c r="G119" i="133"/>
  <c r="D118" i="133"/>
  <c r="F118" i="133" s="1"/>
  <c r="G115" i="133"/>
  <c r="H121" i="133"/>
  <c r="E128" i="133"/>
  <c r="F128" i="133" s="1"/>
  <c r="I121" i="133" l="1"/>
  <c r="I118" i="133"/>
  <c r="J118" i="133" s="1"/>
  <c r="F120" i="133"/>
  <c r="F121" i="133"/>
  <c r="I124" i="133"/>
  <c r="J124" i="133" s="1"/>
  <c r="I125" i="133"/>
  <c r="J125" i="133" s="1"/>
  <c r="I126" i="133"/>
  <c r="J126" i="133" s="1"/>
  <c r="I119" i="133"/>
  <c r="I122" i="133"/>
  <c r="I123" i="133"/>
  <c r="I120" i="133"/>
  <c r="I127" i="133"/>
  <c r="J127" i="133" s="1"/>
  <c r="F119" i="133"/>
  <c r="I112" i="133"/>
  <c r="F114" i="133"/>
  <c r="J114" i="133" s="1"/>
  <c r="F122" i="133"/>
  <c r="I129" i="133"/>
  <c r="J129" i="133" s="1"/>
  <c r="I128" i="133"/>
  <c r="J128" i="133" s="1"/>
  <c r="I115" i="133"/>
  <c r="F123" i="133"/>
  <c r="I117" i="133"/>
  <c r="J117" i="133" s="1"/>
  <c r="F112" i="133"/>
  <c r="J116" i="133"/>
  <c r="J113" i="133"/>
  <c r="D131" i="133"/>
  <c r="G131" i="133"/>
  <c r="H131" i="133"/>
  <c r="E131" i="133"/>
  <c r="T83" i="131" l="1"/>
  <c r="S83" i="131" s="1"/>
  <c r="T75" i="131"/>
  <c r="S75" i="131" s="1"/>
  <c r="T82" i="131"/>
  <c r="S82" i="131" s="1"/>
  <c r="T85" i="131"/>
  <c r="S85" i="131" s="1"/>
  <c r="T87" i="131"/>
  <c r="S87" i="131" s="1"/>
  <c r="T74" i="131"/>
  <c r="S74" i="131" s="1"/>
  <c r="T72" i="131"/>
  <c r="S72" i="131" s="1"/>
  <c r="T76" i="131"/>
  <c r="S76" i="131" s="1"/>
  <c r="T84" i="131"/>
  <c r="S84" i="131" s="1"/>
  <c r="T71" i="131"/>
  <c r="S71" i="131" s="1"/>
  <c r="J121" i="133"/>
  <c r="J120" i="133"/>
  <c r="J122" i="133"/>
  <c r="J119" i="133"/>
  <c r="J112" i="133"/>
  <c r="J123" i="133"/>
  <c r="I131" i="133"/>
  <c r="J115" i="133"/>
  <c r="F131" i="133"/>
  <c r="T70" i="131" l="1"/>
  <c r="S70" i="131" s="1"/>
  <c r="V70" i="131" s="1"/>
  <c r="AQ19" i="112"/>
  <c r="AR19" i="112" s="1"/>
  <c r="AS19" i="112" s="1"/>
  <c r="K15" i="120"/>
  <c r="W82" i="131"/>
  <c r="V82" i="131"/>
  <c r="Z82" i="131" s="1"/>
  <c r="AD82" i="131" s="1"/>
  <c r="T77" i="131"/>
  <c r="S77" i="131" s="1"/>
  <c r="T79" i="131"/>
  <c r="S79" i="131" s="1"/>
  <c r="T81" i="131"/>
  <c r="S81" i="131" s="1"/>
  <c r="T78" i="131"/>
  <c r="S78" i="131" s="1"/>
  <c r="V78" i="131" s="1"/>
  <c r="AQ15" i="112"/>
  <c r="AR15" i="112" s="1"/>
  <c r="AS15" i="112" s="1"/>
  <c r="K17" i="120"/>
  <c r="K20" i="120"/>
  <c r="AH20" i="120" s="1"/>
  <c r="AJ20" i="120" s="1"/>
  <c r="K6" i="120"/>
  <c r="AQ14" i="112"/>
  <c r="AR14" i="112" s="1"/>
  <c r="AS14" i="112" s="1"/>
  <c r="K7" i="120"/>
  <c r="K19" i="120"/>
  <c r="AQ13" i="112"/>
  <c r="AR13" i="112" s="1"/>
  <c r="AS13" i="112" s="1"/>
  <c r="AQ12" i="112"/>
  <c r="AR12" i="112" s="1"/>
  <c r="AS12" i="112" s="1"/>
  <c r="K18" i="120"/>
  <c r="W85" i="131"/>
  <c r="V85" i="131"/>
  <c r="Z85" i="131" s="1"/>
  <c r="AD85" i="131" s="1"/>
  <c r="V87" i="131"/>
  <c r="Z87" i="131" s="1"/>
  <c r="AD87" i="131" s="1"/>
  <c r="W87" i="131"/>
  <c r="AQ8" i="112"/>
  <c r="AR8" i="112" s="1"/>
  <c r="AS8" i="112" s="1"/>
  <c r="AQ6" i="112"/>
  <c r="AR6" i="112" s="1"/>
  <c r="AS6" i="112" s="1"/>
  <c r="V84" i="131"/>
  <c r="Z84" i="131" s="1"/>
  <c r="AD84" i="131" s="1"/>
  <c r="W84" i="131"/>
  <c r="T73" i="131"/>
  <c r="S73" i="131" s="1"/>
  <c r="W75" i="131"/>
  <c r="V75" i="131"/>
  <c r="Z75" i="131" s="1"/>
  <c r="AD75" i="131" s="1"/>
  <c r="V83" i="131"/>
  <c r="Z83" i="131" s="1"/>
  <c r="AD83" i="131" s="1"/>
  <c r="W83" i="131"/>
  <c r="T86" i="131"/>
  <c r="S86" i="131" s="1"/>
  <c r="T80" i="131"/>
  <c r="S80" i="131" s="1"/>
  <c r="W71" i="131"/>
  <c r="V71" i="131"/>
  <c r="Z71" i="131" s="1"/>
  <c r="AD71" i="131" s="1"/>
  <c r="V76" i="131"/>
  <c r="Z76" i="131" s="1"/>
  <c r="AD76" i="131" s="1"/>
  <c r="W76" i="131"/>
  <c r="V72" i="131"/>
  <c r="Z72" i="131" s="1"/>
  <c r="AD72" i="131" s="1"/>
  <c r="W72" i="131"/>
  <c r="V74" i="131"/>
  <c r="Z74" i="131" s="1"/>
  <c r="AD74" i="131" s="1"/>
  <c r="W74" i="131"/>
  <c r="J131" i="133"/>
  <c r="AQ17" i="112"/>
  <c r="AR17" i="112" s="1"/>
  <c r="AS17" i="112" s="1"/>
  <c r="K8" i="120"/>
  <c r="K9" i="120"/>
  <c r="AQ22" i="112"/>
  <c r="AR22" i="112" s="1"/>
  <c r="AS22" i="112" s="1"/>
  <c r="AQ20" i="112"/>
  <c r="AR20" i="112" s="1"/>
  <c r="AS20" i="112" s="1"/>
  <c r="K16" i="120"/>
  <c r="AQ5" i="112"/>
  <c r="AR5" i="112" s="1"/>
  <c r="AS5" i="112" s="1"/>
  <c r="K5" i="120"/>
  <c r="L18" i="120" l="1"/>
  <c r="L60" i="120" s="1"/>
  <c r="N60" i="120" s="1"/>
  <c r="AH18" i="120"/>
  <c r="AJ18" i="120" s="1"/>
  <c r="L7" i="120"/>
  <c r="L49" i="120" s="1"/>
  <c r="N49" i="120" s="1"/>
  <c r="AH7" i="120"/>
  <c r="AJ7" i="120" s="1"/>
  <c r="L17" i="120"/>
  <c r="L59" i="120" s="1"/>
  <c r="N59" i="120" s="1"/>
  <c r="AH17" i="120"/>
  <c r="AJ17" i="120" s="1"/>
  <c r="L15" i="120"/>
  <c r="L57" i="120" s="1"/>
  <c r="N57" i="120" s="1"/>
  <c r="AH15" i="120"/>
  <c r="AJ15" i="120" s="1"/>
  <c r="L8" i="120"/>
  <c r="L50" i="120" s="1"/>
  <c r="N50" i="120" s="1"/>
  <c r="AH8" i="120"/>
  <c r="AJ8" i="120" s="1"/>
  <c r="L19" i="120"/>
  <c r="R19" i="120" s="1"/>
  <c r="AH19" i="120"/>
  <c r="AJ19" i="120" s="1"/>
  <c r="L5" i="120"/>
  <c r="L47" i="120" s="1"/>
  <c r="N47" i="120" s="1"/>
  <c r="AH5" i="120"/>
  <c r="AJ5" i="120" s="1"/>
  <c r="L9" i="120"/>
  <c r="L51" i="120" s="1"/>
  <c r="N51" i="120" s="1"/>
  <c r="AH9" i="120"/>
  <c r="AJ9" i="120" s="1"/>
  <c r="L16" i="120"/>
  <c r="L58" i="120" s="1"/>
  <c r="N58" i="120" s="1"/>
  <c r="AH16" i="120"/>
  <c r="AJ16" i="120" s="1"/>
  <c r="L6" i="120"/>
  <c r="R6" i="120" s="1"/>
  <c r="AH6" i="120"/>
  <c r="AJ6" i="120" s="1"/>
  <c r="R18" i="120"/>
  <c r="R17" i="120"/>
  <c r="L20" i="120"/>
  <c r="E22" i="120"/>
  <c r="E24" i="120" s="1"/>
  <c r="AQ7" i="112"/>
  <c r="AR7" i="112" s="1"/>
  <c r="AS7" i="112" s="1"/>
  <c r="K12" i="120"/>
  <c r="K10" i="120"/>
  <c r="K11" i="120"/>
  <c r="AQ23" i="112"/>
  <c r="AR23" i="112" s="1"/>
  <c r="AS23" i="112" s="1"/>
  <c r="V77" i="131"/>
  <c r="Z77" i="131" s="1"/>
  <c r="AD77" i="131" s="1"/>
  <c r="W77" i="131"/>
  <c r="V80" i="131"/>
  <c r="Z80" i="131" s="1"/>
  <c r="AD80" i="131" s="1"/>
  <c r="W80" i="131"/>
  <c r="AQ9" i="112"/>
  <c r="AR9" i="112" s="1"/>
  <c r="AS9" i="112" s="1"/>
  <c r="W79" i="131"/>
  <c r="V79" i="131"/>
  <c r="Z79" i="131" s="1"/>
  <c r="AD79" i="131" s="1"/>
  <c r="K14" i="120"/>
  <c r="AQ18" i="112"/>
  <c r="AR18" i="112" s="1"/>
  <c r="AS18" i="112" s="1"/>
  <c r="Z70" i="131"/>
  <c r="AD70" i="131" s="1"/>
  <c r="W70" i="131"/>
  <c r="S89" i="131"/>
  <c r="S90" i="131" s="1"/>
  <c r="D24" i="120"/>
  <c r="W78" i="131"/>
  <c r="Z78" i="131"/>
  <c r="AD78" i="131" s="1"/>
  <c r="AQ10" i="112"/>
  <c r="AR10" i="112" s="1"/>
  <c r="AS10" i="112" s="1"/>
  <c r="W73" i="131"/>
  <c r="V73" i="131"/>
  <c r="Z73" i="131" s="1"/>
  <c r="AD73" i="131" s="1"/>
  <c r="AQ11" i="112"/>
  <c r="AR11" i="112" s="1"/>
  <c r="AS11" i="112" s="1"/>
  <c r="K13" i="120"/>
  <c r="W81" i="131"/>
  <c r="V81" i="131"/>
  <c r="Z81" i="131" s="1"/>
  <c r="AD81" i="131" s="1"/>
  <c r="W86" i="131"/>
  <c r="V86" i="131"/>
  <c r="K4" i="120"/>
  <c r="AQ4" i="112"/>
  <c r="AR4" i="112" s="1"/>
  <c r="AS4" i="112" s="1"/>
  <c r="J107" i="133"/>
  <c r="N131" i="133"/>
  <c r="R8" i="120"/>
  <c r="AB110" i="149" s="1"/>
  <c r="R5" i="120"/>
  <c r="R16" i="120"/>
  <c r="R9" i="120" l="1"/>
  <c r="Y112" i="121" s="1"/>
  <c r="AB112" i="121" s="1"/>
  <c r="R15" i="120"/>
  <c r="T15" i="120" s="1"/>
  <c r="L61" i="120"/>
  <c r="N61" i="120" s="1"/>
  <c r="R7" i="120"/>
  <c r="T7" i="120" s="1"/>
  <c r="L4" i="120"/>
  <c r="R4" i="120" s="1"/>
  <c r="U4" i="120" s="1"/>
  <c r="Y4" i="120" s="1"/>
  <c r="AH4" i="120"/>
  <c r="AJ4" i="120" s="1"/>
  <c r="L12" i="120"/>
  <c r="L54" i="120" s="1"/>
  <c r="N54" i="120" s="1"/>
  <c r="AH12" i="120"/>
  <c r="AJ12" i="120" s="1"/>
  <c r="L13" i="120"/>
  <c r="R13" i="120" s="1"/>
  <c r="AH13" i="120"/>
  <c r="AJ13" i="120" s="1"/>
  <c r="AI26" i="120" s="1"/>
  <c r="L14" i="120"/>
  <c r="L56" i="120" s="1"/>
  <c r="N56" i="120" s="1"/>
  <c r="AH14" i="120"/>
  <c r="AJ14" i="120" s="1"/>
  <c r="L11" i="120"/>
  <c r="L53" i="120" s="1"/>
  <c r="N53" i="120" s="1"/>
  <c r="AH11" i="120"/>
  <c r="AJ11" i="120" s="1"/>
  <c r="L48" i="120"/>
  <c r="N48" i="120" s="1"/>
  <c r="L10" i="120"/>
  <c r="L52" i="120" s="1"/>
  <c r="N52" i="120" s="1"/>
  <c r="AH10" i="120"/>
  <c r="AJ10" i="120" s="1"/>
  <c r="Y121" i="121"/>
  <c r="AB121" i="121" s="1"/>
  <c r="AB120" i="149"/>
  <c r="Y108" i="121"/>
  <c r="AB108" i="121" s="1"/>
  <c r="AB108" i="149"/>
  <c r="Y107" i="121"/>
  <c r="AB107" i="121" s="1"/>
  <c r="AB107" i="149"/>
  <c r="U15" i="120"/>
  <c r="Y15" i="120" s="1"/>
  <c r="P80" i="121" s="1"/>
  <c r="AG118" i="121" s="1"/>
  <c r="AB117" i="149"/>
  <c r="Y122" i="121"/>
  <c r="AB122" i="121" s="1"/>
  <c r="AB121" i="149"/>
  <c r="AB111" i="149"/>
  <c r="Y119" i="121"/>
  <c r="AB119" i="121" s="1"/>
  <c r="AB118" i="149"/>
  <c r="Y120" i="121"/>
  <c r="AB120" i="121" s="1"/>
  <c r="AB119" i="149"/>
  <c r="AB109" i="149"/>
  <c r="Y111" i="121"/>
  <c r="AB111" i="121" s="1"/>
  <c r="Z17" i="120"/>
  <c r="AA17" i="120" s="1"/>
  <c r="AB17" i="120" s="1"/>
  <c r="U17" i="120"/>
  <c r="Y17" i="120" s="1"/>
  <c r="T17" i="120"/>
  <c r="U19" i="120"/>
  <c r="Y19" i="120" s="1"/>
  <c r="Z19" i="120"/>
  <c r="AA19" i="120" s="1"/>
  <c r="AB19" i="120" s="1"/>
  <c r="Y106" i="121"/>
  <c r="AB106" i="121" s="1"/>
  <c r="T19" i="120"/>
  <c r="Z18" i="120"/>
  <c r="AA18" i="120" s="1"/>
  <c r="AB18" i="120" s="1"/>
  <c r="U18" i="120"/>
  <c r="Y18" i="120" s="1"/>
  <c r="T18" i="120"/>
  <c r="Z15" i="120"/>
  <c r="AA15" i="120" s="1"/>
  <c r="AB15" i="120" s="1"/>
  <c r="Z6" i="120"/>
  <c r="AA6" i="120" s="1"/>
  <c r="AB6" i="120" s="1"/>
  <c r="U6" i="120"/>
  <c r="Y6" i="120" s="1"/>
  <c r="T6" i="120"/>
  <c r="R20" i="120"/>
  <c r="AB122" i="149" s="1"/>
  <c r="L62" i="120"/>
  <c r="N62" i="120" s="1"/>
  <c r="D21" i="134"/>
  <c r="F21" i="134" s="1"/>
  <c r="D19" i="134"/>
  <c r="F19" i="134" s="1"/>
  <c r="D9" i="134"/>
  <c r="F9" i="134" s="1"/>
  <c r="D22" i="134"/>
  <c r="F22" i="134" s="1"/>
  <c r="D20" i="134"/>
  <c r="F20" i="134" s="1"/>
  <c r="D7" i="134"/>
  <c r="F7" i="134" s="1"/>
  <c r="D17" i="134"/>
  <c r="F17" i="134" s="1"/>
  <c r="K22" i="120"/>
  <c r="Z86" i="131"/>
  <c r="AD86" i="131" s="1"/>
  <c r="T16" i="120"/>
  <c r="U16" i="120"/>
  <c r="Y16" i="120" s="1"/>
  <c r="Z16" i="120"/>
  <c r="AA16" i="120" s="1"/>
  <c r="AB16" i="120" s="1"/>
  <c r="T5" i="120"/>
  <c r="U5" i="120"/>
  <c r="Y5" i="120" s="1"/>
  <c r="Z5" i="120"/>
  <c r="AA5" i="120" s="1"/>
  <c r="AB5" i="120" s="1"/>
  <c r="T9" i="120"/>
  <c r="Z9" i="120"/>
  <c r="AA9" i="120" s="1"/>
  <c r="AB9" i="120" s="1"/>
  <c r="T8" i="120"/>
  <c r="U8" i="120"/>
  <c r="Y8" i="120" s="1"/>
  <c r="Z8" i="120"/>
  <c r="AA8" i="120" s="1"/>
  <c r="AB8" i="120" s="1"/>
  <c r="R12" i="120" l="1"/>
  <c r="Z12" i="120" s="1"/>
  <c r="R14" i="120"/>
  <c r="B14" i="90"/>
  <c r="Z13" i="120"/>
  <c r="Y118" i="121"/>
  <c r="AB118" i="121" s="1"/>
  <c r="U9" i="120"/>
  <c r="Y9" i="120" s="1"/>
  <c r="R10" i="120"/>
  <c r="Y113" i="121" s="1"/>
  <c r="AB113" i="121" s="1"/>
  <c r="L46" i="120"/>
  <c r="N46" i="120" s="1"/>
  <c r="Z7" i="120"/>
  <c r="AA7" i="120" s="1"/>
  <c r="AB7" i="120" s="1"/>
  <c r="R11" i="120"/>
  <c r="U11" i="120" s="1"/>
  <c r="Y11" i="120" s="1"/>
  <c r="L55" i="120"/>
  <c r="N55" i="120" s="1"/>
  <c r="U7" i="120"/>
  <c r="Y7" i="120" s="1"/>
  <c r="D45" i="147" s="1"/>
  <c r="F45" i="147" s="1"/>
  <c r="Y110" i="121"/>
  <c r="AB110" i="121" s="1"/>
  <c r="L22" i="120"/>
  <c r="P17" i="121"/>
  <c r="AC118" i="121" s="1"/>
  <c r="P38" i="121"/>
  <c r="AF118" i="121" s="1"/>
  <c r="AH118" i="121" s="1"/>
  <c r="P59" i="121"/>
  <c r="AD118" i="121" s="1"/>
  <c r="D46" i="147"/>
  <c r="F46" i="147" s="1"/>
  <c r="D54" i="147"/>
  <c r="F54" i="147" s="1"/>
  <c r="AD118" i="149"/>
  <c r="AF118" i="149"/>
  <c r="AC118" i="149"/>
  <c r="AG118" i="149"/>
  <c r="AB112" i="149"/>
  <c r="AB106" i="149"/>
  <c r="AC106" i="149"/>
  <c r="AG106" i="149"/>
  <c r="AD106" i="149"/>
  <c r="AF106" i="149"/>
  <c r="AG109" i="149"/>
  <c r="AF109" i="149"/>
  <c r="AC109" i="149"/>
  <c r="AD109" i="149"/>
  <c r="Y116" i="121"/>
  <c r="AB116" i="121" s="1"/>
  <c r="AB115" i="149"/>
  <c r="Y115" i="121"/>
  <c r="AB115" i="121" s="1"/>
  <c r="AB114" i="149"/>
  <c r="D57" i="147"/>
  <c r="F57" i="147" s="1"/>
  <c r="AC121" i="149"/>
  <c r="AG121" i="149"/>
  <c r="AD121" i="149"/>
  <c r="AF121" i="149"/>
  <c r="Y117" i="121"/>
  <c r="AB117" i="121" s="1"/>
  <c r="AB116" i="149"/>
  <c r="D56" i="147"/>
  <c r="F56" i="147" s="1"/>
  <c r="AC120" i="149"/>
  <c r="AG120" i="149"/>
  <c r="AD120" i="149"/>
  <c r="AF120" i="149"/>
  <c r="D47" i="147"/>
  <c r="F47" i="147" s="1"/>
  <c r="AG111" i="149"/>
  <c r="AF111" i="149"/>
  <c r="AD111" i="149"/>
  <c r="AC111" i="149"/>
  <c r="D43" i="147"/>
  <c r="F43" i="147" s="1"/>
  <c r="AC107" i="149"/>
  <c r="AD107" i="149"/>
  <c r="AG107" i="149"/>
  <c r="AF107" i="149"/>
  <c r="Y109" i="121"/>
  <c r="AB109" i="121" s="1"/>
  <c r="D55" i="147"/>
  <c r="F55" i="147" s="1"/>
  <c r="AF119" i="149"/>
  <c r="AD119" i="149"/>
  <c r="AC119" i="149"/>
  <c r="AG119" i="149"/>
  <c r="AB113" i="149"/>
  <c r="D44" i="147"/>
  <c r="F44" i="147" s="1"/>
  <c r="AD108" i="149"/>
  <c r="AG108" i="149"/>
  <c r="AF108" i="149"/>
  <c r="AC108" i="149"/>
  <c r="D53" i="147"/>
  <c r="F53" i="147" s="1"/>
  <c r="AG117" i="149"/>
  <c r="AD117" i="149"/>
  <c r="AF117" i="149"/>
  <c r="AC117" i="149"/>
  <c r="P19" i="121"/>
  <c r="AC120" i="121" s="1"/>
  <c r="P40" i="121"/>
  <c r="AF120" i="121" s="1"/>
  <c r="P9" i="121"/>
  <c r="AC110" i="121" s="1"/>
  <c r="P61" i="121"/>
  <c r="AD120" i="121" s="1"/>
  <c r="P82" i="121"/>
  <c r="AG120" i="121" s="1"/>
  <c r="P51" i="121"/>
  <c r="AD110" i="121" s="1"/>
  <c r="P30" i="121"/>
  <c r="AF110" i="121" s="1"/>
  <c r="P84" i="121"/>
  <c r="AG122" i="121" s="1"/>
  <c r="P63" i="121"/>
  <c r="AD122" i="121" s="1"/>
  <c r="P21" i="121"/>
  <c r="AC122" i="121" s="1"/>
  <c r="P42" i="121"/>
  <c r="AF122" i="121" s="1"/>
  <c r="P71" i="121"/>
  <c r="AG108" i="121" s="1"/>
  <c r="P62" i="121"/>
  <c r="AD121" i="121" s="1"/>
  <c r="P50" i="121"/>
  <c r="AD108" i="121" s="1"/>
  <c r="P20" i="121"/>
  <c r="AC121" i="121" s="1"/>
  <c r="U10" i="120"/>
  <c r="Y10" i="120" s="1"/>
  <c r="U14" i="120"/>
  <c r="Y14" i="120" s="1"/>
  <c r="P83" i="121"/>
  <c r="AG121" i="121" s="1"/>
  <c r="T10" i="120"/>
  <c r="P41" i="121"/>
  <c r="AF121" i="121" s="1"/>
  <c r="P8" i="121"/>
  <c r="AC108" i="121" s="1"/>
  <c r="P29" i="121"/>
  <c r="AF108" i="121" s="1"/>
  <c r="Z14" i="120"/>
  <c r="AA14" i="120" s="1"/>
  <c r="AB14" i="120" s="1"/>
  <c r="T14" i="120"/>
  <c r="T13" i="120"/>
  <c r="U13" i="120"/>
  <c r="Y13" i="120" s="1"/>
  <c r="AA13" i="120"/>
  <c r="AB13" i="120" s="1"/>
  <c r="AA12" i="120"/>
  <c r="AB12" i="120" s="1"/>
  <c r="U12" i="120"/>
  <c r="Y12" i="120" s="1"/>
  <c r="T12" i="120"/>
  <c r="Y123" i="121"/>
  <c r="AB123" i="121" s="1"/>
  <c r="T20" i="120"/>
  <c r="U20" i="120"/>
  <c r="Y20" i="120" s="1"/>
  <c r="Z20" i="120"/>
  <c r="AA20" i="120" s="1"/>
  <c r="AB20" i="120" s="1"/>
  <c r="D14" i="134"/>
  <c r="F14" i="134" s="1"/>
  <c r="D6" i="134"/>
  <c r="F6" i="134" s="1"/>
  <c r="P7" i="121"/>
  <c r="AC107" i="121" s="1"/>
  <c r="P28" i="121"/>
  <c r="AF107" i="121" s="1"/>
  <c r="P70" i="121"/>
  <c r="AG107" i="121" s="1"/>
  <c r="P49" i="121"/>
  <c r="AD107" i="121" s="1"/>
  <c r="D11" i="134"/>
  <c r="F11" i="134" s="1"/>
  <c r="P74" i="121"/>
  <c r="AG112" i="121" s="1"/>
  <c r="P11" i="121"/>
  <c r="AC112" i="121" s="1"/>
  <c r="P53" i="121"/>
  <c r="AD112" i="121" s="1"/>
  <c r="P32" i="121"/>
  <c r="AF112" i="121" s="1"/>
  <c r="D8" i="134"/>
  <c r="F8" i="134" s="1"/>
  <c r="D12" i="134"/>
  <c r="F12" i="134" s="1"/>
  <c r="D18" i="134"/>
  <c r="F18" i="134" s="1"/>
  <c r="P60" i="121"/>
  <c r="AD119" i="121" s="1"/>
  <c r="P39" i="121"/>
  <c r="AF119" i="121" s="1"/>
  <c r="P18" i="121"/>
  <c r="AC119" i="121" s="1"/>
  <c r="P81" i="121"/>
  <c r="AG119" i="121" s="1"/>
  <c r="D15" i="134"/>
  <c r="F15" i="134" s="1"/>
  <c r="D10" i="134"/>
  <c r="F10" i="134" s="1"/>
  <c r="P73" i="121"/>
  <c r="AG111" i="121" s="1"/>
  <c r="P52" i="121"/>
  <c r="AD111" i="121" s="1"/>
  <c r="P31" i="121"/>
  <c r="AF111" i="121" s="1"/>
  <c r="P10" i="121"/>
  <c r="AC111" i="121" s="1"/>
  <c r="D16" i="134"/>
  <c r="F16" i="134" s="1"/>
  <c r="T4" i="120"/>
  <c r="Z4" i="120"/>
  <c r="AA4" i="120" s="1"/>
  <c r="L64" i="120" l="1"/>
  <c r="Z10" i="120"/>
  <c r="AA10" i="120" s="1"/>
  <c r="AB10" i="120" s="1"/>
  <c r="T11" i="120"/>
  <c r="R22" i="120"/>
  <c r="R25" i="148" s="1"/>
  <c r="R26" i="148" s="1"/>
  <c r="Z11" i="120"/>
  <c r="AA11" i="120" s="1"/>
  <c r="AB11" i="120" s="1"/>
  <c r="Y114" i="121"/>
  <c r="AB114" i="121" s="1"/>
  <c r="P72" i="121"/>
  <c r="AG110" i="121" s="1"/>
  <c r="AE118" i="121"/>
  <c r="AI118" i="121" s="1"/>
  <c r="AE108" i="149"/>
  <c r="AE111" i="149"/>
  <c r="AB124" i="149"/>
  <c r="AH118" i="149"/>
  <c r="AH109" i="149"/>
  <c r="AH111" i="149"/>
  <c r="AE109" i="149"/>
  <c r="AE107" i="149"/>
  <c r="AE117" i="149"/>
  <c r="AE121" i="149"/>
  <c r="AH121" i="149"/>
  <c r="R26" i="120"/>
  <c r="R28" i="120" s="1"/>
  <c r="C4" i="151"/>
  <c r="L4" i="151" s="1"/>
  <c r="D48" i="147"/>
  <c r="F48" i="147" s="1"/>
  <c r="AF112" i="149"/>
  <c r="AD112" i="149"/>
  <c r="AC112" i="149"/>
  <c r="AG112" i="149"/>
  <c r="D50" i="147"/>
  <c r="F50" i="147" s="1"/>
  <c r="AC114" i="149"/>
  <c r="AG114" i="149"/>
  <c r="AF114" i="149"/>
  <c r="AD114" i="149"/>
  <c r="AH108" i="149"/>
  <c r="AE119" i="149"/>
  <c r="AH120" i="149"/>
  <c r="AE106" i="149"/>
  <c r="AG122" i="149"/>
  <c r="AC122" i="149"/>
  <c r="AD122" i="149"/>
  <c r="AF122" i="149"/>
  <c r="AH119" i="149"/>
  <c r="Y124" i="149"/>
  <c r="AC110" i="149"/>
  <c r="G22" i="58"/>
  <c r="D51" i="147"/>
  <c r="F51" i="147" s="1"/>
  <c r="AF115" i="149"/>
  <c r="AG115" i="149"/>
  <c r="AC115" i="149"/>
  <c r="AD115" i="149"/>
  <c r="AH117" i="149"/>
  <c r="AE120" i="149"/>
  <c r="AF110" i="149"/>
  <c r="G26" i="58"/>
  <c r="D49" i="147"/>
  <c r="F49" i="147" s="1"/>
  <c r="AD113" i="149"/>
  <c r="AC113" i="149"/>
  <c r="AG113" i="149"/>
  <c r="AF113" i="149"/>
  <c r="AD110" i="149"/>
  <c r="G23" i="58"/>
  <c r="AH106" i="149"/>
  <c r="AG110" i="149"/>
  <c r="G27" i="58"/>
  <c r="D52" i="147"/>
  <c r="F52" i="147" s="1"/>
  <c r="AG116" i="149"/>
  <c r="AD116" i="149"/>
  <c r="AF116" i="149"/>
  <c r="AC116" i="149"/>
  <c r="AH107" i="149"/>
  <c r="AE118" i="149"/>
  <c r="AE120" i="121"/>
  <c r="AE110" i="121"/>
  <c r="AH110" i="121"/>
  <c r="AH120" i="121"/>
  <c r="AE122" i="121"/>
  <c r="AH122" i="121"/>
  <c r="AH108" i="121"/>
  <c r="AG109" i="121"/>
  <c r="AE108" i="121"/>
  <c r="P16" i="121"/>
  <c r="AC117" i="121" s="1"/>
  <c r="P37" i="121"/>
  <c r="AF117" i="121" s="1"/>
  <c r="P58" i="121"/>
  <c r="AD117" i="121" s="1"/>
  <c r="P79" i="121"/>
  <c r="AG117" i="121" s="1"/>
  <c r="AE121" i="121"/>
  <c r="P33" i="121"/>
  <c r="AF113" i="121" s="1"/>
  <c r="P36" i="121"/>
  <c r="AF116" i="121" s="1"/>
  <c r="P75" i="121"/>
  <c r="AG113" i="121" s="1"/>
  <c r="P54" i="121"/>
  <c r="AD113" i="121" s="1"/>
  <c r="AD109" i="121"/>
  <c r="P12" i="121"/>
  <c r="AC113" i="121" s="1"/>
  <c r="AH121" i="121"/>
  <c r="P78" i="121"/>
  <c r="AG116" i="121" s="1"/>
  <c r="P57" i="121"/>
  <c r="AD116" i="121" s="1"/>
  <c r="P15" i="121"/>
  <c r="AC116" i="121" s="1"/>
  <c r="AF109" i="121"/>
  <c r="AC109" i="121"/>
  <c r="P35" i="121"/>
  <c r="AF115" i="121" s="1"/>
  <c r="P56" i="121"/>
  <c r="AD115" i="121" s="1"/>
  <c r="D42" i="147"/>
  <c r="F42" i="147" s="1"/>
  <c r="P77" i="121"/>
  <c r="AG115" i="121" s="1"/>
  <c r="P14" i="121"/>
  <c r="AC115" i="121" s="1"/>
  <c r="D58" i="147"/>
  <c r="F58" i="147" s="1"/>
  <c r="P22" i="121"/>
  <c r="AC123" i="121" s="1"/>
  <c r="P43" i="121"/>
  <c r="AF123" i="121" s="1"/>
  <c r="P85" i="121"/>
  <c r="AG123" i="121" s="1"/>
  <c r="P64" i="121"/>
  <c r="AD123" i="121" s="1"/>
  <c r="P27" i="121"/>
  <c r="P48" i="121"/>
  <c r="AD106" i="121" s="1"/>
  <c r="P6" i="121"/>
  <c r="AC106" i="121" s="1"/>
  <c r="P69" i="121"/>
  <c r="D13" i="134"/>
  <c r="F13" i="134" s="1"/>
  <c r="P13" i="121"/>
  <c r="AC114" i="121" s="1"/>
  <c r="P76" i="121"/>
  <c r="AG114" i="121" s="1"/>
  <c r="P34" i="121"/>
  <c r="AF114" i="121" s="1"/>
  <c r="P55" i="121"/>
  <c r="AD114" i="121" s="1"/>
  <c r="E4" i="124"/>
  <c r="Z22" i="120"/>
  <c r="F23" i="58"/>
  <c r="D5" i="134"/>
  <c r="F5" i="134" s="1"/>
  <c r="AB4" i="120"/>
  <c r="AA22" i="120"/>
  <c r="AE111" i="121"/>
  <c r="AE119" i="121"/>
  <c r="AE107" i="121"/>
  <c r="AH112" i="121"/>
  <c r="AH111" i="121"/>
  <c r="AH119" i="121"/>
  <c r="AE112" i="121"/>
  <c r="AH107" i="121"/>
  <c r="Y125" i="121"/>
  <c r="AB125" i="121"/>
  <c r="AK118" i="121" l="1"/>
  <c r="AI117" i="149"/>
  <c r="AI120" i="121"/>
  <c r="AI108" i="149"/>
  <c r="AK111" i="149"/>
  <c r="AK121" i="149"/>
  <c r="AI121" i="149"/>
  <c r="AI109" i="149"/>
  <c r="AI111" i="149"/>
  <c r="AI107" i="149"/>
  <c r="AK109" i="149"/>
  <c r="AD124" i="149"/>
  <c r="AH114" i="149"/>
  <c r="AG124" i="149"/>
  <c r="AH112" i="149"/>
  <c r="AE122" i="149"/>
  <c r="AE116" i="149"/>
  <c r="AF124" i="149"/>
  <c r="AE110" i="149"/>
  <c r="AI118" i="149"/>
  <c r="AK118" i="149"/>
  <c r="AE113" i="149"/>
  <c r="AI119" i="149"/>
  <c r="AK119" i="149"/>
  <c r="AE112" i="149"/>
  <c r="AE115" i="149"/>
  <c r="AK107" i="149"/>
  <c r="E4" i="146"/>
  <c r="G4" i="146" s="1"/>
  <c r="AK120" i="121"/>
  <c r="AH116" i="149"/>
  <c r="AH110" i="149"/>
  <c r="AH115" i="149"/>
  <c r="AK117" i="149"/>
  <c r="AI120" i="149"/>
  <c r="AK120" i="149"/>
  <c r="AC124" i="149"/>
  <c r="AE114" i="149"/>
  <c r="AK108" i="149"/>
  <c r="AH113" i="149"/>
  <c r="AH122" i="149"/>
  <c r="AI106" i="149"/>
  <c r="AK106" i="149"/>
  <c r="AK110" i="121"/>
  <c r="AI110" i="121"/>
  <c r="AI122" i="121"/>
  <c r="AK122" i="121"/>
  <c r="AI108" i="121"/>
  <c r="AK108" i="121"/>
  <c r="AE117" i="121"/>
  <c r="AH109" i="121"/>
  <c r="AH117" i="121"/>
  <c r="AH113" i="121"/>
  <c r="AK121" i="121"/>
  <c r="AH116" i="121"/>
  <c r="AE113" i="121"/>
  <c r="AI121" i="121"/>
  <c r="AE109" i="121"/>
  <c r="AE116" i="121"/>
  <c r="AH115" i="121"/>
  <c r="AE115" i="121"/>
  <c r="F60" i="147"/>
  <c r="AH123" i="121"/>
  <c r="AE123" i="121"/>
  <c r="F24" i="134"/>
  <c r="AE114" i="121"/>
  <c r="AH114" i="121"/>
  <c r="AD125" i="121"/>
  <c r="F26" i="58"/>
  <c r="F27" i="58"/>
  <c r="F22" i="58"/>
  <c r="F24" i="58" s="1"/>
  <c r="AI119" i="121"/>
  <c r="AG106" i="121"/>
  <c r="AG125" i="121" s="1"/>
  <c r="AK107" i="121"/>
  <c r="AF106" i="121"/>
  <c r="AF125" i="121" s="1"/>
  <c r="AI111" i="121"/>
  <c r="AK111" i="121"/>
  <c r="AK119" i="121"/>
  <c r="AE106" i="121"/>
  <c r="AC125" i="121"/>
  <c r="AI112" i="121"/>
  <c r="AK112" i="121"/>
  <c r="AI107" i="121"/>
  <c r="AK122" i="149" l="1"/>
  <c r="AI112" i="149"/>
  <c r="AI110" i="149"/>
  <c r="G30" i="58" s="1"/>
  <c r="AK114" i="149"/>
  <c r="AK112" i="149"/>
  <c r="AK116" i="149"/>
  <c r="AI122" i="149"/>
  <c r="AI116" i="149"/>
  <c r="AI115" i="149"/>
  <c r="AK115" i="149"/>
  <c r="AI113" i="149"/>
  <c r="AK113" i="149"/>
  <c r="AH124" i="149"/>
  <c r="AE124" i="149"/>
  <c r="G4" i="151"/>
  <c r="AI114" i="149"/>
  <c r="E7" i="146"/>
  <c r="E8" i="146" s="1"/>
  <c r="E17" i="146" s="1"/>
  <c r="E24" i="146" s="1"/>
  <c r="E32" i="146" s="1"/>
  <c r="E37" i="146" s="1"/>
  <c r="C7" i="151"/>
  <c r="AK110" i="149"/>
  <c r="G32" i="58" s="1"/>
  <c r="G38" i="58" s="1"/>
  <c r="G52" i="58" s="1"/>
  <c r="AK117" i="121"/>
  <c r="AI117" i="121"/>
  <c r="AK116" i="121"/>
  <c r="AI109" i="121"/>
  <c r="AI113" i="121"/>
  <c r="AK113" i="121"/>
  <c r="AK109" i="121"/>
  <c r="AI116" i="121"/>
  <c r="AK115" i="121"/>
  <c r="AI115" i="121"/>
  <c r="E7" i="124"/>
  <c r="G7" i="124" s="1"/>
  <c r="AI123" i="121"/>
  <c r="AK123" i="121"/>
  <c r="AI114" i="121"/>
  <c r="AK114" i="121"/>
  <c r="G4" i="124"/>
  <c r="F28" i="58"/>
  <c r="AH106" i="121"/>
  <c r="AI106" i="121" s="1"/>
  <c r="AE125" i="121"/>
  <c r="H32" i="151" l="1"/>
  <c r="I34" i="151" s="1"/>
  <c r="C8" i="151"/>
  <c r="L7" i="151"/>
  <c r="G7" i="151"/>
  <c r="AI124" i="149"/>
  <c r="E8" i="151"/>
  <c r="E17" i="151" s="1"/>
  <c r="E22" i="151" s="1"/>
  <c r="AK124" i="149"/>
  <c r="E27" i="146"/>
  <c r="E8" i="124"/>
  <c r="E17" i="124" s="1"/>
  <c r="E25" i="124" s="1"/>
  <c r="G7" i="146"/>
  <c r="G8" i="146" s="1"/>
  <c r="C8" i="146"/>
  <c r="C17" i="146" s="1"/>
  <c r="C24" i="146" s="1"/>
  <c r="G24" i="146" s="1"/>
  <c r="AH125" i="121"/>
  <c r="AK106" i="121"/>
  <c r="AI125" i="121"/>
  <c r="G8" i="151" l="1"/>
  <c r="H35" i="151"/>
  <c r="C17" i="151"/>
  <c r="L8" i="151"/>
  <c r="E25" i="151"/>
  <c r="AK125" i="121"/>
  <c r="G8" i="124"/>
  <c r="G17" i="124" s="1"/>
  <c r="G25" i="124" s="1"/>
  <c r="G27" i="124" s="1"/>
  <c r="G17" i="146"/>
  <c r="G17" i="151" l="1"/>
  <c r="H36" i="151"/>
  <c r="C22" i="151"/>
  <c r="L17" i="151"/>
  <c r="K8" i="124"/>
  <c r="C25" i="151" l="1"/>
  <c r="L22" i="151"/>
  <c r="G22" i="151"/>
  <c r="L25" i="151" l="1"/>
  <c r="G25" i="151"/>
  <c r="N25" i="154" l="1"/>
  <c r="N26" i="154" s="1"/>
  <c r="L25" i="154"/>
  <c r="L26" i="154" s="1"/>
  <c r="R25" i="154"/>
  <c r="R26" i="154" s="1"/>
  <c r="H25" i="154"/>
  <c r="H26" i="154" s="1"/>
  <c r="P25" i="154"/>
  <c r="P26" i="154" s="1"/>
  <c r="J25" i="154"/>
  <c r="J26" i="154" s="1"/>
  <c r="F26" i="154"/>
  <c r="C17" i="156" l="1"/>
  <c r="C15" i="156"/>
  <c r="C13" i="156"/>
  <c r="C11" i="156"/>
  <c r="C7" i="156"/>
  <c r="C9" i="156"/>
  <c r="C19" i="156"/>
  <c r="E15" i="156" l="1"/>
  <c r="F15" i="156" s="1"/>
  <c r="E11" i="156"/>
  <c r="F11" i="156" s="1"/>
  <c r="E7" i="156" l="1"/>
  <c r="F7" i="156" s="1"/>
  <c r="E19" i="156"/>
  <c r="F19" i="156" s="1"/>
  <c r="E17" i="156"/>
  <c r="F17" i="156" s="1"/>
  <c r="E9" i="156"/>
  <c r="F9" i="156" s="1"/>
  <c r="E13" i="156"/>
  <c r="F13" i="156" s="1"/>
  <c r="F23" i="156" l="1"/>
  <c r="F21" i="15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David Leonard</author>
  </authors>
  <commentList>
    <comment ref="AN26" authorId="0" shapeId="0" xr:uid="{00000000-0006-0000-1A00-000001000000}">
      <text>
        <r>
          <rPr>
            <b/>
            <sz val="9"/>
            <color indexed="81"/>
            <rFont val="Tahoma"/>
            <family val="2"/>
          </rPr>
          <t>David Leonard:</t>
        </r>
        <r>
          <rPr>
            <sz val="9"/>
            <color indexed="81"/>
            <rFont val="Tahoma"/>
            <family val="2"/>
          </rPr>
          <t xml:space="preserve">
Funding covers Apr to Dec 17 only, with a view to new model being in place Jan 18 (MB e-mail 16/1/17)</t>
        </r>
      </text>
    </comment>
    <comment ref="AP26" authorId="0" shapeId="0" xr:uid="{00000000-0006-0000-1A00-000002000000}">
      <text>
        <r>
          <rPr>
            <b/>
            <sz val="9"/>
            <color indexed="81"/>
            <rFont val="Tahoma"/>
            <family val="2"/>
          </rPr>
          <t>David Leonard:</t>
        </r>
        <r>
          <rPr>
            <sz val="9"/>
            <color indexed="81"/>
            <rFont val="Tahoma"/>
            <family val="2"/>
          </rPr>
          <t xml:space="preserve">
Current funding agreed up to Aug 18, with an option to extend for a further 2 years (MB e-mail 3/2/16)</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tc={4B984CED-B401-4BEF-BA38-9980CD5445AB}</author>
    <author>tc={263BDAAF-70B3-492E-91C7-391071FED383}</author>
  </authors>
  <commentList>
    <comment ref="C2" authorId="0" shapeId="0" xr:uid="{4B984CED-B401-4BEF-BA38-9980CD5445AB}">
      <text>
        <t>[Threaded comment]
Your version of Excel allows you to read this threaded comment; however, any edits to it will get removed if the file is opened in a newer version of Excel. Learn more: https://go.microsoft.com/fwlink/?linkid=870924
Comment:
    Requirement revised following Tulip Merger</t>
      </text>
    </comment>
    <comment ref="J2" authorId="1" shapeId="0" xr:uid="{263BDAAF-70B3-492E-91C7-391071FED383}">
      <text>
        <t xml:space="preserve">[Threaded comment]
Your version of Excel allows you to read this threaded comment; however, any edits to it will get removed if the file is opened in a newer version of Excel. Learn more: https://go.microsoft.com/fwlink/?linkid=870924
Comment:
    Requirement calculating Garth and Priory separately </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tc={B1B62A1F-DE56-42DE-9019-E5CA7CE509BC}</author>
  </authors>
  <commentList>
    <comment ref="C15" authorId="0" shapeId="0" xr:uid="{B1B62A1F-DE56-42DE-9019-E5CA7CE509BC}">
      <text>
        <t>[Threaded comment]
Your version of Excel allows you to read this threaded comment; however, any edits to it will get removed if the file is opened in a newer version of Excel. Learn more: https://go.microsoft.com/fwlink/?linkid=870924
Comment:
    Main School site capacity 72 places. The remainder of places up to a further 32 places has fixed costs supported through the split site factor</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tc={C0FB4C9A-ACBD-4BE2-BAB2-739EAFBE607A}</author>
    <author>tc={BCE8B829-AF73-4805-B06F-0E7938ACA287}</author>
  </authors>
  <commentList>
    <comment ref="C15" authorId="0" shapeId="0" xr:uid="{C0FB4C9A-ACBD-4BE2-BAB2-739EAFBE607A}">
      <text>
        <t>[Threaded comment]
Your version of Excel allows you to read this threaded comment; however, any edits to it will get removed if the file is opened in a newer version of Excel. Learn more: https://go.microsoft.com/fwlink/?linkid=870924
Comment:
    Main School site capacity 72 places. The remainder of places up to a further 32 places has fixed costs supported through the split site factor</t>
      </text>
    </comment>
    <comment ref="C38" authorId="1" shapeId="0" xr:uid="{BCE8B829-AF73-4805-B06F-0E7938ACA287}">
      <text>
        <t>[Threaded comment]
Your version of Excel allows you to read this threaded comment; however, any edits to it will get removed if the file is opened in a newer version of Excel. Learn more: https://go.microsoft.com/fwlink/?linkid=870924
Comment:
    Main School site capacity 72 places. The remainder of places up to a further 32 places has fixed costs supported through the split site factor</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Mark Popplewell</author>
  </authors>
  <commentList>
    <comment ref="AG3" authorId="0" shapeId="0" xr:uid="{9D9B7CEA-C3EF-4944-BB20-891DC69B3020}">
      <text>
        <r>
          <rPr>
            <b/>
            <sz val="9"/>
            <color indexed="81"/>
            <rFont val="Tahoma"/>
            <family val="2"/>
          </rPr>
          <t>Mark Popplewell:</t>
        </r>
        <r>
          <rPr>
            <sz val="9"/>
            <color indexed="81"/>
            <rFont val="Tahoma"/>
            <family val="2"/>
          </rPr>
          <t xml:space="preserve">
Based on 2021/22 profile mutilpied by 2023/24 rates</t>
        </r>
      </text>
    </comment>
    <comment ref="AG17" authorId="0" shapeId="0" xr:uid="{CC3600FC-57C0-4CFA-BFA9-A63BD8D6624B}">
      <text>
        <r>
          <rPr>
            <b/>
            <sz val="9"/>
            <color indexed="81"/>
            <rFont val="Tahoma"/>
            <family val="2"/>
          </rPr>
          <t>Mark Popplewell:</t>
        </r>
        <r>
          <rPr>
            <sz val="9"/>
            <color indexed="81"/>
            <rFont val="Tahoma"/>
            <family val="2"/>
          </rPr>
          <t xml:space="preserve">
72 places x £15,566 = £1,120,769
Excludes split-site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Angela Lawton</author>
    <author>tc={12631C88-8098-4B7E-A5A8-016B52FD3CCD}</author>
  </authors>
  <commentList>
    <comment ref="E2" authorId="0" shapeId="0" xr:uid="{09CAF985-F155-46FC-87C3-3F74AE9F005D}">
      <text>
        <r>
          <rPr>
            <b/>
            <sz val="9"/>
            <color indexed="81"/>
            <rFont val="Tahoma"/>
            <family val="2"/>
          </rPr>
          <t>Angela Lawton:</t>
        </r>
        <r>
          <rPr>
            <sz val="9"/>
            <color indexed="81"/>
            <rFont val="Tahoma"/>
            <family val="2"/>
          </rPr>
          <t xml:space="preserve">
2022-23 academic Year info</t>
        </r>
      </text>
    </comment>
    <comment ref="F2" authorId="0" shapeId="0" xr:uid="{28A603C3-6972-4BEF-B72A-492D57BCF9BA}">
      <text>
        <r>
          <rPr>
            <b/>
            <sz val="9"/>
            <color indexed="81"/>
            <rFont val="Tahoma"/>
            <family val="2"/>
          </rPr>
          <t>Angela Lawton:</t>
        </r>
        <r>
          <rPr>
            <sz val="9"/>
            <color indexed="81"/>
            <rFont val="Tahoma"/>
            <family val="2"/>
          </rPr>
          <t xml:space="preserve">
22-23 Financial year info</t>
        </r>
      </text>
    </comment>
    <comment ref="F12" authorId="1" shapeId="0" xr:uid="{12631C88-8098-4B7E-A5A8-016B52FD3CCD}">
      <text>
        <t>[Threaded comment]
Your version of Excel allows you to read this threaded comment; however, any edits to it will get removed if the file is opened in a newer version of Excel. Learn more: https://go.microsoft.com/fwlink/?linkid=870924
Comment:
    Should this be £811,482?</t>
      </text>
    </comment>
    <comment ref="E29" authorId="0" shapeId="0" xr:uid="{FA6A081D-6B97-4627-A2C7-62B12807FCBE}">
      <text>
        <r>
          <rPr>
            <b/>
            <sz val="9"/>
            <color indexed="81"/>
            <rFont val="Tahoma"/>
            <family val="2"/>
          </rPr>
          <t>Angela Lawton:</t>
        </r>
        <r>
          <rPr>
            <sz val="9"/>
            <color indexed="81"/>
            <rFont val="Tahoma"/>
            <family val="2"/>
          </rPr>
          <t xml:space="preserve">
2022-23 academic Year info</t>
        </r>
      </text>
    </comment>
    <comment ref="F29" authorId="0" shapeId="0" xr:uid="{7BBA9750-5DAE-4C09-81D9-82DE41B06326}">
      <text>
        <r>
          <rPr>
            <b/>
            <sz val="9"/>
            <color indexed="81"/>
            <rFont val="Tahoma"/>
            <family val="2"/>
          </rPr>
          <t>Angela Lawton:</t>
        </r>
        <r>
          <rPr>
            <sz val="9"/>
            <color indexed="81"/>
            <rFont val="Tahoma"/>
            <family val="2"/>
          </rPr>
          <t xml:space="preserve">
22-23 Financial year info</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David Leonard</author>
  </authors>
  <commentList>
    <comment ref="AN26" authorId="0" shapeId="0" xr:uid="{00000000-0006-0000-3300-000001000000}">
      <text>
        <r>
          <rPr>
            <b/>
            <sz val="9"/>
            <color indexed="81"/>
            <rFont val="Tahoma"/>
            <family val="2"/>
          </rPr>
          <t>David Leonard:</t>
        </r>
        <r>
          <rPr>
            <sz val="9"/>
            <color indexed="81"/>
            <rFont val="Tahoma"/>
            <family val="2"/>
          </rPr>
          <t xml:space="preserve">
Funding covers Apr to Dec 17 only, with a view to new model being in place Jan 18 (MB e-mail 16/1/17)</t>
        </r>
      </text>
    </comment>
    <comment ref="AP26" authorId="0" shapeId="0" xr:uid="{00000000-0006-0000-3300-000002000000}">
      <text>
        <r>
          <rPr>
            <b/>
            <sz val="9"/>
            <color indexed="81"/>
            <rFont val="Tahoma"/>
            <family val="2"/>
          </rPr>
          <t>David Leonard:</t>
        </r>
        <r>
          <rPr>
            <sz val="9"/>
            <color indexed="81"/>
            <rFont val="Tahoma"/>
            <family val="2"/>
          </rPr>
          <t xml:space="preserve">
Current funding agreed up to Aug 18, with an option to extend for a further 2 years (MB e-mail 3/2/16)</t>
        </r>
      </text>
    </comment>
    <comment ref="AU26" authorId="0" shapeId="0" xr:uid="{00000000-0006-0000-3300-000003000000}">
      <text>
        <r>
          <rPr>
            <b/>
            <sz val="9"/>
            <color indexed="81"/>
            <rFont val="Tahoma"/>
            <family val="2"/>
          </rPr>
          <t>David Leonard:</t>
        </r>
        <r>
          <rPr>
            <sz val="9"/>
            <color indexed="81"/>
            <rFont val="Tahoma"/>
            <family val="2"/>
          </rPr>
          <t xml:space="preserve">
Funding covers Apr to Dec 17 only, with a view to new model being in place Jan 18 (MB e-mail 16/1/17)</t>
        </r>
      </text>
    </comment>
    <comment ref="AW26" authorId="0" shapeId="0" xr:uid="{00000000-0006-0000-3300-000004000000}">
      <text>
        <r>
          <rPr>
            <b/>
            <sz val="9"/>
            <color indexed="81"/>
            <rFont val="Tahoma"/>
            <family val="2"/>
          </rPr>
          <t>David Leonard:</t>
        </r>
        <r>
          <rPr>
            <sz val="9"/>
            <color indexed="81"/>
            <rFont val="Tahoma"/>
            <family val="2"/>
          </rPr>
          <t xml:space="preserve">
Current funding agreed up to Aug 18, with an option to extend for a further 2 years (MB e-mail 3/2/16)</t>
        </r>
      </text>
    </comment>
    <comment ref="BB26" authorId="0" shapeId="0" xr:uid="{00000000-0006-0000-3300-000005000000}">
      <text>
        <r>
          <rPr>
            <b/>
            <sz val="9"/>
            <color indexed="81"/>
            <rFont val="Tahoma"/>
            <family val="2"/>
          </rPr>
          <t>David Leonard:</t>
        </r>
        <r>
          <rPr>
            <sz val="9"/>
            <color indexed="81"/>
            <rFont val="Tahoma"/>
            <family val="2"/>
          </rPr>
          <t xml:space="preserve">
Funding covers Apr to Dec 17 only, with a view to new model being in place Jan 18 (MB e-mail 16/1/17)</t>
        </r>
      </text>
    </comment>
    <comment ref="BC26" authorId="0" shapeId="0" xr:uid="{00000000-0006-0000-3300-000006000000}">
      <text>
        <r>
          <rPr>
            <b/>
            <sz val="9"/>
            <color indexed="81"/>
            <rFont val="Tahoma"/>
            <family val="2"/>
          </rPr>
          <t>David Leonard:</t>
        </r>
        <r>
          <rPr>
            <sz val="9"/>
            <color indexed="81"/>
            <rFont val="Tahoma"/>
            <family val="2"/>
          </rPr>
          <t xml:space="preserve">
Current funding agreed up to Aug 18, with an option to extend for a further 2 years (MB e-mail 3/2/16)</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David Leonard</author>
  </authors>
  <commentList>
    <comment ref="C16" authorId="0" shapeId="0" xr:uid="{CAB3A5A6-C97C-4A2D-87B8-C25807240AA3}">
      <text>
        <r>
          <rPr>
            <b/>
            <sz val="9"/>
            <color indexed="81"/>
            <rFont val="Tahoma"/>
            <family val="2"/>
          </rPr>
          <t>David Leonard:</t>
        </r>
        <r>
          <rPr>
            <sz val="9"/>
            <color indexed="81"/>
            <rFont val="Tahoma"/>
            <family val="2"/>
          </rPr>
          <t xml:space="preserve">
Funding remains at School size 4 transition point due to split site factor</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David Leonard</author>
  </authors>
  <commentList>
    <comment ref="C21" authorId="0" shapeId="0" xr:uid="{00000000-0006-0000-3D00-000001000000}">
      <text>
        <r>
          <rPr>
            <b/>
            <sz val="9"/>
            <color indexed="81"/>
            <rFont val="Tahoma"/>
            <family val="2"/>
          </rPr>
          <t>David Leonard:</t>
        </r>
        <r>
          <rPr>
            <sz val="9"/>
            <color indexed="81"/>
            <rFont val="Tahoma"/>
            <family val="2"/>
          </rPr>
          <t xml:space="preserve">
Increased from 27 26/10/21</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David Leonard</author>
  </authors>
  <commentList>
    <comment ref="C21" authorId="0" shapeId="0" xr:uid="{2B565F15-B97D-4CEE-BC98-CDB55307ABA7}">
      <text>
        <r>
          <rPr>
            <b/>
            <sz val="9"/>
            <color indexed="81"/>
            <rFont val="Tahoma"/>
            <family val="2"/>
          </rPr>
          <t>David Leonard:</t>
        </r>
        <r>
          <rPr>
            <sz val="9"/>
            <color indexed="81"/>
            <rFont val="Tahoma"/>
            <family val="2"/>
          </rPr>
          <t xml:space="preserve">
Increased from 27 26/10/21</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David Leonard</author>
  </authors>
  <commentList>
    <comment ref="AN26" authorId="0" shapeId="0" xr:uid="{00000000-0006-0000-3E00-000001000000}">
      <text>
        <r>
          <rPr>
            <b/>
            <sz val="9"/>
            <color indexed="81"/>
            <rFont val="Tahoma"/>
            <family val="2"/>
          </rPr>
          <t>David Leonard:</t>
        </r>
        <r>
          <rPr>
            <sz val="9"/>
            <color indexed="81"/>
            <rFont val="Tahoma"/>
            <family val="2"/>
          </rPr>
          <t xml:space="preserve">
Funding covers Apr to Dec 17 only, with a view to new model being in place Jan 18 (MB e-mail 16/1/17)</t>
        </r>
      </text>
    </comment>
    <comment ref="AP26" authorId="0" shapeId="0" xr:uid="{00000000-0006-0000-3E00-000002000000}">
      <text>
        <r>
          <rPr>
            <b/>
            <sz val="9"/>
            <color indexed="81"/>
            <rFont val="Tahoma"/>
            <family val="2"/>
          </rPr>
          <t>David Leonard:</t>
        </r>
        <r>
          <rPr>
            <sz val="9"/>
            <color indexed="81"/>
            <rFont val="Tahoma"/>
            <family val="2"/>
          </rPr>
          <t xml:space="preserve">
Current funding agreed up to Aug 18, with an option to extend for a further 2 years (MB e-mail 3/2/16)</t>
        </r>
      </text>
    </comment>
    <comment ref="AU26" authorId="0" shapeId="0" xr:uid="{00000000-0006-0000-3E00-000003000000}">
      <text>
        <r>
          <rPr>
            <b/>
            <sz val="9"/>
            <color indexed="81"/>
            <rFont val="Tahoma"/>
            <family val="2"/>
          </rPr>
          <t>David Leonard:</t>
        </r>
        <r>
          <rPr>
            <sz val="9"/>
            <color indexed="81"/>
            <rFont val="Tahoma"/>
            <family val="2"/>
          </rPr>
          <t xml:space="preserve">
Funding covers Apr to Dec 17 only, with a view to new model being in place Jan 18 (MB e-mail 16/1/17)</t>
        </r>
      </text>
    </comment>
    <comment ref="AW26" authorId="0" shapeId="0" xr:uid="{00000000-0006-0000-3E00-000004000000}">
      <text>
        <r>
          <rPr>
            <b/>
            <sz val="9"/>
            <color indexed="81"/>
            <rFont val="Tahoma"/>
            <family val="2"/>
          </rPr>
          <t>David Leonard:</t>
        </r>
        <r>
          <rPr>
            <sz val="9"/>
            <color indexed="81"/>
            <rFont val="Tahoma"/>
            <family val="2"/>
          </rPr>
          <t xml:space="preserve">
Current funding agreed up to Aug 18, with an option to extend for a further 2 years (MB e-mail 3/2/16)</t>
        </r>
      </text>
    </comment>
    <comment ref="BB26" authorId="0" shapeId="0" xr:uid="{00000000-0006-0000-3E00-000005000000}">
      <text>
        <r>
          <rPr>
            <b/>
            <sz val="9"/>
            <color indexed="81"/>
            <rFont val="Tahoma"/>
            <family val="2"/>
          </rPr>
          <t>David Leonard:</t>
        </r>
        <r>
          <rPr>
            <sz val="9"/>
            <color indexed="81"/>
            <rFont val="Tahoma"/>
            <family val="2"/>
          </rPr>
          <t xml:space="preserve">
Funding covers Apr to Dec 17 only, with a view to new model being in place Jan 18 (MB e-mail 16/1/17)</t>
        </r>
      </text>
    </comment>
    <comment ref="BC26" authorId="0" shapeId="0" xr:uid="{00000000-0006-0000-3E00-000006000000}">
      <text>
        <r>
          <rPr>
            <b/>
            <sz val="9"/>
            <color indexed="81"/>
            <rFont val="Tahoma"/>
            <family val="2"/>
          </rPr>
          <t>David Leonard:</t>
        </r>
        <r>
          <rPr>
            <sz val="9"/>
            <color indexed="81"/>
            <rFont val="Tahoma"/>
            <family val="2"/>
          </rPr>
          <t xml:space="preserve">
Current funding agreed up to Aug 18, with an option to extend for a further 2 years (MB e-mail 3/2/16)</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Leonard</author>
  </authors>
  <commentList>
    <comment ref="B10" authorId="0" shapeId="0" xr:uid="{00000000-0006-0000-1C00-000001000000}">
      <text>
        <r>
          <rPr>
            <b/>
            <sz val="9"/>
            <color indexed="81"/>
            <rFont val="Tahoma"/>
            <family val="2"/>
          </rPr>
          <t>David Leonard:</t>
        </r>
        <r>
          <rPr>
            <sz val="9"/>
            <color indexed="81"/>
            <rFont val="Tahoma"/>
            <family val="2"/>
          </rPr>
          <t xml:space="preserve">
Excludes Home Tutoring, which is on separate code:
£117,486 - Fixed Allocation
£144,704 hourly rate estimate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david.leonard</author>
    <author>David Leonard</author>
  </authors>
  <commentList>
    <comment ref="C3" authorId="0" shapeId="0" xr:uid="{00000000-0006-0000-3F00-000001000000}">
      <text>
        <r>
          <rPr>
            <b/>
            <sz val="8"/>
            <color indexed="81"/>
            <rFont val="Tahoma"/>
            <family val="2"/>
          </rPr>
          <t>david.leonard:</t>
        </r>
        <r>
          <rPr>
            <sz val="8"/>
            <color indexed="81"/>
            <rFont val="Tahoma"/>
            <family val="2"/>
          </rPr>
          <t xml:space="preserve">
Assumes M5 + £1100 TLR</t>
        </r>
      </text>
    </comment>
    <comment ref="D3" authorId="0" shapeId="0" xr:uid="{00000000-0006-0000-3F00-000002000000}">
      <text>
        <r>
          <rPr>
            <b/>
            <sz val="8"/>
            <color indexed="81"/>
            <rFont val="Tahoma"/>
            <family val="2"/>
          </rPr>
          <t>david.leonard:</t>
        </r>
        <r>
          <rPr>
            <sz val="8"/>
            <color indexed="81"/>
            <rFont val="Tahoma"/>
            <family val="2"/>
          </rPr>
          <t xml:space="preserve">
Assumes SCP12</t>
        </r>
      </text>
    </comment>
    <comment ref="E3" authorId="0" shapeId="0" xr:uid="{00000000-0006-0000-3F00-000003000000}">
      <text>
        <r>
          <rPr>
            <b/>
            <sz val="8"/>
            <color indexed="81"/>
            <rFont val="Tahoma"/>
            <family val="2"/>
          </rPr>
          <t>david.leonard:</t>
        </r>
        <r>
          <rPr>
            <sz val="8"/>
            <color indexed="81"/>
            <rFont val="Tahoma"/>
            <family val="2"/>
          </rPr>
          <t xml:space="preserve">
Assumes SCP 5 for 1h15 per day</t>
        </r>
      </text>
    </comment>
    <comment ref="I3" authorId="0" shapeId="0" xr:uid="{00000000-0006-0000-3F00-000004000000}">
      <text>
        <r>
          <rPr>
            <b/>
            <sz val="8"/>
            <color indexed="81"/>
            <rFont val="Tahoma"/>
            <family val="2"/>
          </rPr>
          <t>david.leonard:</t>
        </r>
        <r>
          <rPr>
            <sz val="8"/>
            <color indexed="81"/>
            <rFont val="Tahoma"/>
            <family val="2"/>
          </rPr>
          <t xml:space="preserve">
Assumes M6</t>
        </r>
      </text>
    </comment>
    <comment ref="J3" authorId="0" shapeId="0" xr:uid="{00000000-0006-0000-3F00-000005000000}">
      <text>
        <r>
          <rPr>
            <b/>
            <sz val="8"/>
            <color indexed="81"/>
            <rFont val="Tahoma"/>
            <family val="2"/>
          </rPr>
          <t>david.leonard:</t>
        </r>
        <r>
          <rPr>
            <sz val="8"/>
            <color indexed="81"/>
            <rFont val="Tahoma"/>
            <family val="2"/>
          </rPr>
          <t xml:space="preserve">
Assumes SCP 12</t>
        </r>
      </text>
    </comment>
    <comment ref="K3" authorId="0" shapeId="0" xr:uid="{00000000-0006-0000-3F00-000006000000}">
      <text>
        <r>
          <rPr>
            <b/>
            <sz val="8"/>
            <color indexed="81"/>
            <rFont val="Tahoma"/>
            <family val="2"/>
          </rPr>
          <t>david.leonard:</t>
        </r>
        <r>
          <rPr>
            <sz val="8"/>
            <color indexed="81"/>
            <rFont val="Tahoma"/>
            <family val="2"/>
          </rPr>
          <t xml:space="preserve">
Assumes SCP 5 for 1h15 per day</t>
        </r>
      </text>
    </comment>
    <comment ref="B5" authorId="1" shapeId="0" xr:uid="{00000000-0006-0000-3F00-000007000000}">
      <text>
        <r>
          <rPr>
            <b/>
            <sz val="9"/>
            <color indexed="81"/>
            <rFont val="Tahoma"/>
            <family val="2"/>
          </rPr>
          <t>David Leonard:</t>
        </r>
        <r>
          <rPr>
            <sz val="9"/>
            <color indexed="81"/>
            <rFont val="Tahoma"/>
            <family val="2"/>
          </rPr>
          <t xml:space="preserve">
Reduced from 2.5:1</t>
        </r>
      </text>
    </comment>
    <comment ref="B11" authorId="1" shapeId="0" xr:uid="{00000000-0006-0000-3F00-000008000000}">
      <text>
        <r>
          <rPr>
            <b/>
            <sz val="9"/>
            <color indexed="81"/>
            <rFont val="Tahoma"/>
            <family val="2"/>
          </rPr>
          <t>David Leonard:</t>
        </r>
        <r>
          <rPr>
            <sz val="9"/>
            <color indexed="81"/>
            <rFont val="Tahoma"/>
            <family val="2"/>
          </rPr>
          <t xml:space="preserve">
Increased from 6:1</t>
        </r>
      </text>
    </comment>
    <comment ref="F20" authorId="0" shapeId="0" xr:uid="{00000000-0006-0000-3F00-000009000000}">
      <text>
        <r>
          <rPr>
            <b/>
            <sz val="8"/>
            <color indexed="81"/>
            <rFont val="Tahoma"/>
            <family val="2"/>
          </rPr>
          <t>david.leonard:</t>
        </r>
        <r>
          <rPr>
            <sz val="8"/>
            <color indexed="81"/>
            <rFont val="Tahoma"/>
            <family val="2"/>
          </rPr>
          <t xml:space="preserve">
Does this need reviewing?
MP - this should be reviewed in conjunction with the overall SEND startegy. To review for 2019/20 implementation. Leave for 2018/19.</t>
        </r>
      </text>
    </comment>
    <comment ref="L20" authorId="0" shapeId="0" xr:uid="{00000000-0006-0000-3F00-00000A000000}">
      <text>
        <r>
          <rPr>
            <b/>
            <sz val="8"/>
            <color indexed="81"/>
            <rFont val="Tahoma"/>
            <family val="2"/>
          </rPr>
          <t>david.leonard:</t>
        </r>
        <r>
          <rPr>
            <sz val="8"/>
            <color indexed="81"/>
            <rFont val="Tahoma"/>
            <family val="2"/>
          </rPr>
          <t xml:space="preserve">
Does this need reviewing?
MP - this should be reviewed in conjunction with the overall SEND startegy. To review for 2019/20 implementation. Leave for 2018/19.</t>
        </r>
      </text>
    </comment>
    <comment ref="B34" authorId="1" shapeId="0" xr:uid="{00000000-0006-0000-3F00-00000B000000}">
      <text>
        <r>
          <rPr>
            <b/>
            <sz val="9"/>
            <color indexed="81"/>
            <rFont val="Tahoma"/>
            <family val="2"/>
          </rPr>
          <t>David Leonard:</t>
        </r>
        <r>
          <rPr>
            <sz val="9"/>
            <color indexed="81"/>
            <rFont val="Tahoma"/>
            <family val="2"/>
          </rPr>
          <t xml:space="preserve">
Reduced from 2.5:1</t>
        </r>
      </text>
    </comment>
    <comment ref="B38" authorId="1" shapeId="0" xr:uid="{00000000-0006-0000-3F00-00000C000000}">
      <text>
        <r>
          <rPr>
            <b/>
            <sz val="9"/>
            <color indexed="81"/>
            <rFont val="Tahoma"/>
            <family val="2"/>
          </rPr>
          <t>David Leonard:</t>
        </r>
        <r>
          <rPr>
            <sz val="9"/>
            <color indexed="81"/>
            <rFont val="Tahoma"/>
            <family val="2"/>
          </rPr>
          <t xml:space="preserve">
Reduced from 2.5:1</t>
        </r>
      </text>
    </comment>
    <comment ref="B42" authorId="1" shapeId="0" xr:uid="{00000000-0006-0000-3F00-00000D000000}">
      <text>
        <r>
          <rPr>
            <b/>
            <sz val="9"/>
            <color indexed="81"/>
            <rFont val="Tahoma"/>
            <family val="2"/>
          </rPr>
          <t>David Leonard:</t>
        </r>
        <r>
          <rPr>
            <sz val="9"/>
            <color indexed="81"/>
            <rFont val="Tahoma"/>
            <family val="2"/>
          </rPr>
          <t xml:space="preserve">
Reduced from 2.5:1</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david.leonard</author>
    <author>David Leonard</author>
  </authors>
  <commentList>
    <comment ref="C3" authorId="0" shapeId="0" xr:uid="{E86E02D8-69D7-489D-865A-27E43930EC00}">
      <text>
        <r>
          <rPr>
            <b/>
            <sz val="8"/>
            <color indexed="81"/>
            <rFont val="Tahoma"/>
            <family val="2"/>
          </rPr>
          <t>david.leonard:</t>
        </r>
        <r>
          <rPr>
            <sz val="8"/>
            <color indexed="81"/>
            <rFont val="Tahoma"/>
            <family val="2"/>
          </rPr>
          <t xml:space="preserve">
Assumes M5 + £1100 TLR</t>
        </r>
      </text>
    </comment>
    <comment ref="D3" authorId="0" shapeId="0" xr:uid="{235D5281-0384-49E3-8BB0-7E03BF6A6300}">
      <text>
        <r>
          <rPr>
            <b/>
            <sz val="8"/>
            <color indexed="81"/>
            <rFont val="Tahoma"/>
            <family val="2"/>
          </rPr>
          <t>david.leonard:</t>
        </r>
        <r>
          <rPr>
            <sz val="8"/>
            <color indexed="81"/>
            <rFont val="Tahoma"/>
            <family val="2"/>
          </rPr>
          <t xml:space="preserve">
Assumes SCP12</t>
        </r>
      </text>
    </comment>
    <comment ref="E3" authorId="0" shapeId="0" xr:uid="{63AFF22B-29C9-4926-88EF-1A3D0D400DBD}">
      <text>
        <r>
          <rPr>
            <b/>
            <sz val="8"/>
            <color indexed="81"/>
            <rFont val="Tahoma"/>
            <family val="2"/>
          </rPr>
          <t>david.leonard:</t>
        </r>
        <r>
          <rPr>
            <sz val="8"/>
            <color indexed="81"/>
            <rFont val="Tahoma"/>
            <family val="2"/>
          </rPr>
          <t xml:space="preserve">
Assumes SCP 5 for 1h15 per day</t>
        </r>
      </text>
    </comment>
    <comment ref="I3" authorId="0" shapeId="0" xr:uid="{85128AD7-2DD0-461F-8238-51745F4679D9}">
      <text>
        <r>
          <rPr>
            <b/>
            <sz val="8"/>
            <color indexed="81"/>
            <rFont val="Tahoma"/>
            <family val="2"/>
          </rPr>
          <t>david.leonard:</t>
        </r>
        <r>
          <rPr>
            <sz val="8"/>
            <color indexed="81"/>
            <rFont val="Tahoma"/>
            <family val="2"/>
          </rPr>
          <t xml:space="preserve">
Assumes M6</t>
        </r>
      </text>
    </comment>
    <comment ref="J3" authorId="0" shapeId="0" xr:uid="{8E903552-BD2F-44FB-AB83-C841ACF1BFF7}">
      <text>
        <r>
          <rPr>
            <b/>
            <sz val="8"/>
            <color indexed="81"/>
            <rFont val="Tahoma"/>
            <family val="2"/>
          </rPr>
          <t>david.leonard:</t>
        </r>
        <r>
          <rPr>
            <sz val="8"/>
            <color indexed="81"/>
            <rFont val="Tahoma"/>
            <family val="2"/>
          </rPr>
          <t xml:space="preserve">
Assumes SCP 12</t>
        </r>
      </text>
    </comment>
    <comment ref="K3" authorId="0" shapeId="0" xr:uid="{3BAAA77F-D2DF-4C19-B4B9-7DF171C6E468}">
      <text>
        <r>
          <rPr>
            <b/>
            <sz val="8"/>
            <color indexed="81"/>
            <rFont val="Tahoma"/>
            <family val="2"/>
          </rPr>
          <t>david.leonard:</t>
        </r>
        <r>
          <rPr>
            <sz val="8"/>
            <color indexed="81"/>
            <rFont val="Tahoma"/>
            <family val="2"/>
          </rPr>
          <t xml:space="preserve">
Assumes SCP 5 for 1h15 per day</t>
        </r>
      </text>
    </comment>
    <comment ref="B5" authorId="1" shapeId="0" xr:uid="{D1F137DA-F392-4A14-90B9-D34355104FDA}">
      <text>
        <r>
          <rPr>
            <b/>
            <sz val="9"/>
            <color indexed="81"/>
            <rFont val="Tahoma"/>
            <family val="2"/>
          </rPr>
          <t>David Leonard:</t>
        </r>
        <r>
          <rPr>
            <sz val="9"/>
            <color indexed="81"/>
            <rFont val="Tahoma"/>
            <family val="2"/>
          </rPr>
          <t xml:space="preserve">
Reduced from 2.5:1</t>
        </r>
      </text>
    </comment>
    <comment ref="B11" authorId="1" shapeId="0" xr:uid="{E7170014-AA2D-4578-8CC3-FA790B238A8A}">
      <text>
        <r>
          <rPr>
            <b/>
            <sz val="9"/>
            <color indexed="81"/>
            <rFont val="Tahoma"/>
            <family val="2"/>
          </rPr>
          <t>David Leonard:</t>
        </r>
        <r>
          <rPr>
            <sz val="9"/>
            <color indexed="81"/>
            <rFont val="Tahoma"/>
            <family val="2"/>
          </rPr>
          <t xml:space="preserve">
Increased from 6:1</t>
        </r>
      </text>
    </comment>
    <comment ref="F20" authorId="0" shapeId="0" xr:uid="{C1FEE668-4AC2-418B-BF3F-2F3112A14D3F}">
      <text>
        <r>
          <rPr>
            <b/>
            <sz val="8"/>
            <color indexed="81"/>
            <rFont val="Tahoma"/>
            <family val="2"/>
          </rPr>
          <t>david.leonard:</t>
        </r>
        <r>
          <rPr>
            <sz val="8"/>
            <color indexed="81"/>
            <rFont val="Tahoma"/>
            <family val="2"/>
          </rPr>
          <t xml:space="preserve">
Does this need reviewing?
MP - this should be reviewed in conjunction with the overall SEND startegy. To review for 2019/20 implementation. Leave for 2018/19.</t>
        </r>
      </text>
    </comment>
    <comment ref="L20" authorId="0" shapeId="0" xr:uid="{AE169E70-7D3F-490D-B306-F278D421EB1F}">
      <text>
        <r>
          <rPr>
            <b/>
            <sz val="8"/>
            <color indexed="81"/>
            <rFont val="Tahoma"/>
            <family val="2"/>
          </rPr>
          <t>david.leonard:</t>
        </r>
        <r>
          <rPr>
            <sz val="8"/>
            <color indexed="81"/>
            <rFont val="Tahoma"/>
            <family val="2"/>
          </rPr>
          <t xml:space="preserve">
Does this need reviewing?
MP - this should be reviewed in conjunction with the overall SEND startegy. To review for 2019/20 implementation. Leave for 2018/19.</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david.leonard</author>
    <author>David Leonard</author>
  </authors>
  <commentList>
    <comment ref="C3" authorId="0" shapeId="0" xr:uid="{9B68822A-F98C-423B-9D83-D6695C356BBF}">
      <text>
        <r>
          <rPr>
            <b/>
            <sz val="8"/>
            <color indexed="81"/>
            <rFont val="Tahoma"/>
            <family val="2"/>
          </rPr>
          <t>david.leonard:</t>
        </r>
        <r>
          <rPr>
            <sz val="8"/>
            <color indexed="81"/>
            <rFont val="Tahoma"/>
            <family val="2"/>
          </rPr>
          <t xml:space="preserve">
Assumes M5 + £1100 TLR</t>
        </r>
      </text>
    </comment>
    <comment ref="D3" authorId="0" shapeId="0" xr:uid="{CF8E384D-5610-4450-AF5D-49385F8DC35F}">
      <text>
        <r>
          <rPr>
            <b/>
            <sz val="8"/>
            <color indexed="81"/>
            <rFont val="Tahoma"/>
            <family val="2"/>
          </rPr>
          <t>david.leonard:</t>
        </r>
        <r>
          <rPr>
            <sz val="8"/>
            <color indexed="81"/>
            <rFont val="Tahoma"/>
            <family val="2"/>
          </rPr>
          <t xml:space="preserve">
Assumes SCP12</t>
        </r>
      </text>
    </comment>
    <comment ref="E3" authorId="0" shapeId="0" xr:uid="{FF1F8717-3173-4A48-ADAA-0DBC9267A977}">
      <text>
        <r>
          <rPr>
            <b/>
            <sz val="8"/>
            <color indexed="81"/>
            <rFont val="Tahoma"/>
            <family val="2"/>
          </rPr>
          <t>david.leonard:</t>
        </r>
        <r>
          <rPr>
            <sz val="8"/>
            <color indexed="81"/>
            <rFont val="Tahoma"/>
            <family val="2"/>
          </rPr>
          <t xml:space="preserve">
Assumes SCP 5 for 1h15 per day</t>
        </r>
      </text>
    </comment>
    <comment ref="I3" authorId="0" shapeId="0" xr:uid="{FD81EFFA-B0AF-4C05-9222-4766B7D76199}">
      <text>
        <r>
          <rPr>
            <b/>
            <sz val="8"/>
            <color indexed="81"/>
            <rFont val="Tahoma"/>
            <family val="2"/>
          </rPr>
          <t>david.leonard:</t>
        </r>
        <r>
          <rPr>
            <sz val="8"/>
            <color indexed="81"/>
            <rFont val="Tahoma"/>
            <family val="2"/>
          </rPr>
          <t xml:space="preserve">
Assumes M6</t>
        </r>
      </text>
    </comment>
    <comment ref="J3" authorId="0" shapeId="0" xr:uid="{3E8C0775-2AD0-4C7C-B6AF-C39C1DAB93C5}">
      <text>
        <r>
          <rPr>
            <b/>
            <sz val="8"/>
            <color indexed="81"/>
            <rFont val="Tahoma"/>
            <family val="2"/>
          </rPr>
          <t>david.leonard:</t>
        </r>
        <r>
          <rPr>
            <sz val="8"/>
            <color indexed="81"/>
            <rFont val="Tahoma"/>
            <family val="2"/>
          </rPr>
          <t xml:space="preserve">
Assumes SCP 12</t>
        </r>
      </text>
    </comment>
    <comment ref="K3" authorId="0" shapeId="0" xr:uid="{4DA4A91E-13CD-4086-956C-E7F639EB0848}">
      <text>
        <r>
          <rPr>
            <b/>
            <sz val="8"/>
            <color indexed="81"/>
            <rFont val="Tahoma"/>
            <family val="2"/>
          </rPr>
          <t>david.leonard:</t>
        </r>
        <r>
          <rPr>
            <sz val="8"/>
            <color indexed="81"/>
            <rFont val="Tahoma"/>
            <family val="2"/>
          </rPr>
          <t xml:space="preserve">
Assumes SCP 5 for 1h15 per day</t>
        </r>
      </text>
    </comment>
    <comment ref="B5" authorId="1" shapeId="0" xr:uid="{C4A70499-1A60-416B-933C-E1916459009D}">
      <text>
        <r>
          <rPr>
            <b/>
            <sz val="9"/>
            <color indexed="81"/>
            <rFont val="Tahoma"/>
            <family val="2"/>
          </rPr>
          <t>David Leonard:</t>
        </r>
        <r>
          <rPr>
            <sz val="9"/>
            <color indexed="81"/>
            <rFont val="Tahoma"/>
            <family val="2"/>
          </rPr>
          <t xml:space="preserve">
Reduced from 2.5:1</t>
        </r>
      </text>
    </comment>
    <comment ref="B11" authorId="1" shapeId="0" xr:uid="{6263B733-FE21-428B-9459-BE8F052A71FC}">
      <text>
        <r>
          <rPr>
            <b/>
            <sz val="9"/>
            <color indexed="81"/>
            <rFont val="Tahoma"/>
            <family val="2"/>
          </rPr>
          <t>David Leonard:</t>
        </r>
        <r>
          <rPr>
            <sz val="9"/>
            <color indexed="81"/>
            <rFont val="Tahoma"/>
            <family val="2"/>
          </rPr>
          <t xml:space="preserve">
Increased from 6:1</t>
        </r>
      </text>
    </comment>
    <comment ref="F20" authorId="0" shapeId="0" xr:uid="{34B15329-9FAE-457A-A659-A0F7BB908F66}">
      <text>
        <r>
          <rPr>
            <b/>
            <sz val="8"/>
            <color indexed="81"/>
            <rFont val="Tahoma"/>
            <family val="2"/>
          </rPr>
          <t>david.leonard:</t>
        </r>
        <r>
          <rPr>
            <sz val="8"/>
            <color indexed="81"/>
            <rFont val="Tahoma"/>
            <family val="2"/>
          </rPr>
          <t xml:space="preserve">
Does this need reviewing?
MP - this should be reviewed in conjunction with the overall SEND startegy. To review for 2019/20 implementation. Leave for 2018/19.</t>
        </r>
      </text>
    </comment>
    <comment ref="L20" authorId="0" shapeId="0" xr:uid="{F6D2CE7F-A2FD-4F19-99B7-1AF2B6E17E6A}">
      <text>
        <r>
          <rPr>
            <b/>
            <sz val="8"/>
            <color indexed="81"/>
            <rFont val="Tahoma"/>
            <family val="2"/>
          </rPr>
          <t>david.leonard:</t>
        </r>
        <r>
          <rPr>
            <sz val="8"/>
            <color indexed="81"/>
            <rFont val="Tahoma"/>
            <family val="2"/>
          </rPr>
          <t xml:space="preserve">
Does this need reviewing?
MP - this should be reviewed in conjunction with the overall SEND startegy. To review for 2019/20 implementation. Leave for 2018/19.</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Leonard</author>
  </authors>
  <commentList>
    <comment ref="AN26" authorId="0" shapeId="0" xr:uid="{00000000-0006-0000-2500-000001000000}">
      <text>
        <r>
          <rPr>
            <b/>
            <sz val="9"/>
            <color indexed="81"/>
            <rFont val="Tahoma"/>
            <family val="2"/>
          </rPr>
          <t>David Leonard:</t>
        </r>
        <r>
          <rPr>
            <sz val="9"/>
            <color indexed="81"/>
            <rFont val="Tahoma"/>
            <family val="2"/>
          </rPr>
          <t xml:space="preserve">
Funding covers Apr to Dec 17 only, with a view to new model being in place Jan 18 (MB e-mail 16/1/17)</t>
        </r>
      </text>
    </comment>
    <comment ref="AP26" authorId="0" shapeId="0" xr:uid="{00000000-0006-0000-2500-000002000000}">
      <text>
        <r>
          <rPr>
            <b/>
            <sz val="9"/>
            <color indexed="81"/>
            <rFont val="Tahoma"/>
            <family val="2"/>
          </rPr>
          <t>David Leonard:</t>
        </r>
        <r>
          <rPr>
            <sz val="9"/>
            <color indexed="81"/>
            <rFont val="Tahoma"/>
            <family val="2"/>
          </rPr>
          <t xml:space="preserve">
Current funding agreed up to Aug 18, with an option to extend for a further 2 years (MB e-mail 3/2/16)</t>
        </r>
      </text>
    </comment>
    <comment ref="AU26" authorId="0" shapeId="0" xr:uid="{00000000-0006-0000-2500-000003000000}">
      <text>
        <r>
          <rPr>
            <b/>
            <sz val="9"/>
            <color indexed="81"/>
            <rFont val="Tahoma"/>
            <family val="2"/>
          </rPr>
          <t>David Leonard:</t>
        </r>
        <r>
          <rPr>
            <sz val="9"/>
            <color indexed="81"/>
            <rFont val="Tahoma"/>
            <family val="2"/>
          </rPr>
          <t xml:space="preserve">
Funding covers Apr to Dec 17 only, with a view to new model being in place Jan 18 (MB e-mail 16/1/17)</t>
        </r>
      </text>
    </comment>
    <comment ref="AW26" authorId="0" shapeId="0" xr:uid="{00000000-0006-0000-2500-000004000000}">
      <text>
        <r>
          <rPr>
            <b/>
            <sz val="9"/>
            <color indexed="81"/>
            <rFont val="Tahoma"/>
            <family val="2"/>
          </rPr>
          <t>David Leonard:</t>
        </r>
        <r>
          <rPr>
            <sz val="9"/>
            <color indexed="81"/>
            <rFont val="Tahoma"/>
            <family val="2"/>
          </rPr>
          <t xml:space="preserve">
Current funding agreed up to Aug 18, with an option to extend for a further 2 years (MB e-mail 3/2/16)</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David Leonard</author>
  </authors>
  <commentList>
    <comment ref="B10" authorId="0" shapeId="0" xr:uid="{00000000-0006-0000-2700-000001000000}">
      <text>
        <r>
          <rPr>
            <b/>
            <sz val="9"/>
            <color indexed="81"/>
            <rFont val="Tahoma"/>
            <family val="2"/>
          </rPr>
          <t>David Leonard:</t>
        </r>
        <r>
          <rPr>
            <sz val="9"/>
            <color indexed="81"/>
            <rFont val="Tahoma"/>
            <family val="2"/>
          </rPr>
          <t xml:space="preserve">
Excludes Home Tutoring, which is on separate code:
£117,486 - Fixed Allocation
£144,704 hourly rate estimate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David Leonard</author>
  </authors>
  <commentList>
    <comment ref="B10" authorId="0" shapeId="0" xr:uid="{00000000-0006-0000-2800-000001000000}">
      <text>
        <r>
          <rPr>
            <b/>
            <sz val="9"/>
            <color indexed="81"/>
            <rFont val="Tahoma"/>
            <family val="2"/>
          </rPr>
          <t>David Leonard:</t>
        </r>
        <r>
          <rPr>
            <sz val="9"/>
            <color indexed="81"/>
            <rFont val="Tahoma"/>
            <family val="2"/>
          </rPr>
          <t xml:space="preserve">
Excludes Home Tutoring, which is on separate code:
£117,486 - Fixed Allocation
£144,704 hourly rate estimate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David Leonard</author>
  </authors>
  <commentList>
    <comment ref="AN26" authorId="0" shapeId="0" xr:uid="{00000000-0006-0000-2C00-000001000000}">
      <text>
        <r>
          <rPr>
            <b/>
            <sz val="9"/>
            <color indexed="81"/>
            <rFont val="Tahoma"/>
            <family val="2"/>
          </rPr>
          <t>David Leonard:</t>
        </r>
        <r>
          <rPr>
            <sz val="9"/>
            <color indexed="81"/>
            <rFont val="Tahoma"/>
            <family val="2"/>
          </rPr>
          <t xml:space="preserve">
Funding covers Apr to Dec 17 only, with a view to new model being in place Jan 18 (MB e-mail 16/1/17)</t>
        </r>
      </text>
    </comment>
    <comment ref="AP26" authorId="0" shapeId="0" xr:uid="{00000000-0006-0000-2C00-000002000000}">
      <text>
        <r>
          <rPr>
            <b/>
            <sz val="9"/>
            <color indexed="81"/>
            <rFont val="Tahoma"/>
            <family val="2"/>
          </rPr>
          <t>David Leonard:</t>
        </r>
        <r>
          <rPr>
            <sz val="9"/>
            <color indexed="81"/>
            <rFont val="Tahoma"/>
            <family val="2"/>
          </rPr>
          <t xml:space="preserve">
Current funding agreed up to Aug 18, with an option to extend for a further 2 years (MB e-mail 3/2/16)</t>
        </r>
      </text>
    </comment>
    <comment ref="AU26" authorId="0" shapeId="0" xr:uid="{00000000-0006-0000-2C00-000003000000}">
      <text>
        <r>
          <rPr>
            <b/>
            <sz val="9"/>
            <color indexed="81"/>
            <rFont val="Tahoma"/>
            <family val="2"/>
          </rPr>
          <t>David Leonard:</t>
        </r>
        <r>
          <rPr>
            <sz val="9"/>
            <color indexed="81"/>
            <rFont val="Tahoma"/>
            <family val="2"/>
          </rPr>
          <t xml:space="preserve">
Funding covers Apr to Dec 17 only, with a view to new model being in place Jan 18 (MB e-mail 16/1/17)</t>
        </r>
      </text>
    </comment>
    <comment ref="AW26" authorId="0" shapeId="0" xr:uid="{00000000-0006-0000-2C00-000004000000}">
      <text>
        <r>
          <rPr>
            <b/>
            <sz val="9"/>
            <color indexed="81"/>
            <rFont val="Tahoma"/>
            <family val="2"/>
          </rPr>
          <t>David Leonard:</t>
        </r>
        <r>
          <rPr>
            <sz val="9"/>
            <color indexed="81"/>
            <rFont val="Tahoma"/>
            <family val="2"/>
          </rPr>
          <t xml:space="preserve">
Current funding agreed up to Aug 18, with an option to extend for a further 2 years (MB e-mail 3/2/16)</t>
        </r>
      </text>
    </comment>
    <comment ref="BB26" authorId="0" shapeId="0" xr:uid="{00000000-0006-0000-2C00-000005000000}">
      <text>
        <r>
          <rPr>
            <b/>
            <sz val="9"/>
            <color indexed="81"/>
            <rFont val="Tahoma"/>
            <family val="2"/>
          </rPr>
          <t>David Leonard:</t>
        </r>
        <r>
          <rPr>
            <sz val="9"/>
            <color indexed="81"/>
            <rFont val="Tahoma"/>
            <family val="2"/>
          </rPr>
          <t xml:space="preserve">
Funding covers Apr to Dec 17 only, with a view to new model being in place Jan 18 (MB e-mail 16/1/17)</t>
        </r>
      </text>
    </comment>
    <comment ref="BC26" authorId="0" shapeId="0" xr:uid="{00000000-0006-0000-2C00-000006000000}">
      <text>
        <r>
          <rPr>
            <b/>
            <sz val="9"/>
            <color indexed="81"/>
            <rFont val="Tahoma"/>
            <family val="2"/>
          </rPr>
          <t>David Leonard:</t>
        </r>
        <r>
          <rPr>
            <sz val="9"/>
            <color indexed="81"/>
            <rFont val="Tahoma"/>
            <family val="2"/>
          </rPr>
          <t xml:space="preserve">
Current funding agreed up to Aug 18, with an option to extend for a further 2 years (MB e-mail 3/2/16)</t>
        </r>
      </text>
    </comment>
    <comment ref="BG26" authorId="0" shapeId="0" xr:uid="{00000000-0006-0000-2C00-000007000000}">
      <text>
        <r>
          <rPr>
            <b/>
            <sz val="9"/>
            <color indexed="81"/>
            <rFont val="Tahoma"/>
            <family val="2"/>
          </rPr>
          <t>David Leonard:</t>
        </r>
        <r>
          <rPr>
            <sz val="9"/>
            <color indexed="81"/>
            <rFont val="Tahoma"/>
            <family val="2"/>
          </rPr>
          <t xml:space="preserve">
Funding covers Apr to Dec 17 only, with a view to new model being in place Jan 18 (MB e-mail 16/1/17)</t>
        </r>
      </text>
    </comment>
    <comment ref="BH26" authorId="0" shapeId="0" xr:uid="{00000000-0006-0000-2C00-000008000000}">
      <text>
        <r>
          <rPr>
            <b/>
            <sz val="9"/>
            <color indexed="81"/>
            <rFont val="Tahoma"/>
            <family val="2"/>
          </rPr>
          <t>David Leonard:</t>
        </r>
        <r>
          <rPr>
            <sz val="9"/>
            <color indexed="81"/>
            <rFont val="Tahoma"/>
            <family val="2"/>
          </rPr>
          <t xml:space="preserve">
Current funding agreed up to Aug 18, with an option to extend for a further 2 years (MB e-mail 3/2/16)</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David Leonard</author>
  </authors>
  <commentList>
    <comment ref="C13" authorId="0" shapeId="0" xr:uid="{00000000-0006-0000-2D00-000001000000}">
      <text>
        <r>
          <rPr>
            <b/>
            <sz val="9"/>
            <color indexed="81"/>
            <rFont val="Tahoma"/>
            <family val="2"/>
          </rPr>
          <t>David Leonard:</t>
        </r>
        <r>
          <rPr>
            <sz val="9"/>
            <color indexed="81"/>
            <rFont val="Tahoma"/>
            <family val="2"/>
          </rPr>
          <t xml:space="preserve">
E-mail from Dawn Hunt to confirm 33 FSM taken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david.leonard</author>
    <author>David Leonard</author>
  </authors>
  <commentList>
    <comment ref="C3" authorId="0" shapeId="0" xr:uid="{00000000-0006-0000-2E00-000001000000}">
      <text>
        <r>
          <rPr>
            <b/>
            <sz val="8"/>
            <color indexed="81"/>
            <rFont val="Tahoma"/>
            <family val="2"/>
          </rPr>
          <t>david.leonard:</t>
        </r>
        <r>
          <rPr>
            <sz val="8"/>
            <color indexed="81"/>
            <rFont val="Tahoma"/>
            <family val="2"/>
          </rPr>
          <t xml:space="preserve">
Assumes M6</t>
        </r>
      </text>
    </comment>
    <comment ref="D3" authorId="0" shapeId="0" xr:uid="{00000000-0006-0000-2E00-000002000000}">
      <text>
        <r>
          <rPr>
            <b/>
            <sz val="8"/>
            <color indexed="81"/>
            <rFont val="Tahoma"/>
            <family val="2"/>
          </rPr>
          <t>david.leonard:</t>
        </r>
        <r>
          <rPr>
            <sz val="8"/>
            <color indexed="81"/>
            <rFont val="Tahoma"/>
            <family val="2"/>
          </rPr>
          <t xml:space="preserve">
Assumes SCP 12</t>
        </r>
      </text>
    </comment>
    <comment ref="E3" authorId="0" shapeId="0" xr:uid="{00000000-0006-0000-2E00-000003000000}">
      <text>
        <r>
          <rPr>
            <b/>
            <sz val="8"/>
            <color indexed="81"/>
            <rFont val="Tahoma"/>
            <family val="2"/>
          </rPr>
          <t>david.leonard:</t>
        </r>
        <r>
          <rPr>
            <sz val="8"/>
            <color indexed="81"/>
            <rFont val="Tahoma"/>
            <family val="2"/>
          </rPr>
          <t xml:space="preserve">
Assumes SCP 5 for 1h15 per day</t>
        </r>
      </text>
    </comment>
    <comment ref="B5" authorId="1" shapeId="0" xr:uid="{00000000-0006-0000-2E00-000004000000}">
      <text>
        <r>
          <rPr>
            <b/>
            <sz val="9"/>
            <color indexed="81"/>
            <rFont val="Tahoma"/>
            <family val="2"/>
          </rPr>
          <t>David Leonard:</t>
        </r>
        <r>
          <rPr>
            <sz val="9"/>
            <color indexed="81"/>
            <rFont val="Tahoma"/>
            <family val="2"/>
          </rPr>
          <t xml:space="preserve">
Reduced from 2.5:1</t>
        </r>
      </text>
    </comment>
    <comment ref="B11" authorId="1" shapeId="0" xr:uid="{00000000-0006-0000-2E00-000005000000}">
      <text>
        <r>
          <rPr>
            <b/>
            <sz val="9"/>
            <color indexed="81"/>
            <rFont val="Tahoma"/>
            <family val="2"/>
          </rPr>
          <t>David Leonard:</t>
        </r>
        <r>
          <rPr>
            <sz val="9"/>
            <color indexed="81"/>
            <rFont val="Tahoma"/>
            <family val="2"/>
          </rPr>
          <t xml:space="preserve">
Increased from 6:1</t>
        </r>
      </text>
    </comment>
    <comment ref="F20" authorId="0" shapeId="0" xr:uid="{00000000-0006-0000-2E00-000006000000}">
      <text>
        <r>
          <rPr>
            <b/>
            <sz val="8"/>
            <color indexed="81"/>
            <rFont val="Tahoma"/>
            <family val="2"/>
          </rPr>
          <t>david.leonard:</t>
        </r>
        <r>
          <rPr>
            <sz val="8"/>
            <color indexed="81"/>
            <rFont val="Tahoma"/>
            <family val="2"/>
          </rPr>
          <t xml:space="preserve">
Does this need reviewing?
MP - this should be reviewed in conjunction with the overall SEND startegy. To review for 2019/20 implementation. Leave for 2018/19.</t>
        </r>
      </text>
    </comment>
    <comment ref="B34" authorId="1" shapeId="0" xr:uid="{00000000-0006-0000-2E00-000007000000}">
      <text>
        <r>
          <rPr>
            <b/>
            <sz val="9"/>
            <color indexed="81"/>
            <rFont val="Tahoma"/>
            <family val="2"/>
          </rPr>
          <t>David Leonard:</t>
        </r>
        <r>
          <rPr>
            <sz val="9"/>
            <color indexed="81"/>
            <rFont val="Tahoma"/>
            <family val="2"/>
          </rPr>
          <t xml:space="preserve">
Reduced from 2.5:1</t>
        </r>
      </text>
    </comment>
    <comment ref="B38" authorId="1" shapeId="0" xr:uid="{00000000-0006-0000-2E00-000008000000}">
      <text>
        <r>
          <rPr>
            <b/>
            <sz val="9"/>
            <color indexed="81"/>
            <rFont val="Tahoma"/>
            <family val="2"/>
          </rPr>
          <t>David Leonard:</t>
        </r>
        <r>
          <rPr>
            <sz val="9"/>
            <color indexed="81"/>
            <rFont val="Tahoma"/>
            <family val="2"/>
          </rPr>
          <t xml:space="preserve">
Reduced from 2.5:1</t>
        </r>
      </text>
    </comment>
    <comment ref="B42" authorId="1" shapeId="0" xr:uid="{00000000-0006-0000-2E00-000009000000}">
      <text>
        <r>
          <rPr>
            <b/>
            <sz val="9"/>
            <color indexed="81"/>
            <rFont val="Tahoma"/>
            <family val="2"/>
          </rPr>
          <t>David Leonard:</t>
        </r>
        <r>
          <rPr>
            <sz val="9"/>
            <color indexed="81"/>
            <rFont val="Tahoma"/>
            <family val="2"/>
          </rPr>
          <t xml:space="preserve">
Reduced from 2.5:1</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David Leonard</author>
  </authors>
  <commentList>
    <comment ref="B10" authorId="0" shapeId="0" xr:uid="{00000000-0006-0000-2F00-000001000000}">
      <text>
        <r>
          <rPr>
            <b/>
            <sz val="9"/>
            <color indexed="81"/>
            <rFont val="Tahoma"/>
            <family val="2"/>
          </rPr>
          <t>David Leonard:</t>
        </r>
        <r>
          <rPr>
            <sz val="9"/>
            <color indexed="81"/>
            <rFont val="Tahoma"/>
            <family val="2"/>
          </rPr>
          <t xml:space="preserve">
Excludes Home Tutoring, which is on separate code:
£117,486 - Fixed Allocation
£144,704 hourly rate estimate</t>
        </r>
      </text>
    </comment>
  </commentList>
</comments>
</file>

<file path=xl/sharedStrings.xml><?xml version="1.0" encoding="utf-8"?>
<sst xmlns="http://schemas.openxmlformats.org/spreadsheetml/2006/main" count="12196" uniqueCount="1684">
  <si>
    <t>Special Schools Summary</t>
  </si>
  <si>
    <t>2015/16</t>
  </si>
  <si>
    <t>2014/15</t>
  </si>
  <si>
    <t>Diff.</t>
  </si>
  <si>
    <t>Main Special Schools Formula</t>
  </si>
  <si>
    <t>General growth in places.</t>
  </si>
  <si>
    <t>PFI Factor</t>
  </si>
  <si>
    <t>RPIX Increase</t>
  </si>
  <si>
    <t>Outreach Funding</t>
  </si>
  <si>
    <t>*</t>
  </si>
  <si>
    <t>Portage Funding</t>
  </si>
  <si>
    <t>Residential Funding</t>
  </si>
  <si>
    <t>Hospital Schools - Boston Pilgrim</t>
  </si>
  <si>
    <t>Increase based on final 2013/14 spend.</t>
  </si>
  <si>
    <t>Hospital Schools - Ash Villa</t>
  </si>
  <si>
    <t>Increase from 9FTE places to 13FTE places.</t>
  </si>
  <si>
    <t>2015/16 Budget Requirement</t>
  </si>
  <si>
    <t>2014/15 Budget Requirement (SAP)</t>
  </si>
  <si>
    <t>2014/15 Outreach Pathfinder Funding</t>
  </si>
  <si>
    <t>Difference</t>
  </si>
  <si>
    <t>Lincolnshire received the following increase in HN funding, which will part support the increase in costs.</t>
  </si>
  <si>
    <t>But the Pilgrim school increase is only a temporary measure until the service is reviewed.</t>
  </si>
  <si>
    <t>The shortfall will need to met from Headroom</t>
  </si>
  <si>
    <t>Originally Reported Headroom</t>
  </si>
  <si>
    <t>Budget Shares Spreadsheet (30.03.2015)</t>
  </si>
  <si>
    <t>Revised Headroom Position</t>
  </si>
  <si>
    <t>In-year Commissioned Places</t>
  </si>
  <si>
    <t>Flexibility - last year's budget provision (already budgeted for)</t>
  </si>
  <si>
    <t>2016/17</t>
  </si>
  <si>
    <t>decrease due to one-off DSG funding</t>
  </si>
  <si>
    <t>2016/17 Budget Requirement</t>
  </si>
  <si>
    <t>2015/16 Budget Requirement (Agresso)</t>
  </si>
  <si>
    <t>2015/16 Outreach Pathfinder Funding</t>
  </si>
  <si>
    <t>Special Schools Funding - Lincolnshire Model 2013/14</t>
  </si>
  <si>
    <t>Band Descriptors</t>
  </si>
  <si>
    <t>Staffing Ratio</t>
  </si>
  <si>
    <t>Band Values</t>
  </si>
  <si>
    <t>Principles</t>
  </si>
  <si>
    <t>The calculation of a Band includes the staffing costs for a Teacher and a Teaching Assistant. For example, Band 2 has a staffing ratio of 5 to 1, which will be calculated using a 10 to 2 ratio that will consist of one Teacher and one Teaching Assistant.</t>
  </si>
  <si>
    <t>Band 1</t>
  </si>
  <si>
    <t>2.5 to 1 Ratio</t>
  </si>
  <si>
    <t xml:space="preserve">A Teachers salary will be based on an FTE post using Teachers Pay and Grading Conditions, and the pay scales have taken account of the 2010 pay award. </t>
  </si>
  <si>
    <t>Band 2</t>
  </si>
  <si>
    <t>5 to 1 Ratio</t>
  </si>
  <si>
    <t xml:space="preserve">The average teacher costs across the whole Special Schools sector (including the pay award) have been applied consistently across the Bands. </t>
  </si>
  <si>
    <t>Band 3</t>
  </si>
  <si>
    <t>6 to 1 Ratio</t>
  </si>
  <si>
    <t>Threshold payments through Upper Scale points have been taken into account when calculating the average teacher costs.</t>
  </si>
  <si>
    <t>Band 4</t>
  </si>
  <si>
    <t xml:space="preserve">The first SEN Allowance has been applied to the Special Schools classroom teacher. </t>
  </si>
  <si>
    <t>The same average principle is applied for Teaching Assistant salaries. Salaries are paid through the equated pay approach.</t>
  </si>
  <si>
    <t>Band 5</t>
  </si>
  <si>
    <t>A Teaching Assistant position is based on 32.5 hours per week (i.e. 1 FTE)</t>
  </si>
  <si>
    <t>Sickness Absence Insurance Premium have been factored into the Band values for both a Teacher and Teaching Assistant.</t>
  </si>
  <si>
    <t>Additionality</t>
  </si>
  <si>
    <t>Midday Supervisor's have been incorporated into the Band Values on a 10 to 1 staffing ratio.</t>
  </si>
  <si>
    <t>Fixed Allocations</t>
  </si>
  <si>
    <t>Group Value of Special School</t>
  </si>
  <si>
    <t>Staffing Block</t>
  </si>
  <si>
    <t>Non-Staffing Block</t>
  </si>
  <si>
    <t>Staffing Block consisting of the typical cost drivers:</t>
  </si>
  <si>
    <t>Non-Staffing Block consisting of the typical cost drivers:</t>
  </si>
  <si>
    <t>Group 3</t>
  </si>
  <si>
    <t>Leadership Team</t>
  </si>
  <si>
    <t>Finance Buyback</t>
  </si>
  <si>
    <t>Group 4</t>
  </si>
  <si>
    <t>TLR Payments</t>
  </si>
  <si>
    <t>HR Buyback</t>
  </si>
  <si>
    <t>Group 5</t>
  </si>
  <si>
    <t>School Business Manager / Bursar</t>
  </si>
  <si>
    <t>Payroll Buyback</t>
  </si>
  <si>
    <t>Group 6</t>
  </si>
  <si>
    <t>Site Manager / Caretaker</t>
  </si>
  <si>
    <t>I.T Buyback</t>
  </si>
  <si>
    <t>Group 3 (PFI School)</t>
  </si>
  <si>
    <t>Cleaners</t>
  </si>
  <si>
    <t>Insurances Buyback</t>
  </si>
  <si>
    <t>Group 4 (PFI School)</t>
  </si>
  <si>
    <t>Clerk to Governor</t>
  </si>
  <si>
    <t>R&amp;M Buyback</t>
  </si>
  <si>
    <t>Administrator</t>
  </si>
  <si>
    <t>Licences Buyback</t>
  </si>
  <si>
    <t>Cook</t>
  </si>
  <si>
    <t>Energy (Water / Electricity / Gas or Oil)</t>
  </si>
  <si>
    <t>Catering Assistant(s)</t>
  </si>
  <si>
    <t>Outdoor &amp; Grounds Maintenance</t>
  </si>
  <si>
    <t>Refuse Collection</t>
  </si>
  <si>
    <t>Cleaning Materials</t>
  </si>
  <si>
    <t>Admin Supplies</t>
  </si>
  <si>
    <t>Telephones</t>
  </si>
  <si>
    <t>Training &amp; Development</t>
  </si>
  <si>
    <t>Educational Learning Materials</t>
  </si>
  <si>
    <t>Photocopier</t>
  </si>
  <si>
    <t>Lincolnshire Special Schools Funding Formula</t>
  </si>
  <si>
    <t>SPECIAL SCHOOLS FUNDING</t>
  </si>
  <si>
    <t>DfE No:</t>
  </si>
  <si>
    <t>Calculation Required for Minimum Funding Guarantee Purposes</t>
  </si>
  <si>
    <t>Final Indicative Funding for 2016/17</t>
  </si>
  <si>
    <t>Special School Formula Factors</t>
  </si>
  <si>
    <t>2015/16 Funding</t>
  </si>
  <si>
    <t>Original 2016/17 Funding</t>
  </si>
  <si>
    <t>Indicative 2016/17 Funding</t>
  </si>
  <si>
    <t>Assessment Places Banded Funding</t>
  </si>
  <si>
    <t>Banded Funding</t>
  </si>
  <si>
    <t>Band 5 Additionality Banded Funding</t>
  </si>
  <si>
    <t>Free School Meals</t>
  </si>
  <si>
    <t>LSN Costs</t>
  </si>
  <si>
    <t>Minimum Funding Guarantee Allocation</t>
  </si>
  <si>
    <t>Indicative Place and Top up Funding *</t>
  </si>
  <si>
    <t>Indicative Place and Top up Funding</t>
  </si>
  <si>
    <t>Minimum Funding Guarantee (MFG) Protection Budget</t>
  </si>
  <si>
    <t>Other Special Schools Funding Arrangements</t>
  </si>
  <si>
    <t>Site Factor</t>
  </si>
  <si>
    <t>Average 2015/16</t>
  </si>
  <si>
    <t>PFI Block Allocation</t>
  </si>
  <si>
    <t>Number on Roll</t>
  </si>
  <si>
    <t>Split Site Allocation</t>
  </si>
  <si>
    <r>
      <t xml:space="preserve">Total Funding Per Place </t>
    </r>
    <r>
      <rPr>
        <i/>
        <sz val="10"/>
        <rFont val="Arial"/>
        <family val="2"/>
      </rPr>
      <t>(MFG)</t>
    </r>
  </si>
  <si>
    <t>Commissioned Arrangements</t>
  </si>
  <si>
    <r>
      <t xml:space="preserve">Place-led Funding </t>
    </r>
    <r>
      <rPr>
        <i/>
        <sz val="10"/>
        <rFont val="Arial"/>
        <family val="2"/>
      </rPr>
      <t>(MFG)</t>
    </r>
  </si>
  <si>
    <r>
      <t xml:space="preserve">Top up Funding per Place </t>
    </r>
    <r>
      <rPr>
        <i/>
        <sz val="10"/>
        <rFont val="Arial"/>
        <family val="2"/>
      </rPr>
      <t>(MFG)</t>
    </r>
  </si>
  <si>
    <t>Total Other Special Schools Funding Arrangements</t>
  </si>
  <si>
    <t>Agreed Top up Funding Per Place 2016/17</t>
  </si>
  <si>
    <t>2016/17 Final Indicative Budget Share</t>
  </si>
  <si>
    <t>Agreed MFG Funding 2016/17</t>
  </si>
  <si>
    <t>Band Descriptor Profile</t>
  </si>
  <si>
    <t>School Percentage Profile</t>
  </si>
  <si>
    <t>Agreed 2016/17 Place Numbers</t>
  </si>
  <si>
    <t>Places</t>
  </si>
  <si>
    <t>Assessment: April 16 - August 16</t>
  </si>
  <si>
    <t>Assessment: September 16 - March 17</t>
  </si>
  <si>
    <t>Pre-16: April 16 - August 16</t>
  </si>
  <si>
    <t>Pre-16: September 16 - March 17</t>
  </si>
  <si>
    <t>Additional Pupils Placed</t>
  </si>
  <si>
    <t>Average Band Value</t>
  </si>
  <si>
    <t>Post-16: April 16 - July 16</t>
  </si>
  <si>
    <t>Commissioned Place Value</t>
  </si>
  <si>
    <t>Post-16: August 16 - March 17</t>
  </si>
  <si>
    <t>Special Schools Funding Formula 2016/17</t>
  </si>
  <si>
    <t>Band Descriptor</t>
  </si>
  <si>
    <t>Description: further detail provided relating to the principles of the band values</t>
  </si>
  <si>
    <t>A ratio of 2.5 to 1, requires for every 10 children, 1 Teacher &amp; 3 TAs.</t>
  </si>
  <si>
    <t>A ratio of 5 to 1, requires for every 10 children, 1 Teacher &amp; 1 TA.</t>
  </si>
  <si>
    <t>A ratio of 6 to 1, requires for every 12 children, 1 Teacher &amp; 1 TA.</t>
  </si>
  <si>
    <t>Additionally</t>
  </si>
  <si>
    <t xml:space="preserve">Supplement factor to be applied to take into account the further access to programmes offered by schools. </t>
  </si>
  <si>
    <t>Additional Allocations</t>
  </si>
  <si>
    <t>PFI Block</t>
  </si>
  <si>
    <t>Lincoln Fortuna (PFI)</t>
  </si>
  <si>
    <t>Grantham Phoenix (PFI)</t>
  </si>
  <si>
    <t>Lincoln Sincil Sports College (PFI)</t>
  </si>
  <si>
    <t>Group 6/7</t>
  </si>
  <si>
    <t>Spilsby The Lady Jane Franklin (PFI)</t>
  </si>
  <si>
    <t xml:space="preserve">1. Calculation required for minimum funding guarantee (MFG) purposes: Lincolnshire's Special Schools funding formula details a schools funding allocation by each factor for 2015/16 (schools published indicative budget for 2015/16 brought forward). 
* Please note: PFI special school block allocations and split-site factor are identified separately from these funding streams for the purpose of calculating the place and top up funding for the MFG.
</t>
  </si>
  <si>
    <t xml:space="preserve">11. Indicative Funding for 2016/17 inclusive of the MFG allocation (where applicable) relating to place and top up arrangements. The section provides a clear audit trail of how Lincolnshire special schools are funded through the agreed formula factors for 2016/17, before being presented through the DfE's place and top up arrangements. </t>
  </si>
  <si>
    <t xml:space="preserve">2. The basis of how special schools are funded: 
• Lincolnshire special schools are funded based on the agreed funding formula implemented in 2011/12, which includes: a staffing block, non-staffing block and banded funding to name the main funding streams. The group size classification for determining the block allocations are based on the October 2015 census. 
• Banded funding continues to be categorised between assessment places; pre-16 / post-16 places, and the band 5 additionality for extended day provision. The fundamental calculations remain the same, but this approach is to provide greater clarity to schools. Assessment places for the 2016/17 academic year have not been built into the agreed place numbers for that period, since a review is taking place on how assessment provision should operate in Lincolnshire going forward. The band moderation that adjusted banded funding for 2014/15 still remains in place.
• The Education Funding Agency (EFA) process for agreeing place numbers is based on a lagged funding system due to EFA timing requirements (namely, using Autumn 2015 data to influence 2016/17 academic year place numbers). Local Authorities have the ability to change place numbers for the 2016/17 academic year as per the published DfE high needs guidance (unlike in 2015/16), which Lincolnshire has acted upon. 
• The Local Authority has consulted with all special schools on 2016/17 academic year place numbers and the agreed places are reflected in the 2016/17 indicative budget share through the banded funding. Due to the Schools Funding Regulations requiring the carry forward of the academic year 2015/16 'post-16 places' to the following academic year, place number adjustments are reflected in the pre-16 place numbers. 
• The Local Authority intentions were to ensure place numbers typically reflect the pupil numbers in the school, albeit a year lagged, by using the autumn 2015 pupil information. The Local Authority feel the lagged approach outlined is a good balance between giving schools financial certainty of funding and ensuring place numbers typically reflect those placed in your school. The latter will ensure effective use of resources for the public purse (namely, Lincolnshire's Dedicated Schools Grant). Where a special school encounters a change in pupil numbers, the in-year adjustments process that is undertaken on a termly basis for commissioned place funding or top up funding adjustments will need consideration by the school.
• Through the creation of the lagged funding system, special schools with changing pupil numbers (both downwards and upwards) will be required to use the in-year adjustments schedule within the medium-term finance plan to understanding the funding implications. For example, where more places are occupied than the agreed place number, schools will be entitled to commissioned place funding at the schools average band value (marginal cost) for the period where they are over that threshold – this would equate to the same level of banded funding for the school had the places been increased at the start of the year and the pupil remained at the school throughout the period, hence it is purely a timing difference and funding is released in the correct financial year. 
• The place numbers for pre-16 and post-16 fund the following periods for the financial year 2016/17:
 Academic Year (AY) 2015/16 places: pre-16 (April 16 - August 16) and post-16 (April 16 - July 16);
 Academic Year (AY) 2016/17 places: pre-16 (September 16 - March 17) and post 16 (August 16 - March 17).
</t>
  </si>
  <si>
    <r>
      <t>12. Site Factor - PFI Block Allocation: the PFI Block formula factor is treated outside of the place and top up funding arrangements, due to the contractual relationship entered into by the Local Authority / school. This is an allowable exception. The charge applicable to the school will equal the PFI Block value. The PFI charge is based on the school's share of the overall floor space of the seven PFI school buildings.</t>
    </r>
    <r>
      <rPr>
        <sz val="10"/>
        <color rgb="FFFF0000"/>
        <rFont val="Arial"/>
        <family val="2"/>
      </rPr>
      <t xml:space="preserve"> </t>
    </r>
  </si>
  <si>
    <t>13: Site Factor - Split Site allocation: where a single school operates over two or more locations and meets the split site policy criteria, schools are entitled to funding which represents the additional costs of operation compared to being on one site.</t>
  </si>
  <si>
    <t xml:space="preserve">14. Portage (commissioned arrangements): A Memorandum of Understanding has been established between the commissioned school and Local Authority outlining the desired outcomes from this funding. This continues to be an annual agreement, and a standard allocation per school (£35,258). </t>
  </si>
  <si>
    <t>15. Outreach (commissioned arrangements): The outreach arrangements for physical difficulties and learning difficulties have been awarded, and the schools funding represents this new arrangement in place. The length of the contract is for the period 1st September 2015 to 31st August 2018.</t>
  </si>
  <si>
    <t>16. Residential (commissioned arrangements): The current arrangements will continue in 2016/17. The residential arrangements are however subject to the wider review of special schools provision.</t>
  </si>
  <si>
    <t>17. Total Other Special Schools Funding Arrangements: the total funding relating to site factor arrangements and commissioned functions (notes: 12 to 16).</t>
  </si>
  <si>
    <t>18. 2016/17 Final Indicative Budget Share: Indicative 2016/17 funding (11) relating to the main special school formula factors including MFG funding where applicable (place and top up) and Other Special School funding Arrangements (17).</t>
  </si>
  <si>
    <t xml:space="preserve">19. School Band Profile: The schools percentage banding profile across the five band descriptors moderated in January 2014 by the Local Authority and a special school head teacher from another school.    </t>
  </si>
  <si>
    <t>• The funding application for maintained and academy special schools are the same for the special schools funding formula / place &amp; top up funding. For academy special schools, place funding is allocated directly by the EFA (recouped from Lincolnshire's DSG), as opposed to the Local Authority allocating the funding. Top up funding remains the responsibility of the Local Authority.</t>
  </si>
  <si>
    <t xml:space="preserve">20. Commissioned Place Value: The average band value determined for the school based on the school banding profile. This commissioned place value will be used to determine the additional level of funding which a school will receive when they go above the determined funded places across a financial year. The medium term finance plan will allow a school to project such funding. The commissioned place value is there to support the marginal costs of admitting an additional pupil. With the creation of the lagged place funding system for special schools, schools with rising levels of agreed places will need to build this commissioned funding into their current and future years financial planning to ensure the schools overall level of funding is understood. Funding will be allocated through a termly adjustment based on the schools termly return outlining weekly numbers. </t>
  </si>
  <si>
    <t>3. Calculation required for MFG purposes: Indicative place and top up funding for 2016/17 based on Lincolnshire's agreed special schools formula to help determine whether the school is entitled to a MFG allocation.</t>
  </si>
  <si>
    <t xml:space="preserve">4. The MFG protection for 2016/17 budgets applies the following DfE approach: if the funding formula allocations remain the same between the two financial years, the schools budget must not reduce by more than 1.5%. The DfE's MFG arrangements however does not protect the school places funding, therefore a schools or academies budget will change if place numbers have changed. Where a school or academies top up rate is greater in 2016/17 than the MFG rate, the 2016/17 top up rate will apply. </t>
  </si>
  <si>
    <t>21. Designated Assessment Class provision: Number of assessment places from 2015/16 funding will only continue for the period April 16 to August 16. Assessment places for the 2016/17 academic year have not been built into the agreed place numbers, since a review is taking place on how assessment provision should operate in Lincolnshire going forward.</t>
  </si>
  <si>
    <t>5. Number on Roll: The Average Number / Places agreed across the financial year are based on those  agreed with schools / EFA. As outlined in section 2, post 16 place numbers for the AY2015/16 have been rolled forward for AY2016/17 due to School Funding Regulation requirements.</t>
  </si>
  <si>
    <t>22. Pre-16 Places: Agreed number of school places for pre-16 provision. The AY2016/17 numbers represent the variance between total number of places to be funded, less the number of post-16 places rolled forward from the AY2015/16 to ensure compliance with the School Regulations. The periods of funding are as follow: April 16 - August 16 (AY2015/16 brought forward places) and September 16 - March 17 (newly agreed places). Such places have been used to calculate schools banded funding. In-year commissioned funding will be applicable for schools where the net FTE pupil numbers go above the agreed place level. Top up funding is however deducted where net FTE pupil numbers are below the agreed place level, in line with EFA principle of top up funding following the child.</t>
  </si>
  <si>
    <r>
      <t xml:space="preserve">6. Total Funding per Place: The average number / places agreed is divided into the total funding derived from the special schools funding formula to identify the total cost per place. </t>
    </r>
    <r>
      <rPr>
        <i/>
        <sz val="10"/>
        <rFont val="Arial"/>
        <family val="2"/>
      </rPr>
      <t xml:space="preserve">Italics identify the MFG Total Cost per Place. </t>
    </r>
  </si>
  <si>
    <t>7. Place-led Funding: The agreed place-led funding determined by the DfE (£10,000). Place funding for both pre-16 and post-16 are the same monetary value.</t>
  </si>
  <si>
    <t>23. Post-16 Places: Agreed number of school places for post-16 provision. The AY2015/16 place numbers have been rolled forward to the AY2016/17 to ensure compliance with the School Funding Regulations. The periods of funding are as follow: April 16 - July 16 and August 16 - March 17. The in-year adjustments process follows the same principle as pre-16 places (see note: 22).</t>
  </si>
  <si>
    <t xml:space="preserve">8. Top up funding per place: Deducting the £10,000 place-led funding from the total cost per place to identify the top up funding rates for the MFG protection and the 2016/17 value. </t>
  </si>
  <si>
    <t>9. Agreed Top up funding per Place: The higher of the two top up values (MFG 2015/16 rate versus 2016/17 rate) will apply for 2016/17. This agreed top up value calculates a schools indicative top up funding. Top up funding will follow the child, therefore adjustments will be made to reflect real-time movements. Prior to the school funding reforms of 2013/14, funding was not removed mid-year from special school. Where the number of placement weeks is lower than the indicative top up funding total weeks per term, the school will have top up funding removed for those weeks (based on the schools top up value). This will form part of the termly adjustments process. Please see tabs ''DfE Special Schools Budget Presentation 2016/17' and 'ISB Weightings' for more information.</t>
  </si>
  <si>
    <t>24. Special school band descriptors detailing staffing ratio's and monetary sums that determine a school banded funding and commissioned place value. The band values remain cash flat for 2016/17, which is the same approach applied for the mainstream and early years sectors.</t>
  </si>
  <si>
    <t>25. Special Schools funding block allocations for 2016/17. The block allocations remain cash flat for 2016/17.</t>
  </si>
  <si>
    <t>10. Agreed MFG funding for 2016/17: Calculated by identifying the difference between the top up funding per place (2016/17) and MFG value per place, and multiplied by the 2016/17 place numbers, where applicable. This MFG funding is incorporated into the Final Indicative Funding for 2016/17.</t>
  </si>
  <si>
    <t>Special Schools Funding - Lincolnshire Model 2016/17 - Pre &amp; Post 16 Children</t>
  </si>
  <si>
    <t>MFG is for the protection of Pupil-led Funding</t>
  </si>
  <si>
    <t>MFG Per Pupil Variable Budget</t>
  </si>
  <si>
    <t>DfE Number</t>
  </si>
  <si>
    <t>School</t>
  </si>
  <si>
    <t>Group</t>
  </si>
  <si>
    <t>Split-Site Factor</t>
  </si>
  <si>
    <t>Pre-16 &amp; Post-16 Banded Funding</t>
  </si>
  <si>
    <t>Free School Meal Funding</t>
  </si>
  <si>
    <t>LSN Costs Delegation</t>
  </si>
  <si>
    <t>Total Funding</t>
  </si>
  <si>
    <t>Total Funding (less PFI) - Removed from Place/Top up</t>
  </si>
  <si>
    <t>2016/17 Places</t>
  </si>
  <si>
    <t>Total Funding Place</t>
  </si>
  <si>
    <t>Place-led Funding</t>
  </si>
  <si>
    <t>Top up Funding</t>
  </si>
  <si>
    <t>MFG Top up</t>
  </si>
  <si>
    <t>Agreed  Top up</t>
  </si>
  <si>
    <t>Total Cost per Place</t>
  </si>
  <si>
    <t>MFG Top up Add'</t>
  </si>
  <si>
    <t>Final Budgets</t>
  </si>
  <si>
    <t>MFG Final Budget (98.5%)</t>
  </si>
  <si>
    <t>MFG Total Place Value</t>
  </si>
  <si>
    <t>MFG Top up Value</t>
  </si>
  <si>
    <t>Variable Budget</t>
  </si>
  <si>
    <t>Per Pupil Variable Budget</t>
  </si>
  <si>
    <t>Boston John Fielding</t>
  </si>
  <si>
    <t>A</t>
  </si>
  <si>
    <t>A.</t>
  </si>
  <si>
    <t>Grantham Sandon</t>
  </si>
  <si>
    <t>Louth St Bernard's</t>
  </si>
  <si>
    <t>Spalding The Garth</t>
  </si>
  <si>
    <t>Spilsby The Eresby</t>
  </si>
  <si>
    <t>Gosberton House</t>
  </si>
  <si>
    <t>Grantham Ambergate</t>
  </si>
  <si>
    <t>Spalding The Priory</t>
  </si>
  <si>
    <t>Bourne Willoughby</t>
  </si>
  <si>
    <t>Horncastle St Lawrence</t>
  </si>
  <si>
    <t>Lincoln St Christopher's</t>
  </si>
  <si>
    <r>
      <rPr>
        <u/>
        <sz val="10"/>
        <color rgb="FFFF0000"/>
        <rFont val="Arial"/>
        <family val="2"/>
      </rPr>
      <t>St Christopher's</t>
    </r>
    <r>
      <rPr>
        <sz val="10"/>
        <color rgb="FFFF0000"/>
        <rFont val="Arial"/>
        <family val="2"/>
      </rPr>
      <t>: the cost place value is below £10,000 (negative value top up / MFG top up), therefore cell U14 has had an 'if statement' added to put it back to a zero top up. The split site factor has been removed from place and top up funding total.</t>
    </r>
  </si>
  <si>
    <t xml:space="preserve">Lincoln St Francis </t>
  </si>
  <si>
    <t xml:space="preserve">Gainsborough Warren Wood </t>
  </si>
  <si>
    <t>Gainsborough Aegir</t>
  </si>
  <si>
    <t>2015/16 Final Published Figure</t>
  </si>
  <si>
    <t>Released</t>
  </si>
  <si>
    <t>Explainable / Reasonable</t>
  </si>
  <si>
    <t>To be updated</t>
  </si>
  <si>
    <t>Banding Increase</t>
  </si>
  <si>
    <t>Place Number Increase</t>
  </si>
  <si>
    <t>Cost per Band</t>
  </si>
  <si>
    <t>Passes Reasonable Test</t>
  </si>
  <si>
    <t>Special Schools Band Descriptors</t>
  </si>
  <si>
    <t>Group Size - Colour code</t>
  </si>
  <si>
    <t>No change.</t>
  </si>
  <si>
    <t>2016/17 Budget Share Calculations</t>
  </si>
  <si>
    <t>Awaiting academy information.</t>
  </si>
  <si>
    <t>April - August (Pre-16)</t>
  </si>
  <si>
    <t>Numbers agreed as per EFA return (2015/16 Return)</t>
  </si>
  <si>
    <t>Change - upwards</t>
  </si>
  <si>
    <t>DfE Funding Methodology</t>
  </si>
  <si>
    <t>Change - downwards</t>
  </si>
  <si>
    <t>% Band 1</t>
  </si>
  <si>
    <t xml:space="preserve">% Band 2 </t>
  </si>
  <si>
    <t>% Band 3</t>
  </si>
  <si>
    <t>%Band 4</t>
  </si>
  <si>
    <t>% Band 5</t>
  </si>
  <si>
    <t>Assessment Places</t>
  </si>
  <si>
    <t>Pre-16 Places</t>
  </si>
  <si>
    <t>Total Pre-16</t>
  </si>
  <si>
    <t>Assessment Funding (Apr-Aug)</t>
  </si>
  <si>
    <t>Pre-16 Funding (Apr-Aug)</t>
  </si>
  <si>
    <t>Additionality Funding (Apr-Aug)</t>
  </si>
  <si>
    <t>Total Funding (Apr-Aug)</t>
  </si>
  <si>
    <t>Place Funding (Apr-Aug)</t>
  </si>
  <si>
    <t>Top up Funding (Apr-Aug)</t>
  </si>
  <si>
    <t>MP Notes / Checks</t>
  </si>
  <si>
    <t>Band profiles remain the same as the prior year.</t>
  </si>
  <si>
    <t>April-August pre-16 place number accurate - reflect LJF increase from 55 to 60 places; Gainsborough pre &amp; post-16 number adjustment (no change overall) and Willoughby removal of assessment places (not in operation) to pre-16 places.</t>
  </si>
  <si>
    <t>Lincoln Fortuna</t>
  </si>
  <si>
    <r>
      <t xml:space="preserve">Group size classification: 5 schools have had an increase in its groups size (1) Willoughby and St Lawrence were downgraded in 2015/16; Fortuna is a growing school and is the same group size as the secondary BESD schools; (3) Garth and Ambergate places have increased based on the Autumn 2015 census, which pupil numbers / staff are used for the group size calculation. </t>
    </r>
    <r>
      <rPr>
        <b/>
        <sz val="10"/>
        <color theme="4" tint="-0.249977111117893"/>
        <rFont val="Arial"/>
        <family val="2"/>
      </rPr>
      <t>DL to check current and previous thresholds for reasonableness check. In additional, LJF group size to be checked.</t>
    </r>
  </si>
  <si>
    <t>Grantham Phoenix</t>
  </si>
  <si>
    <t>Group sizes: accurately brought forward into 2016/17 Funding Detail tab.</t>
  </si>
  <si>
    <t>Lincoln Sincil Sports College</t>
  </si>
  <si>
    <t>Spilsby The Lady Jane Franklin</t>
  </si>
  <si>
    <t>April - July (Post-16)</t>
  </si>
  <si>
    <t>Post-16</t>
  </si>
  <si>
    <t>Post-16 Funding (Apr-Jul)</t>
  </si>
  <si>
    <t>Additionality Funding (Apr-Jul)</t>
  </si>
  <si>
    <t>Post-16 Place Funding</t>
  </si>
  <si>
    <t>Top up Funding (Apr-Jul)</t>
  </si>
  <si>
    <t>Post 16 place numbers accurately brought forward from 2015/16.</t>
  </si>
  <si>
    <t>September - March (Pre-16)</t>
  </si>
  <si>
    <t>Assessment Funding (Sept-Mar)</t>
  </si>
  <si>
    <t>Pre-16 Funding (Sept-Mar)</t>
  </si>
  <si>
    <t>Additionality Funding (Sept-Mar)</t>
  </si>
  <si>
    <t>Pre-16 Funding (Sept - Mar)</t>
  </si>
  <si>
    <t>Place Funding (Sept - Mar)</t>
  </si>
  <si>
    <t>Top up Funding (Sept-Mar)</t>
  </si>
  <si>
    <t>Place numbers are aligned to agreements made with schools.</t>
  </si>
  <si>
    <t>August - March (Post-16)</t>
  </si>
  <si>
    <t>Post-16 Funding (Aug-Mar)</t>
  </si>
  <si>
    <t>Additionality Funding (Aug-Mar)</t>
  </si>
  <si>
    <t>Top up Funding (Aug-Mar)</t>
  </si>
  <si>
    <t>Post 16 place numbers accurately brought forward from 2015/16 due to school regulations.</t>
  </si>
  <si>
    <t>Band 5 Additionality</t>
  </si>
  <si>
    <t>Pre-16</t>
  </si>
  <si>
    <t>Summary</t>
  </si>
  <si>
    <t>Final Place &amp; Top up Funding</t>
  </si>
  <si>
    <t>Total Assessment Funding</t>
  </si>
  <si>
    <t>Total Pre-16 Funding</t>
  </si>
  <si>
    <t>Total Post-16 Funding</t>
  </si>
  <si>
    <t>Total Pre &amp; Post-16 Funding</t>
  </si>
  <si>
    <t>Total Additionality Funding</t>
  </si>
  <si>
    <t>Total Pre &amp; Post-16 Additionality</t>
  </si>
  <si>
    <t>Average Places</t>
  </si>
  <si>
    <t>Ave. Band Value</t>
  </si>
  <si>
    <t>Pre-16 Place Funding</t>
  </si>
  <si>
    <t>Total Place Funding</t>
  </si>
  <si>
    <t>Pre-16 Top up Apr-Aug</t>
  </si>
  <si>
    <t>Pre-16 Top up Sept-Mar</t>
  </si>
  <si>
    <t>Total Pre-16 Top up Funding</t>
  </si>
  <si>
    <t>Post-16 Top up Apr-Jul</t>
  </si>
  <si>
    <t>Post-16 Top up Aug-Mar</t>
  </si>
  <si>
    <t>Total Post-16 Top up Funding</t>
  </si>
  <si>
    <t>Total Top up Funding</t>
  </si>
  <si>
    <t>OUTREACH/PORTAGE FUNDING - Overview</t>
  </si>
  <si>
    <t>Ending 31st Dec 14</t>
  </si>
  <si>
    <t>Aug - Mar</t>
  </si>
  <si>
    <t>2011-12 Portage Approach</t>
  </si>
  <si>
    <t>2012-13 Portage Approach</t>
  </si>
  <si>
    <t>2013-14 Portage Approach</t>
  </si>
  <si>
    <t>2014-15 Portage Approach</t>
  </si>
  <si>
    <t>2012-13 Specialist Schools Funding</t>
  </si>
  <si>
    <t>2013-14 Specialist Schools Funding</t>
  </si>
  <si>
    <t>2014-15 Specialist Schools Funding</t>
  </si>
  <si>
    <t>2011-12 Outreach Places</t>
  </si>
  <si>
    <t>2011-12 Outreach Funding</t>
  </si>
  <si>
    <t>2012-13 Outreach Funding</t>
  </si>
  <si>
    <t>2013-14 Outreach Funding</t>
  </si>
  <si>
    <t>2014-15 Outreach Funding</t>
  </si>
  <si>
    <t xml:space="preserve">2012-13 Residential Funding </t>
  </si>
  <si>
    <t xml:space="preserve">2013-14 Residential Funding </t>
  </si>
  <si>
    <t xml:space="preserve">2014-15 Residential Funding </t>
  </si>
  <si>
    <t>2014-15 Pathfinder Outreach Funding</t>
  </si>
  <si>
    <t>Bursar Funding 16-19</t>
  </si>
  <si>
    <t>Total Commissioned funding</t>
  </si>
  <si>
    <t>2015-16 Portage Approach</t>
  </si>
  <si>
    <t>2015-16 Specialist Schools Funding</t>
  </si>
  <si>
    <t>2015-16 Outreach Funding</t>
  </si>
  <si>
    <t>2015-16 Pathfinder Outreach Funding</t>
  </si>
  <si>
    <t xml:space="preserve">2015-16 Residential Funding </t>
  </si>
  <si>
    <t>Total Commissioned Funding</t>
  </si>
  <si>
    <t>2016-17 Portage Approach</t>
  </si>
  <si>
    <t>2016-17 Specialist Schools Funding</t>
  </si>
  <si>
    <t>2016-17 Outreach Funding</t>
  </si>
  <si>
    <t>2016-17 Pathfinder Outreach Funding</t>
  </si>
  <si>
    <t xml:space="preserve">2016-17 Residential Funding </t>
  </si>
  <si>
    <t>SCHOOL NAME</t>
  </si>
  <si>
    <t>Boston John Fielding School</t>
  </si>
  <si>
    <t>Spilsby Lady Jane Franklin School</t>
  </si>
  <si>
    <t>Lincoln Fortuna School</t>
  </si>
  <si>
    <t>Gosberton House School</t>
  </si>
  <si>
    <t>Grantham Ambergate School</t>
  </si>
  <si>
    <t>Grantham Sandon School</t>
  </si>
  <si>
    <t>Gainsborough Aegir Community School</t>
  </si>
  <si>
    <t>Horncastle St Lawrence School</t>
  </si>
  <si>
    <t>***</t>
  </si>
  <si>
    <t>Gainsborough Warren Wood Community School</t>
  </si>
  <si>
    <t>Lincoln Queen's Park School</t>
  </si>
  <si>
    <t>Lincoln St Christopher's School</t>
  </si>
  <si>
    <t>Lincoln St Francis Special School</t>
  </si>
  <si>
    <t>The Sincil School</t>
  </si>
  <si>
    <t>Louth St Bernard's School</t>
  </si>
  <si>
    <t>Spalding The Garth School</t>
  </si>
  <si>
    <t>Spalding The Priory School</t>
  </si>
  <si>
    <t>Spilsby The Eresby School</t>
  </si>
  <si>
    <t>Bourne Willoughby School</t>
  </si>
  <si>
    <t>Grantham The Phoenix School</t>
  </si>
  <si>
    <t>Total</t>
  </si>
  <si>
    <t>Notes:</t>
  </si>
  <si>
    <t>Portage</t>
  </si>
  <si>
    <t>The Portage Programme has been developed in-conjunction with the Special Schools Formula review. All schools that are part of the scheme receive an allocation of £35,258. See attached protocol for the Portage Programme for reference along with calculation of the funding per school. Queen's Park did receive £55,122 in 2011/12 (for protection purposes), but in 2012/13 this has reduced to £35,258 in line with the other portage schools. Horncastle St Lawrence has been given portage funding in 2013/14 to replace the Children's Services locality funding that was in place. A review of all portage funding will be undertaken ***.</t>
  </si>
  <si>
    <t>Outreach</t>
  </si>
  <si>
    <t>Original outreach funding is being provided to Gosberton &amp; St Christopher's (£51,500), St Francis (£88,936) and Boston Pilgrim (£408,510). A bid has been agreed by DMT for an additional £0.325m annually for a period of two years from the DSG to establish some further outreach packages from special schools across the 7 districts. This is excluded from this with it being one-off funding.</t>
  </si>
  <si>
    <t>Specialist Schools</t>
  </si>
  <si>
    <t>Six special schools receive funding for specialist school status through the mainstreamed grants (£0.060m per school). This funding is being used to provide outreach support to schools in their community according to their specialism. A pathfinder outreach funding programme has also been established to support outreach work in Lincolnshire from September 2011, which is being undertaken by other special schools. It is proposed that these schools continue to receive this £0.060m allocation to provide outreach support for the remainder of the funding period 2012-13 – 2013-14.</t>
  </si>
  <si>
    <t>* Lincoln St Christopher's School will receive one-year protection based on the previous year's allocation, however in 2013-14 the allocation will reduce to £51,500 (comparable with Gosberton House School).</t>
  </si>
  <si>
    <t>** Boston Pilgrim Hospital School: Funding for outreach is part of the schools formula (for protection purposes). The schools' overall funding has not risen through the development of the hospital schools funding formula. The £408,510 has been separated from the remaining schools' formula to identify the outreach funding.</t>
  </si>
  <si>
    <t>2012-13</t>
  </si>
  <si>
    <t>2013-14</t>
  </si>
  <si>
    <t>Provision will end at 30th June 2013</t>
  </si>
  <si>
    <t>Residential funding will be reviewed in 2013/14</t>
  </si>
  <si>
    <t>M.Popplewell 14.03.2013</t>
  </si>
  <si>
    <t>Sum</t>
  </si>
  <si>
    <t>Residential Funding - movement from Grant to the DSG</t>
  </si>
  <si>
    <t>Overall Funding</t>
  </si>
  <si>
    <t xml:space="preserve">MP </t>
  </si>
  <si>
    <t>21.02.2016</t>
  </si>
  <si>
    <t>Final Indicative Funding for 2015/16</t>
  </si>
  <si>
    <t>2014/15 Funding</t>
  </si>
  <si>
    <t>Original 2015/16 Funding</t>
  </si>
  <si>
    <t>Indicative 2015/16 Funding</t>
  </si>
  <si>
    <t>Split-site factor</t>
  </si>
  <si>
    <t>Average 2014/15</t>
  </si>
  <si>
    <t>Split Site Factor</t>
  </si>
  <si>
    <r>
      <t xml:space="preserve">Outreach Funding - </t>
    </r>
    <r>
      <rPr>
        <i/>
        <sz val="10"/>
        <rFont val="Arial"/>
        <family val="2"/>
      </rPr>
      <t>Ending 31st August 2015</t>
    </r>
  </si>
  <si>
    <r>
      <t xml:space="preserve">Specialist Outreach Funding  - </t>
    </r>
    <r>
      <rPr>
        <i/>
        <sz val="10"/>
        <rFont val="Arial"/>
        <family val="2"/>
      </rPr>
      <t>Ending 31st August 2015</t>
    </r>
  </si>
  <si>
    <r>
      <t xml:space="preserve">Pathfinder Outreach Funding - </t>
    </r>
    <r>
      <rPr>
        <i/>
        <sz val="10"/>
        <rFont val="Arial"/>
        <family val="2"/>
      </rPr>
      <t>Ending 31st August 2015</t>
    </r>
  </si>
  <si>
    <t>Agreed Top up Funding Per Place 2015/16</t>
  </si>
  <si>
    <t>One-off DSG under spend allocation</t>
  </si>
  <si>
    <t>Agreed MFG Funding 2015/16</t>
  </si>
  <si>
    <t>2015/16 Final Indicative Budget Share</t>
  </si>
  <si>
    <t>Agreed 2015/16 Place Numbers</t>
  </si>
  <si>
    <t>Assessment: April 15 - August 15</t>
  </si>
  <si>
    <t>Assessment: September 15 - March 16</t>
  </si>
  <si>
    <t>Pre-16: April 15 - August 15</t>
  </si>
  <si>
    <t>Pre-16: September 15 - March 16</t>
  </si>
  <si>
    <t>Post-16: April 15 - July 15</t>
  </si>
  <si>
    <t>Post-16: August 15 - March 16</t>
  </si>
  <si>
    <t>Special Schools Funding Formula 2015/16</t>
  </si>
  <si>
    <t xml:space="preserve">
1. Calculation required for minimum funding guarantee (MFG) purposes: Lincolnshire's Special Schools funding formula details a schools funding allocations by each factor for 2014/15 (schools published indicative budget for 2014/15 brought forward). 
* Please note: PFI special school block allocations are identified separately from these funding streams for the purpose of calculating the place and top up funding for the MFG.
</t>
  </si>
  <si>
    <t xml:space="preserve">12. Site Factor - PFI Block Allocation: the PFI Block formula factor is treated outside of the place and top up funding arrangements, due to the contractual relationship entered into by the Local Authority / school. This is an allowable exception. The charge applicable to the school will equal the PFI Block value. The PFI charge is based on the school's share of the overall floor space of the seven PFI school buildings.  </t>
  </si>
  <si>
    <t xml:space="preserve">2. The basis of how special schools are funded: 
• Lincolnshire special schools are funded based on the agreed funding formula implemented in 2011/12, which includes: a staffing block, non-staffing block and banded funding to name the main funding streams. The group size classification for determining the block allocations is based on the October 2014 census. 
• For 2015/16, the banded funding which has been previously detailed as one figure per school has been categorised between assessment places; pre-16 / post-16 places, and the band 5 additionality for extended day provision. The fundamental calculations still remain the same, but this approach will provide greater clarity to schools. The band moderation that adjusted banded funding for 2014/15 still remains in place.
• Banded funding would typically reflect the latest October census numbers / places, however the Education Funding Agency (EFA) wish to simplify the places approach by moving to a lagged funding system. The EFA require Local Authorities to carry forward the academic year 2014/15 places to the following academic year. The EFA recognise that this will not necessarily match the exact number of places taken up, but the Local Authority is required to use the higher needs block of the Dedicated Schools Grant (DSG) to meet the small degree of variances mid-year. For Lincolnshire, this is the in-year adjustments process that is undertaken on a termly basis for commissioned place funding or top up funding adjustments.
• Through the creation of the lagged funding system using the academic year 2014/15 places for 2015/16 academic year places, special schools with changing pupil numbers (both downwards and upwards) will be required to use the in-year adjustments schedule within the medium-term finance plan to understanding the funding implications. For example, where more places are occupied than the agreed place number, schools will be entitled to commissioned place funding at the schools average band value (marginal cost) for the period where they are over that threshold – this would equate to the same level of banded funding for the school had the places been increased at the start of the year and the pupil remained at the school throughout the period, hence it is purely a timing difference and funding is released in the correct financial year. 
• The place numbers for pre-16 and post-16 fund the following periods for the financial year 2015/16:
 Academic Year (AY) 2014/15 places: pre-16 (April 15 - August 15) and post-16 (April 15 - July 15);
 Academic Year (AY) 2015/16 places: pre-16 (September 15 - March 16) and post 16 (August 15 - March 16).
Since AY2014/15 places have been rolled forward to calculate banded funding for AY2015/16, places numbers are the same throughout the period. </t>
  </si>
  <si>
    <t xml:space="preserve">13. Portage (commissioned arrangements): A Memorandum of Understanding has been established between the commissioned school and Local Authority outlining the desired outcomes from this funding. This continues to be an annual agreement, and a standard allocation per school (£35,258). </t>
  </si>
  <si>
    <t xml:space="preserve">14. Outreach (commissioned arrangements): A Memorandum of Understanding has been established for those schools commissioned to undertake outreach arrangements. This arrangement will end on the 31st August 2015, and has been communicated to those schools. Pro-rata funding based of the schools 2014/15 outreach funding will be allocated for the period April 15 to August 15 (where schools have agreed the Memorandum of Understanding). Schools Forum reports outline the direction of travel for commissioned outreach arrangements from September 2015. A tender process will identify the preferred deliverers of these outreach service streams. </t>
  </si>
  <si>
    <t>15. Residential (commissioned Arrangements): The Local Authority commissioned a review of residential provision arrangements and is currently considering the outcome of this review. For 2015/16, the same funding allocations roll forward from 2014/15. Memorandum of Understanding's are in place with the two schools.</t>
  </si>
  <si>
    <t>16. One-off DSG underspend allocation: Following consultation with Schools Forum in October 2014, the Local Authority decided to allocate £5m of the DSG underspend carried forward at 31st March 2014 to all schools. This one-off sum is treated outside of the main special schools formula, and a special schools share of the funding is determined by the schools non-staffing block group size classification. It is imperative for financial planning purposes that special schools do not build this into their medium term finance planning from 2016/17 and beyond.</t>
  </si>
  <si>
    <t>17. Total Other Special Schools Funding Arrangements: the total funding relating to contractual commitments (PFI arrangements); commissioned functions, and release of one-off DSG underspend funding. See notes 12-16.</t>
  </si>
  <si>
    <t>18. 2015/16 Final Indicative Budget Share: Indicative 2015/16 funding (11) relating to the main special school formula factors including MFG funding where applicable (place and top up) and Other Special School funding Arrangements (17).</t>
  </si>
  <si>
    <t>3. Calculation required for MFG purposes: Indicative place and top up funding for 2015/16 based on Lincolnshire's agreed special schools formula to help determine whether the school is entitled to a MFG allocation.</t>
  </si>
  <si>
    <t xml:space="preserve">4. The MFG protection for 2015/16 budgets applies the following DfE approach: if the funding formula allocations remain the same between the two financial years, the schools budget must not reduce by more than 1.5%. The DfE's MFG arrangements does not protect the school places funding, therefore a schools or academies budget will change if place numbers have changed. Where a school or academies top up rate is greater in 2015/16 than the MFG rate, the 2015/16 top up rate will apply. </t>
  </si>
  <si>
    <t>5. Number on Roll: The Average Number / Places agreed across the financial year are based on the EFA returns. As outlined in section 2, place numbers for the AY2014/15 have been rolled forward for AY2015/16 to allow the EFA to create a lagged system.</t>
  </si>
  <si>
    <t>21. Designated Assessment Class provision: Number of assessment places agreed by the Local Authority for the period April 15 to March 16. The Local Authority SEND team has circulated guidance to special schools on assessment provision, which outlines the authorisation process.</t>
  </si>
  <si>
    <t>22. Pre-16 Places: Agreed number of school places for pre-16 provision. The AY2014/15 place numbers have been rolled forward to the AY2015/16 to ensure compliance with the EFA's approach of creating a lagged process. The periods of funding are as follow: April 15 - August 15 and September 15 - March 16. Such places have been used to calculate schools banded funding. In-year commissioned funding will be applicable for schools where the net FTE pupil numbers go above the agreed place level. Top up funding is however deducted where net FTE pupil numbers are below the agreed place level, in line with EFA principle of top up funding following the child.</t>
  </si>
  <si>
    <t xml:space="preserve">8. Top up funding per place: Deducting the £10,000 place-led funding from the total cost per place to identify the top up funding rates for the MFG protection and the 2015/16 value. </t>
  </si>
  <si>
    <t>9. Agreed Top up funding per Place: The higher of the two top up values (MFG 2014/15 rate versus 2015/16 rate) will apply for 2015/16. This agreed top up value calculated a schools indicative top up funding. Top up funding will follow the child, therefore adjustments will be made to reflect real-time movements. Previously, funding was not removed mid-year from special school. Where the number of placement weeks is lower than the indicative top up funding total weeks per term, the school will have top up funding removed for those weeks (based on the schools top up value). This will form part of the termly adjustments process. Please see tabs ''DfE Special Schools Budget Presentation 2015/16' and 'ISB Weightings' for more information.</t>
  </si>
  <si>
    <t>23. Post-16 Places: Agreed number of school places for post-16 provision. The AY2014/15 place numbers have been rolled forward to the AY2015/16 to ensure compliance with the EFA's approach of creating a lagged process. The periods of funding are as follow: April 15 - July 15 and August 15 - March 16. The in-year adjustments process follows the same principle as pre-16 places (see note: 22).</t>
  </si>
  <si>
    <t>10. Agreed MFG funding for 2015/16: Calculated by identifying the difference between the top up funding per place (2015/16) and MFG value per place, and multiplied by the 2015/16 place numbers where applicable. This MFG funding is incorporated into the Final Indicative Funding for 2015/16.</t>
  </si>
  <si>
    <t>24. Special school band descriptors detailing staffing ratio's and monetary sums that determine a school banded funding and commissioned place value. The band values remain cash flat for 2015/16, which is the same approach applied for the mainstream and early years sectors.</t>
  </si>
  <si>
    <t xml:space="preserve">11. Indicative Funding for 2015/16 inclusive of the MFG allocation (where applicable) relating to place and top up arrangements. The section provides a clear audit trail of how Lincolnshire special schools are funded through the agreed formula factors for 2015/16, before being presented through the DfE's place and top up arrangements. The place numbers for the AY2014/15 have been rolled forward into the AY2015/16. </t>
  </si>
  <si>
    <t>25. Special Schools funding block allocations for 2015/16. The block allocations remain cash flat for 2015/16.</t>
  </si>
  <si>
    <t>Special Schools Funding - Lincolnshire Model 2015/16 - Pre &amp; Post 16 Children</t>
  </si>
  <si>
    <t>2015/16 Places</t>
  </si>
  <si>
    <r>
      <rPr>
        <u/>
        <sz val="10"/>
        <color rgb="FFFF0000"/>
        <rFont val="Arial"/>
        <family val="2"/>
      </rPr>
      <t>St Christopher's</t>
    </r>
    <r>
      <rPr>
        <sz val="10"/>
        <color rgb="FFFF0000"/>
        <rFont val="Arial"/>
        <family val="2"/>
      </rPr>
      <t>: removal of the split site factor from the place and top up funding: as opposed to re-calculating the schools budget to 2013/14 when the split site arrangement was established, the preferred option is to lockdown the MFG monetary value for 2015/16 received by the school, and then to remove split site factor allocation from the 2015/16 and 2016/17 financial years for inclusion in the place and top up funding.</t>
    </r>
  </si>
  <si>
    <t>2015/16 Budget Share Calculations</t>
  </si>
  <si>
    <t>Numbers agreed as per EFA return (2014/15 Return)</t>
  </si>
  <si>
    <t>MP Notes</t>
  </si>
  <si>
    <t>Special School Academy group size classification needs to be confirmed based on the October 2014 census. Performance Assurance to confirm the position.</t>
  </si>
  <si>
    <t>Need to check the Assessment Places arrangement</t>
  </si>
  <si>
    <t>Special Schools Funding - Lincolnshire Model 2014/15 - Pre &amp; Post 16 Children</t>
  </si>
  <si>
    <t>DfE Place Funding Methodology</t>
  </si>
  <si>
    <t>2014/15 Ave NoR</t>
  </si>
  <si>
    <t>Agreed Pre-16 Top up</t>
  </si>
  <si>
    <t>Agreed Post 16 Top up</t>
  </si>
  <si>
    <t>Pre-16 Top up Total</t>
  </si>
  <si>
    <t>Post-16 Top up Total</t>
  </si>
  <si>
    <t>Total Place &amp; Top up</t>
  </si>
  <si>
    <t>2013/14 Comparison</t>
  </si>
  <si>
    <t>Changes</t>
  </si>
  <si>
    <t>Agreed</t>
  </si>
  <si>
    <t>TBC</t>
  </si>
  <si>
    <t>4 Group size changes</t>
  </si>
  <si>
    <t>Removal of QP</t>
  </si>
  <si>
    <t>Ave. band is approx. £10k</t>
  </si>
  <si>
    <t>No further del'</t>
  </si>
  <si>
    <t>Special Schools Funding - Lincolnshire Model 2013/14 - Pre &amp; Post 16 Children</t>
  </si>
  <si>
    <t>Existing Funding - Special</t>
  </si>
  <si>
    <t>Existing Funding - Grants</t>
  </si>
  <si>
    <t>2013/14 Ave NoR</t>
  </si>
  <si>
    <t>2012/13 MFG Top up</t>
  </si>
  <si>
    <t>Agreed Post 16 Top-up</t>
  </si>
  <si>
    <t>2013/14 MFG Final Budgets</t>
  </si>
  <si>
    <t>Lincoln Queen's Park</t>
  </si>
  <si>
    <t>N/A</t>
  </si>
  <si>
    <t>PFI Reductions in Charges</t>
  </si>
  <si>
    <t>Actual Difference</t>
  </si>
  <si>
    <t>Over-written to ensure it agrees with the published budget. Process for removing the PFI Factor.</t>
  </si>
  <si>
    <t>Excludes Queen's Park</t>
  </si>
  <si>
    <t>Special Schools Funding - Lincolnshire Model 2012-13</t>
  </si>
  <si>
    <t>DfE funding Approach (Place-Plus)</t>
  </si>
  <si>
    <t>Appendix 1</t>
  </si>
  <si>
    <t>Top-up Funding</t>
  </si>
  <si>
    <t>Ave. Band</t>
  </si>
  <si>
    <t>Transition Protection Funding</t>
  </si>
  <si>
    <t>Jan 12 NoR</t>
  </si>
  <si>
    <t>Step 1</t>
  </si>
  <si>
    <t>Step 2</t>
  </si>
  <si>
    <t>Step 3</t>
  </si>
  <si>
    <t>MFG Purposes -1.5%</t>
  </si>
  <si>
    <t>Approach</t>
  </si>
  <si>
    <t>This approach is where the number of places funded is based on the current number of pupil e.g. one place = one child.</t>
  </si>
  <si>
    <t>Boston Pilgrim Hospital</t>
  </si>
  <si>
    <t xml:space="preserve">Ash Villa Hospital </t>
  </si>
  <si>
    <t>Please note:</t>
  </si>
  <si>
    <r>
      <rPr>
        <u/>
        <sz val="10"/>
        <rFont val="Arial"/>
        <family val="2"/>
      </rPr>
      <t>Purpose</t>
    </r>
    <r>
      <rPr>
        <sz val="10"/>
        <rFont val="Arial"/>
        <family val="2"/>
      </rPr>
      <t xml:space="preserve"> </t>
    </r>
  </si>
  <si>
    <t xml:space="preserve">This example is showing the following: </t>
  </si>
  <si>
    <t>This calculation is undertaken to determine the guaranteed top-up value funding for special schools in 2013-14 i.e. no schools can lose more than -1.5% of the 2012-13 top-up.</t>
  </si>
  <si>
    <t>* The budget shares for 2012-13 (using January 2012 census data) will be used to determine the 2012-13 base line position for Top-up arrangements;</t>
  </si>
  <si>
    <t xml:space="preserve">* The 2012-13 budget Shares funding presented through the Place-led and Top-up funding approach; </t>
  </si>
  <si>
    <t>* Transitional protection arrangements for those school losing funding through the implementation of the current formula have been incorporated into the base line calculation;</t>
  </si>
  <si>
    <t>* PFI Schools have had their 2013-14 charges revised, therefore will need to be reflected in their baseline MFG calculation.</t>
  </si>
  <si>
    <t>2011-12 Funding Pot</t>
  </si>
  <si>
    <t>Fortuna</t>
  </si>
  <si>
    <t>Pheonix</t>
  </si>
  <si>
    <t>Growth in Special Schools Budget (group size &amp; pupil number changes) &amp; PFI Block Change</t>
  </si>
  <si>
    <t>Sincil</t>
  </si>
  <si>
    <t>LJF</t>
  </si>
  <si>
    <t>Note: Changes relating to the total funding pot vs. existing funding</t>
  </si>
  <si>
    <t>PFI Reduction in Charges</t>
  </si>
  <si>
    <t>Gainsborough - Pump Priming</t>
  </si>
  <si>
    <t>Band 5 pupil ratio change</t>
  </si>
  <si>
    <t>Numbers agreed as per EFA return (2013/14 Return)</t>
  </si>
  <si>
    <t>Pre-16 Funding</t>
  </si>
  <si>
    <t>Post-16 Funding</t>
  </si>
  <si>
    <t>Apr-Aug</t>
  </si>
  <si>
    <t>Sept-Mar</t>
  </si>
  <si>
    <t>Apr-Jul</t>
  </si>
  <si>
    <t>Aug-Mar</t>
  </si>
  <si>
    <t>Average places</t>
  </si>
  <si>
    <t>Total Place &amp; Top up Funding</t>
  </si>
  <si>
    <t>2013/14 Funding</t>
  </si>
  <si>
    <t>Numbers agreed as per EFA return</t>
  </si>
  <si>
    <t>April - August Numbers</t>
  </si>
  <si>
    <t>April - August Funding</t>
  </si>
  <si>
    <t>Sept - March Numbers</t>
  </si>
  <si>
    <t>September - March Funding</t>
  </si>
  <si>
    <t>Total Banded Funding</t>
  </si>
  <si>
    <t>Average Pupil Numbers</t>
  </si>
  <si>
    <t>Special Schools - Revised Band Descriptor's (using October 2011 census) - Implementation for the period 2012-13 &amp; 2013-14</t>
  </si>
  <si>
    <t xml:space="preserve">Date of Visit </t>
  </si>
  <si>
    <t>Actual Cohort Oct 11</t>
  </si>
  <si>
    <t>Band 1 Oct 11</t>
  </si>
  <si>
    <t>% Band 1 Oct 11</t>
  </si>
  <si>
    <t>Band 2 Oct 11</t>
  </si>
  <si>
    <t>% Band 2 Oct 11</t>
  </si>
  <si>
    <t>Band 3 Oct 11</t>
  </si>
  <si>
    <t>% Band 3 Oct 11</t>
  </si>
  <si>
    <t>Band 4 Oct 11</t>
  </si>
  <si>
    <t>% Band 4 Oct 11</t>
  </si>
  <si>
    <t>Band 5 Oct 11</t>
  </si>
  <si>
    <t>% Band 5 Oct 11</t>
  </si>
  <si>
    <t>09.12.11</t>
  </si>
  <si>
    <t>23.11.11</t>
  </si>
  <si>
    <t>25.11.11</t>
  </si>
  <si>
    <t>PC to arrange</t>
  </si>
  <si>
    <t>12.12.11</t>
  </si>
  <si>
    <t>Percentage coverage of Bands</t>
  </si>
  <si>
    <t>Moderated Band Descriptors - January 2014</t>
  </si>
  <si>
    <t>Current NoR - Jan 14</t>
  </si>
  <si>
    <t xml:space="preserve">Band 1 </t>
  </si>
  <si>
    <t xml:space="preserve">% Band 1 </t>
  </si>
  <si>
    <t xml:space="preserve">Band 2 </t>
  </si>
  <si>
    <t xml:space="preserve">Band 3 </t>
  </si>
  <si>
    <t xml:space="preserve">% Band 3 </t>
  </si>
  <si>
    <t xml:space="preserve">Band 4 </t>
  </si>
  <si>
    <t xml:space="preserve">% Band 4 </t>
  </si>
  <si>
    <t xml:space="preserve">Band 5 </t>
  </si>
  <si>
    <t xml:space="preserve">% Band 5 </t>
  </si>
  <si>
    <t>2013/14 NoR</t>
  </si>
  <si>
    <t>Add. Cost</t>
  </si>
  <si>
    <t>Special Schools Overall Population</t>
  </si>
  <si>
    <t>NativeID</t>
  </si>
  <si>
    <t>Name</t>
  </si>
  <si>
    <t>FSM Taken on 2/10/2014</t>
  </si>
  <si>
    <t>Funding</t>
  </si>
  <si>
    <t>The Grantham Ambergate School</t>
  </si>
  <si>
    <t>The Grantham Sandon School</t>
  </si>
  <si>
    <t>The Priory School</t>
  </si>
  <si>
    <t>The John Fielding Community Special School</t>
  </si>
  <si>
    <t>The Garth School</t>
  </si>
  <si>
    <t>The Lincoln St Christopher's School</t>
  </si>
  <si>
    <t>The St Francis Special School, Lincoln</t>
  </si>
  <si>
    <t>The Horncastle St Lawrence School</t>
  </si>
  <si>
    <t>The Eresby School</t>
  </si>
  <si>
    <t>St Bernard's School, Louth</t>
  </si>
  <si>
    <t>The Willoughby School</t>
  </si>
  <si>
    <t>The Phoenix School</t>
  </si>
  <si>
    <t>The Lady Jane Franklin School</t>
  </si>
  <si>
    <t>Fortuna School</t>
  </si>
  <si>
    <t>Lincoln The Sincil School</t>
  </si>
  <si>
    <t>Warren Wood Community School</t>
  </si>
  <si>
    <t>Aegir Community School</t>
  </si>
  <si>
    <t>Meal Rate</t>
  </si>
  <si>
    <t>Period of funding (days)</t>
  </si>
  <si>
    <t>2014/15 Allocation</t>
  </si>
  <si>
    <t>Increase in Funding</t>
  </si>
  <si>
    <t>ONE-OFF DEDICATED SCHOOLS GRANT ALLOCATIONS ADDED TO BUDGET SHARE 2014/15</t>
  </si>
  <si>
    <t>Percentage Share of Non Staffing Block</t>
  </si>
  <si>
    <t>£</t>
  </si>
  <si>
    <t>Additional</t>
  </si>
  <si>
    <t>Non Staffing</t>
  </si>
  <si>
    <t>school</t>
  </si>
  <si>
    <t>Allocation</t>
  </si>
  <si>
    <t>Grantham The Phoenix</t>
  </si>
  <si>
    <t>Lincoln The Fortuna</t>
  </si>
  <si>
    <t>Gainsborough Warren Wood</t>
  </si>
  <si>
    <t>Lincoln St Francis</t>
  </si>
  <si>
    <t>Lincoln The Sincil</t>
  </si>
  <si>
    <t>Bourne The Willoughby</t>
  </si>
  <si>
    <t>Earmarked one-off funding based on the 2013/14 Budget Share Non-Staffing Block</t>
  </si>
  <si>
    <t>ONE-OFF DEDICATED SCHOOLS GRANT ALLOCATIONS ADDED TO BUDGET SHARE 2015/16</t>
  </si>
  <si>
    <t>School Name</t>
  </si>
  <si>
    <t>One-off Allocation</t>
  </si>
  <si>
    <t>South Rauceby Ash Villa</t>
  </si>
  <si>
    <t>Source: DSG one-off calculations schedule</t>
  </si>
  <si>
    <t>For distribution to special achools</t>
  </si>
  <si>
    <t>% share of the Non-Staffing Block Allocation</t>
  </si>
  <si>
    <t>THE SPECIAL SCHOOLS FORMULA BUDGET ALLOCATION SPREADSHEET CONTAINS THE FOLLOWING WORKSHEETS</t>
  </si>
  <si>
    <t>ISB Weightings</t>
  </si>
  <si>
    <t>This provides the detail behind the Special Schools funding formula for 2023/24. It includes the following:</t>
  </si>
  <si>
    <t>* Place-led Funding;</t>
  </si>
  <si>
    <t>* Top up Funding;</t>
  </si>
  <si>
    <t>* In-year Adjustments and Commissioned Places;</t>
  </si>
  <si>
    <t>* Band Profile;</t>
  </si>
  <si>
    <t>* Maintained Schools Budget Shares;</t>
  </si>
  <si>
    <t>* Special School Academies Budget Share</t>
  </si>
  <si>
    <t>* Commissioned Funding (namely, Residential Funding, Outreach and Portage).</t>
  </si>
  <si>
    <t>Budget Shares</t>
  </si>
  <si>
    <t>You only need to enter the DfE number of your school in cell D4 (highlighted in yellow).</t>
  </si>
  <si>
    <t>It will populate the following:</t>
  </si>
  <si>
    <t>* The budget shares, populated through DfE place and top-up funding</t>
  </si>
  <si>
    <t>* The agreed number of pre-16 and post-16 places, and the total place-led funding;</t>
  </si>
  <si>
    <t>* The agreed 2023/24 top up rate;</t>
  </si>
  <si>
    <t>* Indicative top up funding for pre-16 and post-16 pupils, and the indicative total top up funding;</t>
  </si>
  <si>
    <t>* 2023/24 Indicative place-led and top up funding;</t>
  </si>
  <si>
    <t>* Average band value for commissioned places above the agreed places;</t>
  </si>
  <si>
    <t>* 3.4% Additional Grant Allocation</t>
  </si>
  <si>
    <t>* Commissioned Funding (namely, Residential Funding, Outreach and Portage)</t>
  </si>
  <si>
    <t>Funding Summary</t>
  </si>
  <si>
    <t>You only need to enter the DfE number of your school in cell B3 (highlighted in yellow).</t>
  </si>
  <si>
    <t>* 2022/23 and 2023/24 calculated special schools funding using Lincolnshire's agreed funding formula;</t>
  </si>
  <si>
    <t>* Identifies a schools total indicative budget share for 2023/24 including the 3.4% additional grant allocation, and those commissioned functions.</t>
  </si>
  <si>
    <t xml:space="preserve">* The band descriptor profile for the school across the seven bands. </t>
  </si>
  <si>
    <t>Local Protection</t>
  </si>
  <si>
    <t>MFG DfE Protection</t>
  </si>
  <si>
    <t>* The DfE minimum funding guarantee check to compare 2021/22 funding levels to 2023/24</t>
  </si>
  <si>
    <r>
      <t xml:space="preserve">
</t>
    </r>
    <r>
      <rPr>
        <b/>
        <sz val="12"/>
        <rFont val="Calibri"/>
        <family val="2"/>
        <scheme val="minor"/>
      </rPr>
      <t>FINANCIAL YEAR 2023/24</t>
    </r>
    <r>
      <rPr>
        <sz val="12"/>
        <rFont val="Calibri"/>
        <family val="2"/>
        <scheme val="minor"/>
      </rPr>
      <t xml:space="preserve">
</t>
    </r>
    <r>
      <rPr>
        <b/>
        <sz val="12"/>
        <rFont val="Calibri"/>
        <family val="2"/>
        <scheme val="minor"/>
      </rPr>
      <t>DISTRIBUTION OF THE INDIVIDUAL SCHOOLS BUDGET</t>
    </r>
    <r>
      <rPr>
        <sz val="12"/>
        <rFont val="Calibri"/>
        <family val="2"/>
        <scheme val="minor"/>
      </rPr>
      <t xml:space="preserve">
</t>
    </r>
    <r>
      <rPr>
        <b/>
        <sz val="12"/>
        <rFont val="Calibri"/>
        <family val="2"/>
        <scheme val="minor"/>
      </rPr>
      <t>SPECIAL SCHOOLS</t>
    </r>
    <r>
      <rPr>
        <sz val="12"/>
        <rFont val="Calibri"/>
        <family val="2"/>
        <scheme val="minor"/>
      </rPr>
      <t xml:space="preserve">
Special schools continue to be funded through Lincolnshire's funding formula that was originally implemented in 2011/12. The LA introduced funding changes in 2018/19 to ensure the appropriate level of resources continue to meet the needs of its pupils in the changing demographics of Lincolnshire special schools. These changes updated bands for the pupils at each school (in line with November 2022 class lists). The fundamental principles and formula for funding special schools continue to remain strong and fit for purpose, and are adaptable to the changing landscape of pupil needs. 
Lincolnshire's special schools funding formula identifies an indicative budget share, which is then presented into the DfE's place and top up arrangements. This will include the agreed band percentage profiles as a result of the revised pupil bands that were updated in November 2022. 
For 2023/24 Lincolnshire’s special schools funding formula has been updated to incorporate the 3% increase in funding made in-year in response to special schools increasing costs. This 3% monetary increase has been applied across the various formula factors (staffing block, non-staffing block, band values) to mirror the decision taken during 2022/23. Budget sustainability is important for the sector and the Local Authority is acutely aware of the rising costs faced by schools. 
To further support costs in 2023/24, Local Authorities are required to allocate an amount that is equivalent to 3.4% of the estimated total grant funding of the school. The determination of the total grant value is based on the 2023/24 agreed place numbers and average 2022/23 top-up value (including in-year supplementary funding allocated). Split site funding, if applicable is also considered within the total grant funding. Schools can forecast to see this funding in future years, for financial planning purposes. For 2023/24, Local Authorities must separately identify these allocations i.e. outside the schools core funding (place and top-up). 
In 2023/24, the DfE Minimum Funding Guarantee (MFG) is +3% comparing 2021/22 funding levels to 2023/24. This is to be based on a like-for-like comparison with a special school’s overall budget in 2021/22. Using the 2023/24 formula factor values and 2021/22 pupil data, the total budget is required to increase by +3% from the published 2021/22 funding levels. The additional 3.4% grant allocation is treated outside of this MFG calculation. All special schools passed this test.
The DfE require special schools to be funded through a ‘place-plus’ approach from the higher needs block within the Dedicated Schools Grant (DSG).  Special schools will receive a base level of funding of £10,000 per planned place for their provision, plus top up funding that is derived from Lincolnshire's agreed funding formula.
</t>
    </r>
    <r>
      <rPr>
        <b/>
        <sz val="12"/>
        <rFont val="Calibri"/>
        <family val="2"/>
        <scheme val="minor"/>
      </rPr>
      <t>Place-Led Funding</t>
    </r>
    <r>
      <rPr>
        <sz val="12"/>
        <rFont val="Calibri"/>
        <family val="2"/>
        <scheme val="minor"/>
      </rPr>
      <t xml:space="preserve">
The Education and Skills Funding Agency (ESFA) has simplified the places approach by moving to a lagged funding system i.e. place funding for the following academic year would typically reflect the latest autumn numbers / places. Therefore, for the 2023/24 financial year, the place numbers were agreed as part of the Autumn 2022 ESFA place return .
The place numbers for pre and post-16 fund the following periods for the financial year 2023/24:
- AY 2022/23 places: pre-16 (April 23 - August 23) and post-16 (April 23 - July 23);
- AY 2023/24 places: pre-16 (September 23 - March 24) and post-16 (August 23 - March 24).
 Place-led funding is reviewed on an annual basis. The place-led funding does not follow the pupil (like top up funding); therefore the £10,000 component provides an element of financial stability to the school for the financial year 2023/24.  This place-led funding will not be withdrawn from schools in the financial year.
</t>
    </r>
    <r>
      <rPr>
        <b/>
        <sz val="12"/>
        <rFont val="Calibri"/>
        <family val="2"/>
        <scheme val="minor"/>
      </rPr>
      <t>Top up Funding</t>
    </r>
    <r>
      <rPr>
        <sz val="12"/>
        <rFont val="Calibri"/>
        <family val="2"/>
        <scheme val="minor"/>
      </rPr>
      <t xml:space="preserve"> 
The top up funding for a school will be paid directly to the educating institution by the LA commissioner (this will usually be Lincolnshire County Council).  Top up funding will follow the child, therefore only indicative top up funding allocations can be provided to schools at the start of the financial year (in line with DfE requirements).
Each school will have a different top up rate, as this represents each school's banded profile and school's characteristics. Please see the 'Funding Summary' tab for further information. 
Where pupils are placed from other LAs, the commissioning LA will pay funding directly to the school based on Lincolnshire’s agreed values.  It is the school’s responsibility to claim this funding from the relevant LA. 
</t>
    </r>
    <r>
      <rPr>
        <b/>
        <sz val="12"/>
        <rFont val="Calibri"/>
        <family val="2"/>
        <scheme val="minor"/>
      </rPr>
      <t>Top up Funding In-Year Adjustments and Commissioned Places</t>
    </r>
    <r>
      <rPr>
        <sz val="12"/>
        <rFont val="Calibri"/>
        <family val="2"/>
        <scheme val="minor"/>
      </rPr>
      <t xml:space="preserve">
A special school’s number on roll can fluctuate during the year. The indicative top up funding assumes that the number of agreed places will be fully utilised with pupils throughout the financial year. Since the top up funding follows the child, this indicative top up funding may change.  
Through the creation of a lagged funding system (namely, places), special schools with changing pupil numbers (both downwards and upwards) will be required to use the in-year adjustments schedule within the medium-term finance plan to understand the funding implications. 
The LA has a system in place that is responsive to provide sufficient funding to enable schools to meet the child’s needs (marginal costs) where numbers increase above the agreed places. Where the number of placement weeks exceeds the indicative top up funding total weeks per term, the school will receive commissioned place funding for those weeks, based on the average band of the school (less Band G). 
The level of funding allocated through this route would equate to the same level of banded funding had the places been increased at the start of the year and the pupil remained at the school throughout the period. This is purely a timing difference and funding is released in the correct financial year.
Top up funding will follow the child, therefore adjustments will be made to reflect real-time movements (adjusted on a termly basis). This was a fundamental change to the approach of Lincolnshire's special schools funding formula implemented in 2011/12. Previously, funding was not removed mid-year from special schools, therefore the DfE approach creates an element of financial uncertainty and one that requires special schools to review the 'indicative' budget share to ensure the medium-term financial planning incorporates the various scenarios, and schools have plans in place to respond to such challenges.  Where the number of placement weeks is lower than the indicative top up funding total weeks per term, the school will have top up funding removed for those weeks (based on the schools top up value). This will form part of the termly adjustments process. 
All special schools and special academies are required to submit a termly return detailing the number of pupils present in the school each week, which will enable the LA to adjust the total top up funding accordingly.  
Special schools funding adjustments will take place on a termly basis in arrears. The summer term activity adjustment will be processed in the autumn term; the autumn term activity adjustment will be processed in the spring term, January and February activity adjustments will be paid in March. An estimate of March activity using February data will also be paid in March, however a final adjustment for the actual March participation will be made in the new financial year if required. 
Please see below examples:
</t>
    </r>
    <r>
      <rPr>
        <u/>
        <sz val="12"/>
        <rFont val="Calibri"/>
        <family val="2"/>
        <scheme val="minor"/>
      </rPr>
      <t xml:space="preserve">School A Example - Actual Participation is less than Indicative Participation:
</t>
    </r>
    <r>
      <rPr>
        <sz val="12"/>
        <rFont val="Calibri"/>
        <family val="2"/>
        <scheme val="minor"/>
      </rPr>
      <t xml:space="preserve">
Places  50   £500,000
Top up  £6,000   £300,000 (indicative)
If, from the first week in April, the pupil numbers fall to 49 for the summer term (i.e. 13 weeks), the following adjustment will take place for the summer term top up funding, which is processed in the Autumn term:
13 weeks x 50 pupils = 650 indicative pupil weeks (summer term)
13 weeks x 49 pupils = 637 actual pupil weeks (summer term)
Difference is 13 pupil weeks
13 (pupil weeks lost) / 38 (annual weeks) x £6,000 (top up value) = £2,053 funding reduction
School A indicative top up funding has been reduced to £297,947.
</t>
    </r>
    <r>
      <rPr>
        <u/>
        <sz val="12"/>
        <rFont val="Calibri"/>
        <family val="2"/>
        <scheme val="minor"/>
      </rPr>
      <t>School A Example – Actual Participation is higher than Indicative Participation:</t>
    </r>
    <r>
      <rPr>
        <sz val="12"/>
        <rFont val="Calibri"/>
        <family val="2"/>
        <scheme val="minor"/>
      </rPr>
      <t xml:space="preserve">
Places   50
Average Band Value £9,000 Commissioned place
If, from the first week in April, the pupil numbers increased to 52 for the summer term (i.e. 13 weeks), which is above the place funding of 50, the following budget adjustment will take place for the summer term funding, which is processed in the Autumn term:
26 (additional pupil weeks) / 38 (annual weeks) x £9,000 (commissioned place) = £6,158
School A’s funding total will increase by £6,158 above the agreed places and indicative top up funding for that term.  Note the commissioned place funding will be different for each special school.
</t>
    </r>
    <r>
      <rPr>
        <b/>
        <sz val="12"/>
        <rFont val="Calibri"/>
        <family val="2"/>
        <scheme val="minor"/>
      </rPr>
      <t>Band Profile</t>
    </r>
    <r>
      <rPr>
        <sz val="12"/>
        <rFont val="Calibri"/>
        <family val="2"/>
        <scheme val="minor"/>
      </rPr>
      <t xml:space="preserve">
A full moderation exercise of schools band profiles took place during 2017. This has now been updated in line with current class lists (as at November 2022) for the 2023/24 financial year funding.
These band classifications have been recorded against our pupil records, and will be continuously updated as a result of any further agreed changes in need.  Guidance has been distributed to assist schools in understanding the special school placement process, including details of the band descriptors, and how to request a change to a pupil band through the Annual Review meeting. To ensure pupil-led funding continues to reflect pupils needs in the school and are updated on an annual basis, a pupil data snapshot will then take place in the autumn term, which will determine the banding funding in the school for the following financial year's budget share. This is a move away from undertaking a pupil moderation process every year. 
</t>
    </r>
    <r>
      <rPr>
        <b/>
        <sz val="12"/>
        <rFont val="Calibri"/>
        <family val="2"/>
        <scheme val="minor"/>
      </rPr>
      <t>Maintained Schools’ Budget Shares</t>
    </r>
    <r>
      <rPr>
        <sz val="12"/>
        <rFont val="Calibri"/>
        <family val="2"/>
        <scheme val="minor"/>
      </rPr>
      <t xml:space="preserve">
Maintained special schools place funding will be transferred as a virement, whereas the top up element of funding will be actioned via a recharge code in monthly instalments. Any in-year adjustments will be adjusted on a termly basis to reflect pupil number changes, based on the school's completed return, (see top up section above for more information), and these will also be made via a recharge code.  Payment profiles will be issued to maintained schools in April 2023 to assist with their budget planning
</t>
    </r>
    <r>
      <rPr>
        <b/>
        <sz val="12"/>
        <rFont val="Calibri"/>
        <family val="2"/>
        <scheme val="minor"/>
      </rPr>
      <t>Special School Academies</t>
    </r>
    <r>
      <rPr>
        <sz val="12"/>
        <rFont val="Calibri"/>
        <family val="2"/>
        <scheme val="minor"/>
      </rPr>
      <t xml:space="preserve">
Special school academies will receive their place funding direct from the ESFA – this funding is recouped from Lincolnshire’s DSG.  The top up funding is paid by the commissioning LA directly to the school.  Top up allocations will be made on a monthly basis based on the school's academic year place numbers and applying a 1/12th methodology, subject to the termly reconciliation process. Payment profiles will be issued to Academies in April 2023 to assist with their budget planning.
</t>
    </r>
    <r>
      <rPr>
        <b/>
        <sz val="12"/>
        <rFont val="Calibri"/>
        <family val="2"/>
        <scheme val="minor"/>
      </rPr>
      <t>Special Schools with Residential Provision</t>
    </r>
    <r>
      <rPr>
        <sz val="12"/>
        <rFont val="Calibri"/>
        <family val="2"/>
        <scheme val="minor"/>
      </rPr>
      <t xml:space="preserve">
The current arrangements for St Bernard's will continue in 2023/24 (£536,951). 
</t>
    </r>
    <r>
      <rPr>
        <b/>
        <sz val="12"/>
        <rFont val="Calibri"/>
        <family val="2"/>
        <scheme val="minor"/>
      </rPr>
      <t>Outreach</t>
    </r>
    <r>
      <rPr>
        <sz val="12"/>
        <rFont val="Calibri"/>
        <family val="2"/>
        <scheme val="minor"/>
      </rPr>
      <t xml:space="preserve">
Contracts have been established for the two schools commissioned to undertake outreach arrangements. These run up to August 2025. 
Gosberton House (Learning Difficulties) - £617,500
St Francis (Physical Difficulties) - £140,436
</t>
    </r>
    <r>
      <rPr>
        <b/>
        <sz val="12"/>
        <rFont val="Calibri"/>
        <family val="2"/>
        <scheme val="minor"/>
      </rPr>
      <t>Portage</t>
    </r>
    <r>
      <rPr>
        <sz val="12"/>
        <rFont val="Calibri"/>
        <family val="2"/>
        <scheme val="minor"/>
      </rPr>
      <t xml:space="preserve">
The current level of funding for each special school commissioned to undertake portage work is £35,258. The agreement currently runs until August 2023, therefore funding has been included to cover April 2023 - August 2023. Allocations for the period September 2023 - March 2024 will be made mid-year, pending the outcome of the review.
</t>
    </r>
  </si>
  <si>
    <t>Individual Schools Budget - 2023/24</t>
  </si>
  <si>
    <t>Place Value</t>
  </si>
  <si>
    <t>Place Funding</t>
  </si>
  <si>
    <t>April 23 - August 23: Pre-16 Places</t>
  </si>
  <si>
    <t>September 23 - March 24:  Pre-16 Places</t>
  </si>
  <si>
    <t>April 23 - July 23: Post-16 Places</t>
  </si>
  <si>
    <t>August 23 - March 24: Post-16 Places</t>
  </si>
  <si>
    <t>Total Places</t>
  </si>
  <si>
    <t>Total Place-led Funding</t>
  </si>
  <si>
    <t>Agreed 2023/24 Top up Funding Rate</t>
  </si>
  <si>
    <t>p.a.</t>
  </si>
  <si>
    <t>Total Cost per Pupil</t>
  </si>
  <si>
    <t>Pupil-led</t>
  </si>
  <si>
    <t>Top up Value</t>
  </si>
  <si>
    <t>April 23 - August 23: Indicative Pre-16 Top up Funding</t>
  </si>
  <si>
    <t>September 23 - March 24: Indicative Pre-16 Top up Funding</t>
  </si>
  <si>
    <t>April 23 - July 23: Indicative Post-16 Top up Funding</t>
  </si>
  <si>
    <t>August 23 - March 24: Indicative Post-16 Top up Funding</t>
  </si>
  <si>
    <t>Indicative Top-up Funding</t>
  </si>
  <si>
    <t>`</t>
  </si>
  <si>
    <t>2023/24 Indicative Place-led and Top-up Funding</t>
  </si>
  <si>
    <t>Average Band Value for Commissioned Places above the Agreed Places</t>
  </si>
  <si>
    <t>3.4% Grant Allocation</t>
  </si>
  <si>
    <t>Total Indicative Place and Top-up Funding (Including 3.4%)</t>
  </si>
  <si>
    <t>2023/24 Final Indicative Budget Share</t>
  </si>
  <si>
    <t xml:space="preserve">The Education and Skills Funding Agency (ESFA) require Local Authorities to present special schools funding through a place and top up funding approach. The funding detailed within the 'Funding Summary' tab calculates the schools funding through Lincolnshire's agreed special schools funding formula, which has then been converted into the ESFA's place and top up arrangements for presentational purposes.   </t>
  </si>
  <si>
    <t>2. Total Place-led funding is reviewed on an annual basis. The place-led funding does not follow the pupil (like top up funding), therefore this place funding provides an element of financial stability to the school for the financial year 2023/24. This place-led funding will not be withdrawn from schools in the financial year. Place numbers used align to the place numbers agreed with schools when calculating the banded funding.</t>
  </si>
  <si>
    <t>3. The agreed top up funding for the school is paid directly to the educating institution by the commissioner. Top up funding will follow the child, therefore adjustments will be made to reflect real-time movements (adjusted on a termly basis). This was a fundamental change to the approach of Lincolnshire's special schools funding formula implemented in 2011/12. Previously, funding was not removed mid-year from special schools, therefore the DfE approach creates an element of financial uncertainty and one that requires special schools to review the 'indicative' budget share to ensure the medium-term financial planning incorporates various scenarios, and schools have plans in place to respond to such challenges. Each school will have a different top up, as this represents each school's banded profile and school's characteristics (see ' Funding Summary' tab). Where pupils are placed from other LA's, we would advise that if the child has been recorded on your latest October census, then you should only be looking to reclaim the top-up funding value for that child. If they were not included on the October census, then you would be entitled to reclaim the commissioned funding value. The commissioned funding value should therefore only be looked to be claimed for new pupils who have joined within the past year. If the school feel this value does not cover the needs of that child, then it is up to the school and OLEA to agree an exceptional funding fee.</t>
  </si>
  <si>
    <t xml:space="preserve">4. The total cost per pupil for pre-16 &amp; post-16 pupil for each special school. This total cost per pupil amount is calculated from the agreed special schools funding formula. This includes the fixed costs (namely cost drivers from the staffing and non-staffing blocks), and the variable costs of the banded funding based on the schools moderated pupil profile. </t>
  </si>
  <si>
    <t>5 / 6. The indicative top up funding is making the assumption that the number of agreed places will be fully utilised with pupils throughout the financial year. Since the top up funding follows the child, this indicative top up funding may change during the financial year. Special schools are required to submit a termly return detailing the number of pupils present in the school each week, which will enable the LA to adjust the total top up funding accordingly. Schools can use this tool to understand funding changes that may take place where pupil numbers vary compared to the agreed place numbers.</t>
  </si>
  <si>
    <t xml:space="preserve">7. The Total Indicative top up funding based on the agreed number of places. </t>
  </si>
  <si>
    <t>8. The 2023/24 Total Indicative place-led and top up funding. This aligns to 'Funding Summary' tab Note 10.</t>
  </si>
  <si>
    <t xml:space="preserve">9. The same approach for in-year changes in numbers on roll for special schools budgets will continue. The main objective is to create a system that will be responsive to provide sufficient funding to enable schools to meet the child’s needs (marginal costs) where numbers increase above the agreed places. The process will involve reviewing on a termly basis the actual number of child weeks attended per term against the indicative top up funding (total weeks). Where it has exceeded the indicative top up funding total weeks, the average band (less band G) of the school will apply for those weeks above this level. This will be allocated on a termly basis in arrears. The Summer term activity adjustment will be processed in the Autumn term; the Autumn term activity adjustment will be processed in the Spring term, January and February activity adjustments will be paid in March. An estimate of March activity using February data will also be paid in March. With the lagged funding of places outlined by the ESFA, this funding stream will require even more attention by special schools.
Where the number of placement weeks is lower than the indicative top up funding total weeks per term, the school will have top up funding removed for those weeks (based on the schools top up value). This will form part of the termly adjustments process. </t>
  </si>
  <si>
    <t xml:space="preserve">10. Local Authorities are required to allocate an amount that is equivalent to 3.4% of the estimated total grant funding of the school. The determination of the total grant value is based on the 2023/24 agreed place numbers and average 2022/23 top up value (including in-year supplementary funding allocated). Split-site funding, if applicable is also considered within the total grant funding. This is to support costs in 2023/24. Schools can forecast to see this funding in future years, for financial planning purposes. For 2023/24, Local Authorities must separately identify these allocations, i.e. outside the schools core funding (place and top up).  </t>
  </si>
  <si>
    <t>11. Total Indicative Place &amp; Top-up Funding (including 3.4%): Indicative Place and Top-up Funding (8) plus the 3.4% Grant Allocation (10).</t>
  </si>
  <si>
    <t>12. Commissioned services outside of the place-led and top up funding (i.e. outside of the main special schools funding formula). Please refer to the 'Funding Summary' tab (notes 13-17) for further detail of those other special school funding streams.</t>
  </si>
  <si>
    <t>13. The 2023/24 Final Indicative Budget Share including the Total Indicative Funding plus the Commissioned Arrangements. This aligns to the 'Funding Summary' tab (note 19)</t>
  </si>
  <si>
    <t>Final Indicative Funding for 2017/18</t>
  </si>
  <si>
    <t>2016/17 Funding</t>
  </si>
  <si>
    <t>Original 2017/18 Funding</t>
  </si>
  <si>
    <t>Indicative 2017/18 Funding</t>
  </si>
  <si>
    <r>
      <t>Pupil-led Funding for Minimum Funding Guarantee (</t>
    </r>
    <r>
      <rPr>
        <i/>
        <sz val="10"/>
        <rFont val="Arial"/>
        <family val="2"/>
      </rPr>
      <t>MFG</t>
    </r>
    <r>
      <rPr>
        <sz val="10"/>
        <rFont val="Arial"/>
        <family val="2"/>
      </rPr>
      <t>)</t>
    </r>
  </si>
  <si>
    <t>Average 2016/17</t>
  </si>
  <si>
    <t>Average 2017/18</t>
  </si>
  <si>
    <r>
      <t xml:space="preserve">Per Pupil-led Value </t>
    </r>
    <r>
      <rPr>
        <i/>
        <sz val="10"/>
        <rFont val="Arial"/>
        <family val="2"/>
      </rPr>
      <t>(MFG)</t>
    </r>
  </si>
  <si>
    <r>
      <t xml:space="preserve">Minus 1.5% Protection of Per Pupil-led Value </t>
    </r>
    <r>
      <rPr>
        <i/>
        <sz val="10"/>
        <rFont val="Arial"/>
        <family val="2"/>
      </rPr>
      <t>(MFG)</t>
    </r>
  </si>
  <si>
    <t>Agreed MFG Funding 2017/18</t>
  </si>
  <si>
    <t>2017/18 Final Indicative Budget Share</t>
  </si>
  <si>
    <t>Agreed 2017/18 Place Numbers</t>
  </si>
  <si>
    <t>Pre-16: April 17 - August 17</t>
  </si>
  <si>
    <t>Pre-16: September 17 - March 18</t>
  </si>
  <si>
    <t>Post-16: April 17 - July 17</t>
  </si>
  <si>
    <t>Band 4+</t>
  </si>
  <si>
    <t>Post-16: August 17 - March 18</t>
  </si>
  <si>
    <t>Special Schools Funding Formula 2017/18</t>
  </si>
  <si>
    <t>1 to 1 Ratio</t>
  </si>
  <si>
    <t>A ratio of 1 TA to 1 child.</t>
  </si>
  <si>
    <t xml:space="preserve">1. Calculation required for minimum funding guarantee (MFG) purposes: Lincolnshire's Special Schools funding formula details a schools funding allocation by each factor for 2016/17 (schools published indicative budget for 2016/17 brought forward). </t>
  </si>
  <si>
    <t xml:space="preserve">9. Indicative Funding for 2017/18 inclusive of the MFG allocation (where applicable) relating to place and top up arrangements. The section provides a clear audit trail of how Lincolnshire special schools are funded through the agreed formula factors for 2017/18, before being presented through the DfE's place and top up arrangements. </t>
  </si>
  <si>
    <t>2. The basis of how special schools are funded: 
• Lincolnshire special schools are funded based on the agreed funding formula implemented in 2011/12, which includes: a staffing block, non-staffing block and banded funding to name the main funding streams. The group size classification for determining the block allocations are based on the October 2016 census. 
• Banded funding continues to be categorised between pre-16 &amp; post-16 places, and the band 5 additionality for extended day provision. The fundamental calculations remain the same, but this approach is to provide greater clarity to schools. The band moderation that adjusted banded funding for 2014/15 has been applied for indicative budget shares. Adjustments will however be made to the 2017/18 budget share information upon the current moderation exercise reaching a conclusion. 
• The Education Funding Agency (EFA) process for agreeing place numbers is based on a lagged funding system due to EFA timing requirements (namely, using Autumn 2016 data to influence 2017/18 academic year place numbers). Local Authorities have the ability to change place numbers for the 2017/18 academic year as per the published DfE high needs guidance, which Lincolnshire has acted upon. 
• The Local Authority has consulted with all special schools on 2017/18 academic year place numbers and the agreed places are reflected in the 2017/18 indicative budget share through the banded funding. 
• The Local Authority intentions were to ensure place numbers typically reflect the pupil numbers in the school, albeit a year lagged, by using the Autumn 2016 pupil information. The Local Authority feel the lagged approach outlined is a good balance between giving schools financial certainty of funding and ensuring place numbers typically reflect those placed in your school. The latter will ensure effective use of resources for the public purse (namely, Lincolnshire's Dedicated Schools Grant). Where a special school encounters a change in pupil numbers, the in-year adjustments process that is undertaken on a termly basis for commissioned place funding or top up funding adjustments will need consideration by the school.
• Through the creation of the lagged funding system, special schools with changing pupil numbers (both downwards and upwards) will be required to use the in-year adjustments schedule within the medium-term finance plan to understanding the funding implications. For example, where more places are occupied than the agreed place number, schools will be entitled to commissioned place funding at the schools average band value (marginal cost) for the period where they are over that threshold – this would equate to the same level of banded funding for the school had the places been increased at the start of the year and the pupil remained at the school throughout the period, hence it is purely a timing difference and funding is released in the correct financial year. 
• The place numbers for pre-16 and post-16 fund the following periods for the financial year 2017/18:
 Academic Year (AY) 2016/17 places: pre-16 (April 17 - August 17) and post-16 (April 17 - July 17);
 Academic Year (AY) 2017/18 places: pre-16 (September 17 - March 18) and post 16 (August 17 - March 18).</t>
  </si>
  <si>
    <r>
      <t>10. Site Factor - PFI Block Allocation: the PFI Block formula factor is treated outside of the place and top up funding arrangements, due to the contractual relationship entered into by the Local Authority / school. This is an allowable exception. The charge applicable to the school is equal the PFI Block value. The PFI charge is based on the school's share of the overall floor space of the seven PFI school buildings.</t>
    </r>
    <r>
      <rPr>
        <sz val="10"/>
        <color rgb="FFFF0000"/>
        <rFont val="Arial"/>
        <family val="2"/>
      </rPr>
      <t xml:space="preserve"> </t>
    </r>
  </si>
  <si>
    <t>11: Site Factor - Split Site allocation: where a single school operates over two or more locations and meets the split site policy criteria, schools are entitled to funding which represents the additional costs of operation compared to being on one site.</t>
  </si>
  <si>
    <t>12. Portage (commissioned arrangements): A Memorandum of Understanding is established between the commissioned schools and Local Authority outlining the desired outcomes from this funding. Funding for 2017/18 will cover April 17 to December 17 only (£26,444), with a view to a new model being in place for January 2018.</t>
  </si>
  <si>
    <t>13. Outreach (commissioned arrangements): The outreach arrangements for physical difficulties and learning difficulties have been awarded, and the schools funding represents this current arrangement. The length of the contract is for the period 1st September 2015 to 31st August 2018.</t>
  </si>
  <si>
    <t>14. Residential (commissioned arrangements): The current arrangements will continue in 2017/18.</t>
  </si>
  <si>
    <t>15. Total Other Special Schools Funding Arrangements: the total funding relating to site factor arrangements and commissioned functions (notes: 10 to 14).</t>
  </si>
  <si>
    <t>16. 2017/18 Final Indicative Budget Share: Indicative 2017/18 funding (9) relating to the main special school formula factors including MFG funding where applicable, and Other Special School funding Arrangements (15).</t>
  </si>
  <si>
    <t xml:space="preserve">17. School Band Profile: The schools percentage banding profile across the five band descriptors moderated in January 2014 by the Local Authority and a special school head teacher from another school. Band profiles will be adjusted and budget shares re-issued following the conclusion of the current band moderation exercise that is being undertaken.  </t>
  </si>
  <si>
    <t>3. Calculation required for MFG purposes: Indicative place and top up funding for 2017/18 based on Lincolnshire's agreed special schools formula to help determine whether the school is entitled to a MFG allocation.</t>
  </si>
  <si>
    <t xml:space="preserve">18. Commissioned Place Value: The average band value determined for the school based on the school banding profile. This commissioned place value will be used to determine the additional level of funding that a school will receive when they go above the determined funded places across a financial year. The medium term finance plan will allow a school to project such funding. The commissioned place value is there to support the marginal costs of admitting an additional pupil. With the creation of the lagged place funding system for special schools, schools with rising levels of agreed places will need to build this commissioned funding into their current and future years financial planning to ensure the schools overall level of funding is understood. Funding will be allocated through a termly adjustment based on the schools termly return outlining weekly numbers. </t>
  </si>
  <si>
    <t xml:space="preserve">4. The MFG protection for 2017/18 budgets applies the following approach: considers the per pupil (variable) funding of a schools funding (banded funding, Free School Meals &amp; former MFG protection funding). If the per pupil funding formula allocations remain the same between the two financial years, the schools budget must not reduce by more than 1.5%. The DfE's MFG arrangements however does not protect the school places funding, therefore a schools or academies budget will change if place numbers have changed. Where a school or academies per pupil rate is greater in 2017/18 than the MFG rate, the 2017/18 per pupil rate will apply. </t>
  </si>
  <si>
    <t xml:space="preserve">5. Number on Roll: The Average Number / Places agreed across the financial year are based on those agreed with schools / EFA. </t>
  </si>
  <si>
    <t>19. Pre-16 Places: Agreed number of school places for pre-16 provision. The periods of funding are as follow: April 17 - August 17 (AY2016/17 brought forward places) and September 17 - March 18 (newly agreed places). Such places have been used to calculate schools banded funding. In-year commissioned funding will be applicable for schools where the net FTE pupil numbers go above the agreed place level. Top up funding is however deducted where net FTE pupil numbers are below the agreed place level, in line with EFA principle of top up funding following the child.</t>
  </si>
  <si>
    <r>
      <t>6. Per Pupil-led Value (MFG): The per pupil-led value for 2016/17 and 2017/18 financial years. The average number / places agreed are divided into the total pupil-led funding.</t>
    </r>
    <r>
      <rPr>
        <i/>
        <sz val="10"/>
        <rFont val="Arial"/>
        <family val="2"/>
      </rPr>
      <t xml:space="preserve"> </t>
    </r>
  </si>
  <si>
    <t>7. Minus 1.5% Protection of Pupil-led Funding (MFG): The pupil-led value is reduced by minus 1.5% to identify the minimum per pupil-led value the school can receive.</t>
  </si>
  <si>
    <t>20. Post-16 Places: Agreed number of school places for post-16 provision. The periods of funding are as follow: April 17 - July 17 and August 17 - March 18. The in-year adjustments process follows the same principle as pre-16 places (see note: 19).</t>
  </si>
  <si>
    <t>8. Agreed MFG Funding for 2017/18: The higher of the two per pupil-led values (MFG 2016/17 rate versus 2017/18 rate) will apply for 2017/18. Where the MFG 2016/17 rate is the higher of the two per pupil values, the MFG funding is determined by identifying the difference between the two amounts per pupil, and multiplying this value by the 2017/18 pupil numbers. This MFG funding is included within the overall funding for 2017/18. Where a school with a 2017/18 per pupil value greater than the 2016/17 MFG rate, no MFG funding will be applicable. A schools minimum funding level determined by the DfE is £10,000 per place, therefore where the local funding formula identifies an amount below this figure (primarily down to the size of the operation) additional funding is applied.</t>
  </si>
  <si>
    <t>21. Special school band descriptors detailing staffing ratio's and monetary sums that determine a school banded funding and commissioned place value. The band values remain cash flat for 2017/18, which is the same approach applied for the mainstream schools. A new band (Band 4+) has been included within the budget share information, which is reflective of current costs for one to one support. Following the conclusion of the moderation exercise, the necessary funding adjustments will be required for each special school.</t>
  </si>
  <si>
    <t>22. Special Schools funding block allocations for 2017/18. The block allocations remain cash flat for 2017/18.</t>
  </si>
  <si>
    <t>Special Schools Funding - Lincolnshire Model 2017/18 - Pre &amp; Post 16 Children</t>
  </si>
  <si>
    <t>2017/18 Places</t>
  </si>
  <si>
    <t>MFG Funding</t>
  </si>
  <si>
    <t>Total Funding (with MFG)</t>
  </si>
  <si>
    <t>Minimum £10,000pp Funding</t>
  </si>
  <si>
    <t>DfE Place Funding Adjustment</t>
  </si>
  <si>
    <t>Original Calculation</t>
  </si>
  <si>
    <t>Total Top Up Funding</t>
  </si>
  <si>
    <t>Top Up Funding PP</t>
  </si>
  <si>
    <t>Total Cost Per Place</t>
  </si>
  <si>
    <t>Baseline for MFG purposes using the original publication for 2018/19</t>
  </si>
  <si>
    <t>Pilgrim School</t>
  </si>
  <si>
    <t>Places:</t>
  </si>
  <si>
    <t>2017/18 Budget Share Calculations</t>
  </si>
  <si>
    <t>Numbers agreed as per EFA return (2016/17 Return)</t>
  </si>
  <si>
    <t>2017-18 Portage Approach</t>
  </si>
  <si>
    <t>2017-18 Specialist Schools Funding</t>
  </si>
  <si>
    <t>2017-18 Outreach Funding</t>
  </si>
  <si>
    <t>2017-18 Pathfinder Outreach Funding</t>
  </si>
  <si>
    <t xml:space="preserve">2017-18 Residential Funding </t>
  </si>
  <si>
    <t xml:space="preserve">FSM as at Oct 16 </t>
  </si>
  <si>
    <t>2016/17 Allocation</t>
  </si>
  <si>
    <t>2017/18</t>
  </si>
  <si>
    <t>2017/18 Budget Requirement</t>
  </si>
  <si>
    <t>2017/18 Portage Requirement Jan 17 - Mar 18</t>
  </si>
  <si>
    <t>2017/18 Budget Requirement (Agresso)</t>
  </si>
  <si>
    <t>To be funded from Headroom?</t>
  </si>
  <si>
    <t>2023/24 Funding</t>
  </si>
  <si>
    <t>2022/23 Funding</t>
  </si>
  <si>
    <t>Non-staffing Block</t>
  </si>
  <si>
    <t>Banded Funding (A - F)</t>
  </si>
  <si>
    <t>Banded Funding (G)</t>
  </si>
  <si>
    <t>Local Protection Funding Allocation</t>
  </si>
  <si>
    <t>Average 2022/23</t>
  </si>
  <si>
    <t>Average 2023/24</t>
  </si>
  <si>
    <t>Number on Roll (Place Numbers)</t>
  </si>
  <si>
    <t>Total Indicative Funding (including the 3.4% grant allocation)</t>
  </si>
  <si>
    <t>Monetary Local Protection Funding adjustment for 2023/24</t>
  </si>
  <si>
    <t xml:space="preserve">Percentage Increase from 2021/22 funding levels </t>
  </si>
  <si>
    <t>Staffing and Non-staffing Block</t>
  </si>
  <si>
    <t>Band A</t>
  </si>
  <si>
    <t>Band B</t>
  </si>
  <si>
    <t>Band C</t>
  </si>
  <si>
    <t>Band D</t>
  </si>
  <si>
    <t>Band E</t>
  </si>
  <si>
    <t>Agreed 2023/24 Place Numbers</t>
  </si>
  <si>
    <t>Band F</t>
  </si>
  <si>
    <t>Pre-16: April 23 - August 23</t>
  </si>
  <si>
    <t>Band G</t>
  </si>
  <si>
    <t>Pre-16: September 23 - March 24</t>
  </si>
  <si>
    <t>Post-16: April 23 - July 23</t>
  </si>
  <si>
    <t>Post-16: August 23 - March 24</t>
  </si>
  <si>
    <t>Special Schools Funding Formula 2023/24</t>
  </si>
  <si>
    <t>Band C (New)</t>
  </si>
  <si>
    <t>2.06 to 1 Ratio</t>
  </si>
  <si>
    <t>A ratio of 2.06 to 1, requires for every 8 children, 1 Teacher &amp; 2.89 TAs.</t>
  </si>
  <si>
    <t>2 to 1 Ratio</t>
  </si>
  <si>
    <t>A ratio of 2 to 1, requires for every 8 children, 1 Teacher &amp; 3 TAs.</t>
  </si>
  <si>
    <t>A ratio of 2 to 1, requires for every 6 children, 1 Teacher &amp; 2 TAs.</t>
  </si>
  <si>
    <t>Categories - Staffing and Non-Staffing Blocks</t>
  </si>
  <si>
    <t>Banding Value Categorises (£ up to)</t>
  </si>
  <si>
    <t>School Size 3</t>
  </si>
  <si>
    <t>School Size 3 Transition Point</t>
  </si>
  <si>
    <t>School Size 4</t>
  </si>
  <si>
    <t>School Size 4 Transition Point</t>
  </si>
  <si>
    <t>School Size 5</t>
  </si>
  <si>
    <t>School Size 5 Transition Point</t>
  </si>
  <si>
    <t>School Size 6</t>
  </si>
  <si>
    <t>School Size 6 Transition Point</t>
  </si>
  <si>
    <t>School Size 7</t>
  </si>
  <si>
    <t xml:space="preserve">1. Lincolnshire's special schools 2022/23 funding formula allocations by each formula factor (based on the schools published indicative budget for 2022/23). </t>
  </si>
  <si>
    <t>3. Indicative 2023/24 place and top up funding based on Lincolnshire's special schools formula. The format is required to determine whether the school is entitled to a per pupil local funding protection.</t>
  </si>
  <si>
    <t xml:space="preserve">4. Number on Roll: the Average Number / Places agreed across the financial year that have been agreed with the special school. The 2023/24 indicative funding uses the following place numbers: April 23 - August 23 (AY 2022/23 brought forward places) and September 23 - March 24 (AY 2023/24 agreed places). </t>
  </si>
  <si>
    <t>6. Percenatge increase from 2021/22 funding levels. The DfE Minimum Funding Guarantee (MFG) is +3% comparing 2021/22 funding levels to 2023/24. This is to be based on a like-for-like comparison with a special school’s overall budget in 2021/22. Using the 2023/24 formula factor values and 2021/22 pupil data, the total budget is required to increase by +3% from the published 2021/22 funding levels. This figure shows the actual percentage increase from 2021/22 funding levels, thus proving the DfE MFG level of 3% has been satisfied. The additional 3.4% grant allocation is treated outside of this MFG calculation.</t>
  </si>
  <si>
    <t>7. School Size category: the staffing and non-staffing block special school categories, which is determined by a schools overall banding monetary funding.</t>
  </si>
  <si>
    <t xml:space="preserve">8. School Band Descriptor Profile: the schools percentage banding profile across the seven band descriptors. Latest pupil data has been updated to ensure that every pupil who has had a place agreed for the 2023/24 AY, including having an associated band attributed to them. </t>
  </si>
  <si>
    <t>9. Commissioned Place Value: the average band value determined for the school based on the agreed school banding profile A - F. This commissioned place value will be used to determine the additional level of funding that a school will receive when they go above the determined funded places across a financial year. The commissioned place value is there to support the marginal costs of admitting an additional pupil. With the creation of the lagged place funding system for special schools, schools with rising levels of LA agreed places will need to build in commissioned funding into their current and future years financial planning to ensure the schools overall level of funding is understood. Funding will be allocated through a termly adjustment based on the schools termly return outlining weekly numbers. As the commissioned funding is based on an average band rate, if schools admit a considerably higher number of band G pupils mid-year, the authority is happy to review the funding arrangements to avoid being financial disadvantaged. The authority will not agree to fund individual additional funding requests for every band G child admitted mid-year.</t>
  </si>
  <si>
    <t xml:space="preserve">10. Indicative Place and Top up Funding: 2023/24 funding inclusive of the MFG allocation (where applicable) based on Lincolnshire's special schools funding formula. The section provides a clear audit trail of how Lincolnshire special schools are funded through the formula factors for 2023/24, before being presented through the DfE's place and top up arrangements (based on the agreed place numbers and overall monetary value). </t>
  </si>
  <si>
    <t xml:space="preserve">11. 3.4% Grant Allocation: Local Authorities are required to allocate an amount that is equivalent to 3.4% of the estimated total grant funding of the school. The determination of the total grant value is based on the 2023/24 agreed place numbers and average 2022/23 top up value (including in-year supplementary funding allocated). Split-site funding, if applicable is also considered within the total grant funding. This is to support costs in 2023/24. Schools can forecast to see this funding in future years, for financial planning purposes. For 2023/24, Local Authorities must separately identify these allocations, i.e. outside the schools core funding (place and top up).  </t>
  </si>
  <si>
    <t>12. Total Indicative Total Funding (including 3.4% grant allocation): Indicative Place and Top-up Funding (10) plus the 3.4% Grant Allocation (11).</t>
  </si>
  <si>
    <t xml:space="preserve">13. Site Factor - PFI Block Allocation: the PFI Block formula factor is treated outside of the place and top up funding arrangements, due to the contractual relationship entered into by the Local Authority / school. This is an allowable exception. The charge applicable to the school is equal to the PFI Block value. The PFI charge is based on the school's share of the overall floor space of the seven PFI school buildings. </t>
  </si>
  <si>
    <t>14. Site Factor - Split Site allocation: where a single school operates over two or more locations and meets the split site policy criteria, schools are entitled to funding which represents the additional costs of operating compared to being on one site.</t>
  </si>
  <si>
    <t>15. Portage (commissioned arrangements): A Memorandum of Understanding is established between the commissioned schools and Local Authority outlining the desired outcomes from this funding. The current agreement runs up until August 2023 with a review of the service currently being undertaken by Lincolnshire's Commissioning Team, in order to determine the funding arrangements from September 2023. The indicative funding allocation detailed is for the period April 2023 to August 2023. Further allocations will be made mid-year pending the outcome of the review.</t>
  </si>
  <si>
    <t xml:space="preserve">16. Outreach (commissioned arrangements): The current outreach arrangements for Physical Difficulties and Autism and learning difficulties (ALD) are due to end in August 2025. Funding allocations are therefore in place for the period April 2023 - March 2024. </t>
  </si>
  <si>
    <t>17. Residential (commissioned arrangements): commissioned funding for residential provision.</t>
  </si>
  <si>
    <t>18. Total Other Special Schools Funding Arrangements: the total funding relating to site factor arrangements and commissioned functions (notes: 13 to 17).</t>
  </si>
  <si>
    <t>19. 2023/24 Final Indicative Budget Share: Indicative 2023/24 funding (10) relating to the main special school formula factors including local protection funding where applicable, plus 3.4% additional grant allocation (11), and Other Special School funding Arrangements (18).</t>
  </si>
  <si>
    <t xml:space="preserve">20. Pre-16 Places: agreed number of school places for pre-16 provision. The 2023/24 indicative funding uses the following place numbers: April 23 - August 23 (AY 2022/23 brought forward places) and September 23 - March 24 (AY 2023/24 agreed places). Such places have been used to calculate schools banding funding. In-year commissioned funding will be applicable for schools where the net FTE pupil numbers go above the agreed place level. Top up funding is however deducted where net FTE pupil numbers are below the agreed place level, in line with ESFA principle of top up funding following the child. </t>
  </si>
  <si>
    <t>21. Post-16 Places: agreed number of school places for post-16 provision. The periods of funding are as follow: April 23 - July 23 (AY 2022/23 brought forward places), and August 23 - March 24 (AY 2023/24 agreed places). The in-year adjustments process follows the same principle as pre-16 places (see note: 20).</t>
  </si>
  <si>
    <t>22. Special school band descriptors detailing the staffing ratio's and monetary sums that determine a school banding funding and commissioned place value. The band values are based on agreed staffing to pupil ratio's. Upward funding adjustments have been made to the band values in 2023/24 to include a 3% increase in costs.</t>
  </si>
  <si>
    <t>24. Staffing and non-staffing blocks: PFI special schools are treated consistently with other special schools, however a number of costs relating to the building (such as caretaking, cleaning, repairs &amp; maintenance) are included within the schools PFI Block, therefore to avoid schools being double funded, this funding is deducted from the staffing and non-staffing block by school size. For 2023/24, the key cost drivers for both staffing and non-staffing have been increased by 3%, along with the group size thresholds (see note 23).</t>
  </si>
  <si>
    <t>%Band 4+</t>
  </si>
  <si>
    <t>Comparison</t>
  </si>
  <si>
    <t>Original Published Ave. Band Value</t>
  </si>
  <si>
    <t>% Band 4+</t>
  </si>
  <si>
    <t>Original</t>
  </si>
  <si>
    <t>Revised</t>
  </si>
  <si>
    <t>Total Modreations</t>
  </si>
  <si>
    <t>Band 2+</t>
  </si>
  <si>
    <t xml:space="preserve">% Band 2+ </t>
  </si>
  <si>
    <t xml:space="preserve">% Band 4+ </t>
  </si>
  <si>
    <t>Special Schools Funding - Lincolnshire Model 2018/19 - Pre &amp; Post 16 Children</t>
  </si>
  <si>
    <t>Staffing &amp; Non-staffing Block</t>
  </si>
  <si>
    <t>2018/19 Places</t>
  </si>
  <si>
    <t>2018/19 Places (less Band G)</t>
  </si>
  <si>
    <t>Band G Funding</t>
  </si>
  <si>
    <t>MFG %Change</t>
  </si>
  <si>
    <t>MFG %Adjustment</t>
  </si>
  <si>
    <t>Net MFG % Change</t>
  </si>
  <si>
    <t>John Fielding School</t>
  </si>
  <si>
    <t>Sandon School</t>
  </si>
  <si>
    <t>St Bernard's School</t>
  </si>
  <si>
    <t>Eresby Special School</t>
  </si>
  <si>
    <t>Ambergate Sports College</t>
  </si>
  <si>
    <t>St Lawrence School</t>
  </si>
  <si>
    <t>PFI School Size 4 Transition Point</t>
  </si>
  <si>
    <t>Phoenix Academy Trust</t>
  </si>
  <si>
    <t>PFI School Size 3</t>
  </si>
  <si>
    <t>Athena School</t>
  </si>
  <si>
    <t>PFI School Size 4</t>
  </si>
  <si>
    <t>Woodlands Academy</t>
  </si>
  <si>
    <t>Warren Wood Specialist Academy</t>
  </si>
  <si>
    <t>Aegir Specialist Academy</t>
  </si>
  <si>
    <t>Deleted (inc. Non-staffing)</t>
  </si>
  <si>
    <t>17/18</t>
  </si>
  <si>
    <t>Growth in Place Numbers</t>
  </si>
  <si>
    <t>Ash Villa</t>
  </si>
  <si>
    <t>2018/19 Budget Share Calculations</t>
  </si>
  <si>
    <t>% Band A - 3</t>
  </si>
  <si>
    <t>% Band B - 2</t>
  </si>
  <si>
    <t>% Band C - 5</t>
  </si>
  <si>
    <t>% Band D - 1</t>
  </si>
  <si>
    <t>% Band E - 4</t>
  </si>
  <si>
    <t>% Band F - 2+</t>
  </si>
  <si>
    <t>% Band G - 4+</t>
  </si>
  <si>
    <t>Numbers agreed as per EFA return (2017/18 Return)</t>
  </si>
  <si>
    <t>Band A (Band 3)</t>
  </si>
  <si>
    <t>Band B (Band 2)</t>
  </si>
  <si>
    <t>Band C (Band 5)</t>
  </si>
  <si>
    <t>Band D (Band 1)</t>
  </si>
  <si>
    <t>Band E (Band 4)</t>
  </si>
  <si>
    <t>Band F (Band 2+)</t>
  </si>
  <si>
    <t>Band G (Band 4+)</t>
  </si>
  <si>
    <t>Band C (Band 5) Additionality</t>
  </si>
  <si>
    <t>Band 4 Plus</t>
  </si>
  <si>
    <t>2018/19 Band Values</t>
  </si>
  <si>
    <t>Revised Published Ave. Band Value</t>
  </si>
  <si>
    <t>Need to consider how the band values have fallen.</t>
  </si>
  <si>
    <t>Need to consider what baseline should be used.</t>
  </si>
  <si>
    <t>Variances</t>
  </si>
  <si>
    <t>2+</t>
  </si>
  <si>
    <t>4+</t>
  </si>
  <si>
    <t xml:space="preserve">FSM taken as at Jan 18 </t>
  </si>
  <si>
    <t>2017/18 Allocation</t>
  </si>
  <si>
    <t>2018-19 Portage Approach</t>
  </si>
  <si>
    <t>2018-19 Specialist Schools Funding</t>
  </si>
  <si>
    <t>2018-19 Outreach Funding</t>
  </si>
  <si>
    <t>2018-19 Pathfinder Outreach Funding</t>
  </si>
  <si>
    <t xml:space="preserve">2018-19 Residential Funding </t>
  </si>
  <si>
    <t>Schools</t>
  </si>
  <si>
    <t>Lump sum</t>
  </si>
  <si>
    <t>Special School places</t>
  </si>
  <si>
    <t>Pilgrim</t>
  </si>
  <si>
    <t>TLC</t>
  </si>
  <si>
    <t>Funding Envelope</t>
  </si>
  <si>
    <t>Per Pupil</t>
  </si>
  <si>
    <t xml:space="preserve"> </t>
  </si>
  <si>
    <t>LS</t>
  </si>
  <si>
    <t>PP</t>
  </si>
  <si>
    <t>Boston Pilgrim</t>
  </si>
  <si>
    <t>Amount to allocate</t>
  </si>
  <si>
    <t>% share of Non-Staffing Block</t>
  </si>
  <si>
    <t>Roundings</t>
  </si>
  <si>
    <t>Pupil-led Element</t>
  </si>
  <si>
    <t>Incremental Rate (£3m)</t>
  </si>
  <si>
    <t>Surplus Amount</t>
  </si>
  <si>
    <t>Additional Amount Per Pupil</t>
  </si>
  <si>
    <t>Added to the £33.75</t>
  </si>
  <si>
    <t>Rounded</t>
  </si>
  <si>
    <t>2018/19</t>
  </si>
  <si>
    <t>Band Moderation / Band Values / Place Numbers</t>
  </si>
  <si>
    <t>RPIX Increases</t>
  </si>
  <si>
    <t>0.5% Settlement / One-Off DSG Underspend</t>
  </si>
  <si>
    <t>2018/19 Budget Requirement</t>
  </si>
  <si>
    <t>2019/20</t>
  </si>
  <si>
    <t>Band Moderation / Place Numbers (63)</t>
  </si>
  <si>
    <t>1.0% settlement increase on top of 17/18 figures, plus removal of 17/18 DSG underspend</t>
  </si>
  <si>
    <t>Total Budget Requirement</t>
  </si>
  <si>
    <t>19/20 Place Funding</t>
  </si>
  <si>
    <t>19/20 Top-Up Funding</t>
  </si>
  <si>
    <t>Special Schools Funding - Lincolnshire Model 2019/20 - Pre &amp; Post 16 Children</t>
  </si>
  <si>
    <t>2019/20 Places</t>
  </si>
  <si>
    <t>2019/20 Places (less Band G)</t>
  </si>
  <si>
    <t>Ave. Band Value (Excl. Band G)</t>
  </si>
  <si>
    <t>SEMH -  Formula Review</t>
  </si>
  <si>
    <t>Greenfields Academy</t>
  </si>
  <si>
    <t>The MFG treatment is taking it away due to them previously receiving protection, but the formual is to be reviewed, therefore cannot financially disadvantage them for growing their school. It will need to be incorporated into the baseline for next years funding purposes.</t>
  </si>
  <si>
    <t>18/19</t>
  </si>
  <si>
    <t>Growth in Place Numbers (63)</t>
  </si>
  <si>
    <t>Proposed Moderations</t>
  </si>
  <si>
    <t>Agreed Moderations</t>
  </si>
  <si>
    <t>MFG Amendment for Band G</t>
  </si>
  <si>
    <t>Further MFG Adjustments - MP</t>
  </si>
  <si>
    <t>Willoughby Moderations</t>
  </si>
  <si>
    <t>2019/20 Budget Share Calculations</t>
  </si>
  <si>
    <t>April 19 - August 19 (Pre-16)</t>
  </si>
  <si>
    <t>% Band A</t>
  </si>
  <si>
    <t>% Band B</t>
  </si>
  <si>
    <t>% Band C</t>
  </si>
  <si>
    <t>% Band D</t>
  </si>
  <si>
    <t>% Band E</t>
  </si>
  <si>
    <t>% Band F</t>
  </si>
  <si>
    <t>% Band G</t>
  </si>
  <si>
    <t>Pre 16 Places (less Band G)</t>
  </si>
  <si>
    <t>April 19 - July 19 (Post-16)</t>
  </si>
  <si>
    <t>September 19 - March 20 (Pre-16)</t>
  </si>
  <si>
    <t>Numbers agreed as per EFA return (2018/19 Return)</t>
  </si>
  <si>
    <t>August 19 - March 20 (Post-16)</t>
  </si>
  <si>
    <t>Band C Additionality</t>
  </si>
  <si>
    <t>Band G 19/20</t>
  </si>
  <si>
    <t>Band G 18/19</t>
  </si>
  <si>
    <t>Decrease</t>
  </si>
  <si>
    <t>1920 MFG Protection</t>
  </si>
  <si>
    <t>V3 MFG Protection</t>
  </si>
  <si>
    <t>Reduction</t>
  </si>
  <si>
    <t xml:space="preserve">% Band B </t>
  </si>
  <si>
    <t xml:space="preserve">% Band C </t>
  </si>
  <si>
    <t xml:space="preserve">% Band D </t>
  </si>
  <si>
    <t xml:space="preserve">% Band E </t>
  </si>
  <si>
    <t xml:space="preserve">% Band F </t>
  </si>
  <si>
    <t xml:space="preserve">% Band G </t>
  </si>
  <si>
    <t>Variances (18/19 to 19/20)</t>
  </si>
  <si>
    <t>19/20 Portage Approach</t>
  </si>
  <si>
    <t>19/20 Outreach Funding</t>
  </si>
  <si>
    <t xml:space="preserve">1920 Residential Funding </t>
  </si>
  <si>
    <t>20/21 Portage Approach</t>
  </si>
  <si>
    <t>20/21 Outreach Funding</t>
  </si>
  <si>
    <t xml:space="preserve">20/21 Residential Funding </t>
  </si>
  <si>
    <t>Grantham Greenfields Academy</t>
  </si>
  <si>
    <t>FSM taken as at Jan 19</t>
  </si>
  <si>
    <t>2018/19 Allocation</t>
  </si>
  <si>
    <t>Teacher Costs per Pupil</t>
  </si>
  <si>
    <t>TA Costs per Pupil</t>
  </si>
  <si>
    <t>Midday Supervisor Per Pupil</t>
  </si>
  <si>
    <t>Notes</t>
  </si>
  <si>
    <t>2017/18 Value</t>
  </si>
  <si>
    <t>A ratio of 5 to 1, requires for every 10 children, 1 Teacher &amp; 1 Tas</t>
  </si>
  <si>
    <t>Band 5 - Extended Day Offer</t>
  </si>
  <si>
    <t xml:space="preserve">Supplement factor to be applied to take into account the further access to programmes offered by schools </t>
  </si>
  <si>
    <t>A ratio of 1 to 1</t>
  </si>
  <si>
    <t>What level of staff member is required?</t>
  </si>
  <si>
    <t>Band 1 &amp; 4</t>
  </si>
  <si>
    <t>2020/21</t>
  </si>
  <si>
    <t>Place Numbers / FSM / Staffing &amp; Non-staff Blocks</t>
  </si>
  <si>
    <t>Removal of St Christopher's split site, Inclusion of Athena</t>
  </si>
  <si>
    <t>Agreements only until Aug 20, but budget to be retained for full year</t>
  </si>
  <si>
    <t>Additional agreement for St Chistophers to cover Apr - Aug 20</t>
  </si>
  <si>
    <t>Additional 10 places &amp; ASD Unit</t>
  </si>
  <si>
    <t>No uplift agreed pending outcome of consultation</t>
  </si>
  <si>
    <t>Mary Knox SEMH Places</t>
  </si>
  <si>
    <t>Exceptional Funding</t>
  </si>
  <si>
    <t>Additional Therapy</t>
  </si>
  <si>
    <t xml:space="preserve"> Top-Up Funding</t>
  </si>
  <si>
    <t>2021/22</t>
  </si>
  <si>
    <t>2022/23</t>
  </si>
  <si>
    <t>Increase due to estimated RPIX</t>
  </si>
  <si>
    <t>OLEA Top Up Deduction</t>
  </si>
  <si>
    <t>Outreach Funding Extension</t>
  </si>
  <si>
    <t>Commissioning Team to review funding for Sep 22 onwards</t>
  </si>
  <si>
    <t>Portage Funding Extension</t>
  </si>
  <si>
    <t>St Francis Residential Funding Ceased</t>
  </si>
  <si>
    <t>Current 21/22 exceptional forecast is £350k</t>
  </si>
  <si>
    <t>Increase based on current 21/22 therapy costs</t>
  </si>
  <si>
    <t>22/23 Place Funding Requirement (L14302)</t>
  </si>
  <si>
    <t>Includes 80 x £10,000 for Pilgrim</t>
  </si>
  <si>
    <t>22/23 Top-up Requirement (L10635)</t>
  </si>
  <si>
    <t>2021/22 Budget</t>
  </si>
  <si>
    <t>Increase overall</t>
  </si>
  <si>
    <t>V7 and V8</t>
  </si>
  <si>
    <t>Increase</t>
  </si>
  <si>
    <t>2023/24</t>
  </si>
  <si>
    <t>Diff</t>
  </si>
  <si>
    <t>DLT paper to review extension beyond Aug 23</t>
  </si>
  <si>
    <t>Increase based on current 22/23 forecast - BH to verify</t>
  </si>
  <si>
    <t>Increase based on current 22/23 forecast</t>
  </si>
  <si>
    <t>Source Version 2 - including Tulip Amendments</t>
  </si>
  <si>
    <t>Accounts for supplementary funding allocation</t>
  </si>
  <si>
    <t>Special Schools Funding - Lincolnshire Model 2022/23 - Pre &amp; Post 16 Children</t>
  </si>
  <si>
    <t>*Excl' SplitSite &amp; PFI</t>
  </si>
  <si>
    <t>Teachers' Pay and Pension check</t>
  </si>
  <si>
    <t>School Size</t>
  </si>
  <si>
    <t>Band C Additionality Banded Funding</t>
  </si>
  <si>
    <t>2022/23 Places</t>
  </si>
  <si>
    <t>2022/23 Places (less Band G)</t>
  </si>
  <si>
    <t>*Total Funding (with MFG)</t>
  </si>
  <si>
    <t>Teachers' Pay Grant</t>
  </si>
  <si>
    <t>Teachers' Pension Grant</t>
  </si>
  <si>
    <t>Check</t>
  </si>
  <si>
    <t>Blocks incl. Teachers' pay &amp; pension</t>
  </si>
  <si>
    <t>Teachers' pay and pension (Bands 21/22)</t>
  </si>
  <si>
    <t>Total Per Place</t>
  </si>
  <si>
    <t>Boston Endeavour School</t>
  </si>
  <si>
    <t>The Tulip Academy</t>
  </si>
  <si>
    <t>2021/22 Comparison</t>
  </si>
  <si>
    <t>Note: exclude PFI costs</t>
  </si>
  <si>
    <t>Special Schools Funding - Lincolnshire Model 2023/24 - Pre &amp; Post 16 Children</t>
  </si>
  <si>
    <t>2023/24 Places</t>
  </si>
  <si>
    <t>2023/24 Places (less Band G)</t>
  </si>
  <si>
    <t>2022/23 Comparison</t>
  </si>
  <si>
    <t>Excl Split site and PFI</t>
  </si>
  <si>
    <t>3% cost</t>
  </si>
  <si>
    <t>School Size changes</t>
  </si>
  <si>
    <t>Version 2 - b/f</t>
  </si>
  <si>
    <t>Band C (Old)</t>
  </si>
  <si>
    <t>Protected Places</t>
  </si>
  <si>
    <t>B/F from 2022/23</t>
  </si>
  <si>
    <t>QUESTION</t>
  </si>
  <si>
    <t>a</t>
  </si>
  <si>
    <t>9257010e</t>
  </si>
  <si>
    <t xml:space="preserve">Protection Per Place </t>
  </si>
  <si>
    <t>B/F from 2022/23- separately identified</t>
  </si>
  <si>
    <t>b</t>
  </si>
  <si>
    <t>Band Value change</t>
  </si>
  <si>
    <t>The only increase relates to the supplementary funding allocation in 2022/23 which was in response to rising costs and outside of the MFG calcualtion, which is consistent with mainstream schools.</t>
  </si>
  <si>
    <t>9257010d</t>
  </si>
  <si>
    <t>c</t>
  </si>
  <si>
    <t>9257005e</t>
  </si>
  <si>
    <t>9257005d</t>
  </si>
  <si>
    <t>9257025e</t>
  </si>
  <si>
    <t>9257025d</t>
  </si>
  <si>
    <t>9257011e</t>
  </si>
  <si>
    <t>9257011d</t>
  </si>
  <si>
    <t>9257024e</t>
  </si>
  <si>
    <t>9257024d</t>
  </si>
  <si>
    <t>9257031e</t>
  </si>
  <si>
    <t>9257031d</t>
  </si>
  <si>
    <t>9257033e</t>
  </si>
  <si>
    <t>9257033d</t>
  </si>
  <si>
    <t>9257008e</t>
  </si>
  <si>
    <t>9257008d</t>
  </si>
  <si>
    <t>9257034e</t>
  </si>
  <si>
    <t>9257034d</t>
  </si>
  <si>
    <t>9257002e</t>
  </si>
  <si>
    <t>9257002d</t>
  </si>
  <si>
    <t>9257009e</t>
  </si>
  <si>
    <t>9257009d</t>
  </si>
  <si>
    <t>9257029e</t>
  </si>
  <si>
    <t>9257029d</t>
  </si>
  <si>
    <t>Lincoln Athena School</t>
  </si>
  <si>
    <t>9257032e</t>
  </si>
  <si>
    <t>9257032d</t>
  </si>
  <si>
    <t>Spilsby The Woodlands</t>
  </si>
  <si>
    <t>9257030e</t>
  </si>
  <si>
    <t>9257030d</t>
  </si>
  <si>
    <t>9257028e</t>
  </si>
  <si>
    <t>9257028d</t>
  </si>
  <si>
    <t>9257021e</t>
  </si>
  <si>
    <t>9257021d</t>
  </si>
  <si>
    <t>9257015e</t>
  </si>
  <si>
    <t>9257015d</t>
  </si>
  <si>
    <t>9257016e</t>
  </si>
  <si>
    <t>9257016d</t>
  </si>
  <si>
    <t>2023/24 MFG Protection</t>
  </si>
  <si>
    <t>2022/23 Protection Level</t>
  </si>
  <si>
    <t>Change</t>
  </si>
  <si>
    <t>Drop in place numbers</t>
  </si>
  <si>
    <t>B/F from 2021/22</t>
  </si>
  <si>
    <t>B/F from 2021/22- separately identified</t>
  </si>
  <si>
    <t>This should be formula driven to zero until 2022/23 band values change (i.e. inflation) - this will then reduce their level of MFG. A lookup to 2022/23 Band values tab showing the difference between the band value of 22/23 and 21/22 is required.</t>
  </si>
  <si>
    <t>Protected Places - Future</t>
  </si>
  <si>
    <t>2022/23 MFG Protection</t>
  </si>
  <si>
    <t>2021/22 Protection Level</t>
  </si>
  <si>
    <t>Should any surplus above the 2020/21 teachers' pay and pension grant allocation be added into the MFG - need to apply on a like for like basis i.e. adjusting for place numbers.</t>
  </si>
  <si>
    <t>d</t>
  </si>
  <si>
    <t>21/22</t>
  </si>
  <si>
    <t>Places on MFG</t>
  </si>
  <si>
    <t>MFG Protection</t>
  </si>
  <si>
    <t>2020/21 Protection Level</t>
  </si>
  <si>
    <t>2023/24 Local Protection Calculation</t>
  </si>
  <si>
    <t>Financial Year</t>
  </si>
  <si>
    <t xml:space="preserve">Places Funded </t>
  </si>
  <si>
    <t>2022/23 Protection Funding</t>
  </si>
  <si>
    <t>2022/23 Protected Places</t>
  </si>
  <si>
    <t>2023/24 Agreed Places</t>
  </si>
  <si>
    <t>2023/24 Protected Places</t>
  </si>
  <si>
    <t>e</t>
  </si>
  <si>
    <t>2022/22 Protection Per Place</t>
  </si>
  <si>
    <t>Band Value change (increase)</t>
  </si>
  <si>
    <t xml:space="preserve">2023/24 Funding Per Protected Place </t>
  </si>
  <si>
    <t>2023/24 Protection Funding</t>
  </si>
  <si>
    <t>Protection Funding Per Band</t>
  </si>
  <si>
    <t>2. The brought forward monetary protection per place from 2022/23 (if applicable).</t>
  </si>
  <si>
    <t xml:space="preserve">3. The school supplementary funding allocated in-year in 2022/23 (3% increase in funding) to respond to the rising costs faced by the sector has been included within the formula factors (included the bands) for 2023/24. This has not been considered within the Band Value change for local protection purposes since it was allocated in response to economic factors. The 3.4% allocation to schools through the condition of grant is outside Lincolnshire's special schools funding formula.  </t>
  </si>
  <si>
    <t>4. 2023/24 Funding per Band per Protected Place. This compares the level of protection funding the school received per band in 2022/23 against what they will receive in 2023/24. The local protection continues to be 0%. This local factor protection is applied to the numbers and complexity of pupil needs remaining the same (i.e. comparing like-with-like), therefore protection comparisons have been made to each band to ensure schools subject to local protection are funded on the lower of the two years band pupil numbers between 2022/23 and 2023/24, e.g. protection of existing pupils with the same needs still within the school.</t>
  </si>
  <si>
    <t>5. 2022/23 Protection Entitlement. This shows the agreed level of local protection for the 2022/23 budget share, which is presented for comparison purposes.</t>
  </si>
  <si>
    <t>6. 2023/24 Protection Entitlement. This shows the agreed level of local protection for the 2023/24 budget share.</t>
  </si>
  <si>
    <t>DfE Minimum Funding Guarantee: ensuring a +3% increase in funding levels from 2021/22 to 2023/24</t>
  </si>
  <si>
    <t>The DfE Minimum Funding Guarantee (MFG) is +3% comparing 2021/22 funding levels to 2023/24. This is to be based on a like-for-like comparison with a special school’s overall budget in 2021/22. Using the 2023/24 formula factor values and 2021/22 pupil data, the total budget is required to increase by +3%. The following assesses this treatment.</t>
  </si>
  <si>
    <t>2021/22 Total Funding</t>
  </si>
  <si>
    <t>Band Funding</t>
  </si>
  <si>
    <t>Block Funding</t>
  </si>
  <si>
    <t>FSM</t>
  </si>
  <si>
    <t>PPG</t>
  </si>
  <si>
    <t>2023/24 Total Funding</t>
  </si>
  <si>
    <t>2021/22 to 2023/24 Percentage Funding Increase</t>
  </si>
  <si>
    <t xml:space="preserve">1. 2021/22 Place numbers and school band profile: this states the 2021/22 agreed place numbers, broken down across the 7 bands. </t>
  </si>
  <si>
    <t>2. 2021/22 Funding Breakdown: this provides the breakdown of 2021/22 schools total funding across the various formula factors: Band Funding, Block Funding, Free School Meals and Local Protection arrangement. The teachers’ pay and pension funding devolved through the formula in 2021/22 is referred.</t>
  </si>
  <si>
    <t xml:space="preserve">4. 2021/22 Total Funding: this details the published total budget shares funding for the school in 2021/22, excluding any teachers’ pay and pension allocations as per the DfE guidance. </t>
  </si>
  <si>
    <t xml:space="preserve">5. 2023/24 Total Funding: this details the total budget shares funding for the school on the assumption that place numbers and band profiles have remained the same as in 2021/22 but using 2023/24 formula factor values, as per the DfE (i.e. a like-for-like comparison with the 2021/22 financial year). This also excludes any teacher's pay and pension allocations as per the DfE guidance. </t>
  </si>
  <si>
    <t>6. 2021/22 to 2023/24 Percentage Funding Increase: this compares the level of total funding the school received in 2021/22 (Note 4) against what a school would have received in 2023/24 (Note 5) if the place numbers and band profile had remained the same (i.e. comparing on a like-with-like basis). This ensures that the 2023/24 formula satisfies the DfE's requirements that each special school receives an increase of at least +3% from 2021/22 total funding levels. The additional 3.4% grant allocation is treated outside of this MFG calculation.</t>
  </si>
  <si>
    <t>DfE MFG Assessment (3%)</t>
  </si>
  <si>
    <t>2021/22 Application</t>
  </si>
  <si>
    <t>2023/24 Application</t>
  </si>
  <si>
    <t>Source: Table row 60</t>
  </si>
  <si>
    <t>Source: DfE 2122 MFG Pro' tab</t>
  </si>
  <si>
    <t>Place Numbers</t>
  </si>
  <si>
    <t>Block funding</t>
  </si>
  <si>
    <t>FSM Funding</t>
  </si>
  <si>
    <t>MFG</t>
  </si>
  <si>
    <t>Total Funding V3</t>
  </si>
  <si>
    <t>Top Up Funding</t>
  </si>
  <si>
    <t>Ave Place cost</t>
  </si>
  <si>
    <t>Pay &amp; Pension Grant</t>
  </si>
  <si>
    <t>Total Excl. PPG *</t>
  </si>
  <si>
    <t>% Increase</t>
  </si>
  <si>
    <t>Pass or Fail ~ 3%</t>
  </si>
  <si>
    <t>Total Excl. PPG</t>
  </si>
  <si>
    <t>Tulip Academy</t>
  </si>
  <si>
    <t>Steps</t>
  </si>
  <si>
    <t>using 2021/22 agreed funding level to establish the baseline of overall quantum.</t>
  </si>
  <si>
    <t>using 2023/24 band values and criteria's but using 2021/22 data (e.g. place numbers, band profiles) to determine over budget quantum.</t>
  </si>
  <si>
    <t>Deduct the teachers' pay and pension grant added to the formula.</t>
  </si>
  <si>
    <t>Determine if the 3% growth in overall quantum has been achieved. Column AM - AN.</t>
  </si>
  <si>
    <t>* Pay and Pension grant: since it was added into the band rates and staffing block, the subsequent increases in funding in funding will be applied including that baseline, as will increases in place numbers and band changes. Essentially, school will be beneficting from this rather than a fixed allocation outside of the formula.</t>
  </si>
  <si>
    <t>DL: Tulip school will need to be considered</t>
  </si>
  <si>
    <t>DL: how this will presentially be provided.</t>
  </si>
  <si>
    <t>DL: to note any changes and rounding's you have applied for 2023/24 that need reflecting here</t>
  </si>
  <si>
    <r>
      <t>Extracts from Hign Needs Guidance 2023/24 - for compliance:</t>
    </r>
    <r>
      <rPr>
        <sz val="11"/>
        <rFont val="Arial"/>
        <family val="2"/>
      </rPr>
      <t xml:space="preserve"> </t>
    </r>
    <r>
      <rPr>
        <i/>
        <sz val="11"/>
        <rFont val="Arial"/>
        <family val="2"/>
      </rPr>
      <t>Annex 1 and 16.2of guidance</t>
    </r>
  </si>
  <si>
    <t>MFG changing to +3% comparing 2021/22 funding levels to 2023/24. The top-up funding must be set at a rate to ensure a school’s total budget is 3% higher per pupil than in 2021 to 2022.</t>
  </si>
  <si>
    <r>
      <t xml:space="preserve">For 2023/24 this will be 3% over 2 years, based on a </t>
    </r>
    <r>
      <rPr>
        <b/>
        <sz val="11"/>
        <color rgb="FF0B0C0C"/>
        <rFont val="Arial"/>
        <family val="2"/>
      </rPr>
      <t>like-for-like comparison</t>
    </r>
    <r>
      <rPr>
        <sz val="11"/>
        <color rgb="FF0B0C0C"/>
        <rFont val="Arial"/>
        <family val="2"/>
      </rPr>
      <t xml:space="preserve"> with a special school’s </t>
    </r>
    <r>
      <rPr>
        <b/>
        <sz val="11"/>
        <color rgb="FF0B0C0C"/>
        <rFont val="Arial"/>
        <family val="2"/>
      </rPr>
      <t>overall budget</t>
    </r>
    <r>
      <rPr>
        <sz val="11"/>
        <color rgb="FF0B0C0C"/>
        <rFont val="Arial"/>
        <family val="2"/>
      </rPr>
      <t xml:space="preserve"> in 2021 to 2022. </t>
    </r>
  </si>
  <si>
    <t>The decision takes into account the additional high needs funding that local authorities are receiving in 2022 to 2023 and 2023 to 2024, some of which is intended to help with the additional costs that schools are facing.</t>
  </si>
  <si>
    <t>This is to reflect that a proportion of the increased funding received by local authorities over the 2 years, (2022 to 2023 and 2023 to 2024) must be passed on to schools in 2023 to 2024</t>
  </si>
  <si>
    <t>The additional funding allocations referred to above must be excluded from the MFG calculations, so that schools receive both the 3% MFG increase over 2 years and the additional 3.4% in 2023 to 2024.</t>
  </si>
  <si>
    <r>
      <t>In 2023 to 2024, as in previous years, the MFG for special schools and academies will apply to their</t>
    </r>
    <r>
      <rPr>
        <b/>
        <sz val="11"/>
        <color rgb="FF0B0C0C"/>
        <rFont val="Arial"/>
        <family val="2"/>
      </rPr>
      <t xml:space="preserve"> combined place and top-up funding</t>
    </r>
    <r>
      <rPr>
        <sz val="11"/>
        <color rgb="FF0B0C0C"/>
        <rFont val="Arial"/>
        <family val="2"/>
      </rPr>
      <t xml:space="preserve"> on a per pupil basis, </t>
    </r>
    <r>
      <rPr>
        <b/>
        <sz val="11"/>
        <color rgb="FF0B0C0C"/>
        <rFont val="Arial"/>
        <family val="2"/>
      </rPr>
      <t>assuming the number and type of places remains the same</t>
    </r>
    <r>
      <rPr>
        <sz val="11"/>
        <color rgb="FF0B0C0C"/>
        <rFont val="Arial"/>
        <family val="2"/>
      </rPr>
      <t>.</t>
    </r>
  </si>
  <si>
    <t>High needs funding that the school receives in place of the TPG, the TPECG, and the pensions supplementary fund, should be excluded from the MFG calculation.</t>
  </si>
  <si>
    <t>2021/22 place numbers across the bands is considered a baseline and the same number of places, pupils and levels of need should be used for 2023 to 2024.</t>
  </si>
  <si>
    <t>The calculation then highlights the impact of any proposed changes to the top-up funding rates, assuming the school is offering the same level of provision.</t>
  </si>
  <si>
    <t>Non-PFI Schools</t>
  </si>
  <si>
    <t>PFI Schools</t>
  </si>
  <si>
    <t>Increments</t>
  </si>
  <si>
    <t>2021/22 School Size Threshold</t>
  </si>
  <si>
    <t>2023/24 School Size Threshold</t>
  </si>
  <si>
    <t>Staffing Block Value</t>
  </si>
  <si>
    <t>Non-Staffing Block Value</t>
  </si>
  <si>
    <t>School Size 7 Transition Point</t>
  </si>
  <si>
    <t>School Size 8</t>
  </si>
  <si>
    <t>2022/23 Special Schools - Published Funding</t>
  </si>
  <si>
    <t>Academic Year 2022-2023 Place Nos</t>
  </si>
  <si>
    <t>2022-2023 Place Funding</t>
  </si>
  <si>
    <t>2022-2023 Top-Up Funding</t>
  </si>
  <si>
    <t>3% Supplementary Funding</t>
  </si>
  <si>
    <t>Total 2022-2023 Top-Up Funding</t>
  </si>
  <si>
    <t>2022-2023 Average Top-Up Funding</t>
  </si>
  <si>
    <t>2022-2023 Places Nos x Average Top-Up</t>
  </si>
  <si>
    <t>Total 2022-2023 Funding</t>
  </si>
  <si>
    <t>Average 2022/23 Places</t>
  </si>
  <si>
    <t>3% Increase</t>
  </si>
  <si>
    <t>OLEA Deduction</t>
  </si>
  <si>
    <t>Agreed Allocations</t>
  </si>
  <si>
    <t>Boston Endeavour</t>
  </si>
  <si>
    <t>Pilgrim Hospital</t>
  </si>
  <si>
    <t>Springwell (Mablethorpe)</t>
  </si>
  <si>
    <t>Springwell (Lincoln)</t>
  </si>
  <si>
    <t>Springwell (Spalding)</t>
  </si>
  <si>
    <t>Springwell (Grantham)</t>
  </si>
  <si>
    <t>3.4% Special School Allocations</t>
  </si>
  <si>
    <t>2022-2023 Split Site Funding</t>
  </si>
  <si>
    <t>2022-2023 &amp; 2023-2024 Places Nos x Average Top-Up</t>
  </si>
  <si>
    <t>Condition Grant - identified  Funding Level</t>
  </si>
  <si>
    <t>2023-2024 Agreed Academic Year Place Nos</t>
  </si>
  <si>
    <t>Includes PFI amounts</t>
  </si>
  <si>
    <t>2020/21 Budget Share Calculations</t>
  </si>
  <si>
    <t>April 20 - August 20 (Pre-16)</t>
  </si>
  <si>
    <t>4 (TP)</t>
  </si>
  <si>
    <t>PFI 4 (TP)</t>
  </si>
  <si>
    <t>5 (TP)</t>
  </si>
  <si>
    <t>6 (TP)</t>
  </si>
  <si>
    <t>April 20 - July 20 (Post-16)</t>
  </si>
  <si>
    <t>September 20 - March 21 (Pre-16)</t>
  </si>
  <si>
    <t>Numbers agreed as per EFA return (2019/20 Return)</t>
  </si>
  <si>
    <t>August 20 - March 21 (Post-16)</t>
  </si>
  <si>
    <t>Band G 20/21</t>
  </si>
  <si>
    <t>Variance</t>
  </si>
  <si>
    <t>Increase in Place Numbers (19/20 - 20/21)</t>
  </si>
  <si>
    <t>Increase in band G (19/20 - 20/21)</t>
  </si>
  <si>
    <t>FSM taken as at Jan 20</t>
  </si>
  <si>
    <t>Lincoln The Athena School</t>
  </si>
  <si>
    <t>2019/20 Allocation</t>
  </si>
  <si>
    <t>DLT recommendation to continue funding until Aug 21</t>
  </si>
  <si>
    <t>Additional £20k portage allocation agreed for the period Jan 20 - Aug 20</t>
  </si>
  <si>
    <t>Queried Outeach funding with Laura Arden 15/1/20, and Residential Funding with Eileen McMorrow</t>
  </si>
  <si>
    <t>Queried Residential funding with Eileen McMorrow 15/1/20</t>
  </si>
  <si>
    <t>20/21 Band Profiles</t>
  </si>
  <si>
    <t>19/20 Band Profiles</t>
  </si>
  <si>
    <t>19/20 to 20/21 Variances</t>
  </si>
  <si>
    <t>Reason</t>
  </si>
  <si>
    <t>Protection is still applied based for those existing pupils and on the same need as 2019/20.</t>
  </si>
  <si>
    <t>For those reduced in number within a band, only those remaining will be protected by the MFG i.e. those existing pupils.</t>
  </si>
  <si>
    <t>For those increased in numbers within a band, a school is only protected on the original number (existing pupils).</t>
  </si>
  <si>
    <t>New pupils will be based on the existing band values.</t>
  </si>
  <si>
    <t>No funding change in MFG if pupil numbers and need stay the same - as per High Needs Operational Guidance.</t>
  </si>
  <si>
    <t>Place Numbers / Band Profiles / Band Values / Blocks / FSM / PFI / OLEA Placements</t>
  </si>
  <si>
    <t>Teachers' Pay &amp; Pension Grant</t>
  </si>
  <si>
    <t>Agreements only until Aug 21, but budget to be retained for full year</t>
  </si>
  <si>
    <t>St Francis and Gosberton full year extension</t>
  </si>
  <si>
    <t>Saving due to additional agreement for St Christopher's ending</t>
  </si>
  <si>
    <t>St Francis funding - subject to decision (full year effect is £582,568)</t>
  </si>
  <si>
    <t>Includes ASD unit (but HT fixed allocation is funded from HT budget)</t>
  </si>
  <si>
    <t>To be reviewed.</t>
  </si>
  <si>
    <t>Net Position After Teachers' Pay &amp; Pension Grant</t>
  </si>
  <si>
    <t>Special Schools Funding - Lincolnshire Model 2021/22 - Pre &amp; Post 16 Children</t>
  </si>
  <si>
    <t>2021/22 Places</t>
  </si>
  <si>
    <t>2021/22 Places (less Band G)</t>
  </si>
  <si>
    <t>2020/21 Comparison</t>
  </si>
  <si>
    <t>New Grants</t>
  </si>
  <si>
    <t>Observation is the increase in banding funding (even allowing for the teachers' pay &amp; pension grant, even where pupil numbers have remained similar</t>
  </si>
  <si>
    <t>2021/22 Changes</t>
  </si>
  <si>
    <t>2022/23 Change</t>
  </si>
  <si>
    <t>TA Increase</t>
  </si>
  <si>
    <t>Teachers' Grants Increase</t>
  </si>
  <si>
    <t>2% Pay Award and Pension</t>
  </si>
  <si>
    <t>Growth in Band Values</t>
  </si>
  <si>
    <t>Teachers' pay &amp; pension grant not applicable</t>
  </si>
  <si>
    <t>Average</t>
  </si>
  <si>
    <t>Justification to increase the band ranges by 10%</t>
  </si>
  <si>
    <t>Revised Average</t>
  </si>
  <si>
    <t>2022/23 School Size Threshold</t>
  </si>
  <si>
    <t>Note: Use this section for modelling</t>
  </si>
  <si>
    <t>Incrementally the gaps are widening by £55,000 (economies of scale)</t>
  </si>
  <si>
    <t>Version 8 - figures for ease</t>
  </si>
  <si>
    <t>Intervention officer - SCP15</t>
  </si>
  <si>
    <t>3% increase</t>
  </si>
  <si>
    <t>Note: Athena Annex (s)</t>
  </si>
  <si>
    <t>Note: Athena Annex (n-s)</t>
  </si>
  <si>
    <t>Supplementary Funding</t>
  </si>
  <si>
    <t>PFI</t>
  </si>
  <si>
    <t>Staffing Block Levy</t>
  </si>
  <si>
    <r>
      <t xml:space="preserve">Non-Staffing Block Value </t>
    </r>
    <r>
      <rPr>
        <b/>
        <sz val="10"/>
        <rFont val="Arial"/>
        <family val="2"/>
      </rPr>
      <t>6%</t>
    </r>
  </si>
  <si>
    <t>6% increase</t>
  </si>
  <si>
    <r>
      <t xml:space="preserve">Non-Staffing Block Value </t>
    </r>
    <r>
      <rPr>
        <b/>
        <sz val="10"/>
        <rFont val="Arial"/>
        <family val="2"/>
      </rPr>
      <t>3%</t>
    </r>
  </si>
  <si>
    <t>Athena Annex</t>
  </si>
  <si>
    <t>Group 2</t>
  </si>
  <si>
    <t>Group 7</t>
  </si>
  <si>
    <t>Group 8</t>
  </si>
  <si>
    <t>Option 1 (6%)</t>
  </si>
  <si>
    <t>Option 2 (3%)</t>
  </si>
  <si>
    <t>3 (TP)</t>
  </si>
  <si>
    <t>Values subject to affordability</t>
  </si>
  <si>
    <t>Band C - Additionality</t>
  </si>
  <si>
    <t>Band G 21/22</t>
  </si>
  <si>
    <t>Band Profile Analysis</t>
  </si>
  <si>
    <t>Special Schools Funding - Lincolnshire Model 2020/21 - Pre &amp; Post 16 Children</t>
  </si>
  <si>
    <t>2020/21 Places</t>
  </si>
  <si>
    <t>2020/21 Places (less Band G &amp; New Pupils)</t>
  </si>
  <si>
    <t xml:space="preserve">19/20 </t>
  </si>
  <si>
    <t>£0-£300k</t>
  </si>
  <si>
    <t>£300k-400k</t>
  </si>
  <si>
    <t>£400k-£600k</t>
  </si>
  <si>
    <t>£500k-600k</t>
  </si>
  <si>
    <t>£600k-800k</t>
  </si>
  <si>
    <t>£1200k-1300k</t>
  </si>
  <si>
    <t>£1300k-1600k</t>
  </si>
  <si>
    <t>Initial Modelling Approach</t>
  </si>
  <si>
    <t>£1400k-1500k</t>
  </si>
  <si>
    <t>£1500k-1800k</t>
  </si>
  <si>
    <t>£1800k-1900k</t>
  </si>
  <si>
    <t>£1900k +</t>
  </si>
  <si>
    <t>£2000k +</t>
  </si>
  <si>
    <t>Current group sizes</t>
  </si>
  <si>
    <t>2a</t>
  </si>
  <si>
    <t>2b</t>
  </si>
  <si>
    <t>Agreed Approach</t>
  </si>
  <si>
    <t>Staffing</t>
  </si>
  <si>
    <t>Non-Staffing</t>
  </si>
  <si>
    <t>Total Band Value</t>
  </si>
  <si>
    <t>Non-Staf'</t>
  </si>
  <si>
    <t>Original Mix</t>
  </si>
  <si>
    <t>v.1</t>
  </si>
  <si>
    <t>Banded</t>
  </si>
  <si>
    <t>Lump Sum</t>
  </si>
  <si>
    <t>Per Centre</t>
  </si>
  <si>
    <t>x4</t>
  </si>
  <si>
    <t>Original Budget</t>
  </si>
  <si>
    <t>To be released</t>
  </si>
  <si>
    <t>Based on Band 5 plus additionality</t>
  </si>
  <si>
    <t>PFI School Size 3 Transition Point</t>
  </si>
  <si>
    <t>The cost of a band may be lower.</t>
  </si>
  <si>
    <t>PFI School Size 5</t>
  </si>
  <si>
    <t>PFI School Size 5 Transition Point</t>
  </si>
  <si>
    <t>To be released but split site arrangements would need to operate</t>
  </si>
  <si>
    <t>Modelling Work</t>
  </si>
  <si>
    <t>Check Sandon - after Reorg</t>
  </si>
  <si>
    <t>Band Threshold + 2%</t>
  </si>
  <si>
    <t>FSM taken as at Oct 20</t>
  </si>
  <si>
    <t>Phase</t>
  </si>
  <si>
    <t>Count of Pupils On Roll</t>
  </si>
  <si>
    <t>Count of Pupils Eligible for FSM</t>
  </si>
  <si>
    <t>Count of Meals Taken</t>
  </si>
  <si>
    <t>Percentage of Pupils Eligible for FSM</t>
  </si>
  <si>
    <t>Count of Pupils On Roll Aged 4-15</t>
  </si>
  <si>
    <t>Count of Pupils Aged 4-15 Eligible for FSM</t>
  </si>
  <si>
    <t>Percentage of Pupils Aged 4-15 Eligible for FSM</t>
  </si>
  <si>
    <t>Community Inclusive Trust (Ambergate)</t>
  </si>
  <si>
    <t>Special</t>
  </si>
  <si>
    <t>Gosberton House Academy</t>
  </si>
  <si>
    <t>Priory School (Spalding)</t>
  </si>
  <si>
    <t>John Fielding Special School</t>
  </si>
  <si>
    <t>Garth School</t>
  </si>
  <si>
    <t>Lincoln, St Francis School</t>
  </si>
  <si>
    <t>St Bernards School, Louth</t>
  </si>
  <si>
    <t>Willoughby Academy</t>
  </si>
  <si>
    <t>Mayflower Academy Warren Wood - A Specialist Academy</t>
  </si>
  <si>
    <t>Mayflower Specialist School Academy Aegir - A Specialist Academy</t>
  </si>
  <si>
    <t>Do we have Jan 21 figures or Oct 20 figures?</t>
  </si>
  <si>
    <t>FSM taken as at Oct 21</t>
  </si>
  <si>
    <t>Count of meals taken</t>
  </si>
  <si>
    <t>The Pilgrim School</t>
  </si>
  <si>
    <t>2022/23 Allocation</t>
  </si>
  <si>
    <t>Mainstream Rate is £480 p.a.</t>
  </si>
  <si>
    <t>2021/22 Allocation</t>
  </si>
  <si>
    <t>21/22 Portage Approach</t>
  </si>
  <si>
    <t>21/22 Outreach Funding</t>
  </si>
  <si>
    <t xml:space="preserve">21/22 Residential Funding </t>
  </si>
  <si>
    <t>Clarification on agreed funding levels</t>
  </si>
  <si>
    <t>22/23 Portage Approach</t>
  </si>
  <si>
    <t>22/23 Outreach Funding</t>
  </si>
  <si>
    <t xml:space="preserve">22/23 Residential Funding </t>
  </si>
  <si>
    <t>23/24 Portage Approach</t>
  </si>
  <si>
    <t>23/24 Outreach Funding</t>
  </si>
  <si>
    <t xml:space="preserve">23/24 Residential Funding </t>
  </si>
  <si>
    <t>Continuing to fund from April 2022 to August 2022 - due to go out for an expression of interest to the Lincolnshire special schools and academies for 1st September 2022 3 years initially and then possible further 2 years. Will know following EOI whether it is Gosberton House again</t>
  </si>
  <si>
    <t xml:space="preserve">Residential funding now ceased wef Sep 21. MOU for St Francis is currently until end of August 2022 but there is option to extend within there so I will check whether the intention is to extend </t>
  </si>
  <si>
    <t>EM confirmed 24/2/22 funding to remain</t>
  </si>
  <si>
    <t>Portage 12 month extension agreed by DLT (up to Aug 23) - MP e-mail 2/2/22</t>
  </si>
  <si>
    <t>MDS: This was previously the cost applied over 10 children, however 8 was applied (amended)</t>
  </si>
  <si>
    <t>MFG - Band Increase (Excl. Teachers' Increase)</t>
  </si>
  <si>
    <t>Pension</t>
  </si>
  <si>
    <t>The TAs previously had the sickness insurance of £490, which appears to have been omitted (amended)</t>
  </si>
  <si>
    <t>Pay</t>
  </si>
  <si>
    <t>Modelling using 2021/22 pay scales</t>
  </si>
  <si>
    <t>2020/21 Band Value</t>
  </si>
  <si>
    <t>Teacher Increase Per Place</t>
  </si>
  <si>
    <t>ESFA All</t>
  </si>
  <si>
    <t>Main 4</t>
  </si>
  <si>
    <t>TA12</t>
  </si>
  <si>
    <t>MDS</t>
  </si>
  <si>
    <t>2020/21 comparison</t>
  </si>
  <si>
    <t>Main 5</t>
  </si>
  <si>
    <t>TA9</t>
  </si>
  <si>
    <t>Main 5 (80%)</t>
  </si>
  <si>
    <t>TA12 (80%)</t>
  </si>
  <si>
    <t>Main 5 (60%)</t>
  </si>
  <si>
    <t>TA12 (60%)</t>
  </si>
  <si>
    <t>Overall Increase</t>
  </si>
  <si>
    <t>Excl. Teachers'</t>
  </si>
  <si>
    <t>Main 5 (71%)</t>
  </si>
  <si>
    <t>TA12 (70%)</t>
  </si>
  <si>
    <t>Agreed Band Values</t>
  </si>
  <si>
    <t>ADD - Column for funding diff between years</t>
  </si>
  <si>
    <t>A ratio of 5 to 1, requires for every 10 children, 1 Teacher &amp; 1 TA</t>
  </si>
  <si>
    <t>Or we could mock up 80% of TA differential to be in the band.</t>
  </si>
  <si>
    <t>Or Band G</t>
  </si>
  <si>
    <t>AP</t>
  </si>
  <si>
    <t>2.7 to 1 Ratio</t>
  </si>
  <si>
    <t>A ratio of 2.7 to 1, requires for every 8 children, 1 Teacher &amp; 2 TAs.</t>
  </si>
  <si>
    <t>Band C Adjusted</t>
  </si>
  <si>
    <t>TA Per Place</t>
  </si>
  <si>
    <t>Total - Class</t>
  </si>
  <si>
    <t>TA</t>
  </si>
  <si>
    <t>FTE</t>
  </si>
  <si>
    <t>Health &amp; Social Care Levy Increase</t>
  </si>
  <si>
    <t>Agreed 22/23 Baseline Band Values</t>
  </si>
  <si>
    <t>22/23 Revised TA Rate</t>
  </si>
  <si>
    <t>22/23 Revised Teacher Rate</t>
  </si>
  <si>
    <t>22/23 Revised MDS Rate</t>
  </si>
  <si>
    <t>22/23 Revised Band Values (Inc 2%)</t>
  </si>
  <si>
    <t>% increase compared to 2020/21 Baseline</t>
  </si>
  <si>
    <t xml:space="preserve">Increase from 2021/22 to 2022/23 </t>
  </si>
  <si>
    <t>Increase in 22/23 Band Values</t>
  </si>
  <si>
    <t>Before Pension Change</t>
  </si>
  <si>
    <t>Diff. Pension Change</t>
  </si>
  <si>
    <t>Teachers'</t>
  </si>
  <si>
    <t>TAs</t>
  </si>
  <si>
    <t>Total Per Band</t>
  </si>
  <si>
    <t>AP / Medical Band 2</t>
  </si>
  <si>
    <t>Medical Band 1</t>
  </si>
  <si>
    <t>A ratio of 4 to 1, requires for every 8 children, 1 Teacher &amp; 1 TAs.</t>
  </si>
  <si>
    <t>Box 1.</t>
  </si>
  <si>
    <t>QUALIFIED TEACHERS SALARY SCALES 2020-21</t>
  </si>
  <si>
    <t>Box 2.</t>
  </si>
  <si>
    <t xml:space="preserve">Please note these figures reflect the School Teachers' Pay and Conditions Document (STPCD) released in September 2020. The STPCD now only prescribes pay ranges with minimum and maximum points. You will be aware that schools have discretion to set their own salary scales. The figures below follow the model outlined by the Local Authority which is in accordance with the STCP and implemented for all Business World schools unless the school opted to implement their own pay policy.
</t>
  </si>
  <si>
    <t>Box 3.</t>
  </si>
  <si>
    <t>Please note these figures include the Pay Award from September 2020.</t>
  </si>
  <si>
    <t>Box 5.</t>
  </si>
  <si>
    <t>NI</t>
  </si>
  <si>
    <t>Box 4.</t>
  </si>
  <si>
    <t xml:space="preserve">Please note these Salary Scales include Super rates at 23.68%, which are with effect from 1 September 2019. </t>
  </si>
  <si>
    <t>LEL</t>
  </si>
  <si>
    <t>Box 6.</t>
  </si>
  <si>
    <t>SALARY RANGE</t>
  </si>
  <si>
    <t>NI RATES (W.E.F 1/4/20)</t>
  </si>
  <si>
    <t xml:space="preserve"> SUPER = 23.68% (W.E.F 1/9/19)</t>
  </si>
  <si>
    <t>ST</t>
  </si>
  <si>
    <t>Upper</t>
  </si>
  <si>
    <t xml:space="preserve"> Basic Salary(W.E.F. 1 September 2020)</t>
  </si>
  <si>
    <t>SUPER</t>
  </si>
  <si>
    <t>Box 7.</t>
  </si>
  <si>
    <t>In Pension Scheme</t>
  </si>
  <si>
    <t>Not In Pension Scheme</t>
  </si>
  <si>
    <t>Grade</t>
  </si>
  <si>
    <t>S.C.P.</t>
  </si>
  <si>
    <t>Salary</t>
  </si>
  <si>
    <t>N.I.</t>
  </si>
  <si>
    <t>Super 23.68%</t>
  </si>
  <si>
    <t>PAY SPINE</t>
  </si>
  <si>
    <t xml:space="preserve">LEL - The Lower Earning Limit </t>
  </si>
  <si>
    <t xml:space="preserve">If you earn between the Lower Earning Limit and the Primary Threshold you will get National Insurance ‘credits’ </t>
  </si>
  <si>
    <t>PT - The Primary Threshold (sometimes called the Primary Earnings Threshold)</t>
  </si>
  <si>
    <r>
      <t xml:space="preserve">If you earn between the Primary Threshold and the Upper Earnings Limit, then you </t>
    </r>
    <r>
      <rPr>
        <sz val="12"/>
        <color rgb="FFFF0000"/>
        <rFont val="Arial"/>
        <family val="2"/>
      </rPr>
      <t>(THE EMPLOYEE)</t>
    </r>
    <r>
      <rPr>
        <sz val="12"/>
        <rFont val="Arial"/>
        <family val="2"/>
      </rPr>
      <t xml:space="preserve"> will pay the standard rate of National Insurance (12%)</t>
    </r>
  </si>
  <si>
    <t>===========================================================================</t>
  </si>
  <si>
    <t>===============================</t>
  </si>
  <si>
    <t>UPPER PAY</t>
  </si>
  <si>
    <t>ST - The Secondary Threshold (sometimes called the Secondary Earnings Threshold)</t>
  </si>
  <si>
    <t>RANGE</t>
  </si>
  <si>
    <r>
      <t xml:space="preserve">If you earn over the Secondary Earnings Threshold then your </t>
    </r>
    <r>
      <rPr>
        <sz val="12"/>
        <color rgb="FFFF0000"/>
        <rFont val="Arial"/>
        <family val="2"/>
      </rPr>
      <t>EMPLOYER</t>
    </r>
    <r>
      <rPr>
        <sz val="12"/>
        <rFont val="Arial"/>
        <family val="2"/>
      </rPr>
      <t xml:space="preserve"> will pay the standard rate of employer’s National Insurance on these earnings (13.8%)</t>
    </r>
  </si>
  <si>
    <t>UEL - The Upper Earnings Limit</t>
  </si>
  <si>
    <t>=========================================================================</t>
  </si>
  <si>
    <t>For high earners who are paid over the Upper Earnings Limit, the National Insurance rate falls.earnings.</t>
  </si>
  <si>
    <r>
      <t xml:space="preserve">On earnings above this limit, the </t>
    </r>
    <r>
      <rPr>
        <sz val="12"/>
        <color rgb="FFFF0000"/>
        <rFont val="Arial"/>
        <family val="2"/>
      </rPr>
      <t>EMPLOYEE</t>
    </r>
    <r>
      <rPr>
        <sz val="12"/>
        <rFont val="Arial"/>
        <family val="2"/>
      </rPr>
      <t xml:space="preserve"> pays a lower rate of 2% .The </t>
    </r>
    <r>
      <rPr>
        <sz val="12"/>
        <color rgb="FFFF0000"/>
        <rFont val="Arial"/>
        <family val="2"/>
      </rPr>
      <t>EMPLOYER</t>
    </r>
    <r>
      <rPr>
        <sz val="12"/>
        <rFont val="Arial"/>
        <family val="2"/>
      </rPr>
      <t xml:space="preserve"> continues to pay the standard rate of employer’s National Insurance (13.8%) on these </t>
    </r>
  </si>
  <si>
    <t>UNQUALIF.</t>
  </si>
  <si>
    <t>Unqualified</t>
  </si>
  <si>
    <t>TEACHERS</t>
  </si>
  <si>
    <t>Teachers</t>
  </si>
  <si>
    <t>Box 8.</t>
  </si>
  <si>
    <t>ADDITIONAL ALLOWANCES (RECOMMENDED)</t>
  </si>
  <si>
    <t>TEACHING AND LEARNING RESPONSIBILITY (TLR) PAYMENT 3</t>
  </si>
  <si>
    <t>TLR3</t>
  </si>
  <si>
    <t>MINIMUM</t>
  </si>
  <si>
    <t>MAXIMUM</t>
  </si>
  <si>
    <t>TEACHING AND LEARNING RESPONSIBILITY (TLR) PAYMENT 2</t>
  </si>
  <si>
    <t>TLR2</t>
  </si>
  <si>
    <t>TEACHING AND LEARNING RESPONSIBILITY (TLR) PAYMENT 1</t>
  </si>
  <si>
    <t>TLR1</t>
  </si>
  <si>
    <t>SPECIAL NEEDS 1</t>
  </si>
  <si>
    <t>SPECIAL NEEDS 2</t>
  </si>
  <si>
    <t>Note: 2% pay award</t>
  </si>
  <si>
    <t>Note: Health &amp; Social Care Levy increase</t>
  </si>
  <si>
    <t>QUALIFIED TEACHERS SALARY SCALES 2022-23</t>
  </si>
  <si>
    <t>Please note these figures include the Pay Award from September 2022.</t>
  </si>
  <si>
    <t xml:space="preserve">Please note these Salary Scales include Super rates at 23.68%, which are with effect from 1 April 2022. </t>
  </si>
  <si>
    <t>NI RATES (W.E.F 1/4/22)</t>
  </si>
  <si>
    <t xml:space="preserve"> SUPER = 23.68% (W.E.F 1/4/22)</t>
  </si>
  <si>
    <t xml:space="preserve"> Basic Salary (W.E.F. 1 September 2022)</t>
  </si>
  <si>
    <r>
      <t xml:space="preserve">If you earn between the Primary Threshold and the Upper Earnings Limit, then you </t>
    </r>
    <r>
      <rPr>
        <sz val="12"/>
        <color rgb="FFFF0000"/>
        <rFont val="Arial"/>
        <family val="2"/>
      </rPr>
      <t>(THE EMPLOYEE)</t>
    </r>
    <r>
      <rPr>
        <sz val="12"/>
        <rFont val="Arial"/>
        <family val="2"/>
      </rPr>
      <t xml:space="preserve"> will pay the standard rate of National Insurance (13.25%)</t>
    </r>
  </si>
  <si>
    <r>
      <t xml:space="preserve">If you earn over the Secondary Earnings Threshold then your </t>
    </r>
    <r>
      <rPr>
        <sz val="12"/>
        <color rgb="FFFF0000"/>
        <rFont val="Arial"/>
        <family val="2"/>
      </rPr>
      <t>EMPLOYER</t>
    </r>
    <r>
      <rPr>
        <sz val="12"/>
        <rFont val="Arial"/>
        <family val="2"/>
      </rPr>
      <t xml:space="preserve"> will pay the standard rate of employer’s National Insurance on these earnings (15.05%)</t>
    </r>
  </si>
  <si>
    <r>
      <t xml:space="preserve">On earnings above this limit, the </t>
    </r>
    <r>
      <rPr>
        <sz val="12"/>
        <color rgb="FFFF0000"/>
        <rFont val="Arial"/>
        <family val="2"/>
      </rPr>
      <t>EMPLOYEE</t>
    </r>
    <r>
      <rPr>
        <sz val="12"/>
        <rFont val="Arial"/>
        <family val="2"/>
      </rPr>
      <t xml:space="preserve"> pays a lower rate of 2%. The </t>
    </r>
    <r>
      <rPr>
        <sz val="12"/>
        <color rgb="FFFF0000"/>
        <rFont val="Arial"/>
        <family val="2"/>
      </rPr>
      <t>EMPLOYER</t>
    </r>
    <r>
      <rPr>
        <sz val="12"/>
        <rFont val="Arial"/>
        <family val="2"/>
      </rPr>
      <t xml:space="preserve"> continues to pay the standard rate of employer’s National Insurance (15.05%) on these </t>
    </r>
  </si>
  <si>
    <t>TEACHING ASSISTANT SCALES - UNDER 5 YEARS SERVICE</t>
  </si>
  <si>
    <t>LCC APT&amp;C SALARY SCALES 2020-21</t>
  </si>
  <si>
    <t>THESE SALARY SCALES INCLUDE:</t>
  </si>
  <si>
    <t>NATIONAL INSURANCE RATES AS FROM 01/04/2020</t>
  </si>
  <si>
    <t>SUPERANNUATION RATE 24.9% AS FROM 01/04/2020</t>
  </si>
  <si>
    <t>PAY INCREASES FROM 01/04/2019</t>
  </si>
  <si>
    <t>STANDARD EQUATION CODES FOR UNDER 5 YEARS SERVICE</t>
  </si>
  <si>
    <t>NI RATES (W.E.F 01/04/20)</t>
  </si>
  <si>
    <t xml:space="preserve"> SUPER = 24.9% (W.E.F 01/04/20)</t>
  </si>
  <si>
    <t>NIL</t>
  </si>
  <si>
    <t>AND ABOVE</t>
  </si>
  <si>
    <t>@</t>
  </si>
  <si>
    <t>%</t>
  </si>
  <si>
    <t>UEL</t>
  </si>
  <si>
    <t>Contracted Out</t>
  </si>
  <si>
    <t>Not Contracted Out</t>
  </si>
  <si>
    <t>GRADE</t>
  </si>
  <si>
    <t>SALARY</t>
  </si>
  <si>
    <t>TOTAL</t>
  </si>
  <si>
    <t xml:space="preserve">  I</t>
  </si>
  <si>
    <t>TA Grade G3</t>
  </si>
  <si>
    <t>LEL - The Lower Earning Limit</t>
  </si>
  <si>
    <t xml:space="preserve">  I  6 - 9</t>
  </si>
  <si>
    <t>TA Grade G5</t>
  </si>
  <si>
    <t xml:space="preserve">  I  12 - 15</t>
  </si>
  <si>
    <t>TA Grade G6</t>
  </si>
  <si>
    <t xml:space="preserve">  I Advanced</t>
  </si>
  <si>
    <t xml:space="preserve">  I  14 - 18</t>
  </si>
  <si>
    <t>TA Grade G7</t>
  </si>
  <si>
    <t xml:space="preserve">  I Management</t>
  </si>
  <si>
    <t xml:space="preserve">  I  17 - 21</t>
  </si>
  <si>
    <t>TA Grade G8</t>
  </si>
  <si>
    <t xml:space="preserve">  I HLTA</t>
  </si>
  <si>
    <t xml:space="preserve">  I  20 - 24</t>
  </si>
  <si>
    <t>**</t>
  </si>
  <si>
    <t>TA Revision</t>
  </si>
  <si>
    <t>Note: 2% pay award; Pension increase to 26.9%</t>
  </si>
  <si>
    <t>LCC APT&amp;C SALARY SCALES 2022-23</t>
  </si>
  <si>
    <t>NATIONAL INSURANCE RATES AS FROM 06/11/2022</t>
  </si>
  <si>
    <t>SUPERANNUATION RATE 26.9% AS FROM 01/04/2022</t>
  </si>
  <si>
    <t>PAY INCREASES FROM 01/04/2022</t>
  </si>
  <si>
    <t>NI RATES (W.E.F 06/11/22)</t>
  </si>
  <si>
    <t xml:space="preserve"> SUPER = 26.9% (W.E.F 01/04/22)</t>
  </si>
  <si>
    <r>
      <t xml:space="preserve">If you earn over the Secondary Earnings Threshold then your </t>
    </r>
    <r>
      <rPr>
        <sz val="12"/>
        <color rgb="FFFF0000"/>
        <rFont val="Arial"/>
        <family val="2"/>
      </rPr>
      <t>EMPLOYER</t>
    </r>
    <r>
      <rPr>
        <sz val="12"/>
        <rFont val="Arial"/>
        <family val="2"/>
      </rPr>
      <t xml:space="preserve"> will pay the standard rate of employer’s National Insurance on these earnings (13.80%)</t>
    </r>
  </si>
  <si>
    <r>
      <t xml:space="preserve">On earnings above this limit, the </t>
    </r>
    <r>
      <rPr>
        <sz val="12"/>
        <color rgb="FFFF0000"/>
        <rFont val="Arial"/>
        <family val="2"/>
      </rPr>
      <t>EMPLOYEE</t>
    </r>
    <r>
      <rPr>
        <sz val="12"/>
        <rFont val="Arial"/>
        <family val="2"/>
      </rPr>
      <t xml:space="preserve"> pays a lower rate of 2%. The </t>
    </r>
    <r>
      <rPr>
        <sz val="12"/>
        <color rgb="FFFF0000"/>
        <rFont val="Arial"/>
        <family val="2"/>
      </rPr>
      <t>EMPLOYER</t>
    </r>
    <r>
      <rPr>
        <sz val="12"/>
        <rFont val="Arial"/>
        <family val="2"/>
      </rPr>
      <t xml:space="preserve"> continues to pay the standard rate of employer’s National Insurance (13.80%) on these </t>
    </r>
  </si>
  <si>
    <t xml:space="preserve">SALARY SCALES </t>
  </si>
  <si>
    <t>LINCOLN</t>
  </si>
  <si>
    <t>BAL @</t>
  </si>
  <si>
    <t>PT</t>
  </si>
  <si>
    <t>UPPER</t>
  </si>
  <si>
    <t xml:space="preserve">       GRADE</t>
  </si>
  <si>
    <t xml:space="preserve">  G1</t>
  </si>
  <si>
    <t>01</t>
  </si>
  <si>
    <t>LEL -  The Lower Earning Limit</t>
  </si>
  <si>
    <t>02</t>
  </si>
  <si>
    <t>G2</t>
  </si>
  <si>
    <t>03</t>
  </si>
  <si>
    <t>04</t>
  </si>
  <si>
    <t>05</t>
  </si>
  <si>
    <t>G3</t>
  </si>
  <si>
    <t>06</t>
  </si>
  <si>
    <t>07</t>
  </si>
  <si>
    <t>08</t>
  </si>
  <si>
    <t>G4</t>
  </si>
  <si>
    <t>09</t>
  </si>
  <si>
    <t>G5</t>
  </si>
  <si>
    <t>G6</t>
  </si>
  <si>
    <t>G7</t>
  </si>
  <si>
    <t>G8</t>
  </si>
  <si>
    <t>G9</t>
  </si>
  <si>
    <t>G10</t>
  </si>
  <si>
    <t>G11</t>
  </si>
  <si>
    <t>G12</t>
  </si>
  <si>
    <t>G13</t>
  </si>
  <si>
    <t>G14</t>
  </si>
  <si>
    <t>G15</t>
  </si>
  <si>
    <t>G16</t>
  </si>
  <si>
    <t>This pay spine is anchored to salary points on the NJC National Pay Spine. The relevant Lincolnshire points which link directly to the NJC National Pay Spine are SCPs 1, 2, 3, 6, 9, 12, 15, 18, 21, 24, 27, 30 &amp; 33.</t>
  </si>
  <si>
    <t>2019-20</t>
  </si>
  <si>
    <t>2020-21</t>
  </si>
  <si>
    <t>Sleeping-in Duty Payment =</t>
  </si>
  <si>
    <t>Standby Duty Allowance (Social Workers) =</t>
  </si>
  <si>
    <t>Teachers' Pay Grant - Confirmed Allocations to High Needs Institutions</t>
  </si>
  <si>
    <t>18/19 Allocation</t>
  </si>
  <si>
    <t>19/20 Allocation</t>
  </si>
  <si>
    <t xml:space="preserve">Apr 20 - Aug 20 </t>
  </si>
  <si>
    <t>Sep 20 - Mar 21</t>
  </si>
  <si>
    <t>20/21 Allocation</t>
  </si>
  <si>
    <t>The Greenfields Academy</t>
  </si>
  <si>
    <t>Acorn Free School</t>
  </si>
  <si>
    <t>Springwell Academy</t>
  </si>
  <si>
    <t>Ash Villa School</t>
  </si>
  <si>
    <t xml:space="preserve">Total </t>
  </si>
  <si>
    <t>Teachers' Pension Grant - Confirmed Allocations to High Needs Institutions</t>
  </si>
  <si>
    <t>Teachers' Supplementary Pension Grant - Confirmed Allocations to High Needs Institutions</t>
  </si>
  <si>
    <t>Main Scale 5 (80%)</t>
  </si>
  <si>
    <t>Main Scale 5 (71%)</t>
  </si>
  <si>
    <t>Ref' - could be added for MFG - see 2122 MFG Protection</t>
  </si>
  <si>
    <t>Main Scale 5 (Fully)</t>
  </si>
  <si>
    <t>Ave. Place Numbers</t>
  </si>
  <si>
    <t>PP Amount</t>
  </si>
  <si>
    <t>Total 2021/22</t>
  </si>
  <si>
    <t>Pay &amp; Pension</t>
  </si>
  <si>
    <t>Band All'</t>
  </si>
  <si>
    <t>Staffig Blo'</t>
  </si>
  <si>
    <t>v2</t>
  </si>
  <si>
    <t>v3</t>
  </si>
  <si>
    <t>Sch' Size</t>
  </si>
  <si>
    <t>Cost</t>
  </si>
  <si>
    <t>Pass - condition of grant</t>
  </si>
  <si>
    <t>Staffing Block Funding still to be allocated</t>
  </si>
  <si>
    <t>Over-allocated</t>
  </si>
  <si>
    <t>Allocation Received in HN Bliock</t>
  </si>
  <si>
    <t>Central Staffing block workings</t>
  </si>
  <si>
    <t>Pay &amp; Pensions tab</t>
  </si>
  <si>
    <t>Additional Place Funding</t>
  </si>
  <si>
    <t>Full</t>
  </si>
  <si>
    <t>Drop in pay scale</t>
  </si>
  <si>
    <t>Size</t>
  </si>
  <si>
    <t>v1</t>
  </si>
  <si>
    <t>Diff. ??</t>
  </si>
  <si>
    <t>* before changes</t>
  </si>
  <si>
    <t>Teachers' Pay Differential</t>
  </si>
  <si>
    <t>Bands Diff' Rate</t>
  </si>
  <si>
    <t>Calculations</t>
  </si>
  <si>
    <t>Main Scale 5 (100% funded)</t>
  </si>
  <si>
    <t>Main Scale 5 (75% funded)</t>
  </si>
  <si>
    <t>Main Scale 5 (80% funded)</t>
  </si>
  <si>
    <t>Main Scale 5 (90% funded)</t>
  </si>
  <si>
    <t>Main Scale 5 (50% funded)</t>
  </si>
  <si>
    <t>Main Scale 5 (60% funded)</t>
  </si>
  <si>
    <t>Main Scale 5 (71% funded)</t>
  </si>
  <si>
    <t>% Increase in Bands</t>
  </si>
  <si>
    <t>Rates Carried Forward from Tab:</t>
  </si>
  <si>
    <t>2122 Pay &amp; Pension Allocations</t>
  </si>
  <si>
    <t>Preference from an affordability perspective, is to apply the right amount to the Leadership - less variable from a financial perspective as special shool numbers grow</t>
  </si>
  <si>
    <t>Depending on the position of school reserves, could explain that the current and values support M4 and TA SCP 5, for example.</t>
  </si>
  <si>
    <t>Pre-18 Apr-Aug</t>
  </si>
  <si>
    <t>Post-16 Apr-Jul</t>
  </si>
  <si>
    <t>Pre-16 Sept-Mar</t>
  </si>
  <si>
    <t>Post-16 Aug-Mar</t>
  </si>
  <si>
    <t>Current Allocation</t>
  </si>
  <si>
    <t>Cost of Main Scale 5 (60% differential funded)</t>
  </si>
  <si>
    <t>This would seem that we are allocating more than the government allocation through using Main Scale 5.</t>
  </si>
  <si>
    <t>The reason is likely to be due to an increase in new place places being commissioned.</t>
  </si>
  <si>
    <t>Does appear sufficient to meet Leadership Pay changes from Pay &amp; Pension:</t>
  </si>
  <si>
    <t>Option 1: only fund x% of the pay difference</t>
  </si>
  <si>
    <t>Option 2: only distribute the remainder through the staffing block</t>
  </si>
  <si>
    <t>SCP12</t>
  </si>
  <si>
    <t>SCP12 (60%)</t>
  </si>
  <si>
    <t>SCP12 (70%)</t>
  </si>
  <si>
    <t>TA (80%)</t>
  </si>
  <si>
    <t>Cost of TA &amp; MDS uplifts</t>
  </si>
  <si>
    <t>Saving of not doing the MDS is:</t>
  </si>
  <si>
    <t>TA &amp; MDS</t>
  </si>
  <si>
    <t>TA Pay Differential</t>
  </si>
  <si>
    <t>21/22 Band Profiles</t>
  </si>
  <si>
    <t>20/21 to 21/22 Variances</t>
  </si>
  <si>
    <t>2022/23 Budget Share Calculations</t>
  </si>
  <si>
    <t>April 22 - August 22 (Pre-16)</t>
  </si>
  <si>
    <t>Numbers agreed as per Nov 20 ESFA return</t>
  </si>
  <si>
    <t>April 22 - July 22 (Post-16)</t>
  </si>
  <si>
    <t>September 22 - March 23 (Pre-16)</t>
  </si>
  <si>
    <t>Numbers agreed as per Nov 21 ESFA return</t>
  </si>
  <si>
    <t>August 22 - March 23 (Post-16)</t>
  </si>
  <si>
    <t>Band G 22/23</t>
  </si>
  <si>
    <t>v7</t>
  </si>
  <si>
    <t>v6</t>
  </si>
  <si>
    <t>2023/24 Budget Share Calculations</t>
  </si>
  <si>
    <t>April 23 - August 23 (Pre-16)</t>
  </si>
  <si>
    <t>April 23 - July 23 (Post-16)</t>
  </si>
  <si>
    <t>September 23 - March 24 (Pre-16)</t>
  </si>
  <si>
    <t>Numbers agreed as per Nov 22 ESFA return</t>
  </si>
  <si>
    <t>August 23 - March 24 (Post-16)</t>
  </si>
  <si>
    <t>Includes 3%</t>
  </si>
  <si>
    <t>Band G 23/24</t>
  </si>
  <si>
    <t>22/23 Band Profiles</t>
  </si>
  <si>
    <t>Agreed Place Numbers</t>
  </si>
  <si>
    <t>21/22 to 22/23 Variances</t>
  </si>
  <si>
    <t>Top-up Rate</t>
  </si>
  <si>
    <t>OLEA Placements</t>
  </si>
  <si>
    <t>Class List Received</t>
  </si>
  <si>
    <t>20/21 Funded</t>
  </si>
  <si>
    <t>Proposed Number</t>
  </si>
  <si>
    <t>Proposal Letter Sent</t>
  </si>
  <si>
    <t>Numbers Confirmed</t>
  </si>
  <si>
    <t>Post 16</t>
  </si>
  <si>
    <t>OLEA's</t>
  </si>
  <si>
    <t>BJF</t>
  </si>
  <si>
    <t>Y</t>
  </si>
  <si>
    <t>N</t>
  </si>
  <si>
    <t>Garth</t>
  </si>
  <si>
    <t>Priory</t>
  </si>
  <si>
    <t>Woodlands</t>
  </si>
  <si>
    <t>Athena</t>
  </si>
  <si>
    <t xml:space="preserve">Gosberton </t>
  </si>
  <si>
    <t>Aegir</t>
  </si>
  <si>
    <t>Warren Wood</t>
  </si>
  <si>
    <t>St Christopher's</t>
  </si>
  <si>
    <t>St Francis</t>
  </si>
  <si>
    <t>St Lawrence</t>
  </si>
  <si>
    <t>St Bernard's</t>
  </si>
  <si>
    <t>Willoughby</t>
  </si>
  <si>
    <t>Greenfields</t>
  </si>
  <si>
    <t>Eresby</t>
  </si>
  <si>
    <t>Ambergate</t>
  </si>
  <si>
    <t>Sandon</t>
  </si>
  <si>
    <t>20/21</t>
  </si>
  <si>
    <t>19/20 Funded</t>
  </si>
  <si>
    <t>23/24 Band Profiles</t>
  </si>
  <si>
    <t>23/24</t>
  </si>
  <si>
    <t>21/22 Funded</t>
  </si>
  <si>
    <t>BJF/BEA</t>
  </si>
  <si>
    <t>Tulip</t>
  </si>
  <si>
    <t>22/23</t>
  </si>
  <si>
    <t>* The local protection determines any funding protection for bands A - F pupils in 2023/24.</t>
  </si>
  <si>
    <t>1. The DfE School Funding Reforms that were implemented in 2013/14 changed the presentation of how special schools were funded, namely through a ‘place-plus’ approach, i.e. special schools will receive a base level of funding of £10,000 per planned place for their provision of pre-16 and post-16 pupils. Place funding for the following academic year would typically reflect the latest Autumn numbers / places, therefore a lagged funding system exists. Where a special school encounters a change in pupil numbers, the in-year adjustments process that is undertaken on a termly basis for commissioned place funding or top up funding adjustments will need consideration by the school.
• The place numbers for pre and post-16 fund the following periods for the financial year 2023/24:
- AY 2022/23 places: pre-16 (April 23 - August 23) and post-16 (April 23 - July 23);
- AY 2023/24 places: pre-16 (September 23 - March 24) and post-16 (August 23 - March 24).</t>
  </si>
  <si>
    <t xml:space="preserve">2. The basis of how special schools are to be funded: 
• The current funding formula is robust and is underpinned by key cost drivers and their costs based on theoretical school models. The Local Authority (LA) believe the underlying principles of the formula remain strong and fit for purpose, and are adaptable to the changing landscape of pupil needs. Lincolnshire’s special schools funding formula has been updated for 2023/24 to incorporate 3% increase made in-year to support special schools increasing costs. This has been applied across the various formula factors (staffing block, non-staffing block, band values). These increases mirror the amounts schools received via the supplementary funding allocations in 2022/23. The formula has been derived as a result of extensive consultation with special school leaders and other parties over the years. The underlying principles and formula factors will remain in place for 2023/24, whilst also having consideration to inflationary cost rises facing the sector. The authority will continue to keep the formula under review to maintain fairness in its distribution to reflect current needs and practices, which will support the ambitions of the sector. Engagement with the sector, including a survey, has taken place during 2022, which has helped shape the final formula refinement outcomes.  
• The main factors for allocating funding to special schools continue to be based on a staffing block, non-staffing block and banding funding. 
• The approach for determining the staffing and non-staffing block allocations are based on the school's monetary published level of banding funding for that given financial year. No funding adjustments will be made mid-year to the staffing and non-staffing block allocations (unless agreed as part of the special schools re-organisation process). Staffing block and non-staffing block allocations have both been increased by 3% in 2023/24 from the original 2022/23 funding baseline to recognise the additional costs schools will be incurring through staff pay increases, and general cost of living.
• Banding funding covers seven band descriptors, which support a range of pupil needs. A monetary value is attached to each band representing the staffing to pupil ratios.  Band monetary values have been updated by 3% to recognise the additional cost impact of staff pay. 
• Free School Meal entitlements are based on the count of meals taken as per the census return completed on 6th October 2022. The FSM rate includes a 2.4% increase for 2023/24 i.e. £2.53 per meal. This is in line with the mainstream rate.
• The mainstreaming of the teachers' pay and pension grants remain within the band for 2023/24: Band A (£487); Band B (£584), Band C (£584); Band D (£730); Band E (£730), and Band F (£974). 
• The pupil band profiles have been updated and agreed with schools to reflect those pupils present at the school in November 2022, plus any additional intake due from planned re-organisations.  
• The ESFA process for agreeing place numbers is based on a lagged funding system due to ESFA timing requirements (namely, using Autumn 2022 data to influence 2023/24 academic year place numbers). The LA has undertaken this process for the 2023/24 academic year place numbers in line with the published DfE high needs guidance. </t>
  </si>
  <si>
    <t xml:space="preserve">5. Monetary Local Proection Funding adjustment for 2023/24. This value has been adjusted to reflect the local protection entitlements for Bands A - F. This compares the level of local protection funding the school received per band in 2022/23 against what they will receive in 2023/24. The local protection continues to be established at 0%. For local proection arrangements, schools are protected when numbers and complexity of pupil needs remains the same (i.e. comparing like with like), therefore comparisons have been made to each band to ensure schools subject to local protection are protected on the lower of the two years band pupil numbers between 2022/23 and 2023/24, e.g. protection of existing pupils with the same needs still within the school. The school supplementary funding allocated in-year in 2022/23 (3% increase in funding) to respond to the rising costs faced by the sector has been included within the formula factors (included the bands) for 2023/24. This has not been considered within the Band Value change for local protection purposes since it was allocated in response to economic factors. </t>
  </si>
  <si>
    <t xml:space="preserve">23. Staffing and non-staffing blocks: special school fixed block allocations have been determined by the value of the overall banding funding for the school. This approach recognises the increasing fixed costs of running a larger school by having higher place pupil numbers and complexity of pupils needs. The staffing and non-staffing blocks have been built up from key cost drivers and costed, and categorised by school size. Transition points between categories of school sizes have been built in to ensure smooth transition points. 
• For 2023/24, the staffing and non-staffing cost drivers have been increased by 3% compared to the original 2022/23 allocations to support staff pay and cost of living rises. 
• School size thresholds have been revised upwards for 2023/24 by 3% to reflect the monetary value increases of special school bands in 2023/24.  This is to ensure a like-for-like comparison can be applied, when determining a school size, which funds the fixed costs of a school through the staffing and non-staffing blocks. </t>
  </si>
  <si>
    <t>1. 2023/24 Protected Places:  School band profile. This compares the breakdown of 2022/23 protected places and the 2023/24 agreed places across the 7 bands. Protected places are the lower of the two years band pupil numbers between 2022/23 and 2023/24, e.g. protection of existing pupils with the same needs still within the school. As the calculation excludes Band G, the difference between Band G placements in 2022/23 compared to 2023/24 (cell M8) has not been stated.</t>
  </si>
  <si>
    <t xml:space="preserve">2021/22 Places Funded </t>
  </si>
  <si>
    <t>3. 2023/24 Funding Breakdown: this provides the breakdown of 2023/24 schools total funding across the various formula factors: Band Funding, Block Funding, Free School Meals, and Local Protection arrangement. The teachers’ pay and pension funding devolved through the formula in 2021/22 is referred. This has been calculated on the assumption that place numbers and band profiles have remained the same as in 2021/22 but using 2023/24 formula factor values, as per the DfE guidance.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</si>
</sst>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quot;£&quot;#,##0"/>
    <numFmt numFmtId="6" formatCode="&quot;£&quot;#,##0;[Red]\-&quot;£&quot;#,##0"/>
    <numFmt numFmtId="8" formatCode="&quot;£&quot;#,##0.00;[Red]\-&quot;£&quot;#,##0.00"/>
    <numFmt numFmtId="42" formatCode="_-&quot;£&quot;* #,##0_-;\-&quot;£&quot;* #,##0_-;_-&quot;£&quot;* &quot;-&quot;_-;_-@_-"/>
    <numFmt numFmtId="44" formatCode="_-&quot;£&quot;* #,##0.00_-;\-&quot;£&quot;* #,##0.00_-;_-&quot;£&quot;* &quot;-&quot;??_-;_-@_-"/>
    <numFmt numFmtId="43" formatCode="_-* #,##0.00_-;\-* #,##0.00_-;_-* &quot;-&quot;??_-;_-@_-"/>
    <numFmt numFmtId="164" formatCode="&quot;£&quot;#,##0"/>
    <numFmt numFmtId="165" formatCode="0.0"/>
    <numFmt numFmtId="166" formatCode="&quot;£&quot;#,##0.00"/>
    <numFmt numFmtId="167" formatCode="0.0%"/>
    <numFmt numFmtId="168" formatCode="_(&quot;$&quot;* #,##0.00_);_(&quot;$&quot;* \(#,##0.00\);_(&quot;$&quot;* &quot;-&quot;??_);_(@_)"/>
    <numFmt numFmtId="169" formatCode="0_)"/>
    <numFmt numFmtId="170" formatCode="0.00_)"/>
    <numFmt numFmtId="171" formatCode="#,##0.0"/>
    <numFmt numFmtId="172" formatCode="0000"/>
    <numFmt numFmtId="173" formatCode="0.000000"/>
    <numFmt numFmtId="174" formatCode="0.000"/>
    <numFmt numFmtId="175" formatCode="0.0000_)"/>
    <numFmt numFmtId="176" formatCode="General_)"/>
    <numFmt numFmtId="177" formatCode="_-* #,##0_-;\-* #,##0_-;_-* &quot;-&quot;??_-;_-@_-"/>
    <numFmt numFmtId="178" formatCode="#,##0.00%"/>
    <numFmt numFmtId="179" formatCode="0.0000%"/>
    <numFmt numFmtId="180" formatCode="0.00000000000%"/>
    <numFmt numFmtId="181" formatCode="0.0000"/>
    <numFmt numFmtId="182" formatCode="0.00000%"/>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u/>
      <sz val="10"/>
      <name val="Arial"/>
      <family val="2"/>
    </font>
    <font>
      <sz val="10"/>
      <name val="Arial"/>
      <family val="2"/>
    </font>
    <font>
      <sz val="16"/>
      <name val="Arial"/>
      <family val="2"/>
    </font>
    <font>
      <b/>
      <sz val="10"/>
      <name val="Arial"/>
      <family val="2"/>
    </font>
    <font>
      <b/>
      <u/>
      <sz val="10"/>
      <name val="Arial"/>
      <family val="2"/>
    </font>
    <font>
      <b/>
      <sz val="8"/>
      <name val="Arial"/>
      <family val="2"/>
    </font>
    <font>
      <sz val="8"/>
      <name val="Arial"/>
      <family val="2"/>
    </font>
    <font>
      <sz val="10"/>
      <name val="Times New Roman"/>
      <family val="1"/>
    </font>
    <font>
      <b/>
      <sz val="10"/>
      <color indexed="8"/>
      <name val="Times New Roman"/>
      <family val="1"/>
    </font>
    <font>
      <b/>
      <sz val="10"/>
      <name val="Times New Roman"/>
      <family val="1"/>
    </font>
    <font>
      <i/>
      <sz val="10"/>
      <name val="Times New Roman"/>
      <family val="1"/>
    </font>
    <font>
      <sz val="19"/>
      <name val="Times New Roman"/>
      <family val="1"/>
    </font>
    <font>
      <b/>
      <i/>
      <sz val="10"/>
      <name val="Arial"/>
      <family val="2"/>
    </font>
    <font>
      <i/>
      <sz val="10"/>
      <name val="Arial"/>
      <family val="2"/>
    </font>
    <font>
      <sz val="11"/>
      <name val="Arial"/>
      <family val="2"/>
    </font>
    <font>
      <sz val="14"/>
      <name val="Arial"/>
      <family val="2"/>
    </font>
    <font>
      <sz val="9"/>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color indexed="8"/>
      <name val="Arial"/>
      <family val="2"/>
    </font>
    <font>
      <sz val="10"/>
      <color indexed="8"/>
      <name val="Arial"/>
      <family val="2"/>
    </font>
    <font>
      <sz val="10"/>
      <color indexed="21"/>
      <name val="System"/>
      <family val="2"/>
    </font>
    <font>
      <sz val="9"/>
      <color indexed="18"/>
      <name val="Arial"/>
      <family val="2"/>
    </font>
    <font>
      <sz val="10"/>
      <color indexed="18"/>
      <name val="System"/>
      <family val="2"/>
    </font>
    <font>
      <i/>
      <sz val="10"/>
      <color indexed="17"/>
      <name val="System"/>
      <family val="2"/>
    </font>
    <font>
      <sz val="10"/>
      <color indexed="14"/>
      <name val="System"/>
      <family val="2"/>
    </font>
    <font>
      <sz val="9"/>
      <name val="Arial"/>
      <family val="2"/>
    </font>
    <font>
      <sz val="10"/>
      <color indexed="17"/>
      <name val="System"/>
      <family val="2"/>
    </font>
    <font>
      <u/>
      <sz val="12"/>
      <name val="Arial"/>
      <family val="2"/>
    </font>
    <font>
      <sz val="12"/>
      <name val="Arial"/>
      <family val="2"/>
    </font>
    <font>
      <b/>
      <sz val="9"/>
      <color indexed="8"/>
      <name val="Arial"/>
      <family val="2"/>
    </font>
    <font>
      <sz val="10"/>
      <name val="MS Sans Serif"/>
      <family val="2"/>
    </font>
    <font>
      <b/>
      <sz val="14"/>
      <name val="Arial"/>
      <family val="2"/>
    </font>
    <font>
      <b/>
      <sz val="11"/>
      <name val="Arial"/>
      <family val="2"/>
    </font>
    <font>
      <b/>
      <sz val="10"/>
      <color indexed="9"/>
      <name val="Arial"/>
      <family val="2"/>
    </font>
    <font>
      <b/>
      <sz val="10"/>
      <color indexed="12"/>
      <name val="Arial"/>
      <family val="2"/>
    </font>
    <font>
      <sz val="12"/>
      <name val="Calibri"/>
      <family val="2"/>
    </font>
    <font>
      <sz val="10"/>
      <name val="Calibri"/>
      <family val="2"/>
    </font>
    <font>
      <sz val="10"/>
      <color indexed="10"/>
      <name val="Arial"/>
      <family val="2"/>
    </font>
    <font>
      <sz val="8"/>
      <name val="Arial"/>
      <family val="2"/>
    </font>
    <font>
      <sz val="11"/>
      <color theme="1"/>
      <name val="Calibri"/>
      <family val="2"/>
      <scheme val="minor"/>
    </font>
    <font>
      <b/>
      <sz val="10"/>
      <color rgb="FF000000"/>
      <name val="Arial"/>
      <family val="2"/>
    </font>
    <font>
      <sz val="10"/>
      <color theme="1"/>
      <name val="Arial"/>
      <family val="2"/>
    </font>
    <font>
      <sz val="10"/>
      <color rgb="FFFF0000"/>
      <name val="Arial"/>
      <family val="2"/>
    </font>
    <font>
      <u/>
      <sz val="10"/>
      <color rgb="FFFF0000"/>
      <name val="Arial"/>
      <family val="2"/>
    </font>
    <font>
      <b/>
      <sz val="10"/>
      <color theme="4" tint="-0.249977111117893"/>
      <name val="Arial"/>
      <family val="2"/>
    </font>
    <font>
      <sz val="9"/>
      <color indexed="81"/>
      <name val="Tahoma"/>
      <family val="2"/>
    </font>
    <font>
      <b/>
      <sz val="9"/>
      <color indexed="81"/>
      <name val="Tahoma"/>
      <family val="2"/>
    </font>
    <font>
      <b/>
      <u/>
      <sz val="8"/>
      <name val="Arial"/>
      <family val="2"/>
    </font>
    <font>
      <sz val="8"/>
      <color theme="1"/>
      <name val="Calibri"/>
      <family val="2"/>
      <scheme val="minor"/>
    </font>
    <font>
      <b/>
      <sz val="8"/>
      <color indexed="8"/>
      <name val="Arial"/>
      <family val="2"/>
    </font>
    <font>
      <sz val="8"/>
      <color indexed="8"/>
      <name val="Arial"/>
      <family val="2"/>
    </font>
    <font>
      <u/>
      <sz val="8"/>
      <name val="Arial"/>
      <family val="2"/>
    </font>
    <font>
      <b/>
      <sz val="12"/>
      <name val="Arial"/>
      <family val="2"/>
    </font>
    <font>
      <sz val="10"/>
      <name val="Arial"/>
      <family val="2"/>
    </font>
    <font>
      <b/>
      <sz val="10"/>
      <color theme="1"/>
      <name val="Arial"/>
      <family val="2"/>
    </font>
    <font>
      <b/>
      <sz val="8"/>
      <color indexed="81"/>
      <name val="Tahoma"/>
      <family val="2"/>
    </font>
    <font>
      <sz val="8"/>
      <color indexed="81"/>
      <name val="Tahoma"/>
      <family val="2"/>
    </font>
    <font>
      <b/>
      <sz val="11"/>
      <color theme="0"/>
      <name val="Arial"/>
      <family val="2"/>
    </font>
    <font>
      <b/>
      <sz val="10"/>
      <name val="Courier"/>
      <family val="3"/>
    </font>
    <font>
      <sz val="8"/>
      <name val="Arial Black"/>
      <family val="2"/>
    </font>
    <font>
      <sz val="10"/>
      <name val="Arial Black"/>
      <family val="2"/>
    </font>
    <font>
      <sz val="12"/>
      <color theme="1"/>
      <name val="Arial"/>
      <family val="2"/>
    </font>
    <font>
      <sz val="12"/>
      <color rgb="FFFF0000"/>
      <name val="Arial"/>
      <family val="2"/>
    </font>
    <font>
      <sz val="12"/>
      <name val="Courier"/>
      <family val="3"/>
    </font>
    <font>
      <sz val="10"/>
      <name val="Courier"/>
      <family val="3"/>
    </font>
    <font>
      <b/>
      <sz val="16"/>
      <name val="Arial"/>
      <family val="2"/>
    </font>
    <font>
      <sz val="12"/>
      <name val="Arial Black"/>
      <family val="2"/>
    </font>
    <font>
      <b/>
      <sz val="18"/>
      <name val="Arial"/>
      <family val="2"/>
    </font>
    <font>
      <sz val="12"/>
      <color indexed="50"/>
      <name val="Arial"/>
      <family val="2"/>
    </font>
    <font>
      <i/>
      <sz val="16"/>
      <name val="Arial"/>
      <family val="2"/>
    </font>
    <font>
      <sz val="12"/>
      <color indexed="13"/>
      <name val="Arial"/>
      <family val="2"/>
    </font>
    <font>
      <b/>
      <sz val="16"/>
      <name val="Arial Black"/>
      <family val="2"/>
    </font>
    <font>
      <b/>
      <sz val="12"/>
      <name val="Arial Black"/>
      <family val="2"/>
    </font>
    <font>
      <b/>
      <sz val="10"/>
      <name val="Arial Black"/>
      <family val="2"/>
    </font>
    <font>
      <sz val="12"/>
      <color indexed="10"/>
      <name val="Arial"/>
      <family val="2"/>
    </font>
    <font>
      <sz val="12"/>
      <color rgb="FF00B050"/>
      <name val="Arial"/>
      <family val="2"/>
    </font>
    <font>
      <i/>
      <sz val="12"/>
      <name val="Arial"/>
      <family val="2"/>
    </font>
    <font>
      <u/>
      <sz val="10"/>
      <color theme="1"/>
      <name val="Arial"/>
      <family val="2"/>
    </font>
    <font>
      <b/>
      <sz val="11"/>
      <color theme="1"/>
      <name val="Calibri"/>
      <family val="2"/>
      <scheme val="minor"/>
    </font>
    <font>
      <i/>
      <sz val="11"/>
      <color theme="1"/>
      <name val="Calibri"/>
      <family val="2"/>
      <scheme val="minor"/>
    </font>
    <font>
      <b/>
      <u/>
      <sz val="11"/>
      <color theme="1"/>
      <name val="Calibri"/>
      <family val="2"/>
      <scheme val="minor"/>
    </font>
    <font>
      <b/>
      <sz val="11"/>
      <color rgb="FFFF0000"/>
      <name val="Calibri"/>
      <family val="2"/>
      <scheme val="minor"/>
    </font>
    <font>
      <i/>
      <sz val="10"/>
      <color rgb="FFFF0000"/>
      <name val="Arial"/>
      <family val="2"/>
    </font>
    <font>
      <sz val="14"/>
      <color rgb="FFFF0000"/>
      <name val="Arial"/>
      <family val="2"/>
    </font>
    <font>
      <b/>
      <i/>
      <sz val="10"/>
      <color rgb="FFFF0000"/>
      <name val="Arial"/>
      <family val="2"/>
    </font>
    <font>
      <sz val="10"/>
      <name val="Arial"/>
      <family val="2"/>
    </font>
    <font>
      <b/>
      <sz val="10"/>
      <color rgb="FFFF0000"/>
      <name val="Arial"/>
      <family val="2"/>
    </font>
    <font>
      <i/>
      <sz val="10"/>
      <color rgb="FF00B050"/>
      <name val="Arial"/>
      <family val="2"/>
    </font>
    <font>
      <sz val="11"/>
      <name val="Calibri"/>
      <family val="2"/>
      <scheme val="minor"/>
    </font>
    <font>
      <b/>
      <sz val="9"/>
      <color rgb="FF000000"/>
      <name val="Arial"/>
      <family val="2"/>
    </font>
    <font>
      <sz val="9"/>
      <color rgb="FF000000"/>
      <name val="Arial"/>
      <family val="2"/>
    </font>
    <font>
      <sz val="12"/>
      <name val="Calibri"/>
      <family val="2"/>
      <scheme val="minor"/>
    </font>
    <font>
      <b/>
      <sz val="12"/>
      <name val="Calibri"/>
      <family val="2"/>
      <scheme val="minor"/>
    </font>
    <font>
      <b/>
      <u/>
      <sz val="12"/>
      <name val="Calibri"/>
      <family val="2"/>
      <scheme val="minor"/>
    </font>
    <font>
      <sz val="12"/>
      <color rgb="FFFF0000"/>
      <name val="Calibri"/>
      <family val="2"/>
      <scheme val="minor"/>
    </font>
    <font>
      <sz val="12"/>
      <color indexed="10"/>
      <name val="Calibri"/>
      <family val="2"/>
      <scheme val="minor"/>
    </font>
    <font>
      <u/>
      <sz val="12"/>
      <name val="Calibri"/>
      <family val="2"/>
      <scheme val="minor"/>
    </font>
    <font>
      <b/>
      <sz val="12"/>
      <color indexed="9"/>
      <name val="Calibri"/>
      <family val="2"/>
      <scheme val="minor"/>
    </font>
    <font>
      <b/>
      <sz val="12"/>
      <color indexed="12"/>
      <name val="Calibri"/>
      <family val="2"/>
      <scheme val="minor"/>
    </font>
    <font>
      <i/>
      <sz val="12"/>
      <name val="Calibri"/>
      <family val="2"/>
      <scheme val="minor"/>
    </font>
    <font>
      <i/>
      <u/>
      <sz val="12"/>
      <name val="Calibri"/>
      <family val="2"/>
      <scheme val="minor"/>
    </font>
    <font>
      <i/>
      <sz val="12"/>
      <color rgb="FFFF0000"/>
      <name val="Calibri"/>
      <family val="2"/>
      <scheme val="minor"/>
    </font>
    <font>
      <i/>
      <sz val="12"/>
      <color theme="1"/>
      <name val="Calibri"/>
      <family val="2"/>
      <scheme val="minor"/>
    </font>
    <font>
      <sz val="12"/>
      <color theme="1"/>
      <name val="Calibri"/>
      <family val="2"/>
      <scheme val="minor"/>
    </font>
    <font>
      <b/>
      <i/>
      <sz val="12"/>
      <color rgb="FFFF0000"/>
      <name val="Calibri"/>
      <family val="2"/>
      <scheme val="minor"/>
    </font>
    <font>
      <sz val="10"/>
      <color theme="0"/>
      <name val="Arial"/>
      <family val="2"/>
    </font>
    <font>
      <b/>
      <sz val="10"/>
      <color theme="0"/>
      <name val="Arial"/>
      <family val="2"/>
    </font>
    <font>
      <i/>
      <sz val="10"/>
      <color theme="0" tint="-0.34998626667073579"/>
      <name val="Arial"/>
      <family val="2"/>
    </font>
    <font>
      <b/>
      <i/>
      <sz val="10"/>
      <color theme="0" tint="-0.34998626667073579"/>
      <name val="Arial"/>
      <family val="2"/>
    </font>
    <font>
      <sz val="7"/>
      <color rgb="FF242424"/>
      <name val="Segoe UI"/>
      <family val="2"/>
    </font>
    <font>
      <b/>
      <i/>
      <sz val="12"/>
      <name val="Calibri"/>
      <family val="2"/>
      <scheme val="minor"/>
    </font>
    <font>
      <b/>
      <sz val="12"/>
      <name val="Calibri"/>
      <family val="2"/>
    </font>
    <font>
      <i/>
      <sz val="10"/>
      <color theme="0" tint="-0.249977111117893"/>
      <name val="Arial"/>
      <family val="2"/>
    </font>
    <font>
      <sz val="10"/>
      <color rgb="FF000000"/>
      <name val="Arial"/>
      <family val="2"/>
    </font>
    <font>
      <sz val="11"/>
      <color rgb="FFFF0000"/>
      <name val="Calibri"/>
      <family val="2"/>
      <scheme val="minor"/>
    </font>
    <font>
      <sz val="11"/>
      <color rgb="FF000000"/>
      <name val="Calibri"/>
      <family val="2"/>
      <scheme val="minor"/>
    </font>
    <font>
      <sz val="11"/>
      <name val="Calibri"/>
      <family val="2"/>
    </font>
    <font>
      <sz val="20"/>
      <name val="Arial"/>
      <family val="2"/>
    </font>
    <font>
      <b/>
      <u/>
      <sz val="11"/>
      <name val="Arial"/>
      <family val="2"/>
    </font>
    <font>
      <i/>
      <sz val="11"/>
      <name val="Arial"/>
      <family val="2"/>
    </font>
    <font>
      <sz val="11"/>
      <color rgb="FF0B0C0C"/>
      <name val="Arial"/>
      <family val="2"/>
    </font>
    <font>
      <b/>
      <sz val="11"/>
      <color rgb="FF0B0C0C"/>
      <name val="Arial"/>
      <family val="2"/>
    </font>
    <font>
      <sz val="12"/>
      <name val="Calibri"/>
      <family val="2"/>
      <charset val="1"/>
    </font>
  </fonts>
  <fills count="6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7"/>
        <bgColor indexed="64"/>
      </patternFill>
    </fill>
    <fill>
      <patternFill patternType="solid">
        <fgColor indexed="45"/>
        <bgColor indexed="64"/>
      </patternFill>
    </fill>
    <fill>
      <patternFill patternType="solid">
        <fgColor indexed="29"/>
        <bgColor indexed="64"/>
      </patternFill>
    </fill>
    <fill>
      <patternFill patternType="solid">
        <fgColor indexed="22"/>
        <bgColor indexed="64"/>
      </patternFill>
    </fill>
    <fill>
      <patternFill patternType="solid">
        <fgColor indexed="13"/>
        <bgColor indexed="64"/>
      </patternFill>
    </fill>
    <fill>
      <patternFill patternType="solid">
        <fgColor indexed="40"/>
        <bgColor indexed="64"/>
      </patternFill>
    </fill>
    <fill>
      <patternFill patternType="solid">
        <fgColor indexed="50"/>
        <bgColor indexed="64"/>
      </patternFill>
    </fill>
    <fill>
      <patternFill patternType="solid">
        <fgColor indexed="11"/>
        <bgColor indexed="64"/>
      </patternFill>
    </fill>
    <fill>
      <patternFill patternType="solid">
        <fgColor indexed="9"/>
        <bgColor indexed="9"/>
      </patternFill>
    </fill>
    <fill>
      <patternFill patternType="solid">
        <fgColor rgb="FF92D050"/>
        <bgColor indexed="64"/>
      </patternFill>
    </fill>
    <fill>
      <patternFill patternType="solid">
        <fgColor rgb="FFFFC000"/>
        <bgColor indexed="64"/>
      </patternFill>
    </fill>
    <fill>
      <patternFill patternType="solid">
        <fgColor rgb="FF00B0F0"/>
        <bgColor indexed="64"/>
      </patternFill>
    </fill>
    <fill>
      <patternFill patternType="solid">
        <fgColor rgb="FFFFFF00"/>
        <bgColor indexed="64"/>
      </patternFill>
    </fill>
    <fill>
      <patternFill patternType="solid">
        <fgColor rgb="FFFF0000"/>
        <bgColor indexed="64"/>
      </patternFill>
    </fill>
    <fill>
      <patternFill patternType="solid">
        <fgColor rgb="FFC0C0C0"/>
        <bgColor rgb="FFC0C0C0"/>
      </patternFill>
    </fill>
    <fill>
      <patternFill patternType="solid">
        <fgColor theme="0" tint="-0.34998626667073579"/>
        <bgColor indexed="64"/>
      </patternFill>
    </fill>
    <fill>
      <patternFill patternType="solid">
        <fgColor theme="0"/>
        <bgColor indexed="64"/>
      </patternFill>
    </fill>
    <fill>
      <patternFill patternType="solid">
        <fgColor theme="0" tint="-0.14999847407452621"/>
        <bgColor indexed="64"/>
      </patternFill>
    </fill>
    <fill>
      <patternFill patternType="solid">
        <fgColor rgb="FFFF66FF"/>
        <bgColor indexed="64"/>
      </patternFill>
    </fill>
    <fill>
      <patternFill patternType="solid">
        <fgColor rgb="FF0070C0"/>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6" tint="0.79998168889431442"/>
        <bgColor indexed="64"/>
      </patternFill>
    </fill>
    <fill>
      <patternFill patternType="solid">
        <fgColor theme="2"/>
        <bgColor indexed="64"/>
      </patternFill>
    </fill>
    <fill>
      <patternFill patternType="solid">
        <fgColor indexed="42"/>
        <bgColor indexed="64"/>
      </patternFill>
    </fill>
    <fill>
      <patternFill patternType="solid">
        <fgColor theme="5" tint="0.39997558519241921"/>
        <bgColor indexed="64"/>
      </patternFill>
    </fill>
    <fill>
      <patternFill patternType="solid">
        <fgColor rgb="FF99CC00"/>
        <bgColor rgb="FFFFFFFF"/>
      </patternFill>
    </fill>
    <fill>
      <patternFill patternType="solid">
        <fgColor theme="6" tint="0.59999389629810485"/>
        <bgColor rgb="FFFFFFFF"/>
      </patternFill>
    </fill>
    <fill>
      <patternFill patternType="solid">
        <fgColor rgb="FFFFFFFF"/>
        <bgColor rgb="FFFFFFFF"/>
      </patternFill>
    </fill>
    <fill>
      <patternFill patternType="solid">
        <fgColor rgb="FFFF9900"/>
        <bgColor rgb="FFFFFFFF"/>
      </patternFill>
    </fill>
    <fill>
      <patternFill patternType="solid">
        <fgColor rgb="FFF0F0F4"/>
        <bgColor rgb="FFFFFFFF"/>
      </patternFill>
    </fill>
    <fill>
      <patternFill patternType="solid">
        <fgColor theme="6" tint="0.59999389629810485"/>
        <bgColor indexed="64"/>
      </patternFill>
    </fill>
    <fill>
      <patternFill patternType="solid">
        <fgColor rgb="FFFF0000"/>
        <bgColor rgb="FFFFFFFF"/>
      </patternFill>
    </fill>
    <fill>
      <patternFill patternType="solid">
        <fgColor rgb="FFFFFF00"/>
        <bgColor rgb="FFFFFFFF"/>
      </patternFill>
    </fill>
    <fill>
      <patternFill patternType="solid">
        <fgColor theme="5" tint="0.59999389629810485"/>
        <bgColor indexed="64"/>
      </patternFill>
    </fill>
    <fill>
      <patternFill patternType="solid">
        <fgColor theme="8" tint="0.39997558519241921"/>
        <bgColor indexed="64"/>
      </patternFill>
    </fill>
    <fill>
      <patternFill patternType="solid">
        <fgColor rgb="FFFFFF00"/>
        <bgColor rgb="FF000000"/>
      </patternFill>
    </fill>
    <fill>
      <patternFill patternType="solid">
        <fgColor rgb="FFD9D9D9"/>
        <bgColor indexed="64"/>
      </patternFill>
    </fill>
    <fill>
      <patternFill patternType="solid">
        <fgColor theme="3" tint="0.79998168889431442"/>
        <bgColor indexed="64"/>
      </patternFill>
    </fill>
  </fills>
  <borders count="9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13"/>
      </top>
      <bottom style="thin">
        <color indexed="1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medium">
        <color indexed="33"/>
      </right>
      <top/>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8"/>
      </left>
      <right style="thin">
        <color indexed="8"/>
      </right>
      <top/>
      <bottom/>
      <diagonal/>
    </border>
    <border>
      <left style="thin">
        <color indexed="64"/>
      </left>
      <right style="thin">
        <color indexed="64"/>
      </right>
      <top/>
      <bottom/>
      <diagonal/>
    </border>
    <border>
      <left style="thin">
        <color indexed="64"/>
      </left>
      <right style="thin">
        <color indexed="64"/>
      </right>
      <top style="medium">
        <color indexed="64"/>
      </top>
      <bottom style="medium">
        <color indexed="64"/>
      </bottom>
      <diagonal/>
    </border>
    <border>
      <left/>
      <right/>
      <top/>
      <bottom style="medium">
        <color indexed="64"/>
      </bottom>
      <diagonal/>
    </border>
    <border>
      <left/>
      <right/>
      <top/>
      <bottom style="thin">
        <color indexed="64"/>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right/>
      <top style="thin">
        <color indexed="64"/>
      </top>
      <bottom style="double">
        <color indexed="64"/>
      </bottom>
      <diagonal/>
    </border>
    <border>
      <left style="thin">
        <color indexed="64"/>
      </left>
      <right style="thin">
        <color indexed="64"/>
      </right>
      <top style="medium">
        <color indexed="64"/>
      </top>
      <bottom/>
      <diagonal/>
    </border>
    <border>
      <left/>
      <right style="medium">
        <color indexed="64"/>
      </right>
      <top/>
      <bottom style="thin">
        <color indexed="64"/>
      </bottom>
      <diagonal/>
    </border>
    <border>
      <left style="thin">
        <color indexed="64"/>
      </left>
      <right/>
      <top style="medium">
        <color indexed="64"/>
      </top>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ck">
        <color indexed="64"/>
      </bottom>
      <diagonal/>
    </border>
    <border>
      <left style="medium">
        <color indexed="64"/>
      </left>
      <right/>
      <top style="thick">
        <color indexed="64"/>
      </top>
      <bottom/>
      <diagonal/>
    </border>
    <border>
      <left style="medium">
        <color indexed="64"/>
      </left>
      <right/>
      <top/>
      <bottom style="thin">
        <color indexed="64"/>
      </bottom>
      <diagonal/>
    </border>
    <border>
      <left style="thick">
        <color indexed="64"/>
      </left>
      <right/>
      <top/>
      <bottom/>
      <diagonal/>
    </border>
    <border>
      <left/>
      <right style="thick">
        <color indexed="64"/>
      </right>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medium">
        <color indexed="64"/>
      </left>
      <right/>
      <top/>
      <bottom style="thick">
        <color indexed="64"/>
      </bottom>
      <diagonal/>
    </border>
    <border>
      <left/>
      <right style="thick">
        <color indexed="64"/>
      </right>
      <top/>
      <bottom style="thick">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ck">
        <color indexed="64"/>
      </left>
      <right/>
      <top style="thin">
        <color indexed="64"/>
      </top>
      <bottom style="medium">
        <color indexed="64"/>
      </bottom>
      <diagonal/>
    </border>
    <border>
      <left style="medium">
        <color indexed="64"/>
      </left>
      <right style="medium">
        <color indexed="64"/>
      </right>
      <top/>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s>
  <cellStyleXfs count="101">
    <xf numFmtId="0" fontId="0" fillId="0" borderId="0"/>
    <xf numFmtId="0" fontId="4" fillId="0" borderId="0"/>
    <xf numFmtId="0" fontId="7" fillId="0" borderId="0"/>
    <xf numFmtId="0" fontId="4" fillId="0" borderId="0"/>
    <xf numFmtId="0" fontId="7" fillId="0" borderId="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9" borderId="0" applyNumberFormat="0" applyBorder="0" applyAlignment="0" applyProtection="0"/>
    <xf numFmtId="0" fontId="25" fillId="3" borderId="0" applyNumberFormat="0" applyBorder="0" applyAlignment="0" applyProtection="0"/>
    <xf numFmtId="0" fontId="26" fillId="20" borderId="1" applyNumberFormat="0" applyAlignment="0" applyProtection="0"/>
    <xf numFmtId="0" fontId="27" fillId="21" borderId="2" applyNumberFormat="0" applyAlignment="0" applyProtection="0"/>
    <xf numFmtId="43" fontId="13" fillId="0" borderId="0" applyFont="0" applyFill="0" applyBorder="0" applyAlignment="0" applyProtection="0"/>
    <xf numFmtId="44" fontId="23" fillId="0" borderId="0" applyFont="0" applyFill="0" applyBorder="0" applyAlignment="0" applyProtection="0"/>
    <xf numFmtId="0" fontId="42" fillId="0" borderId="0" applyNumberFormat="0" applyFill="0" applyBorder="0" applyAlignment="0" applyProtection="0">
      <protection locked="0"/>
    </xf>
    <xf numFmtId="0" fontId="28" fillId="0" borderId="0" applyNumberFormat="0" applyFill="0" applyBorder="0" applyAlignment="0" applyProtection="0"/>
    <xf numFmtId="1" fontId="43" fillId="0" borderId="0" applyNumberFormat="0" applyFill="0" applyBorder="0" applyAlignment="0" applyProtection="0"/>
    <xf numFmtId="0" fontId="29" fillId="4" borderId="0" applyNumberFormat="0" applyBorder="0" applyAlignment="0" applyProtection="0"/>
    <xf numFmtId="0" fontId="9" fillId="0" borderId="0">
      <alignment horizontal="right" vertical="top"/>
    </xf>
    <xf numFmtId="0" fontId="11" fillId="0" borderId="0">
      <alignment horizontal="center" vertical="center" wrapText="1"/>
    </xf>
    <xf numFmtId="0" fontId="12" fillId="0" borderId="3">
      <alignment horizontal="center" vertical="center" wrapText="1"/>
    </xf>
    <xf numFmtId="0" fontId="11" fillId="0" borderId="0">
      <alignment horizontal="left" wrapText="1"/>
    </xf>
    <xf numFmtId="0" fontId="30" fillId="0" borderId="4" applyNumberFormat="0" applyFill="0" applyAlignment="0" applyProtection="0"/>
    <xf numFmtId="0" fontId="31" fillId="0" borderId="5" applyNumberFormat="0" applyFill="0" applyAlignment="0" applyProtection="0"/>
    <xf numFmtId="0" fontId="32" fillId="0" borderId="6" applyNumberFormat="0" applyFill="0" applyAlignment="0" applyProtection="0"/>
    <xf numFmtId="0" fontId="32" fillId="0" borderId="0" applyNumberFormat="0" applyFill="0" applyBorder="0" applyAlignment="0" applyProtection="0"/>
    <xf numFmtId="1" fontId="44" fillId="0" borderId="0" applyNumberFormat="0" applyFill="0" applyBorder="0" applyAlignment="0" applyProtection="0"/>
    <xf numFmtId="0" fontId="33" fillId="7" borderId="1" applyNumberFormat="0" applyAlignment="0" applyProtection="0"/>
    <xf numFmtId="0" fontId="12" fillId="0" borderId="0">
      <alignment horizontal="left" vertical="center"/>
    </xf>
    <xf numFmtId="0" fontId="12" fillId="0" borderId="0">
      <alignment horizontal="center" vertical="center"/>
    </xf>
    <xf numFmtId="0" fontId="34" fillId="0" borderId="7" applyNumberFormat="0" applyFill="0" applyAlignment="0" applyProtection="0"/>
    <xf numFmtId="10" fontId="45" fillId="0" borderId="8" applyFill="0" applyAlignment="0" applyProtection="0">
      <protection locked="0"/>
    </xf>
    <xf numFmtId="0" fontId="35" fillId="22" borderId="0" applyNumberFormat="0" applyBorder="0" applyAlignment="0" applyProtection="0"/>
    <xf numFmtId="0" fontId="13" fillId="0" borderId="0"/>
    <xf numFmtId="0" fontId="7" fillId="0" borderId="0" applyNumberFormat="0" applyFill="0" applyBorder="0" applyAlignment="0" applyProtection="0"/>
    <xf numFmtId="0" fontId="7" fillId="0" borderId="0"/>
    <xf numFmtId="0" fontId="61" fillId="0" borderId="0"/>
    <xf numFmtId="0" fontId="23" fillId="0" borderId="0"/>
    <xf numFmtId="0" fontId="20" fillId="0" borderId="0"/>
    <xf numFmtId="0" fontId="52" fillId="0" borderId="0"/>
    <xf numFmtId="0" fontId="23" fillId="0" borderId="0"/>
    <xf numFmtId="0" fontId="20" fillId="0" borderId="0"/>
    <xf numFmtId="0" fontId="20" fillId="0" borderId="0"/>
    <xf numFmtId="0" fontId="23" fillId="23" borderId="9" applyNumberFormat="0" applyFont="0" applyAlignment="0" applyProtection="0"/>
    <xf numFmtId="3" fontId="12" fillId="0" borderId="0">
      <alignment horizontal="right"/>
    </xf>
    <xf numFmtId="0" fontId="36" fillId="20" borderId="10" applyNumberFormat="0" applyAlignment="0" applyProtection="0"/>
    <xf numFmtId="1" fontId="46" fillId="0" borderId="11" applyNumberFormat="0" applyFill="0" applyBorder="0" applyAlignment="0" applyProtection="0"/>
    <xf numFmtId="4" fontId="14" fillId="0" borderId="12" applyNumberFormat="0" applyProtection="0">
      <alignment vertical="center"/>
    </xf>
    <xf numFmtId="4" fontId="14" fillId="0" borderId="13" applyNumberFormat="0" applyProtection="0">
      <alignment horizontal="centerContinuous" vertical="center"/>
    </xf>
    <xf numFmtId="0" fontId="15" fillId="0" borderId="14" applyNumberFormat="0" applyProtection="0">
      <alignment vertical="center"/>
    </xf>
    <xf numFmtId="0" fontId="15" fillId="0" borderId="15" applyNumberFormat="0" applyProtection="0">
      <alignment horizontal="left" vertical="center" indent="1"/>
    </xf>
    <xf numFmtId="0" fontId="16" fillId="0" borderId="15" applyNumberFormat="0" applyProtection="0">
      <alignment horizontal="left" vertical="center" indent="1"/>
    </xf>
    <xf numFmtId="0" fontId="14" fillId="0" borderId="16" applyNumberFormat="0" applyProtection="0">
      <alignment horizontal="right" vertical="top" wrapText="1"/>
    </xf>
    <xf numFmtId="4" fontId="17" fillId="0" borderId="17" applyNumberFormat="0" applyProtection="0">
      <alignment horizontal="left" vertical="center" indent="1"/>
    </xf>
    <xf numFmtId="0" fontId="4" fillId="0" borderId="0"/>
    <xf numFmtId="0" fontId="5" fillId="0" borderId="18" applyBorder="0">
      <alignment horizontal="right"/>
    </xf>
    <xf numFmtId="168" fontId="4" fillId="0" borderId="0"/>
    <xf numFmtId="168" fontId="4" fillId="0" borderId="0"/>
    <xf numFmtId="168" fontId="4" fillId="0" borderId="0"/>
    <xf numFmtId="0" fontId="37" fillId="0" borderId="0" applyNumberFormat="0" applyFill="0" applyBorder="0" applyAlignment="0" applyProtection="0"/>
    <xf numFmtId="0" fontId="38" fillId="0" borderId="19" applyNumberFormat="0" applyFill="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39" fillId="0" borderId="0" applyNumberFormat="0" applyFill="0" applyBorder="0" applyAlignment="0" applyProtection="0"/>
    <xf numFmtId="0" fontId="3" fillId="0" borderId="0"/>
    <xf numFmtId="43" fontId="3" fillId="0" borderId="0" applyFont="0" applyFill="0" applyBorder="0" applyAlignment="0" applyProtection="0"/>
    <xf numFmtId="0" fontId="4" fillId="0" borderId="0"/>
    <xf numFmtId="0" fontId="4" fillId="0" borderId="0"/>
    <xf numFmtId="4" fontId="41" fillId="0" borderId="0" applyNumberFormat="0" applyProtection="0">
      <alignment horizontal="left" vertical="center" indent="1"/>
    </xf>
    <xf numFmtId="43" fontId="75" fillId="0" borderId="0" applyFont="0" applyFill="0" applyBorder="0" applyAlignment="0" applyProtection="0"/>
    <xf numFmtId="0" fontId="4" fillId="0" borderId="0"/>
    <xf numFmtId="0" fontId="4" fillId="0" borderId="0"/>
    <xf numFmtId="0" fontId="5" fillId="0" borderId="3">
      <alignment horizontal="center" vertical="center" wrapText="1"/>
    </xf>
    <xf numFmtId="0" fontId="5" fillId="0" borderId="0">
      <alignment horizontal="left" vertical="center"/>
    </xf>
    <xf numFmtId="0" fontId="5" fillId="0" borderId="0">
      <alignment horizontal="center" vertical="center"/>
    </xf>
    <xf numFmtId="0" fontId="4" fillId="0" borderId="0" applyNumberFormat="0" applyFill="0" applyBorder="0" applyAlignment="0" applyProtection="0"/>
    <xf numFmtId="0" fontId="4" fillId="0" borderId="0"/>
    <xf numFmtId="0" fontId="2" fillId="0" borderId="0"/>
    <xf numFmtId="3" fontId="5" fillId="0" borderId="0">
      <alignment horizontal="right"/>
    </xf>
    <xf numFmtId="0" fontId="4" fillId="0" borderId="0"/>
    <xf numFmtId="9" fontId="107" fillId="0" borderId="0" applyFont="0" applyFill="0" applyBorder="0" applyAlignment="0" applyProtection="0"/>
  </cellStyleXfs>
  <cellXfs count="1609">
    <xf numFmtId="0" fontId="0" fillId="0" borderId="0" xfId="0"/>
    <xf numFmtId="0" fontId="6" fillId="0" borderId="0" xfId="0" applyFont="1"/>
    <xf numFmtId="0" fontId="0" fillId="0" borderId="0" xfId="0" applyAlignment="1">
      <alignment horizontal="center"/>
    </xf>
    <xf numFmtId="0" fontId="0" fillId="0" borderId="0" xfId="0" applyAlignment="1">
      <alignment horizontal="right"/>
    </xf>
    <xf numFmtId="0" fontId="8" fillId="0" borderId="0" xfId="0" applyFont="1"/>
    <xf numFmtId="0" fontId="9" fillId="0" borderId="0" xfId="0" applyFont="1" applyAlignment="1">
      <alignment horizontal="center"/>
    </xf>
    <xf numFmtId="0" fontId="7" fillId="0" borderId="0" xfId="0" applyFont="1"/>
    <xf numFmtId="0" fontId="10" fillId="0" borderId="0" xfId="0" applyFont="1"/>
    <xf numFmtId="0" fontId="0" fillId="0" borderId="12" xfId="0" applyBorder="1" applyAlignment="1">
      <alignment horizontal="center"/>
    </xf>
    <xf numFmtId="0" fontId="0" fillId="0" borderId="20" xfId="0" applyBorder="1" applyAlignment="1">
      <alignment horizontal="center"/>
    </xf>
    <xf numFmtId="0" fontId="0" fillId="24" borderId="20" xfId="0" applyFill="1" applyBorder="1" applyAlignment="1">
      <alignment horizontal="center"/>
    </xf>
    <xf numFmtId="0" fontId="9" fillId="24" borderId="20" xfId="0" applyFont="1" applyFill="1" applyBorder="1" applyAlignment="1">
      <alignment horizontal="center" wrapText="1"/>
    </xf>
    <xf numFmtId="0" fontId="9" fillId="24" borderId="12" xfId="0" applyFont="1" applyFill="1" applyBorder="1" applyAlignment="1">
      <alignment horizontal="right"/>
    </xf>
    <xf numFmtId="0" fontId="9" fillId="0" borderId="12" xfId="0" applyFont="1" applyBorder="1" applyAlignment="1">
      <alignment horizontal="center"/>
    </xf>
    <xf numFmtId="0" fontId="9" fillId="0" borderId="20" xfId="0" applyFont="1" applyBorder="1" applyAlignment="1">
      <alignment horizontal="center" wrapText="1"/>
    </xf>
    <xf numFmtId="0" fontId="9" fillId="0" borderId="12" xfId="0" applyFont="1" applyBorder="1" applyAlignment="1">
      <alignment horizontal="center" wrapText="1"/>
    </xf>
    <xf numFmtId="164" fontId="0" fillId="0" borderId="0" xfId="0" applyNumberFormat="1" applyAlignment="1">
      <alignment horizontal="center"/>
    </xf>
    <xf numFmtId="164" fontId="0" fillId="24" borderId="12" xfId="0" applyNumberFormat="1" applyFill="1" applyBorder="1" applyAlignment="1">
      <alignment horizontal="center"/>
    </xf>
    <xf numFmtId="164" fontId="0" fillId="0" borderId="12" xfId="0" applyNumberFormat="1" applyBorder="1" applyAlignment="1">
      <alignment horizontal="center"/>
    </xf>
    <xf numFmtId="0" fontId="0" fillId="0" borderId="0" xfId="0" applyAlignment="1">
      <alignment horizontal="center" wrapText="1"/>
    </xf>
    <xf numFmtId="0" fontId="0" fillId="24" borderId="21" xfId="0" applyFill="1" applyBorder="1"/>
    <xf numFmtId="0" fontId="0" fillId="24" borderId="22" xfId="0" applyFill="1" applyBorder="1" applyAlignment="1">
      <alignment horizontal="center"/>
    </xf>
    <xf numFmtId="0" fontId="0" fillId="24" borderId="22" xfId="0" applyFill="1" applyBorder="1" applyAlignment="1">
      <alignment horizontal="center" wrapText="1"/>
    </xf>
    <xf numFmtId="0" fontId="6" fillId="0" borderId="23" xfId="0" applyFont="1" applyBorder="1"/>
    <xf numFmtId="0" fontId="0" fillId="0" borderId="24" xfId="0" applyBorder="1"/>
    <xf numFmtId="0" fontId="0" fillId="0" borderId="25" xfId="0" applyBorder="1"/>
    <xf numFmtId="0" fontId="0" fillId="0" borderId="26" xfId="0" applyBorder="1"/>
    <xf numFmtId="0" fontId="0" fillId="0" borderId="27" xfId="0" applyBorder="1"/>
    <xf numFmtId="0" fontId="0" fillId="0" borderId="28" xfId="0" applyBorder="1"/>
    <xf numFmtId="0" fontId="7" fillId="0" borderId="0" xfId="61" applyFont="1"/>
    <xf numFmtId="0" fontId="7" fillId="0" borderId="0" xfId="61" applyFont="1" applyAlignment="1">
      <alignment horizontal="center"/>
    </xf>
    <xf numFmtId="164" fontId="7" fillId="0" borderId="0" xfId="61" applyNumberFormat="1" applyFont="1" applyAlignment="1">
      <alignment horizontal="center"/>
    </xf>
    <xf numFmtId="0" fontId="19" fillId="0" borderId="12" xfId="61" applyFont="1" applyBorder="1"/>
    <xf numFmtId="0" fontId="21" fillId="0" borderId="0" xfId="61" applyFont="1"/>
    <xf numFmtId="0" fontId="7" fillId="0" borderId="0" xfId="0" applyFont="1" applyAlignment="1">
      <alignment horizontal="center"/>
    </xf>
    <xf numFmtId="0" fontId="4" fillId="24" borderId="0" xfId="61" applyFont="1" applyFill="1"/>
    <xf numFmtId="0" fontId="4" fillId="0" borderId="0" xfId="61" applyFont="1"/>
    <xf numFmtId="0" fontId="20" fillId="0" borderId="0" xfId="61"/>
    <xf numFmtId="0" fontId="20" fillId="0" borderId="0" xfId="61" applyAlignment="1">
      <alignment horizontal="center" wrapText="1"/>
    </xf>
    <xf numFmtId="164" fontId="20" fillId="0" borderId="0" xfId="61" applyNumberFormat="1" applyAlignment="1">
      <alignment horizontal="center"/>
    </xf>
    <xf numFmtId="0" fontId="20" fillId="24" borderId="0" xfId="61" applyFill="1"/>
    <xf numFmtId="0" fontId="20" fillId="24" borderId="0" xfId="61" applyFill="1" applyAlignment="1">
      <alignment horizontal="center" wrapText="1"/>
    </xf>
    <xf numFmtId="164" fontId="9" fillId="0" borderId="0" xfId="61" applyNumberFormat="1" applyFont="1" applyAlignment="1">
      <alignment horizontal="center"/>
    </xf>
    <xf numFmtId="0" fontId="0" fillId="0" borderId="17" xfId="0" applyBorder="1"/>
    <xf numFmtId="0" fontId="0" fillId="0" borderId="29" xfId="0" applyBorder="1"/>
    <xf numFmtId="0" fontId="4" fillId="0" borderId="20" xfId="0" applyFont="1" applyBorder="1" applyAlignment="1">
      <alignment horizontal="center"/>
    </xf>
    <xf numFmtId="164" fontId="4" fillId="0" borderId="12" xfId="0" applyNumberFormat="1" applyFont="1" applyBorder="1" applyAlignment="1">
      <alignment horizontal="center"/>
    </xf>
    <xf numFmtId="0" fontId="9" fillId="0" borderId="12" xfId="62" applyFont="1" applyBorder="1" applyAlignment="1">
      <alignment vertical="center" wrapText="1"/>
    </xf>
    <xf numFmtId="0" fontId="9" fillId="0" borderId="12" xfId="62" applyFont="1" applyBorder="1" applyAlignment="1">
      <alignment horizontal="center" vertical="center" wrapText="1"/>
    </xf>
    <xf numFmtId="0" fontId="9" fillId="25" borderId="12" xfId="62" applyFont="1" applyFill="1" applyBorder="1" applyAlignment="1">
      <alignment horizontal="center" vertical="center" wrapText="1" shrinkToFit="1"/>
    </xf>
    <xf numFmtId="49" fontId="9" fillId="26" borderId="12" xfId="62" applyNumberFormat="1" applyFont="1" applyFill="1" applyBorder="1" applyAlignment="1">
      <alignment horizontal="center" vertical="center" wrapText="1" shrinkToFit="1"/>
    </xf>
    <xf numFmtId="0" fontId="9" fillId="27" borderId="12" xfId="62" applyFont="1" applyFill="1" applyBorder="1" applyAlignment="1">
      <alignment horizontal="center" vertical="center" wrapText="1" shrinkToFit="1"/>
    </xf>
    <xf numFmtId="0" fontId="40" fillId="26" borderId="12" xfId="60" applyFont="1" applyFill="1" applyBorder="1" applyAlignment="1">
      <alignment horizontal="center" vertical="center" wrapText="1"/>
    </xf>
    <xf numFmtId="9" fontId="40" fillId="27" borderId="12" xfId="60" applyNumberFormat="1" applyFont="1" applyFill="1" applyBorder="1" applyAlignment="1">
      <alignment horizontal="center" vertical="center" wrapText="1"/>
    </xf>
    <xf numFmtId="1" fontId="41" fillId="26" borderId="12" xfId="60" applyNumberFormat="1" applyFont="1" applyFill="1" applyBorder="1" applyAlignment="1">
      <alignment horizontal="center" wrapText="1"/>
    </xf>
    <xf numFmtId="167" fontId="41" fillId="27" borderId="12" xfId="60" applyNumberFormat="1" applyFont="1" applyFill="1" applyBorder="1" applyAlignment="1">
      <alignment horizontal="center" wrapText="1"/>
    </xf>
    <xf numFmtId="1" fontId="9" fillId="25" borderId="12" xfId="62" applyNumberFormat="1" applyFont="1" applyFill="1" applyBorder="1" applyAlignment="1">
      <alignment horizontal="center" wrapText="1"/>
    </xf>
    <xf numFmtId="1" fontId="9" fillId="26" borderId="12" xfId="62" applyNumberFormat="1" applyFont="1" applyFill="1" applyBorder="1" applyAlignment="1">
      <alignment horizontal="center" wrapText="1"/>
    </xf>
    <xf numFmtId="1" fontId="40" fillId="26" borderId="12" xfId="60" applyNumberFormat="1" applyFont="1" applyFill="1" applyBorder="1" applyAlignment="1">
      <alignment horizontal="center" wrapText="1"/>
    </xf>
    <xf numFmtId="9" fontId="41" fillId="27" borderId="12" xfId="60" applyNumberFormat="1" applyFont="1" applyFill="1" applyBorder="1" applyAlignment="1">
      <alignment horizontal="center" wrapText="1"/>
    </xf>
    <xf numFmtId="167" fontId="41" fillId="26" borderId="12" xfId="60" applyNumberFormat="1" applyFont="1" applyFill="1" applyBorder="1" applyAlignment="1">
      <alignment horizontal="center" wrapText="1"/>
    </xf>
    <xf numFmtId="164" fontId="7" fillId="0" borderId="0" xfId="61" applyNumberFormat="1" applyFont="1"/>
    <xf numFmtId="2" fontId="0" fillId="0" borderId="0" xfId="0" applyNumberFormat="1" applyAlignment="1">
      <alignment horizontal="center"/>
    </xf>
    <xf numFmtId="0" fontId="19" fillId="0" borderId="0" xfId="61" applyFont="1"/>
    <xf numFmtId="166" fontId="19" fillId="0" borderId="0" xfId="61" applyNumberFormat="1" applyFont="1" applyAlignment="1">
      <alignment horizontal="center"/>
    </xf>
    <xf numFmtId="0" fontId="49" fillId="0" borderId="0" xfId="61" applyFont="1"/>
    <xf numFmtId="0" fontId="49" fillId="0" borderId="0" xfId="61" applyFont="1" applyAlignment="1">
      <alignment horizontal="left"/>
    </xf>
    <xf numFmtId="0" fontId="50" fillId="0" borderId="0" xfId="61" applyFont="1"/>
    <xf numFmtId="164" fontId="9" fillId="0" borderId="12" xfId="61" applyNumberFormat="1" applyFont="1" applyBorder="1" applyAlignment="1">
      <alignment horizontal="center"/>
    </xf>
    <xf numFmtId="164" fontId="19" fillId="0" borderId="12" xfId="61" applyNumberFormat="1" applyFont="1" applyBorder="1" applyAlignment="1">
      <alignment horizontal="center"/>
    </xf>
    <xf numFmtId="0" fontId="22" fillId="0" borderId="0" xfId="0" applyFont="1" applyAlignment="1">
      <alignment horizontal="left"/>
    </xf>
    <xf numFmtId="0" fontId="9" fillId="0" borderId="0" xfId="61" applyFont="1" applyAlignment="1">
      <alignment horizontal="center" wrapText="1"/>
    </xf>
    <xf numFmtId="164" fontId="9" fillId="0" borderId="0" xfId="0" applyNumberFormat="1" applyFont="1" applyAlignment="1">
      <alignment horizontal="center"/>
    </xf>
    <xf numFmtId="0" fontId="9" fillId="0" borderId="0" xfId="61" applyFont="1" applyAlignment="1">
      <alignment horizontal="center"/>
    </xf>
    <xf numFmtId="0" fontId="10" fillId="0" borderId="0" xfId="61" applyFont="1" applyAlignment="1">
      <alignment horizontal="center"/>
    </xf>
    <xf numFmtId="0" fontId="51" fillId="0" borderId="0" xfId="0" applyFont="1" applyAlignment="1">
      <alignment horizontal="center"/>
    </xf>
    <xf numFmtId="0" fontId="10" fillId="0" borderId="0" xfId="58" applyFont="1"/>
    <xf numFmtId="0" fontId="7" fillId="0" borderId="0" xfId="58" applyFont="1"/>
    <xf numFmtId="0" fontId="7" fillId="0" borderId="0" xfId="58" applyFont="1" applyAlignment="1">
      <alignment horizontal="center"/>
    </xf>
    <xf numFmtId="0" fontId="57" fillId="0" borderId="0" xfId="58" applyFont="1"/>
    <xf numFmtId="0" fontId="58" fillId="0" borderId="0" xfId="58" applyFont="1"/>
    <xf numFmtId="164" fontId="9" fillId="0" borderId="12" xfId="58" applyNumberFormat="1" applyFont="1" applyBorder="1" applyAlignment="1" applyProtection="1">
      <alignment horizontal="center" vertical="center"/>
      <protection hidden="1"/>
    </xf>
    <xf numFmtId="3" fontId="9" fillId="0" borderId="12" xfId="58" applyNumberFormat="1" applyFont="1" applyBorder="1" applyAlignment="1" applyProtection="1">
      <alignment horizontal="center" vertical="center"/>
      <protection hidden="1"/>
    </xf>
    <xf numFmtId="0" fontId="6" fillId="0" borderId="0" xfId="58" applyFont="1"/>
    <xf numFmtId="0" fontId="18" fillId="0" borderId="0" xfId="58" applyFont="1"/>
    <xf numFmtId="0" fontId="18" fillId="0" borderId="0" xfId="58" applyFont="1" applyAlignment="1">
      <alignment horizontal="left"/>
    </xf>
    <xf numFmtId="164" fontId="59" fillId="0" borderId="12" xfId="58" applyNumberFormat="1" applyFont="1" applyBorder="1" applyAlignment="1">
      <alignment horizontal="center"/>
    </xf>
    <xf numFmtId="164" fontId="9" fillId="0" borderId="12" xfId="58" applyNumberFormat="1" applyFont="1" applyBorder="1"/>
    <xf numFmtId="0" fontId="9" fillId="0" borderId="12" xfId="58" applyFont="1" applyBorder="1" applyAlignment="1">
      <alignment horizontal="center"/>
    </xf>
    <xf numFmtId="164" fontId="9" fillId="0" borderId="12" xfId="58" applyNumberFormat="1" applyFont="1" applyBorder="1" applyAlignment="1">
      <alignment horizontal="center"/>
    </xf>
    <xf numFmtId="0" fontId="41" fillId="0" borderId="0" xfId="60" applyFont="1" applyAlignment="1">
      <alignment horizontal="left"/>
    </xf>
    <xf numFmtId="0" fontId="0" fillId="0" borderId="0" xfId="0" applyAlignment="1">
      <alignment horizontal="left"/>
    </xf>
    <xf numFmtId="164" fontId="0" fillId="0" borderId="39" xfId="0" applyNumberFormat="1" applyBorder="1" applyAlignment="1" applyProtection="1">
      <alignment horizontal="center"/>
      <protection hidden="1"/>
    </xf>
    <xf numFmtId="0" fontId="10" fillId="0" borderId="0" xfId="61" applyFont="1"/>
    <xf numFmtId="0" fontId="6" fillId="0" borderId="0" xfId="61" applyFont="1"/>
    <xf numFmtId="0" fontId="9" fillId="0" borderId="33" xfId="61" applyFont="1" applyBorder="1" applyAlignment="1">
      <alignment horizontal="center"/>
    </xf>
    <xf numFmtId="0" fontId="9" fillId="0" borderId="12" xfId="61" applyFont="1" applyBorder="1" applyAlignment="1">
      <alignment horizontal="center" wrapText="1"/>
    </xf>
    <xf numFmtId="164" fontId="9" fillId="31" borderId="12" xfId="61" applyNumberFormat="1" applyFont="1" applyFill="1" applyBorder="1" applyAlignment="1">
      <alignment horizontal="center"/>
    </xf>
    <xf numFmtId="0" fontId="59" fillId="0" borderId="0" xfId="0" applyFont="1"/>
    <xf numFmtId="0" fontId="9" fillId="0" borderId="33" xfId="61" applyFont="1" applyBorder="1" applyAlignment="1">
      <alignment horizontal="center" wrapText="1"/>
    </xf>
    <xf numFmtId="0" fontId="9" fillId="0" borderId="0" xfId="2" applyFont="1" applyAlignment="1">
      <alignment horizontal="left"/>
    </xf>
    <xf numFmtId="0" fontId="7" fillId="0" borderId="0" xfId="55"/>
    <xf numFmtId="2" fontId="7" fillId="0" borderId="0" xfId="55" applyNumberFormat="1"/>
    <xf numFmtId="0" fontId="7" fillId="0" borderId="0" xfId="55" applyAlignment="1">
      <alignment horizontal="center"/>
    </xf>
    <xf numFmtId="0" fontId="7" fillId="0" borderId="38" xfId="55" applyBorder="1"/>
    <xf numFmtId="0" fontId="7" fillId="0" borderId="31" xfId="55" applyBorder="1" applyAlignment="1">
      <alignment horizontal="center"/>
    </xf>
    <xf numFmtId="0" fontId="7" fillId="0" borderId="34" xfId="55" applyBorder="1"/>
    <xf numFmtId="0" fontId="7" fillId="0" borderId="15" xfId="55" applyBorder="1" applyAlignment="1">
      <alignment horizontal="center"/>
    </xf>
    <xf numFmtId="0" fontId="7" fillId="0" borderId="33" xfId="55" applyBorder="1"/>
    <xf numFmtId="0" fontId="7" fillId="0" borderId="33" xfId="55" applyBorder="1" applyAlignment="1">
      <alignment horizontal="center"/>
    </xf>
    <xf numFmtId="0" fontId="41" fillId="33" borderId="12" xfId="2" applyFont="1" applyFill="1" applyBorder="1" applyAlignment="1">
      <alignment horizontal="left"/>
    </xf>
    <xf numFmtId="0" fontId="7" fillId="0" borderId="12" xfId="2" applyBorder="1" applyAlignment="1">
      <alignment horizontal="center"/>
    </xf>
    <xf numFmtId="0" fontId="53" fillId="0" borderId="0" xfId="59" applyFont="1"/>
    <xf numFmtId="0" fontId="9" fillId="0" borderId="0" xfId="59" applyFont="1"/>
    <xf numFmtId="0" fontId="9" fillId="0" borderId="0" xfId="59" applyFont="1" applyAlignment="1">
      <alignment horizontal="center"/>
    </xf>
    <xf numFmtId="0" fontId="54" fillId="0" borderId="0" xfId="59" applyFont="1"/>
    <xf numFmtId="0" fontId="55" fillId="0" borderId="0" xfId="59" applyFont="1" applyAlignment="1">
      <alignment horizontal="center"/>
    </xf>
    <xf numFmtId="172" fontId="9" fillId="0" borderId="0" xfId="59" applyNumberFormat="1" applyFont="1" applyAlignment="1">
      <alignment horizontal="center"/>
    </xf>
    <xf numFmtId="170" fontId="9" fillId="0" borderId="0" xfId="0" applyNumberFormat="1" applyFont="1" applyAlignment="1">
      <alignment horizontal="center"/>
    </xf>
    <xf numFmtId="170" fontId="56" fillId="0" borderId="0" xfId="0" applyNumberFormat="1" applyFont="1" applyAlignment="1">
      <alignment horizontal="center"/>
    </xf>
    <xf numFmtId="164" fontId="7" fillId="0" borderId="12" xfId="55" applyNumberFormat="1" applyBorder="1" applyAlignment="1">
      <alignment horizontal="center"/>
    </xf>
    <xf numFmtId="164" fontId="9" fillId="32" borderId="12" xfId="61" applyNumberFormat="1" applyFont="1" applyFill="1" applyBorder="1" applyAlignment="1">
      <alignment horizontal="center"/>
    </xf>
    <xf numFmtId="3" fontId="0" fillId="0" borderId="0" xfId="0" applyNumberFormat="1" applyAlignment="1">
      <alignment horizontal="center"/>
    </xf>
    <xf numFmtId="0" fontId="9" fillId="0" borderId="0" xfId="59" applyFont="1" applyAlignment="1" applyProtection="1">
      <alignment horizontal="center"/>
      <protection hidden="1"/>
    </xf>
    <xf numFmtId="0" fontId="0" fillId="0" borderId="0" xfId="0" applyProtection="1">
      <protection hidden="1"/>
    </xf>
    <xf numFmtId="0" fontId="6" fillId="0" borderId="0" xfId="59" applyFont="1" applyProtection="1">
      <protection hidden="1"/>
    </xf>
    <xf numFmtId="0" fontId="0" fillId="0" borderId="0" xfId="0" applyAlignment="1" applyProtection="1">
      <alignment horizontal="center"/>
      <protection hidden="1"/>
    </xf>
    <xf numFmtId="0" fontId="9" fillId="0" borderId="0" xfId="0" applyFont="1" applyAlignment="1" applyProtection="1">
      <alignment horizontal="center"/>
      <protection hidden="1"/>
    </xf>
    <xf numFmtId="164" fontId="19" fillId="0" borderId="0" xfId="59" applyNumberFormat="1" applyFont="1" applyAlignment="1" applyProtection="1">
      <alignment horizontal="center"/>
      <protection hidden="1"/>
    </xf>
    <xf numFmtId="0" fontId="9" fillId="0" borderId="40" xfId="59" applyFont="1" applyBorder="1" applyAlignment="1" applyProtection="1">
      <alignment horizontal="left"/>
      <protection hidden="1"/>
    </xf>
    <xf numFmtId="0" fontId="10" fillId="0" borderId="23" xfId="0" applyFont="1" applyBorder="1" applyProtection="1">
      <protection hidden="1"/>
    </xf>
    <xf numFmtId="0" fontId="0" fillId="0" borderId="0" xfId="0" applyAlignment="1" applyProtection="1">
      <alignment horizontal="left"/>
      <protection hidden="1"/>
    </xf>
    <xf numFmtId="0" fontId="9" fillId="24" borderId="41" xfId="0" applyFont="1" applyFill="1" applyBorder="1" applyAlignment="1" applyProtection="1">
      <alignment horizontal="left" wrapText="1"/>
      <protection hidden="1"/>
    </xf>
    <xf numFmtId="0" fontId="0" fillId="24" borderId="41" xfId="0" applyFill="1" applyBorder="1" applyAlignment="1" applyProtection="1">
      <alignment horizontal="left"/>
      <protection hidden="1"/>
    </xf>
    <xf numFmtId="0" fontId="0" fillId="24" borderId="41" xfId="0" applyFill="1" applyBorder="1" applyProtection="1">
      <protection hidden="1"/>
    </xf>
    <xf numFmtId="0" fontId="0" fillId="0" borderId="41" xfId="0" applyBorder="1" applyProtection="1">
      <protection hidden="1"/>
    </xf>
    <xf numFmtId="0" fontId="4" fillId="0" borderId="41" xfId="0" applyFont="1" applyBorder="1" applyAlignment="1" applyProtection="1">
      <alignment horizontal="left"/>
      <protection hidden="1"/>
    </xf>
    <xf numFmtId="0" fontId="0" fillId="0" borderId="0" xfId="0" applyAlignment="1" applyProtection="1">
      <alignment horizontal="right"/>
      <protection hidden="1"/>
    </xf>
    <xf numFmtId="164" fontId="0" fillId="0" borderId="0" xfId="0" applyNumberFormat="1" applyAlignment="1" applyProtection="1">
      <alignment horizontal="center"/>
      <protection hidden="1"/>
    </xf>
    <xf numFmtId="0" fontId="9" fillId="0" borderId="0" xfId="61" applyFont="1"/>
    <xf numFmtId="1" fontId="7" fillId="0" borderId="0" xfId="61" applyNumberFormat="1" applyFont="1"/>
    <xf numFmtId="0" fontId="62" fillId="39" borderId="40" xfId="0" applyFont="1" applyFill="1" applyBorder="1" applyAlignment="1">
      <alignment horizontal="center" vertical="center"/>
    </xf>
    <xf numFmtId="0" fontId="62" fillId="39" borderId="42" xfId="0" applyFont="1" applyFill="1" applyBorder="1" applyAlignment="1">
      <alignment horizontal="center" vertical="center"/>
    </xf>
    <xf numFmtId="0" fontId="62" fillId="39" borderId="43" xfId="0" applyFont="1" applyFill="1" applyBorder="1" applyAlignment="1">
      <alignment horizontal="center" vertical="center"/>
    </xf>
    <xf numFmtId="0" fontId="63" fillId="0" borderId="12" xfId="0" applyFont="1" applyBorder="1"/>
    <xf numFmtId="0" fontId="63" fillId="0" borderId="20" xfId="0" applyFont="1" applyBorder="1" applyAlignment="1">
      <alignment horizontal="center"/>
    </xf>
    <xf numFmtId="164" fontId="63" fillId="0" borderId="39" xfId="0" applyNumberFormat="1" applyFont="1" applyBorder="1" applyAlignment="1">
      <alignment horizontal="center"/>
    </xf>
    <xf numFmtId="0" fontId="63" fillId="0" borderId="44" xfId="0" applyFont="1" applyBorder="1"/>
    <xf numFmtId="0" fontId="63" fillId="0" borderId="45" xfId="0" applyFont="1" applyBorder="1" applyAlignment="1">
      <alignment horizontal="center"/>
    </xf>
    <xf numFmtId="164" fontId="63" fillId="0" borderId="46" xfId="0" applyNumberFormat="1" applyFont="1" applyBorder="1" applyAlignment="1">
      <alignment horizontal="center"/>
    </xf>
    <xf numFmtId="0" fontId="63" fillId="0" borderId="0" xfId="0" applyFont="1" applyAlignment="1">
      <alignment horizontal="center"/>
    </xf>
    <xf numFmtId="0" fontId="63" fillId="0" borderId="0" xfId="0" applyFont="1"/>
    <xf numFmtId="164" fontId="63" fillId="0" borderId="0" xfId="0" applyNumberFormat="1" applyFont="1"/>
    <xf numFmtId="0" fontId="63" fillId="0" borderId="0" xfId="0" applyFont="1" applyAlignment="1">
      <alignment horizontal="right"/>
    </xf>
    <xf numFmtId="8" fontId="63" fillId="0" borderId="0" xfId="0" applyNumberFormat="1" applyFont="1" applyAlignment="1">
      <alignment horizontal="center"/>
    </xf>
    <xf numFmtId="164" fontId="63" fillId="0" borderId="30" xfId="0" applyNumberFormat="1" applyFont="1" applyBorder="1" applyAlignment="1">
      <alignment horizontal="center"/>
    </xf>
    <xf numFmtId="0" fontId="63" fillId="0" borderId="41" xfId="0" applyFont="1" applyBorder="1" applyAlignment="1">
      <alignment horizontal="center"/>
    </xf>
    <xf numFmtId="0" fontId="63" fillId="0" borderId="47" xfId="0" applyFont="1" applyBorder="1" applyAlignment="1">
      <alignment horizontal="center"/>
    </xf>
    <xf numFmtId="164" fontId="57" fillId="0" borderId="12" xfId="58" applyNumberFormat="1" applyFont="1" applyBorder="1" applyAlignment="1">
      <alignment horizontal="center"/>
    </xf>
    <xf numFmtId="0" fontId="64" fillId="0" borderId="0" xfId="58" applyFont="1"/>
    <xf numFmtId="0" fontId="7" fillId="0" borderId="0" xfId="2" applyAlignment="1">
      <alignment horizontal="center"/>
    </xf>
    <xf numFmtId="0" fontId="41" fillId="33" borderId="0" xfId="2" applyFont="1" applyFill="1" applyAlignment="1">
      <alignment horizontal="left"/>
    </xf>
    <xf numFmtId="164" fontId="7" fillId="0" borderId="0" xfId="55" applyNumberFormat="1" applyAlignment="1">
      <alignment horizontal="center"/>
    </xf>
    <xf numFmtId="0" fontId="7" fillId="0" borderId="0" xfId="55" applyAlignment="1">
      <alignment horizontal="right"/>
    </xf>
    <xf numFmtId="0" fontId="7" fillId="0" borderId="12" xfId="55" applyBorder="1" applyAlignment="1">
      <alignment horizontal="center"/>
    </xf>
    <xf numFmtId="0" fontId="7" fillId="0" borderId="12" xfId="55" applyBorder="1"/>
    <xf numFmtId="0" fontId="41" fillId="0" borderId="12" xfId="2" applyFont="1" applyBorder="1" applyAlignment="1">
      <alignment horizontal="left"/>
    </xf>
    <xf numFmtId="164" fontId="41" fillId="0" borderId="12" xfId="2" applyNumberFormat="1" applyFont="1" applyBorder="1" applyAlignment="1">
      <alignment horizontal="center"/>
    </xf>
    <xf numFmtId="10" fontId="7" fillId="0" borderId="0" xfId="55" applyNumberFormat="1" applyAlignment="1">
      <alignment horizontal="center"/>
    </xf>
    <xf numFmtId="164" fontId="7" fillId="0" borderId="30" xfId="55" applyNumberFormat="1" applyBorder="1" applyAlignment="1">
      <alignment horizontal="center"/>
    </xf>
    <xf numFmtId="0" fontId="9" fillId="0" borderId="31" xfId="61" applyFont="1" applyBorder="1" applyAlignment="1">
      <alignment horizontal="center"/>
    </xf>
    <xf numFmtId="0" fontId="9" fillId="0" borderId="38" xfId="61" applyFont="1" applyBorder="1"/>
    <xf numFmtId="0" fontId="9" fillId="0" borderId="48" xfId="61" applyFont="1" applyBorder="1"/>
    <xf numFmtId="0" fontId="9" fillId="0" borderId="35" xfId="61" applyFont="1" applyBorder="1"/>
    <xf numFmtId="0" fontId="9" fillId="0" borderId="0" xfId="0" applyFont="1" applyAlignment="1" applyProtection="1">
      <alignment horizontal="center" wrapText="1"/>
      <protection hidden="1"/>
    </xf>
    <xf numFmtId="164" fontId="4" fillId="0" borderId="0" xfId="0" applyNumberFormat="1" applyFont="1" applyAlignment="1" applyProtection="1">
      <alignment horizontal="center"/>
      <protection hidden="1"/>
    </xf>
    <xf numFmtId="0" fontId="0" fillId="24" borderId="47" xfId="0" applyFill="1" applyBorder="1" applyProtection="1">
      <protection hidden="1"/>
    </xf>
    <xf numFmtId="0" fontId="10" fillId="41" borderId="23" xfId="0" applyFont="1" applyFill="1" applyBorder="1" applyProtection="1">
      <protection hidden="1"/>
    </xf>
    <xf numFmtId="0" fontId="9" fillId="41" borderId="26" xfId="0" applyFont="1" applyFill="1" applyBorder="1" applyProtection="1">
      <protection hidden="1"/>
    </xf>
    <xf numFmtId="0" fontId="0" fillId="41" borderId="26" xfId="0" applyFill="1" applyBorder="1" applyProtection="1">
      <protection hidden="1"/>
    </xf>
    <xf numFmtId="0" fontId="9" fillId="0" borderId="39" xfId="0" applyFont="1" applyBorder="1" applyAlignment="1" applyProtection="1">
      <alignment horizontal="center"/>
      <protection hidden="1"/>
    </xf>
    <xf numFmtId="0" fontId="4" fillId="0" borderId="47" xfId="0" applyFont="1" applyBorder="1" applyAlignment="1" applyProtection="1">
      <alignment horizontal="left"/>
      <protection hidden="1"/>
    </xf>
    <xf numFmtId="0" fontId="64" fillId="0" borderId="0" xfId="0" applyFont="1"/>
    <xf numFmtId="0" fontId="0" fillId="0" borderId="12" xfId="0" applyBorder="1" applyAlignment="1" applyProtection="1">
      <alignment horizontal="left"/>
      <protection hidden="1"/>
    </xf>
    <xf numFmtId="0" fontId="9" fillId="0" borderId="0" xfId="0" applyFont="1"/>
    <xf numFmtId="0" fontId="19" fillId="0" borderId="0" xfId="0" applyFont="1" applyAlignment="1">
      <alignment horizontal="left"/>
    </xf>
    <xf numFmtId="49" fontId="9" fillId="0" borderId="0" xfId="0" applyNumberFormat="1" applyFont="1" applyAlignment="1">
      <alignment horizontal="left"/>
    </xf>
    <xf numFmtId="164" fontId="0" fillId="0" borderId="3" xfId="0" applyNumberFormat="1" applyBorder="1" applyAlignment="1" applyProtection="1">
      <alignment horizontal="center"/>
      <protection hidden="1"/>
    </xf>
    <xf numFmtId="164" fontId="9" fillId="0" borderId="0" xfId="59" applyNumberFormat="1" applyFont="1" applyAlignment="1" applyProtection="1">
      <alignment horizontal="center"/>
      <protection hidden="1"/>
    </xf>
    <xf numFmtId="164" fontId="6" fillId="0" borderId="0" xfId="0" applyNumberFormat="1" applyFont="1" applyProtection="1">
      <protection hidden="1"/>
    </xf>
    <xf numFmtId="164" fontId="19" fillId="0" borderId="0" xfId="0" applyNumberFormat="1" applyFont="1" applyProtection="1">
      <protection hidden="1"/>
    </xf>
    <xf numFmtId="164" fontId="9" fillId="0" borderId="0" xfId="0" applyNumberFormat="1" applyFont="1" applyAlignment="1" applyProtection="1">
      <alignment horizontal="left"/>
      <protection hidden="1"/>
    </xf>
    <xf numFmtId="0" fontId="9" fillId="0" borderId="43" xfId="0" applyFont="1" applyBorder="1" applyAlignment="1" applyProtection="1">
      <alignment horizontal="center"/>
      <protection hidden="1"/>
    </xf>
    <xf numFmtId="0" fontId="64" fillId="0" borderId="0" xfId="59" applyFont="1" applyAlignment="1" applyProtection="1">
      <alignment horizontal="left"/>
      <protection hidden="1"/>
    </xf>
    <xf numFmtId="0" fontId="0" fillId="0" borderId="39" xfId="0" applyBorder="1" applyAlignment="1" applyProtection="1">
      <alignment horizontal="center"/>
      <protection hidden="1"/>
    </xf>
    <xf numFmtId="0" fontId="0" fillId="0" borderId="39" xfId="0" applyBorder="1" applyProtection="1">
      <protection hidden="1"/>
    </xf>
    <xf numFmtId="0" fontId="0" fillId="0" borderId="24" xfId="0" applyBorder="1" applyAlignment="1" applyProtection="1">
      <alignment horizontal="left"/>
      <protection hidden="1"/>
    </xf>
    <xf numFmtId="0" fontId="0" fillId="0" borderId="24" xfId="0" applyBorder="1" applyAlignment="1" applyProtection="1">
      <alignment horizontal="center"/>
      <protection hidden="1"/>
    </xf>
    <xf numFmtId="0" fontId="0" fillId="0" borderId="25" xfId="0" applyBorder="1" applyAlignment="1" applyProtection="1">
      <alignment horizontal="center"/>
      <protection hidden="1"/>
    </xf>
    <xf numFmtId="0" fontId="9" fillId="0" borderId="12" xfId="0" applyFont="1" applyBorder="1" applyAlignment="1" applyProtection="1">
      <alignment horizontal="left"/>
      <protection hidden="1"/>
    </xf>
    <xf numFmtId="0" fontId="0" fillId="0" borderId="27" xfId="0" applyBorder="1" applyAlignment="1" applyProtection="1">
      <alignment horizontal="center"/>
      <protection hidden="1"/>
    </xf>
    <xf numFmtId="0" fontId="0" fillId="0" borderId="17" xfId="0" applyBorder="1" applyAlignment="1" applyProtection="1">
      <alignment horizontal="left"/>
      <protection hidden="1"/>
    </xf>
    <xf numFmtId="0" fontId="0" fillId="0" borderId="17" xfId="0" applyBorder="1" applyAlignment="1" applyProtection="1">
      <alignment horizontal="center"/>
      <protection hidden="1"/>
    </xf>
    <xf numFmtId="0" fontId="0" fillId="0" borderId="29" xfId="0" applyBorder="1" applyAlignment="1" applyProtection="1">
      <alignment horizontal="center"/>
      <protection hidden="1"/>
    </xf>
    <xf numFmtId="0" fontId="9" fillId="0" borderId="40" xfId="59" applyFont="1" applyBorder="1" applyProtection="1">
      <protection hidden="1"/>
    </xf>
    <xf numFmtId="164" fontId="9" fillId="0" borderId="43" xfId="59" applyNumberFormat="1" applyFont="1" applyBorder="1" applyAlignment="1" applyProtection="1">
      <alignment horizontal="center"/>
      <protection hidden="1"/>
    </xf>
    <xf numFmtId="9" fontId="9" fillId="0" borderId="39" xfId="59" applyNumberFormat="1" applyFont="1" applyBorder="1" applyAlignment="1" applyProtection="1">
      <alignment horizontal="center"/>
      <protection hidden="1"/>
    </xf>
    <xf numFmtId="9" fontId="9" fillId="0" borderId="0" xfId="59" applyNumberFormat="1" applyFont="1" applyAlignment="1" applyProtection="1">
      <alignment horizontal="center"/>
      <protection hidden="1"/>
    </xf>
    <xf numFmtId="164" fontId="9" fillId="0" borderId="40" xfId="59" applyNumberFormat="1" applyFont="1" applyBorder="1" applyAlignment="1" applyProtection="1">
      <alignment horizontal="left"/>
      <protection hidden="1"/>
    </xf>
    <xf numFmtId="9" fontId="9" fillId="0" borderId="43" xfId="59" applyNumberFormat="1" applyFont="1" applyBorder="1" applyAlignment="1" applyProtection="1">
      <alignment horizontal="center"/>
      <protection hidden="1"/>
    </xf>
    <xf numFmtId="164" fontId="9" fillId="0" borderId="46" xfId="59" applyNumberFormat="1" applyFont="1" applyBorder="1" applyAlignment="1" applyProtection="1">
      <alignment horizontal="center"/>
      <protection hidden="1"/>
    </xf>
    <xf numFmtId="0" fontId="0" fillId="0" borderId="51" xfId="0" applyBorder="1" applyProtection="1">
      <protection hidden="1"/>
    </xf>
    <xf numFmtId="0" fontId="0" fillId="0" borderId="51" xfId="0" applyBorder="1" applyAlignment="1" applyProtection="1">
      <alignment horizontal="center"/>
      <protection hidden="1"/>
    </xf>
    <xf numFmtId="0" fontId="9" fillId="0" borderId="15" xfId="0" applyFont="1" applyBorder="1" applyAlignment="1" applyProtection="1">
      <alignment horizontal="center"/>
      <protection hidden="1"/>
    </xf>
    <xf numFmtId="0" fontId="0" fillId="0" borderId="15" xfId="0" applyBorder="1" applyProtection="1">
      <protection hidden="1"/>
    </xf>
    <xf numFmtId="0" fontId="0" fillId="0" borderId="33" xfId="0" applyBorder="1" applyAlignment="1" applyProtection="1">
      <alignment horizontal="center"/>
      <protection hidden="1"/>
    </xf>
    <xf numFmtId="0" fontId="0" fillId="0" borderId="33" xfId="0" applyBorder="1" applyAlignment="1" applyProtection="1">
      <alignment horizontal="right"/>
      <protection hidden="1"/>
    </xf>
    <xf numFmtId="0" fontId="0" fillId="0" borderId="20" xfId="0" applyBorder="1" applyAlignment="1" applyProtection="1">
      <alignment horizontal="center"/>
      <protection hidden="1"/>
    </xf>
    <xf numFmtId="0" fontId="0" fillId="0" borderId="12" xfId="0" applyBorder="1" applyProtection="1">
      <protection hidden="1"/>
    </xf>
    <xf numFmtId="164" fontId="0" fillId="0" borderId="12" xfId="0" applyNumberFormat="1" applyBorder="1" applyAlignment="1" applyProtection="1">
      <alignment horizontal="center"/>
      <protection hidden="1"/>
    </xf>
    <xf numFmtId="0" fontId="0" fillId="0" borderId="12" xfId="0" applyBorder="1" applyAlignment="1" applyProtection="1">
      <alignment horizontal="center"/>
      <protection hidden="1"/>
    </xf>
    <xf numFmtId="0" fontId="0" fillId="0" borderId="12" xfId="0" applyBorder="1" applyAlignment="1" applyProtection="1">
      <alignment horizontal="center" wrapText="1"/>
      <protection hidden="1"/>
    </xf>
    <xf numFmtId="0" fontId="0" fillId="0" borderId="44" xfId="0" applyBorder="1" applyAlignment="1" applyProtection="1">
      <alignment horizontal="center" wrapText="1"/>
      <protection hidden="1"/>
    </xf>
    <xf numFmtId="0" fontId="0" fillId="0" borderId="44" xfId="0" applyBorder="1" applyProtection="1">
      <protection hidden="1"/>
    </xf>
    <xf numFmtId="164" fontId="0" fillId="0" borderId="44" xfId="0" applyNumberFormat="1" applyBorder="1" applyAlignment="1" applyProtection="1">
      <alignment horizontal="center"/>
      <protection hidden="1"/>
    </xf>
    <xf numFmtId="0" fontId="0" fillId="0" borderId="24" xfId="0" applyBorder="1" applyAlignment="1" applyProtection="1">
      <alignment horizontal="right"/>
      <protection hidden="1"/>
    </xf>
    <xf numFmtId="0" fontId="9" fillId="0" borderId="12" xfId="0" applyFont="1" applyBorder="1" applyAlignment="1" applyProtection="1">
      <alignment horizontal="center"/>
      <protection hidden="1"/>
    </xf>
    <xf numFmtId="0" fontId="9" fillId="0" borderId="12" xfId="0" applyFont="1" applyBorder="1" applyAlignment="1" applyProtection="1">
      <alignment horizontal="center" wrapText="1"/>
      <protection hidden="1"/>
    </xf>
    <xf numFmtId="164" fontId="4" fillId="0" borderId="12" xfId="0" applyNumberFormat="1" applyFont="1" applyBorder="1" applyAlignment="1" applyProtection="1">
      <alignment horizontal="center"/>
      <protection hidden="1"/>
    </xf>
    <xf numFmtId="164" fontId="4" fillId="0" borderId="44" xfId="0" applyNumberFormat="1" applyFont="1" applyBorder="1" applyAlignment="1" applyProtection="1">
      <alignment horizontal="center"/>
      <protection hidden="1"/>
    </xf>
    <xf numFmtId="164" fontId="0" fillId="0" borderId="0" xfId="0" applyNumberFormat="1"/>
    <xf numFmtId="49" fontId="9" fillId="0" borderId="0" xfId="0" applyNumberFormat="1" applyFont="1" applyAlignment="1">
      <alignment horizontal="center"/>
    </xf>
    <xf numFmtId="49" fontId="9" fillId="0" borderId="0" xfId="0" applyNumberFormat="1" applyFont="1"/>
    <xf numFmtId="1" fontId="64" fillId="0" borderId="0" xfId="61" applyNumberFormat="1" applyFont="1" applyAlignment="1">
      <alignment horizontal="center"/>
    </xf>
    <xf numFmtId="0" fontId="4" fillId="0" borderId="0" xfId="61" applyFont="1" applyAlignment="1">
      <alignment horizontal="center"/>
    </xf>
    <xf numFmtId="164" fontId="4" fillId="0" borderId="0" xfId="61" applyNumberFormat="1" applyFont="1" applyAlignment="1">
      <alignment horizontal="center"/>
    </xf>
    <xf numFmtId="0" fontId="4" fillId="0" borderId="12" xfId="61" applyFont="1" applyBorder="1" applyAlignment="1">
      <alignment horizontal="left" wrapText="1"/>
    </xf>
    <xf numFmtId="0" fontId="4" fillId="0" borderId="12" xfId="61" applyFont="1" applyBorder="1"/>
    <xf numFmtId="0" fontId="4" fillId="0" borderId="12" xfId="61" applyFont="1" applyBorder="1" applyAlignment="1">
      <alignment horizontal="center"/>
    </xf>
    <xf numFmtId="0" fontId="4" fillId="0" borderId="12" xfId="0" applyFont="1" applyBorder="1" applyAlignment="1">
      <alignment horizontal="center"/>
    </xf>
    <xf numFmtId="0" fontId="4" fillId="0" borderId="12" xfId="0" applyFont="1" applyBorder="1" applyAlignment="1">
      <alignment horizontal="center" wrapText="1"/>
    </xf>
    <xf numFmtId="0" fontId="4" fillId="0" borderId="12" xfId="61" applyFont="1" applyBorder="1" applyAlignment="1">
      <alignment horizontal="center" wrapText="1"/>
    </xf>
    <xf numFmtId="164" fontId="4" fillId="0" borderId="12" xfId="61" applyNumberFormat="1" applyFont="1" applyBorder="1" applyAlignment="1">
      <alignment horizontal="center" wrapText="1"/>
    </xf>
    <xf numFmtId="0" fontId="4" fillId="0" borderId="0" xfId="61" applyFont="1" applyAlignment="1">
      <alignment horizontal="center" wrapText="1"/>
    </xf>
    <xf numFmtId="0" fontId="4" fillId="0" borderId="12" xfId="61" applyFont="1" applyBorder="1" applyAlignment="1">
      <alignment horizontal="left"/>
    </xf>
    <xf numFmtId="164" fontId="4" fillId="0" borderId="12" xfId="61" applyNumberFormat="1" applyFont="1" applyBorder="1" applyAlignment="1">
      <alignment horizontal="center"/>
    </xf>
    <xf numFmtId="3" fontId="4" fillId="0" borderId="12" xfId="61" applyNumberFormat="1" applyFont="1" applyBorder="1" applyAlignment="1">
      <alignment horizontal="center"/>
    </xf>
    <xf numFmtId="164" fontId="4" fillId="0" borderId="0" xfId="61" applyNumberFormat="1" applyFont="1"/>
    <xf numFmtId="164" fontId="4" fillId="34" borderId="12" xfId="61" applyNumberFormat="1" applyFont="1" applyFill="1" applyBorder="1" applyAlignment="1">
      <alignment horizontal="center"/>
    </xf>
    <xf numFmtId="0" fontId="4" fillId="0" borderId="0" xfId="61" applyFont="1" applyAlignment="1">
      <alignment horizontal="left"/>
    </xf>
    <xf numFmtId="164" fontId="4" fillId="0" borderId="30" xfId="61" applyNumberFormat="1" applyFont="1" applyBorder="1" applyAlignment="1">
      <alignment horizontal="center"/>
    </xf>
    <xf numFmtId="3" fontId="4" fillId="0" borderId="30" xfId="61" applyNumberFormat="1" applyFont="1" applyBorder="1" applyAlignment="1">
      <alignment horizontal="center"/>
    </xf>
    <xf numFmtId="164" fontId="4" fillId="0" borderId="0" xfId="61" applyNumberFormat="1" applyFont="1" applyAlignment="1">
      <alignment wrapText="1"/>
    </xf>
    <xf numFmtId="3" fontId="4" fillId="0" borderId="0" xfId="61" applyNumberFormat="1" applyFont="1" applyAlignment="1">
      <alignment horizontal="center"/>
    </xf>
    <xf numFmtId="0" fontId="4" fillId="0" borderId="0" xfId="59" applyFont="1" applyProtection="1">
      <protection hidden="1"/>
    </xf>
    <xf numFmtId="164" fontId="4" fillId="0" borderId="12" xfId="58" applyNumberFormat="1" applyFont="1" applyBorder="1" applyAlignment="1">
      <alignment horizontal="center"/>
    </xf>
    <xf numFmtId="0" fontId="4" fillId="0" borderId="41" xfId="0" applyFont="1" applyBorder="1" applyProtection="1">
      <protection hidden="1"/>
    </xf>
    <xf numFmtId="0" fontId="4" fillId="0" borderId="41" xfId="59" applyFont="1" applyBorder="1" applyAlignment="1" applyProtection="1">
      <alignment horizontal="left"/>
      <protection hidden="1"/>
    </xf>
    <xf numFmtId="0" fontId="4" fillId="0" borderId="47" xfId="59" applyFont="1" applyBorder="1" applyAlignment="1" applyProtection="1">
      <alignment horizontal="left"/>
      <protection hidden="1"/>
    </xf>
    <xf numFmtId="164" fontId="4" fillId="0" borderId="0" xfId="0" applyNumberFormat="1" applyFont="1" applyProtection="1">
      <protection hidden="1"/>
    </xf>
    <xf numFmtId="0" fontId="4" fillId="34" borderId="12" xfId="61" applyFont="1" applyFill="1" applyBorder="1"/>
    <xf numFmtId="0" fontId="4" fillId="36" borderId="12" xfId="61" applyFont="1" applyFill="1" applyBorder="1"/>
    <xf numFmtId="0" fontId="4" fillId="37" borderId="12" xfId="61" applyFont="1" applyFill="1" applyBorder="1"/>
    <xf numFmtId="0" fontId="4" fillId="0" borderId="18" xfId="61" applyFont="1" applyBorder="1"/>
    <xf numFmtId="0" fontId="4" fillId="35" borderId="12" xfId="61" applyFont="1" applyFill="1" applyBorder="1"/>
    <xf numFmtId="0" fontId="4" fillId="0" borderId="12" xfId="61" applyFont="1" applyBorder="1" applyAlignment="1">
      <alignment wrapText="1"/>
    </xf>
    <xf numFmtId="0" fontId="4" fillId="42" borderId="0" xfId="61" applyFont="1" applyFill="1" applyAlignment="1">
      <alignment horizontal="center" wrapText="1"/>
    </xf>
    <xf numFmtId="0" fontId="4" fillId="34" borderId="12" xfId="61" applyFont="1" applyFill="1" applyBorder="1" applyAlignment="1">
      <alignment horizontal="center"/>
    </xf>
    <xf numFmtId="9" fontId="4" fillId="0" borderId="0" xfId="61" applyNumberFormat="1" applyFont="1" applyAlignment="1">
      <alignment horizontal="center"/>
    </xf>
    <xf numFmtId="1" fontId="4" fillId="0" borderId="0" xfId="61" applyNumberFormat="1" applyFont="1" applyAlignment="1">
      <alignment horizontal="center"/>
    </xf>
    <xf numFmtId="164" fontId="4" fillId="42" borderId="0" xfId="61" applyNumberFormat="1" applyFont="1" applyFill="1" applyAlignment="1">
      <alignment horizontal="center"/>
    </xf>
    <xf numFmtId="0" fontId="4" fillId="36" borderId="12" xfId="61" applyFont="1" applyFill="1" applyBorder="1" applyAlignment="1">
      <alignment horizontal="center"/>
    </xf>
    <xf numFmtId="0" fontId="4" fillId="0" borderId="0" xfId="61" applyFont="1" applyAlignment="1">
      <alignment wrapText="1"/>
    </xf>
    <xf numFmtId="0" fontId="4" fillId="37" borderId="12" xfId="61" applyFont="1" applyFill="1" applyBorder="1" applyAlignment="1">
      <alignment horizontal="center"/>
    </xf>
    <xf numFmtId="0" fontId="4" fillId="35" borderId="12" xfId="61" applyFont="1" applyFill="1" applyBorder="1" applyAlignment="1">
      <alignment horizontal="center"/>
    </xf>
    <xf numFmtId="164" fontId="4" fillId="38" borderId="0" xfId="61" applyNumberFormat="1" applyFont="1" applyFill="1" applyAlignment="1">
      <alignment horizontal="center"/>
    </xf>
    <xf numFmtId="1" fontId="4" fillId="0" borderId="0" xfId="61" applyNumberFormat="1" applyFont="1" applyAlignment="1">
      <alignment horizontal="center" wrapText="1"/>
    </xf>
    <xf numFmtId="164" fontId="4" fillId="0" borderId="0" xfId="61" applyNumberFormat="1" applyFont="1" applyAlignment="1">
      <alignment horizontal="center" wrapText="1"/>
    </xf>
    <xf numFmtId="1" fontId="4" fillId="37" borderId="0" xfId="61" applyNumberFormat="1" applyFont="1" applyFill="1" applyAlignment="1">
      <alignment horizontal="center"/>
    </xf>
    <xf numFmtId="1" fontId="4" fillId="38" borderId="0" xfId="61" applyNumberFormat="1" applyFont="1" applyFill="1" applyAlignment="1">
      <alignment horizontal="center"/>
    </xf>
    <xf numFmtId="166" fontId="4" fillId="0" borderId="0" xfId="61" applyNumberFormat="1" applyFont="1"/>
    <xf numFmtId="2" fontId="4" fillId="0" borderId="0" xfId="61" applyNumberFormat="1" applyFont="1" applyAlignment="1">
      <alignment horizontal="center"/>
    </xf>
    <xf numFmtId="2" fontId="4" fillId="0" borderId="0" xfId="61" applyNumberFormat="1" applyFont="1"/>
    <xf numFmtId="0" fontId="4" fillId="0" borderId="31" xfId="61" applyFont="1" applyBorder="1" applyAlignment="1">
      <alignment wrapText="1"/>
    </xf>
    <xf numFmtId="0" fontId="4" fillId="0" borderId="31" xfId="61" applyFont="1" applyBorder="1"/>
    <xf numFmtId="0" fontId="4" fillId="34" borderId="12" xfId="61" applyFont="1" applyFill="1" applyBorder="1" applyAlignment="1">
      <alignment horizontal="center" wrapText="1"/>
    </xf>
    <xf numFmtId="1" fontId="4" fillId="34" borderId="12" xfId="61" applyNumberFormat="1" applyFont="1" applyFill="1" applyBorder="1" applyAlignment="1">
      <alignment horizontal="center"/>
    </xf>
    <xf numFmtId="164" fontId="4" fillId="0" borderId="12" xfId="61" applyNumberFormat="1" applyFont="1" applyBorder="1"/>
    <xf numFmtId="1" fontId="4" fillId="0" borderId="0" xfId="61" applyNumberFormat="1" applyFont="1"/>
    <xf numFmtId="0" fontId="4" fillId="0" borderId="0" xfId="0" applyFont="1"/>
    <xf numFmtId="164" fontId="64" fillId="0" borderId="0" xfId="0" applyNumberFormat="1" applyFont="1" applyAlignment="1">
      <alignment horizontal="center"/>
    </xf>
    <xf numFmtId="164" fontId="9" fillId="0" borderId="0" xfId="0" applyNumberFormat="1" applyFont="1"/>
    <xf numFmtId="0" fontId="64" fillId="0" borderId="0" xfId="58" applyFont="1" applyAlignment="1">
      <alignment horizontal="center"/>
    </xf>
    <xf numFmtId="0" fontId="4" fillId="0" borderId="0" xfId="58" applyFont="1" applyAlignment="1">
      <alignment horizontal="center"/>
    </xf>
    <xf numFmtId="164" fontId="64" fillId="0" borderId="0" xfId="58" applyNumberFormat="1" applyFont="1" applyAlignment="1">
      <alignment horizontal="center"/>
    </xf>
    <xf numFmtId="0" fontId="65" fillId="0" borderId="0" xfId="61" applyFont="1"/>
    <xf numFmtId="0" fontId="64" fillId="0" borderId="0" xfId="61" applyFont="1"/>
    <xf numFmtId="164" fontId="64" fillId="0" borderId="0" xfId="61" applyNumberFormat="1" applyFont="1" applyAlignment="1">
      <alignment horizontal="center"/>
    </xf>
    <xf numFmtId="0" fontId="64" fillId="0" borderId="0" xfId="61" applyFont="1" applyAlignment="1">
      <alignment horizontal="center"/>
    </xf>
    <xf numFmtId="9" fontId="64" fillId="0" borderId="0" xfId="61" applyNumberFormat="1" applyFont="1" applyAlignment="1">
      <alignment horizontal="center"/>
    </xf>
    <xf numFmtId="3" fontId="64" fillId="0" borderId="12" xfId="61" applyNumberFormat="1" applyFont="1" applyBorder="1" applyAlignment="1">
      <alignment horizontal="center"/>
    </xf>
    <xf numFmtId="164" fontId="64" fillId="0" borderId="0" xfId="61" applyNumberFormat="1" applyFont="1" applyAlignment="1">
      <alignment horizontal="center" wrapText="1"/>
    </xf>
    <xf numFmtId="164" fontId="64" fillId="0" borderId="12" xfId="61" applyNumberFormat="1" applyFont="1" applyBorder="1" applyAlignment="1">
      <alignment horizontal="center"/>
    </xf>
    <xf numFmtId="9" fontId="9" fillId="0" borderId="46" xfId="59" applyNumberFormat="1" applyFont="1" applyBorder="1" applyAlignment="1" applyProtection="1">
      <alignment horizontal="center"/>
      <protection hidden="1"/>
    </xf>
    <xf numFmtId="0" fontId="64" fillId="0" borderId="0" xfId="61" applyFont="1" applyAlignment="1">
      <alignment horizontal="right"/>
    </xf>
    <xf numFmtId="3" fontId="64" fillId="0" borderId="0" xfId="61" applyNumberFormat="1" applyFont="1" applyAlignment="1">
      <alignment horizontal="center"/>
    </xf>
    <xf numFmtId="0" fontId="63" fillId="0" borderId="0" xfId="0" applyFont="1" applyAlignment="1" applyProtection="1">
      <alignment vertical="center" wrapText="1"/>
      <protection hidden="1"/>
    </xf>
    <xf numFmtId="0" fontId="4" fillId="0" borderId="0" xfId="0" applyFont="1" applyAlignment="1" applyProtection="1">
      <alignment vertical="center" wrapText="1"/>
      <protection hidden="1"/>
    </xf>
    <xf numFmtId="0" fontId="4" fillId="0" borderId="0" xfId="0" applyFont="1" applyProtection="1">
      <protection hidden="1"/>
    </xf>
    <xf numFmtId="164" fontId="64" fillId="34" borderId="12" xfId="61" applyNumberFormat="1" applyFont="1" applyFill="1" applyBorder="1" applyAlignment="1">
      <alignment horizontal="center"/>
    </xf>
    <xf numFmtId="0" fontId="63" fillId="0" borderId="0" xfId="0" applyFont="1" applyAlignment="1" applyProtection="1">
      <alignment horizontal="left" vertical="center" wrapText="1"/>
      <protection hidden="1"/>
    </xf>
    <xf numFmtId="0" fontId="4" fillId="0" borderId="0" xfId="0" applyFont="1" applyAlignment="1" applyProtection="1">
      <alignment horizontal="left" vertical="center" wrapText="1"/>
      <protection hidden="1"/>
    </xf>
    <xf numFmtId="0" fontId="63" fillId="0" borderId="0" xfId="0" applyFont="1" applyAlignment="1" applyProtection="1">
      <alignment horizontal="left" wrapText="1"/>
      <protection hidden="1"/>
    </xf>
    <xf numFmtId="0" fontId="4" fillId="0" borderId="0" xfId="0" applyFont="1" applyAlignment="1" applyProtection="1">
      <alignment horizontal="left" vertical="top" wrapText="1"/>
      <protection hidden="1"/>
    </xf>
    <xf numFmtId="0" fontId="0" fillId="24" borderId="12" xfId="0" applyFill="1" applyBorder="1" applyAlignment="1">
      <alignment horizontal="center"/>
    </xf>
    <xf numFmtId="164" fontId="4" fillId="0" borderId="0" xfId="0" applyNumberFormat="1" applyFont="1" applyAlignment="1">
      <alignment horizontal="center"/>
    </xf>
    <xf numFmtId="0" fontId="4" fillId="0" borderId="0" xfId="0" applyFont="1" applyAlignment="1">
      <alignment horizontal="center"/>
    </xf>
    <xf numFmtId="0" fontId="0" fillId="0" borderId="20" xfId="0" applyBorder="1" applyAlignment="1" applyProtection="1">
      <alignment horizontal="left"/>
      <protection hidden="1"/>
    </xf>
    <xf numFmtId="0" fontId="0" fillId="0" borderId="3" xfId="0" applyBorder="1" applyAlignment="1" applyProtection="1">
      <alignment horizontal="left"/>
      <protection hidden="1"/>
    </xf>
    <xf numFmtId="0" fontId="0" fillId="0" borderId="59" xfId="0" applyBorder="1" applyAlignment="1" applyProtection="1">
      <alignment horizontal="left"/>
      <protection hidden="1"/>
    </xf>
    <xf numFmtId="0" fontId="4" fillId="36" borderId="0" xfId="61" applyFont="1" applyFill="1" applyAlignment="1">
      <alignment horizontal="center" wrapText="1"/>
    </xf>
    <xf numFmtId="0" fontId="4" fillId="36" borderId="0" xfId="61" applyFont="1" applyFill="1" applyAlignment="1">
      <alignment horizontal="center" vertical="center" wrapText="1"/>
    </xf>
    <xf numFmtId="0" fontId="4" fillId="36" borderId="0" xfId="61" applyFont="1" applyFill="1" applyAlignment="1">
      <alignment horizontal="center" vertical="center"/>
    </xf>
    <xf numFmtId="0" fontId="9" fillId="36" borderId="12" xfId="61" applyFont="1" applyFill="1" applyBorder="1" applyAlignment="1">
      <alignment horizontal="center" wrapText="1"/>
    </xf>
    <xf numFmtId="0" fontId="9" fillId="36" borderId="12" xfId="61" applyFont="1" applyFill="1" applyBorder="1" applyAlignment="1">
      <alignment horizontal="center" vertical="center" wrapText="1"/>
    </xf>
    <xf numFmtId="0" fontId="9" fillId="36" borderId="0" xfId="61" applyFont="1" applyFill="1" applyAlignment="1">
      <alignment horizontal="center" vertical="center" wrapText="1"/>
    </xf>
    <xf numFmtId="0" fontId="4" fillId="38" borderId="0" xfId="61" applyFont="1" applyFill="1" applyAlignment="1">
      <alignment horizontal="center" vertical="center" wrapText="1"/>
    </xf>
    <xf numFmtId="166" fontId="9" fillId="0" borderId="0" xfId="61" applyNumberFormat="1" applyFont="1" applyAlignment="1">
      <alignment horizontal="center"/>
    </xf>
    <xf numFmtId="0" fontId="4" fillId="0" borderId="0" xfId="0" applyFont="1" applyAlignment="1" applyProtection="1">
      <alignment vertical="center"/>
      <protection hidden="1"/>
    </xf>
    <xf numFmtId="0" fontId="4" fillId="0" borderId="0" xfId="0" applyFont="1" applyAlignment="1" applyProtection="1">
      <alignment wrapText="1"/>
      <protection hidden="1"/>
    </xf>
    <xf numFmtId="0" fontId="63" fillId="0" borderId="0" xfId="0" applyFont="1" applyAlignment="1" applyProtection="1">
      <alignment vertical="center"/>
      <protection hidden="1"/>
    </xf>
    <xf numFmtId="0" fontId="0" fillId="0" borderId="20" xfId="0" applyBorder="1" applyAlignment="1">
      <alignment horizontal="left"/>
    </xf>
    <xf numFmtId="0" fontId="0" fillId="0" borderId="3" xfId="0" applyBorder="1" applyAlignment="1">
      <alignment horizontal="left"/>
    </xf>
    <xf numFmtId="0" fontId="0" fillId="0" borderId="59" xfId="0" applyBorder="1" applyAlignment="1">
      <alignment horizontal="left"/>
    </xf>
    <xf numFmtId="0" fontId="9" fillId="0" borderId="34" xfId="0" applyFont="1" applyBorder="1" applyAlignment="1" applyProtection="1">
      <alignment horizontal="left"/>
      <protection hidden="1"/>
    </xf>
    <xf numFmtId="0" fontId="9" fillId="0" borderId="0" xfId="0" applyFont="1" applyAlignment="1" applyProtection="1">
      <alignment horizontal="left"/>
      <protection hidden="1"/>
    </xf>
    <xf numFmtId="0" fontId="9" fillId="0" borderId="27" xfId="0" applyFont="1" applyBorder="1" applyAlignment="1" applyProtection="1">
      <alignment horizontal="left"/>
      <protection hidden="1"/>
    </xf>
    <xf numFmtId="0" fontId="0" fillId="0" borderId="32" xfId="0" applyBorder="1" applyAlignment="1" applyProtection="1">
      <alignment horizontal="left"/>
      <protection hidden="1"/>
    </xf>
    <xf numFmtId="0" fontId="0" fillId="0" borderId="18" xfId="0" applyBorder="1" applyAlignment="1" applyProtection="1">
      <alignment horizontal="left"/>
      <protection hidden="1"/>
    </xf>
    <xf numFmtId="0" fontId="0" fillId="0" borderId="52" xfId="0" applyBorder="1" applyAlignment="1" applyProtection="1">
      <alignment horizontal="left"/>
      <protection hidden="1"/>
    </xf>
    <xf numFmtId="0" fontId="0" fillId="0" borderId="53" xfId="0" applyBorder="1" applyAlignment="1" applyProtection="1">
      <alignment horizontal="left"/>
      <protection hidden="1"/>
    </xf>
    <xf numFmtId="0" fontId="0" fillId="0" borderId="25" xfId="0" applyBorder="1" applyAlignment="1" applyProtection="1">
      <alignment horizontal="left"/>
      <protection hidden="1"/>
    </xf>
    <xf numFmtId="0" fontId="4" fillId="0" borderId="20" xfId="0" applyFont="1" applyBorder="1" applyAlignment="1" applyProtection="1">
      <alignment horizontal="left"/>
      <protection hidden="1"/>
    </xf>
    <xf numFmtId="0" fontId="4" fillId="0" borderId="3" xfId="0" applyFont="1" applyBorder="1" applyAlignment="1" applyProtection="1">
      <alignment horizontal="left"/>
      <protection hidden="1"/>
    </xf>
    <xf numFmtId="0" fontId="4" fillId="0" borderId="59" xfId="0" applyFont="1" applyBorder="1" applyAlignment="1" applyProtection="1">
      <alignment horizontal="left"/>
      <protection hidden="1"/>
    </xf>
    <xf numFmtId="164" fontId="4" fillId="0" borderId="60" xfId="59" applyNumberFormat="1" applyFont="1" applyBorder="1" applyAlignment="1" applyProtection="1">
      <alignment horizontal="left"/>
      <protection hidden="1"/>
    </xf>
    <xf numFmtId="164" fontId="9" fillId="37" borderId="12" xfId="61" applyNumberFormat="1" applyFont="1" applyFill="1" applyBorder="1" applyAlignment="1">
      <alignment horizontal="center"/>
    </xf>
    <xf numFmtId="164" fontId="0" fillId="41" borderId="12" xfId="0" applyNumberFormat="1" applyFill="1" applyBorder="1" applyAlignment="1" applyProtection="1">
      <alignment horizontal="center"/>
      <protection hidden="1"/>
    </xf>
    <xf numFmtId="0" fontId="4" fillId="41" borderId="20" xfId="0" applyFont="1" applyFill="1" applyBorder="1" applyAlignment="1">
      <alignment horizontal="left"/>
    </xf>
    <xf numFmtId="0" fontId="0" fillId="41" borderId="3" xfId="0" applyFill="1" applyBorder="1" applyAlignment="1" applyProtection="1">
      <alignment horizontal="left"/>
      <protection hidden="1"/>
    </xf>
    <xf numFmtId="0" fontId="0" fillId="41" borderId="59" xfId="0" applyFill="1" applyBorder="1" applyAlignment="1" applyProtection="1">
      <alignment horizontal="left"/>
      <protection hidden="1"/>
    </xf>
    <xf numFmtId="9" fontId="9" fillId="0" borderId="61" xfId="59" applyNumberFormat="1" applyFont="1" applyBorder="1" applyAlignment="1" applyProtection="1">
      <alignment horizontal="center"/>
      <protection hidden="1"/>
    </xf>
    <xf numFmtId="0" fontId="9" fillId="43" borderId="12" xfId="62" applyFont="1" applyFill="1" applyBorder="1" applyAlignment="1">
      <alignment horizontal="center" vertical="center" wrapText="1" shrinkToFit="1"/>
    </xf>
    <xf numFmtId="1" fontId="9" fillId="43" borderId="12" xfId="62" applyNumberFormat="1" applyFont="1" applyFill="1" applyBorder="1" applyAlignment="1">
      <alignment horizontal="center" wrapText="1"/>
    </xf>
    <xf numFmtId="17" fontId="69" fillId="0" borderId="0" xfId="62" applyNumberFormat="1" applyFont="1"/>
    <xf numFmtId="0" fontId="70" fillId="0" borderId="0" xfId="0" applyFont="1" applyAlignment="1">
      <alignment wrapText="1"/>
    </xf>
    <xf numFmtId="0" fontId="70" fillId="0" borderId="0" xfId="0" applyFont="1"/>
    <xf numFmtId="0" fontId="11" fillId="0" borderId="12" xfId="62" applyFont="1" applyBorder="1" applyAlignment="1">
      <alignment vertical="center" wrapText="1"/>
    </xf>
    <xf numFmtId="0" fontId="11" fillId="0" borderId="12" xfId="62" applyFont="1" applyBorder="1" applyAlignment="1">
      <alignment horizontal="center" vertical="center" wrapText="1"/>
    </xf>
    <xf numFmtId="0" fontId="11" fillId="25" borderId="12" xfId="62" applyFont="1" applyFill="1" applyBorder="1" applyAlignment="1">
      <alignment horizontal="center" vertical="center" wrapText="1" shrinkToFit="1"/>
    </xf>
    <xf numFmtId="49" fontId="11" fillId="26" borderId="12" xfId="62" applyNumberFormat="1" applyFont="1" applyFill="1" applyBorder="1" applyAlignment="1">
      <alignment horizontal="center" vertical="center" wrapText="1" shrinkToFit="1"/>
    </xf>
    <xf numFmtId="0" fontId="11" fillId="27" borderId="12" xfId="62" applyFont="1" applyFill="1" applyBorder="1" applyAlignment="1">
      <alignment horizontal="center" vertical="center" wrapText="1" shrinkToFit="1"/>
    </xf>
    <xf numFmtId="0" fontId="71" fillId="26" borderId="12" xfId="60" applyFont="1" applyFill="1" applyBorder="1" applyAlignment="1">
      <alignment horizontal="center" vertical="center" wrapText="1"/>
    </xf>
    <xf numFmtId="9" fontId="71" fillId="27" borderId="12" xfId="60" applyNumberFormat="1" applyFont="1" applyFill="1" applyBorder="1" applyAlignment="1">
      <alignment horizontal="center" vertical="center" wrapText="1"/>
    </xf>
    <xf numFmtId="0" fontId="5" fillId="0" borderId="12" xfId="62" applyFont="1" applyBorder="1" applyAlignment="1">
      <alignment wrapText="1"/>
    </xf>
    <xf numFmtId="0" fontId="5" fillId="29" borderId="12" xfId="62" applyFont="1" applyFill="1" applyBorder="1" applyAlignment="1">
      <alignment horizontal="center" wrapText="1"/>
    </xf>
    <xf numFmtId="1" fontId="5" fillId="25" borderId="12" xfId="62" applyNumberFormat="1" applyFont="1" applyFill="1" applyBorder="1" applyAlignment="1">
      <alignment horizontal="center" wrapText="1"/>
    </xf>
    <xf numFmtId="1" fontId="5" fillId="26" borderId="12" xfId="62" applyNumberFormat="1" applyFont="1" applyFill="1" applyBorder="1" applyAlignment="1">
      <alignment horizontal="center" wrapText="1"/>
    </xf>
    <xf numFmtId="167" fontId="5" fillId="27" borderId="12" xfId="62" applyNumberFormat="1" applyFont="1" applyFill="1" applyBorder="1" applyAlignment="1">
      <alignment horizontal="center" wrapText="1"/>
    </xf>
    <xf numFmtId="0" fontId="5" fillId="26" borderId="12" xfId="62" applyFont="1" applyFill="1" applyBorder="1" applyAlignment="1">
      <alignment horizontal="center" wrapText="1"/>
    </xf>
    <xf numFmtId="1" fontId="72" fillId="26" borderId="12" xfId="60" applyNumberFormat="1" applyFont="1" applyFill="1" applyBorder="1" applyAlignment="1">
      <alignment horizontal="center" wrapText="1"/>
    </xf>
    <xf numFmtId="167" fontId="72" fillId="27" borderId="12" xfId="60" applyNumberFormat="1" applyFont="1" applyFill="1" applyBorder="1" applyAlignment="1">
      <alignment horizontal="center" wrapText="1"/>
    </xf>
    <xf numFmtId="0" fontId="5" fillId="26" borderId="12" xfId="62" applyFont="1" applyFill="1" applyBorder="1" applyAlignment="1">
      <alignment horizontal="center" vertical="center" wrapText="1"/>
    </xf>
    <xf numFmtId="1" fontId="5" fillId="26" borderId="12" xfId="60" applyNumberFormat="1" applyFont="1" applyFill="1" applyBorder="1" applyAlignment="1">
      <alignment horizontal="center" wrapText="1"/>
    </xf>
    <xf numFmtId="9" fontId="4" fillId="0" borderId="0" xfId="0" applyNumberFormat="1" applyFont="1" applyAlignment="1">
      <alignment horizontal="center"/>
    </xf>
    <xf numFmtId="0" fontId="4" fillId="0" borderId="12" xfId="62" applyFont="1" applyBorder="1" applyAlignment="1">
      <alignment wrapText="1"/>
    </xf>
    <xf numFmtId="1" fontId="4" fillId="0" borderId="0" xfId="0" applyNumberFormat="1" applyFont="1" applyAlignment="1">
      <alignment horizontal="center"/>
    </xf>
    <xf numFmtId="165" fontId="4" fillId="0" borderId="0" xfId="0" applyNumberFormat="1" applyFont="1" applyAlignment="1">
      <alignment horizontal="center"/>
    </xf>
    <xf numFmtId="0" fontId="4" fillId="0" borderId="0" xfId="62" applyFont="1" applyAlignment="1">
      <alignment wrapText="1"/>
    </xf>
    <xf numFmtId="167" fontId="4" fillId="0" borderId="0" xfId="0" applyNumberFormat="1" applyFont="1" applyAlignment="1">
      <alignment horizontal="center"/>
    </xf>
    <xf numFmtId="0" fontId="64" fillId="0" borderId="0" xfId="61" applyFont="1" applyAlignment="1">
      <alignment wrapText="1"/>
    </xf>
    <xf numFmtId="0" fontId="64" fillId="34" borderId="0" xfId="61" applyFont="1" applyFill="1" applyAlignment="1">
      <alignment horizontal="center"/>
    </xf>
    <xf numFmtId="164" fontId="64" fillId="0" borderId="0" xfId="61" applyNumberFormat="1" applyFont="1"/>
    <xf numFmtId="0" fontId="73" fillId="0" borderId="0" xfId="62" applyFont="1" applyAlignment="1">
      <alignment wrapText="1"/>
    </xf>
    <xf numFmtId="167" fontId="5" fillId="25" borderId="12" xfId="62" applyNumberFormat="1" applyFont="1" applyFill="1" applyBorder="1" applyAlignment="1">
      <alignment horizontal="center" wrapText="1"/>
    </xf>
    <xf numFmtId="1" fontId="5" fillId="43" borderId="12" xfId="62" applyNumberFormat="1" applyFont="1" applyFill="1" applyBorder="1" applyAlignment="1">
      <alignment horizontal="center" wrapText="1"/>
    </xf>
    <xf numFmtId="0" fontId="5" fillId="29" borderId="0" xfId="62" applyFont="1" applyFill="1" applyAlignment="1">
      <alignment horizontal="center" wrapText="1"/>
    </xf>
    <xf numFmtId="10" fontId="4" fillId="0" borderId="0" xfId="61" applyNumberFormat="1" applyFont="1" applyAlignment="1">
      <alignment horizontal="center"/>
    </xf>
    <xf numFmtId="164" fontId="4" fillId="0" borderId="23" xfId="0" applyNumberFormat="1" applyFont="1" applyBorder="1" applyAlignment="1">
      <alignment horizontal="center"/>
    </xf>
    <xf numFmtId="164" fontId="0" fillId="0" borderId="24" xfId="0" applyNumberFormat="1" applyBorder="1" applyAlignment="1">
      <alignment horizontal="center"/>
    </xf>
    <xf numFmtId="164" fontId="4" fillId="0" borderId="25" xfId="0" applyNumberFormat="1" applyFont="1" applyBorder="1" applyAlignment="1">
      <alignment horizontal="center"/>
    </xf>
    <xf numFmtId="164" fontId="4" fillId="0" borderId="26" xfId="0" applyNumberFormat="1" applyFont="1" applyBorder="1" applyAlignment="1">
      <alignment horizontal="center"/>
    </xf>
    <xf numFmtId="164" fontId="0" fillId="0" borderId="27" xfId="0" applyNumberFormat="1" applyBorder="1" applyAlignment="1">
      <alignment horizontal="center"/>
    </xf>
    <xf numFmtId="164" fontId="4" fillId="0" borderId="27" xfId="0" applyNumberFormat="1" applyFont="1" applyBorder="1" applyAlignment="1">
      <alignment horizontal="center"/>
    </xf>
    <xf numFmtId="164" fontId="0" fillId="36" borderId="0" xfId="0" applyNumberFormat="1" applyFill="1" applyAlignment="1">
      <alignment horizontal="center"/>
    </xf>
    <xf numFmtId="164" fontId="0" fillId="34" borderId="0" xfId="0" applyNumberFormat="1" applyFill="1" applyAlignment="1">
      <alignment horizontal="center"/>
    </xf>
    <xf numFmtId="164" fontId="0" fillId="38" borderId="0" xfId="0" applyNumberFormat="1" applyFill="1" applyAlignment="1">
      <alignment horizontal="center"/>
    </xf>
    <xf numFmtId="164" fontId="0" fillId="37" borderId="0" xfId="0" applyNumberFormat="1" applyFill="1" applyAlignment="1">
      <alignment horizontal="center"/>
    </xf>
    <xf numFmtId="164" fontId="0" fillId="35" borderId="0" xfId="0" applyNumberFormat="1" applyFill="1" applyAlignment="1">
      <alignment horizontal="center"/>
    </xf>
    <xf numFmtId="164" fontId="4" fillId="0" borderId="28" xfId="0" applyNumberFormat="1" applyFont="1" applyBorder="1" applyAlignment="1">
      <alignment horizontal="center"/>
    </xf>
    <xf numFmtId="164" fontId="0" fillId="44" borderId="17" xfId="0" applyNumberFormat="1" applyFill="1" applyBorder="1" applyAlignment="1">
      <alignment horizontal="center"/>
    </xf>
    <xf numFmtId="164" fontId="0" fillId="0" borderId="29" xfId="0" applyNumberFormat="1" applyBorder="1" applyAlignment="1">
      <alignment horizontal="center"/>
    </xf>
    <xf numFmtId="164" fontId="63" fillId="0" borderId="0" xfId="84" applyNumberFormat="1" applyFont="1" applyAlignment="1">
      <alignment horizontal="center"/>
    </xf>
    <xf numFmtId="0" fontId="4" fillId="0" borderId="0" xfId="0" applyFont="1" applyAlignment="1">
      <alignment horizontal="right"/>
    </xf>
    <xf numFmtId="164" fontId="19" fillId="0" borderId="0" xfId="0" applyNumberFormat="1" applyFont="1" applyAlignment="1">
      <alignment horizontal="center"/>
    </xf>
    <xf numFmtId="164" fontId="4" fillId="0" borderId="0" xfId="61" applyNumberFormat="1" applyFont="1" applyAlignment="1">
      <alignment horizontal="left"/>
    </xf>
    <xf numFmtId="164" fontId="4" fillId="0" borderId="0" xfId="61" applyNumberFormat="1" applyFont="1" applyAlignment="1">
      <alignment horizontal="right"/>
    </xf>
    <xf numFmtId="0" fontId="0" fillId="0" borderId="30" xfId="0" applyBorder="1"/>
    <xf numFmtId="164" fontId="0" fillId="0" borderId="3" xfId="0" applyNumberFormat="1" applyBorder="1" applyAlignment="1">
      <alignment horizontal="center"/>
    </xf>
    <xf numFmtId="0" fontId="19" fillId="0" borderId="0" xfId="0" applyFont="1"/>
    <xf numFmtId="0" fontId="4" fillId="24" borderId="41" xfId="0" applyFont="1" applyFill="1" applyBorder="1" applyAlignment="1" applyProtection="1">
      <alignment horizontal="left"/>
      <protection hidden="1"/>
    </xf>
    <xf numFmtId="164" fontId="4" fillId="0" borderId="0" xfId="0" applyNumberFormat="1" applyFont="1" applyAlignment="1">
      <alignment horizontal="left"/>
    </xf>
    <xf numFmtId="0" fontId="0" fillId="0" borderId="17" xfId="0" applyBorder="1" applyAlignment="1">
      <alignment horizontal="center"/>
    </xf>
    <xf numFmtId="3" fontId="76" fillId="0" borderId="3" xfId="0" applyNumberFormat="1" applyFont="1" applyBorder="1" applyAlignment="1">
      <alignment horizontal="center"/>
    </xf>
    <xf numFmtId="166" fontId="76" fillId="34" borderId="49" xfId="0" applyNumberFormat="1" applyFont="1" applyFill="1" applyBorder="1" applyAlignment="1">
      <alignment horizontal="center"/>
    </xf>
    <xf numFmtId="8" fontId="76" fillId="0" borderId="0" xfId="0" applyNumberFormat="1" applyFont="1" applyAlignment="1">
      <alignment horizontal="center"/>
    </xf>
    <xf numFmtId="0" fontId="76" fillId="0" borderId="0" xfId="0" applyFont="1"/>
    <xf numFmtId="166" fontId="76" fillId="0" borderId="49" xfId="0" applyNumberFormat="1" applyFont="1" applyBorder="1" applyAlignment="1">
      <alignment horizontal="center"/>
    </xf>
    <xf numFmtId="164" fontId="76" fillId="0" borderId="0" xfId="0" applyNumberFormat="1" applyFont="1" applyAlignment="1">
      <alignment horizontal="center"/>
    </xf>
    <xf numFmtId="164" fontId="76" fillId="0" borderId="0" xfId="0" applyNumberFormat="1" applyFont="1"/>
    <xf numFmtId="164" fontId="76" fillId="0" borderId="30" xfId="0" applyNumberFormat="1" applyFont="1" applyBorder="1" applyAlignment="1">
      <alignment horizontal="center"/>
    </xf>
    <xf numFmtId="3" fontId="76" fillId="0" borderId="30" xfId="0" applyNumberFormat="1" applyFont="1" applyBorder="1" applyAlignment="1">
      <alignment horizontal="center"/>
    </xf>
    <xf numFmtId="3" fontId="63" fillId="0" borderId="0" xfId="0" applyNumberFormat="1" applyFont="1" applyAlignment="1">
      <alignment horizontal="center"/>
    </xf>
    <xf numFmtId="164" fontId="76" fillId="0" borderId="3" xfId="0" applyNumberFormat="1" applyFont="1" applyBorder="1" applyAlignment="1">
      <alignment horizontal="center"/>
    </xf>
    <xf numFmtId="10" fontId="0" fillId="37" borderId="0" xfId="0" applyNumberFormat="1" applyFill="1"/>
    <xf numFmtId="43" fontId="0" fillId="0" borderId="0" xfId="89" applyFont="1"/>
    <xf numFmtId="1" fontId="63" fillId="0" borderId="0" xfId="0" applyNumberFormat="1" applyFont="1"/>
    <xf numFmtId="166" fontId="63" fillId="0" borderId="0" xfId="0" applyNumberFormat="1" applyFont="1" applyAlignment="1">
      <alignment horizontal="center"/>
    </xf>
    <xf numFmtId="164" fontId="63" fillId="0" borderId="0" xfId="0" applyNumberFormat="1" applyFont="1" applyAlignment="1">
      <alignment horizontal="center"/>
    </xf>
    <xf numFmtId="0" fontId="63" fillId="0" borderId="29" xfId="0" applyFont="1" applyBorder="1"/>
    <xf numFmtId="0" fontId="63" fillId="0" borderId="17" xfId="0" applyFont="1" applyBorder="1"/>
    <xf numFmtId="164" fontId="76" fillId="0" borderId="27" xfId="0" applyNumberFormat="1" applyFont="1" applyBorder="1" applyAlignment="1">
      <alignment horizontal="center"/>
    </xf>
    <xf numFmtId="164" fontId="76" fillId="0" borderId="49" xfId="0" applyNumberFormat="1" applyFont="1" applyBorder="1" applyAlignment="1">
      <alignment horizontal="center"/>
    </xf>
    <xf numFmtId="0" fontId="63" fillId="0" borderId="27" xfId="0" applyFont="1" applyBorder="1"/>
    <xf numFmtId="0" fontId="3" fillId="0" borderId="12" xfId="84" applyBorder="1"/>
    <xf numFmtId="0" fontId="4" fillId="0" borderId="12" xfId="84" applyFont="1" applyBorder="1" applyAlignment="1">
      <alignment horizontal="center" wrapText="1"/>
    </xf>
    <xf numFmtId="0" fontId="63" fillId="0" borderId="25" xfId="0" applyFont="1" applyBorder="1"/>
    <xf numFmtId="0" fontId="63" fillId="0" borderId="24" xfId="0" applyFont="1" applyBorder="1"/>
    <xf numFmtId="166" fontId="63" fillId="0" borderId="24" xfId="0" applyNumberFormat="1" applyFont="1" applyBorder="1" applyAlignment="1">
      <alignment horizontal="center"/>
    </xf>
    <xf numFmtId="0" fontId="0" fillId="0" borderId="23" xfId="0" applyBorder="1"/>
    <xf numFmtId="0" fontId="3" fillId="0" borderId="0" xfId="84"/>
    <xf numFmtId="0" fontId="63" fillId="0" borderId="0" xfId="0" applyFont="1" applyAlignment="1">
      <alignment horizontal="center" vertical="center"/>
    </xf>
    <xf numFmtId="0" fontId="63" fillId="0" borderId="0" xfId="0" applyFont="1" applyAlignment="1">
      <alignment horizontal="center" vertical="center" wrapText="1"/>
    </xf>
    <xf numFmtId="164" fontId="63" fillId="37" borderId="0" xfId="0" applyNumberFormat="1" applyFont="1" applyFill="1" applyAlignment="1">
      <alignment horizontal="center"/>
    </xf>
    <xf numFmtId="0" fontId="63" fillId="0" borderId="0" xfId="0" applyFont="1" applyAlignment="1">
      <alignment wrapText="1"/>
    </xf>
    <xf numFmtId="0" fontId="63" fillId="37" borderId="20" xfId="0" applyFont="1" applyFill="1" applyBorder="1" applyAlignment="1">
      <alignment horizontal="center"/>
    </xf>
    <xf numFmtId="0" fontId="63" fillId="37" borderId="45" xfId="0" applyFont="1" applyFill="1" applyBorder="1" applyAlignment="1">
      <alignment horizontal="center"/>
    </xf>
    <xf numFmtId="0" fontId="5" fillId="37" borderId="12" xfId="62" applyFont="1" applyFill="1" applyBorder="1" applyAlignment="1">
      <alignment wrapText="1"/>
    </xf>
    <xf numFmtId="0" fontId="9" fillId="0" borderId="38" xfId="61" applyFont="1" applyBorder="1" applyAlignment="1">
      <alignment horizontal="center"/>
    </xf>
    <xf numFmtId="1" fontId="4" fillId="0" borderId="0" xfId="61" applyNumberFormat="1" applyFont="1" applyAlignment="1">
      <alignment wrapText="1"/>
    </xf>
    <xf numFmtId="1" fontId="9" fillId="0" borderId="48" xfId="61" applyNumberFormat="1" applyFont="1" applyBorder="1"/>
    <xf numFmtId="1" fontId="64" fillId="37" borderId="0" xfId="61" applyNumberFormat="1" applyFont="1" applyFill="1" applyAlignment="1">
      <alignment horizontal="center"/>
    </xf>
    <xf numFmtId="0" fontId="63" fillId="37" borderId="0" xfId="0" applyFont="1" applyFill="1" applyAlignment="1">
      <alignment horizontal="center"/>
    </xf>
    <xf numFmtId="1" fontId="5" fillId="37" borderId="12" xfId="62" applyNumberFormat="1" applyFont="1" applyFill="1" applyBorder="1" applyAlignment="1">
      <alignment horizontal="center" wrapText="1"/>
    </xf>
    <xf numFmtId="0" fontId="10" fillId="0" borderId="0" xfId="0" applyFont="1" applyAlignment="1">
      <alignment horizontal="center"/>
    </xf>
    <xf numFmtId="0" fontId="5" fillId="37" borderId="12" xfId="62" applyFont="1" applyFill="1" applyBorder="1" applyAlignment="1">
      <alignment horizontal="center" wrapText="1"/>
    </xf>
    <xf numFmtId="49" fontId="4" fillId="0" borderId="0" xfId="61" applyNumberFormat="1" applyFont="1" applyAlignment="1">
      <alignment horizontal="center"/>
    </xf>
    <xf numFmtId="2" fontId="9" fillId="0" borderId="0" xfId="61" applyNumberFormat="1" applyFont="1" applyAlignment="1">
      <alignment horizontal="center" wrapText="1"/>
    </xf>
    <xf numFmtId="0" fontId="10" fillId="0" borderId="0" xfId="0" applyFont="1" applyAlignment="1">
      <alignment horizontal="left"/>
    </xf>
    <xf numFmtId="9" fontId="0" fillId="0" borderId="0" xfId="0" applyNumberFormat="1" applyAlignment="1">
      <alignment horizontal="center"/>
    </xf>
    <xf numFmtId="1" fontId="0" fillId="0" borderId="0" xfId="0" applyNumberFormat="1" applyAlignment="1">
      <alignment horizontal="center"/>
    </xf>
    <xf numFmtId="1" fontId="0" fillId="0" borderId="48" xfId="0" applyNumberFormat="1" applyBorder="1" applyAlignment="1">
      <alignment horizontal="center"/>
    </xf>
    <xf numFmtId="166" fontId="0" fillId="0" borderId="0" xfId="0" applyNumberFormat="1" applyAlignment="1">
      <alignment horizontal="center"/>
    </xf>
    <xf numFmtId="0" fontId="0" fillId="45" borderId="0" xfId="0" applyFill="1"/>
    <xf numFmtId="0" fontId="0" fillId="45" borderId="0" xfId="0" applyFill="1" applyAlignment="1">
      <alignment horizontal="center"/>
    </xf>
    <xf numFmtId="164" fontId="0" fillId="45" borderId="0" xfId="0" applyNumberFormat="1" applyFill="1" applyAlignment="1">
      <alignment horizontal="center"/>
    </xf>
    <xf numFmtId="0" fontId="0" fillId="42" borderId="0" xfId="0" applyFill="1"/>
    <xf numFmtId="0" fontId="0" fillId="42" borderId="0" xfId="0" applyFill="1" applyAlignment="1">
      <alignment horizontal="center"/>
    </xf>
    <xf numFmtId="164" fontId="0" fillId="42" borderId="0" xfId="0" applyNumberFormat="1" applyFill="1" applyAlignment="1">
      <alignment horizontal="center"/>
    </xf>
    <xf numFmtId="1" fontId="0" fillId="0" borderId="18" xfId="0" applyNumberFormat="1" applyBorder="1" applyAlignment="1">
      <alignment horizontal="center"/>
    </xf>
    <xf numFmtId="0" fontId="54" fillId="48" borderId="21" xfId="0" applyFont="1" applyFill="1" applyBorder="1" applyAlignment="1">
      <alignment horizontal="centerContinuous"/>
    </xf>
    <xf numFmtId="0" fontId="54" fillId="48" borderId="57" xfId="0" applyFont="1" applyFill="1" applyBorder="1" applyAlignment="1">
      <alignment horizontal="centerContinuous"/>
    </xf>
    <xf numFmtId="0" fontId="54" fillId="48" borderId="57" xfId="0" quotePrefix="1" applyFont="1" applyFill="1" applyBorder="1" applyAlignment="1">
      <alignment horizontal="centerContinuous"/>
    </xf>
    <xf numFmtId="0" fontId="79" fillId="48" borderId="57" xfId="0" applyFont="1" applyFill="1" applyBorder="1" applyAlignment="1">
      <alignment horizontal="centerContinuous"/>
    </xf>
    <xf numFmtId="0" fontId="54" fillId="48" borderId="22" xfId="0" applyFont="1" applyFill="1" applyBorder="1" applyAlignment="1">
      <alignment horizontal="centerContinuous"/>
    </xf>
    <xf numFmtId="0" fontId="20" fillId="0" borderId="0" xfId="0" applyFont="1"/>
    <xf numFmtId="0" fontId="54" fillId="0" borderId="0" xfId="0" applyFont="1" applyAlignment="1">
      <alignment horizontal="centerContinuous"/>
    </xf>
    <xf numFmtId="0" fontId="54" fillId="0" borderId="0" xfId="0" quotePrefix="1" applyFont="1" applyAlignment="1">
      <alignment horizontal="centerContinuous"/>
    </xf>
    <xf numFmtId="0" fontId="20" fillId="0" borderId="0" xfId="0" applyFont="1" applyAlignment="1">
      <alignment horizontal="left"/>
    </xf>
    <xf numFmtId="0" fontId="20" fillId="48" borderId="23" xfId="0" applyFont="1" applyFill="1" applyBorder="1" applyAlignment="1">
      <alignment horizontal="left"/>
    </xf>
    <xf numFmtId="0" fontId="20" fillId="48" borderId="24" xfId="0" applyFont="1" applyFill="1" applyBorder="1"/>
    <xf numFmtId="0" fontId="20" fillId="48" borderId="25" xfId="0" applyFont="1" applyFill="1" applyBorder="1"/>
    <xf numFmtId="0" fontId="50" fillId="0" borderId="0" xfId="0" applyFont="1"/>
    <xf numFmtId="0" fontId="13" fillId="0" borderId="0" xfId="53"/>
    <xf numFmtId="0" fontId="81" fillId="48" borderId="23" xfId="53" applyFont="1" applyFill="1" applyBorder="1" applyAlignment="1">
      <alignment horizontal="right"/>
    </xf>
    <xf numFmtId="0" fontId="81" fillId="48" borderId="24" xfId="53" applyFont="1" applyFill="1" applyBorder="1" applyAlignment="1">
      <alignment horizontal="right"/>
    </xf>
    <xf numFmtId="0" fontId="81" fillId="48" borderId="25" xfId="53" applyFont="1" applyFill="1" applyBorder="1" applyAlignment="1">
      <alignment horizontal="right"/>
    </xf>
    <xf numFmtId="0" fontId="4" fillId="48" borderId="26" xfId="0" applyFont="1" applyFill="1" applyBorder="1"/>
    <xf numFmtId="0" fontId="4" fillId="48" borderId="0" xfId="0" applyFont="1" applyFill="1"/>
    <xf numFmtId="0" fontId="4" fillId="48" borderId="27" xfId="0" applyFont="1" applyFill="1" applyBorder="1"/>
    <xf numFmtId="0" fontId="82" fillId="48" borderId="26" xfId="53" applyFont="1" applyFill="1" applyBorder="1"/>
    <xf numFmtId="0" fontId="82" fillId="48" borderId="0" xfId="53" applyFont="1" applyFill="1"/>
    <xf numFmtId="0" fontId="82" fillId="48" borderId="27" xfId="53" applyFont="1" applyFill="1" applyBorder="1"/>
    <xf numFmtId="0" fontId="9" fillId="0" borderId="0" xfId="0" quotePrefix="1" applyFont="1" applyAlignment="1">
      <alignment horizontal="left"/>
    </xf>
    <xf numFmtId="175" fontId="82" fillId="48" borderId="0" xfId="53" applyNumberFormat="1" applyFont="1" applyFill="1"/>
    <xf numFmtId="175" fontId="82" fillId="48" borderId="27" xfId="53" applyNumberFormat="1" applyFont="1" applyFill="1" applyBorder="1"/>
    <xf numFmtId="0" fontId="9" fillId="48" borderId="23" xfId="0" applyFont="1" applyFill="1" applyBorder="1"/>
    <xf numFmtId="0" fontId="9" fillId="48" borderId="24" xfId="0" applyFont="1" applyFill="1" applyBorder="1" applyAlignment="1">
      <alignment horizontal="left"/>
    </xf>
    <xf numFmtId="0" fontId="9" fillId="48" borderId="24" xfId="0" applyFont="1" applyFill="1" applyBorder="1"/>
    <xf numFmtId="0" fontId="4" fillId="48" borderId="24" xfId="0" applyFont="1" applyFill="1" applyBorder="1"/>
    <xf numFmtId="0" fontId="9" fillId="48" borderId="25" xfId="0" applyFont="1" applyFill="1" applyBorder="1"/>
    <xf numFmtId="0" fontId="9" fillId="48" borderId="26" xfId="0" applyFont="1" applyFill="1" applyBorder="1"/>
    <xf numFmtId="0" fontId="9" fillId="48" borderId="0" xfId="0" applyFont="1" applyFill="1"/>
    <xf numFmtId="0" fontId="9" fillId="48" borderId="0" xfId="0" applyFont="1" applyFill="1" applyAlignment="1">
      <alignment horizontal="right"/>
    </xf>
    <xf numFmtId="0" fontId="9" fillId="48" borderId="27" xfId="0" applyFont="1" applyFill="1" applyBorder="1"/>
    <xf numFmtId="175" fontId="4" fillId="48" borderId="0" xfId="0" applyNumberFormat="1" applyFont="1" applyFill="1"/>
    <xf numFmtId="175" fontId="4" fillId="48" borderId="27" xfId="0" applyNumberFormat="1" applyFont="1" applyFill="1" applyBorder="1"/>
    <xf numFmtId="0" fontId="4" fillId="0" borderId="0" xfId="53" applyFont="1"/>
    <xf numFmtId="176" fontId="9" fillId="48" borderId="28" xfId="0" applyNumberFormat="1" applyFont="1" applyFill="1" applyBorder="1" applyAlignment="1">
      <alignment horizontal="left"/>
    </xf>
    <xf numFmtId="176" fontId="9" fillId="48" borderId="17" xfId="0" applyNumberFormat="1" applyFont="1" applyFill="1" applyBorder="1"/>
    <xf numFmtId="0" fontId="9" fillId="48" borderId="17" xfId="0" applyFont="1" applyFill="1" applyBorder="1"/>
    <xf numFmtId="0" fontId="9" fillId="48" borderId="29" xfId="0" applyFont="1" applyFill="1" applyBorder="1"/>
    <xf numFmtId="0" fontId="4" fillId="0" borderId="17" xfId="0" applyFont="1" applyBorder="1"/>
    <xf numFmtId="176" fontId="4" fillId="0" borderId="17" xfId="0" applyNumberFormat="1" applyFont="1" applyBorder="1" applyAlignment="1">
      <alignment horizontal="fill"/>
    </xf>
    <xf numFmtId="0" fontId="82" fillId="48" borderId="28" xfId="53" applyFont="1" applyFill="1" applyBorder="1" applyAlignment="1">
      <alignment horizontal="right"/>
    </xf>
    <xf numFmtId="175" fontId="82" fillId="48" borderId="17" xfId="53" applyNumberFormat="1" applyFont="1" applyFill="1" applyBorder="1"/>
    <xf numFmtId="0" fontId="82" fillId="48" borderId="29" xfId="53" applyFont="1" applyFill="1" applyBorder="1"/>
    <xf numFmtId="176" fontId="50" fillId="48" borderId="26" xfId="0" applyNumberFormat="1" applyFont="1" applyFill="1" applyBorder="1"/>
    <xf numFmtId="169" fontId="50" fillId="48" borderId="0" xfId="0" applyNumberFormat="1" applyFont="1" applyFill="1" applyAlignment="1">
      <alignment horizontal="left"/>
    </xf>
    <xf numFmtId="169" fontId="74" fillId="48" borderId="0" xfId="0" applyNumberFormat="1" applyFont="1" applyFill="1" applyAlignment="1">
      <alignment horizontal="centerContinuous"/>
    </xf>
    <xf numFmtId="0" fontId="74" fillId="48" borderId="0" xfId="0" applyFont="1" applyFill="1" applyAlignment="1">
      <alignment horizontal="centerContinuous"/>
    </xf>
    <xf numFmtId="0" fontId="50" fillId="48" borderId="0" xfId="0" applyFont="1" applyFill="1"/>
    <xf numFmtId="0" fontId="74" fillId="48" borderId="26" xfId="0" applyFont="1" applyFill="1" applyBorder="1" applyAlignment="1">
      <alignment horizontal="centerContinuous"/>
    </xf>
    <xf numFmtId="0" fontId="50" fillId="48" borderId="0" xfId="0" applyFont="1" applyFill="1" applyAlignment="1">
      <alignment horizontal="centerContinuous"/>
    </xf>
    <xf numFmtId="0" fontId="50" fillId="48" borderId="27" xfId="0" applyFont="1" applyFill="1" applyBorder="1"/>
    <xf numFmtId="0" fontId="74" fillId="48" borderId="0" xfId="0" applyFont="1" applyFill="1"/>
    <xf numFmtId="169" fontId="74" fillId="48" borderId="0" xfId="0" applyNumberFormat="1" applyFont="1" applyFill="1" applyAlignment="1">
      <alignment horizontal="right"/>
    </xf>
    <xf numFmtId="169" fontId="74" fillId="48" borderId="0" xfId="0" quotePrefix="1" applyNumberFormat="1" applyFont="1" applyFill="1" applyAlignment="1">
      <alignment horizontal="right"/>
    </xf>
    <xf numFmtId="0" fontId="74" fillId="48" borderId="0" xfId="0" applyFont="1" applyFill="1" applyAlignment="1">
      <alignment horizontal="left"/>
    </xf>
    <xf numFmtId="169" fontId="74" fillId="48" borderId="26" xfId="0" applyNumberFormat="1" applyFont="1" applyFill="1" applyBorder="1" applyAlignment="1">
      <alignment horizontal="right"/>
    </xf>
    <xf numFmtId="0" fontId="74" fillId="48" borderId="0" xfId="0" applyFont="1" applyFill="1" applyAlignment="1">
      <alignment horizontal="right"/>
    </xf>
    <xf numFmtId="0" fontId="4" fillId="48" borderId="28" xfId="0" applyFont="1" applyFill="1" applyBorder="1" applyAlignment="1">
      <alignment horizontal="left"/>
    </xf>
    <xf numFmtId="175" fontId="4" fillId="48" borderId="17" xfId="0" applyNumberFormat="1" applyFont="1" applyFill="1" applyBorder="1"/>
    <xf numFmtId="0" fontId="4" fillId="48" borderId="29" xfId="0" applyFont="1" applyFill="1" applyBorder="1"/>
    <xf numFmtId="176" fontId="50" fillId="48" borderId="28" xfId="0" applyNumberFormat="1" applyFont="1" applyFill="1" applyBorder="1"/>
    <xf numFmtId="176" fontId="50" fillId="48" borderId="17" xfId="0" applyNumberFormat="1" applyFont="1" applyFill="1" applyBorder="1" applyAlignment="1">
      <alignment horizontal="fill"/>
    </xf>
    <xf numFmtId="176" fontId="50" fillId="48" borderId="28" xfId="0" applyNumberFormat="1" applyFont="1" applyFill="1" applyBorder="1" applyAlignment="1">
      <alignment horizontal="fill"/>
    </xf>
    <xf numFmtId="0" fontId="50" fillId="48" borderId="29" xfId="0" applyFont="1" applyFill="1" applyBorder="1"/>
    <xf numFmtId="0" fontId="4" fillId="0" borderId="0" xfId="0" applyFont="1" applyAlignment="1">
      <alignment horizontal="left"/>
    </xf>
    <xf numFmtId="175" fontId="4" fillId="0" borderId="0" xfId="0" applyNumberFormat="1" applyFont="1"/>
    <xf numFmtId="176" fontId="50" fillId="48" borderId="23" xfId="0" applyNumberFormat="1" applyFont="1" applyFill="1" applyBorder="1" applyAlignment="1">
      <alignment horizontal="fill"/>
    </xf>
    <xf numFmtId="176" fontId="50" fillId="48" borderId="24" xfId="0" applyNumberFormat="1" applyFont="1" applyFill="1" applyBorder="1" applyAlignment="1">
      <alignment horizontal="fill"/>
    </xf>
    <xf numFmtId="176" fontId="50" fillId="48" borderId="25" xfId="0" applyNumberFormat="1" applyFont="1" applyFill="1" applyBorder="1" applyAlignment="1">
      <alignment horizontal="fill"/>
    </xf>
    <xf numFmtId="1" fontId="50" fillId="48" borderId="0" xfId="0" applyNumberFormat="1" applyFont="1" applyFill="1" applyAlignment="1">
      <alignment horizontal="center"/>
    </xf>
    <xf numFmtId="177" fontId="83" fillId="49" borderId="0" xfId="85" applyNumberFormat="1" applyFont="1" applyFill="1"/>
    <xf numFmtId="164" fontId="50" fillId="48" borderId="0" xfId="0" applyNumberFormat="1" applyFont="1" applyFill="1"/>
    <xf numFmtId="164" fontId="50" fillId="48" borderId="27" xfId="0" applyNumberFormat="1" applyFont="1" applyFill="1" applyBorder="1"/>
    <xf numFmtId="164" fontId="50" fillId="0" borderId="0" xfId="0" applyNumberFormat="1" applyFont="1"/>
    <xf numFmtId="170" fontId="4" fillId="0" borderId="0" xfId="0" applyNumberFormat="1" applyFont="1"/>
    <xf numFmtId="0" fontId="50" fillId="48" borderId="26" xfId="0" applyFont="1" applyFill="1" applyBorder="1"/>
    <xf numFmtId="0" fontId="50" fillId="48" borderId="0" xfId="0" applyFont="1" applyFill="1" applyAlignment="1">
      <alignment horizontal="left"/>
    </xf>
    <xf numFmtId="169" fontId="4" fillId="0" borderId="0" xfId="0" applyNumberFormat="1" applyFont="1"/>
    <xf numFmtId="177" fontId="4" fillId="0" borderId="0" xfId="89" applyNumberFormat="1" applyFont="1"/>
    <xf numFmtId="0" fontId="50" fillId="48" borderId="26" xfId="0" quotePrefix="1" applyFont="1" applyFill="1" applyBorder="1"/>
    <xf numFmtId="164" fontId="50" fillId="48" borderId="0" xfId="0" quotePrefix="1" applyNumberFormat="1" applyFont="1" applyFill="1"/>
    <xf numFmtId="0" fontId="74" fillId="48" borderId="26" xfId="0" applyFont="1" applyFill="1" applyBorder="1" applyAlignment="1">
      <alignment horizontal="right"/>
    </xf>
    <xf numFmtId="0" fontId="50" fillId="48" borderId="26" xfId="0" applyFont="1" applyFill="1" applyBorder="1" applyAlignment="1">
      <alignment horizontal="left"/>
    </xf>
    <xf numFmtId="169" fontId="50" fillId="48" borderId="0" xfId="0" applyNumberFormat="1" applyFont="1" applyFill="1" applyAlignment="1">
      <alignment horizontal="center"/>
    </xf>
    <xf numFmtId="0" fontId="85" fillId="48" borderId="26" xfId="0" applyFont="1" applyFill="1" applyBorder="1"/>
    <xf numFmtId="3" fontId="50" fillId="48" borderId="0" xfId="0" applyNumberFormat="1" applyFont="1" applyFill="1"/>
    <xf numFmtId="3" fontId="50" fillId="48" borderId="27" xfId="0" applyNumberFormat="1" applyFont="1" applyFill="1" applyBorder="1"/>
    <xf numFmtId="0" fontId="74" fillId="48" borderId="28" xfId="0" quotePrefix="1" applyFont="1" applyFill="1" applyBorder="1"/>
    <xf numFmtId="0" fontId="50" fillId="48" borderId="17" xfId="0" applyFont="1" applyFill="1" applyBorder="1" applyAlignment="1">
      <alignment horizontal="left"/>
    </xf>
    <xf numFmtId="169" fontId="50" fillId="48" borderId="17" xfId="0" applyNumberFormat="1" applyFont="1" applyFill="1" applyBorder="1" applyAlignment="1">
      <alignment horizontal="center"/>
    </xf>
    <xf numFmtId="3" fontId="50" fillId="48" borderId="17" xfId="0" applyNumberFormat="1" applyFont="1" applyFill="1" applyBorder="1"/>
    <xf numFmtId="3" fontId="50" fillId="48" borderId="29" xfId="0" applyNumberFormat="1" applyFont="1" applyFill="1" applyBorder="1"/>
    <xf numFmtId="3" fontId="50" fillId="48" borderId="17" xfId="0" quotePrefix="1" applyNumberFormat="1" applyFont="1" applyFill="1" applyBorder="1"/>
    <xf numFmtId="0" fontId="9" fillId="0" borderId="0" xfId="0" applyFont="1" applyAlignment="1">
      <alignment horizontal="right"/>
    </xf>
    <xf numFmtId="169" fontId="4" fillId="0" borderId="0" xfId="0" applyNumberFormat="1" applyFont="1" applyAlignment="1">
      <alignment horizontal="center"/>
    </xf>
    <xf numFmtId="3" fontId="4" fillId="0" borderId="0" xfId="0" applyNumberFormat="1" applyFont="1"/>
    <xf numFmtId="0" fontId="4" fillId="48" borderId="23" xfId="0" applyFont="1" applyFill="1" applyBorder="1"/>
    <xf numFmtId="0" fontId="4" fillId="48" borderId="24" xfId="0" applyFont="1" applyFill="1" applyBorder="1" applyAlignment="1">
      <alignment horizontal="left"/>
    </xf>
    <xf numFmtId="1" fontId="4" fillId="48" borderId="24" xfId="0" applyNumberFormat="1" applyFont="1" applyFill="1" applyBorder="1" applyAlignment="1">
      <alignment horizontal="center"/>
    </xf>
    <xf numFmtId="3" fontId="4" fillId="48" borderId="24" xfId="0" applyNumberFormat="1" applyFont="1" applyFill="1" applyBorder="1"/>
    <xf numFmtId="3" fontId="4" fillId="48" borderId="25" xfId="0" applyNumberFormat="1" applyFont="1" applyFill="1" applyBorder="1"/>
    <xf numFmtId="0" fontId="4" fillId="48" borderId="0" xfId="0" applyFont="1" applyFill="1" applyAlignment="1">
      <alignment horizontal="left"/>
    </xf>
    <xf numFmtId="1" fontId="4" fillId="48" borderId="0" xfId="0" applyNumberFormat="1" applyFont="1" applyFill="1" applyAlignment="1">
      <alignment horizontal="center"/>
    </xf>
    <xf numFmtId="3" fontId="4" fillId="48" borderId="0" xfId="0" applyNumberFormat="1" applyFont="1" applyFill="1"/>
    <xf numFmtId="3" fontId="4" fillId="48" borderId="27" xfId="0" applyNumberFormat="1" applyFont="1" applyFill="1" applyBorder="1"/>
    <xf numFmtId="164" fontId="4" fillId="48" borderId="0" xfId="0" applyNumberFormat="1" applyFont="1" applyFill="1"/>
    <xf numFmtId="0" fontId="86" fillId="48" borderId="0" xfId="0" applyFont="1" applyFill="1"/>
    <xf numFmtId="0" fontId="86" fillId="48" borderId="27" xfId="0" applyFont="1" applyFill="1" applyBorder="1"/>
    <xf numFmtId="0" fontId="4" fillId="48" borderId="26" xfId="0" applyFont="1" applyFill="1" applyBorder="1" applyAlignment="1">
      <alignment horizontal="left"/>
    </xf>
    <xf numFmtId="0" fontId="4" fillId="48" borderId="17" xfId="0" applyFont="1" applyFill="1" applyBorder="1"/>
    <xf numFmtId="164" fontId="4" fillId="48" borderId="17" xfId="0" applyNumberFormat="1" applyFont="1" applyFill="1" applyBorder="1"/>
    <xf numFmtId="0" fontId="86" fillId="48" borderId="17" xfId="0" applyFont="1" applyFill="1" applyBorder="1"/>
    <xf numFmtId="3" fontId="4" fillId="48" borderId="29" xfId="0" applyNumberFormat="1" applyFont="1" applyFill="1" applyBorder="1"/>
    <xf numFmtId="0" fontId="5" fillId="0" borderId="0" xfId="0" applyFont="1" applyAlignment="1">
      <alignment horizontal="left"/>
    </xf>
    <xf numFmtId="0" fontId="50" fillId="41" borderId="0" xfId="0" applyFont="1" applyFill="1"/>
    <xf numFmtId="0" fontId="87" fillId="28" borderId="67" xfId="0" applyFont="1" applyFill="1" applyBorder="1" applyAlignment="1">
      <alignment horizontal="left"/>
    </xf>
    <xf numFmtId="0" fontId="74" fillId="28" borderId="68" xfId="0" applyFont="1" applyFill="1" applyBorder="1" applyAlignment="1">
      <alignment horizontal="centerContinuous"/>
    </xf>
    <xf numFmtId="0" fontId="74" fillId="28" borderId="68" xfId="0" quotePrefix="1" applyFont="1" applyFill="1" applyBorder="1" applyAlignment="1">
      <alignment horizontal="centerContinuous"/>
    </xf>
    <xf numFmtId="0" fontId="74" fillId="28" borderId="69" xfId="0" applyFont="1" applyFill="1" applyBorder="1" applyAlignment="1">
      <alignment horizontal="centerContinuous"/>
    </xf>
    <xf numFmtId="0" fontId="50" fillId="41" borderId="0" xfId="0" applyFont="1" applyFill="1" applyAlignment="1">
      <alignment horizontal="left"/>
    </xf>
    <xf numFmtId="0" fontId="88" fillId="41" borderId="0" xfId="0" applyFont="1" applyFill="1"/>
    <xf numFmtId="0" fontId="88" fillId="0" borderId="0" xfId="0" applyFont="1"/>
    <xf numFmtId="0" fontId="74" fillId="41" borderId="0" xfId="0" applyFont="1" applyFill="1"/>
    <xf numFmtId="0" fontId="87" fillId="28" borderId="38" xfId="0" quotePrefix="1" applyFont="1" applyFill="1" applyBorder="1" applyAlignment="1">
      <alignment horizontal="left"/>
    </xf>
    <xf numFmtId="0" fontId="74" fillId="28" borderId="48" xfId="0" applyFont="1" applyFill="1" applyBorder="1" applyAlignment="1">
      <alignment horizontal="centerContinuous"/>
    </xf>
    <xf numFmtId="0" fontId="74" fillId="28" borderId="48" xfId="0" quotePrefix="1" applyFont="1" applyFill="1" applyBorder="1" applyAlignment="1">
      <alignment horizontal="centerContinuous"/>
    </xf>
    <xf numFmtId="0" fontId="74" fillId="28" borderId="35" xfId="0" applyFont="1" applyFill="1" applyBorder="1" applyAlignment="1">
      <alignment horizontal="centerContinuous"/>
    </xf>
    <xf numFmtId="0" fontId="74" fillId="50" borderId="23" xfId="0" applyFont="1" applyFill="1" applyBorder="1" applyAlignment="1">
      <alignment horizontal="left"/>
    </xf>
    <xf numFmtId="0" fontId="74" fillId="50" borderId="24" xfId="0" applyFont="1" applyFill="1" applyBorder="1" applyAlignment="1">
      <alignment horizontal="centerContinuous"/>
    </xf>
    <xf numFmtId="0" fontId="74" fillId="50" borderId="24" xfId="0" quotePrefix="1" applyFont="1" applyFill="1" applyBorder="1" applyAlignment="1">
      <alignment horizontal="centerContinuous"/>
    </xf>
    <xf numFmtId="0" fontId="74" fillId="50" borderId="25" xfId="0" applyFont="1" applyFill="1" applyBorder="1" applyAlignment="1">
      <alignment horizontal="centerContinuous"/>
    </xf>
    <xf numFmtId="0" fontId="74" fillId="50" borderId="26" xfId="0" applyFont="1" applyFill="1" applyBorder="1" applyAlignment="1">
      <alignment horizontal="left"/>
    </xf>
    <xf numFmtId="0" fontId="74" fillId="50" borderId="0" xfId="0" applyFont="1" applyFill="1" applyAlignment="1">
      <alignment horizontal="centerContinuous"/>
    </xf>
    <xf numFmtId="0" fontId="74" fillId="50" borderId="0" xfId="0" quotePrefix="1" applyFont="1" applyFill="1" applyAlignment="1">
      <alignment horizontal="centerContinuous"/>
    </xf>
    <xf numFmtId="0" fontId="74" fillId="50" borderId="27" xfId="0" applyFont="1" applyFill="1" applyBorder="1" applyAlignment="1">
      <alignment horizontal="centerContinuous"/>
    </xf>
    <xf numFmtId="0" fontId="50" fillId="50" borderId="26" xfId="0" applyFont="1" applyFill="1" applyBorder="1"/>
    <xf numFmtId="0" fontId="74" fillId="50" borderId="0" xfId="0" applyFont="1" applyFill="1"/>
    <xf numFmtId="0" fontId="74" fillId="50" borderId="27" xfId="0" applyFont="1" applyFill="1" applyBorder="1"/>
    <xf numFmtId="0" fontId="5" fillId="41" borderId="0" xfId="0" applyFont="1" applyFill="1" applyAlignment="1">
      <alignment horizontal="right"/>
    </xf>
    <xf numFmtId="0" fontId="50" fillId="50" borderId="28" xfId="0" applyFont="1" applyFill="1" applyBorder="1"/>
    <xf numFmtId="0" fontId="74" fillId="50" borderId="17" xfId="0" applyFont="1" applyFill="1" applyBorder="1"/>
    <xf numFmtId="0" fontId="74" fillId="50" borderId="29" xfId="0" applyFont="1" applyFill="1" applyBorder="1"/>
    <xf numFmtId="0" fontId="4" fillId="48" borderId="70" xfId="0" applyFont="1" applyFill="1" applyBorder="1"/>
    <xf numFmtId="0" fontId="4" fillId="48" borderId="71" xfId="0" applyFont="1" applyFill="1" applyBorder="1" applyAlignment="1">
      <alignment horizontal="left"/>
    </xf>
    <xf numFmtId="0" fontId="4" fillId="48" borderId="71" xfId="0" applyFont="1" applyFill="1" applyBorder="1"/>
    <xf numFmtId="0" fontId="4" fillId="48" borderId="72" xfId="0" applyFont="1" applyFill="1" applyBorder="1"/>
    <xf numFmtId="0" fontId="5" fillId="48" borderId="23" xfId="0" applyFont="1" applyFill="1" applyBorder="1" applyAlignment="1">
      <alignment horizontal="right"/>
    </xf>
    <xf numFmtId="0" fontId="5" fillId="48" borderId="24" xfId="0" applyFont="1" applyFill="1" applyBorder="1" applyAlignment="1">
      <alignment horizontal="right"/>
    </xf>
    <xf numFmtId="0" fontId="5" fillId="48" borderId="25" xfId="0" applyFont="1" applyFill="1" applyBorder="1" applyAlignment="1">
      <alignment horizontal="right"/>
    </xf>
    <xf numFmtId="0" fontId="9" fillId="41" borderId="0" xfId="0" applyFont="1" applyFill="1"/>
    <xf numFmtId="0" fontId="4" fillId="48" borderId="0" xfId="0" applyFont="1" applyFill="1" applyAlignment="1">
      <alignment horizontal="center"/>
    </xf>
    <xf numFmtId="0" fontId="4" fillId="41" borderId="0" xfId="0" applyFont="1" applyFill="1"/>
    <xf numFmtId="0" fontId="82" fillId="41" borderId="0" xfId="0" applyFont="1" applyFill="1"/>
    <xf numFmtId="0" fontId="82" fillId="0" borderId="0" xfId="0" applyFont="1"/>
    <xf numFmtId="2" fontId="4" fillId="48" borderId="0" xfId="0" applyNumberFormat="1" applyFont="1" applyFill="1"/>
    <xf numFmtId="10" fontId="4" fillId="48" borderId="0" xfId="0" applyNumberFormat="1" applyFont="1" applyFill="1"/>
    <xf numFmtId="170" fontId="4" fillId="48" borderId="0" xfId="0" applyNumberFormat="1" applyFont="1" applyFill="1" applyAlignment="1">
      <alignment horizontal="left"/>
    </xf>
    <xf numFmtId="170" fontId="4" fillId="48" borderId="0" xfId="0" applyNumberFormat="1" applyFont="1" applyFill="1"/>
    <xf numFmtId="0" fontId="4" fillId="48" borderId="27" xfId="0" applyFont="1" applyFill="1" applyBorder="1" applyAlignment="1">
      <alignment horizontal="left"/>
    </xf>
    <xf numFmtId="0" fontId="4" fillId="41" borderId="0" xfId="0" applyFont="1" applyFill="1" applyAlignment="1">
      <alignment horizontal="right"/>
    </xf>
    <xf numFmtId="0" fontId="4" fillId="48" borderId="28" xfId="0" applyFont="1" applyFill="1" applyBorder="1"/>
    <xf numFmtId="0" fontId="4" fillId="48" borderId="17" xfId="0" applyFont="1" applyFill="1" applyBorder="1" applyAlignment="1">
      <alignment horizontal="left"/>
    </xf>
    <xf numFmtId="170" fontId="4" fillId="48" borderId="17" xfId="0" applyNumberFormat="1" applyFont="1" applyFill="1" applyBorder="1"/>
    <xf numFmtId="10" fontId="4" fillId="48" borderId="17" xfId="0" applyNumberFormat="1" applyFont="1" applyFill="1" applyBorder="1"/>
    <xf numFmtId="2" fontId="4" fillId="48" borderId="17" xfId="0" applyNumberFormat="1" applyFont="1" applyFill="1" applyBorder="1"/>
    <xf numFmtId="165" fontId="4" fillId="48" borderId="17" xfId="0" applyNumberFormat="1" applyFont="1" applyFill="1" applyBorder="1"/>
    <xf numFmtId="170" fontId="4" fillId="48" borderId="17" xfId="0" applyNumberFormat="1" applyFont="1" applyFill="1" applyBorder="1" applyAlignment="1">
      <alignment horizontal="left"/>
    </xf>
    <xf numFmtId="176" fontId="9" fillId="41" borderId="73" xfId="0" applyNumberFormat="1" applyFont="1" applyFill="1" applyBorder="1" applyAlignment="1">
      <alignment horizontal="left"/>
    </xf>
    <xf numFmtId="176" fontId="9" fillId="41" borderId="73" xfId="0" applyNumberFormat="1" applyFont="1" applyFill="1" applyBorder="1"/>
    <xf numFmtId="0" fontId="9" fillId="41" borderId="73" xfId="0" applyFont="1" applyFill="1" applyBorder="1"/>
    <xf numFmtId="176" fontId="50" fillId="41" borderId="0" xfId="0" applyNumberFormat="1" applyFont="1" applyFill="1" applyAlignment="1">
      <alignment horizontal="fill"/>
    </xf>
    <xf numFmtId="176" fontId="50" fillId="41" borderId="0" xfId="0" applyNumberFormat="1" applyFont="1" applyFill="1" applyAlignment="1">
      <alignment horizontal="center"/>
    </xf>
    <xf numFmtId="0" fontId="4" fillId="48" borderId="28" xfId="0" applyFont="1" applyFill="1" applyBorder="1" applyAlignment="1">
      <alignment horizontal="center"/>
    </xf>
    <xf numFmtId="176" fontId="50" fillId="28" borderId="26" xfId="0" applyNumberFormat="1" applyFont="1" applyFill="1" applyBorder="1"/>
    <xf numFmtId="0" fontId="74" fillId="28" borderId="0" xfId="0" applyFont="1" applyFill="1"/>
    <xf numFmtId="169" fontId="74" fillId="28" borderId="0" xfId="0" applyNumberFormat="1" applyFont="1" applyFill="1" applyAlignment="1">
      <alignment horizontal="right"/>
    </xf>
    <xf numFmtId="0" fontId="74" fillId="28" borderId="0" xfId="0" applyFont="1" applyFill="1" applyAlignment="1">
      <alignment horizontal="left"/>
    </xf>
    <xf numFmtId="169" fontId="74" fillId="28" borderId="26" xfId="0" applyNumberFormat="1" applyFont="1" applyFill="1" applyBorder="1" applyAlignment="1">
      <alignment horizontal="right"/>
    </xf>
    <xf numFmtId="0" fontId="74" fillId="28" borderId="0" xfId="0" applyFont="1" applyFill="1" applyAlignment="1">
      <alignment horizontal="right"/>
    </xf>
    <xf numFmtId="0" fontId="50" fillId="28" borderId="27" xfId="0" applyFont="1" applyFill="1" applyBorder="1"/>
    <xf numFmtId="176" fontId="50" fillId="28" borderId="28" xfId="0" applyNumberFormat="1" applyFont="1" applyFill="1" applyBorder="1"/>
    <xf numFmtId="176" fontId="50" fillId="28" borderId="17" xfId="0" applyNumberFormat="1" applyFont="1" applyFill="1" applyBorder="1" applyAlignment="1">
      <alignment horizontal="fill"/>
    </xf>
    <xf numFmtId="176" fontId="50" fillId="28" borderId="28" xfId="0" applyNumberFormat="1" applyFont="1" applyFill="1" applyBorder="1" applyAlignment="1">
      <alignment horizontal="fill"/>
    </xf>
    <xf numFmtId="0" fontId="50" fillId="28" borderId="29" xfId="0" applyFont="1" applyFill="1" applyBorder="1"/>
    <xf numFmtId="170" fontId="50" fillId="41" borderId="0" xfId="0" applyNumberFormat="1" applyFont="1" applyFill="1"/>
    <xf numFmtId="169" fontId="21" fillId="48" borderId="0" xfId="0" quotePrefix="1" applyNumberFormat="1" applyFont="1" applyFill="1" applyAlignment="1">
      <alignment horizontal="left"/>
    </xf>
    <xf numFmtId="169" fontId="21" fillId="48" borderId="0" xfId="0" applyNumberFormat="1" applyFont="1" applyFill="1" applyAlignment="1">
      <alignment horizontal="left"/>
    </xf>
    <xf numFmtId="0" fontId="21" fillId="48" borderId="0" xfId="0" applyFont="1" applyFill="1"/>
    <xf numFmtId="3" fontId="21" fillId="48" borderId="0" xfId="0" applyNumberFormat="1" applyFont="1" applyFill="1"/>
    <xf numFmtId="3" fontId="21" fillId="48" borderId="26" xfId="0" applyNumberFormat="1" applyFont="1" applyFill="1" applyBorder="1"/>
    <xf numFmtId="0" fontId="21" fillId="48" borderId="0" xfId="0" applyFont="1" applyFill="1" applyAlignment="1">
      <alignment horizontal="left"/>
    </xf>
    <xf numFmtId="3" fontId="50" fillId="41" borderId="0" xfId="0" applyNumberFormat="1" applyFont="1" applyFill="1"/>
    <xf numFmtId="169" fontId="50" fillId="41" borderId="0" xfId="0" applyNumberFormat="1" applyFont="1" applyFill="1"/>
    <xf numFmtId="0" fontId="21" fillId="48" borderId="18" xfId="0" applyFont="1" applyFill="1" applyBorder="1" applyAlignment="1">
      <alignment horizontal="left"/>
    </xf>
    <xf numFmtId="0" fontId="21" fillId="48" borderId="18" xfId="0" applyFont="1" applyFill="1" applyBorder="1"/>
    <xf numFmtId="3" fontId="21" fillId="48" borderId="18" xfId="0" applyNumberFormat="1" applyFont="1" applyFill="1" applyBorder="1"/>
    <xf numFmtId="3" fontId="21" fillId="48" borderId="75" xfId="0" applyNumberFormat="1" applyFont="1" applyFill="1" applyBorder="1"/>
    <xf numFmtId="3" fontId="21" fillId="48" borderId="27" xfId="0" applyNumberFormat="1" applyFont="1" applyFill="1" applyBorder="1"/>
    <xf numFmtId="0" fontId="50" fillId="48" borderId="28" xfId="0" applyFont="1" applyFill="1" applyBorder="1" applyAlignment="1">
      <alignment horizontal="right"/>
    </xf>
    <xf numFmtId="0" fontId="50" fillId="48" borderId="17" xfId="0" applyFont="1" applyFill="1" applyBorder="1"/>
    <xf numFmtId="3" fontId="50" fillId="48" borderId="28" xfId="0" applyNumberFormat="1" applyFont="1" applyFill="1" applyBorder="1"/>
    <xf numFmtId="0" fontId="89" fillId="32" borderId="20" xfId="0" applyFont="1" applyFill="1" applyBorder="1"/>
    <xf numFmtId="0" fontId="50" fillId="32" borderId="3" xfId="0" applyFont="1" applyFill="1" applyBorder="1"/>
    <xf numFmtId="0" fontId="90" fillId="31" borderId="3" xfId="0" applyFont="1" applyFill="1" applyBorder="1"/>
    <xf numFmtId="0" fontId="91" fillId="31" borderId="54" xfId="0" applyFont="1" applyFill="1" applyBorder="1" applyAlignment="1">
      <alignment horizontal="right"/>
    </xf>
    <xf numFmtId="0" fontId="92" fillId="41" borderId="0" xfId="0" applyFont="1" applyFill="1"/>
    <xf numFmtId="0" fontId="93" fillId="28" borderId="38" xfId="0" quotePrefix="1" applyFont="1" applyFill="1" applyBorder="1" applyAlignment="1">
      <alignment horizontal="left"/>
    </xf>
    <xf numFmtId="0" fontId="94" fillId="28" borderId="48" xfId="0" applyFont="1" applyFill="1" applyBorder="1" applyAlignment="1">
      <alignment horizontal="centerContinuous"/>
    </xf>
    <xf numFmtId="0" fontId="94" fillId="28" borderId="48" xfId="0" quotePrefix="1" applyFont="1" applyFill="1" applyBorder="1" applyAlignment="1">
      <alignment horizontal="centerContinuous"/>
    </xf>
    <xf numFmtId="0" fontId="94" fillId="28" borderId="35" xfId="0" applyFont="1" applyFill="1" applyBorder="1" applyAlignment="1">
      <alignment horizontal="centerContinuous"/>
    </xf>
    <xf numFmtId="0" fontId="88" fillId="41" borderId="0" xfId="0" applyFont="1" applyFill="1" applyAlignment="1">
      <alignment horizontal="left"/>
    </xf>
    <xf numFmtId="0" fontId="50" fillId="50" borderId="26" xfId="0" applyFont="1" applyFill="1" applyBorder="1" applyAlignment="1">
      <alignment horizontal="left"/>
    </xf>
    <xf numFmtId="0" fontId="50" fillId="50" borderId="0" xfId="0" applyFont="1" applyFill="1"/>
    <xf numFmtId="0" fontId="50" fillId="50" borderId="27" xfId="0" applyFont="1" applyFill="1" applyBorder="1"/>
    <xf numFmtId="0" fontId="81" fillId="48" borderId="23" xfId="0" applyFont="1" applyFill="1" applyBorder="1" applyAlignment="1">
      <alignment horizontal="right"/>
    </xf>
    <xf numFmtId="0" fontId="81" fillId="48" borderId="24" xfId="0" applyFont="1" applyFill="1" applyBorder="1" applyAlignment="1">
      <alignment horizontal="right"/>
    </xf>
    <xf numFmtId="0" fontId="81" fillId="48" borderId="25" xfId="0" applyFont="1" applyFill="1" applyBorder="1" applyAlignment="1">
      <alignment horizontal="right"/>
    </xf>
    <xf numFmtId="0" fontId="82" fillId="48" borderId="23" xfId="0" applyFont="1" applyFill="1" applyBorder="1"/>
    <xf numFmtId="0" fontId="82" fillId="48" borderId="24" xfId="0" applyFont="1" applyFill="1" applyBorder="1"/>
    <xf numFmtId="0" fontId="82" fillId="48" borderId="24" xfId="0" applyFont="1" applyFill="1" applyBorder="1" applyAlignment="1">
      <alignment horizontal="left"/>
    </xf>
    <xf numFmtId="0" fontId="82" fillId="48" borderId="70" xfId="0" applyFont="1" applyFill="1" applyBorder="1" applyAlignment="1">
      <alignment horizontal="left"/>
    </xf>
    <xf numFmtId="0" fontId="82" fillId="48" borderId="71" xfId="0" applyFont="1" applyFill="1" applyBorder="1" applyAlignment="1">
      <alignment horizontal="left"/>
    </xf>
    <xf numFmtId="0" fontId="82" fillId="48" borderId="71" xfId="0" applyFont="1" applyFill="1" applyBorder="1"/>
    <xf numFmtId="0" fontId="82" fillId="48" borderId="72" xfId="0" applyFont="1" applyFill="1" applyBorder="1"/>
    <xf numFmtId="0" fontId="82" fillId="48" borderId="26" xfId="0" applyFont="1" applyFill="1" applyBorder="1"/>
    <xf numFmtId="0" fontId="82" fillId="48" borderId="0" xfId="0" applyFont="1" applyFill="1"/>
    <xf numFmtId="0" fontId="82" fillId="48" borderId="27" xfId="0" applyFont="1" applyFill="1" applyBorder="1"/>
    <xf numFmtId="0" fontId="82" fillId="48" borderId="0" xfId="0" applyFont="1" applyFill="1" applyAlignment="1">
      <alignment horizontal="right"/>
    </xf>
    <xf numFmtId="0" fontId="95" fillId="41" borderId="0" xfId="0" applyFont="1" applyFill="1" applyAlignment="1">
      <alignment horizontal="right"/>
    </xf>
    <xf numFmtId="175" fontId="82" fillId="48" borderId="0" xfId="0" applyNumberFormat="1" applyFont="1" applyFill="1"/>
    <xf numFmtId="175" fontId="82" fillId="48" borderId="27" xfId="0" applyNumberFormat="1" applyFont="1" applyFill="1" applyBorder="1"/>
    <xf numFmtId="0" fontId="82" fillId="48" borderId="0" xfId="0" applyFont="1" applyFill="1" applyAlignment="1">
      <alignment horizontal="left"/>
    </xf>
    <xf numFmtId="170" fontId="82" fillId="48" borderId="0" xfId="0" applyNumberFormat="1" applyFont="1" applyFill="1"/>
    <xf numFmtId="170" fontId="82" fillId="48" borderId="0" xfId="0" applyNumberFormat="1" applyFont="1" applyFill="1" applyAlignment="1">
      <alignment horizontal="left"/>
    </xf>
    <xf numFmtId="0" fontId="82" fillId="48" borderId="27" xfId="0" applyFont="1" applyFill="1" applyBorder="1" applyAlignment="1">
      <alignment horizontal="left"/>
    </xf>
    <xf numFmtId="10" fontId="82" fillId="48" borderId="0" xfId="0" applyNumberFormat="1" applyFont="1" applyFill="1"/>
    <xf numFmtId="2" fontId="82" fillId="48" borderId="0" xfId="0" applyNumberFormat="1" applyFont="1" applyFill="1"/>
    <xf numFmtId="0" fontId="82" fillId="48" borderId="28" xfId="0" applyFont="1" applyFill="1" applyBorder="1"/>
    <xf numFmtId="0" fontId="82" fillId="48" borderId="17" xfId="0" applyFont="1" applyFill="1" applyBorder="1"/>
    <xf numFmtId="0" fontId="82" fillId="48" borderId="17" xfId="0" applyFont="1" applyFill="1" applyBorder="1" applyAlignment="1">
      <alignment horizontal="left"/>
    </xf>
    <xf numFmtId="170" fontId="82" fillId="48" borderId="17" xfId="0" applyNumberFormat="1" applyFont="1" applyFill="1" applyBorder="1"/>
    <xf numFmtId="10" fontId="82" fillId="48" borderId="17" xfId="0" applyNumberFormat="1" applyFont="1" applyFill="1" applyBorder="1"/>
    <xf numFmtId="2" fontId="82" fillId="48" borderId="17" xfId="0" applyNumberFormat="1" applyFont="1" applyFill="1" applyBorder="1"/>
    <xf numFmtId="170" fontId="82" fillId="48" borderId="17" xfId="0" applyNumberFormat="1" applyFont="1" applyFill="1" applyBorder="1" applyAlignment="1">
      <alignment horizontal="left"/>
    </xf>
    <xf numFmtId="0" fontId="82" fillId="48" borderId="29" xfId="0" applyFont="1" applyFill="1" applyBorder="1" applyAlignment="1">
      <alignment horizontal="left"/>
    </xf>
    <xf numFmtId="176" fontId="95" fillId="41" borderId="24" xfId="0" applyNumberFormat="1" applyFont="1" applyFill="1" applyBorder="1" applyAlignment="1">
      <alignment horizontal="left"/>
    </xf>
    <xf numFmtId="176" fontId="95" fillId="41" borderId="24" xfId="0" applyNumberFormat="1" applyFont="1" applyFill="1" applyBorder="1"/>
    <xf numFmtId="0" fontId="95" fillId="41" borderId="24" xfId="0" applyFont="1" applyFill="1" applyBorder="1"/>
    <xf numFmtId="0" fontId="82" fillId="48" borderId="28" xfId="0" applyFont="1" applyFill="1" applyBorder="1" applyAlignment="1">
      <alignment horizontal="right"/>
    </xf>
    <xf numFmtId="175" fontId="82" fillId="48" borderId="17" xfId="0" applyNumberFormat="1" applyFont="1" applyFill="1" applyBorder="1"/>
    <xf numFmtId="0" fontId="82" fillId="48" borderId="29" xfId="0" applyFont="1" applyFill="1" applyBorder="1"/>
    <xf numFmtId="176" fontId="50" fillId="28" borderId="67" xfId="0" applyNumberFormat="1" applyFont="1" applyFill="1" applyBorder="1"/>
    <xf numFmtId="169" fontId="50" fillId="28" borderId="68" xfId="0" applyNumberFormat="1" applyFont="1" applyFill="1" applyBorder="1" applyAlignment="1">
      <alignment horizontal="left"/>
    </xf>
    <xf numFmtId="0" fontId="50" fillId="28" borderId="68" xfId="0" applyFont="1" applyFill="1" applyBorder="1"/>
    <xf numFmtId="169" fontId="74" fillId="28" borderId="68" xfId="0" applyNumberFormat="1" applyFont="1" applyFill="1" applyBorder="1" applyAlignment="1">
      <alignment horizontal="centerContinuous"/>
    </xf>
    <xf numFmtId="0" fontId="74" fillId="28" borderId="74" xfId="0" applyFont="1" applyFill="1" applyBorder="1" applyAlignment="1">
      <alignment horizontal="centerContinuous"/>
    </xf>
    <xf numFmtId="0" fontId="50" fillId="28" borderId="68" xfId="0" applyFont="1" applyFill="1" applyBorder="1" applyAlignment="1">
      <alignment horizontal="centerContinuous"/>
    </xf>
    <xf numFmtId="0" fontId="50" fillId="28" borderId="69" xfId="0" applyFont="1" applyFill="1" applyBorder="1"/>
    <xf numFmtId="0" fontId="50" fillId="28" borderId="77" xfId="0" applyFont="1" applyFill="1" applyBorder="1"/>
    <xf numFmtId="176" fontId="50" fillId="28" borderId="78" xfId="0" applyNumberFormat="1" applyFont="1" applyFill="1" applyBorder="1"/>
    <xf numFmtId="0" fontId="50" fillId="28" borderId="79" xfId="0" applyFont="1" applyFill="1" applyBorder="1"/>
    <xf numFmtId="176" fontId="50" fillId="48" borderId="76" xfId="0" applyNumberFormat="1" applyFont="1" applyFill="1" applyBorder="1"/>
    <xf numFmtId="3" fontId="50" fillId="48" borderId="26" xfId="0" applyNumberFormat="1" applyFont="1" applyFill="1" applyBorder="1"/>
    <xf numFmtId="0" fontId="50" fillId="48" borderId="77" xfId="0" applyFont="1" applyFill="1" applyBorder="1"/>
    <xf numFmtId="169" fontId="50" fillId="48" borderId="76" xfId="0" applyNumberFormat="1" applyFont="1" applyFill="1" applyBorder="1" applyAlignment="1">
      <alignment horizontal="left"/>
    </xf>
    <xf numFmtId="169" fontId="96" fillId="48" borderId="0" xfId="0" quotePrefix="1" applyNumberFormat="1" applyFont="1" applyFill="1" applyAlignment="1">
      <alignment horizontal="left"/>
    </xf>
    <xf numFmtId="0" fontId="96" fillId="48" borderId="0" xfId="0" applyFont="1" applyFill="1"/>
    <xf numFmtId="3" fontId="97" fillId="48" borderId="0" xfId="0" applyNumberFormat="1" applyFont="1" applyFill="1"/>
    <xf numFmtId="177" fontId="83" fillId="48" borderId="0" xfId="89" applyNumberFormat="1" applyFont="1" applyFill="1"/>
    <xf numFmtId="3" fontId="96" fillId="41" borderId="0" xfId="0" applyNumberFormat="1" applyFont="1" applyFill="1"/>
    <xf numFmtId="0" fontId="96" fillId="48" borderId="0" xfId="0" quotePrefix="1" applyFont="1" applyFill="1" applyAlignment="1">
      <alignment horizontal="left"/>
    </xf>
    <xf numFmtId="0" fontId="50" fillId="48" borderId="76" xfId="0" applyFont="1" applyFill="1" applyBorder="1"/>
    <xf numFmtId="0" fontId="50" fillId="48" borderId="0" xfId="0" quotePrefix="1" applyFont="1" applyFill="1" applyAlignment="1">
      <alignment horizontal="left"/>
    </xf>
    <xf numFmtId="0" fontId="96" fillId="48" borderId="0" xfId="0" applyFont="1" applyFill="1" applyAlignment="1">
      <alignment horizontal="left"/>
    </xf>
    <xf numFmtId="0" fontId="50" fillId="48" borderId="76" xfId="0" applyFont="1" applyFill="1" applyBorder="1" applyAlignment="1">
      <alignment horizontal="left"/>
    </xf>
    <xf numFmtId="0" fontId="74" fillId="48" borderId="76" xfId="0" applyFont="1" applyFill="1" applyBorder="1" applyAlignment="1">
      <alignment horizontal="left"/>
    </xf>
    <xf numFmtId="0" fontId="50" fillId="48" borderId="80" xfId="0" applyFont="1" applyFill="1" applyBorder="1" applyAlignment="1">
      <alignment horizontal="right"/>
    </xf>
    <xf numFmtId="0" fontId="50" fillId="48" borderId="81" xfId="0" applyFont="1" applyFill="1" applyBorder="1" applyAlignment="1">
      <alignment horizontal="left"/>
    </xf>
    <xf numFmtId="0" fontId="50" fillId="48" borderId="81" xfId="0" applyFont="1" applyFill="1" applyBorder="1"/>
    <xf numFmtId="3" fontId="50" fillId="48" borderId="81" xfId="0" applyNumberFormat="1" applyFont="1" applyFill="1" applyBorder="1"/>
    <xf numFmtId="3" fontId="50" fillId="48" borderId="82" xfId="0" applyNumberFormat="1" applyFont="1" applyFill="1" applyBorder="1"/>
    <xf numFmtId="0" fontId="50" fillId="48" borderId="83" xfId="0" applyFont="1" applyFill="1" applyBorder="1"/>
    <xf numFmtId="0" fontId="50" fillId="48" borderId="23" xfId="0" applyFont="1" applyFill="1" applyBorder="1"/>
    <xf numFmtId="0" fontId="50" fillId="48" borderId="24" xfId="0" applyFont="1" applyFill="1" applyBorder="1"/>
    <xf numFmtId="0" fontId="50" fillId="48" borderId="25" xfId="0" applyFont="1" applyFill="1" applyBorder="1"/>
    <xf numFmtId="8" fontId="50" fillId="48" borderId="0" xfId="0" applyNumberFormat="1" applyFont="1" applyFill="1"/>
    <xf numFmtId="8" fontId="50" fillId="48" borderId="27" xfId="0" applyNumberFormat="1" applyFont="1" applyFill="1" applyBorder="1"/>
    <xf numFmtId="0" fontId="50" fillId="48" borderId="28" xfId="0" applyFont="1" applyFill="1" applyBorder="1"/>
    <xf numFmtId="8" fontId="50" fillId="48" borderId="17" xfId="0" applyNumberFormat="1" applyFont="1" applyFill="1" applyBorder="1"/>
    <xf numFmtId="8" fontId="50" fillId="48" borderId="29" xfId="0" applyNumberFormat="1" applyFont="1" applyFill="1" applyBorder="1"/>
    <xf numFmtId="0" fontId="50" fillId="41" borderId="0" xfId="0" quotePrefix="1" applyFont="1" applyFill="1"/>
    <xf numFmtId="0" fontId="76" fillId="0" borderId="0" xfId="0" applyFont="1" applyAlignment="1">
      <alignment horizontal="center" vertical="center" wrapText="1"/>
    </xf>
    <xf numFmtId="0" fontId="76" fillId="0" borderId="0" xfId="0" applyFont="1" applyAlignment="1">
      <alignment horizontal="center" wrapText="1"/>
    </xf>
    <xf numFmtId="0" fontId="0" fillId="0" borderId="12" xfId="0" applyBorder="1" applyAlignment="1">
      <alignment horizontal="left"/>
    </xf>
    <xf numFmtId="0" fontId="4" fillId="0" borderId="0" xfId="61" applyFont="1" applyAlignment="1">
      <alignment horizontal="center" vertical="center" wrapText="1"/>
    </xf>
    <xf numFmtId="0" fontId="99" fillId="0" borderId="0" xfId="0" applyFont="1"/>
    <xf numFmtId="0" fontId="9" fillId="0" borderId="12" xfId="99" applyFont="1" applyBorder="1" applyAlignment="1">
      <alignment vertical="center"/>
    </xf>
    <xf numFmtId="0" fontId="9" fillId="0" borderId="12" xfId="61" applyFont="1" applyBorder="1" applyAlignment="1">
      <alignment horizontal="center" vertical="center" wrapText="1"/>
    </xf>
    <xf numFmtId="0" fontId="100" fillId="0" borderId="12" xfId="0" applyFont="1" applyBorder="1" applyAlignment="1">
      <alignment horizontal="center"/>
    </xf>
    <xf numFmtId="164" fontId="19" fillId="0" borderId="12" xfId="61" applyNumberFormat="1" applyFont="1" applyBorder="1" applyAlignment="1">
      <alignment horizontal="center" wrapText="1"/>
    </xf>
    <xf numFmtId="164" fontId="101" fillId="0" borderId="12" xfId="0" applyNumberFormat="1" applyFont="1" applyBorder="1" applyAlignment="1">
      <alignment horizontal="center"/>
    </xf>
    <xf numFmtId="0" fontId="9" fillId="0" borderId="0" xfId="99" applyFont="1" applyAlignment="1">
      <alignment horizontal="center"/>
    </xf>
    <xf numFmtId="164" fontId="102" fillId="0" borderId="0" xfId="0" applyNumberFormat="1" applyFont="1" applyAlignment="1">
      <alignment horizontal="center" wrapText="1"/>
    </xf>
    <xf numFmtId="0" fontId="103" fillId="0" borderId="12" xfId="0" applyFont="1" applyBorder="1" applyAlignment="1">
      <alignment horizontal="center" vertical="center" wrapText="1"/>
    </xf>
    <xf numFmtId="0" fontId="100" fillId="0" borderId="12" xfId="0" applyFont="1" applyBorder="1" applyAlignment="1">
      <alignment horizontal="center" wrapText="1"/>
    </xf>
    <xf numFmtId="0" fontId="4" fillId="36" borderId="12" xfId="99" applyFill="1" applyBorder="1"/>
    <xf numFmtId="0" fontId="9" fillId="0" borderId="12" xfId="99" applyFont="1" applyBorder="1" applyAlignment="1">
      <alignment horizontal="center" vertical="center"/>
    </xf>
    <xf numFmtId="0" fontId="4" fillId="0" borderId="12" xfId="99" applyBorder="1" applyAlignment="1">
      <alignment horizontal="center"/>
    </xf>
    <xf numFmtId="164" fontId="10" fillId="0" borderId="0" xfId="61" applyNumberFormat="1" applyFont="1" applyAlignment="1">
      <alignment horizontal="center"/>
    </xf>
    <xf numFmtId="164" fontId="4" fillId="0" borderId="12" xfId="99" applyNumberFormat="1" applyBorder="1" applyAlignment="1">
      <alignment horizontal="center"/>
    </xf>
    <xf numFmtId="0" fontId="9" fillId="0" borderId="12" xfId="99" applyFont="1" applyBorder="1" applyAlignment="1">
      <alignment horizontal="center" vertical="center" wrapText="1"/>
    </xf>
    <xf numFmtId="164" fontId="10" fillId="0" borderId="0" xfId="0" applyNumberFormat="1" applyFont="1" applyAlignment="1">
      <alignment horizontal="center"/>
    </xf>
    <xf numFmtId="6" fontId="0" fillId="0" borderId="0" xfId="0" applyNumberFormat="1"/>
    <xf numFmtId="6" fontId="9" fillId="0" borderId="0" xfId="0" applyNumberFormat="1" applyFont="1"/>
    <xf numFmtId="0" fontId="4" fillId="0" borderId="12" xfId="61" applyFont="1" applyBorder="1" applyAlignment="1">
      <alignment horizontal="center" vertical="center" wrapText="1"/>
    </xf>
    <xf numFmtId="164" fontId="4" fillId="0" borderId="12" xfId="61" applyNumberFormat="1" applyFont="1" applyBorder="1" applyAlignment="1">
      <alignment horizontal="center" vertical="center" wrapText="1"/>
    </xf>
    <xf numFmtId="0" fontId="63" fillId="0" borderId="0" xfId="0" applyFont="1" applyAlignment="1">
      <alignment horizontal="center" wrapText="1"/>
    </xf>
    <xf numFmtId="177" fontId="83" fillId="35" borderId="0" xfId="85" applyNumberFormat="1" applyFont="1" applyFill="1"/>
    <xf numFmtId="0" fontId="104" fillId="0" borderId="0" xfId="61" applyFont="1"/>
    <xf numFmtId="6" fontId="64" fillId="0" borderId="0" xfId="61" applyNumberFormat="1" applyFont="1" applyAlignment="1">
      <alignment horizontal="center"/>
    </xf>
    <xf numFmtId="0" fontId="104" fillId="0" borderId="0" xfId="61" applyFont="1" applyAlignment="1">
      <alignment horizontal="center"/>
    </xf>
    <xf numFmtId="0" fontId="4" fillId="0" borderId="0" xfId="61" applyFont="1" applyAlignment="1">
      <alignment vertical="center" wrapText="1"/>
    </xf>
    <xf numFmtId="0" fontId="4" fillId="35" borderId="0" xfId="61" applyFont="1" applyFill="1" applyAlignment="1">
      <alignment horizontal="center" vertical="center"/>
    </xf>
    <xf numFmtId="0" fontId="100" fillId="0" borderId="0" xfId="0" applyFont="1" applyAlignment="1">
      <alignment horizontal="center" wrapText="1"/>
    </xf>
    <xf numFmtId="0" fontId="9" fillId="0" borderId="0" xfId="0" applyFont="1" applyAlignment="1">
      <alignment horizontal="center" wrapText="1"/>
    </xf>
    <xf numFmtId="3" fontId="9" fillId="0" borderId="0" xfId="0" applyNumberFormat="1" applyFont="1" applyAlignment="1">
      <alignment horizontal="center"/>
    </xf>
    <xf numFmtId="0" fontId="0" fillId="34" borderId="0" xfId="0" applyFill="1" applyAlignment="1">
      <alignment horizontal="center"/>
    </xf>
    <xf numFmtId="3" fontId="9" fillId="0" borderId="49" xfId="0" applyNumberFormat="1" applyFont="1" applyBorder="1" applyAlignment="1">
      <alignment horizontal="center"/>
    </xf>
    <xf numFmtId="166" fontId="9" fillId="0" borderId="0" xfId="0" applyNumberFormat="1" applyFont="1" applyAlignment="1">
      <alignment horizontal="center"/>
    </xf>
    <xf numFmtId="0" fontId="0" fillId="0" borderId="12" xfId="0" applyBorder="1"/>
    <xf numFmtId="3" fontId="4" fillId="0" borderId="0" xfId="0" applyNumberFormat="1" applyFont="1" applyAlignment="1">
      <alignment horizontal="center"/>
    </xf>
    <xf numFmtId="0" fontId="0" fillId="34" borderId="0" xfId="0" applyFill="1"/>
    <xf numFmtId="0" fontId="6" fillId="0" borderId="0" xfId="61" applyFont="1" applyAlignment="1">
      <alignment horizontal="center"/>
    </xf>
    <xf numFmtId="0" fontId="63" fillId="0" borderId="12" xfId="0" applyFont="1" applyBorder="1" applyAlignment="1">
      <alignment horizontal="center"/>
    </xf>
    <xf numFmtId="8" fontId="63" fillId="0" borderId="12" xfId="0" applyNumberFormat="1" applyFont="1" applyBorder="1" applyAlignment="1">
      <alignment horizontal="center"/>
    </xf>
    <xf numFmtId="3" fontId="105" fillId="48" borderId="0" xfId="0" applyNumberFormat="1" applyFont="1" applyFill="1"/>
    <xf numFmtId="3" fontId="105" fillId="48" borderId="17" xfId="0" applyNumberFormat="1" applyFont="1" applyFill="1" applyBorder="1"/>
    <xf numFmtId="0" fontId="9" fillId="0" borderId="20" xfId="61" applyFont="1" applyBorder="1" applyAlignment="1">
      <alignment horizontal="center" wrapText="1"/>
    </xf>
    <xf numFmtId="164" fontId="9" fillId="0" borderId="20" xfId="61" applyNumberFormat="1" applyFont="1" applyBorder="1" applyAlignment="1">
      <alignment horizontal="center"/>
    </xf>
    <xf numFmtId="1" fontId="9" fillId="0" borderId="0" xfId="61" applyNumberFormat="1" applyFont="1"/>
    <xf numFmtId="0" fontId="4" fillId="0" borderId="0" xfId="61" applyFont="1" applyAlignment="1">
      <alignment horizontal="right"/>
    </xf>
    <xf numFmtId="0" fontId="64" fillId="0" borderId="0" xfId="0" applyFont="1" applyAlignment="1">
      <alignment horizontal="center"/>
    </xf>
    <xf numFmtId="3" fontId="9" fillId="0" borderId="0" xfId="61" applyNumberFormat="1" applyFont="1" applyAlignment="1">
      <alignment horizontal="center"/>
    </xf>
    <xf numFmtId="0" fontId="63" fillId="42" borderId="0" xfId="0" applyFont="1" applyFill="1" applyAlignment="1">
      <alignment horizontal="center"/>
    </xf>
    <xf numFmtId="0" fontId="63" fillId="42" borderId="0" xfId="0" applyFont="1" applyFill="1" applyAlignment="1">
      <alignment horizontal="center" wrapText="1"/>
    </xf>
    <xf numFmtId="0" fontId="63" fillId="42" borderId="0" xfId="0" applyFont="1" applyFill="1"/>
    <xf numFmtId="164" fontId="63" fillId="42" borderId="0" xfId="0" applyNumberFormat="1" applyFont="1" applyFill="1" applyAlignment="1">
      <alignment horizontal="center"/>
    </xf>
    <xf numFmtId="0" fontId="63" fillId="42" borderId="0" xfId="0" applyFont="1" applyFill="1" applyAlignment="1">
      <alignment wrapText="1"/>
    </xf>
    <xf numFmtId="0" fontId="4" fillId="0" borderId="0" xfId="0" applyFont="1" applyAlignment="1">
      <alignment horizontal="center" wrapText="1"/>
    </xf>
    <xf numFmtId="0" fontId="9" fillId="42" borderId="0" xfId="61" applyFont="1" applyFill="1" applyAlignment="1">
      <alignment horizontal="center" wrapText="1"/>
    </xf>
    <xf numFmtId="2" fontId="9" fillId="42" borderId="0" xfId="61" applyNumberFormat="1" applyFont="1" applyFill="1" applyAlignment="1">
      <alignment horizontal="center" wrapText="1"/>
    </xf>
    <xf numFmtId="0" fontId="9" fillId="42" borderId="0" xfId="61" applyFont="1" applyFill="1" applyAlignment="1">
      <alignment horizontal="center"/>
    </xf>
    <xf numFmtId="0" fontId="4" fillId="51" borderId="12" xfId="61" applyFont="1" applyFill="1" applyBorder="1" applyAlignment="1">
      <alignment horizontal="center"/>
    </xf>
    <xf numFmtId="0" fontId="4" fillId="51" borderId="0" xfId="61" applyFont="1" applyFill="1" applyAlignment="1">
      <alignment horizontal="center" wrapText="1"/>
    </xf>
    <xf numFmtId="0" fontId="4" fillId="51" borderId="12" xfId="61" applyFont="1" applyFill="1" applyBorder="1" applyAlignment="1">
      <alignment horizontal="center" wrapText="1"/>
    </xf>
    <xf numFmtId="0" fontId="4" fillId="45" borderId="12" xfId="61" applyFont="1" applyFill="1" applyBorder="1"/>
    <xf numFmtId="164" fontId="4" fillId="0" borderId="12" xfId="58" applyNumberFormat="1" applyFont="1" applyBorder="1" applyAlignment="1">
      <alignment horizontal="center" wrapText="1"/>
    </xf>
    <xf numFmtId="164" fontId="64" fillId="0" borderId="0" xfId="61" applyNumberFormat="1" applyFont="1" applyAlignment="1">
      <alignment horizontal="left"/>
    </xf>
    <xf numFmtId="0" fontId="64" fillId="0" borderId="0" xfId="61" applyFont="1" applyAlignment="1">
      <alignment horizontal="left"/>
    </xf>
    <xf numFmtId="164" fontId="104" fillId="0" borderId="0" xfId="0" applyNumberFormat="1" applyFont="1" applyAlignment="1">
      <alignment horizontal="center"/>
    </xf>
    <xf numFmtId="9" fontId="4" fillId="0" borderId="0" xfId="0" applyNumberFormat="1" applyFont="1" applyAlignment="1">
      <alignment horizontal="center" wrapText="1"/>
    </xf>
    <xf numFmtId="164" fontId="0" fillId="0" borderId="3" xfId="0" applyNumberFormat="1" applyBorder="1"/>
    <xf numFmtId="164" fontId="0" fillId="34" borderId="3" xfId="0" applyNumberFormat="1" applyFill="1" applyBorder="1"/>
    <xf numFmtId="0" fontId="0" fillId="35" borderId="0" xfId="0" applyFill="1"/>
    <xf numFmtId="0" fontId="0" fillId="35" borderId="0" xfId="0" applyFill="1" applyAlignment="1">
      <alignment horizontal="center"/>
    </xf>
    <xf numFmtId="0" fontId="4" fillId="35" borderId="0" xfId="61" applyFont="1" applyFill="1" applyAlignment="1">
      <alignment horizontal="center" vertical="center" wrapText="1"/>
    </xf>
    <xf numFmtId="0" fontId="63" fillId="35" borderId="0" xfId="0" applyFont="1" applyFill="1" applyAlignment="1">
      <alignment horizontal="center" wrapText="1"/>
    </xf>
    <xf numFmtId="164" fontId="63" fillId="35" borderId="0" xfId="0" applyNumberFormat="1" applyFont="1" applyFill="1" applyAlignment="1">
      <alignment horizontal="center"/>
    </xf>
    <xf numFmtId="0" fontId="63" fillId="35" borderId="0" xfId="0" applyFont="1" applyFill="1" applyAlignment="1">
      <alignment horizontal="center"/>
    </xf>
    <xf numFmtId="9" fontId="63" fillId="0" borderId="0" xfId="100" applyFont="1" applyAlignment="1">
      <alignment horizontal="center"/>
    </xf>
    <xf numFmtId="164" fontId="4" fillId="38" borderId="0" xfId="0" applyNumberFormat="1" applyFont="1" applyFill="1" applyAlignment="1">
      <alignment horizontal="center"/>
    </xf>
    <xf numFmtId="0" fontId="0" fillId="24" borderId="0" xfId="0" applyFill="1" applyAlignment="1" applyProtection="1">
      <alignment horizontal="left"/>
      <protection hidden="1"/>
    </xf>
    <xf numFmtId="0" fontId="0" fillId="0" borderId="0" xfId="0" applyAlignment="1">
      <alignment horizontal="center" vertical="center" wrapText="1"/>
    </xf>
    <xf numFmtId="6" fontId="0" fillId="0" borderId="0" xfId="0" applyNumberFormat="1" applyAlignment="1">
      <alignment horizontal="center"/>
    </xf>
    <xf numFmtId="0" fontId="105" fillId="35" borderId="17" xfId="0" applyFont="1" applyFill="1" applyBorder="1" applyAlignment="1">
      <alignment horizontal="left"/>
    </xf>
    <xf numFmtId="0" fontId="105" fillId="35" borderId="17" xfId="0" applyFont="1" applyFill="1" applyBorder="1"/>
    <xf numFmtId="3" fontId="105" fillId="35" borderId="17" xfId="0" applyNumberFormat="1" applyFont="1" applyFill="1" applyBorder="1"/>
    <xf numFmtId="3" fontId="50" fillId="35" borderId="17" xfId="0" applyNumberFormat="1" applyFont="1" applyFill="1" applyBorder="1"/>
    <xf numFmtId="3" fontId="105" fillId="35" borderId="0" xfId="0" applyNumberFormat="1" applyFont="1" applyFill="1"/>
    <xf numFmtId="6" fontId="9" fillId="0" borderId="0" xfId="61" applyNumberFormat="1" applyFont="1" applyAlignment="1">
      <alignment horizontal="center"/>
    </xf>
    <xf numFmtId="164" fontId="9" fillId="35" borderId="0" xfId="61" applyNumberFormat="1" applyFont="1" applyFill="1" applyAlignment="1">
      <alignment horizontal="center"/>
    </xf>
    <xf numFmtId="0" fontId="4" fillId="35" borderId="0" xfId="0" applyFont="1" applyFill="1" applyAlignment="1">
      <alignment horizontal="center"/>
    </xf>
    <xf numFmtId="0" fontId="108" fillId="0" borderId="0" xfId="0" applyFont="1"/>
    <xf numFmtId="0" fontId="104" fillId="0" borderId="0" xfId="0" applyFont="1"/>
    <xf numFmtId="0" fontId="104" fillId="0" borderId="0" xfId="0" applyFont="1" applyAlignment="1">
      <alignment horizontal="center"/>
    </xf>
    <xf numFmtId="164" fontId="104" fillId="0" borderId="0" xfId="0" applyNumberFormat="1" applyFont="1"/>
    <xf numFmtId="49" fontId="4" fillId="0" borderId="0" xfId="0" applyNumberFormat="1" applyFont="1" applyAlignment="1">
      <alignment horizontal="left"/>
    </xf>
    <xf numFmtId="164" fontId="109" fillId="0" borderId="0" xfId="61" applyNumberFormat="1" applyFont="1" applyAlignment="1">
      <alignment horizontal="center"/>
    </xf>
    <xf numFmtId="0" fontId="109" fillId="0" borderId="0" xfId="61" applyFont="1" applyAlignment="1">
      <alignment horizontal="center"/>
    </xf>
    <xf numFmtId="0" fontId="100" fillId="0" borderId="0" xfId="0" applyFont="1" applyAlignment="1">
      <alignment horizontal="center"/>
    </xf>
    <xf numFmtId="14" fontId="0" fillId="0" borderId="0" xfId="0" applyNumberFormat="1" applyAlignment="1">
      <alignment horizontal="center"/>
    </xf>
    <xf numFmtId="0" fontId="110" fillId="0" borderId="0" xfId="0" applyFont="1" applyAlignment="1">
      <alignment horizontal="center"/>
    </xf>
    <xf numFmtId="0" fontId="110" fillId="0" borderId="0" xfId="0" applyFont="1" applyAlignment="1">
      <alignment horizontal="center" wrapText="1"/>
    </xf>
    <xf numFmtId="49" fontId="111" fillId="52" borderId="84" xfId="0" applyNumberFormat="1" applyFont="1" applyFill="1" applyBorder="1" applyAlignment="1">
      <alignment horizontal="center" vertical="center" wrapText="1"/>
    </xf>
    <xf numFmtId="49" fontId="111" fillId="53" borderId="84" xfId="0" applyNumberFormat="1" applyFont="1" applyFill="1" applyBorder="1" applyAlignment="1">
      <alignment horizontal="center" vertical="center" wrapText="1"/>
    </xf>
    <xf numFmtId="0" fontId="111" fillId="52" borderId="85" xfId="0" applyFont="1" applyFill="1" applyBorder="1" applyAlignment="1">
      <alignment horizontal="center" vertical="center"/>
    </xf>
    <xf numFmtId="1" fontId="111" fillId="52" borderId="84" xfId="0" applyNumberFormat="1" applyFont="1" applyFill="1" applyBorder="1" applyAlignment="1">
      <alignment horizontal="center" vertical="center"/>
    </xf>
    <xf numFmtId="0" fontId="112" fillId="54" borderId="84" xfId="0" applyFont="1" applyFill="1" applyBorder="1" applyAlignment="1">
      <alignment horizontal="right" vertical="center"/>
    </xf>
    <xf numFmtId="0" fontId="112" fillId="53" borderId="84" xfId="0" applyFont="1" applyFill="1" applyBorder="1" applyAlignment="1">
      <alignment horizontal="right" vertical="center"/>
    </xf>
    <xf numFmtId="178" fontId="111" fillId="55" borderId="84" xfId="0" applyNumberFormat="1" applyFont="1" applyFill="1" applyBorder="1" applyAlignment="1">
      <alignment horizontal="right" vertical="center"/>
    </xf>
    <xf numFmtId="0" fontId="112" fillId="52" borderId="86" xfId="0" applyFont="1" applyFill="1" applyBorder="1" applyAlignment="1">
      <alignment horizontal="right" vertical="center"/>
    </xf>
    <xf numFmtId="0" fontId="112" fillId="56" borderId="84" xfId="0" applyFont="1" applyFill="1" applyBorder="1" applyAlignment="1">
      <alignment horizontal="right" vertical="center"/>
    </xf>
    <xf numFmtId="0" fontId="112" fillId="57" borderId="84" xfId="0" applyFont="1" applyFill="1" applyBorder="1" applyAlignment="1">
      <alignment horizontal="right" vertical="center"/>
    </xf>
    <xf numFmtId="178" fontId="111" fillId="58" borderId="84" xfId="0" applyNumberFormat="1" applyFont="1" applyFill="1" applyBorder="1" applyAlignment="1">
      <alignment horizontal="right" vertical="center"/>
    </xf>
    <xf numFmtId="0" fontId="0" fillId="57" borderId="0" xfId="0" applyFill="1"/>
    <xf numFmtId="178" fontId="111" fillId="59" borderId="84" xfId="0" applyNumberFormat="1" applyFont="1" applyFill="1" applyBorder="1" applyAlignment="1">
      <alignment horizontal="right" vertical="center"/>
    </xf>
    <xf numFmtId="0" fontId="112" fillId="52" borderId="87" xfId="0" applyFont="1" applyFill="1" applyBorder="1" applyAlignment="1">
      <alignment horizontal="right" vertical="center"/>
    </xf>
    <xf numFmtId="164" fontId="109" fillId="0" borderId="0" xfId="61" applyNumberFormat="1" applyFont="1" applyAlignment="1">
      <alignment horizontal="center" wrapText="1"/>
    </xf>
    <xf numFmtId="3" fontId="109" fillId="0" borderId="0" xfId="61" applyNumberFormat="1" applyFont="1" applyAlignment="1">
      <alignment horizontal="center"/>
    </xf>
    <xf numFmtId="9" fontId="105" fillId="35" borderId="17" xfId="0" applyNumberFormat="1" applyFont="1" applyFill="1" applyBorder="1" applyAlignment="1">
      <alignment horizontal="left"/>
    </xf>
    <xf numFmtId="164" fontId="104" fillId="35" borderId="0" xfId="61" applyNumberFormat="1" applyFont="1" applyFill="1" applyAlignment="1">
      <alignment horizontal="center"/>
    </xf>
    <xf numFmtId="0" fontId="19" fillId="0" borderId="0" xfId="0" applyFont="1" applyAlignment="1">
      <alignment horizontal="right"/>
    </xf>
    <xf numFmtId="164" fontId="0" fillId="0" borderId="30" xfId="0" applyNumberFormat="1" applyBorder="1" applyAlignment="1">
      <alignment horizontal="center"/>
    </xf>
    <xf numFmtId="8" fontId="63" fillId="0" borderId="0" xfId="0" applyNumberFormat="1" applyFont="1"/>
    <xf numFmtId="0" fontId="104" fillId="0" borderId="0" xfId="0" applyFont="1" applyAlignment="1">
      <alignment horizontal="right"/>
    </xf>
    <xf numFmtId="164" fontId="106" fillId="0" borderId="0" xfId="0" applyNumberFormat="1" applyFont="1" applyAlignment="1">
      <alignment horizontal="center"/>
    </xf>
    <xf numFmtId="0" fontId="9" fillId="0" borderId="18" xfId="61" applyFont="1" applyBorder="1"/>
    <xf numFmtId="166" fontId="57" fillId="0" borderId="0" xfId="58" applyNumberFormat="1" applyFont="1"/>
    <xf numFmtId="0" fontId="113" fillId="0" borderId="0" xfId="0" applyFont="1" applyProtection="1">
      <protection hidden="1"/>
    </xf>
    <xf numFmtId="0" fontId="113" fillId="0" borderId="38" xfId="0" applyFont="1" applyBorder="1" applyAlignment="1" applyProtection="1">
      <alignment horizontal="left"/>
      <protection hidden="1"/>
    </xf>
    <xf numFmtId="0" fontId="113" fillId="0" borderId="35" xfId="0" applyFont="1" applyBorder="1" applyAlignment="1" applyProtection="1">
      <alignment horizontal="left"/>
      <protection hidden="1"/>
    </xf>
    <xf numFmtId="0" fontId="113" fillId="0" borderId="0" xfId="0" applyFont="1" applyAlignment="1" applyProtection="1">
      <alignment horizontal="left"/>
      <protection hidden="1"/>
    </xf>
    <xf numFmtId="0" fontId="114" fillId="0" borderId="34" xfId="0" applyFont="1" applyBorder="1" applyAlignment="1" applyProtection="1">
      <alignment horizontal="left"/>
      <protection hidden="1"/>
    </xf>
    <xf numFmtId="0" fontId="113" fillId="0" borderId="36" xfId="0" applyFont="1" applyBorder="1" applyAlignment="1" applyProtection="1">
      <alignment horizontal="left"/>
      <protection hidden="1"/>
    </xf>
    <xf numFmtId="0" fontId="113" fillId="0" borderId="34" xfId="0" applyFont="1" applyBorder="1" applyAlignment="1" applyProtection="1">
      <alignment horizontal="left"/>
      <protection hidden="1"/>
    </xf>
    <xf numFmtId="0" fontId="115" fillId="0" borderId="34" xfId="0" applyFont="1" applyBorder="1" applyAlignment="1" applyProtection="1">
      <alignment horizontal="left"/>
      <protection hidden="1"/>
    </xf>
    <xf numFmtId="0" fontId="116" fillId="0" borderId="0" xfId="0" applyFont="1" applyAlignment="1" applyProtection="1">
      <alignment horizontal="left"/>
      <protection hidden="1"/>
    </xf>
    <xf numFmtId="0" fontId="117" fillId="0" borderId="34" xfId="0" applyFont="1" applyBorder="1" applyAlignment="1" applyProtection="1">
      <alignment horizontal="left"/>
      <protection hidden="1"/>
    </xf>
    <xf numFmtId="0" fontId="113" fillId="0" borderId="34" xfId="0" applyFont="1" applyBorder="1" applyAlignment="1" applyProtection="1">
      <alignment horizontal="left" wrapText="1"/>
      <protection hidden="1"/>
    </xf>
    <xf numFmtId="0" fontId="113" fillId="0" borderId="37" xfId="0" applyFont="1" applyBorder="1" applyAlignment="1" applyProtection="1">
      <alignment horizontal="left"/>
      <protection hidden="1"/>
    </xf>
    <xf numFmtId="0" fontId="113" fillId="0" borderId="0" xfId="0" applyFont="1" applyAlignment="1" applyProtection="1">
      <alignment vertical="top" wrapText="1"/>
      <protection hidden="1"/>
    </xf>
    <xf numFmtId="0" fontId="113" fillId="0" borderId="0" xfId="0" applyFont="1" applyAlignment="1" applyProtection="1">
      <alignment wrapText="1"/>
      <protection hidden="1"/>
    </xf>
    <xf numFmtId="0" fontId="113" fillId="0" borderId="0" xfId="59" applyFont="1" applyAlignment="1" applyProtection="1">
      <alignment horizontal="left"/>
      <protection hidden="1"/>
    </xf>
    <xf numFmtId="164" fontId="113" fillId="0" borderId="0" xfId="0" applyNumberFormat="1" applyFont="1" applyAlignment="1" applyProtection="1">
      <alignment horizontal="left"/>
      <protection hidden="1"/>
    </xf>
    <xf numFmtId="164" fontId="114" fillId="0" borderId="0" xfId="0" applyNumberFormat="1" applyFont="1" applyAlignment="1" applyProtection="1">
      <alignment horizontal="left"/>
      <protection hidden="1"/>
    </xf>
    <xf numFmtId="0" fontId="113" fillId="0" borderId="0" xfId="0" applyFont="1" applyAlignment="1" applyProtection="1">
      <alignment vertical="center" wrapText="1"/>
      <protection hidden="1"/>
    </xf>
    <xf numFmtId="0" fontId="113" fillId="0" borderId="0" xfId="0" applyFont="1" applyAlignment="1" applyProtection="1">
      <alignment horizontal="left" vertical="center" wrapText="1"/>
      <protection hidden="1"/>
    </xf>
    <xf numFmtId="0" fontId="114" fillId="0" borderId="0" xfId="59" applyFont="1" applyAlignment="1" applyProtection="1">
      <alignment horizontal="left"/>
      <protection hidden="1"/>
    </xf>
    <xf numFmtId="1" fontId="113" fillId="0" borderId="0" xfId="59" applyNumberFormat="1" applyFont="1" applyAlignment="1" applyProtection="1">
      <alignment horizontal="left"/>
      <protection hidden="1"/>
    </xf>
    <xf numFmtId="0" fontId="119" fillId="0" borderId="0" xfId="59" applyFont="1" applyAlignment="1" applyProtection="1">
      <alignment horizontal="left"/>
      <protection hidden="1"/>
    </xf>
    <xf numFmtId="170" fontId="114" fillId="0" borderId="0" xfId="0" applyNumberFormat="1" applyFont="1" applyAlignment="1" applyProtection="1">
      <alignment horizontal="left"/>
      <protection hidden="1"/>
    </xf>
    <xf numFmtId="0" fontId="113" fillId="37" borderId="0" xfId="59" applyFont="1" applyFill="1" applyAlignment="1" applyProtection="1">
      <alignment horizontal="left"/>
      <protection locked="0" hidden="1"/>
    </xf>
    <xf numFmtId="170" fontId="120" fillId="0" borderId="0" xfId="0" applyNumberFormat="1" applyFont="1" applyAlignment="1" applyProtection="1">
      <alignment horizontal="left"/>
      <protection hidden="1"/>
    </xf>
    <xf numFmtId="172" fontId="114" fillId="0" borderId="0" xfId="59" applyNumberFormat="1" applyFont="1" applyAlignment="1" applyProtection="1">
      <alignment horizontal="left"/>
      <protection hidden="1"/>
    </xf>
    <xf numFmtId="0" fontId="114" fillId="0" borderId="0" xfId="0" applyFont="1" applyAlignment="1" applyProtection="1">
      <alignment horizontal="left"/>
      <protection hidden="1"/>
    </xf>
    <xf numFmtId="3" fontId="113" fillId="0" borderId="0" xfId="59" applyNumberFormat="1" applyFont="1" applyAlignment="1" applyProtection="1">
      <alignment horizontal="left"/>
      <protection hidden="1"/>
    </xf>
    <xf numFmtId="164" fontId="113" fillId="0" borderId="3" xfId="0" applyNumberFormat="1" applyFont="1" applyBorder="1" applyAlignment="1" applyProtection="1">
      <alignment horizontal="left"/>
      <protection hidden="1"/>
    </xf>
    <xf numFmtId="164" fontId="113" fillId="0" borderId="3" xfId="59" applyNumberFormat="1" applyFont="1" applyBorder="1" applyAlignment="1" applyProtection="1">
      <alignment horizontal="left"/>
      <protection hidden="1"/>
    </xf>
    <xf numFmtId="164" fontId="113" fillId="0" borderId="0" xfId="59" applyNumberFormat="1" applyFont="1" applyAlignment="1" applyProtection="1">
      <alignment horizontal="left"/>
      <protection hidden="1"/>
    </xf>
    <xf numFmtId="164" fontId="114" fillId="0" borderId="12" xfId="59" applyNumberFormat="1" applyFont="1" applyBorder="1" applyAlignment="1" applyProtection="1">
      <alignment horizontal="left"/>
      <protection hidden="1"/>
    </xf>
    <xf numFmtId="164" fontId="114" fillId="41" borderId="49" xfId="59" applyNumberFormat="1" applyFont="1" applyFill="1" applyBorder="1" applyAlignment="1" applyProtection="1">
      <alignment horizontal="left"/>
      <protection hidden="1"/>
    </xf>
    <xf numFmtId="164" fontId="114" fillId="0" borderId="0" xfId="59" applyNumberFormat="1" applyFont="1" applyAlignment="1" applyProtection="1">
      <alignment horizontal="left"/>
      <protection hidden="1"/>
    </xf>
    <xf numFmtId="1" fontId="113" fillId="0" borderId="0" xfId="0" applyNumberFormat="1" applyFont="1" applyAlignment="1" applyProtection="1">
      <alignment horizontal="left"/>
      <protection hidden="1"/>
    </xf>
    <xf numFmtId="164" fontId="114" fillId="0" borderId="50" xfId="59" applyNumberFormat="1" applyFont="1" applyBorder="1" applyAlignment="1" applyProtection="1">
      <alignment horizontal="left"/>
      <protection hidden="1"/>
    </xf>
    <xf numFmtId="164" fontId="114" fillId="41" borderId="49" xfId="0" applyNumberFormat="1" applyFont="1" applyFill="1" applyBorder="1" applyAlignment="1" applyProtection="1">
      <alignment horizontal="left"/>
      <protection hidden="1"/>
    </xf>
    <xf numFmtId="164" fontId="118" fillId="0" borderId="0" xfId="0" applyNumberFormat="1" applyFont="1" applyAlignment="1" applyProtection="1">
      <alignment horizontal="left"/>
      <protection hidden="1"/>
    </xf>
    <xf numFmtId="164" fontId="121" fillId="0" borderId="0" xfId="0" applyNumberFormat="1" applyFont="1" applyAlignment="1" applyProtection="1">
      <alignment horizontal="left"/>
      <protection hidden="1"/>
    </xf>
    <xf numFmtId="164" fontId="114" fillId="0" borderId="3" xfId="0" applyNumberFormat="1" applyFont="1" applyBorder="1" applyAlignment="1" applyProtection="1">
      <alignment horizontal="left"/>
      <protection hidden="1"/>
    </xf>
    <xf numFmtId="164" fontId="113" fillId="0" borderId="41" xfId="59" applyNumberFormat="1" applyFont="1" applyBorder="1" applyAlignment="1" applyProtection="1">
      <alignment horizontal="left"/>
      <protection hidden="1"/>
    </xf>
    <xf numFmtId="0" fontId="114" fillId="0" borderId="40" xfId="59" applyFont="1" applyBorder="1" applyAlignment="1" applyProtection="1">
      <alignment horizontal="left"/>
      <protection hidden="1"/>
    </xf>
    <xf numFmtId="0" fontId="113" fillId="0" borderId="41" xfId="59" applyFont="1" applyBorder="1" applyAlignment="1" applyProtection="1">
      <alignment horizontal="left"/>
      <protection hidden="1"/>
    </xf>
    <xf numFmtId="164" fontId="113" fillId="0" borderId="62" xfId="59" applyNumberFormat="1" applyFont="1" applyBorder="1" applyAlignment="1" applyProtection="1">
      <alignment horizontal="left"/>
      <protection hidden="1"/>
    </xf>
    <xf numFmtId="164" fontId="113" fillId="0" borderId="64" xfId="59" applyNumberFormat="1" applyFont="1" applyBorder="1" applyAlignment="1" applyProtection="1">
      <alignment horizontal="left"/>
      <protection hidden="1"/>
    </xf>
    <xf numFmtId="164" fontId="114" fillId="0" borderId="40" xfId="59" applyNumberFormat="1" applyFont="1" applyBorder="1" applyAlignment="1" applyProtection="1">
      <alignment horizontal="left"/>
      <protection hidden="1"/>
    </xf>
    <xf numFmtId="0" fontId="113" fillId="0" borderId="47" xfId="59" applyFont="1" applyBorder="1" applyAlignment="1" applyProtection="1">
      <alignment horizontal="left"/>
      <protection hidden="1"/>
    </xf>
    <xf numFmtId="164" fontId="113" fillId="0" borderId="47" xfId="59" applyNumberFormat="1" applyFont="1" applyBorder="1" applyAlignment="1" applyProtection="1">
      <alignment horizontal="left"/>
      <protection hidden="1"/>
    </xf>
    <xf numFmtId="0" fontId="114" fillId="0" borderId="53" xfId="0" applyFont="1" applyBorder="1" applyAlignment="1" applyProtection="1">
      <alignment horizontal="left" vertical="center"/>
      <protection hidden="1"/>
    </xf>
    <xf numFmtId="0" fontId="114" fillId="0" borderId="24" xfId="0" applyFont="1" applyBorder="1" applyAlignment="1" applyProtection="1">
      <alignment horizontal="left" vertical="center"/>
      <protection hidden="1"/>
    </xf>
    <xf numFmtId="0" fontId="114" fillId="0" borderId="25" xfId="0" applyFont="1" applyBorder="1" applyAlignment="1" applyProtection="1">
      <alignment horizontal="left" vertical="center"/>
      <protection hidden="1"/>
    </xf>
    <xf numFmtId="0" fontId="114" fillId="0" borderId="32" xfId="0" applyFont="1" applyBorder="1" applyAlignment="1" applyProtection="1">
      <alignment horizontal="left" vertical="center"/>
      <protection hidden="1"/>
    </xf>
    <xf numFmtId="0" fontId="114" fillId="0" borderId="18" xfId="0" applyFont="1" applyBorder="1" applyAlignment="1" applyProtection="1">
      <alignment horizontal="left" vertical="center"/>
      <protection hidden="1"/>
    </xf>
    <xf numFmtId="0" fontId="114" fillId="0" borderId="52" xfId="0" applyFont="1" applyBorder="1" applyAlignment="1" applyProtection="1">
      <alignment horizontal="left" vertical="center"/>
      <protection hidden="1"/>
    </xf>
    <xf numFmtId="0" fontId="113" fillId="0" borderId="20" xfId="0" applyFont="1" applyBorder="1" applyAlignment="1" applyProtection="1">
      <alignment horizontal="left"/>
      <protection hidden="1"/>
    </xf>
    <xf numFmtId="0" fontId="113" fillId="0" borderId="3" xfId="0" applyFont="1" applyBorder="1" applyAlignment="1" applyProtection="1">
      <alignment horizontal="left"/>
      <protection hidden="1"/>
    </xf>
    <xf numFmtId="0" fontId="113" fillId="0" borderId="59" xfId="0" applyFont="1" applyBorder="1" applyAlignment="1" applyProtection="1">
      <alignment horizontal="left"/>
      <protection hidden="1"/>
    </xf>
    <xf numFmtId="0" fontId="125" fillId="0" borderId="20" xfId="0" applyFont="1" applyBorder="1" applyAlignment="1" applyProtection="1">
      <alignment horizontal="left"/>
      <protection hidden="1"/>
    </xf>
    <xf numFmtId="0" fontId="125" fillId="0" borderId="3" xfId="0" applyFont="1" applyBorder="1" applyAlignment="1" applyProtection="1">
      <alignment horizontal="left"/>
      <protection hidden="1"/>
    </xf>
    <xf numFmtId="0" fontId="125" fillId="0" borderId="59" xfId="0" applyFont="1" applyBorder="1" applyAlignment="1" applyProtection="1">
      <alignment horizontal="left"/>
      <protection hidden="1"/>
    </xf>
    <xf numFmtId="0" fontId="114" fillId="24" borderId="40" xfId="0" applyFont="1" applyFill="1" applyBorder="1" applyAlignment="1" applyProtection="1">
      <alignment horizontal="left" wrapText="1"/>
      <protection hidden="1"/>
    </xf>
    <xf numFmtId="0" fontId="113" fillId="0" borderId="42" xfId="0" applyFont="1" applyBorder="1" applyAlignment="1" applyProtection="1">
      <alignment horizontal="left"/>
      <protection hidden="1"/>
    </xf>
    <xf numFmtId="0" fontId="113" fillId="24" borderId="41" xfId="0" applyFont="1" applyFill="1" applyBorder="1" applyAlignment="1" applyProtection="1">
      <alignment horizontal="left"/>
      <protection hidden="1"/>
    </xf>
    <xf numFmtId="0" fontId="113" fillId="0" borderId="12" xfId="0" applyFont="1" applyBorder="1" applyAlignment="1" applyProtection="1">
      <alignment horizontal="left"/>
      <protection hidden="1"/>
    </xf>
    <xf numFmtId="0" fontId="126" fillId="0" borderId="0" xfId="0" applyFont="1" applyAlignment="1" applyProtection="1">
      <alignment horizontal="left"/>
      <protection hidden="1"/>
    </xf>
    <xf numFmtId="0" fontId="113" fillId="40" borderId="26" xfId="0" applyFont="1" applyFill="1" applyBorder="1" applyAlignment="1" applyProtection="1">
      <alignment horizontal="left"/>
      <protection hidden="1"/>
    </xf>
    <xf numFmtId="0" fontId="113" fillId="40" borderId="0" xfId="0" applyFont="1" applyFill="1" applyAlignment="1" applyProtection="1">
      <alignment horizontal="left"/>
      <protection hidden="1"/>
    </xf>
    <xf numFmtId="0" fontId="113" fillId="40" borderId="27" xfId="0" applyFont="1" applyFill="1" applyBorder="1" applyAlignment="1" applyProtection="1">
      <alignment horizontal="left"/>
      <protection hidden="1"/>
    </xf>
    <xf numFmtId="0" fontId="113" fillId="24" borderId="47" xfId="0" applyFont="1" applyFill="1" applyBorder="1" applyAlignment="1" applyProtection="1">
      <alignment horizontal="left"/>
      <protection hidden="1"/>
    </xf>
    <xf numFmtId="0" fontId="113" fillId="0" borderId="44" xfId="0" applyFont="1" applyBorder="1" applyAlignment="1" applyProtection="1">
      <alignment horizontal="left"/>
      <protection hidden="1"/>
    </xf>
    <xf numFmtId="0" fontId="113" fillId="0" borderId="3" xfId="0" applyFont="1" applyBorder="1" applyAlignment="1" applyProtection="1">
      <alignment horizontal="left" vertical="center" wrapText="1"/>
      <protection hidden="1"/>
    </xf>
    <xf numFmtId="0" fontId="125" fillId="0" borderId="20" xfId="0" applyFont="1" applyBorder="1" applyAlignment="1" applyProtection="1">
      <alignment horizontal="left" vertical="center" wrapText="1"/>
      <protection hidden="1"/>
    </xf>
    <xf numFmtId="0" fontId="125" fillId="0" borderId="3" xfId="0" applyFont="1" applyBorder="1" applyAlignment="1" applyProtection="1">
      <alignment horizontal="left" vertical="center" wrapText="1"/>
      <protection hidden="1"/>
    </xf>
    <xf numFmtId="0" fontId="125" fillId="0" borderId="54" xfId="0" applyFont="1" applyBorder="1" applyAlignment="1" applyProtection="1">
      <alignment horizontal="left" vertical="center" wrapText="1"/>
      <protection hidden="1"/>
    </xf>
    <xf numFmtId="0" fontId="113" fillId="0" borderId="3" xfId="0" applyFont="1" applyBorder="1" applyAlignment="1" applyProtection="1">
      <alignment horizontal="left" vertical="center"/>
      <protection hidden="1"/>
    </xf>
    <xf numFmtId="0" fontId="118" fillId="0" borderId="0" xfId="59" applyFont="1" applyAlignment="1" applyProtection="1">
      <alignment horizontal="left"/>
      <protection hidden="1"/>
    </xf>
    <xf numFmtId="6" fontId="113" fillId="0" borderId="0" xfId="59" applyNumberFormat="1" applyFont="1" applyAlignment="1" applyProtection="1">
      <alignment horizontal="left"/>
      <protection hidden="1"/>
    </xf>
    <xf numFmtId="164" fontId="113" fillId="40" borderId="0" xfId="59" applyNumberFormat="1" applyFont="1" applyFill="1" applyAlignment="1" applyProtection="1">
      <alignment horizontal="left"/>
      <protection hidden="1"/>
    </xf>
    <xf numFmtId="164" fontId="113" fillId="46" borderId="0" xfId="0" applyNumberFormat="1" applyFont="1" applyFill="1" applyAlignment="1" applyProtection="1">
      <alignment horizontal="left"/>
      <protection hidden="1"/>
    </xf>
    <xf numFmtId="166" fontId="113" fillId="0" borderId="0" xfId="0" applyNumberFormat="1" applyFont="1" applyAlignment="1" applyProtection="1">
      <alignment horizontal="left"/>
      <protection hidden="1"/>
    </xf>
    <xf numFmtId="166" fontId="113" fillId="0" borderId="0" xfId="59" applyNumberFormat="1" applyFont="1" applyAlignment="1" applyProtection="1">
      <alignment horizontal="left"/>
      <protection hidden="1"/>
    </xf>
    <xf numFmtId="3" fontId="113" fillId="0" borderId="0" xfId="0" applyNumberFormat="1" applyFont="1" applyAlignment="1" applyProtection="1">
      <alignment horizontal="left"/>
      <protection hidden="1"/>
    </xf>
    <xf numFmtId="0" fontId="116" fillId="0" borderId="0" xfId="59" applyFont="1" applyAlignment="1" applyProtection="1">
      <alignment horizontal="left"/>
      <protection hidden="1"/>
    </xf>
    <xf numFmtId="0" fontId="121" fillId="0" borderId="0" xfId="59" applyFont="1" applyAlignment="1" applyProtection="1">
      <alignment horizontal="left"/>
      <protection hidden="1"/>
    </xf>
    <xf numFmtId="164" fontId="121" fillId="46" borderId="0" xfId="59" applyNumberFormat="1" applyFont="1" applyFill="1" applyAlignment="1" applyProtection="1">
      <alignment horizontal="left"/>
      <protection hidden="1"/>
    </xf>
    <xf numFmtId="164" fontId="122" fillId="0" borderId="0" xfId="0" applyNumberFormat="1" applyFont="1" applyAlignment="1" applyProtection="1">
      <alignment horizontal="left"/>
      <protection hidden="1"/>
    </xf>
    <xf numFmtId="164" fontId="123" fillId="0" borderId="0" xfId="0" applyNumberFormat="1" applyFont="1" applyAlignment="1" applyProtection="1">
      <alignment horizontal="left"/>
      <protection hidden="1"/>
    </xf>
    <xf numFmtId="164" fontId="113" fillId="0" borderId="0" xfId="59" applyNumberFormat="1" applyFont="1" applyAlignment="1" applyProtection="1">
      <alignment horizontal="left" wrapText="1"/>
      <protection hidden="1"/>
    </xf>
    <xf numFmtId="164" fontId="114" fillId="0" borderId="3" xfId="59" applyNumberFormat="1" applyFont="1" applyBorder="1" applyAlignment="1" applyProtection="1">
      <alignment horizontal="left"/>
      <protection hidden="1"/>
    </xf>
    <xf numFmtId="0" fontId="114" fillId="0" borderId="55" xfId="59" applyFont="1" applyBorder="1" applyAlignment="1" applyProtection="1">
      <alignment horizontal="left"/>
      <protection hidden="1"/>
    </xf>
    <xf numFmtId="0" fontId="113" fillId="0" borderId="16" xfId="0" applyFont="1" applyBorder="1" applyAlignment="1" applyProtection="1">
      <alignment horizontal="left"/>
      <protection hidden="1"/>
    </xf>
    <xf numFmtId="0" fontId="114" fillId="0" borderId="56" xfId="59" applyFont="1" applyBorder="1" applyAlignment="1" applyProtection="1">
      <alignment horizontal="left"/>
      <protection hidden="1"/>
    </xf>
    <xf numFmtId="164" fontId="113" fillId="0" borderId="42" xfId="59" applyNumberFormat="1" applyFont="1" applyBorder="1" applyAlignment="1" applyProtection="1">
      <alignment horizontal="left"/>
      <protection hidden="1"/>
    </xf>
    <xf numFmtId="164" fontId="114" fillId="0" borderId="43" xfId="59" applyNumberFormat="1" applyFont="1" applyBorder="1" applyAlignment="1" applyProtection="1">
      <alignment horizontal="left"/>
      <protection hidden="1"/>
    </xf>
    <xf numFmtId="164" fontId="113" fillId="0" borderId="12" xfId="59" applyNumberFormat="1" applyFont="1" applyBorder="1" applyAlignment="1" applyProtection="1">
      <alignment horizontal="left"/>
      <protection hidden="1"/>
    </xf>
    <xf numFmtId="9" fontId="114" fillId="0" borderId="39" xfId="59" applyNumberFormat="1" applyFont="1" applyBorder="1" applyAlignment="1" applyProtection="1">
      <alignment horizontal="left"/>
      <protection hidden="1"/>
    </xf>
    <xf numFmtId="0" fontId="113" fillId="0" borderId="0" xfId="0" applyFont="1" applyAlignment="1" applyProtection="1">
      <alignment horizontal="left" wrapText="1"/>
      <protection hidden="1"/>
    </xf>
    <xf numFmtId="164" fontId="124" fillId="0" borderId="0" xfId="0" applyNumberFormat="1" applyFont="1" applyAlignment="1">
      <alignment horizontal="left"/>
    </xf>
    <xf numFmtId="0" fontId="114" fillId="0" borderId="43" xfId="0" applyFont="1" applyBorder="1" applyAlignment="1" applyProtection="1">
      <alignment horizontal="left"/>
      <protection hidden="1"/>
    </xf>
    <xf numFmtId="164" fontId="121" fillId="0" borderId="0" xfId="61" applyNumberFormat="1" applyFont="1" applyAlignment="1">
      <alignment horizontal="left"/>
    </xf>
    <xf numFmtId="3" fontId="113" fillId="0" borderId="39" xfId="59" applyNumberFormat="1" applyFont="1" applyBorder="1" applyAlignment="1" applyProtection="1">
      <alignment horizontal="left"/>
      <protection hidden="1"/>
    </xf>
    <xf numFmtId="164" fontId="113" fillId="0" borderId="33" xfId="59" applyNumberFormat="1" applyFont="1" applyBorder="1" applyAlignment="1" applyProtection="1">
      <alignment horizontal="left"/>
      <protection hidden="1"/>
    </xf>
    <xf numFmtId="9" fontId="114" fillId="0" borderId="63" xfId="59" applyNumberFormat="1" applyFont="1" applyBorder="1" applyAlignment="1" applyProtection="1">
      <alignment horizontal="left"/>
      <protection hidden="1"/>
    </xf>
    <xf numFmtId="164" fontId="113" fillId="0" borderId="65" xfId="59" applyNumberFormat="1" applyFont="1" applyBorder="1" applyAlignment="1" applyProtection="1">
      <alignment horizontal="left"/>
      <protection hidden="1"/>
    </xf>
    <xf numFmtId="9" fontId="114" fillId="0" borderId="66" xfId="59" applyNumberFormat="1" applyFont="1" applyBorder="1" applyAlignment="1" applyProtection="1">
      <alignment horizontal="left"/>
      <protection hidden="1"/>
    </xf>
    <xf numFmtId="9" fontId="114" fillId="0" borderId="0" xfId="59" applyNumberFormat="1" applyFont="1" applyAlignment="1" applyProtection="1">
      <alignment horizontal="left"/>
      <protection hidden="1"/>
    </xf>
    <xf numFmtId="9" fontId="114" fillId="0" borderId="43" xfId="59" applyNumberFormat="1" applyFont="1" applyBorder="1" applyAlignment="1" applyProtection="1">
      <alignment horizontal="left"/>
      <protection hidden="1"/>
    </xf>
    <xf numFmtId="3" fontId="113" fillId="0" borderId="46" xfId="59" applyNumberFormat="1" applyFont="1" applyBorder="1" applyAlignment="1" applyProtection="1">
      <alignment horizontal="left"/>
      <protection hidden="1"/>
    </xf>
    <xf numFmtId="164" fontId="113" fillId="0" borderId="44" xfId="59" applyNumberFormat="1" applyFont="1" applyBorder="1" applyAlignment="1" applyProtection="1">
      <alignment horizontal="left"/>
      <protection hidden="1"/>
    </xf>
    <xf numFmtId="164" fontId="114" fillId="0" borderId="46" xfId="59" applyNumberFormat="1" applyFont="1" applyBorder="1" applyAlignment="1" applyProtection="1">
      <alignment horizontal="left"/>
      <protection hidden="1"/>
    </xf>
    <xf numFmtId="0" fontId="115" fillId="41" borderId="23" xfId="0" applyFont="1" applyFill="1" applyBorder="1" applyAlignment="1" applyProtection="1">
      <alignment horizontal="left"/>
      <protection hidden="1"/>
    </xf>
    <xf numFmtId="0" fontId="113" fillId="0" borderId="51" xfId="0" applyFont="1" applyBorder="1" applyAlignment="1" applyProtection="1">
      <alignment horizontal="left"/>
      <protection hidden="1"/>
    </xf>
    <xf numFmtId="0" fontId="114" fillId="41" borderId="26" xfId="0" applyFont="1" applyFill="1" applyBorder="1" applyAlignment="1" applyProtection="1">
      <alignment horizontal="left"/>
      <protection hidden="1"/>
    </xf>
    <xf numFmtId="0" fontId="113" fillId="0" borderId="15" xfId="0" applyFont="1" applyBorder="1" applyAlignment="1" applyProtection="1">
      <alignment horizontal="left"/>
      <protection hidden="1"/>
    </xf>
    <xf numFmtId="164" fontId="113" fillId="0" borderId="12" xfId="0" applyNumberFormat="1" applyFont="1" applyBorder="1" applyAlignment="1" applyProtection="1">
      <alignment horizontal="left"/>
      <protection hidden="1"/>
    </xf>
    <xf numFmtId="0" fontId="113" fillId="0" borderId="12" xfId="0" applyFont="1" applyBorder="1" applyAlignment="1" applyProtection="1">
      <alignment horizontal="left" wrapText="1"/>
      <protection hidden="1"/>
    </xf>
    <xf numFmtId="0" fontId="114" fillId="0" borderId="42" xfId="0" applyFont="1" applyBorder="1" applyAlignment="1" applyProtection="1">
      <alignment horizontal="left"/>
      <protection hidden="1"/>
    </xf>
    <xf numFmtId="0" fontId="114" fillId="0" borderId="42" xfId="0" applyFont="1" applyBorder="1" applyAlignment="1" applyProtection="1">
      <alignment horizontal="left" wrapText="1"/>
      <protection hidden="1"/>
    </xf>
    <xf numFmtId="164" fontId="113" fillId="0" borderId="0" xfId="61" applyNumberFormat="1" applyFont="1" applyAlignment="1" applyProtection="1">
      <alignment horizontal="left"/>
      <protection hidden="1"/>
    </xf>
    <xf numFmtId="164" fontId="113" fillId="40" borderId="0" xfId="0" applyNumberFormat="1" applyFont="1" applyFill="1" applyAlignment="1" applyProtection="1">
      <alignment horizontal="left"/>
      <protection hidden="1"/>
    </xf>
    <xf numFmtId="164" fontId="113" fillId="0" borderId="44" xfId="0" applyNumberFormat="1" applyFont="1" applyBorder="1" applyAlignment="1" applyProtection="1">
      <alignment horizontal="left"/>
      <protection hidden="1"/>
    </xf>
    <xf numFmtId="0" fontId="113" fillId="0" borderId="0" xfId="0" applyFont="1" applyAlignment="1" applyProtection="1">
      <alignment horizontal="left" vertical="center"/>
      <protection hidden="1"/>
    </xf>
    <xf numFmtId="0" fontId="125" fillId="0" borderId="3" xfId="0" applyFont="1" applyBorder="1" applyAlignment="1" applyProtection="1">
      <alignment horizontal="left" vertical="center"/>
      <protection hidden="1"/>
    </xf>
    <xf numFmtId="0" fontId="125" fillId="0" borderId="0" xfId="0" applyFont="1" applyAlignment="1" applyProtection="1">
      <alignment horizontal="left" vertical="center"/>
      <protection hidden="1"/>
    </xf>
    <xf numFmtId="0" fontId="113" fillId="0" borderId="0" xfId="59" applyFont="1" applyProtection="1">
      <protection hidden="1"/>
    </xf>
    <xf numFmtId="0" fontId="114" fillId="0" borderId="0" xfId="59" applyFont="1" applyProtection="1">
      <protection hidden="1"/>
    </xf>
    <xf numFmtId="169" fontId="113" fillId="0" borderId="0" xfId="0" applyNumberFormat="1" applyFont="1" applyProtection="1">
      <protection hidden="1"/>
    </xf>
    <xf numFmtId="3" fontId="113" fillId="0" borderId="0" xfId="59" applyNumberFormat="1" applyFont="1" applyProtection="1">
      <protection hidden="1"/>
    </xf>
    <xf numFmtId="166" fontId="113" fillId="0" borderId="0" xfId="59" applyNumberFormat="1" applyFont="1" applyProtection="1">
      <protection hidden="1"/>
    </xf>
    <xf numFmtId="1" fontId="113" fillId="0" borderId="0" xfId="0" applyNumberFormat="1" applyFont="1" applyProtection="1">
      <protection hidden="1"/>
    </xf>
    <xf numFmtId="0" fontId="115" fillId="0" borderId="0" xfId="0" applyFont="1" applyAlignment="1" applyProtection="1">
      <alignment horizontal="left"/>
      <protection hidden="1"/>
    </xf>
    <xf numFmtId="1" fontId="4" fillId="0" borderId="0" xfId="61" applyNumberFormat="1" applyFont="1" applyAlignment="1">
      <alignment vertical="center"/>
    </xf>
    <xf numFmtId="9" fontId="4" fillId="34" borderId="0" xfId="61" applyNumberFormat="1" applyFont="1" applyFill="1" applyAlignment="1">
      <alignment horizontal="center"/>
    </xf>
    <xf numFmtId="164" fontId="4" fillId="34" borderId="0" xfId="61" applyNumberFormat="1" applyFont="1" applyFill="1" applyAlignment="1">
      <alignment horizontal="center"/>
    </xf>
    <xf numFmtId="164" fontId="4" fillId="37" borderId="0" xfId="61" applyNumberFormat="1" applyFont="1" applyFill="1" applyAlignment="1">
      <alignment horizontal="center"/>
    </xf>
    <xf numFmtId="1" fontId="4" fillId="34" borderId="12" xfId="61" applyNumberFormat="1" applyFont="1" applyFill="1" applyBorder="1" applyAlignment="1">
      <alignment horizontal="center" wrapText="1"/>
    </xf>
    <xf numFmtId="0" fontId="4" fillId="42" borderId="0" xfId="61" applyFont="1" applyFill="1"/>
    <xf numFmtId="164" fontId="4" fillId="37" borderId="12" xfId="61" applyNumberFormat="1" applyFont="1" applyFill="1" applyBorder="1" applyAlignment="1">
      <alignment horizontal="center"/>
    </xf>
    <xf numFmtId="1" fontId="4" fillId="42" borderId="0" xfId="61" applyNumberFormat="1" applyFont="1" applyFill="1" applyAlignment="1">
      <alignment horizontal="center"/>
    </xf>
    <xf numFmtId="1" fontId="4" fillId="0" borderId="30" xfId="61" applyNumberFormat="1" applyFont="1" applyBorder="1" applyAlignment="1">
      <alignment horizontal="center"/>
    </xf>
    <xf numFmtId="164" fontId="4" fillId="37" borderId="30" xfId="61" applyNumberFormat="1" applyFont="1" applyFill="1" applyBorder="1"/>
    <xf numFmtId="164" fontId="4" fillId="37" borderId="30" xfId="61" applyNumberFormat="1" applyFont="1" applyFill="1" applyBorder="1" applyAlignment="1">
      <alignment horizontal="center"/>
    </xf>
    <xf numFmtId="164" fontId="4" fillId="0" borderId="30" xfId="61" applyNumberFormat="1" applyFont="1" applyBorder="1"/>
    <xf numFmtId="171" fontId="4" fillId="60" borderId="12" xfId="61" applyNumberFormat="1" applyFont="1" applyFill="1" applyBorder="1" applyAlignment="1">
      <alignment horizontal="left"/>
    </xf>
    <xf numFmtId="3" fontId="4" fillId="34" borderId="12" xfId="61" applyNumberFormat="1" applyFont="1" applyFill="1" applyBorder="1" applyAlignment="1">
      <alignment horizontal="center"/>
    </xf>
    <xf numFmtId="174" fontId="4" fillId="0" borderId="0" xfId="61" applyNumberFormat="1" applyFont="1"/>
    <xf numFmtId="171" fontId="4" fillId="0" borderId="12" xfId="61" applyNumberFormat="1" applyFont="1" applyBorder="1" applyAlignment="1">
      <alignment horizontal="left"/>
    </xf>
    <xf numFmtId="171" fontId="64" fillId="0" borderId="12" xfId="61" applyNumberFormat="1" applyFont="1" applyBorder="1" applyAlignment="1">
      <alignment horizontal="left"/>
    </xf>
    <xf numFmtId="171" fontId="4" fillId="37" borderId="12" xfId="61" applyNumberFormat="1" applyFont="1" applyFill="1" applyBorder="1" applyAlignment="1">
      <alignment horizontal="left"/>
    </xf>
    <xf numFmtId="6" fontId="4" fillId="0" borderId="0" xfId="61" applyNumberFormat="1" applyFont="1" applyAlignment="1">
      <alignment horizontal="center"/>
    </xf>
    <xf numFmtId="0" fontId="113" fillId="41" borderId="45" xfId="0" applyFont="1" applyFill="1" applyBorder="1" applyAlignment="1" applyProtection="1">
      <alignment horizontal="left"/>
      <protection hidden="1"/>
    </xf>
    <xf numFmtId="0" fontId="113" fillId="41" borderId="30" xfId="0" applyFont="1" applyFill="1" applyBorder="1" applyAlignment="1" applyProtection="1">
      <alignment horizontal="left"/>
      <protection hidden="1"/>
    </xf>
    <xf numFmtId="0" fontId="113" fillId="41" borderId="58" xfId="0" applyFont="1" applyFill="1" applyBorder="1" applyAlignment="1" applyProtection="1">
      <alignment horizontal="left"/>
      <protection hidden="1"/>
    </xf>
    <xf numFmtId="164" fontId="63" fillId="0" borderId="31" xfId="0" applyNumberFormat="1" applyFont="1" applyBorder="1" applyAlignment="1">
      <alignment horizontal="center"/>
    </xf>
    <xf numFmtId="0" fontId="63" fillId="0" borderId="15" xfId="0" applyFont="1" applyBorder="1"/>
    <xf numFmtId="166" fontId="63" fillId="0" borderId="15" xfId="0" applyNumberFormat="1" applyFont="1" applyBorder="1"/>
    <xf numFmtId="164" fontId="63" fillId="0" borderId="15" xfId="0" applyNumberFormat="1" applyFont="1" applyBorder="1" applyAlignment="1">
      <alignment horizontal="center"/>
    </xf>
    <xf numFmtId="0" fontId="63" fillId="0" borderId="33" xfId="0" applyFont="1" applyBorder="1"/>
    <xf numFmtId="0" fontId="63" fillId="0" borderId="31" xfId="0" applyFont="1" applyBorder="1"/>
    <xf numFmtId="0" fontId="64" fillId="0" borderId="0" xfId="0" applyFont="1" applyAlignment="1">
      <alignment horizontal="left" wrapText="1"/>
    </xf>
    <xf numFmtId="3" fontId="0" fillId="37" borderId="0" xfId="0" applyNumberFormat="1" applyFill="1" applyAlignment="1">
      <alignment horizontal="center"/>
    </xf>
    <xf numFmtId="1" fontId="0" fillId="37" borderId="0" xfId="0" applyNumberFormat="1" applyFill="1" applyAlignment="1">
      <alignment horizontal="center"/>
    </xf>
    <xf numFmtId="164" fontId="4" fillId="36" borderId="0" xfId="0" applyNumberFormat="1" applyFont="1" applyFill="1" applyAlignment="1">
      <alignment horizontal="center"/>
    </xf>
    <xf numFmtId="0" fontId="64" fillId="0" borderId="0" xfId="0" applyFont="1" applyAlignment="1">
      <alignment wrapText="1"/>
    </xf>
    <xf numFmtId="0" fontId="127" fillId="0" borderId="0" xfId="0" applyFont="1"/>
    <xf numFmtId="0" fontId="128" fillId="0" borderId="0" xfId="0" applyFont="1"/>
    <xf numFmtId="0" fontId="127" fillId="0" borderId="0" xfId="0" applyFont="1" applyAlignment="1">
      <alignment wrapText="1"/>
    </xf>
    <xf numFmtId="1" fontId="0" fillId="37" borderId="18" xfId="0" applyNumberFormat="1" applyFill="1" applyBorder="1" applyAlignment="1">
      <alignment horizontal="center"/>
    </xf>
    <xf numFmtId="3" fontId="4" fillId="37" borderId="0" xfId="0" applyNumberFormat="1" applyFont="1" applyFill="1" applyAlignment="1">
      <alignment horizontal="center"/>
    </xf>
    <xf numFmtId="0" fontId="63" fillId="34" borderId="0" xfId="0" applyFont="1" applyFill="1" applyAlignment="1">
      <alignment horizontal="center" wrapText="1"/>
    </xf>
    <xf numFmtId="0" fontId="63" fillId="34" borderId="0" xfId="0" applyFont="1" applyFill="1" applyAlignment="1">
      <alignment horizontal="center"/>
    </xf>
    <xf numFmtId="164" fontId="63" fillId="34" borderId="0" xfId="0" applyNumberFormat="1" applyFont="1" applyFill="1" applyAlignment="1">
      <alignment horizontal="center"/>
    </xf>
    <xf numFmtId="0" fontId="0" fillId="37" borderId="0" xfId="0" applyFill="1"/>
    <xf numFmtId="175" fontId="4" fillId="35" borderId="17" xfId="0" applyNumberFormat="1" applyFont="1" applyFill="1" applyBorder="1"/>
    <xf numFmtId="43" fontId="50" fillId="0" borderId="0" xfId="0" applyNumberFormat="1" applyFont="1"/>
    <xf numFmtId="0" fontId="63" fillId="0" borderId="0" xfId="87" applyFont="1"/>
    <xf numFmtId="164" fontId="63" fillId="0" borderId="0" xfId="87" applyNumberFormat="1" applyFont="1" applyAlignment="1">
      <alignment horizontal="center"/>
    </xf>
    <xf numFmtId="164" fontId="63" fillId="35" borderId="0" xfId="87" applyNumberFormat="1" applyFont="1" applyFill="1" applyAlignment="1">
      <alignment horizontal="center"/>
    </xf>
    <xf numFmtId="0" fontId="50" fillId="0" borderId="0" xfId="0" applyFont="1" applyAlignment="1">
      <alignment horizontal="center"/>
    </xf>
    <xf numFmtId="164" fontId="129" fillId="0" borderId="0" xfId="61" applyNumberFormat="1" applyFont="1" applyAlignment="1">
      <alignment horizontal="center"/>
    </xf>
    <xf numFmtId="10" fontId="63" fillId="0" borderId="0" xfId="100" applyNumberFormat="1" applyFont="1" applyAlignment="1">
      <alignment horizontal="center"/>
    </xf>
    <xf numFmtId="10" fontId="63" fillId="0" borderId="0" xfId="0" applyNumberFormat="1" applyFont="1" applyAlignment="1">
      <alignment horizontal="center"/>
    </xf>
    <xf numFmtId="10" fontId="9" fillId="0" borderId="0" xfId="100" applyNumberFormat="1" applyFont="1" applyAlignment="1">
      <alignment horizontal="center"/>
    </xf>
    <xf numFmtId="10" fontId="0" fillId="0" borderId="0" xfId="0" applyNumberFormat="1" applyAlignment="1">
      <alignment horizontal="center"/>
    </xf>
    <xf numFmtId="0" fontId="4" fillId="0" borderId="32" xfId="0" applyFont="1" applyBorder="1" applyAlignment="1">
      <alignment horizontal="center"/>
    </xf>
    <xf numFmtId="10" fontId="9" fillId="0" borderId="0" xfId="0" applyNumberFormat="1" applyFont="1" applyAlignment="1">
      <alignment horizontal="center"/>
    </xf>
    <xf numFmtId="10" fontId="9" fillId="0" borderId="30" xfId="0" applyNumberFormat="1" applyFont="1" applyBorder="1" applyAlignment="1">
      <alignment horizontal="center"/>
    </xf>
    <xf numFmtId="0" fontId="0" fillId="0" borderId="30" xfId="0" applyBorder="1" applyAlignment="1">
      <alignment horizontal="center"/>
    </xf>
    <xf numFmtId="0" fontId="129" fillId="0" borderId="0" xfId="61" applyFont="1" applyAlignment="1">
      <alignment horizontal="center"/>
    </xf>
    <xf numFmtId="3" fontId="130" fillId="0" borderId="0" xfId="61" applyNumberFormat="1" applyFont="1" applyAlignment="1">
      <alignment horizontal="center"/>
    </xf>
    <xf numFmtId="0" fontId="116" fillId="0" borderId="12" xfId="0" applyFont="1" applyBorder="1" applyAlignment="1" applyProtection="1">
      <alignment horizontal="left"/>
      <protection hidden="1"/>
    </xf>
    <xf numFmtId="0" fontId="9" fillId="35" borderId="12" xfId="61" applyFont="1" applyFill="1" applyBorder="1" applyAlignment="1">
      <alignment horizontal="center" wrapText="1"/>
    </xf>
    <xf numFmtId="164" fontId="64" fillId="0" borderId="12" xfId="61" applyNumberFormat="1" applyFont="1" applyBorder="1" applyAlignment="1">
      <alignment horizontal="center" wrapText="1"/>
    </xf>
    <xf numFmtId="164" fontId="113" fillId="0" borderId="39" xfId="0" applyNumberFormat="1" applyFont="1" applyBorder="1" applyAlignment="1" applyProtection="1">
      <alignment horizontal="left"/>
      <protection hidden="1"/>
    </xf>
    <xf numFmtId="164" fontId="113" fillId="24" borderId="12" xfId="0" applyNumberFormat="1" applyFont="1" applyFill="1" applyBorder="1" applyAlignment="1" applyProtection="1">
      <alignment horizontal="left"/>
      <protection hidden="1"/>
    </xf>
    <xf numFmtId="164" fontId="113" fillId="24" borderId="44" xfId="0" applyNumberFormat="1" applyFont="1" applyFill="1" applyBorder="1" applyAlignment="1" applyProtection="1">
      <alignment horizontal="left"/>
      <protection hidden="1"/>
    </xf>
    <xf numFmtId="164" fontId="113" fillId="0" borderId="46" xfId="0" applyNumberFormat="1" applyFont="1" applyBorder="1" applyAlignment="1" applyProtection="1">
      <alignment horizontal="left"/>
      <protection hidden="1"/>
    </xf>
    <xf numFmtId="0" fontId="0" fillId="0" borderId="0" xfId="0" applyAlignment="1">
      <alignment wrapText="1"/>
    </xf>
    <xf numFmtId="49" fontId="111" fillId="52" borderId="85" xfId="0" applyNumberFormat="1" applyFont="1" applyFill="1" applyBorder="1" applyAlignment="1">
      <alignment horizontal="center" vertical="center" wrapText="1"/>
    </xf>
    <xf numFmtId="49" fontId="111" fillId="52" borderId="88" xfId="0" applyNumberFormat="1" applyFont="1" applyFill="1" applyBorder="1" applyAlignment="1">
      <alignment horizontal="center" vertical="center" wrapText="1"/>
    </xf>
    <xf numFmtId="0" fontId="0" fillId="0" borderId="12" xfId="0" applyBorder="1" applyAlignment="1">
      <alignment wrapText="1"/>
    </xf>
    <xf numFmtId="0" fontId="131" fillId="0" borderId="0" xfId="0" applyFont="1"/>
    <xf numFmtId="0" fontId="57" fillId="0" borderId="0" xfId="58" applyFont="1" applyAlignment="1">
      <alignment wrapText="1"/>
    </xf>
    <xf numFmtId="164" fontId="4" fillId="0" borderId="12" xfId="58" applyNumberFormat="1" applyFont="1" applyBorder="1" applyAlignment="1">
      <alignment horizontal="center" vertical="center"/>
    </xf>
    <xf numFmtId="164" fontId="4" fillId="0" borderId="12" xfId="58" applyNumberFormat="1" applyFont="1" applyBorder="1" applyAlignment="1">
      <alignment horizontal="center" vertical="center" wrapText="1"/>
    </xf>
    <xf numFmtId="8" fontId="63" fillId="37" borderId="0" xfId="0" applyNumberFormat="1" applyFont="1" applyFill="1" applyAlignment="1">
      <alignment horizontal="center"/>
    </xf>
    <xf numFmtId="0" fontId="114" fillId="0" borderId="12" xfId="0" applyFont="1" applyBorder="1" applyAlignment="1" applyProtection="1">
      <alignment horizontal="center"/>
      <protection hidden="1"/>
    </xf>
    <xf numFmtId="0" fontId="113" fillId="0" borderId="12" xfId="0" applyFont="1" applyBorder="1" applyAlignment="1" applyProtection="1">
      <alignment horizontal="center"/>
      <protection hidden="1"/>
    </xf>
    <xf numFmtId="0" fontId="121" fillId="0" borderId="12" xfId="0" applyFont="1" applyBorder="1" applyAlignment="1">
      <alignment horizontal="center"/>
    </xf>
    <xf numFmtId="164" fontId="121" fillId="0" borderId="12" xfId="0" applyNumberFormat="1" applyFont="1" applyBorder="1" applyAlignment="1" applyProtection="1">
      <alignment horizontal="center"/>
      <protection hidden="1"/>
    </xf>
    <xf numFmtId="0" fontId="113" fillId="0" borderId="12" xfId="0" applyFont="1" applyBorder="1" applyAlignment="1">
      <alignment horizontal="center"/>
    </xf>
    <xf numFmtId="164" fontId="113" fillId="0" borderId="12" xfId="0" applyNumberFormat="1" applyFont="1" applyBorder="1" applyAlignment="1" applyProtection="1">
      <alignment horizontal="center"/>
      <protection hidden="1"/>
    </xf>
    <xf numFmtId="1" fontId="5" fillId="34" borderId="12" xfId="62" applyNumberFormat="1" applyFont="1" applyFill="1" applyBorder="1" applyAlignment="1">
      <alignment horizontal="center" wrapText="1"/>
    </xf>
    <xf numFmtId="167" fontId="0" fillId="0" borderId="0" xfId="0" applyNumberFormat="1" applyAlignment="1">
      <alignment horizontal="center"/>
    </xf>
    <xf numFmtId="1" fontId="9" fillId="0" borderId="0" xfId="0" applyNumberFormat="1" applyFont="1" applyAlignment="1">
      <alignment horizontal="center"/>
    </xf>
    <xf numFmtId="164" fontId="9" fillId="0" borderId="12" xfId="61" applyNumberFormat="1" applyFont="1" applyBorder="1" applyAlignment="1">
      <alignment horizontal="center" vertical="center"/>
    </xf>
    <xf numFmtId="164" fontId="9" fillId="0" borderId="0" xfId="61" applyNumberFormat="1" applyFont="1" applyAlignment="1">
      <alignment horizontal="center" vertical="center"/>
    </xf>
    <xf numFmtId="164" fontId="9" fillId="37" borderId="0" xfId="61" applyNumberFormat="1" applyFont="1" applyFill="1" applyAlignment="1">
      <alignment horizontal="center"/>
    </xf>
    <xf numFmtId="14" fontId="0" fillId="0" borderId="12" xfId="0" applyNumberFormat="1" applyBorder="1" applyAlignment="1">
      <alignment horizontal="center"/>
    </xf>
    <xf numFmtId="0" fontId="0" fillId="0" borderId="12" xfId="0" applyBorder="1" applyAlignment="1">
      <alignment horizontal="center" wrapText="1"/>
    </xf>
    <xf numFmtId="0" fontId="110" fillId="0" borderId="12" xfId="0" applyFont="1" applyBorder="1" applyAlignment="1">
      <alignment horizontal="center"/>
    </xf>
    <xf numFmtId="0" fontId="110" fillId="0" borderId="12" xfId="0" applyFont="1" applyBorder="1" applyAlignment="1">
      <alignment horizontal="center" wrapText="1"/>
    </xf>
    <xf numFmtId="9" fontId="4" fillId="0" borderId="0" xfId="61" applyNumberFormat="1" applyFont="1"/>
    <xf numFmtId="9" fontId="9" fillId="0" borderId="0" xfId="61" applyNumberFormat="1" applyFont="1" applyAlignment="1">
      <alignment horizontal="center"/>
    </xf>
    <xf numFmtId="10" fontId="63" fillId="0" borderId="0" xfId="100" applyNumberFormat="1" applyFont="1" applyFill="1" applyAlignment="1">
      <alignment horizontal="center"/>
    </xf>
    <xf numFmtId="9" fontId="0" fillId="0" borderId="0" xfId="100" applyFont="1" applyAlignment="1">
      <alignment horizontal="center"/>
    </xf>
    <xf numFmtId="9" fontId="65" fillId="0" borderId="0" xfId="100" applyFont="1"/>
    <xf numFmtId="167" fontId="0" fillId="0" borderId="0" xfId="0" applyNumberFormat="1"/>
    <xf numFmtId="9" fontId="0" fillId="45" borderId="0" xfId="100" applyFont="1" applyFill="1" applyAlignment="1">
      <alignment horizontal="center"/>
    </xf>
    <xf numFmtId="0" fontId="114" fillId="0" borderId="12" xfId="0" applyFont="1" applyBorder="1" applyAlignment="1">
      <alignment horizontal="center"/>
    </xf>
    <xf numFmtId="164" fontId="114" fillId="0" borderId="12" xfId="0" applyNumberFormat="1" applyFont="1" applyBorder="1" applyAlignment="1" applyProtection="1">
      <alignment horizontal="center"/>
      <protection hidden="1"/>
    </xf>
    <xf numFmtId="177" fontId="4" fillId="0" borderId="0" xfId="0" applyNumberFormat="1" applyFont="1"/>
    <xf numFmtId="164" fontId="50" fillId="0" borderId="0" xfId="0" applyNumberFormat="1" applyFont="1" applyAlignment="1">
      <alignment horizontal="center"/>
    </xf>
    <xf numFmtId="166" fontId="4" fillId="0" borderId="0" xfId="0" applyNumberFormat="1" applyFont="1"/>
    <xf numFmtId="3" fontId="50" fillId="41" borderId="0" xfId="0" applyNumberFormat="1" applyFont="1" applyFill="1" applyAlignment="1">
      <alignment horizontal="center"/>
    </xf>
    <xf numFmtId="164" fontId="65" fillId="0" borderId="0" xfId="100" applyNumberFormat="1" applyFont="1"/>
    <xf numFmtId="164" fontId="113" fillId="0" borderId="0" xfId="0" applyNumberFormat="1" applyFont="1" applyAlignment="1" applyProtection="1">
      <alignment horizontal="right"/>
      <protection hidden="1"/>
    </xf>
    <xf numFmtId="0" fontId="4" fillId="0" borderId="0" xfId="0" applyFont="1" applyAlignment="1" applyProtection="1">
      <alignment horizontal="left" wrapText="1"/>
      <protection hidden="1"/>
    </xf>
    <xf numFmtId="0" fontId="4" fillId="0" borderId="20" xfId="61" applyFont="1" applyBorder="1" applyAlignment="1">
      <alignment horizontal="center"/>
    </xf>
    <xf numFmtId="0" fontId="4" fillId="0" borderId="0" xfId="61" applyFont="1" applyAlignment="1">
      <alignment horizontal="left" wrapText="1"/>
    </xf>
    <xf numFmtId="0" fontId="4" fillId="0" borderId="0" xfId="0" applyFont="1" applyAlignment="1">
      <alignment horizontal="center" vertical="center" wrapText="1"/>
    </xf>
    <xf numFmtId="0" fontId="4" fillId="0" borderId="0" xfId="0" applyFont="1" applyAlignment="1">
      <alignment horizontal="left" wrapText="1"/>
    </xf>
    <xf numFmtId="0" fontId="4" fillId="0" borderId="0" xfId="59" applyFont="1" applyAlignment="1">
      <alignment horizontal="center"/>
    </xf>
    <xf numFmtId="0" fontId="4" fillId="0" borderId="0" xfId="59" applyFont="1"/>
    <xf numFmtId="0" fontId="4" fillId="34" borderId="0" xfId="59" applyFont="1" applyFill="1" applyAlignment="1" applyProtection="1">
      <alignment horizontal="center"/>
      <protection locked="0"/>
    </xf>
    <xf numFmtId="0" fontId="4" fillId="0" borderId="0" xfId="59" applyFont="1" applyAlignment="1" applyProtection="1">
      <alignment horizontal="center"/>
      <protection hidden="1"/>
    </xf>
    <xf numFmtId="3" fontId="4" fillId="0" borderId="0" xfId="59" applyNumberFormat="1" applyFont="1" applyProtection="1">
      <protection hidden="1"/>
    </xf>
    <xf numFmtId="164" fontId="4" fillId="0" borderId="0" xfId="59" applyNumberFormat="1" applyFont="1" applyAlignment="1" applyProtection="1">
      <alignment horizontal="center"/>
      <protection hidden="1"/>
    </xf>
    <xf numFmtId="6" fontId="4" fillId="0" borderId="0" xfId="59" applyNumberFormat="1" applyFont="1" applyAlignment="1" applyProtection="1">
      <alignment horizontal="center"/>
      <protection hidden="1"/>
    </xf>
    <xf numFmtId="0" fontId="4" fillId="0" borderId="0" xfId="59" applyFont="1" applyAlignment="1" applyProtection="1">
      <alignment horizontal="left"/>
      <protection hidden="1"/>
    </xf>
    <xf numFmtId="164" fontId="4" fillId="40" borderId="0" xfId="59" applyNumberFormat="1" applyFont="1" applyFill="1" applyAlignment="1" applyProtection="1">
      <alignment horizontal="center"/>
      <protection hidden="1"/>
    </xf>
    <xf numFmtId="3" fontId="4" fillId="0" borderId="0" xfId="59" applyNumberFormat="1" applyFont="1" applyAlignment="1" applyProtection="1">
      <alignment horizontal="left"/>
      <protection hidden="1"/>
    </xf>
    <xf numFmtId="164" fontId="4" fillId="0" borderId="3" xfId="59" applyNumberFormat="1" applyFont="1" applyBorder="1" applyAlignment="1" applyProtection="1">
      <alignment horizontal="center"/>
      <protection hidden="1"/>
    </xf>
    <xf numFmtId="166" fontId="4" fillId="0" borderId="0" xfId="59" applyNumberFormat="1" applyFont="1" applyAlignment="1" applyProtection="1">
      <alignment horizontal="center"/>
      <protection hidden="1"/>
    </xf>
    <xf numFmtId="1" fontId="4" fillId="0" borderId="0" xfId="59" applyNumberFormat="1" applyFont="1" applyAlignment="1" applyProtection="1">
      <alignment horizontal="left"/>
      <protection hidden="1"/>
    </xf>
    <xf numFmtId="4" fontId="4" fillId="0" borderId="0" xfId="59" applyNumberFormat="1" applyFont="1" applyAlignment="1" applyProtection="1">
      <alignment horizontal="center"/>
      <protection hidden="1"/>
    </xf>
    <xf numFmtId="3" fontId="4" fillId="0" borderId="0" xfId="59" applyNumberFormat="1" applyFont="1" applyAlignment="1" applyProtection="1">
      <alignment horizontal="center"/>
      <protection hidden="1"/>
    </xf>
    <xf numFmtId="1" fontId="4" fillId="0" borderId="0" xfId="59" applyNumberFormat="1" applyFont="1" applyAlignment="1" applyProtection="1">
      <alignment horizontal="center"/>
      <protection hidden="1"/>
    </xf>
    <xf numFmtId="164" fontId="4" fillId="0" borderId="0" xfId="0" applyNumberFormat="1" applyFont="1" applyAlignment="1" applyProtection="1">
      <alignment horizontal="left"/>
      <protection hidden="1"/>
    </xf>
    <xf numFmtId="0" fontId="4" fillId="0" borderId="0" xfId="0" applyFont="1" applyAlignment="1" applyProtection="1">
      <alignment horizontal="left"/>
      <protection hidden="1"/>
    </xf>
    <xf numFmtId="164" fontId="4" fillId="0" borderId="42" xfId="59" applyNumberFormat="1" applyFont="1" applyBorder="1" applyAlignment="1" applyProtection="1">
      <alignment horizontal="center"/>
      <protection hidden="1"/>
    </xf>
    <xf numFmtId="164" fontId="4" fillId="0" borderId="41" xfId="59" applyNumberFormat="1" applyFont="1" applyBorder="1" applyAlignment="1" applyProtection="1">
      <alignment horizontal="left"/>
      <protection hidden="1"/>
    </xf>
    <xf numFmtId="164" fontId="4" fillId="0" borderId="12" xfId="59" applyNumberFormat="1" applyFont="1" applyBorder="1" applyAlignment="1" applyProtection="1">
      <alignment horizontal="center"/>
      <protection hidden="1"/>
    </xf>
    <xf numFmtId="3" fontId="4" fillId="0" borderId="39" xfId="59" applyNumberFormat="1" applyFont="1" applyBorder="1" applyAlignment="1" applyProtection="1">
      <alignment horizontal="center"/>
      <protection hidden="1"/>
    </xf>
    <xf numFmtId="164" fontId="4" fillId="0" borderId="47" xfId="59" applyNumberFormat="1" applyFont="1" applyBorder="1" applyAlignment="1" applyProtection="1">
      <alignment horizontal="left"/>
      <protection hidden="1"/>
    </xf>
    <xf numFmtId="164" fontId="4" fillId="0" borderId="44" xfId="59" applyNumberFormat="1" applyFont="1" applyBorder="1" applyAlignment="1" applyProtection="1">
      <alignment horizontal="center"/>
      <protection hidden="1"/>
    </xf>
    <xf numFmtId="164" fontId="4" fillId="0" borderId="0" xfId="59" applyNumberFormat="1" applyFont="1" applyAlignment="1" applyProtection="1">
      <alignment horizontal="left"/>
      <protection hidden="1"/>
    </xf>
    <xf numFmtId="3" fontId="4" fillId="0" borderId="46" xfId="59" applyNumberFormat="1" applyFont="1" applyBorder="1" applyAlignment="1" applyProtection="1">
      <alignment horizontal="center"/>
      <protection hidden="1"/>
    </xf>
    <xf numFmtId="164" fontId="4" fillId="0" borderId="0" xfId="59" applyNumberFormat="1" applyFont="1" applyProtection="1">
      <protection hidden="1"/>
    </xf>
    <xf numFmtId="0" fontId="4" fillId="0" borderId="0" xfId="59" applyFont="1" applyAlignment="1" applyProtection="1">
      <alignment horizontal="right"/>
      <protection hidden="1"/>
    </xf>
    <xf numFmtId="0" fontId="4" fillId="0" borderId="45" xfId="0" applyFont="1" applyBorder="1" applyAlignment="1" applyProtection="1">
      <alignment horizontal="left"/>
      <protection hidden="1"/>
    </xf>
    <xf numFmtId="0" fontId="4" fillId="0" borderId="30" xfId="0" applyFont="1" applyBorder="1" applyAlignment="1" applyProtection="1">
      <alignment horizontal="left"/>
      <protection hidden="1"/>
    </xf>
    <xf numFmtId="0" fontId="4" fillId="0" borderId="58" xfId="0" applyFont="1" applyBorder="1" applyAlignment="1" applyProtection="1">
      <alignment horizontal="left"/>
      <protection hidden="1"/>
    </xf>
    <xf numFmtId="164" fontId="4" fillId="0" borderId="39" xfId="61" applyNumberFormat="1" applyFont="1" applyBorder="1" applyAlignment="1" applyProtection="1">
      <alignment horizontal="center"/>
      <protection hidden="1"/>
    </xf>
    <xf numFmtId="0" fontId="4" fillId="32" borderId="12" xfId="61" applyFont="1" applyFill="1" applyBorder="1" applyAlignment="1">
      <alignment horizontal="center" wrapText="1"/>
    </xf>
    <xf numFmtId="166" fontId="4" fillId="37" borderId="0" xfId="61" applyNumberFormat="1" applyFont="1" applyFill="1" applyAlignment="1">
      <alignment horizontal="center"/>
    </xf>
    <xf numFmtId="0" fontId="4" fillId="0" borderId="17" xfId="61" applyFont="1" applyBorder="1" applyAlignment="1">
      <alignment horizontal="center"/>
    </xf>
    <xf numFmtId="0" fontId="4" fillId="0" borderId="17" xfId="61" applyFont="1" applyBorder="1"/>
    <xf numFmtId="1" fontId="4" fillId="41" borderId="0" xfId="61" applyNumberFormat="1" applyFont="1" applyFill="1" applyAlignment="1">
      <alignment horizontal="center"/>
    </xf>
    <xf numFmtId="164" fontId="4" fillId="41" borderId="0" xfId="61" applyNumberFormat="1" applyFont="1" applyFill="1" applyAlignment="1">
      <alignment horizontal="center"/>
    </xf>
    <xf numFmtId="0" fontId="4" fillId="0" borderId="0" xfId="58" applyFont="1"/>
    <xf numFmtId="0" fontId="4" fillId="0" borderId="0" xfId="58" applyFont="1" applyAlignment="1">
      <alignment horizontal="center" wrapText="1"/>
    </xf>
    <xf numFmtId="0" fontId="4" fillId="0" borderId="12" xfId="58" applyFont="1" applyBorder="1"/>
    <xf numFmtId="1" fontId="4" fillId="0" borderId="12" xfId="58" applyNumberFormat="1" applyFont="1" applyBorder="1" applyAlignment="1">
      <alignment horizontal="center"/>
    </xf>
    <xf numFmtId="164" fontId="4" fillId="0" borderId="12" xfId="58" applyNumberFormat="1" applyFont="1" applyBorder="1" applyAlignment="1" applyProtection="1">
      <alignment horizontal="center" vertical="top"/>
      <protection hidden="1"/>
    </xf>
    <xf numFmtId="0" fontId="4" fillId="0" borderId="12" xfId="58" applyFont="1" applyBorder="1" applyAlignment="1">
      <alignment horizontal="center"/>
    </xf>
    <xf numFmtId="171" fontId="4" fillId="0" borderId="12" xfId="58" applyNumberFormat="1" applyFont="1" applyBorder="1" applyAlignment="1" applyProtection="1">
      <alignment horizontal="center" vertical="top"/>
      <protection hidden="1"/>
    </xf>
    <xf numFmtId="3" fontId="4" fillId="0" borderId="12" xfId="58" applyNumberFormat="1" applyFont="1" applyBorder="1" applyAlignment="1" applyProtection="1">
      <alignment horizontal="center" vertical="top"/>
      <protection hidden="1"/>
    </xf>
    <xf numFmtId="171" fontId="4" fillId="30" borderId="12" xfId="58" applyNumberFormat="1" applyFont="1" applyFill="1" applyBorder="1" applyAlignment="1" applyProtection="1">
      <alignment horizontal="center" vertical="top"/>
      <protection hidden="1"/>
    </xf>
    <xf numFmtId="0" fontId="4" fillId="0" borderId="0" xfId="58" applyFont="1" applyAlignment="1">
      <alignment wrapText="1"/>
    </xf>
    <xf numFmtId="0" fontId="4" fillId="0" borderId="0" xfId="58" applyFont="1" applyAlignment="1">
      <alignment horizontal="left"/>
    </xf>
    <xf numFmtId="164" fontId="4" fillId="0" borderId="0" xfId="58" applyNumberFormat="1" applyFont="1"/>
    <xf numFmtId="164" fontId="4" fillId="0" borderId="0" xfId="58" applyNumberFormat="1" applyFont="1" applyAlignment="1">
      <alignment horizontal="center"/>
    </xf>
    <xf numFmtId="0" fontId="4" fillId="0" borderId="0" xfId="58" applyFont="1" applyAlignment="1">
      <alignment horizontal="right"/>
    </xf>
    <xf numFmtId="0" fontId="4" fillId="31" borderId="12" xfId="61" applyFont="1" applyFill="1" applyBorder="1" applyAlignment="1">
      <alignment horizontal="center"/>
    </xf>
    <xf numFmtId="0" fontId="4" fillId="30" borderId="12" xfId="61" applyFont="1" applyFill="1" applyBorder="1" applyAlignment="1">
      <alignment horizontal="center"/>
    </xf>
    <xf numFmtId="164" fontId="4" fillId="31" borderId="12" xfId="61" applyNumberFormat="1" applyFont="1" applyFill="1" applyBorder="1" applyAlignment="1">
      <alignment horizontal="center"/>
    </xf>
    <xf numFmtId="12" fontId="4" fillId="31" borderId="12" xfId="61" applyNumberFormat="1" applyFont="1" applyFill="1" applyBorder="1" applyAlignment="1">
      <alignment horizontal="center"/>
    </xf>
    <xf numFmtId="0" fontId="4" fillId="30" borderId="0" xfId="61" applyFont="1" applyFill="1" applyAlignment="1">
      <alignment horizontal="center"/>
    </xf>
    <xf numFmtId="164" fontId="4" fillId="32" borderId="12" xfId="61" applyNumberFormat="1" applyFont="1" applyFill="1" applyBorder="1" applyAlignment="1">
      <alignment horizontal="center"/>
    </xf>
    <xf numFmtId="164" fontId="4" fillId="0" borderId="20" xfId="61" applyNumberFormat="1" applyFont="1" applyBorder="1" applyAlignment="1">
      <alignment horizontal="center"/>
    </xf>
    <xf numFmtId="0" fontId="4" fillId="0" borderId="20" xfId="61" applyFont="1" applyBorder="1"/>
    <xf numFmtId="164" fontId="4" fillId="29" borderId="12" xfId="61" applyNumberFormat="1" applyFont="1" applyFill="1" applyBorder="1" applyAlignment="1">
      <alignment horizontal="center"/>
    </xf>
    <xf numFmtId="164" fontId="4" fillId="0" borderId="31" xfId="61" applyNumberFormat="1" applyFont="1" applyBorder="1" applyAlignment="1">
      <alignment horizontal="center"/>
    </xf>
    <xf numFmtId="164" fontId="4" fillId="24" borderId="12" xfId="61" applyNumberFormat="1" applyFont="1" applyFill="1" applyBorder="1" applyAlignment="1">
      <alignment horizontal="center"/>
    </xf>
    <xf numFmtId="164" fontId="4" fillId="24" borderId="32" xfId="61" applyNumberFormat="1" applyFont="1" applyFill="1" applyBorder="1" applyAlignment="1">
      <alignment horizontal="center"/>
    </xf>
    <xf numFmtId="3" fontId="4" fillId="0" borderId="0" xfId="61" applyNumberFormat="1" applyFont="1"/>
    <xf numFmtId="5" fontId="4" fillId="0" borderId="12" xfId="61" applyNumberFormat="1" applyFont="1" applyBorder="1" applyAlignment="1">
      <alignment horizontal="center"/>
    </xf>
    <xf numFmtId="5" fontId="4" fillId="0" borderId="0" xfId="61" applyNumberFormat="1" applyFont="1" applyAlignment="1">
      <alignment horizontal="center"/>
    </xf>
    <xf numFmtId="5" fontId="6" fillId="0" borderId="0" xfId="61" applyNumberFormat="1" applyFont="1" applyAlignment="1">
      <alignment horizontal="left"/>
    </xf>
    <xf numFmtId="164" fontId="6" fillId="0" borderId="0" xfId="61" applyNumberFormat="1" applyFont="1" applyAlignment="1">
      <alignment horizontal="left"/>
    </xf>
    <xf numFmtId="164" fontId="4" fillId="0" borderId="23" xfId="61" applyNumberFormat="1" applyFont="1" applyBorder="1" applyAlignment="1">
      <alignment horizontal="center"/>
    </xf>
    <xf numFmtId="164" fontId="4" fillId="0" borderId="25" xfId="61" applyNumberFormat="1" applyFont="1" applyBorder="1" applyAlignment="1">
      <alignment horizontal="center"/>
    </xf>
    <xf numFmtId="0" fontId="4" fillId="0" borderId="26" xfId="61" applyFont="1" applyBorder="1" applyAlignment="1">
      <alignment horizontal="center"/>
    </xf>
    <xf numFmtId="164" fontId="4" fillId="0" borderId="27" xfId="61" applyNumberFormat="1" applyFont="1" applyBorder="1" applyAlignment="1">
      <alignment horizontal="center"/>
    </xf>
    <xf numFmtId="0" fontId="4" fillId="0" borderId="28" xfId="61" applyFont="1" applyBorder="1" applyAlignment="1">
      <alignment horizontal="center"/>
    </xf>
    <xf numFmtId="164" fontId="4" fillId="0" borderId="29" xfId="61" applyNumberFormat="1" applyFont="1" applyBorder="1" applyAlignment="1">
      <alignment horizontal="center"/>
    </xf>
    <xf numFmtId="0" fontId="6" fillId="0" borderId="0" xfId="61" applyFont="1" applyAlignment="1">
      <alignment horizontal="left"/>
    </xf>
    <xf numFmtId="0" fontId="6" fillId="0" borderId="0" xfId="61" applyFont="1" applyAlignment="1">
      <alignment wrapText="1"/>
    </xf>
    <xf numFmtId="164" fontId="4" fillId="0" borderId="3" xfId="61" applyNumberFormat="1" applyFont="1" applyBorder="1" applyAlignment="1">
      <alignment horizontal="center" wrapText="1"/>
    </xf>
    <xf numFmtId="0" fontId="4" fillId="29" borderId="12" xfId="61" applyFont="1" applyFill="1" applyBorder="1" applyAlignment="1">
      <alignment horizontal="center"/>
    </xf>
    <xf numFmtId="164" fontId="4" fillId="0" borderId="33" xfId="61" applyNumberFormat="1" applyFont="1" applyBorder="1" applyAlignment="1">
      <alignment horizontal="center"/>
    </xf>
    <xf numFmtId="0" fontId="4" fillId="0" borderId="33" xfId="61" applyFont="1" applyBorder="1" applyAlignment="1">
      <alignment horizontal="center"/>
    </xf>
    <xf numFmtId="0" fontId="4" fillId="0" borderId="33" xfId="61" applyFont="1" applyBorder="1" applyAlignment="1">
      <alignment horizontal="center" wrapText="1"/>
    </xf>
    <xf numFmtId="1" fontId="4" fillId="0" borderId="12" xfId="61" applyNumberFormat="1" applyFont="1" applyBorder="1" applyAlignment="1">
      <alignment horizontal="center"/>
    </xf>
    <xf numFmtId="0" fontId="4" fillId="31" borderId="12" xfId="61" applyFont="1" applyFill="1" applyBorder="1" applyAlignment="1">
      <alignment horizontal="left"/>
    </xf>
    <xf numFmtId="0" fontId="4" fillId="31" borderId="12" xfId="61" applyFont="1" applyFill="1" applyBorder="1"/>
    <xf numFmtId="0" fontId="4" fillId="31" borderId="20" xfId="61" applyFont="1" applyFill="1" applyBorder="1" applyAlignment="1">
      <alignment horizontal="center"/>
    </xf>
    <xf numFmtId="9" fontId="4" fillId="0" borderId="12" xfId="61" applyNumberFormat="1" applyFont="1" applyBorder="1" applyAlignment="1">
      <alignment horizontal="center"/>
    </xf>
    <xf numFmtId="0" fontId="4" fillId="0" borderId="12" xfId="62" applyFont="1" applyBorder="1" applyAlignment="1">
      <alignment vertical="center" wrapText="1"/>
    </xf>
    <xf numFmtId="0" fontId="4" fillId="0" borderId="12" xfId="62" applyFont="1" applyBorder="1" applyAlignment="1">
      <alignment horizontal="center" wrapText="1"/>
    </xf>
    <xf numFmtId="1" fontId="4" fillId="25" borderId="12" xfId="62" applyNumberFormat="1" applyFont="1" applyFill="1" applyBorder="1" applyAlignment="1">
      <alignment horizontal="center" wrapText="1"/>
    </xf>
    <xf numFmtId="1" fontId="4" fillId="26" borderId="12" xfId="62" applyNumberFormat="1" applyFont="1" applyFill="1" applyBorder="1" applyAlignment="1">
      <alignment horizontal="center" wrapText="1"/>
    </xf>
    <xf numFmtId="167" fontId="4" fillId="27" borderId="12" xfId="62" applyNumberFormat="1" applyFont="1" applyFill="1" applyBorder="1" applyAlignment="1">
      <alignment horizontal="center" wrapText="1"/>
    </xf>
    <xf numFmtId="0" fontId="4" fillId="26" borderId="12" xfId="62" applyFont="1" applyFill="1" applyBorder="1" applyAlignment="1">
      <alignment horizontal="center" wrapText="1"/>
    </xf>
    <xf numFmtId="0" fontId="4" fillId="26" borderId="12" xfId="62" applyFont="1" applyFill="1" applyBorder="1" applyAlignment="1">
      <alignment horizontal="center" vertical="center" wrapText="1"/>
    </xf>
    <xf numFmtId="1" fontId="4" fillId="26" borderId="12" xfId="60" applyNumberFormat="1" applyFont="1" applyFill="1" applyBorder="1" applyAlignment="1">
      <alignment horizontal="center" wrapText="1"/>
    </xf>
    <xf numFmtId="49" fontId="4" fillId="26" borderId="12" xfId="62" applyNumberFormat="1" applyFont="1" applyFill="1" applyBorder="1" applyAlignment="1">
      <alignment horizontal="center" wrapText="1"/>
    </xf>
    <xf numFmtId="0" fontId="4" fillId="28" borderId="12" xfId="62" applyFont="1" applyFill="1" applyBorder="1" applyAlignment="1">
      <alignment wrapText="1"/>
    </xf>
    <xf numFmtId="9" fontId="4" fillId="27" borderId="12" xfId="62" applyNumberFormat="1" applyFont="1" applyFill="1" applyBorder="1" applyAlignment="1">
      <alignment horizontal="center" wrapText="1"/>
    </xf>
    <xf numFmtId="0" fontId="4" fillId="25" borderId="12" xfId="62" applyFont="1" applyFill="1" applyBorder="1" applyAlignment="1">
      <alignment horizontal="center" wrapText="1"/>
    </xf>
    <xf numFmtId="167" fontId="4" fillId="26" borderId="12" xfId="62" applyNumberFormat="1" applyFont="1" applyFill="1" applyBorder="1" applyAlignment="1">
      <alignment horizontal="center" wrapText="1"/>
    </xf>
    <xf numFmtId="0" fontId="4" fillId="0" borderId="0" xfId="0" applyFont="1" applyAlignment="1">
      <alignment horizontal="center" vertical="center"/>
    </xf>
    <xf numFmtId="0" fontId="4" fillId="0" borderId="0" xfId="0" applyFont="1" applyAlignment="1">
      <alignment vertical="center" wrapText="1"/>
    </xf>
    <xf numFmtId="0" fontId="4" fillId="29" borderId="12" xfId="62" applyFont="1" applyFill="1" applyBorder="1" applyAlignment="1">
      <alignment horizontal="center" wrapText="1"/>
    </xf>
    <xf numFmtId="1" fontId="4" fillId="27" borderId="12" xfId="62" applyNumberFormat="1" applyFont="1" applyFill="1" applyBorder="1" applyAlignment="1">
      <alignment horizontal="center" wrapText="1"/>
    </xf>
    <xf numFmtId="165" fontId="4" fillId="27" borderId="12" xfId="62" applyNumberFormat="1" applyFont="1" applyFill="1" applyBorder="1" applyAlignment="1">
      <alignment horizontal="center" wrapText="1"/>
    </xf>
    <xf numFmtId="164" fontId="4" fillId="0" borderId="30" xfId="0" applyNumberFormat="1" applyFont="1" applyBorder="1" applyAlignment="1">
      <alignment horizontal="center"/>
    </xf>
    <xf numFmtId="0" fontId="4" fillId="37" borderId="0" xfId="59" applyFont="1" applyFill="1" applyAlignment="1" applyProtection="1">
      <alignment horizontal="center"/>
      <protection locked="0"/>
    </xf>
    <xf numFmtId="164" fontId="4" fillId="0" borderId="31" xfId="59" applyNumberFormat="1" applyFont="1" applyBorder="1" applyAlignment="1" applyProtection="1">
      <alignment horizontal="center"/>
      <protection hidden="1"/>
    </xf>
    <xf numFmtId="0" fontId="4" fillId="0" borderId="0" xfId="61" applyFont="1" applyAlignment="1">
      <alignment vertical="center"/>
    </xf>
    <xf numFmtId="0" fontId="4" fillId="36" borderId="12" xfId="61" applyFont="1" applyFill="1" applyBorder="1" applyAlignment="1">
      <alignment horizontal="center" wrapText="1"/>
    </xf>
    <xf numFmtId="164" fontId="4" fillId="41" borderId="12" xfId="61" applyNumberFormat="1" applyFont="1" applyFill="1" applyBorder="1" applyAlignment="1">
      <alignment horizontal="center"/>
    </xf>
    <xf numFmtId="166" fontId="4" fillId="0" borderId="0" xfId="61" applyNumberFormat="1" applyFont="1" applyAlignment="1">
      <alignment horizontal="center"/>
    </xf>
    <xf numFmtId="42" fontId="4" fillId="0" borderId="0" xfId="61" applyNumberFormat="1" applyFont="1" applyAlignment="1">
      <alignment horizontal="center"/>
    </xf>
    <xf numFmtId="166" fontId="4" fillId="0" borderId="12" xfId="61" applyNumberFormat="1" applyFont="1" applyBorder="1" applyAlignment="1">
      <alignment horizontal="center"/>
    </xf>
    <xf numFmtId="1" fontId="4" fillId="43" borderId="12" xfId="62" applyNumberFormat="1" applyFont="1" applyFill="1" applyBorder="1" applyAlignment="1">
      <alignment horizontal="center" wrapText="1"/>
    </xf>
    <xf numFmtId="0" fontId="4" fillId="0" borderId="12" xfId="62" applyFont="1" applyBorder="1"/>
    <xf numFmtId="173" fontId="4" fillId="0" borderId="0" xfId="0" applyNumberFormat="1" applyFont="1" applyAlignment="1">
      <alignment horizontal="center"/>
    </xf>
    <xf numFmtId="164" fontId="4" fillId="47" borderId="0" xfId="61" applyNumberFormat="1" applyFont="1" applyFill="1" applyAlignment="1">
      <alignment horizontal="center"/>
    </xf>
    <xf numFmtId="0" fontId="4" fillId="38" borderId="0" xfId="61" applyFont="1" applyFill="1"/>
    <xf numFmtId="164" fontId="4" fillId="35" borderId="0" xfId="61" applyNumberFormat="1" applyFont="1" applyFill="1" applyAlignment="1">
      <alignment horizontal="center"/>
    </xf>
    <xf numFmtId="167" fontId="4" fillId="0" borderId="0" xfId="0" applyNumberFormat="1" applyFont="1"/>
    <xf numFmtId="10" fontId="4" fillId="0" borderId="0" xfId="0" applyNumberFormat="1" applyFont="1" applyAlignment="1">
      <alignment horizontal="center"/>
    </xf>
    <xf numFmtId="164" fontId="4" fillId="38" borderId="12" xfId="58" applyNumberFormat="1" applyFont="1" applyFill="1" applyBorder="1" applyAlignment="1">
      <alignment horizontal="center"/>
    </xf>
    <xf numFmtId="164" fontId="4" fillId="37" borderId="12" xfId="58" applyNumberFormat="1" applyFont="1" applyFill="1" applyBorder="1" applyAlignment="1">
      <alignment horizontal="center"/>
    </xf>
    <xf numFmtId="0" fontId="4" fillId="0" borderId="20" xfId="61" applyFont="1" applyBorder="1" applyAlignment="1">
      <alignment horizontal="left"/>
    </xf>
    <xf numFmtId="9" fontId="4" fillId="0" borderId="0" xfId="100" applyFont="1"/>
    <xf numFmtId="0" fontId="4" fillId="42" borderId="12" xfId="61" applyFont="1" applyFill="1" applyBorder="1" applyAlignment="1">
      <alignment horizontal="left"/>
    </xf>
    <xf numFmtId="0" fontId="4" fillId="42" borderId="12" xfId="61" applyFont="1" applyFill="1" applyBorder="1"/>
    <xf numFmtId="0" fontId="4" fillId="45" borderId="12" xfId="61" applyFont="1" applyFill="1" applyBorder="1" applyAlignment="1">
      <alignment horizontal="left"/>
    </xf>
    <xf numFmtId="166" fontId="4" fillId="0" borderId="12" xfId="61" applyNumberFormat="1" applyFont="1" applyBorder="1" applyAlignment="1">
      <alignment horizontal="center" wrapText="1"/>
    </xf>
    <xf numFmtId="164" fontId="4" fillId="34" borderId="12" xfId="58" applyNumberFormat="1" applyFont="1" applyFill="1" applyBorder="1" applyAlignment="1">
      <alignment horizontal="center" vertical="center"/>
    </xf>
    <xf numFmtId="10" fontId="4" fillId="45" borderId="0" xfId="100" applyNumberFormat="1" applyFont="1" applyFill="1" applyAlignment="1">
      <alignment horizontal="center"/>
    </xf>
    <xf numFmtId="10" fontId="4" fillId="45" borderId="0" xfId="61" applyNumberFormat="1" applyFont="1" applyFill="1" applyAlignment="1">
      <alignment horizontal="center"/>
    </xf>
    <xf numFmtId="0" fontId="4" fillId="35" borderId="0" xfId="61" applyFont="1" applyFill="1"/>
    <xf numFmtId="0" fontId="4" fillId="0" borderId="31" xfId="61" applyFont="1" applyBorder="1" applyAlignment="1">
      <alignment vertical="center" wrapText="1"/>
    </xf>
    <xf numFmtId="0" fontId="4" fillId="0" borderId="31" xfId="61" applyFont="1" applyBorder="1" applyAlignment="1">
      <alignment vertical="center"/>
    </xf>
    <xf numFmtId="0" fontId="4" fillId="0" borderId="12" xfId="61" applyFont="1" applyBorder="1" applyAlignment="1">
      <alignment horizontal="center" vertical="center"/>
    </xf>
    <xf numFmtId="164" fontId="4" fillId="0" borderId="49" xfId="61" applyNumberFormat="1" applyFont="1" applyBorder="1" applyAlignment="1">
      <alignment horizontal="center"/>
    </xf>
    <xf numFmtId="179" fontId="4" fillId="34" borderId="0" xfId="61" applyNumberFormat="1" applyFont="1" applyFill="1" applyAlignment="1">
      <alignment horizontal="center"/>
    </xf>
    <xf numFmtId="1" fontId="4" fillId="0" borderId="0" xfId="61" applyNumberFormat="1" applyFont="1" applyAlignment="1">
      <alignment horizontal="center" vertical="center"/>
    </xf>
    <xf numFmtId="9" fontId="4" fillId="0" borderId="0" xfId="100" applyFont="1" applyAlignment="1">
      <alignment horizontal="center"/>
    </xf>
    <xf numFmtId="0" fontId="4" fillId="0" borderId="31" xfId="61" applyFont="1" applyBorder="1" applyAlignment="1">
      <alignment horizontal="center" wrapText="1"/>
    </xf>
    <xf numFmtId="0" fontId="4" fillId="0" borderId="31" xfId="61" applyFont="1" applyBorder="1" applyAlignment="1">
      <alignment horizontal="center"/>
    </xf>
    <xf numFmtId="0" fontId="57" fillId="0" borderId="0" xfId="58" applyFont="1" applyAlignment="1">
      <alignment horizontal="center"/>
    </xf>
    <xf numFmtId="164" fontId="57" fillId="0" borderId="0" xfId="58" applyNumberFormat="1" applyFont="1" applyAlignment="1">
      <alignment horizontal="center"/>
    </xf>
    <xf numFmtId="164" fontId="133" fillId="34" borderId="0" xfId="58" applyNumberFormat="1" applyFont="1" applyFill="1" applyAlignment="1">
      <alignment horizontal="center"/>
    </xf>
    <xf numFmtId="0" fontId="87" fillId="28" borderId="91" xfId="0" quotePrefix="1" applyFont="1" applyFill="1" applyBorder="1" applyAlignment="1">
      <alignment horizontal="left"/>
    </xf>
    <xf numFmtId="0" fontId="50" fillId="41" borderId="76" xfId="0" applyFont="1" applyFill="1" applyBorder="1"/>
    <xf numFmtId="0" fontId="4" fillId="41" borderId="92" xfId="0" applyFont="1" applyFill="1" applyBorder="1"/>
    <xf numFmtId="0" fontId="81" fillId="41" borderId="0" xfId="53" applyFont="1" applyFill="1" applyAlignment="1">
      <alignment horizontal="right"/>
    </xf>
    <xf numFmtId="0" fontId="82" fillId="41" borderId="0" xfId="53" applyFont="1" applyFill="1"/>
    <xf numFmtId="175" fontId="82" fillId="41" borderId="0" xfId="53" applyNumberFormat="1" applyFont="1" applyFill="1"/>
    <xf numFmtId="0" fontId="1" fillId="0" borderId="0" xfId="53" applyFont="1"/>
    <xf numFmtId="0" fontId="82" fillId="41" borderId="0" xfId="53" applyFont="1" applyFill="1" applyAlignment="1">
      <alignment horizontal="right"/>
    </xf>
    <xf numFmtId="164" fontId="4" fillId="0" borderId="48" xfId="61" applyNumberFormat="1" applyFont="1" applyBorder="1" applyAlignment="1">
      <alignment horizontal="center"/>
    </xf>
    <xf numFmtId="1" fontId="0" fillId="38" borderId="0" xfId="0" applyNumberFormat="1" applyFill="1" applyAlignment="1">
      <alignment horizontal="center"/>
    </xf>
    <xf numFmtId="167" fontId="0" fillId="34" borderId="0" xfId="0" applyNumberFormat="1" applyFill="1" applyAlignment="1">
      <alignment horizontal="center"/>
    </xf>
    <xf numFmtId="171" fontId="4" fillId="34" borderId="12" xfId="61" applyNumberFormat="1" applyFont="1" applyFill="1" applyBorder="1" applyAlignment="1">
      <alignment horizontal="left"/>
    </xf>
    <xf numFmtId="171" fontId="4" fillId="38" borderId="12" xfId="61" applyNumberFormat="1" applyFont="1" applyFill="1" applyBorder="1" applyAlignment="1">
      <alignment horizontal="left"/>
    </xf>
    <xf numFmtId="9" fontId="0" fillId="0" borderId="0" xfId="61" applyNumberFormat="1" applyFont="1"/>
    <xf numFmtId="0" fontId="0" fillId="0" borderId="0" xfId="61" applyFont="1" applyAlignment="1">
      <alignment horizontal="center"/>
    </xf>
    <xf numFmtId="9" fontId="0" fillId="0" borderId="0" xfId="61" applyNumberFormat="1" applyFont="1" applyAlignment="1">
      <alignment horizontal="center"/>
    </xf>
    <xf numFmtId="3" fontId="129" fillId="0" borderId="0" xfId="61" applyNumberFormat="1" applyFont="1" applyAlignment="1">
      <alignment horizontal="center"/>
    </xf>
    <xf numFmtId="164" fontId="113" fillId="0" borderId="0" xfId="0" applyNumberFormat="1" applyFont="1" applyAlignment="1" applyProtection="1">
      <alignment horizontal="center"/>
      <protection hidden="1"/>
    </xf>
    <xf numFmtId="0" fontId="113" fillId="0" borderId="0" xfId="0" applyFont="1" applyAlignment="1" applyProtection="1">
      <alignment horizontal="center"/>
      <protection hidden="1"/>
    </xf>
    <xf numFmtId="0" fontId="114" fillId="0" borderId="0" xfId="0" applyFont="1" applyAlignment="1" applyProtection="1">
      <alignment horizontal="center"/>
      <protection hidden="1"/>
    </xf>
    <xf numFmtId="167" fontId="114" fillId="0" borderId="0" xfId="0" applyNumberFormat="1" applyFont="1" applyAlignment="1" applyProtection="1">
      <alignment horizontal="center"/>
      <protection hidden="1"/>
    </xf>
    <xf numFmtId="164" fontId="4" fillId="61" borderId="0" xfId="61" applyNumberFormat="1" applyFont="1" applyFill="1" applyAlignment="1">
      <alignment horizontal="center"/>
    </xf>
    <xf numFmtId="8" fontId="63" fillId="61" borderId="0" xfId="0" applyNumberFormat="1" applyFont="1" applyFill="1" applyAlignment="1">
      <alignment horizontal="center"/>
    </xf>
    <xf numFmtId="164" fontId="0" fillId="61" borderId="0" xfId="0" applyNumberFormat="1" applyFill="1" applyAlignment="1">
      <alignment horizontal="center"/>
    </xf>
    <xf numFmtId="180" fontId="0" fillId="61" borderId="0" xfId="100" applyNumberFormat="1" applyFont="1" applyFill="1" applyAlignment="1">
      <alignment horizontal="center"/>
    </xf>
    <xf numFmtId="166" fontId="0" fillId="61" borderId="0" xfId="100" applyNumberFormat="1" applyFont="1" applyFill="1" applyAlignment="1">
      <alignment horizontal="center"/>
    </xf>
    <xf numFmtId="0" fontId="0" fillId="61" borderId="0" xfId="0" applyFill="1"/>
    <xf numFmtId="164" fontId="0" fillId="61" borderId="0" xfId="0" applyNumberFormat="1" applyFill="1"/>
    <xf numFmtId="164" fontId="4" fillId="61" borderId="12" xfId="61" applyNumberFormat="1" applyFont="1" applyFill="1" applyBorder="1" applyAlignment="1">
      <alignment horizontal="center"/>
    </xf>
    <xf numFmtId="3" fontId="0" fillId="61" borderId="0" xfId="0" applyNumberFormat="1" applyFill="1" applyAlignment="1">
      <alignment horizontal="center"/>
    </xf>
    <xf numFmtId="164" fontId="4" fillId="61" borderId="0" xfId="0" applyNumberFormat="1" applyFont="1" applyFill="1" applyAlignment="1">
      <alignment horizontal="center"/>
    </xf>
    <xf numFmtId="0" fontId="4" fillId="61" borderId="0" xfId="0" applyFont="1" applyFill="1"/>
    <xf numFmtId="1" fontId="0" fillId="61" borderId="0" xfId="0" applyNumberFormat="1" applyFill="1" applyAlignment="1">
      <alignment horizontal="center"/>
    </xf>
    <xf numFmtId="3" fontId="4" fillId="61" borderId="0" xfId="0" applyNumberFormat="1" applyFont="1" applyFill="1" applyAlignment="1">
      <alignment horizontal="center"/>
    </xf>
    <xf numFmtId="165" fontId="0" fillId="37" borderId="0" xfId="0" applyNumberFormat="1" applyFill="1" applyAlignment="1">
      <alignment horizontal="center"/>
    </xf>
    <xf numFmtId="171" fontId="0" fillId="61" borderId="0" xfId="0" applyNumberFormat="1" applyFill="1" applyAlignment="1">
      <alignment horizontal="center"/>
    </xf>
    <xf numFmtId="164" fontId="0" fillId="34" borderId="0" xfId="0" applyNumberFormat="1" applyFill="1"/>
    <xf numFmtId="171" fontId="4" fillId="36" borderId="12" xfId="61" applyNumberFormat="1" applyFont="1" applyFill="1" applyBorder="1" applyAlignment="1">
      <alignment horizontal="left"/>
    </xf>
    <xf numFmtId="164" fontId="4" fillId="38" borderId="0" xfId="61" applyNumberFormat="1" applyFont="1" applyFill="1"/>
    <xf numFmtId="8" fontId="0" fillId="0" borderId="0" xfId="0" applyNumberFormat="1" applyAlignment="1">
      <alignment horizontal="center"/>
    </xf>
    <xf numFmtId="0" fontId="63" fillId="38" borderId="12" xfId="0" applyFont="1" applyFill="1" applyBorder="1"/>
    <xf numFmtId="0" fontId="113" fillId="37" borderId="12" xfId="0" applyFont="1" applyFill="1" applyBorder="1" applyAlignment="1" applyProtection="1">
      <alignment horizontal="center"/>
      <protection hidden="1"/>
    </xf>
    <xf numFmtId="1" fontId="113" fillId="37" borderId="12" xfId="0" applyNumberFormat="1" applyFont="1" applyFill="1" applyBorder="1" applyAlignment="1" applyProtection="1">
      <alignment horizontal="center"/>
      <protection hidden="1"/>
    </xf>
    <xf numFmtId="1" fontId="113" fillId="37" borderId="20" xfId="0" applyNumberFormat="1" applyFont="1" applyFill="1" applyBorder="1" applyAlignment="1" applyProtection="1">
      <alignment horizontal="center"/>
      <protection hidden="1"/>
    </xf>
    <xf numFmtId="3" fontId="113" fillId="37" borderId="12" xfId="0" applyNumberFormat="1" applyFont="1" applyFill="1" applyBorder="1" applyAlignment="1" applyProtection="1">
      <alignment horizontal="center"/>
      <protection hidden="1"/>
    </xf>
    <xf numFmtId="0" fontId="132" fillId="37" borderId="12" xfId="0" applyFont="1" applyFill="1" applyBorder="1" applyAlignment="1">
      <alignment horizontal="center"/>
    </xf>
    <xf numFmtId="0" fontId="114" fillId="37" borderId="12" xfId="0" applyFont="1" applyFill="1" applyBorder="1" applyAlignment="1" applyProtection="1">
      <alignment horizontal="center"/>
      <protection hidden="1"/>
    </xf>
    <xf numFmtId="1" fontId="132" fillId="37" borderId="12" xfId="0" applyNumberFormat="1" applyFont="1" applyFill="1" applyBorder="1" applyAlignment="1" applyProtection="1">
      <alignment horizontal="center"/>
      <protection hidden="1"/>
    </xf>
    <xf numFmtId="167" fontId="72" fillId="61" borderId="12" xfId="60" applyNumberFormat="1" applyFont="1" applyFill="1" applyBorder="1" applyAlignment="1">
      <alignment horizontal="center" wrapText="1"/>
    </xf>
    <xf numFmtId="167" fontId="5" fillId="61" borderId="12" xfId="62" applyNumberFormat="1" applyFont="1" applyFill="1" applyBorder="1" applyAlignment="1">
      <alignment horizontal="center" wrapText="1"/>
    </xf>
    <xf numFmtId="164" fontId="134" fillId="0" borderId="0" xfId="61" applyNumberFormat="1" applyFont="1" applyAlignment="1">
      <alignment horizontal="center"/>
    </xf>
    <xf numFmtId="166" fontId="4" fillId="61" borderId="0" xfId="61" applyNumberFormat="1" applyFont="1" applyFill="1" applyAlignment="1">
      <alignment horizontal="center"/>
    </xf>
    <xf numFmtId="0" fontId="113" fillId="0" borderId="48" xfId="0" applyFont="1" applyBorder="1" applyAlignment="1" applyProtection="1">
      <alignment vertical="center" wrapText="1"/>
      <protection hidden="1"/>
    </xf>
    <xf numFmtId="6" fontId="4" fillId="0" borderId="12" xfId="0" applyNumberFormat="1" applyFont="1" applyBorder="1" applyAlignment="1">
      <alignment horizontal="center"/>
    </xf>
    <xf numFmtId="0" fontId="135" fillId="62" borderId="20" xfId="0" applyFont="1" applyFill="1" applyBorder="1" applyAlignment="1">
      <alignment horizontal="center"/>
    </xf>
    <xf numFmtId="181" fontId="4" fillId="0" borderId="0" xfId="61" applyNumberFormat="1" applyFont="1" applyAlignment="1">
      <alignment horizontal="center"/>
    </xf>
    <xf numFmtId="181" fontId="63" fillId="0" borderId="0" xfId="84" applyNumberFormat="1" applyFont="1" applyAlignment="1">
      <alignment horizontal="center"/>
    </xf>
    <xf numFmtId="0" fontId="0" fillId="0" borderId="0" xfId="0" applyAlignment="1">
      <alignment horizontal="left" wrapText="1"/>
    </xf>
    <xf numFmtId="0" fontId="113" fillId="0" borderId="0" xfId="0" applyFont="1" applyAlignment="1" applyProtection="1">
      <alignment horizontal="left" vertical="top" wrapText="1"/>
      <protection hidden="1"/>
    </xf>
    <xf numFmtId="0" fontId="113" fillId="0" borderId="54" xfId="0" applyFont="1" applyBorder="1" applyAlignment="1" applyProtection="1">
      <alignment horizontal="left" vertical="center"/>
      <protection hidden="1"/>
    </xf>
    <xf numFmtId="0" fontId="113" fillId="0" borderId="20" xfId="0" applyFont="1" applyBorder="1" applyAlignment="1" applyProtection="1">
      <alignment horizontal="left" vertical="center" wrapText="1"/>
      <protection hidden="1"/>
    </xf>
    <xf numFmtId="0" fontId="113" fillId="0" borderId="54" xfId="0" applyFont="1" applyBorder="1" applyAlignment="1" applyProtection="1">
      <alignment horizontal="left" vertical="center" wrapText="1"/>
      <protection hidden="1"/>
    </xf>
    <xf numFmtId="0" fontId="125" fillId="0" borderId="0" xfId="0" applyFont="1" applyAlignment="1" applyProtection="1">
      <alignment horizontal="left" vertical="center" wrapText="1"/>
      <protection hidden="1"/>
    </xf>
    <xf numFmtId="1" fontId="64" fillId="36" borderId="0" xfId="61" applyNumberFormat="1" applyFont="1" applyFill="1" applyAlignment="1">
      <alignment horizontal="center"/>
    </xf>
    <xf numFmtId="4" fontId="100" fillId="0" borderId="12" xfId="0" applyNumberFormat="1" applyFont="1" applyBorder="1" applyAlignment="1">
      <alignment horizontal="center"/>
    </xf>
    <xf numFmtId="4" fontId="100" fillId="0" borderId="12" xfId="0" applyNumberFormat="1" applyFont="1" applyBorder="1" applyAlignment="1">
      <alignment horizontal="center" wrapText="1"/>
    </xf>
    <xf numFmtId="167" fontId="100" fillId="0" borderId="12" xfId="0" applyNumberFormat="1" applyFont="1" applyBorder="1" applyAlignment="1">
      <alignment horizontal="center"/>
    </xf>
    <xf numFmtId="0" fontId="100" fillId="0" borderId="0" xfId="0" applyFont="1"/>
    <xf numFmtId="4" fontId="100" fillId="0" borderId="20" xfId="0" applyNumberFormat="1" applyFont="1" applyBorder="1" applyAlignment="1">
      <alignment horizontal="center" wrapText="1"/>
    </xf>
    <xf numFmtId="3" fontId="100" fillId="0" borderId="12" xfId="0" applyNumberFormat="1" applyFont="1" applyBorder="1" applyAlignment="1">
      <alignment horizontal="center" wrapText="1"/>
    </xf>
    <xf numFmtId="0" fontId="100" fillId="0" borderId="12" xfId="0" applyFont="1" applyBorder="1" applyAlignment="1">
      <alignment horizontal="center" vertical="center"/>
    </xf>
    <xf numFmtId="9" fontId="9" fillId="0" borderId="12" xfId="100" applyFont="1" applyBorder="1" applyAlignment="1">
      <alignment horizontal="center" vertical="center" wrapText="1"/>
    </xf>
    <xf numFmtId="4" fontId="0" fillId="0" borderId="12" xfId="0" applyNumberFormat="1" applyBorder="1" applyAlignment="1">
      <alignment horizontal="center"/>
    </xf>
    <xf numFmtId="3" fontId="0" fillId="0" borderId="12" xfId="0" applyNumberFormat="1" applyBorder="1" applyAlignment="1">
      <alignment horizontal="center"/>
    </xf>
    <xf numFmtId="164" fontId="0" fillId="0" borderId="20" xfId="0" applyNumberFormat="1" applyBorder="1" applyAlignment="1">
      <alignment horizontal="center"/>
    </xf>
    <xf numFmtId="164" fontId="136" fillId="0" borderId="0" xfId="0" applyNumberFormat="1" applyFont="1" applyAlignment="1">
      <alignment horizontal="center"/>
    </xf>
    <xf numFmtId="164" fontId="4" fillId="0" borderId="12" xfId="61" applyNumberFormat="1" applyFont="1" applyBorder="1" applyAlignment="1">
      <alignment horizontal="center" vertical="center"/>
    </xf>
    <xf numFmtId="164" fontId="4" fillId="0" borderId="12" xfId="100" applyNumberFormat="1" applyFont="1" applyBorder="1" applyAlignment="1">
      <alignment horizontal="center" vertical="center"/>
    </xf>
    <xf numFmtId="4" fontId="4" fillId="0" borderId="12" xfId="61" applyNumberFormat="1" applyFont="1" applyBorder="1" applyAlignment="1">
      <alignment horizontal="center"/>
    </xf>
    <xf numFmtId="164" fontId="137" fillId="0" borderId="0" xfId="0" applyNumberFormat="1" applyFont="1" applyAlignment="1">
      <alignment horizontal="center"/>
    </xf>
    <xf numFmtId="0" fontId="4" fillId="63" borderId="12" xfId="61" applyFont="1" applyFill="1" applyBorder="1"/>
    <xf numFmtId="164" fontId="0" fillId="63" borderId="12" xfId="0" applyNumberFormat="1" applyFill="1" applyBorder="1" applyAlignment="1">
      <alignment horizontal="center"/>
    </xf>
    <xf numFmtId="164" fontId="0" fillId="63" borderId="20" xfId="0" applyNumberFormat="1" applyFill="1" applyBorder="1" applyAlignment="1">
      <alignment horizontal="center"/>
    </xf>
    <xf numFmtId="3" fontId="0" fillId="63" borderId="12" xfId="0" applyNumberFormat="1" applyFill="1" applyBorder="1" applyAlignment="1">
      <alignment horizontal="center"/>
    </xf>
    <xf numFmtId="0" fontId="19" fillId="0" borderId="12" xfId="61" applyFont="1" applyBorder="1" applyAlignment="1">
      <alignment horizontal="center"/>
    </xf>
    <xf numFmtId="164" fontId="0" fillId="37" borderId="12" xfId="0" applyNumberFormat="1" applyFill="1" applyBorder="1" applyAlignment="1">
      <alignment horizontal="center"/>
    </xf>
    <xf numFmtId="0" fontId="102" fillId="0" borderId="0" xfId="0" applyFont="1"/>
    <xf numFmtId="6" fontId="138" fillId="0" borderId="12" xfId="0" applyNumberFormat="1" applyFont="1" applyBorder="1" applyAlignment="1">
      <alignment horizontal="center"/>
    </xf>
    <xf numFmtId="4" fontId="4" fillId="37" borderId="12" xfId="61" applyNumberFormat="1" applyFont="1" applyFill="1" applyBorder="1" applyAlignment="1">
      <alignment horizontal="center"/>
    </xf>
    <xf numFmtId="3" fontId="0" fillId="37" borderId="12" xfId="0" applyNumberFormat="1" applyFill="1" applyBorder="1" applyAlignment="1">
      <alignment horizontal="center"/>
    </xf>
    <xf numFmtId="164" fontId="114" fillId="34" borderId="0" xfId="59" applyNumberFormat="1" applyFont="1" applyFill="1" applyAlignment="1" applyProtection="1">
      <alignment horizontal="left"/>
      <protection hidden="1"/>
    </xf>
    <xf numFmtId="164" fontId="114" fillId="34" borderId="0" xfId="0" applyNumberFormat="1" applyFont="1" applyFill="1" applyAlignment="1" applyProtection="1">
      <alignment horizontal="left"/>
      <protection hidden="1"/>
    </xf>
    <xf numFmtId="0" fontId="9" fillId="0" borderId="0" xfId="0" applyFont="1" applyAlignment="1">
      <alignment horizontal="left" wrapText="1"/>
    </xf>
    <xf numFmtId="0" fontId="4" fillId="0" borderId="0" xfId="0" applyFont="1" applyAlignment="1">
      <alignment wrapText="1"/>
    </xf>
    <xf numFmtId="0" fontId="0" fillId="42" borderId="0" xfId="0" applyFill="1" applyAlignment="1">
      <alignment wrapText="1"/>
    </xf>
    <xf numFmtId="3" fontId="0" fillId="0" borderId="0" xfId="0" applyNumberFormat="1" applyAlignment="1">
      <alignment horizontal="center" wrapText="1"/>
    </xf>
    <xf numFmtId="9" fontId="0" fillId="0" borderId="0" xfId="0" applyNumberFormat="1" applyAlignment="1">
      <alignment horizontal="center" wrapText="1"/>
    </xf>
    <xf numFmtId="164" fontId="0" fillId="0" borderId="0" xfId="0" applyNumberFormat="1" applyAlignment="1">
      <alignment horizontal="center" wrapText="1"/>
    </xf>
    <xf numFmtId="164" fontId="0" fillId="0" borderId="0" xfId="0" applyNumberFormat="1" applyAlignment="1">
      <alignment horizontal="left" wrapText="1"/>
    </xf>
    <xf numFmtId="164" fontId="4" fillId="0" borderId="0" xfId="0" applyNumberFormat="1" applyFont="1" applyAlignment="1">
      <alignment horizontal="center" wrapText="1"/>
    </xf>
    <xf numFmtId="10" fontId="0" fillId="0" borderId="0" xfId="100" applyNumberFormat="1" applyFont="1" applyAlignment="1">
      <alignment horizontal="center"/>
    </xf>
    <xf numFmtId="164" fontId="0" fillId="0" borderId="0" xfId="0" applyNumberFormat="1" applyAlignment="1">
      <alignment wrapText="1"/>
    </xf>
    <xf numFmtId="10" fontId="0" fillId="0" borderId="0" xfId="100" applyNumberFormat="1" applyFont="1" applyAlignment="1">
      <alignment horizontal="center" wrapText="1"/>
    </xf>
    <xf numFmtId="164" fontId="4" fillId="0" borderId="0" xfId="0" applyNumberFormat="1" applyFont="1" applyAlignment="1">
      <alignment horizontal="left" wrapText="1"/>
    </xf>
    <xf numFmtId="0" fontId="4" fillId="42" borderId="0" xfId="0" applyFont="1" applyFill="1"/>
    <xf numFmtId="182" fontId="0" fillId="0" borderId="0" xfId="0" applyNumberFormat="1" applyAlignment="1">
      <alignment wrapText="1"/>
    </xf>
    <xf numFmtId="0" fontId="54" fillId="0" borderId="0" xfId="0" applyFont="1"/>
    <xf numFmtId="0" fontId="20" fillId="0" borderId="0" xfId="0" applyFont="1" applyAlignment="1">
      <alignment wrapText="1"/>
    </xf>
    <xf numFmtId="182" fontId="20" fillId="0" borderId="0" xfId="0" applyNumberFormat="1" applyFont="1" applyAlignment="1">
      <alignment wrapText="1"/>
    </xf>
    <xf numFmtId="164" fontId="20" fillId="0" borderId="0" xfId="0" applyNumberFormat="1" applyFont="1" applyAlignment="1">
      <alignment wrapText="1"/>
    </xf>
    <xf numFmtId="0" fontId="20" fillId="42" borderId="0" xfId="0" applyFont="1" applyFill="1"/>
    <xf numFmtId="0" fontId="20" fillId="0" borderId="0" xfId="0" applyFont="1" applyAlignment="1">
      <alignment horizontal="left" wrapText="1"/>
    </xf>
    <xf numFmtId="0" fontId="140" fillId="0" borderId="0" xfId="0" applyFont="1"/>
    <xf numFmtId="0" fontId="20" fillId="0" borderId="0" xfId="0" applyFont="1" applyAlignment="1">
      <alignment vertical="center" wrapText="1"/>
    </xf>
    <xf numFmtId="0" fontId="142" fillId="0" borderId="0" xfId="0" applyFont="1"/>
    <xf numFmtId="0" fontId="113" fillId="0" borderId="0" xfId="0" applyFont="1" applyAlignment="1">
      <alignment horizontal="center"/>
    </xf>
    <xf numFmtId="9" fontId="113" fillId="0" borderId="12" xfId="0" applyNumberFormat="1" applyFont="1" applyBorder="1" applyAlignment="1" applyProtection="1">
      <alignment horizontal="center"/>
      <protection hidden="1"/>
    </xf>
    <xf numFmtId="0" fontId="114" fillId="0" borderId="15" xfId="0" applyFont="1" applyBorder="1" applyAlignment="1" applyProtection="1">
      <alignment horizontal="center"/>
      <protection hidden="1"/>
    </xf>
    <xf numFmtId="164" fontId="113" fillId="0" borderId="15" xfId="0" applyNumberFormat="1" applyFont="1" applyBorder="1" applyAlignment="1" applyProtection="1">
      <alignment horizontal="center"/>
      <protection hidden="1"/>
    </xf>
    <xf numFmtId="0" fontId="113" fillId="0" borderId="0" xfId="59" applyFont="1" applyAlignment="1" applyProtection="1">
      <alignment horizontal="left"/>
      <protection locked="0" hidden="1"/>
    </xf>
    <xf numFmtId="1" fontId="113" fillId="0" borderId="12" xfId="0" applyNumberFormat="1" applyFont="1" applyBorder="1" applyAlignment="1" applyProtection="1">
      <alignment horizontal="center"/>
      <protection hidden="1"/>
    </xf>
    <xf numFmtId="164" fontId="0" fillId="36" borderId="0" xfId="0" applyNumberFormat="1" applyFill="1" applyAlignment="1">
      <alignment horizontal="center" wrapText="1"/>
    </xf>
    <xf numFmtId="164" fontId="0" fillId="36" borderId="0" xfId="0" applyNumberFormat="1" applyFill="1" applyAlignment="1">
      <alignment wrapText="1"/>
    </xf>
    <xf numFmtId="9" fontId="0" fillId="36" borderId="0" xfId="0" applyNumberFormat="1" applyFill="1" applyAlignment="1">
      <alignment horizontal="center" wrapText="1"/>
    </xf>
    <xf numFmtId="0" fontId="114" fillId="0" borderId="12" xfId="0" applyFont="1" applyBorder="1" applyAlignment="1" applyProtection="1">
      <alignment horizontal="center" wrapText="1"/>
      <protection hidden="1"/>
    </xf>
    <xf numFmtId="0" fontId="113" fillId="0" borderId="18" xfId="0" applyFont="1" applyBorder="1" applyAlignment="1" applyProtection="1">
      <alignment horizontal="left"/>
      <protection hidden="1"/>
    </xf>
    <xf numFmtId="164" fontId="113" fillId="0" borderId="0" xfId="59" applyNumberFormat="1" applyFont="1" applyAlignment="1">
      <alignment horizontal="left"/>
    </xf>
    <xf numFmtId="164" fontId="4" fillId="61" borderId="0" xfId="61" applyNumberFormat="1" applyFont="1" applyFill="1"/>
    <xf numFmtId="0" fontId="4" fillId="0" borderId="0" xfId="0" applyFont="1" applyAlignment="1">
      <alignment horizontal="left" wrapText="1"/>
    </xf>
    <xf numFmtId="0" fontId="0" fillId="0" borderId="26" xfId="0" applyBorder="1" applyAlignment="1">
      <alignment horizontal="left" wrapText="1"/>
    </xf>
    <xf numFmtId="0" fontId="0" fillId="0" borderId="0" xfId="0" applyAlignment="1">
      <alignment horizontal="left" wrapText="1"/>
    </xf>
    <xf numFmtId="0" fontId="0" fillId="0" borderId="27" xfId="0" applyBorder="1" applyAlignment="1">
      <alignment horizontal="left" wrapText="1"/>
    </xf>
    <xf numFmtId="0" fontId="0" fillId="0" borderId="20" xfId="0" applyBorder="1" applyAlignment="1" applyProtection="1">
      <alignment horizontal="left"/>
      <protection hidden="1"/>
    </xf>
    <xf numFmtId="0" fontId="0" fillId="0" borderId="3" xfId="0" applyBorder="1" applyAlignment="1" applyProtection="1">
      <alignment horizontal="left"/>
      <protection hidden="1"/>
    </xf>
    <xf numFmtId="0" fontId="0" fillId="0" borderId="59" xfId="0" applyBorder="1" applyAlignment="1" applyProtection="1">
      <alignment horizontal="left"/>
      <protection hidden="1"/>
    </xf>
    <xf numFmtId="0" fontId="9" fillId="0" borderId="0" xfId="59" applyFont="1" applyAlignment="1" applyProtection="1">
      <alignment horizontal="center"/>
      <protection hidden="1"/>
    </xf>
    <xf numFmtId="0" fontId="0" fillId="0" borderId="20" xfId="0" applyBorder="1" applyAlignment="1">
      <alignment horizontal="left"/>
    </xf>
    <xf numFmtId="0" fontId="0" fillId="0" borderId="3" xfId="0" applyBorder="1" applyAlignment="1">
      <alignment horizontal="left"/>
    </xf>
    <xf numFmtId="0" fontId="0" fillId="0" borderId="59" xfId="0" applyBorder="1" applyAlignment="1">
      <alignment horizontal="left"/>
    </xf>
    <xf numFmtId="0" fontId="9" fillId="0" borderId="34" xfId="0" applyFont="1" applyBorder="1" applyAlignment="1" applyProtection="1">
      <alignment horizontal="left"/>
      <protection hidden="1"/>
    </xf>
    <xf numFmtId="0" fontId="9" fillId="0" borderId="0" xfId="0" applyFont="1" applyAlignment="1" applyProtection="1">
      <alignment horizontal="left"/>
      <protection hidden="1"/>
    </xf>
    <xf numFmtId="0" fontId="9" fillId="0" borderId="27" xfId="0" applyFont="1" applyBorder="1" applyAlignment="1" applyProtection="1">
      <alignment horizontal="left"/>
      <protection hidden="1"/>
    </xf>
    <xf numFmtId="0" fontId="0" fillId="0" borderId="32" xfId="0" applyBorder="1" applyAlignment="1" applyProtection="1">
      <alignment horizontal="left"/>
      <protection hidden="1"/>
    </xf>
    <xf numFmtId="0" fontId="0" fillId="0" borderId="18" xfId="0" applyBorder="1" applyAlignment="1" applyProtection="1">
      <alignment horizontal="left"/>
      <protection hidden="1"/>
    </xf>
    <xf numFmtId="0" fontId="0" fillId="0" borderId="52" xfId="0" applyBorder="1" applyAlignment="1" applyProtection="1">
      <alignment horizontal="left"/>
      <protection hidden="1"/>
    </xf>
    <xf numFmtId="0" fontId="0" fillId="0" borderId="53" xfId="0" applyBorder="1" applyAlignment="1" applyProtection="1">
      <alignment horizontal="left"/>
      <protection hidden="1"/>
    </xf>
    <xf numFmtId="0" fontId="0" fillId="0" borderId="24" xfId="0" applyBorder="1" applyAlignment="1" applyProtection="1">
      <alignment horizontal="left"/>
      <protection hidden="1"/>
    </xf>
    <xf numFmtId="0" fontId="0" fillId="0" borderId="25" xfId="0" applyBorder="1" applyAlignment="1" applyProtection="1">
      <alignment horizontal="left"/>
      <protection hidden="1"/>
    </xf>
    <xf numFmtId="0" fontId="4" fillId="0" borderId="20" xfId="0" applyFont="1" applyBorder="1" applyAlignment="1" applyProtection="1">
      <alignment horizontal="left"/>
      <protection hidden="1"/>
    </xf>
    <xf numFmtId="0" fontId="4" fillId="0" borderId="3" xfId="0" applyFont="1" applyBorder="1" applyAlignment="1" applyProtection="1">
      <alignment horizontal="left"/>
      <protection hidden="1"/>
    </xf>
    <xf numFmtId="0" fontId="4" fillId="0" borderId="59" xfId="0" applyFont="1" applyBorder="1" applyAlignment="1" applyProtection="1">
      <alignment horizontal="left"/>
      <protection hidden="1"/>
    </xf>
    <xf numFmtId="0" fontId="4" fillId="0" borderId="0" xfId="0" applyFont="1" applyAlignment="1" applyProtection="1">
      <alignment horizontal="left" vertical="center" wrapText="1"/>
      <protection hidden="1"/>
    </xf>
    <xf numFmtId="0" fontId="63" fillId="0" borderId="0" xfId="0" applyFont="1" applyAlignment="1" applyProtection="1">
      <alignment horizontal="left" vertical="center" wrapText="1"/>
      <protection hidden="1"/>
    </xf>
    <xf numFmtId="0" fontId="63" fillId="0" borderId="0" xfId="0" applyFont="1" applyAlignment="1" applyProtection="1">
      <alignment horizontal="left" wrapText="1"/>
      <protection hidden="1"/>
    </xf>
    <xf numFmtId="0" fontId="4" fillId="0" borderId="45" xfId="0" applyFont="1" applyBorder="1" applyAlignment="1" applyProtection="1">
      <alignment horizontal="left"/>
      <protection hidden="1"/>
    </xf>
    <xf numFmtId="0" fontId="4" fillId="0" borderId="30" xfId="0" applyFont="1" applyBorder="1" applyAlignment="1" applyProtection="1">
      <alignment horizontal="left"/>
      <protection hidden="1"/>
    </xf>
    <xf numFmtId="0" fontId="4" fillId="0" borderId="58" xfId="0" applyFont="1" applyBorder="1" applyAlignment="1" applyProtection="1">
      <alignment horizontal="left"/>
      <protection hidden="1"/>
    </xf>
    <xf numFmtId="0" fontId="4" fillId="0" borderId="0" xfId="0" applyFont="1" applyAlignment="1" applyProtection="1">
      <alignment horizontal="left" vertical="top" wrapText="1"/>
      <protection hidden="1"/>
    </xf>
    <xf numFmtId="0" fontId="4" fillId="0" borderId="0" xfId="0" applyFont="1" applyAlignment="1" applyProtection="1">
      <alignment horizontal="left" wrapText="1"/>
      <protection hidden="1"/>
    </xf>
    <xf numFmtId="0" fontId="4" fillId="0" borderId="0" xfId="61" applyFont="1" applyAlignment="1">
      <alignment horizontal="center"/>
    </xf>
    <xf numFmtId="164" fontId="64" fillId="0" borderId="0" xfId="61" applyNumberFormat="1" applyFont="1" applyAlignment="1">
      <alignment horizontal="left" wrapText="1"/>
    </xf>
    <xf numFmtId="0" fontId="4" fillId="36" borderId="0" xfId="61" applyFont="1" applyFill="1" applyAlignment="1">
      <alignment horizontal="center" wrapText="1"/>
    </xf>
    <xf numFmtId="0" fontId="6" fillId="0" borderId="0" xfId="61" applyFont="1" applyAlignment="1">
      <alignment horizontal="center"/>
    </xf>
    <xf numFmtId="0" fontId="9" fillId="0" borderId="12" xfId="61" applyFont="1" applyBorder="1" applyAlignment="1">
      <alignment horizontal="center" wrapText="1"/>
    </xf>
    <xf numFmtId="0" fontId="9" fillId="0" borderId="31" xfId="61" applyFont="1" applyBorder="1" applyAlignment="1">
      <alignment horizontal="center" wrapText="1"/>
    </xf>
    <xf numFmtId="0" fontId="4" fillId="0" borderId="20" xfId="61" applyFont="1" applyBorder="1" applyAlignment="1">
      <alignment horizontal="center"/>
    </xf>
    <xf numFmtId="0" fontId="4" fillId="0" borderId="54" xfId="61" applyFont="1" applyBorder="1" applyAlignment="1">
      <alignment horizontal="center"/>
    </xf>
    <xf numFmtId="0" fontId="64" fillId="0" borderId="0" xfId="61" applyFont="1" applyAlignment="1">
      <alignment horizontal="left" wrapText="1"/>
    </xf>
    <xf numFmtId="0" fontId="9" fillId="0" borderId="38" xfId="61" applyFont="1" applyBorder="1" applyAlignment="1">
      <alignment horizontal="center"/>
    </xf>
    <xf numFmtId="0" fontId="9" fillId="0" borderId="48" xfId="61" applyFont="1" applyBorder="1" applyAlignment="1">
      <alignment horizontal="center"/>
    </xf>
    <xf numFmtId="0" fontId="9" fillId="0" borderId="35" xfId="61" applyFont="1" applyBorder="1" applyAlignment="1">
      <alignment horizontal="center"/>
    </xf>
    <xf numFmtId="0" fontId="4" fillId="0" borderId="31" xfId="61" applyFont="1" applyBorder="1" applyAlignment="1">
      <alignment horizontal="center" vertical="center" wrapText="1"/>
    </xf>
    <xf numFmtId="0" fontId="4" fillId="0" borderId="15" xfId="61" applyFont="1" applyBorder="1" applyAlignment="1">
      <alignment horizontal="center" vertical="center" wrapText="1"/>
    </xf>
    <xf numFmtId="0" fontId="4" fillId="0" borderId="33" xfId="61" applyFont="1" applyBorder="1" applyAlignment="1">
      <alignment horizontal="center" vertical="center" wrapText="1"/>
    </xf>
    <xf numFmtId="0" fontId="4" fillId="0" borderId="12" xfId="61" applyFont="1" applyBorder="1" applyAlignment="1">
      <alignment horizontal="center"/>
    </xf>
    <xf numFmtId="0" fontId="4" fillId="0" borderId="0" xfId="58" applyFont="1" applyAlignment="1">
      <alignment horizontal="center" wrapText="1"/>
    </xf>
    <xf numFmtId="0" fontId="4" fillId="0" borderId="18" xfId="58" applyFont="1" applyBorder="1" applyAlignment="1">
      <alignment horizontal="center" wrapText="1"/>
    </xf>
    <xf numFmtId="166" fontId="4" fillId="32" borderId="12" xfId="58" applyNumberFormat="1" applyFont="1" applyFill="1" applyBorder="1" applyAlignment="1">
      <alignment horizontal="center" wrapText="1"/>
    </xf>
    <xf numFmtId="166" fontId="4" fillId="0" borderId="12" xfId="58" applyNumberFormat="1" applyFont="1" applyBorder="1" applyAlignment="1">
      <alignment horizontal="center" wrapText="1"/>
    </xf>
    <xf numFmtId="0" fontId="4" fillId="0" borderId="12" xfId="58" applyFont="1" applyBorder="1" applyAlignment="1">
      <alignment horizontal="center" wrapText="1"/>
    </xf>
    <xf numFmtId="0" fontId="4" fillId="0" borderId="12" xfId="58" applyFont="1" applyBorder="1" applyAlignment="1" applyProtection="1">
      <alignment vertical="top"/>
      <protection hidden="1"/>
    </xf>
    <xf numFmtId="0" fontId="4" fillId="0" borderId="12" xfId="58" applyFont="1" applyBorder="1" applyAlignment="1"/>
    <xf numFmtId="0" fontId="4" fillId="0" borderId="31" xfId="58" applyFont="1" applyBorder="1" applyAlignment="1">
      <alignment horizontal="center" wrapText="1"/>
    </xf>
    <xf numFmtId="0" fontId="4" fillId="0" borderId="15" xfId="58" applyFont="1" applyBorder="1" applyAlignment="1">
      <alignment horizontal="center" wrapText="1"/>
    </xf>
    <xf numFmtId="0" fontId="4" fillId="0" borderId="33" xfId="58" applyFont="1" applyBorder="1" applyAlignment="1">
      <alignment horizontal="center" wrapText="1"/>
    </xf>
    <xf numFmtId="0" fontId="9" fillId="0" borderId="31" xfId="58" applyFont="1" applyBorder="1" applyAlignment="1" applyProtection="1">
      <alignment horizontal="left" vertical="top"/>
      <protection hidden="1"/>
    </xf>
    <xf numFmtId="0" fontId="4" fillId="0" borderId="31" xfId="58" applyFont="1" applyBorder="1" applyAlignment="1"/>
    <xf numFmtId="0" fontId="4" fillId="0" borderId="38" xfId="58" applyFont="1" applyBorder="1" applyAlignment="1"/>
    <xf numFmtId="0" fontId="4" fillId="0" borderId="20" xfId="58" applyFont="1" applyBorder="1" applyAlignment="1" applyProtection="1">
      <alignment vertical="top"/>
      <protection hidden="1"/>
    </xf>
    <xf numFmtId="0" fontId="4" fillId="0" borderId="3" xfId="58" applyFont="1" applyBorder="1" applyAlignment="1" applyProtection="1">
      <alignment vertical="top"/>
      <protection hidden="1"/>
    </xf>
    <xf numFmtId="0" fontId="4" fillId="0" borderId="54" xfId="58" applyFont="1" applyBorder="1" applyAlignment="1" applyProtection="1">
      <alignment vertical="top"/>
      <protection hidden="1"/>
    </xf>
    <xf numFmtId="0" fontId="4" fillId="0" borderId="20" xfId="58" applyFont="1" applyBorder="1" applyAlignment="1" applyProtection="1">
      <alignment horizontal="left" vertical="top"/>
      <protection hidden="1"/>
    </xf>
    <xf numFmtId="0" fontId="4" fillId="0" borderId="3" xfId="58" applyFont="1" applyBorder="1" applyAlignment="1" applyProtection="1">
      <alignment horizontal="left" vertical="top"/>
      <protection hidden="1"/>
    </xf>
    <xf numFmtId="0" fontId="4" fillId="0" borderId="54" xfId="58" applyFont="1" applyBorder="1" applyAlignment="1" applyProtection="1">
      <alignment horizontal="left" vertical="top"/>
      <protection hidden="1"/>
    </xf>
    <xf numFmtId="0" fontId="9" fillId="0" borderId="12" xfId="58" applyFont="1" applyBorder="1" applyAlignment="1" applyProtection="1">
      <alignment vertical="top"/>
      <protection hidden="1"/>
    </xf>
    <xf numFmtId="0" fontId="64" fillId="0" borderId="0" xfId="58" applyFont="1" applyAlignment="1">
      <alignment horizontal="center" wrapText="1"/>
    </xf>
    <xf numFmtId="0" fontId="4" fillId="0" borderId="20" xfId="58" applyFont="1" applyBorder="1" applyAlignment="1"/>
    <xf numFmtId="0" fontId="4" fillId="0" borderId="0" xfId="58" applyFont="1" applyAlignment="1">
      <alignment horizontal="left" wrapText="1"/>
    </xf>
    <xf numFmtId="164" fontId="4" fillId="0" borderId="0" xfId="59" applyNumberFormat="1" applyFont="1" applyAlignment="1" applyProtection="1">
      <alignment horizontal="center" vertical="center"/>
      <protection hidden="1"/>
    </xf>
    <xf numFmtId="0" fontId="0" fillId="0" borderId="12" xfId="0" applyBorder="1" applyAlignment="1">
      <alignment horizontal="left"/>
    </xf>
    <xf numFmtId="0" fontId="0" fillId="0" borderId="39" xfId="0" applyBorder="1" applyAlignment="1">
      <alignment horizontal="left"/>
    </xf>
    <xf numFmtId="0" fontId="0" fillId="0" borderId="12" xfId="0" applyBorder="1" applyAlignment="1" applyProtection="1">
      <alignment horizontal="left"/>
      <protection hidden="1"/>
    </xf>
    <xf numFmtId="0" fontId="0" fillId="0" borderId="39" xfId="0" applyBorder="1" applyAlignment="1" applyProtection="1">
      <alignment horizontal="left"/>
      <protection hidden="1"/>
    </xf>
    <xf numFmtId="0" fontId="4" fillId="0" borderId="12" xfId="0" applyFont="1" applyBorder="1" applyAlignment="1" applyProtection="1">
      <alignment horizontal="left"/>
      <protection hidden="1"/>
    </xf>
    <xf numFmtId="0" fontId="4" fillId="0" borderId="39" xfId="0" applyFont="1" applyBorder="1" applyAlignment="1" applyProtection="1">
      <alignment horizontal="left"/>
      <protection hidden="1"/>
    </xf>
    <xf numFmtId="0" fontId="4" fillId="0" borderId="44" xfId="0" applyFont="1" applyBorder="1" applyAlignment="1" applyProtection="1">
      <alignment horizontal="left"/>
      <protection hidden="1"/>
    </xf>
    <xf numFmtId="0" fontId="0" fillId="0" borderId="44" xfId="0" applyBorder="1" applyAlignment="1" applyProtection="1">
      <alignment horizontal="left"/>
      <protection hidden="1"/>
    </xf>
    <xf numFmtId="0" fontId="0" fillId="0" borderId="46" xfId="0" applyBorder="1" applyAlignment="1" applyProtection="1">
      <alignment horizontal="left"/>
      <protection hidden="1"/>
    </xf>
    <xf numFmtId="0" fontId="4" fillId="0" borderId="0" xfId="61" applyFont="1" applyAlignment="1">
      <alignment horizontal="center" wrapText="1"/>
    </xf>
    <xf numFmtId="0" fontId="4" fillId="0" borderId="0" xfId="61" applyFont="1" applyAlignment="1">
      <alignment horizontal="left" wrapText="1"/>
    </xf>
    <xf numFmtId="0" fontId="4" fillId="0" borderId="18" xfId="61" applyFont="1" applyBorder="1" applyAlignment="1">
      <alignment horizontal="center"/>
    </xf>
    <xf numFmtId="0" fontId="4" fillId="29" borderId="34" xfId="61" applyFont="1" applyFill="1" applyBorder="1" applyAlignment="1">
      <alignment horizontal="center" vertical="center" wrapText="1"/>
    </xf>
    <xf numFmtId="0" fontId="4" fillId="29" borderId="0" xfId="61" applyFont="1" applyFill="1" applyAlignment="1">
      <alignment horizontal="center" vertical="center" wrapText="1"/>
    </xf>
    <xf numFmtId="164" fontId="4" fillId="0" borderId="12" xfId="61" applyNumberFormat="1" applyFont="1" applyBorder="1" applyAlignment="1">
      <alignment horizontal="center" wrapText="1"/>
    </xf>
    <xf numFmtId="164" fontId="4" fillId="0" borderId="0" xfId="61" applyNumberFormat="1" applyFont="1" applyAlignment="1">
      <alignment horizontal="left" wrapText="1"/>
    </xf>
    <xf numFmtId="0" fontId="4" fillId="0" borderId="12" xfId="61" applyFont="1" applyBorder="1" applyAlignment="1">
      <alignment horizontal="center" wrapText="1"/>
    </xf>
    <xf numFmtId="164" fontId="4" fillId="0" borderId="12" xfId="61" applyNumberFormat="1" applyFont="1" applyBorder="1" applyAlignment="1">
      <alignment horizontal="center"/>
    </xf>
    <xf numFmtId="5" fontId="4" fillId="0" borderId="0" xfId="61" applyNumberFormat="1" applyFont="1" applyAlignment="1">
      <alignment horizontal="left" wrapText="1"/>
    </xf>
    <xf numFmtId="0" fontId="4" fillId="0" borderId="55" xfId="61" applyFont="1" applyBorder="1" applyAlignment="1">
      <alignment horizontal="center"/>
    </xf>
    <xf numFmtId="0" fontId="4" fillId="0" borderId="16" xfId="61" applyFont="1" applyBorder="1" applyAlignment="1">
      <alignment horizontal="center"/>
    </xf>
    <xf numFmtId="0" fontId="4" fillId="0" borderId="56" xfId="61" applyFont="1" applyBorder="1" applyAlignment="1">
      <alignment horizontal="center"/>
    </xf>
    <xf numFmtId="0" fontId="4" fillId="0" borderId="21" xfId="61" applyFont="1" applyBorder="1" applyAlignment="1">
      <alignment horizontal="center"/>
    </xf>
    <xf numFmtId="0" fontId="4" fillId="0" borderId="57" xfId="61" applyFont="1" applyBorder="1" applyAlignment="1">
      <alignment horizontal="center"/>
    </xf>
    <xf numFmtId="0" fontId="4" fillId="0" borderId="22" xfId="61" applyFont="1" applyBorder="1" applyAlignment="1">
      <alignment horizontal="center"/>
    </xf>
    <xf numFmtId="0" fontId="4" fillId="0" borderId="0" xfId="0" applyFont="1" applyAlignment="1">
      <alignment horizontal="center" wrapText="1"/>
    </xf>
    <xf numFmtId="0" fontId="113" fillId="0" borderId="0" xfId="0" applyFont="1" applyAlignment="1" applyProtection="1">
      <alignment horizontal="left" vertical="top" wrapText="1"/>
      <protection hidden="1"/>
    </xf>
    <xf numFmtId="0" fontId="113" fillId="0" borderId="0" xfId="0" applyFont="1" applyAlignment="1" applyProtection="1">
      <alignment horizontal="left" vertical="center" wrapText="1"/>
      <protection hidden="1"/>
    </xf>
    <xf numFmtId="0" fontId="114" fillId="0" borderId="0" xfId="0" applyFont="1" applyAlignment="1" applyProtection="1">
      <alignment horizontal="right"/>
      <protection hidden="1"/>
    </xf>
    <xf numFmtId="0" fontId="114" fillId="0" borderId="0" xfId="0" applyFont="1" applyAlignment="1" applyProtection="1">
      <alignment horizontal="left"/>
      <protection hidden="1"/>
    </xf>
    <xf numFmtId="0" fontId="113" fillId="0" borderId="0" xfId="0" applyFont="1" applyAlignment="1" applyProtection="1">
      <alignment horizontal="left" vertical="center"/>
      <protection hidden="1"/>
    </xf>
    <xf numFmtId="0" fontId="4" fillId="36" borderId="0" xfId="61" applyFont="1" applyFill="1" applyAlignment="1">
      <alignment horizontal="center" vertical="center" wrapText="1"/>
    </xf>
    <xf numFmtId="0" fontId="4" fillId="0" borderId="23" xfId="61" applyFont="1" applyBorder="1" applyAlignment="1">
      <alignment horizontal="center" wrapText="1"/>
    </xf>
    <xf numFmtId="0" fontId="4" fillId="0" borderId="24" xfId="61" applyFont="1" applyBorder="1" applyAlignment="1">
      <alignment horizontal="center" wrapText="1"/>
    </xf>
    <xf numFmtId="0" fontId="4" fillId="0" borderId="25" xfId="61" applyFont="1" applyBorder="1" applyAlignment="1">
      <alignment horizontal="center" wrapText="1"/>
    </xf>
    <xf numFmtId="0" fontId="4" fillId="0" borderId="28" xfId="61" applyFont="1" applyBorder="1" applyAlignment="1">
      <alignment horizontal="center" wrapText="1"/>
    </xf>
    <xf numFmtId="0" fontId="4" fillId="0" borderId="17" xfId="61" applyFont="1" applyBorder="1" applyAlignment="1">
      <alignment horizontal="center" wrapText="1"/>
    </xf>
    <xf numFmtId="0" fontId="4" fillId="0" borderId="29" xfId="61" applyFont="1" applyBorder="1" applyAlignment="1">
      <alignment horizontal="center" wrapText="1"/>
    </xf>
    <xf numFmtId="0" fontId="113" fillId="0" borderId="20" xfId="0" applyFont="1" applyBorder="1" applyAlignment="1" applyProtection="1">
      <alignment horizontal="left" vertical="center"/>
      <protection hidden="1"/>
    </xf>
    <xf numFmtId="0" fontId="113" fillId="0" borderId="3" xfId="0" applyFont="1" applyBorder="1" applyAlignment="1" applyProtection="1">
      <alignment horizontal="left" vertical="center"/>
      <protection hidden="1"/>
    </xf>
    <xf numFmtId="0" fontId="113" fillId="0" borderId="20" xfId="0" applyFont="1" applyBorder="1" applyAlignment="1" applyProtection="1">
      <alignment horizontal="left" vertical="center" wrapText="1"/>
      <protection hidden="1"/>
    </xf>
    <xf numFmtId="0" fontId="113" fillId="0" borderId="3" xfId="0" applyFont="1" applyBorder="1" applyAlignment="1" applyProtection="1">
      <alignment horizontal="left" vertical="center" wrapText="1"/>
      <protection hidden="1"/>
    </xf>
    <xf numFmtId="0" fontId="114" fillId="0" borderId="0" xfId="59" applyFont="1" applyAlignment="1" applyProtection="1">
      <alignment horizontal="left"/>
      <protection hidden="1"/>
    </xf>
    <xf numFmtId="0" fontId="114" fillId="0" borderId="51" xfId="0" applyFont="1" applyBorder="1" applyAlignment="1" applyProtection="1">
      <alignment horizontal="left" vertical="center"/>
      <protection hidden="1"/>
    </xf>
    <xf numFmtId="0" fontId="114" fillId="0" borderId="33" xfId="0" applyFont="1" applyBorder="1" applyAlignment="1" applyProtection="1">
      <alignment horizontal="left" vertical="center"/>
      <protection hidden="1"/>
    </xf>
    <xf numFmtId="0" fontId="144" fillId="0" borderId="3" xfId="0" applyFont="1" applyBorder="1" applyAlignment="1" applyProtection="1">
      <alignment horizontal="left" vertical="center"/>
      <protection hidden="1"/>
    </xf>
    <xf numFmtId="0" fontId="125" fillId="0" borderId="3" xfId="0" applyFont="1" applyBorder="1" applyAlignment="1" applyProtection="1">
      <alignment horizontal="left" vertical="center" wrapText="1"/>
      <protection hidden="1"/>
    </xf>
    <xf numFmtId="0" fontId="125" fillId="0" borderId="20" xfId="0" applyFont="1" applyBorder="1" applyAlignment="1" applyProtection="1">
      <alignment horizontal="left" vertical="center" wrapText="1"/>
      <protection hidden="1"/>
    </xf>
    <xf numFmtId="0" fontId="4" fillId="0" borderId="0" xfId="61" applyFont="1" applyAlignment="1">
      <alignment horizontal="center" vertical="center" wrapText="1"/>
    </xf>
    <xf numFmtId="0" fontId="64" fillId="0" borderId="0" xfId="0" applyFont="1" applyAlignment="1">
      <alignment horizontal="left" wrapText="1"/>
    </xf>
    <xf numFmtId="0" fontId="113" fillId="0" borderId="0" xfId="0" applyFont="1" applyAlignment="1" applyProtection="1">
      <alignment horizontal="left" wrapText="1"/>
      <protection hidden="1"/>
    </xf>
    <xf numFmtId="0" fontId="125" fillId="0" borderId="0" xfId="0" applyFont="1" applyAlignment="1" applyProtection="1">
      <alignment horizontal="left" vertical="center" wrapText="1"/>
      <protection hidden="1"/>
    </xf>
    <xf numFmtId="0" fontId="138" fillId="0" borderId="0" xfId="0" applyFont="1" applyAlignment="1">
      <alignment horizontal="left" vertical="center" wrapText="1"/>
    </xf>
    <xf numFmtId="0" fontId="113" fillId="0" borderId="31" xfId="0" applyFont="1" applyBorder="1" applyAlignment="1" applyProtection="1">
      <alignment horizontal="center" vertical="center" wrapText="1"/>
      <protection hidden="1"/>
    </xf>
    <xf numFmtId="0" fontId="113" fillId="0" borderId="33" xfId="0" applyFont="1" applyBorder="1" applyAlignment="1" applyProtection="1">
      <alignment horizontal="center" vertical="center" wrapText="1"/>
      <protection hidden="1"/>
    </xf>
    <xf numFmtId="0" fontId="0" fillId="0" borderId="0" xfId="0" applyAlignment="1">
      <alignment horizontal="center" wrapText="1"/>
    </xf>
    <xf numFmtId="0" fontId="139" fillId="0" borderId="0" xfId="0" applyFont="1" applyAlignment="1">
      <alignment horizontal="left" wrapText="1"/>
    </xf>
    <xf numFmtId="0" fontId="20" fillId="0" borderId="0" xfId="0" applyFont="1" applyAlignment="1">
      <alignment horizontal="left" wrapText="1"/>
    </xf>
    <xf numFmtId="0" fontId="20" fillId="0" borderId="0" xfId="0" applyFont="1" applyAlignment="1">
      <alignment horizontal="left" vertical="center" wrapText="1"/>
    </xf>
    <xf numFmtId="0" fontId="142" fillId="0" borderId="0" xfId="0" applyFont="1" applyAlignment="1">
      <alignment horizontal="left"/>
    </xf>
    <xf numFmtId="0" fontId="142" fillId="0" borderId="0" xfId="0" applyFont="1" applyAlignment="1">
      <alignment horizontal="left" wrapText="1"/>
    </xf>
    <xf numFmtId="0" fontId="0" fillId="34" borderId="18" xfId="0" applyFill="1" applyBorder="1" applyAlignment="1">
      <alignment horizontal="center"/>
    </xf>
    <xf numFmtId="0" fontId="10" fillId="0" borderId="0" xfId="0" applyFont="1" applyAlignment="1">
      <alignment horizontal="center"/>
    </xf>
    <xf numFmtId="0" fontId="0" fillId="0" borderId="0" xfId="0" applyAlignment="1">
      <alignment horizontal="center"/>
    </xf>
    <xf numFmtId="0" fontId="9" fillId="0" borderId="0" xfId="0" applyFont="1" applyAlignment="1">
      <alignment horizontal="center"/>
    </xf>
    <xf numFmtId="0" fontId="4" fillId="0" borderId="18" xfId="0" applyFont="1" applyBorder="1" applyAlignment="1">
      <alignment horizontal="center"/>
    </xf>
    <xf numFmtId="49" fontId="111" fillId="52" borderId="84" xfId="0" applyNumberFormat="1" applyFont="1" applyFill="1" applyBorder="1" applyAlignment="1">
      <alignment horizontal="left" vertical="center"/>
    </xf>
    <xf numFmtId="49" fontId="111" fillId="52" borderId="84" xfId="0" applyNumberFormat="1" applyFont="1" applyFill="1" applyBorder="1" applyAlignment="1">
      <alignment horizontal="center" vertical="center" wrapText="1"/>
    </xf>
    <xf numFmtId="49" fontId="111" fillId="52" borderId="88" xfId="0" applyNumberFormat="1" applyFont="1" applyFill="1" applyBorder="1" applyAlignment="1">
      <alignment horizontal="center" vertical="center" wrapText="1"/>
    </xf>
    <xf numFmtId="49" fontId="111" fillId="52" borderId="89" xfId="0" applyNumberFormat="1" applyFont="1" applyFill="1" applyBorder="1" applyAlignment="1">
      <alignment horizontal="center" vertical="center" wrapText="1"/>
    </xf>
    <xf numFmtId="49" fontId="111" fillId="52" borderId="90" xfId="0" applyNumberFormat="1" applyFont="1" applyFill="1" applyBorder="1" applyAlignment="1">
      <alignment horizontal="center" vertical="center" wrapText="1"/>
    </xf>
    <xf numFmtId="0" fontId="0" fillId="0" borderId="20" xfId="0" applyBorder="1" applyAlignment="1">
      <alignment horizontal="center"/>
    </xf>
    <xf numFmtId="0" fontId="0" fillId="0" borderId="3" xfId="0" applyBorder="1" applyAlignment="1">
      <alignment horizontal="center"/>
    </xf>
    <xf numFmtId="0" fontId="0" fillId="0" borderId="54" xfId="0" applyBorder="1" applyAlignment="1">
      <alignment horizontal="center"/>
    </xf>
    <xf numFmtId="0" fontId="0" fillId="0" borderId="12" xfId="0" applyBorder="1" applyAlignment="1">
      <alignment horizontal="center"/>
    </xf>
    <xf numFmtId="0" fontId="4" fillId="0" borderId="12" xfId="58" applyFont="1" applyBorder="1" applyAlignment="1">
      <alignment horizontal="center" vertical="center" wrapText="1"/>
    </xf>
    <xf numFmtId="0" fontId="4" fillId="0" borderId="12" xfId="58" applyFont="1" applyBorder="1" applyAlignment="1" applyProtection="1">
      <alignment horizontal="center" vertical="center"/>
      <protection hidden="1"/>
    </xf>
    <xf numFmtId="0" fontId="4" fillId="0" borderId="12" xfId="58" applyFont="1" applyBorder="1" applyAlignment="1">
      <alignment horizontal="center" vertical="center"/>
    </xf>
    <xf numFmtId="0" fontId="9" fillId="0" borderId="12" xfId="58" applyFont="1" applyBorder="1" applyAlignment="1" applyProtection="1">
      <alignment horizontal="center" vertical="center"/>
      <protection hidden="1"/>
    </xf>
    <xf numFmtId="0" fontId="4" fillId="0" borderId="20" xfId="58" applyFont="1" applyBorder="1" applyAlignment="1" applyProtection="1">
      <alignment horizontal="center" vertical="center"/>
      <protection hidden="1"/>
    </xf>
    <xf numFmtId="0" fontId="4" fillId="0" borderId="3" xfId="58" applyFont="1" applyBorder="1" applyAlignment="1" applyProtection="1">
      <alignment horizontal="center" vertical="center"/>
      <protection hidden="1"/>
    </xf>
    <xf numFmtId="0" fontId="4" fillId="0" borderId="54" xfId="58" applyFont="1" applyBorder="1" applyAlignment="1" applyProtection="1">
      <alignment horizontal="center" vertical="center"/>
      <protection hidden="1"/>
    </xf>
    <xf numFmtId="166" fontId="4" fillId="0" borderId="12" xfId="58" applyNumberFormat="1" applyFont="1" applyBorder="1" applyAlignment="1">
      <alignment horizontal="center" vertical="center" wrapText="1"/>
    </xf>
    <xf numFmtId="0" fontId="9" fillId="0" borderId="31" xfId="58" applyFont="1" applyBorder="1" applyAlignment="1" applyProtection="1">
      <alignment horizontal="center" vertical="top"/>
      <protection hidden="1"/>
    </xf>
    <xf numFmtId="0" fontId="4" fillId="0" borderId="31" xfId="58" applyFont="1" applyBorder="1" applyAlignment="1">
      <alignment horizontal="center"/>
    </xf>
    <xf numFmtId="0" fontId="4" fillId="0" borderId="38" xfId="58" applyFont="1" applyBorder="1" applyAlignment="1">
      <alignment horizontal="center"/>
    </xf>
    <xf numFmtId="0" fontId="63" fillId="0" borderId="0" xfId="0" applyFont="1" applyAlignment="1">
      <alignment horizontal="center" wrapText="1"/>
    </xf>
    <xf numFmtId="0" fontId="63" fillId="0" borderId="18" xfId="0" applyFont="1" applyBorder="1" applyAlignment="1">
      <alignment horizontal="center" wrapText="1"/>
    </xf>
    <xf numFmtId="0" fontId="54" fillId="42" borderId="12" xfId="0" applyFont="1" applyFill="1" applyBorder="1" applyAlignment="1">
      <alignment wrapText="1"/>
    </xf>
    <xf numFmtId="0" fontId="80" fillId="42" borderId="12" xfId="0" applyFont="1" applyFill="1" applyBorder="1" applyAlignment="1"/>
    <xf numFmtId="0" fontId="9" fillId="25" borderId="12" xfId="0" applyFont="1" applyFill="1" applyBorder="1" applyAlignment="1">
      <alignment horizontal="left"/>
    </xf>
    <xf numFmtId="0" fontId="0" fillId="0" borderId="12" xfId="0" applyBorder="1" applyAlignment="1"/>
    <xf numFmtId="0" fontId="54" fillId="25" borderId="12" xfId="0" quotePrefix="1" applyFont="1" applyFill="1" applyBorder="1" applyAlignment="1">
      <alignment horizontal="left"/>
    </xf>
    <xf numFmtId="0" fontId="9" fillId="25" borderId="12" xfId="0" quotePrefix="1" applyFont="1" applyFill="1" applyBorder="1" applyAlignment="1">
      <alignment horizontal="left"/>
    </xf>
    <xf numFmtId="0" fontId="4" fillId="48" borderId="24" xfId="0" applyFont="1" applyFill="1" applyBorder="1" applyAlignment="1">
      <alignment horizontal="center"/>
    </xf>
    <xf numFmtId="176" fontId="74" fillId="28" borderId="23" xfId="0" applyNumberFormat="1" applyFont="1" applyFill="1" applyBorder="1" applyAlignment="1">
      <alignment horizontal="center"/>
    </xf>
    <xf numFmtId="176" fontId="74" fillId="28" borderId="24" xfId="0" applyNumberFormat="1" applyFont="1" applyFill="1" applyBorder="1" applyAlignment="1">
      <alignment horizontal="center"/>
    </xf>
    <xf numFmtId="176" fontId="74" fillId="28" borderId="25" xfId="0" applyNumberFormat="1" applyFont="1" applyFill="1" applyBorder="1" applyAlignment="1">
      <alignment horizontal="center"/>
    </xf>
    <xf numFmtId="0" fontId="74" fillId="28" borderId="74" xfId="0" applyFont="1" applyFill="1" applyBorder="1" applyAlignment="1">
      <alignment horizontal="center"/>
    </xf>
    <xf numFmtId="0" fontId="74" fillId="28" borderId="68" xfId="0" applyFont="1" applyFill="1" applyBorder="1" applyAlignment="1">
      <alignment horizontal="center"/>
    </xf>
    <xf numFmtId="0" fontId="74" fillId="28" borderId="69" xfId="0" applyFont="1" applyFill="1" applyBorder="1" applyAlignment="1">
      <alignment horizontal="center"/>
    </xf>
    <xf numFmtId="0" fontId="82" fillId="48" borderId="24" xfId="0" applyFont="1" applyFill="1" applyBorder="1" applyAlignment="1">
      <alignment horizontal="center"/>
    </xf>
    <xf numFmtId="0" fontId="74" fillId="28" borderId="76" xfId="0" applyFont="1" applyFill="1" applyBorder="1" applyAlignment="1">
      <alignment horizontal="left"/>
    </xf>
    <xf numFmtId="0" fontId="0" fillId="0" borderId="0" xfId="0" applyAlignment="1">
      <alignment horizontal="left"/>
    </xf>
    <xf numFmtId="0" fontId="98" fillId="0" borderId="0" xfId="0" applyFont="1" applyAlignment="1">
      <alignment vertical="top" wrapText="1"/>
    </xf>
    <xf numFmtId="0" fontId="50" fillId="0" borderId="0" xfId="0" applyFont="1" applyAlignment="1">
      <alignment vertical="top" wrapText="1"/>
    </xf>
    <xf numFmtId="0" fontId="4" fillId="0" borderId="0" xfId="0" applyFont="1" applyAlignment="1">
      <alignment horizontal="center"/>
    </xf>
    <xf numFmtId="0" fontId="4" fillId="35" borderId="0" xfId="0" applyFont="1" applyFill="1" applyAlignment="1">
      <alignment horizontal="center" wrapText="1"/>
    </xf>
    <xf numFmtId="0" fontId="0" fillId="0" borderId="0" xfId="0" applyAlignment="1">
      <alignment horizontal="center" vertical="center" wrapText="1"/>
    </xf>
    <xf numFmtId="0" fontId="4" fillId="0" borderId="0" xfId="0" applyFont="1" applyAlignment="1">
      <alignment horizontal="center" vertical="center" wrapText="1"/>
    </xf>
    <xf numFmtId="0" fontId="9" fillId="0" borderId="0" xfId="61" applyFont="1" applyAlignment="1">
      <alignment horizontal="center" wrapText="1"/>
    </xf>
    <xf numFmtId="0" fontId="104" fillId="0" borderId="0" xfId="61" applyFont="1" applyAlignment="1">
      <alignment horizontal="left" vertical="center" wrapText="1"/>
    </xf>
    <xf numFmtId="164" fontId="104" fillId="0" borderId="0" xfId="61" applyNumberFormat="1" applyFont="1" applyAlignment="1">
      <alignment horizontal="left" wrapText="1"/>
    </xf>
    <xf numFmtId="0" fontId="9" fillId="0" borderId="0" xfId="61" applyFont="1" applyAlignment="1">
      <alignment horizontal="center"/>
    </xf>
    <xf numFmtId="0" fontId="113" fillId="45" borderId="0" xfId="0" applyFont="1" applyFill="1" applyAlignment="1" applyProtection="1">
      <alignment horizontal="left"/>
      <protection hidden="1"/>
    </xf>
    <xf numFmtId="164" fontId="113" fillId="45" borderId="0" xfId="100" applyNumberFormat="1" applyFont="1" applyFill="1" applyAlignment="1" applyProtection="1">
      <alignment horizontal="left"/>
      <protection hidden="1"/>
    </xf>
    <xf numFmtId="0" fontId="113" fillId="0" borderId="24" xfId="0" applyFont="1" applyBorder="1" applyAlignment="1" applyProtection="1">
      <alignment horizontal="left"/>
      <protection hidden="1"/>
    </xf>
    <xf numFmtId="0" fontId="113" fillId="0" borderId="25" xfId="0" applyFont="1" applyBorder="1" applyAlignment="1" applyProtection="1">
      <alignment horizontal="left"/>
      <protection hidden="1"/>
    </xf>
    <xf numFmtId="0" fontId="113" fillId="0" borderId="0" xfId="0" applyFont="1" applyBorder="1" applyAlignment="1" applyProtection="1">
      <alignment horizontal="left"/>
      <protection hidden="1"/>
    </xf>
    <xf numFmtId="0" fontId="114" fillId="0" borderId="93" xfId="0" applyFont="1" applyBorder="1" applyAlignment="1" applyProtection="1">
      <alignment horizontal="center"/>
      <protection hidden="1"/>
    </xf>
    <xf numFmtId="164" fontId="114" fillId="0" borderId="94" xfId="0" applyNumberFormat="1" applyFont="1" applyBorder="1" applyAlignment="1" applyProtection="1">
      <alignment horizontal="center"/>
      <protection hidden="1"/>
    </xf>
    <xf numFmtId="0" fontId="121" fillId="64" borderId="26" xfId="59" applyFont="1" applyFill="1" applyBorder="1" applyAlignment="1" applyProtection="1">
      <alignment horizontal="left"/>
      <protection hidden="1"/>
    </xf>
    <xf numFmtId="0" fontId="113" fillId="64" borderId="0" xfId="0" applyFont="1" applyFill="1" applyBorder="1" applyAlignment="1" applyProtection="1">
      <alignment horizontal="left"/>
      <protection hidden="1"/>
    </xf>
    <xf numFmtId="10" fontId="121" fillId="64" borderId="27" xfId="0" applyNumberFormat="1" applyFont="1" applyFill="1" applyBorder="1" applyAlignment="1" applyProtection="1">
      <alignment horizontal="left"/>
      <protection hidden="1"/>
    </xf>
    <xf numFmtId="0" fontId="113" fillId="0" borderId="95" xfId="59" applyFont="1" applyBorder="1" applyAlignment="1" applyProtection="1">
      <alignment horizontal="left"/>
      <protection hidden="1"/>
    </xf>
    <xf numFmtId="0" fontId="113" fillId="0" borderId="26" xfId="0" applyFont="1" applyBorder="1" applyAlignment="1" applyProtection="1">
      <alignment horizontal="left"/>
      <protection hidden="1"/>
    </xf>
    <xf numFmtId="0" fontId="113" fillId="0" borderId="27" xfId="0" applyFont="1" applyBorder="1" applyAlignment="1" applyProtection="1">
      <alignment horizontal="left"/>
      <protection hidden="1"/>
    </xf>
    <xf numFmtId="0" fontId="115" fillId="0" borderId="23" xfId="59" applyFont="1" applyBorder="1" applyAlignment="1" applyProtection="1">
      <alignment horizontal="left"/>
      <protection hidden="1"/>
    </xf>
    <xf numFmtId="0" fontId="113" fillId="0" borderId="3" xfId="0" applyFont="1" applyBorder="1" applyAlignment="1" applyProtection="1">
      <alignment horizontal="center"/>
      <protection hidden="1"/>
    </xf>
    <xf numFmtId="10" fontId="113" fillId="0" borderId="12" xfId="0" applyNumberFormat="1" applyFont="1" applyBorder="1" applyAlignment="1" applyProtection="1">
      <alignment horizontal="center"/>
      <protection hidden="1"/>
    </xf>
  </cellXfs>
  <cellStyles count="101">
    <cellStyle name="%" xfId="1" xr:uid="{00000000-0005-0000-0000-000000000000}"/>
    <cellStyle name="% 2" xfId="2" xr:uid="{00000000-0005-0000-0000-000001000000}"/>
    <cellStyle name="% 2 2" xfId="90" xr:uid="{00000000-0005-0000-0000-000002000000}"/>
    <cellStyle name="]_x000d__x000a_Zoomed=1_x000d__x000a_Row=0_x000d__x000a_Column=0_x000d__x000a_Height=0_x000d__x000a_Width=0_x000d__x000a_FontName=FoxFont_x000d__x000a_FontStyle=0_x000d__x000a_FontSize=9_x000d__x000a_PrtFontName=FoxPrin" xfId="3" xr:uid="{00000000-0005-0000-0000-000003000000}"/>
    <cellStyle name="0,0_x000d__x000d_NA_x000d__x000d_" xfId="4" xr:uid="{00000000-0005-0000-0000-000004000000}"/>
    <cellStyle name="0,0_x000d__x000d_NA_x000d__x000d_ 2" xfId="91" xr:uid="{00000000-0005-0000-0000-000005000000}"/>
    <cellStyle name="20% - Accent1" xfId="5" builtinId="30" customBuiltin="1"/>
    <cellStyle name="20% - Accent2" xfId="6" builtinId="34" customBuiltin="1"/>
    <cellStyle name="20% - Accent3" xfId="7" builtinId="38" customBuiltin="1"/>
    <cellStyle name="20% - Accent4" xfId="8" builtinId="42" customBuiltin="1"/>
    <cellStyle name="20% - Accent5" xfId="9" builtinId="46" customBuiltin="1"/>
    <cellStyle name="20% - Accent6" xfId="10" builtinId="50" customBuiltin="1"/>
    <cellStyle name="40% - Accent1" xfId="11" builtinId="31" customBuiltin="1"/>
    <cellStyle name="40% - Accent2" xfId="12" builtinId="35" customBuiltin="1"/>
    <cellStyle name="40% - Accent3" xfId="13" builtinId="39" customBuiltin="1"/>
    <cellStyle name="40% - Accent4" xfId="14" builtinId="43" customBuiltin="1"/>
    <cellStyle name="40% - Accent5" xfId="15" builtinId="47" customBuiltin="1"/>
    <cellStyle name="40% - Accent6" xfId="16" builtinId="51" customBuiltin="1"/>
    <cellStyle name="60% - Accent1" xfId="17" builtinId="32" customBuiltin="1"/>
    <cellStyle name="60% - Accent2" xfId="18" builtinId="36" customBuiltin="1"/>
    <cellStyle name="60% - Accent3" xfId="19" builtinId="40" customBuiltin="1"/>
    <cellStyle name="60% - Accent4" xfId="20" builtinId="44" customBuiltin="1"/>
    <cellStyle name="60% - Accent5" xfId="21" builtinId="48" customBuiltin="1"/>
    <cellStyle name="60% - Accent6" xfId="22" builtinId="52" customBuiltin="1"/>
    <cellStyle name="Accent1" xfId="23" builtinId="29" customBuiltin="1"/>
    <cellStyle name="Accent2" xfId="24" builtinId="33" customBuiltin="1"/>
    <cellStyle name="Accent3" xfId="25" builtinId="37" customBuiltin="1"/>
    <cellStyle name="Accent4" xfId="26" builtinId="41" customBuiltin="1"/>
    <cellStyle name="Accent5" xfId="27" builtinId="45" customBuiltin="1"/>
    <cellStyle name="Accent6" xfId="28" builtinId="49" customBuiltin="1"/>
    <cellStyle name="Bad" xfId="29" builtinId="27" customBuiltin="1"/>
    <cellStyle name="Calculation" xfId="30" builtinId="22" customBuiltin="1"/>
    <cellStyle name="Check Cell" xfId="31" builtinId="23" customBuiltin="1"/>
    <cellStyle name="Comma" xfId="89" builtinId="3"/>
    <cellStyle name="Comma 2" xfId="32" xr:uid="{00000000-0005-0000-0000-000022000000}"/>
    <cellStyle name="Comma 3" xfId="85" xr:uid="{00000000-0005-0000-0000-000023000000}"/>
    <cellStyle name="Currency 2" xfId="33" xr:uid="{00000000-0005-0000-0000-000024000000}"/>
    <cellStyle name="Estimated" xfId="34" xr:uid="{00000000-0005-0000-0000-000025000000}"/>
    <cellStyle name="Explanatory Text" xfId="35" builtinId="53" customBuiltin="1"/>
    <cellStyle name="external input" xfId="36" xr:uid="{00000000-0005-0000-0000-000027000000}"/>
    <cellStyle name="Good" xfId="37" builtinId="26" customBuiltin="1"/>
    <cellStyle name="Grant" xfId="38" xr:uid="{00000000-0005-0000-0000-000029000000}"/>
    <cellStyle name="Header" xfId="39" xr:uid="{00000000-0005-0000-0000-00002A000000}"/>
    <cellStyle name="HeaderGrant" xfId="40" xr:uid="{00000000-0005-0000-0000-00002B000000}"/>
    <cellStyle name="HeaderGrant 2" xfId="92" xr:uid="{00000000-0005-0000-0000-00002C000000}"/>
    <cellStyle name="HeaderLEA" xfId="41" xr:uid="{00000000-0005-0000-0000-00002D000000}"/>
    <cellStyle name="Heading 1" xfId="42" builtinId="16" customBuiltin="1"/>
    <cellStyle name="Heading 2" xfId="43" builtinId="17" customBuiltin="1"/>
    <cellStyle name="Heading 3" xfId="44" builtinId="18" customBuiltin="1"/>
    <cellStyle name="Heading 4" xfId="45" builtinId="19" customBuiltin="1"/>
    <cellStyle name="Imported" xfId="46" xr:uid="{00000000-0005-0000-0000-000032000000}"/>
    <cellStyle name="Input" xfId="47" builtinId="20" customBuiltin="1"/>
    <cellStyle name="LEAName" xfId="48" xr:uid="{00000000-0005-0000-0000-000034000000}"/>
    <cellStyle name="LEAName 2" xfId="93" xr:uid="{00000000-0005-0000-0000-000035000000}"/>
    <cellStyle name="LEANumber" xfId="49" xr:uid="{00000000-0005-0000-0000-000036000000}"/>
    <cellStyle name="LEANumber 2" xfId="94" xr:uid="{00000000-0005-0000-0000-000037000000}"/>
    <cellStyle name="Linked Cell" xfId="50" builtinId="24" customBuiltin="1"/>
    <cellStyle name="log projection" xfId="51" xr:uid="{00000000-0005-0000-0000-000039000000}"/>
    <cellStyle name="Neutral" xfId="52" builtinId="28" customBuiltin="1"/>
    <cellStyle name="Normal" xfId="0" builtinId="0"/>
    <cellStyle name="Normal 2" xfId="53" xr:uid="{00000000-0005-0000-0000-00003C000000}"/>
    <cellStyle name="Normal 2 2" xfId="54" xr:uid="{00000000-0005-0000-0000-00003D000000}"/>
    <cellStyle name="Normal 2 2 2" xfId="87" xr:uid="{00000000-0005-0000-0000-00003E000000}"/>
    <cellStyle name="Normal 2 2 3" xfId="95" xr:uid="{00000000-0005-0000-0000-00003F000000}"/>
    <cellStyle name="Normal 2 3" xfId="86" xr:uid="{00000000-0005-0000-0000-000040000000}"/>
    <cellStyle name="Normal 3" xfId="55" xr:uid="{00000000-0005-0000-0000-000041000000}"/>
    <cellStyle name="Normal 3 2" xfId="96" xr:uid="{00000000-0005-0000-0000-000042000000}"/>
    <cellStyle name="Normal 4" xfId="56" xr:uid="{00000000-0005-0000-0000-000043000000}"/>
    <cellStyle name="Normal 4 2" xfId="97" xr:uid="{00000000-0005-0000-0000-000044000000}"/>
    <cellStyle name="Normal 5" xfId="57" xr:uid="{00000000-0005-0000-0000-000045000000}"/>
    <cellStyle name="Normal 6" xfId="58" xr:uid="{00000000-0005-0000-0000-000046000000}"/>
    <cellStyle name="Normal 7" xfId="84" xr:uid="{00000000-0005-0000-0000-000047000000}"/>
    <cellStyle name="Normal 8" xfId="99" xr:uid="{00000000-0005-0000-0000-000048000000}"/>
    <cellStyle name="Normal_0242 1998-99 ESTIMATE" xfId="59" xr:uid="{00000000-0005-0000-0000-000049000000}"/>
    <cellStyle name="Normal_Sheet1" xfId="60" xr:uid="{00000000-0005-0000-0000-00004A000000}"/>
    <cellStyle name="Normal_Special Schools - Band Descriptors" xfId="61" xr:uid="{00000000-0005-0000-0000-00004B000000}"/>
    <cellStyle name="Normal_Special Schools - Band Descriptors (Amended)" xfId="62" xr:uid="{00000000-0005-0000-0000-00004C000000}"/>
    <cellStyle name="Note" xfId="63" builtinId="10" customBuiltin="1"/>
    <cellStyle name="Number" xfId="64" xr:uid="{00000000-0005-0000-0000-00004E000000}"/>
    <cellStyle name="Number 2" xfId="98" xr:uid="{00000000-0005-0000-0000-00004F000000}"/>
    <cellStyle name="Output" xfId="65" builtinId="21" customBuiltin="1"/>
    <cellStyle name="Percent" xfId="100" builtinId="5"/>
    <cellStyle name="provisional PN158/97" xfId="66" xr:uid="{00000000-0005-0000-0000-000052000000}"/>
    <cellStyle name="SAPBEXaggData" xfId="67" xr:uid="{00000000-0005-0000-0000-000053000000}"/>
    <cellStyle name="SAPBEXchaText" xfId="68" xr:uid="{00000000-0005-0000-0000-000054000000}"/>
    <cellStyle name="SAPBEXHLevel0" xfId="69" xr:uid="{00000000-0005-0000-0000-000055000000}"/>
    <cellStyle name="SAPBEXHLevel2" xfId="70" xr:uid="{00000000-0005-0000-0000-000056000000}"/>
    <cellStyle name="SAPBEXHLevel3" xfId="71" xr:uid="{00000000-0005-0000-0000-000057000000}"/>
    <cellStyle name="SAPBEXstdItem" xfId="88" xr:uid="{00000000-0005-0000-0000-000058000000}"/>
    <cellStyle name="SAPBEXstdItemX" xfId="72" xr:uid="{00000000-0005-0000-0000-000059000000}"/>
    <cellStyle name="SAPBEXtitle" xfId="73" xr:uid="{00000000-0005-0000-0000-00005A000000}"/>
    <cellStyle name="Style 1" xfId="74" xr:uid="{00000000-0005-0000-0000-00005B000000}"/>
    <cellStyle name="sub" xfId="75" xr:uid="{00000000-0005-0000-0000-00005C000000}"/>
    <cellStyle name="table imported" xfId="76" xr:uid="{00000000-0005-0000-0000-00005D000000}"/>
    <cellStyle name="table sum" xfId="77" xr:uid="{00000000-0005-0000-0000-00005E000000}"/>
    <cellStyle name="table values" xfId="78" xr:uid="{00000000-0005-0000-0000-00005F000000}"/>
    <cellStyle name="Title" xfId="79" builtinId="15" customBuiltin="1"/>
    <cellStyle name="Total" xfId="80" builtinId="25" customBuiltin="1"/>
    <cellStyle name="u5shares" xfId="81" xr:uid="{00000000-0005-0000-0000-000062000000}"/>
    <cellStyle name="Variable assumptions" xfId="82" xr:uid="{00000000-0005-0000-0000-000063000000}"/>
    <cellStyle name="Warning Text" xfId="83" builtinId="11" customBuiltin="1"/>
  </cellStyles>
  <dxfs count="2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6"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6" tint="0.39994506668294322"/>
        </patternFill>
      </fill>
    </dxf>
    <dxf>
      <font>
        <color rgb="FF9C0006"/>
      </font>
      <fill>
        <patternFill>
          <bgColor rgb="FFFFC7CE"/>
        </patternFill>
      </fill>
    </dxf>
    <dxf>
      <fill>
        <patternFill>
          <bgColor theme="6" tint="0.39994506668294322"/>
        </patternFill>
      </fill>
    </dxf>
    <dxf>
      <font>
        <color rgb="FF9C0006"/>
      </font>
      <fill>
        <patternFill>
          <bgColor rgb="FFFFC7CE"/>
        </patternFill>
      </fill>
    </dxf>
    <dxf>
      <fill>
        <patternFill>
          <bgColor theme="6" tint="0.39994506668294322"/>
        </patternFill>
      </fill>
    </dxf>
    <dxf>
      <font>
        <color rgb="FF9C0006"/>
      </font>
      <fill>
        <patternFill>
          <bgColor rgb="FFFFC7CE"/>
        </patternFill>
      </fill>
    </dxf>
  </dxfs>
  <tableStyles count="0" defaultTableStyle="TableStyleMedium2" defaultPivotStyle="PivotStyleLight16"/>
  <colors>
    <mruColors>
      <color rgb="FF92D050"/>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9.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externalLink" Target="externalLinks/externalLink9.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4.xml"/><Relationship Id="rId123" Type="http://schemas.openxmlformats.org/officeDocument/2006/relationships/externalLink" Target="externalLinks/externalLink25.xml"/><Relationship Id="rId128"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15.xml"/><Relationship Id="rId118" Type="http://schemas.openxmlformats.org/officeDocument/2006/relationships/externalLink" Target="externalLinks/externalLink20.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5.xml"/><Relationship Id="rId108" Type="http://schemas.openxmlformats.org/officeDocument/2006/relationships/externalLink" Target="externalLinks/externalLink10.xml"/><Relationship Id="rId124" Type="http://schemas.openxmlformats.org/officeDocument/2006/relationships/externalLink" Target="externalLinks/externalLink26.xml"/><Relationship Id="rId129" Type="http://schemas.microsoft.com/office/2017/10/relationships/person" Target="persons/person.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16.xml"/><Relationship Id="rId119" Type="http://schemas.openxmlformats.org/officeDocument/2006/relationships/externalLink" Target="externalLinks/externalLink21.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6.xml"/><Relationship Id="rId120" Type="http://schemas.openxmlformats.org/officeDocument/2006/relationships/externalLink" Target="externalLinks/externalLink22.xml"/><Relationship Id="rId125" Type="http://schemas.openxmlformats.org/officeDocument/2006/relationships/externalLink" Target="externalLinks/externalLink2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2.xml"/><Relationship Id="rId115" Type="http://schemas.openxmlformats.org/officeDocument/2006/relationships/externalLink" Target="externalLinks/externalLink17.xml"/><Relationship Id="rId131" Type="http://schemas.openxmlformats.org/officeDocument/2006/relationships/customXml" Target="../customXml/item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2.xml"/><Relationship Id="rId105" Type="http://schemas.openxmlformats.org/officeDocument/2006/relationships/externalLink" Target="externalLinks/externalLink7.xml"/><Relationship Id="rId12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2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1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13.xml"/><Relationship Id="rId132" Type="http://schemas.openxmlformats.org/officeDocument/2006/relationships/customXml" Target="../customXml/item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8.xml"/><Relationship Id="rId12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externalLink" Target="externalLinks/externalLink1.xml"/><Relationship Id="rId101" Type="http://schemas.openxmlformats.org/officeDocument/2006/relationships/externalLink" Target="externalLinks/externalLink3.xml"/><Relationship Id="rId122" Type="http://schemas.openxmlformats.org/officeDocument/2006/relationships/externalLink" Target="externalLinks/externalLink24.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14.xml"/><Relationship Id="rId133" Type="http://schemas.openxmlformats.org/officeDocument/2006/relationships/customXml" Target="../customXml/item3.xml"/></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0</xdr:colOff>
      <xdr:row>11</xdr:row>
      <xdr:rowOff>0</xdr:rowOff>
    </xdr:from>
    <xdr:to>
      <xdr:col>1</xdr:col>
      <xdr:colOff>324970</xdr:colOff>
      <xdr:row>14</xdr:row>
      <xdr:rowOff>0</xdr:rowOff>
    </xdr:to>
    <xdr:sp macro="" textlink="">
      <xdr:nvSpPr>
        <xdr:cNvPr id="3" name="Right Brace 2">
          <a:extLst>
            <a:ext uri="{FF2B5EF4-FFF2-40B4-BE49-F238E27FC236}">
              <a16:creationId xmlns:a16="http://schemas.microsoft.com/office/drawing/2014/main" id="{00000000-0008-0000-0300-000003000000}"/>
            </a:ext>
          </a:extLst>
        </xdr:cNvPr>
        <xdr:cNvSpPr/>
      </xdr:nvSpPr>
      <xdr:spPr>
        <a:xfrm>
          <a:off x="3160059" y="2017059"/>
          <a:ext cx="324970" cy="470647"/>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GB"/>
        </a:p>
      </xdr:txBody>
    </xdr:sp>
    <xdr:clientData/>
  </xdr:twoCellAnchor>
  <xdr:twoCellAnchor>
    <xdr:from>
      <xdr:col>3</xdr:col>
      <xdr:colOff>1703294</xdr:colOff>
      <xdr:row>9</xdr:row>
      <xdr:rowOff>1</xdr:rowOff>
    </xdr:from>
    <xdr:to>
      <xdr:col>4</xdr:col>
      <xdr:colOff>78441</xdr:colOff>
      <xdr:row>15</xdr:row>
      <xdr:rowOff>134470</xdr:rowOff>
    </xdr:to>
    <xdr:sp macro="" textlink="">
      <xdr:nvSpPr>
        <xdr:cNvPr id="4" name="Right Brace 3">
          <a:extLst>
            <a:ext uri="{FF2B5EF4-FFF2-40B4-BE49-F238E27FC236}">
              <a16:creationId xmlns:a16="http://schemas.microsoft.com/office/drawing/2014/main" id="{00000000-0008-0000-0300-000004000000}"/>
            </a:ext>
          </a:extLst>
        </xdr:cNvPr>
        <xdr:cNvSpPr/>
      </xdr:nvSpPr>
      <xdr:spPr>
        <a:xfrm>
          <a:off x="7059706" y="1546413"/>
          <a:ext cx="425823" cy="1075763"/>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GB"/>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523875</xdr:colOff>
      <xdr:row>24</xdr:row>
      <xdr:rowOff>47626</xdr:rowOff>
    </xdr:from>
    <xdr:to>
      <xdr:col>3</xdr:col>
      <xdr:colOff>523876</xdr:colOff>
      <xdr:row>26</xdr:row>
      <xdr:rowOff>47625</xdr:rowOff>
    </xdr:to>
    <xdr:cxnSp macro="">
      <xdr:nvCxnSpPr>
        <xdr:cNvPr id="3" name="Straight Arrow Connector 2">
          <a:extLst>
            <a:ext uri="{FF2B5EF4-FFF2-40B4-BE49-F238E27FC236}">
              <a16:creationId xmlns:a16="http://schemas.microsoft.com/office/drawing/2014/main" id="{00000000-0008-0000-2E00-000003000000}"/>
            </a:ext>
          </a:extLst>
        </xdr:cNvPr>
        <xdr:cNvCxnSpPr/>
      </xdr:nvCxnSpPr>
      <xdr:spPr>
        <a:xfrm flipV="1">
          <a:off x="3705225" y="4419601"/>
          <a:ext cx="1" cy="32384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56029</xdr:colOff>
      <xdr:row>7</xdr:row>
      <xdr:rowOff>44823</xdr:rowOff>
    </xdr:from>
    <xdr:to>
      <xdr:col>5</xdr:col>
      <xdr:colOff>0</xdr:colOff>
      <xdr:row>8</xdr:row>
      <xdr:rowOff>134469</xdr:rowOff>
    </xdr:to>
    <xdr:sp macro="" textlink="">
      <xdr:nvSpPr>
        <xdr:cNvPr id="4" name="Left Arrow 3">
          <a:extLst>
            <a:ext uri="{FF2B5EF4-FFF2-40B4-BE49-F238E27FC236}">
              <a16:creationId xmlns:a16="http://schemas.microsoft.com/office/drawing/2014/main" id="{00000000-0008-0000-4700-000004000000}"/>
            </a:ext>
          </a:extLst>
        </xdr:cNvPr>
        <xdr:cNvSpPr/>
      </xdr:nvSpPr>
      <xdr:spPr>
        <a:xfrm flipV="1">
          <a:off x="5132294" y="1154205"/>
          <a:ext cx="616324" cy="2465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0</xdr:colOff>
      <xdr:row>19</xdr:row>
      <xdr:rowOff>0</xdr:rowOff>
    </xdr:from>
    <xdr:to>
      <xdr:col>3</xdr:col>
      <xdr:colOff>616324</xdr:colOff>
      <xdr:row>20</xdr:row>
      <xdr:rowOff>89646</xdr:rowOff>
    </xdr:to>
    <xdr:sp macro="" textlink="">
      <xdr:nvSpPr>
        <xdr:cNvPr id="5" name="Left Arrow 4">
          <a:extLst>
            <a:ext uri="{FF2B5EF4-FFF2-40B4-BE49-F238E27FC236}">
              <a16:creationId xmlns:a16="http://schemas.microsoft.com/office/drawing/2014/main" id="{00000000-0008-0000-4700-000005000000}"/>
            </a:ext>
          </a:extLst>
        </xdr:cNvPr>
        <xdr:cNvSpPr/>
      </xdr:nvSpPr>
      <xdr:spPr>
        <a:xfrm flipV="1">
          <a:off x="4403912" y="3014382"/>
          <a:ext cx="616324" cy="2465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56029</xdr:colOff>
      <xdr:row>7</xdr:row>
      <xdr:rowOff>44823</xdr:rowOff>
    </xdr:from>
    <xdr:to>
      <xdr:col>5</xdr:col>
      <xdr:colOff>0</xdr:colOff>
      <xdr:row>8</xdr:row>
      <xdr:rowOff>134469</xdr:rowOff>
    </xdr:to>
    <xdr:sp macro="" textlink="">
      <xdr:nvSpPr>
        <xdr:cNvPr id="2" name="Left Arrow 3">
          <a:extLst>
            <a:ext uri="{FF2B5EF4-FFF2-40B4-BE49-F238E27FC236}">
              <a16:creationId xmlns:a16="http://schemas.microsoft.com/office/drawing/2014/main" id="{00000000-0008-0000-4800-000002000000}"/>
            </a:ext>
          </a:extLst>
        </xdr:cNvPr>
        <xdr:cNvSpPr/>
      </xdr:nvSpPr>
      <xdr:spPr>
        <a:xfrm flipV="1">
          <a:off x="5675779" y="1181473"/>
          <a:ext cx="658346" cy="24839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0</xdr:colOff>
      <xdr:row>19</xdr:row>
      <xdr:rowOff>0</xdr:rowOff>
    </xdr:from>
    <xdr:to>
      <xdr:col>3</xdr:col>
      <xdr:colOff>616324</xdr:colOff>
      <xdr:row>20</xdr:row>
      <xdr:rowOff>89646</xdr:rowOff>
    </xdr:to>
    <xdr:sp macro="" textlink="">
      <xdr:nvSpPr>
        <xdr:cNvPr id="3" name="Left Arrow 4">
          <a:extLst>
            <a:ext uri="{FF2B5EF4-FFF2-40B4-BE49-F238E27FC236}">
              <a16:creationId xmlns:a16="http://schemas.microsoft.com/office/drawing/2014/main" id="{00000000-0008-0000-4800-000003000000}"/>
            </a:ext>
          </a:extLst>
        </xdr:cNvPr>
        <xdr:cNvSpPr/>
      </xdr:nvSpPr>
      <xdr:spPr>
        <a:xfrm flipV="1">
          <a:off x="4905375" y="3076575"/>
          <a:ext cx="619499" cy="24839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12</xdr:row>
      <xdr:rowOff>0</xdr:rowOff>
    </xdr:from>
    <xdr:to>
      <xdr:col>1</xdr:col>
      <xdr:colOff>324970</xdr:colOff>
      <xdr:row>15</xdr:row>
      <xdr:rowOff>0</xdr:rowOff>
    </xdr:to>
    <xdr:sp macro="" textlink="">
      <xdr:nvSpPr>
        <xdr:cNvPr id="2" name="Right Brace 1">
          <a:extLst>
            <a:ext uri="{FF2B5EF4-FFF2-40B4-BE49-F238E27FC236}">
              <a16:creationId xmlns:a16="http://schemas.microsoft.com/office/drawing/2014/main" id="{00000000-0008-0000-0700-000002000000}"/>
            </a:ext>
          </a:extLst>
        </xdr:cNvPr>
        <xdr:cNvSpPr/>
      </xdr:nvSpPr>
      <xdr:spPr>
        <a:xfrm>
          <a:off x="3162300" y="2066925"/>
          <a:ext cx="324970" cy="48577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GB"/>
        </a:p>
      </xdr:txBody>
    </xdr:sp>
    <xdr:clientData/>
  </xdr:twoCellAnchor>
  <xdr:twoCellAnchor>
    <xdr:from>
      <xdr:col>3</xdr:col>
      <xdr:colOff>1703294</xdr:colOff>
      <xdr:row>9</xdr:row>
      <xdr:rowOff>0</xdr:rowOff>
    </xdr:from>
    <xdr:to>
      <xdr:col>4</xdr:col>
      <xdr:colOff>78441</xdr:colOff>
      <xdr:row>17</xdr:row>
      <xdr:rowOff>11205</xdr:rowOff>
    </xdr:to>
    <xdr:sp macro="" textlink="">
      <xdr:nvSpPr>
        <xdr:cNvPr id="3" name="Right Brace 2">
          <a:extLst>
            <a:ext uri="{FF2B5EF4-FFF2-40B4-BE49-F238E27FC236}">
              <a16:creationId xmlns:a16="http://schemas.microsoft.com/office/drawing/2014/main" id="{00000000-0008-0000-0700-000003000000}"/>
            </a:ext>
          </a:extLst>
        </xdr:cNvPr>
        <xdr:cNvSpPr/>
      </xdr:nvSpPr>
      <xdr:spPr>
        <a:xfrm>
          <a:off x="7056344" y="1581150"/>
          <a:ext cx="423022" cy="130660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GB"/>
        </a:p>
      </xdr:txBody>
    </xdr:sp>
    <xdr:clientData/>
  </xdr:twoCellAnchor>
  <xdr:twoCellAnchor>
    <xdr:from>
      <xdr:col>7</xdr:col>
      <xdr:colOff>1736911</xdr:colOff>
      <xdr:row>26</xdr:row>
      <xdr:rowOff>0</xdr:rowOff>
    </xdr:from>
    <xdr:to>
      <xdr:col>7</xdr:col>
      <xdr:colOff>2061881</xdr:colOff>
      <xdr:row>29</xdr:row>
      <xdr:rowOff>0</xdr:rowOff>
    </xdr:to>
    <xdr:sp macro="" textlink="">
      <xdr:nvSpPr>
        <xdr:cNvPr id="4" name="Right Brace 3">
          <a:extLst>
            <a:ext uri="{FF2B5EF4-FFF2-40B4-BE49-F238E27FC236}">
              <a16:creationId xmlns:a16="http://schemas.microsoft.com/office/drawing/2014/main" id="{00000000-0008-0000-0700-000004000000}"/>
            </a:ext>
          </a:extLst>
        </xdr:cNvPr>
        <xdr:cNvSpPr/>
      </xdr:nvSpPr>
      <xdr:spPr>
        <a:xfrm>
          <a:off x="12919261" y="4333875"/>
          <a:ext cx="324970" cy="48577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146050</xdr:colOff>
          <xdr:row>71</xdr:row>
          <xdr:rowOff>19050</xdr:rowOff>
        </xdr:from>
        <xdr:to>
          <xdr:col>0</xdr:col>
          <xdr:colOff>660400</xdr:colOff>
          <xdr:row>73</xdr:row>
          <xdr:rowOff>95250</xdr:rowOff>
        </xdr:to>
        <xdr:sp macro="" textlink="">
          <xdr:nvSpPr>
            <xdr:cNvPr id="25601" name="Object 1" hidden="1">
              <a:extLst>
                <a:ext uri="{63B3BB69-23CF-44E3-9099-C40C66FF867C}">
                  <a14:compatExt spid="_x0000_s25601"/>
                </a:ext>
                <a:ext uri="{FF2B5EF4-FFF2-40B4-BE49-F238E27FC236}">
                  <a16:creationId xmlns:a16="http://schemas.microsoft.com/office/drawing/2014/main" id="{00000000-0008-0000-0F00-0000016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537883</xdr:colOff>
      <xdr:row>1</xdr:row>
      <xdr:rowOff>112058</xdr:rowOff>
    </xdr:from>
    <xdr:to>
      <xdr:col>2</xdr:col>
      <xdr:colOff>7470</xdr:colOff>
      <xdr:row>10</xdr:row>
      <xdr:rowOff>7470</xdr:rowOff>
    </xdr:to>
    <xdr:pic>
      <xdr:nvPicPr>
        <xdr:cNvPr id="4" name="Picture 3">
          <a:extLst>
            <a:ext uri="{FF2B5EF4-FFF2-40B4-BE49-F238E27FC236}">
              <a16:creationId xmlns:a16="http://schemas.microsoft.com/office/drawing/2014/main" id="{00000000-0008-0000-15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7883" y="268940"/>
          <a:ext cx="9651999" cy="1307354"/>
        </a:xfrm>
        <a:prstGeom prst="rect">
          <a:avLst/>
        </a:prstGeom>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arto="http://schemas.microsoft.com/office/word/2006/arto"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twoCellAnchor editAs="oneCell">
    <xdr:from>
      <xdr:col>0</xdr:col>
      <xdr:colOff>537883</xdr:colOff>
      <xdr:row>1</xdr:row>
      <xdr:rowOff>112058</xdr:rowOff>
    </xdr:from>
    <xdr:to>
      <xdr:col>2</xdr:col>
      <xdr:colOff>7470</xdr:colOff>
      <xdr:row>10</xdr:row>
      <xdr:rowOff>7470</xdr:rowOff>
    </xdr:to>
    <xdr:pic>
      <xdr:nvPicPr>
        <xdr:cNvPr id="2" name="Picture 1">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1058" y="273983"/>
          <a:ext cx="9651812" cy="1355912"/>
        </a:xfrm>
        <a:prstGeom prst="rect">
          <a:avLst/>
        </a:prstGeom>
        <a:extLst>
          <a:ext uri="{FAA26D3D-D897-4be2-8F04-BA451C77F1D7}">
            <ma14:placeholderFlag xmlns:lc="http://schemas.openxmlformats.org/drawingml/2006/lockedCanvas"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arto="http://schemas.microsoft.com/office/word/2006/arto"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1263090</xdr:colOff>
      <xdr:row>6</xdr:row>
      <xdr:rowOff>25585</xdr:rowOff>
    </xdr:from>
    <xdr:to>
      <xdr:col>7</xdr:col>
      <xdr:colOff>25587</xdr:colOff>
      <xdr:row>12</xdr:row>
      <xdr:rowOff>160056</xdr:rowOff>
    </xdr:to>
    <xdr:sp macro="" textlink="">
      <xdr:nvSpPr>
        <xdr:cNvPr id="3" name="Right Brace 2">
          <a:extLst>
            <a:ext uri="{FF2B5EF4-FFF2-40B4-BE49-F238E27FC236}">
              <a16:creationId xmlns:a16="http://schemas.microsoft.com/office/drawing/2014/main" id="{00000000-0008-0000-1600-000003000000}"/>
            </a:ext>
          </a:extLst>
        </xdr:cNvPr>
        <xdr:cNvSpPr/>
      </xdr:nvSpPr>
      <xdr:spPr>
        <a:xfrm>
          <a:off x="10911355" y="1224614"/>
          <a:ext cx="353732" cy="1344707"/>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GB"/>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11</xdr:row>
      <xdr:rowOff>0</xdr:rowOff>
    </xdr:from>
    <xdr:to>
      <xdr:col>1</xdr:col>
      <xdr:colOff>324970</xdr:colOff>
      <xdr:row>13</xdr:row>
      <xdr:rowOff>0</xdr:rowOff>
    </xdr:to>
    <xdr:sp macro="" textlink="">
      <xdr:nvSpPr>
        <xdr:cNvPr id="2" name="Right Brace 1">
          <a:extLst>
            <a:ext uri="{FF2B5EF4-FFF2-40B4-BE49-F238E27FC236}">
              <a16:creationId xmlns:a16="http://schemas.microsoft.com/office/drawing/2014/main" id="{00000000-0008-0000-1700-000002000000}"/>
            </a:ext>
          </a:extLst>
        </xdr:cNvPr>
        <xdr:cNvSpPr/>
      </xdr:nvSpPr>
      <xdr:spPr>
        <a:xfrm>
          <a:off x="3162300" y="1905000"/>
          <a:ext cx="324970" cy="48577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GB"/>
        </a:p>
      </xdr:txBody>
    </xdr:sp>
    <xdr:clientData/>
  </xdr:twoCellAnchor>
  <xdr:twoCellAnchor>
    <xdr:from>
      <xdr:col>3</xdr:col>
      <xdr:colOff>1703294</xdr:colOff>
      <xdr:row>9</xdr:row>
      <xdr:rowOff>1</xdr:rowOff>
    </xdr:from>
    <xdr:to>
      <xdr:col>4</xdr:col>
      <xdr:colOff>78441</xdr:colOff>
      <xdr:row>14</xdr:row>
      <xdr:rowOff>134470</xdr:rowOff>
    </xdr:to>
    <xdr:sp macro="" textlink="">
      <xdr:nvSpPr>
        <xdr:cNvPr id="3" name="Right Brace 2">
          <a:extLst>
            <a:ext uri="{FF2B5EF4-FFF2-40B4-BE49-F238E27FC236}">
              <a16:creationId xmlns:a16="http://schemas.microsoft.com/office/drawing/2014/main" id="{00000000-0008-0000-1700-000003000000}"/>
            </a:ext>
          </a:extLst>
        </xdr:cNvPr>
        <xdr:cNvSpPr/>
      </xdr:nvSpPr>
      <xdr:spPr>
        <a:xfrm>
          <a:off x="7056344" y="1581151"/>
          <a:ext cx="423022" cy="1106019"/>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GB"/>
        </a:p>
      </xdr:txBody>
    </xdr:sp>
    <xdr:clientData/>
  </xdr:twoCellAnchor>
  <xdr:twoCellAnchor>
    <xdr:from>
      <xdr:col>1</xdr:col>
      <xdr:colOff>0</xdr:colOff>
      <xdr:row>11</xdr:row>
      <xdr:rowOff>0</xdr:rowOff>
    </xdr:from>
    <xdr:to>
      <xdr:col>1</xdr:col>
      <xdr:colOff>324970</xdr:colOff>
      <xdr:row>13</xdr:row>
      <xdr:rowOff>0</xdr:rowOff>
    </xdr:to>
    <xdr:sp macro="" textlink="">
      <xdr:nvSpPr>
        <xdr:cNvPr id="4" name="Right Brace 3">
          <a:extLst>
            <a:ext uri="{FF2B5EF4-FFF2-40B4-BE49-F238E27FC236}">
              <a16:creationId xmlns:a16="http://schemas.microsoft.com/office/drawing/2014/main" id="{00000000-0008-0000-1700-000004000000}"/>
            </a:ext>
          </a:extLst>
        </xdr:cNvPr>
        <xdr:cNvSpPr/>
      </xdr:nvSpPr>
      <xdr:spPr>
        <a:xfrm>
          <a:off x="3162300" y="1905000"/>
          <a:ext cx="324970" cy="48577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GB"/>
        </a:p>
      </xdr:txBody>
    </xdr:sp>
    <xdr:clientData/>
  </xdr:twoCellAnchor>
  <xdr:twoCellAnchor>
    <xdr:from>
      <xdr:col>3</xdr:col>
      <xdr:colOff>1703294</xdr:colOff>
      <xdr:row>9</xdr:row>
      <xdr:rowOff>1</xdr:rowOff>
    </xdr:from>
    <xdr:to>
      <xdr:col>4</xdr:col>
      <xdr:colOff>78441</xdr:colOff>
      <xdr:row>14</xdr:row>
      <xdr:rowOff>134470</xdr:rowOff>
    </xdr:to>
    <xdr:sp macro="" textlink="">
      <xdr:nvSpPr>
        <xdr:cNvPr id="5" name="Right Brace 4">
          <a:extLst>
            <a:ext uri="{FF2B5EF4-FFF2-40B4-BE49-F238E27FC236}">
              <a16:creationId xmlns:a16="http://schemas.microsoft.com/office/drawing/2014/main" id="{00000000-0008-0000-1700-000005000000}"/>
            </a:ext>
          </a:extLst>
        </xdr:cNvPr>
        <xdr:cNvSpPr/>
      </xdr:nvSpPr>
      <xdr:spPr>
        <a:xfrm>
          <a:off x="7056344" y="1581151"/>
          <a:ext cx="423022" cy="1106019"/>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GB"/>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38</xdr:col>
      <xdr:colOff>470647</xdr:colOff>
      <xdr:row>23</xdr:row>
      <xdr:rowOff>44824</xdr:rowOff>
    </xdr:from>
    <xdr:to>
      <xdr:col>39</xdr:col>
      <xdr:colOff>728382</xdr:colOff>
      <xdr:row>28</xdr:row>
      <xdr:rowOff>0</xdr:rowOff>
    </xdr:to>
    <xdr:cxnSp macro="">
      <xdr:nvCxnSpPr>
        <xdr:cNvPr id="3" name="Straight Arrow Connector 2">
          <a:extLst>
            <a:ext uri="{FF2B5EF4-FFF2-40B4-BE49-F238E27FC236}">
              <a16:creationId xmlns:a16="http://schemas.microsoft.com/office/drawing/2014/main" id="{00000000-0008-0000-1800-000003000000}"/>
            </a:ext>
          </a:extLst>
        </xdr:cNvPr>
        <xdr:cNvCxnSpPr/>
      </xdr:nvCxnSpPr>
      <xdr:spPr>
        <a:xfrm flipV="1">
          <a:off x="31634206" y="4056530"/>
          <a:ext cx="941294" cy="117661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1703295</xdr:colOff>
      <xdr:row>7</xdr:row>
      <xdr:rowOff>1</xdr:rowOff>
    </xdr:from>
    <xdr:to>
      <xdr:col>4</xdr:col>
      <xdr:colOff>1</xdr:colOff>
      <xdr:row>11</xdr:row>
      <xdr:rowOff>145677</xdr:rowOff>
    </xdr:to>
    <xdr:sp macro="" textlink="">
      <xdr:nvSpPr>
        <xdr:cNvPr id="5" name="Right Brace 4">
          <a:extLst>
            <a:ext uri="{FF2B5EF4-FFF2-40B4-BE49-F238E27FC236}">
              <a16:creationId xmlns:a16="http://schemas.microsoft.com/office/drawing/2014/main" id="{00000000-0008-0000-1D00-000005000000}"/>
            </a:ext>
          </a:extLst>
        </xdr:cNvPr>
        <xdr:cNvSpPr/>
      </xdr:nvSpPr>
      <xdr:spPr>
        <a:xfrm>
          <a:off x="7384677" y="2028266"/>
          <a:ext cx="470648" cy="77320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GB"/>
        </a:p>
      </xdr:txBody>
    </xdr:sp>
    <xdr:clientData/>
  </xdr:twoCellAnchor>
  <xdr:twoCellAnchor>
    <xdr:from>
      <xdr:col>1</xdr:col>
      <xdr:colOff>851648</xdr:colOff>
      <xdr:row>9</xdr:row>
      <xdr:rowOff>0</xdr:rowOff>
    </xdr:from>
    <xdr:to>
      <xdr:col>1</xdr:col>
      <xdr:colOff>1176618</xdr:colOff>
      <xdr:row>11</xdr:row>
      <xdr:rowOff>0</xdr:rowOff>
    </xdr:to>
    <xdr:sp macro="" textlink="">
      <xdr:nvSpPr>
        <xdr:cNvPr id="21" name="Right Brace 20">
          <a:extLst>
            <a:ext uri="{FF2B5EF4-FFF2-40B4-BE49-F238E27FC236}">
              <a16:creationId xmlns:a16="http://schemas.microsoft.com/office/drawing/2014/main" id="{00000000-0008-0000-1D00-000015000000}"/>
            </a:ext>
          </a:extLst>
        </xdr:cNvPr>
        <xdr:cNvSpPr/>
      </xdr:nvSpPr>
      <xdr:spPr>
        <a:xfrm>
          <a:off x="4915648" y="2136588"/>
          <a:ext cx="324970" cy="582706"/>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GB"/>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11</xdr:col>
      <xdr:colOff>495300</xdr:colOff>
      <xdr:row>27</xdr:row>
      <xdr:rowOff>28576</xdr:rowOff>
    </xdr:from>
    <xdr:to>
      <xdr:col>11</xdr:col>
      <xdr:colOff>504825</xdr:colOff>
      <xdr:row>30</xdr:row>
      <xdr:rowOff>28575</xdr:rowOff>
    </xdr:to>
    <xdr:cxnSp macro="">
      <xdr:nvCxnSpPr>
        <xdr:cNvPr id="3" name="Straight Arrow Connector 2">
          <a:extLst>
            <a:ext uri="{FF2B5EF4-FFF2-40B4-BE49-F238E27FC236}">
              <a16:creationId xmlns:a16="http://schemas.microsoft.com/office/drawing/2014/main" id="{00000000-0008-0000-2100-000003000000}"/>
            </a:ext>
          </a:extLst>
        </xdr:cNvPr>
        <xdr:cNvCxnSpPr/>
      </xdr:nvCxnSpPr>
      <xdr:spPr>
        <a:xfrm flipV="1">
          <a:off x="12077700" y="4810126"/>
          <a:ext cx="9525" cy="48577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imp.lincolnshire.gov.uk/SINGLE%20FORMULA/Maintained%20Nursery%20Schools%20&amp;%20Nursery%20Classes/Nursery%20Classes/Documents%20and%20Settings/TEMP/Desktop/MP%20-%20Deprivation%20-%20Complete%203_4sFinal%20Settings%20Lis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rasd25\public\AcademyDataBank\Academic%20Year%202010-11\LACSEG\AY1011%20-%20LACSEG%20Model%20v2.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imp.lincolnshire.gov.uk/Documents%20and%20Settings/patrick.heppenstall/Local%20Settings/Temporary%20Internet%20Files/OLK43/FINPLN11%20SPECIAL%202010-1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imp.lincolnshire.gov.uk/Documents%20and%20Settings/Mark.Popplewell/Local%20Settings/Temporary%20Internet%20Files/OLK1A/Copy%20of%20estimated%20dsg%20allocation%20too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imp.lincolnshire.gov.uk/Documents%20and%20Settings/Bill/Local%20Settings/Temporary%20Internet%20Files/OLKB/School%20Development%20Grant%20Master.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imp.lincolnshire.gov.uk/Documents%20and%20Settings/julie.hulme.HBSLINC/Local%20Settings/Temporary%20Internet%20Files/OLK5/Special%20Schools%20Funding%20-%202013-14%20Budget%20Shares%20v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lincolnshirecc-my.sharepoint.com/Users/david.leonard.LINCSCC/AppData/Local/Microsoft/Windows/Temporary%20Internet%20Files/Content.Outlook/ZDF4I2B6/1718%20Budget%20Share%20-%20Rebased%20with%20Band%204+%20Moderations%20v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lincolnshirecc-my.sharepoint.com/Desktop/mark.popplewell/Desktop/Special%20Schools%20Meeting/1819%20Band%20Profile%20-%20Summary%20-%20MP%20-%20modelling.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lincolnshirecc-my.sharepoint.com/Users/david.leonard/AppData/Roaming/OpenText/OTEdit/EC_imp/c43575630/DSG%203m%20underspend.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lincolnshirecc-my.sharepoint.com/Users/david.leonard.LINCSCC/AppData/Local/Microsoft/Windows/Temporary%20Internet%20Files/Content.Outlook/ZDF4I2B6/1819%20Band%20Profile%20-%20Summary%20-%20MP%20-%20modelling.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lincolnshirecc-my.sharepoint.com/Users/david.leonard/AppData/Roaming/OpenText/OTEdit/EC_imp/c37659615/Special%20Schools%20Budget%20Shares%202017-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imp.lincolnshire.gov.uk/Documents%20and%20Settings/Mark.Popplewell/Local%20Settings/Temporary%20Internet%20Files/OLK1A/Copy%20of%20DSG%20baseline%20estimates%20final%201011%20tool%20with%20Academy%20data.xls" TargetMode="External"/></Relationships>
</file>

<file path=xl/externalLinks/_rels/externalLink20.xml.rels><?xml version="1.0" encoding="UTF-8" standalone="yes"?>
<Relationships xmlns="http://schemas.openxmlformats.org/package/2006/relationships"><Relationship Id="rId3" Type="http://schemas.openxmlformats.org/officeDocument/2006/relationships/externalLinkPath" Target="https://lincolnshirecc.sharepoint.com/sites/FinancialServices/Childrens/Children's%20Education/Head%20of%20Service%20SEND%20(Sheridan%20Dodsworth)/Sheridan%20Dodsworth/Special%20Schools/23-24%20Special%20Schools/23-24%20Budget%20Shares/Special%20Schools%202021-22%20Budget%20Share%203%25%20MFG%20Check%20v2.xlsx" TargetMode="External"/><Relationship Id="rId2" Type="http://schemas.microsoft.com/office/2019/04/relationships/externalLinkLongPath" Target="Special%20Schools%202021-22%20Budget%20Share%203%25%20MFG%20Check%20v2.xlsx?7C0F775E" TargetMode="External"/><Relationship Id="rId1" Type="http://schemas.openxmlformats.org/officeDocument/2006/relationships/externalLinkPath" Target="file:///\\7C0F775E\Special%20Schools%202021-22%20Budget%20Share%203%25%20MFG%20Check%20v2.xlsx" TargetMode="External"/></Relationships>
</file>

<file path=xl/externalLinks/_rels/externalLink21.xml.rels><?xml version="1.0" encoding="UTF-8" standalone="yes"?>
<Relationships xmlns="http://schemas.openxmlformats.org/package/2006/relationships"><Relationship Id="rId2" Type="http://schemas.openxmlformats.org/officeDocument/2006/relationships/externalLinkPath" Target="https://lincolnshirecc-my.sharepoint.com/personal/mark_popplewell_lincolnshire_gov_uk/Documents/Desktop/Special%20Schools%202023-24%20Budget%20Share%20v4%20-%20DfE%20MFG.xlsx" TargetMode="External"/><Relationship Id="rId1" Type="http://schemas.openxmlformats.org/officeDocument/2006/relationships/externalLinkPath" Target="https://lincolnshirecc-my.sharepoint.com/personal/mark_popplewell_lincolnshire_gov_uk/Documents/Desktop/Special%20Schools%202023-24%20Budget%20Share%20v4%20-%20DfE%20MFG.xlsx"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https://lincolnshirecc-my.sharepoint.com/personal/mark_popplewell_lincolnshire_gov_uk/Documents/Desktop/Budget%202019-20%20Meeting/Dedicated%20Schools%20Grant%20202223/2122%20Special%20School%20Budget%20Share%20V1%20-%20Rebasing%2020_21%20Funding.xlsx?F54AF3CE" TargetMode="External"/><Relationship Id="rId1" Type="http://schemas.openxmlformats.org/officeDocument/2006/relationships/externalLinkPath" Target="file:///\\F54AF3CE\2122%20Special%20School%20Budget%20Share%20V1%20-%20Rebasing%2020_21%20Funding.xlsx" TargetMode="External"/></Relationships>
</file>

<file path=xl/externalLinks/_rels/externalLink23.xml.rels><?xml version="1.0" encoding="UTF-8" standalone="yes"?>
<Relationships xmlns="http://schemas.openxmlformats.org/package/2006/relationships"><Relationship Id="rId2" Type="http://schemas.openxmlformats.org/officeDocument/2006/relationships/externalLinkPath" Target="https://lincolnshirecc-my.sharepoint.com/personal/mark_popplewell_lincolnshire_gov_uk/Documents/Desktop/Special%20Schools%202022-23%20Budget%20Share%2004.11.22.xlsx" TargetMode="External"/><Relationship Id="rId1" Type="http://schemas.openxmlformats.org/officeDocument/2006/relationships/externalLinkPath" Target="https://lincolnshirecc-my.sharepoint.com/personal/mark_popplewell_lincolnshire_gov_uk/Documents/Desktop/Special%20Schools%202022-23%20Budget%20Share%2004.11.22.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lincolnshirecc-my.sharepoint.com/Users/david.leonard/AppData/Roaming/OpenText/OTEdit/EC_imp/c58075333/Teaching%20Assistants%20Under%205%20Years%20Salary%20Scales%202020-21.xlsx%20-%20Updated%2027.08.20%202.75%25%2015.09.20"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sites/FinancialServices/All%20Teams%20%20Shared%20Work/Salary%20Scales/Schools%20Salary%20Scales/Teaching%20Assistants%20Under%205%20Years%20Salary%20Scales%202022-23%20Nov%2022-Mar%2023.xlsx" TargetMode="External"/></Relationships>
</file>

<file path=xl/externalLinks/_rels/externalLink26.xml.rels><?xml version="1.0" encoding="UTF-8" standalone="yes"?>
<Relationships xmlns="http://schemas.openxmlformats.org/package/2006/relationships"><Relationship Id="rId2" Type="http://schemas.openxmlformats.org/officeDocument/2006/relationships/externalLinkPath" Target="https://lincolnshirecc.sharepoint.com/sites/FinancialServices/Childrens/Children's%20Education/Head%20of%20Service%20SEND%20(Sheridan%20Dodsworth)/Sheridan%20Dodsworth/Special%20Schools/Special%20School%20Place%20Numbers%20-%20ESFA%20Return.xlsx" TargetMode="External"/><Relationship Id="rId1" Type="http://schemas.openxmlformats.org/officeDocument/2006/relationships/externalLinkPath" Target="/sites/FinancialServices/Childrens/Children's%20Education/Head%20of%20Service%20SEND%20(Sheridan%20Dodsworth)/Sheridan%20Dodsworth/Special%20Schools/Special%20School%20Place%20Numbers%20-%20ESFA%20Return.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david.leonard\AppData\Roaming\OpenText\OTEdit\EC_imp\c24473882\Special%20School%20Place%20Numbers%20-%20ESFA%20Return%20v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imp.lincolnshire.gov.uk/Schools%20&amp;%20Mergers/BLYTON%20CUM%20LAUGHTON/Blyton%20Cum%20Laughton%202009-20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imp.lincolnshire.gov.uk/SRM1/ORD/Academies/Replication%20of%2005-06%20Formulas/holdback/2ary%20holdback%200506%20benchmarking%20230805%20v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rasd25\public\Academic%20Year%202006-07\Holdback\AY0607%202ary%20holdback%200506%20excl%20grants%20v1.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imp.lincolnshire.gov.uk/Users/mark.popplewell/AppData/Local/Microsoft/Windows/Temporary%20Internet%20Files/Content.Outlook/5L0QRJG8/925_HNPPlaceDataChecking%20v4%20not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imp.lincolnshire.gov.uk/Documents%20and%20Settings/tony.warnock/Local%20Settings/Temporary%20Internet%20Files/OLK8/Performance%20Management%20calculation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imp.lincolnshire.gov.uk/PIMD/Projects/DSG%20Estimates/2006/Working%20Files/2007-08%20pupil%20number%20tool-Oct%2006%20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rasd25\public\STR1\CTCs\CTC%202005-2006\Models\CTC%20model%202005-6%20fringe%20chang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List"/>
      <sheetName val="Pivot"/>
      <sheetName val="Sheet1"/>
      <sheetName val="Detailed_Output"/>
      <sheetName val="Detailed_Output (2)"/>
    </sheetNames>
    <sheetDataSet>
      <sheetData sheetId="0" refreshError="1"/>
      <sheetData sheetId="1" refreshError="1"/>
      <sheetData sheetId="2" refreshError="1"/>
      <sheetData sheetId="3">
        <row r="4">
          <cell r="A4" t="str">
            <v>SchoolURN</v>
          </cell>
          <cell r="B4" t="str">
            <v>SchoolName</v>
          </cell>
          <cell r="C4" t="str">
            <v>Community Special School</v>
          </cell>
          <cell r="D4" t="str">
            <v>Independent School</v>
          </cell>
          <cell r="E4" t="str">
            <v>Maintained Academies</v>
          </cell>
          <cell r="F4" t="str">
            <v>Maintained Community</v>
          </cell>
          <cell r="G4" t="str">
            <v>Maintained Foundation</v>
          </cell>
          <cell r="H4" t="str">
            <v>Maintained Nursery</v>
          </cell>
          <cell r="I4" t="str">
            <v>Maintained Voluntary Aided</v>
          </cell>
          <cell r="J4" t="str">
            <v>Maintained Voluntary Controlled</v>
          </cell>
          <cell r="K4" t="str">
            <v>Private Voluntary EY Setting</v>
          </cell>
          <cell r="L4" t="str">
            <v>25% Dep 3-4s</v>
          </cell>
          <cell r="M4" t="str">
            <v>Total 3-4s</v>
          </cell>
          <cell r="N4" t="str">
            <v>% 25% Depr</v>
          </cell>
          <cell r="O4" t="str">
            <v>No. Nursery Places (per session)</v>
          </cell>
          <cell r="P4" t="str">
            <v>Total Nursery Places</v>
          </cell>
          <cell r="Q4" t="str">
            <v>PVI  Age Range</v>
          </cell>
          <cell r="R4" t="str">
            <v>Max Under 2</v>
          </cell>
          <cell r="S4" t="str">
            <v>Max Under 3</v>
          </cell>
          <cell r="T4" t="str">
            <v>% Nursery Places Filled</v>
          </cell>
        </row>
        <row r="5">
          <cell r="A5">
            <v>9251005</v>
          </cell>
          <cell r="B5" t="str">
            <v>Lincoln, St. Giles Nursery School</v>
          </cell>
          <cell r="H5">
            <v>110</v>
          </cell>
          <cell r="L5">
            <v>110</v>
          </cell>
          <cell r="M5">
            <v>126</v>
          </cell>
          <cell r="N5">
            <v>0.87301587301587302</v>
          </cell>
        </row>
        <row r="6">
          <cell r="A6">
            <v>9251012</v>
          </cell>
          <cell r="B6" t="str">
            <v>Boston Nursery School</v>
          </cell>
          <cell r="H6">
            <v>56</v>
          </cell>
          <cell r="L6">
            <v>56</v>
          </cell>
          <cell r="M6">
            <v>85</v>
          </cell>
          <cell r="N6">
            <v>0.6588235294117647</v>
          </cell>
          <cell r="O6">
            <v>20</v>
          </cell>
          <cell r="P6">
            <v>40</v>
          </cell>
          <cell r="Q6" t="str">
            <v>2-4</v>
          </cell>
          <cell r="T6">
            <v>2.125</v>
          </cell>
        </row>
        <row r="7">
          <cell r="A7">
            <v>9253508</v>
          </cell>
          <cell r="B7" t="str">
            <v>Lincoln Ermine Primary School</v>
          </cell>
          <cell r="F7">
            <v>62.82352941176471</v>
          </cell>
          <cell r="L7">
            <v>62.82352941176471</v>
          </cell>
          <cell r="M7">
            <v>72</v>
          </cell>
          <cell r="N7">
            <v>0.87254901960784315</v>
          </cell>
          <cell r="O7">
            <v>33</v>
          </cell>
          <cell r="P7">
            <v>66</v>
          </cell>
          <cell r="Q7" t="str">
            <v>0-7</v>
          </cell>
          <cell r="R7">
            <v>9</v>
          </cell>
          <cell r="T7">
            <v>1.0909090909090908</v>
          </cell>
        </row>
        <row r="8">
          <cell r="A8">
            <v>9256905</v>
          </cell>
          <cell r="B8" t="str">
            <v>The Priory Witham Academy</v>
          </cell>
          <cell r="E8">
            <v>57.89320388349514</v>
          </cell>
          <cell r="L8">
            <v>57.89320388349514</v>
          </cell>
          <cell r="M8">
            <v>67</v>
          </cell>
          <cell r="N8">
            <v>0.86407766990291257</v>
          </cell>
        </row>
        <row r="9">
          <cell r="A9">
            <v>9252234</v>
          </cell>
          <cell r="B9" t="str">
            <v>Boston Carlton Road Primary School</v>
          </cell>
          <cell r="F9">
            <v>44.8</v>
          </cell>
          <cell r="L9">
            <v>44.8</v>
          </cell>
          <cell r="M9">
            <v>56</v>
          </cell>
          <cell r="N9">
            <v>0.79999999999999993</v>
          </cell>
        </row>
        <row r="10">
          <cell r="A10">
            <v>9252190</v>
          </cell>
          <cell r="B10" t="str">
            <v>Skegness Infant School</v>
          </cell>
          <cell r="F10">
            <v>49.787234042553195</v>
          </cell>
          <cell r="L10">
            <v>49.787234042553195</v>
          </cell>
          <cell r="M10">
            <v>52</v>
          </cell>
          <cell r="N10">
            <v>0.95744680851063835</v>
          </cell>
        </row>
        <row r="11">
          <cell r="A11">
            <v>9252124</v>
          </cell>
          <cell r="B11" t="str">
            <v>Lincoln Monks Abbey Primary School</v>
          </cell>
          <cell r="F11">
            <v>48.486486486486484</v>
          </cell>
          <cell r="L11">
            <v>48.486486486486484</v>
          </cell>
          <cell r="M11">
            <v>52</v>
          </cell>
          <cell r="N11">
            <v>0.93243243243243235</v>
          </cell>
        </row>
        <row r="12">
          <cell r="A12">
            <v>9252191</v>
          </cell>
          <cell r="B12" t="str">
            <v>Skegness Seathorne Primary School</v>
          </cell>
          <cell r="F12">
            <v>47.816091954022987</v>
          </cell>
          <cell r="L12">
            <v>47.816091954022987</v>
          </cell>
          <cell r="M12">
            <v>52</v>
          </cell>
          <cell r="N12">
            <v>0.91954022988505746</v>
          </cell>
          <cell r="O12">
            <v>52</v>
          </cell>
          <cell r="P12">
            <v>52</v>
          </cell>
          <cell r="T12">
            <v>1</v>
          </cell>
        </row>
        <row r="13">
          <cell r="A13">
            <v>9252208</v>
          </cell>
          <cell r="B13" t="str">
            <v>Gains Hillcrest Comm Inf &amp; Nurs. School</v>
          </cell>
          <cell r="F13">
            <v>37.865853658536587</v>
          </cell>
          <cell r="L13">
            <v>37.865853658536587</v>
          </cell>
          <cell r="M13">
            <v>45</v>
          </cell>
          <cell r="N13">
            <v>0.84146341463414642</v>
          </cell>
          <cell r="O13">
            <v>50</v>
          </cell>
          <cell r="P13">
            <v>100</v>
          </cell>
          <cell r="Q13" t="str">
            <v>0-7</v>
          </cell>
          <cell r="R13">
            <v>14</v>
          </cell>
          <cell r="T13">
            <v>0.45</v>
          </cell>
        </row>
        <row r="14">
          <cell r="A14">
            <v>9255219</v>
          </cell>
          <cell r="B14" t="str">
            <v>The Lancaster School</v>
          </cell>
          <cell r="G14">
            <v>28.093333333333334</v>
          </cell>
          <cell r="L14">
            <v>28.093333333333334</v>
          </cell>
          <cell r="M14">
            <v>43</v>
          </cell>
          <cell r="N14">
            <v>0.65333333333333332</v>
          </cell>
          <cell r="O14">
            <v>30</v>
          </cell>
          <cell r="P14">
            <v>30</v>
          </cell>
          <cell r="T14">
            <v>1.4333333333333333</v>
          </cell>
        </row>
        <row r="15">
          <cell r="A15">
            <v>9252173</v>
          </cell>
          <cell r="B15" t="str">
            <v>Mablethorpe Communtiy Primary School</v>
          </cell>
          <cell r="F15">
            <v>41.461538461538467</v>
          </cell>
          <cell r="L15">
            <v>41.461538461538467</v>
          </cell>
          <cell r="M15">
            <v>42</v>
          </cell>
          <cell r="N15">
            <v>0.98717948717948734</v>
          </cell>
          <cell r="O15">
            <v>53</v>
          </cell>
          <cell r="P15">
            <v>106</v>
          </cell>
          <cell r="Q15" t="str">
            <v>0-7</v>
          </cell>
          <cell r="R15">
            <v>21</v>
          </cell>
          <cell r="T15">
            <v>0.39622641509433965</v>
          </cell>
        </row>
        <row r="16">
          <cell r="A16">
            <v>546506</v>
          </cell>
          <cell r="B16" t="str">
            <v>Beginnings SureStart</v>
          </cell>
          <cell r="K16">
            <v>28</v>
          </cell>
          <cell r="L16">
            <v>28</v>
          </cell>
          <cell r="M16">
            <v>42</v>
          </cell>
          <cell r="N16">
            <v>0.66666666666666663</v>
          </cell>
          <cell r="O16">
            <v>24</v>
          </cell>
          <cell r="P16">
            <v>48</v>
          </cell>
          <cell r="Q16" t="str">
            <v>2-4</v>
          </cell>
          <cell r="T16">
            <v>0.875</v>
          </cell>
        </row>
        <row r="17">
          <cell r="A17">
            <v>9252109</v>
          </cell>
          <cell r="B17" t="str">
            <v>St Paul's C.P School and Nursery</v>
          </cell>
          <cell r="F17">
            <v>29.032258064516128</v>
          </cell>
          <cell r="L17">
            <v>29.032258064516128</v>
          </cell>
          <cell r="M17">
            <v>40</v>
          </cell>
          <cell r="N17">
            <v>0.72580645161290325</v>
          </cell>
          <cell r="O17">
            <v>52</v>
          </cell>
          <cell r="P17">
            <v>52</v>
          </cell>
          <cell r="T17">
            <v>0.76923076923076927</v>
          </cell>
        </row>
        <row r="18">
          <cell r="A18">
            <v>512295</v>
          </cell>
          <cell r="B18" t="str">
            <v>The Viking School</v>
          </cell>
          <cell r="D18">
            <v>29</v>
          </cell>
          <cell r="L18">
            <v>29</v>
          </cell>
          <cell r="M18">
            <v>38</v>
          </cell>
          <cell r="N18">
            <v>0.76315789473684215</v>
          </cell>
          <cell r="O18">
            <v>52</v>
          </cell>
          <cell r="P18">
            <v>52</v>
          </cell>
          <cell r="T18">
            <v>0.73076923076923073</v>
          </cell>
        </row>
        <row r="19">
          <cell r="A19">
            <v>546417</v>
          </cell>
          <cell r="B19" t="str">
            <v>Sunbeams Play Group</v>
          </cell>
          <cell r="K19">
            <v>30</v>
          </cell>
          <cell r="L19">
            <v>30</v>
          </cell>
          <cell r="M19">
            <v>37</v>
          </cell>
          <cell r="N19">
            <v>0.81081081081081086</v>
          </cell>
          <cell r="O19">
            <v>27</v>
          </cell>
          <cell r="P19">
            <v>54</v>
          </cell>
          <cell r="Q19" t="str">
            <v>2-4</v>
          </cell>
          <cell r="T19">
            <v>0.68518518518518523</v>
          </cell>
        </row>
        <row r="20">
          <cell r="A20">
            <v>546492</v>
          </cell>
          <cell r="B20" t="str">
            <v>Riverside Early Years Playgroup</v>
          </cell>
          <cell r="K20">
            <v>28</v>
          </cell>
          <cell r="L20">
            <v>28</v>
          </cell>
          <cell r="M20">
            <v>37</v>
          </cell>
          <cell r="N20">
            <v>0.7567567567567568</v>
          </cell>
        </row>
        <row r="21">
          <cell r="A21">
            <v>597013</v>
          </cell>
          <cell r="B21" t="str">
            <v>The Secret Garden Day Nursery</v>
          </cell>
          <cell r="K21">
            <v>33</v>
          </cell>
          <cell r="L21">
            <v>33</v>
          </cell>
          <cell r="M21">
            <v>36</v>
          </cell>
          <cell r="N21">
            <v>0.91666666666666663</v>
          </cell>
          <cell r="O21">
            <v>78</v>
          </cell>
          <cell r="P21">
            <v>78</v>
          </cell>
          <cell r="T21">
            <v>0.46153846153846156</v>
          </cell>
        </row>
        <row r="22">
          <cell r="A22">
            <v>597017</v>
          </cell>
          <cell r="B22" t="str">
            <v>Squirrels Day Nursery</v>
          </cell>
          <cell r="K22">
            <v>28</v>
          </cell>
          <cell r="L22">
            <v>28</v>
          </cell>
          <cell r="M22">
            <v>35</v>
          </cell>
          <cell r="N22">
            <v>0.8</v>
          </cell>
          <cell r="O22">
            <v>16</v>
          </cell>
          <cell r="P22">
            <v>32</v>
          </cell>
          <cell r="Q22" t="str">
            <v>2-4</v>
          </cell>
          <cell r="T22">
            <v>1.09375</v>
          </cell>
        </row>
        <row r="23">
          <cell r="A23">
            <v>9253505</v>
          </cell>
          <cell r="B23" t="str">
            <v>Bishop King CE Community Primary School</v>
          </cell>
          <cell r="I23">
            <v>21.724137931034484</v>
          </cell>
          <cell r="L23">
            <v>21.724137931034484</v>
          </cell>
          <cell r="M23">
            <v>35</v>
          </cell>
          <cell r="N23">
            <v>0.62068965517241381</v>
          </cell>
          <cell r="O23">
            <v>78</v>
          </cell>
          <cell r="P23">
            <v>78</v>
          </cell>
          <cell r="T23">
            <v>0.44871794871794873</v>
          </cell>
        </row>
        <row r="24">
          <cell r="A24">
            <v>9252122</v>
          </cell>
          <cell r="B24" t="str">
            <v>Lincoln Bracebridge Infant &amp; Nursery Sch</v>
          </cell>
          <cell r="F24">
            <v>22.666666666666664</v>
          </cell>
          <cell r="L24">
            <v>22.666666666666664</v>
          </cell>
          <cell r="M24">
            <v>34</v>
          </cell>
          <cell r="N24">
            <v>0.66666666666666663</v>
          </cell>
          <cell r="O24">
            <v>52</v>
          </cell>
          <cell r="P24">
            <v>52</v>
          </cell>
          <cell r="T24">
            <v>0.65384615384615385</v>
          </cell>
        </row>
        <row r="25">
          <cell r="A25">
            <v>516486</v>
          </cell>
          <cell r="B25" t="str">
            <v>Sea Shells Day Nursery</v>
          </cell>
          <cell r="K25">
            <v>28</v>
          </cell>
          <cell r="L25">
            <v>28</v>
          </cell>
          <cell r="M25">
            <v>33</v>
          </cell>
          <cell r="N25">
            <v>0.84848484848484851</v>
          </cell>
          <cell r="O25">
            <v>55</v>
          </cell>
          <cell r="P25">
            <v>110</v>
          </cell>
          <cell r="Q25" t="str">
            <v>0-7</v>
          </cell>
          <cell r="R25">
            <v>12</v>
          </cell>
          <cell r="S25">
            <v>29</v>
          </cell>
          <cell r="T25">
            <v>0.3</v>
          </cell>
        </row>
        <row r="26">
          <cell r="A26">
            <v>546545</v>
          </cell>
          <cell r="B26" t="str">
            <v>Little Learners</v>
          </cell>
          <cell r="K26">
            <v>30</v>
          </cell>
          <cell r="L26">
            <v>30</v>
          </cell>
          <cell r="M26">
            <v>32</v>
          </cell>
          <cell r="N26">
            <v>0.9375</v>
          </cell>
          <cell r="O26">
            <v>50</v>
          </cell>
          <cell r="P26">
            <v>50</v>
          </cell>
          <cell r="T26">
            <v>0.64</v>
          </cell>
        </row>
        <row r="27">
          <cell r="A27">
            <v>546528</v>
          </cell>
          <cell r="B27" t="str">
            <v>Honey Pot Pre School (Charles Baines School)</v>
          </cell>
          <cell r="K27">
            <v>26</v>
          </cell>
          <cell r="L27">
            <v>26</v>
          </cell>
          <cell r="M27">
            <v>30</v>
          </cell>
          <cell r="N27">
            <v>0.8666666666666667</v>
          </cell>
          <cell r="O27">
            <v>26</v>
          </cell>
          <cell r="P27">
            <v>26</v>
          </cell>
          <cell r="T27">
            <v>1.1538461538461537</v>
          </cell>
        </row>
        <row r="28">
          <cell r="A28">
            <v>9253027</v>
          </cell>
          <cell r="B28" t="str">
            <v>Grantham Spitalgate C of E Primary</v>
          </cell>
          <cell r="J28">
            <v>25.90909090909091</v>
          </cell>
          <cell r="L28">
            <v>25.90909090909091</v>
          </cell>
          <cell r="M28">
            <v>30</v>
          </cell>
          <cell r="N28">
            <v>0.86363636363636365</v>
          </cell>
          <cell r="O28">
            <v>30</v>
          </cell>
          <cell r="P28">
            <v>60</v>
          </cell>
          <cell r="Q28" t="str">
            <v>0-4</v>
          </cell>
          <cell r="R28">
            <v>4</v>
          </cell>
          <cell r="T28">
            <v>0.5</v>
          </cell>
        </row>
        <row r="29">
          <cell r="A29">
            <v>546471</v>
          </cell>
          <cell r="B29" t="str">
            <v>Dysart Day Care</v>
          </cell>
          <cell r="K29">
            <v>18</v>
          </cell>
          <cell r="L29">
            <v>18</v>
          </cell>
          <cell r="M29">
            <v>28</v>
          </cell>
          <cell r="N29">
            <v>0.6428571428571429</v>
          </cell>
          <cell r="O29">
            <v>68</v>
          </cell>
          <cell r="P29">
            <v>136</v>
          </cell>
          <cell r="Q29" t="str">
            <v>0-4</v>
          </cell>
          <cell r="R29">
            <v>12</v>
          </cell>
          <cell r="T29">
            <v>0.20588235294117646</v>
          </cell>
        </row>
        <row r="30">
          <cell r="A30">
            <v>546513</v>
          </cell>
          <cell r="B30" t="str">
            <v>Seasiders Day Nursery</v>
          </cell>
          <cell r="K30">
            <v>25</v>
          </cell>
          <cell r="L30">
            <v>25</v>
          </cell>
          <cell r="M30">
            <v>26</v>
          </cell>
          <cell r="N30">
            <v>0.96153846153846156</v>
          </cell>
          <cell r="O30">
            <v>33</v>
          </cell>
          <cell r="P30">
            <v>66</v>
          </cell>
          <cell r="Q30" t="str">
            <v>0-7</v>
          </cell>
          <cell r="R30">
            <v>9</v>
          </cell>
          <cell r="T30">
            <v>0.39393939393939392</v>
          </cell>
        </row>
        <row r="31">
          <cell r="A31">
            <v>9255215</v>
          </cell>
          <cell r="B31" t="str">
            <v>Old Leake Primary and Nursery School</v>
          </cell>
          <cell r="G31">
            <v>19.024390243902438</v>
          </cell>
          <cell r="L31">
            <v>19.024390243902438</v>
          </cell>
          <cell r="M31">
            <v>26</v>
          </cell>
          <cell r="N31">
            <v>0.73170731707317072</v>
          </cell>
          <cell r="O31">
            <v>50</v>
          </cell>
          <cell r="P31">
            <v>100</v>
          </cell>
          <cell r="Q31" t="str">
            <v>0-7</v>
          </cell>
          <cell r="R31">
            <v>9</v>
          </cell>
          <cell r="T31">
            <v>0.26</v>
          </cell>
        </row>
        <row r="32">
          <cell r="A32">
            <v>520195</v>
          </cell>
          <cell r="B32" t="str">
            <v>Happi Tots Play Group</v>
          </cell>
          <cell r="K32">
            <v>18</v>
          </cell>
          <cell r="L32">
            <v>18</v>
          </cell>
          <cell r="M32">
            <v>26</v>
          </cell>
          <cell r="N32">
            <v>0.69230769230769229</v>
          </cell>
          <cell r="O32">
            <v>78</v>
          </cell>
          <cell r="P32">
            <v>78</v>
          </cell>
          <cell r="T32">
            <v>0.33333333333333331</v>
          </cell>
        </row>
        <row r="33">
          <cell r="A33">
            <v>546526</v>
          </cell>
          <cell r="B33" t="str">
            <v>Beginnings Day Care</v>
          </cell>
          <cell r="K33">
            <v>15</v>
          </cell>
          <cell r="L33">
            <v>15</v>
          </cell>
          <cell r="M33">
            <v>25</v>
          </cell>
          <cell r="N33">
            <v>0.6</v>
          </cell>
          <cell r="O33">
            <v>24</v>
          </cell>
          <cell r="P33">
            <v>48</v>
          </cell>
          <cell r="Q33" t="str">
            <v>2-7</v>
          </cell>
          <cell r="T33">
            <v>0.52083333333333337</v>
          </cell>
        </row>
        <row r="34">
          <cell r="A34">
            <v>9252239</v>
          </cell>
          <cell r="B34" t="str">
            <v>Boston Staniland Primary &amp; Nursery School</v>
          </cell>
          <cell r="F34">
            <v>15</v>
          </cell>
          <cell r="L34">
            <v>15</v>
          </cell>
          <cell r="M34">
            <v>25</v>
          </cell>
          <cell r="N34">
            <v>0.6</v>
          </cell>
        </row>
        <row r="35">
          <cell r="A35">
            <v>546445</v>
          </cell>
          <cell r="B35" t="str">
            <v>Daisy Chain Preschool</v>
          </cell>
          <cell r="K35">
            <v>13</v>
          </cell>
          <cell r="L35">
            <v>13</v>
          </cell>
          <cell r="M35">
            <v>21</v>
          </cell>
          <cell r="N35">
            <v>0.61904761904761907</v>
          </cell>
          <cell r="O35">
            <v>26</v>
          </cell>
          <cell r="P35">
            <v>52</v>
          </cell>
          <cell r="Q35" t="str">
            <v>2-7</v>
          </cell>
          <cell r="T35">
            <v>0.40384615384615385</v>
          </cell>
        </row>
        <row r="36">
          <cell r="A36">
            <v>546447</v>
          </cell>
          <cell r="B36" t="str">
            <v>Huttoft Nursery</v>
          </cell>
          <cell r="K36">
            <v>14</v>
          </cell>
          <cell r="L36">
            <v>14</v>
          </cell>
          <cell r="M36">
            <v>20</v>
          </cell>
          <cell r="N36">
            <v>0.7</v>
          </cell>
        </row>
        <row r="37">
          <cell r="A37">
            <v>546503</v>
          </cell>
          <cell r="B37" t="str">
            <v>Rainbows End Pre-school</v>
          </cell>
          <cell r="K37">
            <v>19</v>
          </cell>
          <cell r="L37">
            <v>19</v>
          </cell>
          <cell r="M37">
            <v>19</v>
          </cell>
          <cell r="N37">
            <v>1</v>
          </cell>
          <cell r="O37">
            <v>26</v>
          </cell>
          <cell r="P37">
            <v>26</v>
          </cell>
          <cell r="T37">
            <v>0.73076923076923073</v>
          </cell>
        </row>
        <row r="38">
          <cell r="A38">
            <v>9253007</v>
          </cell>
          <cell r="B38" t="str">
            <v>Billinghay CE Primary School</v>
          </cell>
          <cell r="J38">
            <v>14.625</v>
          </cell>
          <cell r="L38">
            <v>14.625</v>
          </cell>
          <cell r="M38">
            <v>18</v>
          </cell>
          <cell r="N38">
            <v>0.8125</v>
          </cell>
          <cell r="O38">
            <v>42</v>
          </cell>
          <cell r="P38">
            <v>42</v>
          </cell>
          <cell r="T38">
            <v>0.42857142857142855</v>
          </cell>
        </row>
        <row r="39">
          <cell r="A39">
            <v>546455</v>
          </cell>
          <cell r="B39" t="str">
            <v>Ropery Pre-school Playgroup Gains EYC</v>
          </cell>
          <cell r="K39">
            <v>11</v>
          </cell>
          <cell r="L39">
            <v>11</v>
          </cell>
          <cell r="M39">
            <v>18</v>
          </cell>
          <cell r="N39">
            <v>0.61111111111111116</v>
          </cell>
          <cell r="O39">
            <v>25</v>
          </cell>
          <cell r="P39">
            <v>50</v>
          </cell>
          <cell r="Q39" t="str">
            <v>2-4</v>
          </cell>
          <cell r="T39">
            <v>0.36</v>
          </cell>
        </row>
        <row r="40">
          <cell r="A40">
            <v>524423</v>
          </cell>
          <cell r="B40" t="str">
            <v>Unitarian Preschool</v>
          </cell>
          <cell r="K40">
            <v>11</v>
          </cell>
          <cell r="L40">
            <v>11</v>
          </cell>
          <cell r="M40">
            <v>17</v>
          </cell>
          <cell r="N40">
            <v>0.6470588235294118</v>
          </cell>
        </row>
        <row r="41">
          <cell r="A41">
            <v>515525</v>
          </cell>
          <cell r="B41" t="str">
            <v>Marisco Play Group</v>
          </cell>
          <cell r="K41">
            <v>14</v>
          </cell>
          <cell r="L41">
            <v>14</v>
          </cell>
          <cell r="M41">
            <v>15</v>
          </cell>
          <cell r="N41">
            <v>0.93333333333333335</v>
          </cell>
          <cell r="O41">
            <v>50</v>
          </cell>
          <cell r="P41">
            <v>100</v>
          </cell>
          <cell r="Q41" t="str">
            <v>0-4</v>
          </cell>
          <cell r="R41">
            <v>18</v>
          </cell>
          <cell r="T41">
            <v>0.15</v>
          </cell>
        </row>
        <row r="42">
          <cell r="A42">
            <v>510766</v>
          </cell>
          <cell r="B42" t="str">
            <v>The Old Station Nursery (Gainsborough)</v>
          </cell>
          <cell r="K42">
            <v>9</v>
          </cell>
          <cell r="L42">
            <v>9</v>
          </cell>
          <cell r="M42">
            <v>15</v>
          </cell>
          <cell r="N42">
            <v>0.6</v>
          </cell>
          <cell r="O42">
            <v>52</v>
          </cell>
          <cell r="P42">
            <v>52</v>
          </cell>
          <cell r="T42">
            <v>0.28846153846153844</v>
          </cell>
        </row>
        <row r="43">
          <cell r="A43">
            <v>516492</v>
          </cell>
          <cell r="B43" t="str">
            <v>Binbrook Early Learners</v>
          </cell>
          <cell r="K43">
            <v>8</v>
          </cell>
          <cell r="L43">
            <v>8</v>
          </cell>
          <cell r="M43">
            <v>12</v>
          </cell>
          <cell r="N43">
            <v>0.66666666666666663</v>
          </cell>
        </row>
        <row r="46">
          <cell r="A46">
            <v>546549</v>
          </cell>
          <cell r="B46" t="str">
            <v>Mon Ami @ Friskney</v>
          </cell>
          <cell r="K46">
            <v>7</v>
          </cell>
          <cell r="L46">
            <v>7</v>
          </cell>
          <cell r="M46">
            <v>9</v>
          </cell>
          <cell r="N46">
            <v>0.77777777777777779</v>
          </cell>
        </row>
        <row r="47">
          <cell r="A47">
            <v>546523</v>
          </cell>
          <cell r="B47" t="str">
            <v>Spinning Tops Day Nursery</v>
          </cell>
          <cell r="K47">
            <v>6</v>
          </cell>
          <cell r="L47">
            <v>6</v>
          </cell>
          <cell r="M47">
            <v>6</v>
          </cell>
          <cell r="N47">
            <v>1</v>
          </cell>
          <cell r="O47">
            <v>26</v>
          </cell>
          <cell r="P47">
            <v>52</v>
          </cell>
          <cell r="Q47" t="str">
            <v>2-4</v>
          </cell>
          <cell r="T47">
            <v>0.11538461538461539</v>
          </cell>
        </row>
        <row r="48">
          <cell r="A48">
            <v>9257016</v>
          </cell>
          <cell r="B48" t="str">
            <v>Lincoln, St Francis School</v>
          </cell>
          <cell r="C48">
            <v>4</v>
          </cell>
          <cell r="L48">
            <v>4</v>
          </cell>
          <cell r="M48">
            <v>6</v>
          </cell>
          <cell r="N48">
            <v>0.66666666666666663</v>
          </cell>
        </row>
        <row r="49">
          <cell r="A49">
            <v>546474</v>
          </cell>
          <cell r="B49" t="str">
            <v>Magical Moments Day Care</v>
          </cell>
          <cell r="K49">
            <v>4</v>
          </cell>
          <cell r="L49">
            <v>4</v>
          </cell>
          <cell r="M49">
            <v>5</v>
          </cell>
          <cell r="N49">
            <v>0.8</v>
          </cell>
        </row>
        <row r="50">
          <cell r="A50">
            <v>546507</v>
          </cell>
          <cell r="B50" t="str">
            <v>Willow Tree Nursery</v>
          </cell>
          <cell r="K50">
            <v>4</v>
          </cell>
          <cell r="L50">
            <v>4</v>
          </cell>
          <cell r="M50">
            <v>5</v>
          </cell>
          <cell r="N50">
            <v>0.8</v>
          </cell>
          <cell r="O50">
            <v>52</v>
          </cell>
          <cell r="P50">
            <v>52</v>
          </cell>
          <cell r="T50">
            <v>9.6153846153846159E-2</v>
          </cell>
        </row>
        <row r="51">
          <cell r="A51">
            <v>9257026</v>
          </cell>
          <cell r="B51" t="str">
            <v>Gainsborough The William Harrison School</v>
          </cell>
          <cell r="C51">
            <v>3</v>
          </cell>
          <cell r="L51">
            <v>3</v>
          </cell>
          <cell r="M51">
            <v>4</v>
          </cell>
          <cell r="N51">
            <v>0.75</v>
          </cell>
          <cell r="O51">
            <v>24</v>
          </cell>
          <cell r="P51">
            <v>48</v>
          </cell>
          <cell r="Q51" t="str">
            <v>2-4</v>
          </cell>
          <cell r="T51">
            <v>8.3333333333333329E-2</v>
          </cell>
        </row>
        <row r="52">
          <cell r="A52">
            <v>546517</v>
          </cell>
          <cell r="B52" t="str">
            <v>Abbey Playgroup</v>
          </cell>
          <cell r="K52">
            <v>2</v>
          </cell>
          <cell r="L52">
            <v>2</v>
          </cell>
          <cell r="M52">
            <v>3</v>
          </cell>
          <cell r="N52">
            <v>0.66666666666666663</v>
          </cell>
          <cell r="O52">
            <v>26</v>
          </cell>
          <cell r="P52">
            <v>52</v>
          </cell>
          <cell r="Q52" t="str">
            <v>2-7</v>
          </cell>
          <cell r="T52">
            <v>5.7692307692307696E-2</v>
          </cell>
        </row>
        <row r="53">
          <cell r="A53">
            <v>9257010</v>
          </cell>
          <cell r="B53" t="str">
            <v>Boston The John Fielding School</v>
          </cell>
          <cell r="C53">
            <v>2</v>
          </cell>
          <cell r="L53">
            <v>2</v>
          </cell>
          <cell r="M53">
            <v>3</v>
          </cell>
          <cell r="N53">
            <v>0.66666666666666663</v>
          </cell>
          <cell r="O53">
            <v>30</v>
          </cell>
          <cell r="P53">
            <v>30</v>
          </cell>
          <cell r="T53">
            <v>0.1</v>
          </cell>
        </row>
        <row r="54">
          <cell r="A54">
            <v>9257023</v>
          </cell>
          <cell r="B54" t="str">
            <v>Gainsborough The Beckett School</v>
          </cell>
          <cell r="C54">
            <v>2</v>
          </cell>
          <cell r="L54">
            <v>2</v>
          </cell>
          <cell r="M54">
            <v>2</v>
          </cell>
          <cell r="N54">
            <v>1</v>
          </cell>
          <cell r="O54">
            <v>24</v>
          </cell>
          <cell r="P54">
            <v>48</v>
          </cell>
          <cell r="Q54" t="str">
            <v>0-4</v>
          </cell>
          <cell r="T54">
            <v>4.1666666666666664E-2</v>
          </cell>
        </row>
        <row r="55">
          <cell r="A55">
            <v>546466</v>
          </cell>
          <cell r="B55" t="str">
            <v>Busy Tots Preschool</v>
          </cell>
          <cell r="K55">
            <v>1</v>
          </cell>
          <cell r="L55">
            <v>1</v>
          </cell>
          <cell r="M55">
            <v>1</v>
          </cell>
          <cell r="N55">
            <v>1</v>
          </cell>
          <cell r="O55">
            <v>33</v>
          </cell>
          <cell r="P55">
            <v>66</v>
          </cell>
          <cell r="Q55" t="str">
            <v>0-4</v>
          </cell>
          <cell r="R55">
            <v>9</v>
          </cell>
          <cell r="T55">
            <v>1.5151515151515152E-2</v>
          </cell>
        </row>
        <row r="56">
          <cell r="A56">
            <v>9257025</v>
          </cell>
          <cell r="B56" t="str">
            <v>Louth St Bernard's School</v>
          </cell>
          <cell r="C56">
            <v>1</v>
          </cell>
          <cell r="L56">
            <v>1</v>
          </cell>
          <cell r="M56">
            <v>1</v>
          </cell>
          <cell r="N56">
            <v>1</v>
          </cell>
          <cell r="O56">
            <v>25</v>
          </cell>
          <cell r="P56">
            <v>50</v>
          </cell>
          <cell r="Q56" t="str">
            <v>0-4</v>
          </cell>
          <cell r="R56">
            <v>9</v>
          </cell>
          <cell r="T56">
            <v>0.02</v>
          </cell>
        </row>
        <row r="57">
          <cell r="A57">
            <v>9257024</v>
          </cell>
          <cell r="B57" t="str">
            <v>The Eresby School</v>
          </cell>
          <cell r="C57">
            <v>1</v>
          </cell>
          <cell r="L57">
            <v>1</v>
          </cell>
          <cell r="M57">
            <v>1</v>
          </cell>
          <cell r="N57">
            <v>1</v>
          </cell>
          <cell r="O57">
            <v>52</v>
          </cell>
          <cell r="P57">
            <v>52</v>
          </cell>
          <cell r="T57">
            <v>1.9230769230769232E-2</v>
          </cell>
        </row>
        <row r="60">
          <cell r="A60">
            <v>517375</v>
          </cell>
          <cell r="B60" t="str">
            <v>Busy Bees Nursery Wainfleet Children's Centre</v>
          </cell>
          <cell r="K60">
            <v>29</v>
          </cell>
          <cell r="L60">
            <v>29</v>
          </cell>
          <cell r="M60">
            <v>49</v>
          </cell>
          <cell r="N60">
            <v>0.59183673469387754</v>
          </cell>
          <cell r="O60">
            <v>19</v>
          </cell>
          <cell r="P60">
            <v>38</v>
          </cell>
          <cell r="Q60" t="str">
            <v>0-4</v>
          </cell>
          <cell r="R60">
            <v>6</v>
          </cell>
          <cell r="T60">
            <v>1.2894736842105263</v>
          </cell>
        </row>
        <row r="61">
          <cell r="A61">
            <v>9252094</v>
          </cell>
          <cell r="B61" t="str">
            <v>Kirton Primary School</v>
          </cell>
          <cell r="F61">
            <v>27.181818181818183</v>
          </cell>
          <cell r="L61">
            <v>27.181818181818183</v>
          </cell>
          <cell r="M61">
            <v>46</v>
          </cell>
          <cell r="N61">
            <v>0.59090909090909094</v>
          </cell>
          <cell r="O61">
            <v>45</v>
          </cell>
          <cell r="P61">
            <v>90</v>
          </cell>
          <cell r="Q61" t="str">
            <v>0-4</v>
          </cell>
          <cell r="R61">
            <v>9</v>
          </cell>
          <cell r="S61">
            <v>21</v>
          </cell>
          <cell r="T61">
            <v>0.51111111111111107</v>
          </cell>
        </row>
        <row r="62">
          <cell r="A62">
            <v>546541</v>
          </cell>
          <cell r="B62" t="str">
            <v>Little Treasures Nursery</v>
          </cell>
          <cell r="K62">
            <v>20</v>
          </cell>
          <cell r="L62">
            <v>20</v>
          </cell>
          <cell r="M62">
            <v>34</v>
          </cell>
          <cell r="N62">
            <v>0.58823529411764708</v>
          </cell>
          <cell r="O62">
            <v>52</v>
          </cell>
          <cell r="P62">
            <v>52</v>
          </cell>
          <cell r="T62">
            <v>0.65384615384615385</v>
          </cell>
        </row>
        <row r="63">
          <cell r="A63">
            <v>9255227</v>
          </cell>
          <cell r="B63" t="str">
            <v>Lincoln Mount Street Infant and Nursery</v>
          </cell>
          <cell r="G63">
            <v>51.177304964539005</v>
          </cell>
          <cell r="L63">
            <v>51.177304964539005</v>
          </cell>
          <cell r="M63">
            <v>88</v>
          </cell>
          <cell r="N63">
            <v>0.58156028368794321</v>
          </cell>
          <cell r="O63">
            <v>42</v>
          </cell>
          <cell r="P63">
            <v>84</v>
          </cell>
          <cell r="Q63" t="str">
            <v>0-7</v>
          </cell>
          <cell r="R63">
            <v>12</v>
          </cell>
          <cell r="T63">
            <v>1.0476190476190477</v>
          </cell>
        </row>
        <row r="64">
          <cell r="A64">
            <v>9252135</v>
          </cell>
          <cell r="B64" t="str">
            <v>Woodlands Infant &amp; Nursery School</v>
          </cell>
          <cell r="F64">
            <v>28.472972972972972</v>
          </cell>
          <cell r="L64">
            <v>28.472972972972972</v>
          </cell>
          <cell r="M64">
            <v>49</v>
          </cell>
          <cell r="N64">
            <v>0.58108108108108103</v>
          </cell>
          <cell r="O64">
            <v>60</v>
          </cell>
          <cell r="P64">
            <v>60</v>
          </cell>
          <cell r="T64">
            <v>0.81666666666666665</v>
          </cell>
        </row>
        <row r="65">
          <cell r="A65">
            <v>518944</v>
          </cell>
          <cell r="B65" t="str">
            <v>Maple Street Day Nursery</v>
          </cell>
          <cell r="K65">
            <v>4</v>
          </cell>
          <cell r="L65">
            <v>4</v>
          </cell>
          <cell r="M65">
            <v>7</v>
          </cell>
          <cell r="N65">
            <v>0.5714285714285714</v>
          </cell>
          <cell r="O65">
            <v>52</v>
          </cell>
          <cell r="P65">
            <v>52</v>
          </cell>
          <cell r="T65">
            <v>0.13461538461538461</v>
          </cell>
        </row>
        <row r="66">
          <cell r="A66">
            <v>512430</v>
          </cell>
          <cell r="B66" t="str">
            <v>Park Community Preschool</v>
          </cell>
          <cell r="K66">
            <v>9</v>
          </cell>
          <cell r="L66">
            <v>9</v>
          </cell>
          <cell r="M66">
            <v>16</v>
          </cell>
          <cell r="N66">
            <v>0.5625</v>
          </cell>
          <cell r="O66">
            <v>24</v>
          </cell>
          <cell r="P66">
            <v>48</v>
          </cell>
          <cell r="Q66" t="str">
            <v>2-4</v>
          </cell>
          <cell r="T66">
            <v>0.33333333333333331</v>
          </cell>
        </row>
        <row r="67">
          <cell r="A67">
            <v>516493</v>
          </cell>
          <cell r="B67" t="str">
            <v>Qwackers Pre-school</v>
          </cell>
          <cell r="K67">
            <v>24</v>
          </cell>
          <cell r="L67">
            <v>24</v>
          </cell>
          <cell r="M67">
            <v>43</v>
          </cell>
          <cell r="N67">
            <v>0.55813953488372092</v>
          </cell>
          <cell r="O67">
            <v>32</v>
          </cell>
          <cell r="P67">
            <v>64</v>
          </cell>
          <cell r="Q67" t="str">
            <v>2-4</v>
          </cell>
          <cell r="T67">
            <v>0.671875</v>
          </cell>
        </row>
        <row r="68">
          <cell r="A68">
            <v>9252170</v>
          </cell>
          <cell r="B68" t="str">
            <v>Louth Eastfield Infants' and Nursery Sch</v>
          </cell>
          <cell r="F68">
            <v>36.666666666666671</v>
          </cell>
          <cell r="L68">
            <v>36.666666666666671</v>
          </cell>
          <cell r="M68">
            <v>66</v>
          </cell>
          <cell r="N68">
            <v>0.55555555555555558</v>
          </cell>
          <cell r="O68">
            <v>32</v>
          </cell>
          <cell r="P68">
            <v>64</v>
          </cell>
          <cell r="Q68" t="str">
            <v>2-4</v>
          </cell>
          <cell r="T68">
            <v>1.03125</v>
          </cell>
        </row>
        <row r="69">
          <cell r="A69">
            <v>546542</v>
          </cell>
          <cell r="B69" t="str">
            <v>Chatterbox  Nursery</v>
          </cell>
          <cell r="K69">
            <v>6</v>
          </cell>
          <cell r="L69">
            <v>6</v>
          </cell>
          <cell r="M69">
            <v>11</v>
          </cell>
          <cell r="N69">
            <v>0.54545454545454541</v>
          </cell>
          <cell r="O69">
            <v>52</v>
          </cell>
          <cell r="P69">
            <v>52</v>
          </cell>
          <cell r="T69">
            <v>0.21153846153846154</v>
          </cell>
        </row>
        <row r="70">
          <cell r="A70">
            <v>9252066</v>
          </cell>
          <cell r="B70" t="str">
            <v>The Bluecoat School</v>
          </cell>
          <cell r="F70">
            <v>20.12280701754386</v>
          </cell>
          <cell r="L70">
            <v>20.12280701754386</v>
          </cell>
          <cell r="M70">
            <v>37</v>
          </cell>
          <cell r="N70">
            <v>0.54385964912280704</v>
          </cell>
          <cell r="O70">
            <v>25</v>
          </cell>
          <cell r="P70">
            <v>50</v>
          </cell>
          <cell r="Q70" t="str">
            <v>0-7</v>
          </cell>
          <cell r="R70">
            <v>9</v>
          </cell>
          <cell r="T70">
            <v>0.74</v>
          </cell>
        </row>
        <row r="71">
          <cell r="A71">
            <v>546519</v>
          </cell>
          <cell r="B71" t="str">
            <v>Mon Ami Day Nursery (Boston)</v>
          </cell>
          <cell r="K71">
            <v>13</v>
          </cell>
          <cell r="L71">
            <v>13</v>
          </cell>
          <cell r="M71">
            <v>24</v>
          </cell>
          <cell r="N71">
            <v>0.54166666666666663</v>
          </cell>
          <cell r="O71">
            <v>52</v>
          </cell>
          <cell r="P71">
            <v>52</v>
          </cell>
          <cell r="T71">
            <v>0.46153846153846156</v>
          </cell>
        </row>
        <row r="72">
          <cell r="A72">
            <v>9252247</v>
          </cell>
          <cell r="B72" t="str">
            <v>Gainsborough Benjamin Adlard School</v>
          </cell>
          <cell r="F72">
            <v>18.36</v>
          </cell>
          <cell r="L72">
            <v>18.36</v>
          </cell>
          <cell r="M72">
            <v>34</v>
          </cell>
          <cell r="N72">
            <v>0.54</v>
          </cell>
          <cell r="O72">
            <v>55</v>
          </cell>
          <cell r="P72">
            <v>110</v>
          </cell>
          <cell r="Q72" t="str">
            <v>0-7</v>
          </cell>
          <cell r="R72">
            <v>15</v>
          </cell>
          <cell r="T72">
            <v>0.30909090909090908</v>
          </cell>
        </row>
        <row r="73">
          <cell r="A73">
            <v>546481</v>
          </cell>
          <cell r="B73" t="str">
            <v>The Old Station Nursery Ltd (Lincoln College)</v>
          </cell>
          <cell r="K73">
            <v>8</v>
          </cell>
          <cell r="L73">
            <v>8</v>
          </cell>
          <cell r="M73">
            <v>15</v>
          </cell>
          <cell r="N73">
            <v>0.53333333333333333</v>
          </cell>
          <cell r="O73">
            <v>52</v>
          </cell>
          <cell r="P73">
            <v>52</v>
          </cell>
          <cell r="T73">
            <v>0.28846153846153844</v>
          </cell>
        </row>
        <row r="74">
          <cell r="A74">
            <v>511212</v>
          </cell>
          <cell r="B74" t="str">
            <v>Spilsby Play Group</v>
          </cell>
          <cell r="K74">
            <v>17</v>
          </cell>
          <cell r="L74">
            <v>17</v>
          </cell>
          <cell r="M74">
            <v>32</v>
          </cell>
          <cell r="N74">
            <v>0.53125</v>
          </cell>
          <cell r="O74">
            <v>25</v>
          </cell>
          <cell r="P74">
            <v>50</v>
          </cell>
          <cell r="Q74" t="str">
            <v>0-7</v>
          </cell>
          <cell r="R74">
            <v>9</v>
          </cell>
          <cell r="T74">
            <v>0.64</v>
          </cell>
        </row>
        <row r="75">
          <cell r="A75">
            <v>520806</v>
          </cell>
          <cell r="B75" t="str">
            <v>Sunshine Children's Centre</v>
          </cell>
          <cell r="K75">
            <v>20</v>
          </cell>
          <cell r="L75">
            <v>20</v>
          </cell>
          <cell r="M75">
            <v>38</v>
          </cell>
          <cell r="N75">
            <v>0.52631578947368418</v>
          </cell>
          <cell r="O75">
            <v>24</v>
          </cell>
          <cell r="P75">
            <v>48</v>
          </cell>
          <cell r="Q75" t="str">
            <v>2-4</v>
          </cell>
          <cell r="T75">
            <v>0.79166666666666663</v>
          </cell>
        </row>
        <row r="76">
          <cell r="A76">
            <v>546531</v>
          </cell>
          <cell r="B76" t="str">
            <v>YMCA Daycare St Augustines</v>
          </cell>
          <cell r="K76">
            <v>13</v>
          </cell>
          <cell r="L76">
            <v>13</v>
          </cell>
          <cell r="M76">
            <v>26</v>
          </cell>
          <cell r="N76">
            <v>0.5</v>
          </cell>
          <cell r="O76">
            <v>38</v>
          </cell>
          <cell r="P76">
            <v>76</v>
          </cell>
          <cell r="Q76" t="str">
            <v>0-4</v>
          </cell>
          <cell r="R76">
            <v>12</v>
          </cell>
          <cell r="T76">
            <v>0.34210526315789475</v>
          </cell>
        </row>
        <row r="77">
          <cell r="A77">
            <v>9257017</v>
          </cell>
          <cell r="B77" t="str">
            <v>Lincoln Queen's Park School</v>
          </cell>
          <cell r="C77">
            <v>5</v>
          </cell>
          <cell r="L77">
            <v>5</v>
          </cell>
          <cell r="M77">
            <v>10</v>
          </cell>
          <cell r="N77">
            <v>0.5</v>
          </cell>
          <cell r="O77">
            <v>56</v>
          </cell>
          <cell r="P77">
            <v>112</v>
          </cell>
          <cell r="Q77" t="str">
            <v>2-7</v>
          </cell>
          <cell r="T77">
            <v>8.9285714285714288E-2</v>
          </cell>
        </row>
        <row r="78">
          <cell r="A78">
            <v>9257015</v>
          </cell>
          <cell r="B78" t="str">
            <v>Lincoln St Christopher's</v>
          </cell>
          <cell r="C78">
            <v>5</v>
          </cell>
          <cell r="L78">
            <v>5</v>
          </cell>
          <cell r="M78">
            <v>10</v>
          </cell>
          <cell r="N78">
            <v>0.5</v>
          </cell>
        </row>
        <row r="79">
          <cell r="A79">
            <v>9255213</v>
          </cell>
          <cell r="B79" t="str">
            <v>Grantham The Isaac Newton Primary School</v>
          </cell>
          <cell r="G79">
            <v>18.654545454545456</v>
          </cell>
          <cell r="L79">
            <v>18.654545454545456</v>
          </cell>
          <cell r="M79">
            <v>38</v>
          </cell>
          <cell r="N79">
            <v>0.49090909090909096</v>
          </cell>
        </row>
        <row r="80">
          <cell r="A80">
            <v>546522</v>
          </cell>
          <cell r="B80" t="str">
            <v>Wyberton Play Group</v>
          </cell>
          <cell r="K80">
            <v>15</v>
          </cell>
          <cell r="L80">
            <v>15</v>
          </cell>
          <cell r="M80">
            <v>32</v>
          </cell>
          <cell r="N80">
            <v>0.46875</v>
          </cell>
          <cell r="O80">
            <v>65</v>
          </cell>
          <cell r="P80">
            <v>65</v>
          </cell>
          <cell r="T80">
            <v>0.49230769230769234</v>
          </cell>
        </row>
        <row r="81">
          <cell r="A81">
            <v>546511</v>
          </cell>
          <cell r="B81" t="str">
            <v>Children First</v>
          </cell>
          <cell r="K81">
            <v>19</v>
          </cell>
          <cell r="L81">
            <v>19</v>
          </cell>
          <cell r="M81">
            <v>41</v>
          </cell>
          <cell r="N81">
            <v>0.46341463414634149</v>
          </cell>
        </row>
        <row r="82">
          <cell r="A82">
            <v>519274</v>
          </cell>
          <cell r="B82" t="str">
            <v>Roseberry Avenue Community Playgroup</v>
          </cell>
          <cell r="K82">
            <v>21</v>
          </cell>
          <cell r="L82">
            <v>21</v>
          </cell>
          <cell r="M82">
            <v>46</v>
          </cell>
          <cell r="N82">
            <v>0.45652173913043476</v>
          </cell>
          <cell r="O82">
            <v>63</v>
          </cell>
          <cell r="P82">
            <v>126</v>
          </cell>
          <cell r="Q82" t="str">
            <v>0-7</v>
          </cell>
          <cell r="R82">
            <v>36</v>
          </cell>
          <cell r="T82">
            <v>0.36507936507936506</v>
          </cell>
        </row>
        <row r="83">
          <cell r="A83">
            <v>546444</v>
          </cell>
          <cell r="B83" t="str">
            <v>Totschool Play Group</v>
          </cell>
          <cell r="K83">
            <v>5</v>
          </cell>
          <cell r="L83">
            <v>5</v>
          </cell>
          <cell r="M83">
            <v>11</v>
          </cell>
          <cell r="N83">
            <v>0.45454545454545453</v>
          </cell>
          <cell r="O83">
            <v>24</v>
          </cell>
          <cell r="P83">
            <v>48</v>
          </cell>
          <cell r="Q83" t="str">
            <v>2-4</v>
          </cell>
          <cell r="T83">
            <v>0.22916666666666666</v>
          </cell>
        </row>
        <row r="84">
          <cell r="A84">
            <v>546505</v>
          </cell>
          <cell r="B84" t="str">
            <v>Seesaw Day Nursery</v>
          </cell>
          <cell r="K84">
            <v>15</v>
          </cell>
          <cell r="L84">
            <v>15</v>
          </cell>
          <cell r="M84">
            <v>35</v>
          </cell>
          <cell r="N84">
            <v>0.42857142857142855</v>
          </cell>
          <cell r="O84">
            <v>20</v>
          </cell>
          <cell r="P84">
            <v>40</v>
          </cell>
          <cell r="Q84" t="str">
            <v>2-4</v>
          </cell>
          <cell r="T84">
            <v>0.875</v>
          </cell>
        </row>
        <row r="85">
          <cell r="A85">
            <v>511322</v>
          </cell>
          <cell r="B85" t="str">
            <v>Moulton Play Group</v>
          </cell>
          <cell r="K85">
            <v>11</v>
          </cell>
          <cell r="L85">
            <v>11</v>
          </cell>
          <cell r="M85">
            <v>26</v>
          </cell>
          <cell r="N85">
            <v>0.42307692307692307</v>
          </cell>
          <cell r="O85">
            <v>99</v>
          </cell>
          <cell r="P85">
            <v>198</v>
          </cell>
          <cell r="Q85" t="str">
            <v>0-7</v>
          </cell>
          <cell r="R85">
            <v>28</v>
          </cell>
          <cell r="T85">
            <v>0.13131313131313133</v>
          </cell>
        </row>
        <row r="86">
          <cell r="A86">
            <v>521732</v>
          </cell>
          <cell r="B86" t="str">
            <v>Riverside Play Group</v>
          </cell>
          <cell r="K86">
            <v>10</v>
          </cell>
          <cell r="L86">
            <v>10</v>
          </cell>
          <cell r="M86">
            <v>24</v>
          </cell>
          <cell r="N86">
            <v>0.41666666666666669</v>
          </cell>
        </row>
        <row r="87">
          <cell r="A87">
            <v>546543</v>
          </cell>
          <cell r="B87" t="str">
            <v>YMCA Birchwood Day Care</v>
          </cell>
          <cell r="K87">
            <v>7</v>
          </cell>
          <cell r="L87">
            <v>7</v>
          </cell>
          <cell r="M87">
            <v>17</v>
          </cell>
          <cell r="N87">
            <v>0.41176470588235292</v>
          </cell>
          <cell r="O87">
            <v>24</v>
          </cell>
          <cell r="P87">
            <v>48</v>
          </cell>
          <cell r="Q87" t="str">
            <v>2-4</v>
          </cell>
          <cell r="T87">
            <v>0.35416666666666669</v>
          </cell>
        </row>
        <row r="88">
          <cell r="A88">
            <v>9255220</v>
          </cell>
          <cell r="B88" t="str">
            <v>Lincoln Hartsholme Primary School</v>
          </cell>
          <cell r="G88">
            <v>11.407407407407407</v>
          </cell>
          <cell r="L88">
            <v>11.407407407407407</v>
          </cell>
          <cell r="M88">
            <v>28</v>
          </cell>
          <cell r="N88">
            <v>0.40740740740740738</v>
          </cell>
          <cell r="O88">
            <v>26</v>
          </cell>
          <cell r="P88">
            <v>52</v>
          </cell>
          <cell r="Q88" t="str">
            <v>2-4</v>
          </cell>
          <cell r="T88">
            <v>0.53846153846153844</v>
          </cell>
        </row>
        <row r="89">
          <cell r="A89">
            <v>546491</v>
          </cell>
          <cell r="B89" t="str">
            <v>ABC Day Nursery (Boston)</v>
          </cell>
          <cell r="K89">
            <v>13</v>
          </cell>
          <cell r="L89">
            <v>13</v>
          </cell>
          <cell r="M89">
            <v>32</v>
          </cell>
          <cell r="N89">
            <v>0.40625</v>
          </cell>
          <cell r="O89">
            <v>52</v>
          </cell>
          <cell r="P89">
            <v>52</v>
          </cell>
          <cell r="T89">
            <v>0.61538461538461542</v>
          </cell>
        </row>
        <row r="90">
          <cell r="A90">
            <v>546532</v>
          </cell>
          <cell r="B90" t="str">
            <v>Welbourn Gardens Day Nursery</v>
          </cell>
          <cell r="K90">
            <v>4</v>
          </cell>
          <cell r="L90">
            <v>4</v>
          </cell>
          <cell r="M90">
            <v>10</v>
          </cell>
          <cell r="N90">
            <v>0.4</v>
          </cell>
          <cell r="O90">
            <v>53</v>
          </cell>
          <cell r="P90">
            <v>106</v>
          </cell>
          <cell r="Q90" t="str">
            <v>0-7</v>
          </cell>
          <cell r="R90">
            <v>22</v>
          </cell>
          <cell r="T90">
            <v>9.4339622641509441E-2</v>
          </cell>
        </row>
        <row r="91">
          <cell r="A91">
            <v>546546</v>
          </cell>
          <cell r="B91" t="str">
            <v>Fun Farm Day Nursery</v>
          </cell>
          <cell r="K91">
            <v>2</v>
          </cell>
          <cell r="L91">
            <v>2</v>
          </cell>
          <cell r="M91">
            <v>5</v>
          </cell>
          <cell r="N91">
            <v>0.4</v>
          </cell>
          <cell r="O91">
            <v>28</v>
          </cell>
          <cell r="P91">
            <v>56</v>
          </cell>
          <cell r="Q91" t="str">
            <v>0-4</v>
          </cell>
          <cell r="R91">
            <v>12</v>
          </cell>
          <cell r="T91">
            <v>8.9285714285714288E-2</v>
          </cell>
        </row>
        <row r="92">
          <cell r="A92">
            <v>546461</v>
          </cell>
          <cell r="B92" t="str">
            <v>Woodlands Nursery Horncastle</v>
          </cell>
          <cell r="K92">
            <v>2</v>
          </cell>
          <cell r="L92">
            <v>2</v>
          </cell>
          <cell r="M92">
            <v>5</v>
          </cell>
          <cell r="N92">
            <v>0.4</v>
          </cell>
        </row>
        <row r="93">
          <cell r="A93">
            <v>581444</v>
          </cell>
          <cell r="B93" t="str">
            <v>Bramble Hall Day Nursery</v>
          </cell>
          <cell r="K93">
            <v>11</v>
          </cell>
          <cell r="L93">
            <v>11</v>
          </cell>
          <cell r="M93">
            <v>28</v>
          </cell>
          <cell r="N93">
            <v>0.39285714285714285</v>
          </cell>
          <cell r="O93">
            <v>48</v>
          </cell>
          <cell r="P93">
            <v>96</v>
          </cell>
          <cell r="Q93" t="str">
            <v>0-7</v>
          </cell>
          <cell r="R93">
            <v>15</v>
          </cell>
          <cell r="T93">
            <v>0.29166666666666669</v>
          </cell>
        </row>
        <row r="94">
          <cell r="A94">
            <v>523682</v>
          </cell>
          <cell r="B94" t="str">
            <v>Little Lambs Nursery</v>
          </cell>
          <cell r="K94">
            <v>7</v>
          </cell>
          <cell r="L94">
            <v>7</v>
          </cell>
          <cell r="M94">
            <v>18</v>
          </cell>
          <cell r="N94">
            <v>0.3888888888888889</v>
          </cell>
          <cell r="O94">
            <v>67</v>
          </cell>
          <cell r="P94">
            <v>134</v>
          </cell>
          <cell r="Q94" t="str">
            <v>0-7</v>
          </cell>
          <cell r="R94">
            <v>15</v>
          </cell>
          <cell r="T94">
            <v>0.13432835820895522</v>
          </cell>
        </row>
        <row r="95">
          <cell r="A95">
            <v>9251010</v>
          </cell>
          <cell r="B95" t="str">
            <v>Lincoln Kingsdown Nursery School</v>
          </cell>
          <cell r="H95">
            <v>33</v>
          </cell>
          <cell r="L95">
            <v>33</v>
          </cell>
          <cell r="M95">
            <v>88</v>
          </cell>
          <cell r="N95">
            <v>0.375</v>
          </cell>
          <cell r="O95">
            <v>44</v>
          </cell>
          <cell r="P95">
            <v>88</v>
          </cell>
          <cell r="Q95" t="str">
            <v>0-4</v>
          </cell>
          <cell r="R95">
            <v>12</v>
          </cell>
          <cell r="S95">
            <v>28</v>
          </cell>
          <cell r="T95">
            <v>1</v>
          </cell>
        </row>
        <row r="96">
          <cell r="A96">
            <v>9253111</v>
          </cell>
          <cell r="B96" t="str">
            <v>Lincoln St Peter at Gowts CE Primary</v>
          </cell>
          <cell r="J96">
            <v>14.169491525423728</v>
          </cell>
          <cell r="L96">
            <v>14.169491525423728</v>
          </cell>
          <cell r="M96">
            <v>38</v>
          </cell>
          <cell r="N96">
            <v>0.3728813559322034</v>
          </cell>
        </row>
        <row r="97">
          <cell r="A97">
            <v>9253108</v>
          </cell>
          <cell r="B97" t="str">
            <v>Lincoln St Faith's CE Infant School</v>
          </cell>
          <cell r="J97">
            <v>18.545454545454547</v>
          </cell>
          <cell r="L97">
            <v>18.545454545454547</v>
          </cell>
          <cell r="M97">
            <v>51</v>
          </cell>
          <cell r="N97">
            <v>0.36363636363636365</v>
          </cell>
          <cell r="O97">
            <v>52</v>
          </cell>
          <cell r="P97">
            <v>52</v>
          </cell>
          <cell r="T97">
            <v>0.98076923076923073</v>
          </cell>
        </row>
        <row r="98">
          <cell r="A98">
            <v>546530</v>
          </cell>
          <cell r="B98" t="str">
            <v>Belton Lane PLA Nursery</v>
          </cell>
          <cell r="K98">
            <v>8</v>
          </cell>
          <cell r="L98">
            <v>8</v>
          </cell>
          <cell r="M98">
            <v>22</v>
          </cell>
          <cell r="N98">
            <v>0.36363636363636365</v>
          </cell>
          <cell r="O98">
            <v>52</v>
          </cell>
          <cell r="P98">
            <v>52</v>
          </cell>
          <cell r="T98">
            <v>0.42307692307692307</v>
          </cell>
        </row>
        <row r="99">
          <cell r="A99">
            <v>513995</v>
          </cell>
          <cell r="B99" t="str">
            <v>Busy Bees Day Nursery</v>
          </cell>
          <cell r="K99">
            <v>8</v>
          </cell>
          <cell r="L99">
            <v>8</v>
          </cell>
          <cell r="M99">
            <v>22</v>
          </cell>
          <cell r="N99">
            <v>0.36363636363636365</v>
          </cell>
          <cell r="O99">
            <v>53</v>
          </cell>
          <cell r="P99">
            <v>106</v>
          </cell>
          <cell r="Q99" t="str">
            <v>0-7</v>
          </cell>
          <cell r="R99">
            <v>9</v>
          </cell>
          <cell r="T99">
            <v>0.20754716981132076</v>
          </cell>
        </row>
        <row r="100">
          <cell r="A100">
            <v>546489</v>
          </cell>
          <cell r="B100" t="str">
            <v>Frampton Community Play Group</v>
          </cell>
          <cell r="K100">
            <v>5</v>
          </cell>
          <cell r="L100">
            <v>5</v>
          </cell>
          <cell r="M100">
            <v>14</v>
          </cell>
          <cell r="N100">
            <v>0.35714285714285715</v>
          </cell>
          <cell r="O100">
            <v>42</v>
          </cell>
          <cell r="P100">
            <v>84</v>
          </cell>
          <cell r="Q100" t="str">
            <v>2-4</v>
          </cell>
          <cell r="R100">
            <v>12</v>
          </cell>
          <cell r="T100">
            <v>0.16666666666666666</v>
          </cell>
        </row>
        <row r="101">
          <cell r="A101">
            <v>516466</v>
          </cell>
          <cell r="B101" t="str">
            <v>High Gate Day Nursery</v>
          </cell>
          <cell r="K101">
            <v>5</v>
          </cell>
          <cell r="L101">
            <v>5</v>
          </cell>
          <cell r="M101">
            <v>14</v>
          </cell>
          <cell r="N101">
            <v>0.35714285714285715</v>
          </cell>
          <cell r="O101">
            <v>24</v>
          </cell>
          <cell r="P101">
            <v>48</v>
          </cell>
          <cell r="Q101" t="str">
            <v>0-4</v>
          </cell>
          <cell r="T101">
            <v>0.29166666666666669</v>
          </cell>
        </row>
        <row r="102">
          <cell r="A102">
            <v>546482</v>
          </cell>
          <cell r="B102" t="str">
            <v>The Old Station Nursery Ltd  (Wragby Road)</v>
          </cell>
          <cell r="K102">
            <v>6</v>
          </cell>
          <cell r="L102">
            <v>6</v>
          </cell>
          <cell r="M102">
            <v>17</v>
          </cell>
          <cell r="N102">
            <v>0.35294117647058826</v>
          </cell>
          <cell r="O102">
            <v>105</v>
          </cell>
          <cell r="P102">
            <v>210</v>
          </cell>
          <cell r="Q102" t="str">
            <v>0-7</v>
          </cell>
          <cell r="S102">
            <v>59</v>
          </cell>
          <cell r="T102">
            <v>8.0952380952380956E-2</v>
          </cell>
        </row>
        <row r="103">
          <cell r="A103">
            <v>9251011</v>
          </cell>
          <cell r="B103" t="str">
            <v>Gainsborough Nursery School</v>
          </cell>
          <cell r="H103">
            <v>31</v>
          </cell>
          <cell r="L103">
            <v>31</v>
          </cell>
          <cell r="M103">
            <v>89</v>
          </cell>
          <cell r="N103">
            <v>0.34831460674157305</v>
          </cell>
          <cell r="O103">
            <v>36</v>
          </cell>
          <cell r="P103">
            <v>72</v>
          </cell>
          <cell r="Q103" t="str">
            <v>0-4</v>
          </cell>
          <cell r="R103">
            <v>12</v>
          </cell>
          <cell r="T103">
            <v>1.2361111111111112</v>
          </cell>
        </row>
        <row r="104">
          <cell r="A104">
            <v>516031</v>
          </cell>
          <cell r="B104" t="str">
            <v>Nutwood Cottage Nursery</v>
          </cell>
          <cell r="K104">
            <v>9</v>
          </cell>
          <cell r="L104">
            <v>9</v>
          </cell>
          <cell r="M104">
            <v>26</v>
          </cell>
          <cell r="N104">
            <v>0.34615384615384615</v>
          </cell>
        </row>
        <row r="105">
          <cell r="A105">
            <v>510992</v>
          </cell>
          <cell r="B105" t="str">
            <v>Paper Moon Day Nursery</v>
          </cell>
          <cell r="K105">
            <v>4</v>
          </cell>
          <cell r="L105">
            <v>4</v>
          </cell>
          <cell r="M105">
            <v>12</v>
          </cell>
          <cell r="N105">
            <v>0.33333333333333331</v>
          </cell>
          <cell r="O105">
            <v>49</v>
          </cell>
          <cell r="P105">
            <v>98</v>
          </cell>
          <cell r="Q105" t="str">
            <v>0-4</v>
          </cell>
          <cell r="R105">
            <v>12</v>
          </cell>
          <cell r="T105">
            <v>0.12244897959183673</v>
          </cell>
        </row>
        <row r="106">
          <cell r="A106">
            <v>9252038</v>
          </cell>
          <cell r="B106" t="str">
            <v>Sleaford Church Lane Primary School</v>
          </cell>
          <cell r="F106">
            <v>12.448275862068964</v>
          </cell>
          <cell r="L106">
            <v>12.448275862068964</v>
          </cell>
          <cell r="M106">
            <v>38</v>
          </cell>
          <cell r="N106">
            <v>0.32758620689655171</v>
          </cell>
          <cell r="O106">
            <v>50</v>
          </cell>
          <cell r="P106">
            <v>100</v>
          </cell>
          <cell r="Q106" t="str">
            <v>0-7</v>
          </cell>
          <cell r="R106">
            <v>15</v>
          </cell>
          <cell r="T106">
            <v>0.38</v>
          </cell>
        </row>
        <row r="107">
          <cell r="A107">
            <v>523856</v>
          </cell>
          <cell r="B107" t="str">
            <v>Limes Play &amp; Learn</v>
          </cell>
          <cell r="K107">
            <v>14</v>
          </cell>
          <cell r="L107">
            <v>14</v>
          </cell>
          <cell r="M107">
            <v>45</v>
          </cell>
          <cell r="N107">
            <v>0.31111111111111112</v>
          </cell>
          <cell r="O107">
            <v>52</v>
          </cell>
          <cell r="P107">
            <v>52</v>
          </cell>
          <cell r="T107">
            <v>0.86538461538461542</v>
          </cell>
        </row>
        <row r="108">
          <cell r="A108">
            <v>515056</v>
          </cell>
          <cell r="B108" t="str">
            <v>Greenlands Preschool</v>
          </cell>
          <cell r="K108">
            <v>8</v>
          </cell>
          <cell r="L108">
            <v>8</v>
          </cell>
          <cell r="M108">
            <v>26</v>
          </cell>
          <cell r="N108">
            <v>0.30769230769230771</v>
          </cell>
          <cell r="O108">
            <v>32</v>
          </cell>
          <cell r="P108">
            <v>64</v>
          </cell>
          <cell r="Q108" t="str">
            <v>2-7</v>
          </cell>
          <cell r="T108">
            <v>0.40625</v>
          </cell>
        </row>
        <row r="109">
          <cell r="A109">
            <v>546509</v>
          </cell>
          <cell r="B109" t="str">
            <v>Greenwich House School, Kindergarten &amp; Creche</v>
          </cell>
          <cell r="K109">
            <v>8</v>
          </cell>
          <cell r="L109">
            <v>8</v>
          </cell>
          <cell r="M109">
            <v>26</v>
          </cell>
          <cell r="N109">
            <v>0.30769230769230771</v>
          </cell>
          <cell r="O109">
            <v>48</v>
          </cell>
          <cell r="P109">
            <v>96</v>
          </cell>
          <cell r="Q109" t="str">
            <v>2-4</v>
          </cell>
          <cell r="T109">
            <v>0.27083333333333331</v>
          </cell>
        </row>
        <row r="110">
          <cell r="A110">
            <v>546547</v>
          </cell>
          <cell r="B110" t="str">
            <v>Marton Pre School</v>
          </cell>
          <cell r="K110">
            <v>4</v>
          </cell>
          <cell r="L110">
            <v>4</v>
          </cell>
          <cell r="M110">
            <v>13</v>
          </cell>
          <cell r="N110">
            <v>0.30769230769230771</v>
          </cell>
          <cell r="O110">
            <v>33</v>
          </cell>
          <cell r="P110">
            <v>66</v>
          </cell>
          <cell r="Q110" t="str">
            <v>0-5</v>
          </cell>
          <cell r="R110">
            <v>9</v>
          </cell>
          <cell r="T110">
            <v>0.19696969696969696</v>
          </cell>
        </row>
        <row r="111">
          <cell r="A111">
            <v>546533</v>
          </cell>
          <cell r="B111" t="str">
            <v>Under 5's Ltd Lincoln Central Children Centre (Bishop King)</v>
          </cell>
          <cell r="K111">
            <v>4</v>
          </cell>
          <cell r="L111">
            <v>4</v>
          </cell>
          <cell r="M111">
            <v>13</v>
          </cell>
          <cell r="N111">
            <v>0.30769230769230771</v>
          </cell>
          <cell r="O111">
            <v>26</v>
          </cell>
          <cell r="P111">
            <v>52</v>
          </cell>
          <cell r="Q111" t="str">
            <v>2-4</v>
          </cell>
          <cell r="T111">
            <v>0.25</v>
          </cell>
        </row>
        <row r="112">
          <cell r="A112">
            <v>597012</v>
          </cell>
          <cell r="B112" t="str">
            <v>Hawthorn Tree Community Children's Centre</v>
          </cell>
          <cell r="K112">
            <v>19</v>
          </cell>
          <cell r="L112">
            <v>19</v>
          </cell>
          <cell r="M112">
            <v>62</v>
          </cell>
          <cell r="N112">
            <v>0.30645161290322581</v>
          </cell>
          <cell r="O112">
            <v>45</v>
          </cell>
          <cell r="P112">
            <v>90</v>
          </cell>
          <cell r="Q112" t="str">
            <v>0-4</v>
          </cell>
          <cell r="R112">
            <v>15</v>
          </cell>
          <cell r="T112">
            <v>0.68888888888888888</v>
          </cell>
        </row>
        <row r="113">
          <cell r="A113">
            <v>510913</v>
          </cell>
          <cell r="B113" t="str">
            <v>Portland kindergarten</v>
          </cell>
          <cell r="K113">
            <v>7</v>
          </cell>
          <cell r="L113">
            <v>7</v>
          </cell>
          <cell r="M113">
            <v>23</v>
          </cell>
          <cell r="N113">
            <v>0.30434782608695654</v>
          </cell>
          <cell r="O113">
            <v>40</v>
          </cell>
          <cell r="P113">
            <v>80</v>
          </cell>
          <cell r="Q113" t="str">
            <v>2-7</v>
          </cell>
          <cell r="T113">
            <v>0.28749999999999998</v>
          </cell>
        </row>
        <row r="114">
          <cell r="A114">
            <v>546520</v>
          </cell>
          <cell r="B114" t="str">
            <v>Paper Moon Day Nursery (Boultham Park)</v>
          </cell>
          <cell r="K114">
            <v>6</v>
          </cell>
          <cell r="L114">
            <v>6</v>
          </cell>
          <cell r="M114">
            <v>20</v>
          </cell>
          <cell r="N114">
            <v>0.3</v>
          </cell>
          <cell r="O114">
            <v>32</v>
          </cell>
          <cell r="P114">
            <v>64</v>
          </cell>
          <cell r="Q114" t="str">
            <v>0-4</v>
          </cell>
          <cell r="R114">
            <v>12</v>
          </cell>
          <cell r="T114">
            <v>0.3125</v>
          </cell>
        </row>
        <row r="115">
          <cell r="A115">
            <v>9257008</v>
          </cell>
          <cell r="B115" t="str">
            <v>Gosberton House  School</v>
          </cell>
          <cell r="C115">
            <v>3</v>
          </cell>
          <cell r="L115">
            <v>3</v>
          </cell>
          <cell r="M115">
            <v>10</v>
          </cell>
          <cell r="N115">
            <v>0.3</v>
          </cell>
          <cell r="O115">
            <v>34</v>
          </cell>
          <cell r="P115">
            <v>68</v>
          </cell>
          <cell r="Q115" t="str">
            <v>0-4</v>
          </cell>
          <cell r="R115">
            <v>6</v>
          </cell>
          <cell r="T115">
            <v>0.14705882352941177</v>
          </cell>
        </row>
        <row r="116">
          <cell r="A116">
            <v>546529</v>
          </cell>
          <cell r="B116" t="str">
            <v>YMCA Woodlands Nursery</v>
          </cell>
          <cell r="K116">
            <v>3</v>
          </cell>
          <cell r="L116">
            <v>3</v>
          </cell>
          <cell r="M116">
            <v>10</v>
          </cell>
          <cell r="N116">
            <v>0.3</v>
          </cell>
        </row>
        <row r="117">
          <cell r="A117">
            <v>546465</v>
          </cell>
          <cell r="B117" t="str">
            <v>The Tulip Preschool</v>
          </cell>
          <cell r="K117">
            <v>11</v>
          </cell>
          <cell r="L117">
            <v>11</v>
          </cell>
          <cell r="M117">
            <v>37</v>
          </cell>
          <cell r="N117">
            <v>0.29729729729729731</v>
          </cell>
          <cell r="O117">
            <v>32</v>
          </cell>
          <cell r="P117">
            <v>64</v>
          </cell>
          <cell r="Q117" t="str">
            <v>0-4</v>
          </cell>
          <cell r="R117">
            <v>6</v>
          </cell>
          <cell r="S117">
            <v>14</v>
          </cell>
          <cell r="T117">
            <v>0.578125</v>
          </cell>
        </row>
        <row r="118">
          <cell r="A118">
            <v>511523</v>
          </cell>
          <cell r="B118" t="str">
            <v>Busi Bodies Day Nursery (Louth)</v>
          </cell>
          <cell r="K118">
            <v>5</v>
          </cell>
          <cell r="L118">
            <v>5</v>
          </cell>
          <cell r="M118">
            <v>17</v>
          </cell>
          <cell r="N118">
            <v>0.29411764705882354</v>
          </cell>
          <cell r="O118">
            <v>24</v>
          </cell>
          <cell r="P118">
            <v>48</v>
          </cell>
          <cell r="Q118" t="str">
            <v>2-4</v>
          </cell>
          <cell r="T118">
            <v>0.35416666666666669</v>
          </cell>
        </row>
        <row r="119">
          <cell r="A119">
            <v>9252120</v>
          </cell>
          <cell r="B119" t="str">
            <v>Lincoln The Sir Francis Hill C Primary</v>
          </cell>
          <cell r="F119">
            <v>14.184210526315789</v>
          </cell>
          <cell r="L119">
            <v>14.184210526315789</v>
          </cell>
          <cell r="M119">
            <v>49</v>
          </cell>
          <cell r="N119">
            <v>0.28947368421052633</v>
          </cell>
          <cell r="O119">
            <v>45</v>
          </cell>
          <cell r="P119">
            <v>90</v>
          </cell>
          <cell r="Q119" t="str">
            <v>0-7</v>
          </cell>
          <cell r="R119">
            <v>12</v>
          </cell>
          <cell r="T119">
            <v>0.5444444444444444</v>
          </cell>
        </row>
        <row r="120">
          <cell r="A120">
            <v>513328</v>
          </cell>
          <cell r="B120" t="str">
            <v>Small Saints Preschool</v>
          </cell>
          <cell r="K120">
            <v>36</v>
          </cell>
          <cell r="L120">
            <v>36</v>
          </cell>
          <cell r="M120">
            <v>129</v>
          </cell>
          <cell r="N120">
            <v>0.27906976744186046</v>
          </cell>
          <cell r="O120">
            <v>52</v>
          </cell>
          <cell r="P120">
            <v>52</v>
          </cell>
          <cell r="T120">
            <v>2.4807692307692308</v>
          </cell>
        </row>
        <row r="121">
          <cell r="A121">
            <v>9252054</v>
          </cell>
          <cell r="B121" t="str">
            <v>Grantham Belton Lane Community Primary</v>
          </cell>
          <cell r="F121">
            <v>6.3888888888888893</v>
          </cell>
          <cell r="L121">
            <v>6.3888888888888893</v>
          </cell>
          <cell r="M121">
            <v>23</v>
          </cell>
          <cell r="N121">
            <v>0.27777777777777779</v>
          </cell>
          <cell r="O121">
            <v>78</v>
          </cell>
          <cell r="P121">
            <v>156</v>
          </cell>
          <cell r="Q121" t="str">
            <v>2-4</v>
          </cell>
          <cell r="T121">
            <v>0.14743589743589744</v>
          </cell>
        </row>
        <row r="122">
          <cell r="A122">
            <v>9252244</v>
          </cell>
          <cell r="B122" t="str">
            <v>Horncastle Community Primary School</v>
          </cell>
          <cell r="F122">
            <v>14.022471910112358</v>
          </cell>
          <cell r="L122">
            <v>14.022471910112358</v>
          </cell>
          <cell r="M122">
            <v>52</v>
          </cell>
          <cell r="N122">
            <v>0.2696629213483146</v>
          </cell>
          <cell r="O122">
            <v>52</v>
          </cell>
          <cell r="P122">
            <v>52</v>
          </cell>
          <cell r="T122">
            <v>1</v>
          </cell>
        </row>
        <row r="123">
          <cell r="A123">
            <v>546480</v>
          </cell>
          <cell r="B123" t="str">
            <v>The Old Station Nursery Ltd (Brayford)</v>
          </cell>
          <cell r="K123">
            <v>6</v>
          </cell>
          <cell r="L123">
            <v>6</v>
          </cell>
          <cell r="M123">
            <v>24</v>
          </cell>
          <cell r="N123">
            <v>0.25</v>
          </cell>
          <cell r="O123">
            <v>52</v>
          </cell>
          <cell r="P123">
            <v>52</v>
          </cell>
          <cell r="T123">
            <v>0.46153846153846156</v>
          </cell>
        </row>
        <row r="124">
          <cell r="A124">
            <v>512545</v>
          </cell>
          <cell r="B124" t="str">
            <v>Little Acorn Day Nursery</v>
          </cell>
          <cell r="K124">
            <v>5</v>
          </cell>
          <cell r="L124">
            <v>5</v>
          </cell>
          <cell r="M124">
            <v>20</v>
          </cell>
          <cell r="N124">
            <v>0.25</v>
          </cell>
          <cell r="O124">
            <v>44</v>
          </cell>
          <cell r="P124">
            <v>88</v>
          </cell>
          <cell r="Q124" t="str">
            <v>0-7</v>
          </cell>
          <cell r="R124">
            <v>16</v>
          </cell>
          <cell r="T124">
            <v>0.22727272727272727</v>
          </cell>
        </row>
        <row r="125">
          <cell r="A125">
            <v>597002</v>
          </cell>
          <cell r="B125" t="str">
            <v>Meadow View Play Group</v>
          </cell>
          <cell r="K125">
            <v>4</v>
          </cell>
          <cell r="L125">
            <v>4</v>
          </cell>
          <cell r="M125">
            <v>16</v>
          </cell>
          <cell r="N125">
            <v>0.25</v>
          </cell>
          <cell r="O125">
            <v>59</v>
          </cell>
          <cell r="P125">
            <v>118</v>
          </cell>
          <cell r="Q125" t="str">
            <v>0-7</v>
          </cell>
          <cell r="R125">
            <v>21</v>
          </cell>
          <cell r="S125">
            <v>33</v>
          </cell>
          <cell r="T125">
            <v>0.13559322033898305</v>
          </cell>
        </row>
        <row r="126">
          <cell r="A126">
            <v>546534</v>
          </cell>
          <cell r="B126" t="str">
            <v>Lilliput Day Nursery Boston</v>
          </cell>
          <cell r="K126">
            <v>1</v>
          </cell>
          <cell r="L126">
            <v>1</v>
          </cell>
          <cell r="M126">
            <v>4</v>
          </cell>
          <cell r="N126">
            <v>0.25</v>
          </cell>
          <cell r="O126">
            <v>17</v>
          </cell>
          <cell r="P126">
            <v>34</v>
          </cell>
          <cell r="Q126" t="str">
            <v>2-4</v>
          </cell>
          <cell r="T126">
            <v>0.11764705882352941</v>
          </cell>
        </row>
        <row r="127">
          <cell r="A127">
            <v>583196</v>
          </cell>
          <cell r="B127" t="str">
            <v>Swan Street Preschool</v>
          </cell>
          <cell r="K127">
            <v>6</v>
          </cell>
          <cell r="L127">
            <v>6</v>
          </cell>
          <cell r="M127">
            <v>25</v>
          </cell>
          <cell r="N127">
            <v>0.24</v>
          </cell>
        </row>
        <row r="128">
          <cell r="A128">
            <v>546422</v>
          </cell>
          <cell r="B128" t="str">
            <v>Town &amp; Country Kiddies (Louth)</v>
          </cell>
          <cell r="K128">
            <v>8</v>
          </cell>
          <cell r="L128">
            <v>8</v>
          </cell>
          <cell r="M128">
            <v>34</v>
          </cell>
          <cell r="N128">
            <v>0.23529411764705882</v>
          </cell>
          <cell r="O128">
            <v>32</v>
          </cell>
          <cell r="P128">
            <v>64</v>
          </cell>
          <cell r="Q128" t="str">
            <v>2-4</v>
          </cell>
          <cell r="T128">
            <v>0.53125</v>
          </cell>
        </row>
        <row r="129">
          <cell r="A129">
            <v>515567</v>
          </cell>
          <cell r="B129" t="str">
            <v>St Michael's Preschool</v>
          </cell>
          <cell r="K129">
            <v>4</v>
          </cell>
          <cell r="L129">
            <v>4</v>
          </cell>
          <cell r="M129">
            <v>17</v>
          </cell>
          <cell r="N129">
            <v>0.23529411764705882</v>
          </cell>
          <cell r="O129">
            <v>79</v>
          </cell>
          <cell r="P129">
            <v>158</v>
          </cell>
          <cell r="Q129" t="str">
            <v>0-7</v>
          </cell>
          <cell r="R129">
            <v>24</v>
          </cell>
          <cell r="S129">
            <v>40</v>
          </cell>
          <cell r="T129">
            <v>0.10759493670886076</v>
          </cell>
        </row>
        <row r="130">
          <cell r="A130">
            <v>546476</v>
          </cell>
          <cell r="B130" t="str">
            <v>St Faiths Play Group</v>
          </cell>
          <cell r="K130">
            <v>3</v>
          </cell>
          <cell r="L130">
            <v>3</v>
          </cell>
          <cell r="M130">
            <v>13</v>
          </cell>
          <cell r="N130">
            <v>0.23076923076923078</v>
          </cell>
          <cell r="O130">
            <v>18</v>
          </cell>
          <cell r="P130">
            <v>36</v>
          </cell>
          <cell r="Q130" t="str">
            <v>2-4</v>
          </cell>
          <cell r="T130">
            <v>0.3611111111111111</v>
          </cell>
        </row>
        <row r="131">
          <cell r="A131">
            <v>546418</v>
          </cell>
          <cell r="B131" t="str">
            <v>Start Right Day Nursery</v>
          </cell>
          <cell r="K131">
            <v>8</v>
          </cell>
          <cell r="L131">
            <v>8</v>
          </cell>
          <cell r="M131">
            <v>35</v>
          </cell>
          <cell r="N131">
            <v>0.22857142857142856</v>
          </cell>
          <cell r="O131">
            <v>24</v>
          </cell>
          <cell r="P131">
            <v>48</v>
          </cell>
          <cell r="Q131" t="str">
            <v>2-4</v>
          </cell>
          <cell r="T131">
            <v>0.72916666666666663</v>
          </cell>
        </row>
        <row r="132">
          <cell r="A132">
            <v>9251001</v>
          </cell>
          <cell r="B132" t="str">
            <v>Grantham Wyndham Park Nursery School</v>
          </cell>
          <cell r="H132">
            <v>24</v>
          </cell>
          <cell r="L132">
            <v>24</v>
          </cell>
          <cell r="M132">
            <v>106</v>
          </cell>
          <cell r="N132">
            <v>0.22641509433962265</v>
          </cell>
          <cell r="O132">
            <v>59</v>
          </cell>
          <cell r="P132">
            <v>118</v>
          </cell>
          <cell r="Q132" t="str">
            <v>0-7</v>
          </cell>
          <cell r="R132">
            <v>27</v>
          </cell>
          <cell r="T132">
            <v>0.89830508474576276</v>
          </cell>
        </row>
        <row r="133">
          <cell r="A133">
            <v>584735</v>
          </cell>
          <cell r="B133" t="str">
            <v>Mulberry Bush Child Care and Education Centre</v>
          </cell>
          <cell r="K133">
            <v>8</v>
          </cell>
          <cell r="L133">
            <v>8</v>
          </cell>
          <cell r="M133">
            <v>36</v>
          </cell>
          <cell r="N133">
            <v>0.22222222222222221</v>
          </cell>
        </row>
        <row r="134">
          <cell r="A134">
            <v>520589</v>
          </cell>
          <cell r="B134" t="str">
            <v>Ayscoughfee Hall School</v>
          </cell>
          <cell r="D134">
            <v>6</v>
          </cell>
          <cell r="L134">
            <v>6</v>
          </cell>
          <cell r="M134">
            <v>27</v>
          </cell>
          <cell r="N134">
            <v>0.22222222222222221</v>
          </cell>
          <cell r="O134">
            <v>80</v>
          </cell>
          <cell r="P134">
            <v>160</v>
          </cell>
          <cell r="Q134" t="str">
            <v>0-7</v>
          </cell>
          <cell r="R134">
            <v>15</v>
          </cell>
          <cell r="T134">
            <v>0.16875000000000001</v>
          </cell>
        </row>
        <row r="135">
          <cell r="A135">
            <v>597018</v>
          </cell>
          <cell r="B135" t="str">
            <v>Skendleby Play School</v>
          </cell>
          <cell r="K135">
            <v>2</v>
          </cell>
          <cell r="L135">
            <v>2</v>
          </cell>
          <cell r="M135">
            <v>9</v>
          </cell>
          <cell r="N135">
            <v>0.22222222222222221</v>
          </cell>
        </row>
        <row r="136">
          <cell r="A136">
            <v>515391</v>
          </cell>
          <cell r="B136" t="str">
            <v>Young Tots Day Nursery</v>
          </cell>
          <cell r="K136">
            <v>6</v>
          </cell>
          <cell r="L136">
            <v>6</v>
          </cell>
          <cell r="M136">
            <v>28</v>
          </cell>
          <cell r="N136">
            <v>0.21428571428571427</v>
          </cell>
        </row>
        <row r="137">
          <cell r="A137">
            <v>546446</v>
          </cell>
          <cell r="B137" t="str">
            <v>ABC Day Nursery / Play school (Spalding)</v>
          </cell>
          <cell r="K137">
            <v>4</v>
          </cell>
          <cell r="L137">
            <v>4</v>
          </cell>
          <cell r="M137">
            <v>19</v>
          </cell>
          <cell r="N137">
            <v>0.21052631578947367</v>
          </cell>
          <cell r="O137">
            <v>42</v>
          </cell>
          <cell r="P137">
            <v>84</v>
          </cell>
          <cell r="Q137" t="str">
            <v>0-7</v>
          </cell>
          <cell r="R137">
            <v>15</v>
          </cell>
          <cell r="T137">
            <v>0.22619047619047619</v>
          </cell>
        </row>
        <row r="138">
          <cell r="A138">
            <v>511797</v>
          </cell>
          <cell r="B138" t="str">
            <v>Albion House Nursery</v>
          </cell>
          <cell r="K138">
            <v>3</v>
          </cell>
          <cell r="L138">
            <v>3</v>
          </cell>
          <cell r="M138">
            <v>15</v>
          </cell>
          <cell r="N138">
            <v>0.2</v>
          </cell>
        </row>
        <row r="139">
          <cell r="A139">
            <v>546425</v>
          </cell>
          <cell r="B139" t="str">
            <v>Butterwick Pre School Play Group</v>
          </cell>
          <cell r="K139">
            <v>10</v>
          </cell>
          <cell r="L139">
            <v>10</v>
          </cell>
          <cell r="M139">
            <v>52</v>
          </cell>
          <cell r="N139">
            <v>0.19230769230769232</v>
          </cell>
          <cell r="O139">
            <v>34</v>
          </cell>
          <cell r="P139">
            <v>68</v>
          </cell>
          <cell r="Q139" t="str">
            <v>0-7</v>
          </cell>
          <cell r="R139">
            <v>10</v>
          </cell>
          <cell r="S139">
            <v>18</v>
          </cell>
          <cell r="T139">
            <v>0.76470588235294112</v>
          </cell>
        </row>
        <row r="140">
          <cell r="A140">
            <v>582223</v>
          </cell>
          <cell r="B140" t="str">
            <v>Tydd St Marys Preschool</v>
          </cell>
          <cell r="K140">
            <v>4</v>
          </cell>
          <cell r="L140">
            <v>4</v>
          </cell>
          <cell r="M140">
            <v>21</v>
          </cell>
          <cell r="N140">
            <v>0.19047619047619047</v>
          </cell>
          <cell r="O140">
            <v>36</v>
          </cell>
          <cell r="P140">
            <v>72</v>
          </cell>
          <cell r="Q140" t="str">
            <v>2-7</v>
          </cell>
          <cell r="T140">
            <v>0.29166666666666669</v>
          </cell>
        </row>
        <row r="141">
          <cell r="A141">
            <v>546500</v>
          </cell>
          <cell r="B141" t="str">
            <v>Toddle In Day Nursery</v>
          </cell>
          <cell r="K141">
            <v>5</v>
          </cell>
          <cell r="L141">
            <v>5</v>
          </cell>
          <cell r="M141">
            <v>27</v>
          </cell>
          <cell r="N141">
            <v>0.18518518518518517</v>
          </cell>
        </row>
        <row r="142">
          <cell r="A142">
            <v>517206</v>
          </cell>
          <cell r="B142" t="str">
            <v>County Hospital Day Nursery (under 5's)</v>
          </cell>
          <cell r="K142">
            <v>5</v>
          </cell>
          <cell r="L142">
            <v>5</v>
          </cell>
          <cell r="M142">
            <v>29</v>
          </cell>
          <cell r="N142">
            <v>0.17241379310344829</v>
          </cell>
          <cell r="O142">
            <v>47</v>
          </cell>
          <cell r="P142">
            <v>94</v>
          </cell>
          <cell r="Q142" t="str">
            <v>0-4</v>
          </cell>
          <cell r="R142">
            <v>15</v>
          </cell>
          <cell r="T142">
            <v>0.30851063829787234</v>
          </cell>
        </row>
        <row r="143">
          <cell r="A143">
            <v>546460</v>
          </cell>
          <cell r="B143" t="str">
            <v>Bubbles Day Nursery</v>
          </cell>
          <cell r="K143">
            <v>6</v>
          </cell>
          <cell r="L143">
            <v>6</v>
          </cell>
          <cell r="M143">
            <v>35</v>
          </cell>
          <cell r="N143">
            <v>0.17142857142857143</v>
          </cell>
          <cell r="O143">
            <v>42</v>
          </cell>
          <cell r="P143">
            <v>84</v>
          </cell>
          <cell r="Q143" t="str">
            <v>0-4</v>
          </cell>
          <cell r="R143">
            <v>12</v>
          </cell>
          <cell r="T143">
            <v>0.41666666666666669</v>
          </cell>
        </row>
        <row r="144">
          <cell r="A144">
            <v>581309</v>
          </cell>
          <cell r="B144" t="str">
            <v>Sleaford Methodist Preschool</v>
          </cell>
          <cell r="K144">
            <v>6</v>
          </cell>
          <cell r="L144">
            <v>6</v>
          </cell>
          <cell r="M144">
            <v>35</v>
          </cell>
          <cell r="N144">
            <v>0.17142857142857143</v>
          </cell>
          <cell r="O144">
            <v>72</v>
          </cell>
          <cell r="P144">
            <v>144</v>
          </cell>
          <cell r="Q144" t="str">
            <v>0-7</v>
          </cell>
          <cell r="R144">
            <v>15</v>
          </cell>
          <cell r="T144">
            <v>0.24305555555555555</v>
          </cell>
        </row>
        <row r="145">
          <cell r="A145">
            <v>546525</v>
          </cell>
          <cell r="B145" t="str">
            <v>Woodside Children's Nursery</v>
          </cell>
          <cell r="K145">
            <v>5</v>
          </cell>
          <cell r="L145">
            <v>5</v>
          </cell>
          <cell r="M145">
            <v>30</v>
          </cell>
          <cell r="N145">
            <v>0.16666666666666666</v>
          </cell>
          <cell r="O145">
            <v>26</v>
          </cell>
          <cell r="P145">
            <v>52</v>
          </cell>
          <cell r="Q145" t="str">
            <v>2-4</v>
          </cell>
          <cell r="T145">
            <v>0.57692307692307687</v>
          </cell>
        </row>
        <row r="146">
          <cell r="A146">
            <v>546499</v>
          </cell>
          <cell r="B146" t="str">
            <v>Bailgate Pre-school</v>
          </cell>
          <cell r="K146">
            <v>4</v>
          </cell>
          <cell r="L146">
            <v>4</v>
          </cell>
          <cell r="M146">
            <v>24</v>
          </cell>
          <cell r="N146">
            <v>0.16666666666666666</v>
          </cell>
          <cell r="O146">
            <v>38</v>
          </cell>
          <cell r="P146">
            <v>76</v>
          </cell>
          <cell r="Q146" t="str">
            <v>0-7</v>
          </cell>
          <cell r="R146">
            <v>12</v>
          </cell>
          <cell r="T146">
            <v>0.31578947368421051</v>
          </cell>
        </row>
        <row r="147">
          <cell r="A147">
            <v>518761</v>
          </cell>
          <cell r="B147" t="str">
            <v>Nettleham Preschool</v>
          </cell>
          <cell r="K147">
            <v>4</v>
          </cell>
          <cell r="L147">
            <v>4</v>
          </cell>
          <cell r="M147">
            <v>24</v>
          </cell>
          <cell r="N147">
            <v>0.16666666666666666</v>
          </cell>
          <cell r="O147">
            <v>24</v>
          </cell>
          <cell r="P147">
            <v>48</v>
          </cell>
          <cell r="Q147" t="str">
            <v>2-4</v>
          </cell>
          <cell r="T147">
            <v>0.5</v>
          </cell>
        </row>
        <row r="148">
          <cell r="A148">
            <v>514553</v>
          </cell>
          <cell r="B148" t="str">
            <v>Pilgrim Hospital Day Nursery</v>
          </cell>
          <cell r="K148">
            <v>4</v>
          </cell>
          <cell r="L148">
            <v>4</v>
          </cell>
          <cell r="M148">
            <v>24</v>
          </cell>
          <cell r="N148">
            <v>0.16666666666666666</v>
          </cell>
          <cell r="O148">
            <v>30</v>
          </cell>
          <cell r="P148">
            <v>60</v>
          </cell>
          <cell r="Q148" t="str">
            <v>2-4</v>
          </cell>
          <cell r="T148">
            <v>0.4</v>
          </cell>
        </row>
        <row r="149">
          <cell r="A149">
            <v>511347</v>
          </cell>
          <cell r="B149" t="str">
            <v>St Thomas Children's Centre</v>
          </cell>
          <cell r="K149">
            <v>9</v>
          </cell>
          <cell r="L149">
            <v>9</v>
          </cell>
          <cell r="M149">
            <v>59</v>
          </cell>
          <cell r="N149">
            <v>0.15254237288135594</v>
          </cell>
          <cell r="O149">
            <v>59</v>
          </cell>
          <cell r="P149">
            <v>118</v>
          </cell>
          <cell r="Q149" t="str">
            <v>0-7</v>
          </cell>
          <cell r="R149">
            <v>18</v>
          </cell>
          <cell r="T149">
            <v>0.5</v>
          </cell>
        </row>
        <row r="150">
          <cell r="A150">
            <v>597015</v>
          </cell>
          <cell r="B150" t="str">
            <v>Stepping Stones Nursery</v>
          </cell>
          <cell r="K150">
            <v>5</v>
          </cell>
          <cell r="L150">
            <v>5</v>
          </cell>
          <cell r="M150">
            <v>33</v>
          </cell>
          <cell r="N150">
            <v>0.15151515151515152</v>
          </cell>
          <cell r="O150">
            <v>30</v>
          </cell>
          <cell r="P150">
            <v>60</v>
          </cell>
          <cell r="Q150" t="str">
            <v>2-4</v>
          </cell>
          <cell r="T150">
            <v>0.55000000000000004</v>
          </cell>
        </row>
        <row r="151">
          <cell r="A151">
            <v>546454</v>
          </cell>
          <cell r="B151" t="str">
            <v>Woodlands  Day Nursery</v>
          </cell>
          <cell r="K151">
            <v>3</v>
          </cell>
          <cell r="L151">
            <v>3</v>
          </cell>
          <cell r="M151">
            <v>20</v>
          </cell>
          <cell r="N151">
            <v>0.15</v>
          </cell>
          <cell r="O151">
            <v>50</v>
          </cell>
          <cell r="P151">
            <v>100</v>
          </cell>
          <cell r="Q151" t="str">
            <v>0-7</v>
          </cell>
          <cell r="R151">
            <v>12</v>
          </cell>
          <cell r="T151">
            <v>0.2</v>
          </cell>
        </row>
        <row r="152">
          <cell r="A152">
            <v>530216</v>
          </cell>
          <cell r="B152" t="str">
            <v>The Children's Garden Day Centre</v>
          </cell>
          <cell r="K152">
            <v>3</v>
          </cell>
          <cell r="L152">
            <v>3</v>
          </cell>
          <cell r="M152">
            <v>21</v>
          </cell>
          <cell r="N152">
            <v>0.14285714285714285</v>
          </cell>
          <cell r="O152">
            <v>30</v>
          </cell>
          <cell r="P152">
            <v>60</v>
          </cell>
          <cell r="Q152" t="str">
            <v>0-7</v>
          </cell>
          <cell r="R152">
            <v>21</v>
          </cell>
          <cell r="T152">
            <v>0.35</v>
          </cell>
        </row>
        <row r="153">
          <cell r="A153">
            <v>511648</v>
          </cell>
          <cell r="B153" t="str">
            <v>Rainbow Nursery</v>
          </cell>
          <cell r="K153">
            <v>5</v>
          </cell>
          <cell r="L153">
            <v>5</v>
          </cell>
          <cell r="M153">
            <v>37</v>
          </cell>
          <cell r="N153">
            <v>0.13513513513513514</v>
          </cell>
          <cell r="O153">
            <v>35</v>
          </cell>
          <cell r="P153">
            <v>70</v>
          </cell>
          <cell r="Q153" t="str">
            <v>0-4</v>
          </cell>
          <cell r="R153">
            <v>9</v>
          </cell>
          <cell r="T153">
            <v>0.52857142857142858</v>
          </cell>
        </row>
        <row r="154">
          <cell r="A154">
            <v>597011</v>
          </cell>
          <cell r="B154" t="str">
            <v>Rainbow  Day Nursery</v>
          </cell>
          <cell r="K154">
            <v>3</v>
          </cell>
          <cell r="L154">
            <v>3</v>
          </cell>
          <cell r="M154">
            <v>23</v>
          </cell>
          <cell r="N154">
            <v>0.13043478260869565</v>
          </cell>
          <cell r="O154">
            <v>49</v>
          </cell>
          <cell r="P154">
            <v>98</v>
          </cell>
          <cell r="Q154" t="str">
            <v>0-7</v>
          </cell>
          <cell r="R154">
            <v>9</v>
          </cell>
          <cell r="S154">
            <v>23</v>
          </cell>
          <cell r="T154">
            <v>0.23469387755102042</v>
          </cell>
        </row>
        <row r="155">
          <cell r="A155">
            <v>546498</v>
          </cell>
          <cell r="B155" t="str">
            <v>Angels Childcare</v>
          </cell>
          <cell r="K155">
            <v>2</v>
          </cell>
          <cell r="L155">
            <v>2</v>
          </cell>
          <cell r="M155">
            <v>16</v>
          </cell>
          <cell r="N155">
            <v>0.125</v>
          </cell>
          <cell r="O155">
            <v>32</v>
          </cell>
          <cell r="P155">
            <v>64</v>
          </cell>
          <cell r="Q155" t="str">
            <v>0-4</v>
          </cell>
          <cell r="R155">
            <v>9</v>
          </cell>
          <cell r="T155">
            <v>0.25</v>
          </cell>
        </row>
        <row r="156">
          <cell r="A156">
            <v>515115</v>
          </cell>
          <cell r="B156" t="str">
            <v>Busy Bees Preschool playgroup</v>
          </cell>
          <cell r="K156">
            <v>2</v>
          </cell>
          <cell r="L156">
            <v>2</v>
          </cell>
          <cell r="M156">
            <v>16</v>
          </cell>
          <cell r="N156">
            <v>0.125</v>
          </cell>
        </row>
        <row r="157">
          <cell r="A157">
            <v>546469</v>
          </cell>
          <cell r="B157" t="str">
            <v>Mon Ami Children's Nursery</v>
          </cell>
          <cell r="K157">
            <v>2</v>
          </cell>
          <cell r="L157">
            <v>2</v>
          </cell>
          <cell r="M157">
            <v>16</v>
          </cell>
          <cell r="N157">
            <v>0.125</v>
          </cell>
          <cell r="O157">
            <v>20</v>
          </cell>
          <cell r="P157">
            <v>40</v>
          </cell>
          <cell r="Q157" t="str">
            <v>2-4</v>
          </cell>
          <cell r="T157">
            <v>0.4</v>
          </cell>
        </row>
        <row r="158">
          <cell r="A158">
            <v>514127</v>
          </cell>
          <cell r="B158" t="str">
            <v>Witham Hall Preparatory School</v>
          </cell>
          <cell r="D158">
            <v>1</v>
          </cell>
          <cell r="L158">
            <v>1</v>
          </cell>
          <cell r="M158">
            <v>8</v>
          </cell>
          <cell r="N158">
            <v>0.125</v>
          </cell>
        </row>
        <row r="159">
          <cell r="A159">
            <v>546441</v>
          </cell>
          <cell r="B159" t="str">
            <v>St George’s Square Nursery</v>
          </cell>
          <cell r="K159">
            <v>5</v>
          </cell>
          <cell r="L159">
            <v>5</v>
          </cell>
          <cell r="M159">
            <v>41</v>
          </cell>
          <cell r="N159">
            <v>0.12195121951219512</v>
          </cell>
        </row>
        <row r="160">
          <cell r="A160">
            <v>546504</v>
          </cell>
          <cell r="B160" t="str">
            <v>Red Hen Children's Day Nursery</v>
          </cell>
          <cell r="K160">
            <v>4</v>
          </cell>
          <cell r="L160">
            <v>4</v>
          </cell>
          <cell r="M160">
            <v>33</v>
          </cell>
          <cell r="N160">
            <v>0.12121212121212122</v>
          </cell>
        </row>
        <row r="161">
          <cell r="A161">
            <v>519970</v>
          </cell>
          <cell r="B161" t="str">
            <v>Puddle ducks Day Nursery</v>
          </cell>
          <cell r="K161">
            <v>3</v>
          </cell>
          <cell r="L161">
            <v>3</v>
          </cell>
          <cell r="M161">
            <v>25</v>
          </cell>
          <cell r="N161">
            <v>0.12</v>
          </cell>
          <cell r="O161">
            <v>72</v>
          </cell>
          <cell r="P161">
            <v>144</v>
          </cell>
          <cell r="Q161" t="str">
            <v>0-7</v>
          </cell>
          <cell r="R161">
            <v>18</v>
          </cell>
          <cell r="T161">
            <v>0.1736111111111111</v>
          </cell>
        </row>
        <row r="162">
          <cell r="A162">
            <v>523755</v>
          </cell>
          <cell r="B162" t="str">
            <v>St Mary's Prep School</v>
          </cell>
          <cell r="D162">
            <v>5</v>
          </cell>
          <cell r="L162">
            <v>5</v>
          </cell>
          <cell r="M162">
            <v>42</v>
          </cell>
          <cell r="N162">
            <v>0.11904761904761904</v>
          </cell>
        </row>
        <row r="163">
          <cell r="A163">
            <v>511050</v>
          </cell>
          <cell r="B163" t="str">
            <v>Handel House Prep. School</v>
          </cell>
          <cell r="D163">
            <v>2</v>
          </cell>
          <cell r="L163">
            <v>2</v>
          </cell>
          <cell r="M163">
            <v>17</v>
          </cell>
          <cell r="N163">
            <v>0.11764705882352941</v>
          </cell>
        </row>
        <row r="164">
          <cell r="A164">
            <v>580702</v>
          </cell>
          <cell r="B164" t="str">
            <v>Headstart Nursery Grantham</v>
          </cell>
          <cell r="K164">
            <v>11</v>
          </cell>
          <cell r="L164">
            <v>11</v>
          </cell>
          <cell r="M164">
            <v>97</v>
          </cell>
          <cell r="N164">
            <v>0.1134020618556701</v>
          </cell>
        </row>
        <row r="165">
          <cell r="A165">
            <v>517705</v>
          </cell>
          <cell r="B165" t="str">
            <v>Acorn Pre-school (Whaplode)</v>
          </cell>
          <cell r="K165">
            <v>4</v>
          </cell>
          <cell r="L165">
            <v>4</v>
          </cell>
          <cell r="M165">
            <v>36</v>
          </cell>
          <cell r="N165">
            <v>0.1111111111111111</v>
          </cell>
          <cell r="O165">
            <v>145</v>
          </cell>
          <cell r="P165">
            <v>290</v>
          </cell>
          <cell r="Q165" t="str">
            <v>0-7</v>
          </cell>
          <cell r="R165">
            <v>39</v>
          </cell>
          <cell r="T165">
            <v>0.12413793103448276</v>
          </cell>
        </row>
        <row r="166">
          <cell r="A166">
            <v>517560</v>
          </cell>
          <cell r="B166" t="str">
            <v>Horncastle Community Play Group</v>
          </cell>
          <cell r="K166">
            <v>2</v>
          </cell>
          <cell r="L166">
            <v>2</v>
          </cell>
          <cell r="M166">
            <v>18</v>
          </cell>
          <cell r="N166">
            <v>0.1111111111111111</v>
          </cell>
        </row>
        <row r="167">
          <cell r="A167">
            <v>530625</v>
          </cell>
          <cell r="B167" t="str">
            <v>Rainbow Play Group</v>
          </cell>
          <cell r="K167">
            <v>2</v>
          </cell>
          <cell r="L167">
            <v>2</v>
          </cell>
          <cell r="M167">
            <v>18</v>
          </cell>
          <cell r="N167">
            <v>0.1111111111111111</v>
          </cell>
          <cell r="O167">
            <v>20</v>
          </cell>
          <cell r="P167">
            <v>40</v>
          </cell>
          <cell r="Q167" t="str">
            <v>2-4</v>
          </cell>
          <cell r="T167">
            <v>0.45</v>
          </cell>
        </row>
        <row r="168">
          <cell r="A168">
            <v>546540</v>
          </cell>
          <cell r="B168" t="str">
            <v>Start Right Ancaster</v>
          </cell>
          <cell r="K168">
            <v>1</v>
          </cell>
          <cell r="L168">
            <v>1</v>
          </cell>
          <cell r="M168">
            <v>9</v>
          </cell>
          <cell r="N168">
            <v>0.1111111111111111</v>
          </cell>
          <cell r="O168">
            <v>35</v>
          </cell>
          <cell r="P168">
            <v>70</v>
          </cell>
          <cell r="Q168" t="str">
            <v>2-4</v>
          </cell>
          <cell r="T168">
            <v>0.12857142857142856</v>
          </cell>
        </row>
        <row r="169">
          <cell r="A169">
            <v>546497</v>
          </cell>
          <cell r="B169" t="str">
            <v>Gipsy Bridge Preschool</v>
          </cell>
          <cell r="K169">
            <v>3</v>
          </cell>
          <cell r="L169">
            <v>3</v>
          </cell>
          <cell r="M169">
            <v>28</v>
          </cell>
          <cell r="N169">
            <v>0.10714285714285714</v>
          </cell>
        </row>
        <row r="170">
          <cell r="A170">
            <v>546488</v>
          </cell>
          <cell r="B170" t="str">
            <v>Timtin Playgroup and Kids Club</v>
          </cell>
          <cell r="K170">
            <v>2</v>
          </cell>
          <cell r="L170">
            <v>2</v>
          </cell>
          <cell r="M170">
            <v>19</v>
          </cell>
          <cell r="N170">
            <v>0.10526315789473684</v>
          </cell>
          <cell r="O170">
            <v>34</v>
          </cell>
          <cell r="P170">
            <v>68</v>
          </cell>
          <cell r="Q170" t="str">
            <v>2-7</v>
          </cell>
          <cell r="T170">
            <v>0.27941176470588236</v>
          </cell>
        </row>
        <row r="171">
          <cell r="A171">
            <v>546411</v>
          </cell>
          <cell r="B171" t="str">
            <v>Teddy Bears kindergarten</v>
          </cell>
          <cell r="K171">
            <v>1</v>
          </cell>
          <cell r="L171">
            <v>1</v>
          </cell>
          <cell r="M171">
            <v>10</v>
          </cell>
          <cell r="N171">
            <v>0.1</v>
          </cell>
          <cell r="O171">
            <v>24</v>
          </cell>
          <cell r="P171">
            <v>48</v>
          </cell>
          <cell r="Q171" t="str">
            <v>2-7</v>
          </cell>
          <cell r="T171">
            <v>0.20833333333333334</v>
          </cell>
        </row>
        <row r="172">
          <cell r="A172">
            <v>524422</v>
          </cell>
          <cell r="B172" t="str">
            <v>345 Pre-School Playgroup</v>
          </cell>
          <cell r="K172">
            <v>3</v>
          </cell>
          <cell r="L172">
            <v>3</v>
          </cell>
          <cell r="M172">
            <v>31</v>
          </cell>
          <cell r="N172">
            <v>9.6774193548387094E-2</v>
          </cell>
        </row>
        <row r="173">
          <cell r="A173">
            <v>546544</v>
          </cell>
          <cell r="B173" t="str">
            <v>Honey Pot Day Nusery and Pre School</v>
          </cell>
          <cell r="K173">
            <v>2</v>
          </cell>
          <cell r="L173">
            <v>2</v>
          </cell>
          <cell r="M173">
            <v>21</v>
          </cell>
          <cell r="N173">
            <v>9.5238095238095233E-2</v>
          </cell>
        </row>
        <row r="174">
          <cell r="A174">
            <v>530214</v>
          </cell>
          <cell r="B174" t="str">
            <v>Twiglets Day Nursery</v>
          </cell>
          <cell r="K174">
            <v>2</v>
          </cell>
          <cell r="L174">
            <v>2</v>
          </cell>
          <cell r="M174">
            <v>21</v>
          </cell>
          <cell r="N174">
            <v>9.5238095238095233E-2</v>
          </cell>
        </row>
        <row r="175">
          <cell r="A175">
            <v>522691</v>
          </cell>
          <cell r="B175" t="str">
            <v>Swineshead Pre school Play Group</v>
          </cell>
          <cell r="K175">
            <v>5</v>
          </cell>
          <cell r="L175">
            <v>5</v>
          </cell>
          <cell r="M175">
            <v>55</v>
          </cell>
          <cell r="N175">
            <v>9.0909090909090912E-2</v>
          </cell>
        </row>
        <row r="176">
          <cell r="A176">
            <v>582850</v>
          </cell>
          <cell r="B176" t="str">
            <v>Beckside Preschool</v>
          </cell>
          <cell r="K176">
            <v>3</v>
          </cell>
          <cell r="L176">
            <v>3</v>
          </cell>
          <cell r="M176">
            <v>33</v>
          </cell>
          <cell r="N176">
            <v>9.0909090909090912E-2</v>
          </cell>
          <cell r="O176">
            <v>18</v>
          </cell>
          <cell r="P176">
            <v>36</v>
          </cell>
          <cell r="Q176" t="str">
            <v>2-7</v>
          </cell>
          <cell r="T176">
            <v>0.91666666666666663</v>
          </cell>
        </row>
        <row r="177">
          <cell r="A177">
            <v>546495</v>
          </cell>
          <cell r="B177" t="str">
            <v>Puddle ducks Preschool</v>
          </cell>
          <cell r="K177">
            <v>2</v>
          </cell>
          <cell r="L177">
            <v>2</v>
          </cell>
          <cell r="M177">
            <v>22</v>
          </cell>
          <cell r="N177">
            <v>9.0909090909090912E-2</v>
          </cell>
          <cell r="O177">
            <v>30</v>
          </cell>
          <cell r="P177">
            <v>60</v>
          </cell>
          <cell r="Q177" t="str">
            <v>2-4</v>
          </cell>
          <cell r="T177">
            <v>0.36666666666666664</v>
          </cell>
        </row>
        <row r="178">
          <cell r="A178">
            <v>546453</v>
          </cell>
          <cell r="B178" t="str">
            <v>Castlegate Day Nursery</v>
          </cell>
          <cell r="K178">
            <v>1</v>
          </cell>
          <cell r="L178">
            <v>1</v>
          </cell>
          <cell r="M178">
            <v>11</v>
          </cell>
          <cell r="N178">
            <v>9.0909090909090912E-2</v>
          </cell>
          <cell r="O178">
            <v>20</v>
          </cell>
          <cell r="P178">
            <v>40</v>
          </cell>
          <cell r="Q178" t="str">
            <v>2-7</v>
          </cell>
          <cell r="T178">
            <v>0.27500000000000002</v>
          </cell>
        </row>
        <row r="179">
          <cell r="A179">
            <v>524155</v>
          </cell>
          <cell r="B179" t="str">
            <v>Happy Days Preschool</v>
          </cell>
          <cell r="K179">
            <v>1</v>
          </cell>
          <cell r="L179">
            <v>1</v>
          </cell>
          <cell r="M179">
            <v>11</v>
          </cell>
          <cell r="N179">
            <v>9.0909090909090912E-2</v>
          </cell>
        </row>
        <row r="180">
          <cell r="A180">
            <v>582060</v>
          </cell>
          <cell r="B180" t="str">
            <v>Lilliput Day Nursery Spalding</v>
          </cell>
          <cell r="K180">
            <v>3</v>
          </cell>
          <cell r="L180">
            <v>3</v>
          </cell>
          <cell r="M180">
            <v>34</v>
          </cell>
          <cell r="N180">
            <v>8.8235294117647065E-2</v>
          </cell>
        </row>
        <row r="181">
          <cell r="A181">
            <v>511317</v>
          </cell>
          <cell r="B181" t="str">
            <v>The Rocking Horse Nursery</v>
          </cell>
          <cell r="K181">
            <v>2</v>
          </cell>
          <cell r="L181">
            <v>2</v>
          </cell>
          <cell r="M181">
            <v>24</v>
          </cell>
          <cell r="N181">
            <v>8.3333333333333329E-2</v>
          </cell>
        </row>
        <row r="182">
          <cell r="A182">
            <v>515356</v>
          </cell>
          <cell r="B182" t="str">
            <v>Cinder Ash Preschool</v>
          </cell>
          <cell r="K182">
            <v>1</v>
          </cell>
          <cell r="L182">
            <v>1</v>
          </cell>
          <cell r="M182">
            <v>12</v>
          </cell>
          <cell r="N182">
            <v>8.3333333333333329E-2</v>
          </cell>
          <cell r="O182">
            <v>48</v>
          </cell>
          <cell r="P182">
            <v>96</v>
          </cell>
          <cell r="Q182" t="str">
            <v>0-4</v>
          </cell>
          <cell r="R182">
            <v>19</v>
          </cell>
          <cell r="T182">
            <v>0.125</v>
          </cell>
        </row>
        <row r="183">
          <cell r="A183">
            <v>546508</v>
          </cell>
          <cell r="B183" t="str">
            <v>Digby Village Play group</v>
          </cell>
          <cell r="K183">
            <v>1</v>
          </cell>
          <cell r="L183">
            <v>1</v>
          </cell>
          <cell r="M183">
            <v>12</v>
          </cell>
          <cell r="N183">
            <v>8.3333333333333329E-2</v>
          </cell>
        </row>
        <row r="184">
          <cell r="A184">
            <v>546538</v>
          </cell>
          <cell r="B184" t="str">
            <v>Wellies</v>
          </cell>
          <cell r="K184">
            <v>1</v>
          </cell>
          <cell r="L184">
            <v>1</v>
          </cell>
          <cell r="M184">
            <v>12</v>
          </cell>
          <cell r="N184">
            <v>8.3333333333333329E-2</v>
          </cell>
        </row>
        <row r="185">
          <cell r="A185">
            <v>597003</v>
          </cell>
          <cell r="B185" t="str">
            <v>Welton PreSchool</v>
          </cell>
          <cell r="K185">
            <v>1</v>
          </cell>
          <cell r="L185">
            <v>1</v>
          </cell>
          <cell r="M185">
            <v>12</v>
          </cell>
          <cell r="N185">
            <v>8.3333333333333329E-2</v>
          </cell>
        </row>
        <row r="186">
          <cell r="A186">
            <v>546496</v>
          </cell>
          <cell r="B186" t="str">
            <v>Carlton Day Nursery (under 5's)</v>
          </cell>
          <cell r="K186">
            <v>3</v>
          </cell>
          <cell r="L186">
            <v>3</v>
          </cell>
          <cell r="M186">
            <v>37</v>
          </cell>
          <cell r="N186">
            <v>8.1081081081081086E-2</v>
          </cell>
        </row>
        <row r="187">
          <cell r="A187">
            <v>522694</v>
          </cell>
          <cell r="B187" t="str">
            <v>Busy Bees Playgroup</v>
          </cell>
          <cell r="K187">
            <v>1</v>
          </cell>
          <cell r="L187">
            <v>1</v>
          </cell>
          <cell r="M187">
            <v>15</v>
          </cell>
          <cell r="N187">
            <v>6.6666666666666666E-2</v>
          </cell>
          <cell r="O187">
            <v>64</v>
          </cell>
          <cell r="P187">
            <v>128</v>
          </cell>
          <cell r="Q187" t="str">
            <v>0-7</v>
          </cell>
          <cell r="R187">
            <v>21</v>
          </cell>
          <cell r="T187">
            <v>0.1171875</v>
          </cell>
        </row>
        <row r="188">
          <cell r="A188">
            <v>546448</v>
          </cell>
          <cell r="B188" t="str">
            <v>Marsh Childcare Centre</v>
          </cell>
          <cell r="K188">
            <v>1</v>
          </cell>
          <cell r="L188">
            <v>1</v>
          </cell>
          <cell r="M188">
            <v>15</v>
          </cell>
          <cell r="N188">
            <v>6.6666666666666666E-2</v>
          </cell>
        </row>
        <row r="189">
          <cell r="A189">
            <v>546477</v>
          </cell>
          <cell r="B189" t="str">
            <v>Westfield Farm Day Nursery</v>
          </cell>
          <cell r="K189">
            <v>1</v>
          </cell>
          <cell r="L189">
            <v>1</v>
          </cell>
          <cell r="M189">
            <v>15</v>
          </cell>
          <cell r="N189">
            <v>6.6666666666666666E-2</v>
          </cell>
        </row>
        <row r="190">
          <cell r="A190">
            <v>582439</v>
          </cell>
          <cell r="B190" t="str">
            <v>Holy Trinity Preschool</v>
          </cell>
          <cell r="K190">
            <v>3</v>
          </cell>
          <cell r="L190">
            <v>3</v>
          </cell>
          <cell r="M190">
            <v>47</v>
          </cell>
          <cell r="N190">
            <v>6.3829787234042548E-2</v>
          </cell>
        </row>
        <row r="191">
          <cell r="A191">
            <v>9252114</v>
          </cell>
          <cell r="B191" t="str">
            <v>Spalding Monkshouse Primary School</v>
          </cell>
          <cell r="F191">
            <v>3.0952380952380949</v>
          </cell>
          <cell r="L191">
            <v>3.0952380952380949</v>
          </cell>
          <cell r="M191">
            <v>52</v>
          </cell>
          <cell r="N191">
            <v>5.9523809523809521E-2</v>
          </cell>
          <cell r="O191">
            <v>32</v>
          </cell>
          <cell r="P191">
            <v>64</v>
          </cell>
          <cell r="Q191" t="str">
            <v>2-4</v>
          </cell>
          <cell r="T191">
            <v>0.8125</v>
          </cell>
        </row>
        <row r="192">
          <cell r="A192">
            <v>518763</v>
          </cell>
          <cell r="B192" t="str">
            <v>Meynell Kindergarten</v>
          </cell>
          <cell r="K192">
            <v>3</v>
          </cell>
          <cell r="L192">
            <v>3</v>
          </cell>
          <cell r="M192">
            <v>51</v>
          </cell>
          <cell r="N192">
            <v>5.8823529411764705E-2</v>
          </cell>
          <cell r="O192">
            <v>52</v>
          </cell>
          <cell r="P192">
            <v>52</v>
          </cell>
          <cell r="T192">
            <v>0.98076923076923073</v>
          </cell>
        </row>
        <row r="193">
          <cell r="A193">
            <v>546536</v>
          </cell>
          <cell r="B193" t="str">
            <v>Munchkins Kindergarten</v>
          </cell>
          <cell r="K193">
            <v>1</v>
          </cell>
          <cell r="L193">
            <v>1</v>
          </cell>
          <cell r="M193">
            <v>17</v>
          </cell>
          <cell r="N193">
            <v>5.8823529411764705E-2</v>
          </cell>
          <cell r="O193">
            <v>48</v>
          </cell>
          <cell r="P193">
            <v>96</v>
          </cell>
          <cell r="Q193" t="str">
            <v>0-7</v>
          </cell>
          <cell r="T193">
            <v>0.17708333333333334</v>
          </cell>
        </row>
        <row r="194">
          <cell r="A194">
            <v>515191</v>
          </cell>
          <cell r="B194" t="str">
            <v>Lincoln Minster Prep. School</v>
          </cell>
          <cell r="D194">
            <v>2</v>
          </cell>
          <cell r="L194">
            <v>2</v>
          </cell>
          <cell r="M194">
            <v>35</v>
          </cell>
          <cell r="N194">
            <v>5.7142857142857141E-2</v>
          </cell>
        </row>
        <row r="195">
          <cell r="A195">
            <v>9252057</v>
          </cell>
          <cell r="B195" t="str">
            <v>North Hykeham Fosse Way Primary School</v>
          </cell>
          <cell r="F195">
            <v>2.8977272727272725</v>
          </cell>
          <cell r="L195">
            <v>2.8977272727272725</v>
          </cell>
          <cell r="M195">
            <v>51</v>
          </cell>
          <cell r="N195">
            <v>5.6818181818181816E-2</v>
          </cell>
        </row>
        <row r="196">
          <cell r="A196">
            <v>546512</v>
          </cell>
          <cell r="B196" t="str">
            <v>Little Leaps</v>
          </cell>
          <cell r="K196">
            <v>1</v>
          </cell>
          <cell r="L196">
            <v>1</v>
          </cell>
          <cell r="M196">
            <v>18</v>
          </cell>
          <cell r="N196">
            <v>5.5555555555555552E-2</v>
          </cell>
          <cell r="O196">
            <v>52</v>
          </cell>
          <cell r="P196">
            <v>52</v>
          </cell>
          <cell r="T196">
            <v>0.34615384615384615</v>
          </cell>
        </row>
        <row r="197">
          <cell r="A197">
            <v>521717</v>
          </cell>
          <cell r="B197" t="str">
            <v>Sleaford New Life Preschool</v>
          </cell>
          <cell r="K197">
            <v>2</v>
          </cell>
          <cell r="L197">
            <v>2</v>
          </cell>
          <cell r="M197">
            <v>39</v>
          </cell>
          <cell r="N197">
            <v>5.128205128205128E-2</v>
          </cell>
        </row>
        <row r="198">
          <cell r="A198">
            <v>597004</v>
          </cell>
          <cell r="B198" t="str">
            <v>Ruskington Rascals Playgroup</v>
          </cell>
          <cell r="K198">
            <v>2</v>
          </cell>
          <cell r="L198">
            <v>2</v>
          </cell>
          <cell r="M198">
            <v>40</v>
          </cell>
          <cell r="N198">
            <v>0.05</v>
          </cell>
          <cell r="O198">
            <v>24</v>
          </cell>
          <cell r="P198">
            <v>48</v>
          </cell>
          <cell r="Q198" t="str">
            <v>2-4</v>
          </cell>
          <cell r="T198">
            <v>0.83333333333333337</v>
          </cell>
        </row>
        <row r="199">
          <cell r="A199">
            <v>585591</v>
          </cell>
          <cell r="B199" t="str">
            <v>Sunflowers Nursery School</v>
          </cell>
          <cell r="K199">
            <v>2</v>
          </cell>
          <cell r="L199">
            <v>2</v>
          </cell>
          <cell r="M199">
            <v>40</v>
          </cell>
          <cell r="N199">
            <v>0.05</v>
          </cell>
          <cell r="O199">
            <v>38</v>
          </cell>
          <cell r="P199">
            <v>76</v>
          </cell>
          <cell r="Q199" t="str">
            <v>2-4</v>
          </cell>
          <cell r="T199">
            <v>0.52631578947368418</v>
          </cell>
        </row>
        <row r="200">
          <cell r="A200">
            <v>9252095</v>
          </cell>
          <cell r="B200" t="str">
            <v>Long Sutton Primary</v>
          </cell>
          <cell r="F200">
            <v>1.85</v>
          </cell>
          <cell r="L200">
            <v>1.85</v>
          </cell>
          <cell r="M200">
            <v>37</v>
          </cell>
          <cell r="N200">
            <v>0.05</v>
          </cell>
          <cell r="O200">
            <v>50</v>
          </cell>
          <cell r="P200">
            <v>100</v>
          </cell>
          <cell r="Q200" t="str">
            <v>0-4</v>
          </cell>
          <cell r="R200">
            <v>14</v>
          </cell>
          <cell r="T200">
            <v>0.37</v>
          </cell>
        </row>
        <row r="201">
          <cell r="A201">
            <v>514039</v>
          </cell>
          <cell r="B201" t="str">
            <v>Bardney Play Group</v>
          </cell>
          <cell r="K201">
            <v>1</v>
          </cell>
          <cell r="L201">
            <v>1</v>
          </cell>
          <cell r="M201">
            <v>20</v>
          </cell>
          <cell r="N201">
            <v>0.05</v>
          </cell>
          <cell r="O201">
            <v>52</v>
          </cell>
          <cell r="P201">
            <v>52</v>
          </cell>
          <cell r="T201">
            <v>0.38461538461538464</v>
          </cell>
        </row>
        <row r="202">
          <cell r="A202">
            <v>546430</v>
          </cell>
          <cell r="B202" t="str">
            <v>Swallows Nest Preschool</v>
          </cell>
          <cell r="K202">
            <v>1</v>
          </cell>
          <cell r="L202">
            <v>1</v>
          </cell>
          <cell r="M202">
            <v>21</v>
          </cell>
          <cell r="N202">
            <v>4.7619047619047616E-2</v>
          </cell>
        </row>
        <row r="203">
          <cell r="A203">
            <v>546405</v>
          </cell>
          <cell r="B203" t="str">
            <v>Hilltop Day Nursery</v>
          </cell>
          <cell r="K203">
            <v>2</v>
          </cell>
          <cell r="L203">
            <v>2</v>
          </cell>
          <cell r="M203">
            <v>43</v>
          </cell>
          <cell r="N203">
            <v>4.6511627906976744E-2</v>
          </cell>
        </row>
        <row r="204">
          <cell r="A204">
            <v>9252224</v>
          </cell>
          <cell r="B204" t="str">
            <v>Ruskington Winchelsea Primary School</v>
          </cell>
          <cell r="F204">
            <v>0.59090909090909094</v>
          </cell>
          <cell r="L204">
            <v>0.59090909090909094</v>
          </cell>
          <cell r="M204">
            <v>13</v>
          </cell>
          <cell r="N204">
            <v>4.5454545454545456E-2</v>
          </cell>
          <cell r="O204">
            <v>59</v>
          </cell>
          <cell r="P204">
            <v>118</v>
          </cell>
          <cell r="Q204" t="str">
            <v>0-4</v>
          </cell>
          <cell r="R204">
            <v>18</v>
          </cell>
          <cell r="T204">
            <v>0.11016949152542373</v>
          </cell>
        </row>
        <row r="205">
          <cell r="A205">
            <v>513161</v>
          </cell>
          <cell r="B205" t="str">
            <v>Rainbow Preschool</v>
          </cell>
          <cell r="K205">
            <v>1</v>
          </cell>
          <cell r="L205">
            <v>1</v>
          </cell>
          <cell r="M205">
            <v>23</v>
          </cell>
          <cell r="N205">
            <v>4.3478260869565216E-2</v>
          </cell>
          <cell r="O205">
            <v>26</v>
          </cell>
          <cell r="P205">
            <v>26</v>
          </cell>
          <cell r="T205">
            <v>0.88461538461538458</v>
          </cell>
        </row>
        <row r="206">
          <cell r="A206">
            <v>517645</v>
          </cell>
          <cell r="B206" t="str">
            <v>Jacdor Community Preschool</v>
          </cell>
          <cell r="K206">
            <v>2</v>
          </cell>
          <cell r="L206">
            <v>2</v>
          </cell>
          <cell r="M206">
            <v>47</v>
          </cell>
          <cell r="N206">
            <v>4.2553191489361701E-2</v>
          </cell>
        </row>
        <row r="207">
          <cell r="A207">
            <v>546548</v>
          </cell>
          <cell r="B207" t="str">
            <v>Castlegate Montessori Nursery</v>
          </cell>
          <cell r="K207">
            <v>1</v>
          </cell>
          <cell r="L207">
            <v>1</v>
          </cell>
          <cell r="M207">
            <v>24</v>
          </cell>
          <cell r="N207">
            <v>4.1666666666666664E-2</v>
          </cell>
          <cell r="O207">
            <v>32</v>
          </cell>
          <cell r="P207">
            <v>64</v>
          </cell>
          <cell r="Q207" t="str">
            <v>2-4</v>
          </cell>
          <cell r="T207">
            <v>0.375</v>
          </cell>
        </row>
        <row r="208">
          <cell r="A208">
            <v>546409</v>
          </cell>
          <cell r="B208" t="str">
            <v>Honeypot Preschool</v>
          </cell>
          <cell r="K208">
            <v>1</v>
          </cell>
          <cell r="L208">
            <v>1</v>
          </cell>
          <cell r="M208">
            <v>24</v>
          </cell>
          <cell r="N208">
            <v>4.1666666666666664E-2</v>
          </cell>
        </row>
        <row r="209">
          <cell r="A209">
            <v>514428</v>
          </cell>
          <cell r="B209" t="str">
            <v>Sunshine Playgroup</v>
          </cell>
          <cell r="K209">
            <v>1</v>
          </cell>
          <cell r="L209">
            <v>1</v>
          </cell>
          <cell r="M209">
            <v>24</v>
          </cell>
          <cell r="N209">
            <v>4.1666666666666664E-2</v>
          </cell>
        </row>
        <row r="210">
          <cell r="A210">
            <v>513238</v>
          </cell>
          <cell r="B210" t="str">
            <v>Early Bird Nursery</v>
          </cell>
          <cell r="K210">
            <v>3</v>
          </cell>
          <cell r="L210">
            <v>3</v>
          </cell>
          <cell r="M210">
            <v>73</v>
          </cell>
          <cell r="N210">
            <v>4.1095890410958902E-2</v>
          </cell>
        </row>
        <row r="211">
          <cell r="A211">
            <v>519681</v>
          </cell>
          <cell r="B211" t="str">
            <v>Tetney Preschool playgroup</v>
          </cell>
          <cell r="K211">
            <v>1</v>
          </cell>
          <cell r="L211">
            <v>1</v>
          </cell>
          <cell r="M211">
            <v>25</v>
          </cell>
          <cell r="N211">
            <v>0.04</v>
          </cell>
        </row>
        <row r="212">
          <cell r="A212">
            <v>546442</v>
          </cell>
          <cell r="B212" t="str">
            <v>Redcroft Day Nursery</v>
          </cell>
          <cell r="K212">
            <v>2</v>
          </cell>
          <cell r="L212">
            <v>2</v>
          </cell>
          <cell r="M212">
            <v>52</v>
          </cell>
          <cell r="N212">
            <v>3.8461538461538464E-2</v>
          </cell>
        </row>
        <row r="213">
          <cell r="A213">
            <v>546483</v>
          </cell>
          <cell r="B213" t="str">
            <v>St Nicholas Day Nursery</v>
          </cell>
          <cell r="K213">
            <v>1</v>
          </cell>
          <cell r="L213">
            <v>1</v>
          </cell>
          <cell r="M213">
            <v>26</v>
          </cell>
          <cell r="N213">
            <v>3.8461538461538464E-2</v>
          </cell>
          <cell r="O213">
            <v>48</v>
          </cell>
          <cell r="P213">
            <v>96</v>
          </cell>
          <cell r="Q213" t="str">
            <v>0-7</v>
          </cell>
          <cell r="R213">
            <v>12</v>
          </cell>
          <cell r="T213">
            <v>0.27083333333333331</v>
          </cell>
        </row>
        <row r="214">
          <cell r="A214">
            <v>511568</v>
          </cell>
          <cell r="B214" t="str">
            <v>Bright Sparks Kindergarten</v>
          </cell>
          <cell r="K214">
            <v>1</v>
          </cell>
          <cell r="L214">
            <v>1</v>
          </cell>
          <cell r="M214">
            <v>27</v>
          </cell>
          <cell r="N214">
            <v>3.7037037037037035E-2</v>
          </cell>
        </row>
        <row r="215">
          <cell r="A215">
            <v>515011</v>
          </cell>
          <cell r="B215" t="str">
            <v>William Farr Preschool</v>
          </cell>
          <cell r="K215">
            <v>1</v>
          </cell>
          <cell r="L215">
            <v>1</v>
          </cell>
          <cell r="M215">
            <v>29</v>
          </cell>
          <cell r="N215">
            <v>3.4482758620689655E-2</v>
          </cell>
        </row>
        <row r="216">
          <cell r="A216">
            <v>546501</v>
          </cell>
          <cell r="B216" t="str">
            <v>St Hughs Preschool Playcentre</v>
          </cell>
          <cell r="K216">
            <v>1</v>
          </cell>
          <cell r="L216">
            <v>1</v>
          </cell>
          <cell r="M216">
            <v>31</v>
          </cell>
          <cell r="N216">
            <v>3.2258064516129031E-2</v>
          </cell>
        </row>
        <row r="217">
          <cell r="A217">
            <v>515387</v>
          </cell>
          <cell r="B217" t="str">
            <v>Barrowby Preschool</v>
          </cell>
          <cell r="K217">
            <v>1</v>
          </cell>
          <cell r="L217">
            <v>1</v>
          </cell>
          <cell r="M217">
            <v>32</v>
          </cell>
          <cell r="N217">
            <v>3.125E-2</v>
          </cell>
        </row>
        <row r="218">
          <cell r="A218">
            <v>585063</v>
          </cell>
          <cell r="B218" t="str">
            <v>Cherry Tots Pre-school Play Group</v>
          </cell>
          <cell r="K218">
            <v>1</v>
          </cell>
          <cell r="L218">
            <v>1</v>
          </cell>
          <cell r="M218">
            <v>32</v>
          </cell>
          <cell r="N218">
            <v>3.125E-2</v>
          </cell>
        </row>
        <row r="219">
          <cell r="A219">
            <v>512141</v>
          </cell>
          <cell r="B219" t="str">
            <v>Little Scallywags Skellingthorpe</v>
          </cell>
          <cell r="K219">
            <v>1</v>
          </cell>
          <cell r="L219">
            <v>1</v>
          </cell>
          <cell r="M219">
            <v>32</v>
          </cell>
          <cell r="N219">
            <v>3.125E-2</v>
          </cell>
        </row>
        <row r="220">
          <cell r="A220">
            <v>524320</v>
          </cell>
          <cell r="B220" t="str">
            <v>White Gate House kindergarten</v>
          </cell>
          <cell r="K220">
            <v>1</v>
          </cell>
          <cell r="L220">
            <v>1</v>
          </cell>
          <cell r="M220">
            <v>34</v>
          </cell>
          <cell r="N220">
            <v>2.9411764705882353E-2</v>
          </cell>
        </row>
        <row r="221">
          <cell r="A221">
            <v>530215</v>
          </cell>
          <cell r="B221" t="str">
            <v>Sleaford Day Nursery</v>
          </cell>
          <cell r="K221">
            <v>1</v>
          </cell>
          <cell r="L221">
            <v>1</v>
          </cell>
          <cell r="M221">
            <v>35</v>
          </cell>
          <cell r="N221">
            <v>2.8571428571428571E-2</v>
          </cell>
        </row>
        <row r="222">
          <cell r="A222">
            <v>512509</v>
          </cell>
          <cell r="B222" t="str">
            <v>Bassingham Preschool</v>
          </cell>
          <cell r="K222">
            <v>1</v>
          </cell>
          <cell r="L222">
            <v>1</v>
          </cell>
          <cell r="M222">
            <v>36</v>
          </cell>
          <cell r="N222">
            <v>2.7777777777777776E-2</v>
          </cell>
        </row>
        <row r="223">
          <cell r="A223">
            <v>9255212</v>
          </cell>
          <cell r="B223" t="str">
            <v>Washingborough Foundation Primary School</v>
          </cell>
          <cell r="G223">
            <v>0.51219512195121952</v>
          </cell>
          <cell r="L223">
            <v>0.51219512195121952</v>
          </cell>
          <cell r="M223">
            <v>21</v>
          </cell>
          <cell r="N223">
            <v>2.4390243902439025E-2</v>
          </cell>
        </row>
        <row r="224">
          <cell r="A224">
            <v>584111</v>
          </cell>
          <cell r="B224" t="str">
            <v>Abbey 345 Playgroup</v>
          </cell>
          <cell r="K224">
            <v>1</v>
          </cell>
          <cell r="L224">
            <v>1</v>
          </cell>
          <cell r="M224">
            <v>45</v>
          </cell>
          <cell r="N224">
            <v>2.2222222222222223E-2</v>
          </cell>
          <cell r="O224">
            <v>21</v>
          </cell>
          <cell r="P224">
            <v>21</v>
          </cell>
          <cell r="T224">
            <v>2.1428571428571428</v>
          </cell>
        </row>
        <row r="225">
          <cell r="A225">
            <v>525554</v>
          </cell>
          <cell r="B225" t="str">
            <v>Headstart Nursery Market Deeping</v>
          </cell>
          <cell r="K225">
            <v>1</v>
          </cell>
          <cell r="L225">
            <v>1</v>
          </cell>
          <cell r="M225">
            <v>49</v>
          </cell>
          <cell r="N225">
            <v>2.0408163265306121E-2</v>
          </cell>
        </row>
        <row r="226">
          <cell r="A226">
            <v>511148</v>
          </cell>
          <cell r="B226" t="str">
            <v>Copt Hill Nursery &amp; Prep School</v>
          </cell>
          <cell r="D226">
            <v>1</v>
          </cell>
          <cell r="L226">
            <v>1</v>
          </cell>
          <cell r="M226">
            <v>50</v>
          </cell>
          <cell r="N226">
            <v>0.02</v>
          </cell>
        </row>
        <row r="227">
          <cell r="A227">
            <v>519534</v>
          </cell>
          <cell r="B227" t="str">
            <v>RAF Conningsby Nursery Centre</v>
          </cell>
          <cell r="K227">
            <v>1</v>
          </cell>
          <cell r="L227">
            <v>1</v>
          </cell>
          <cell r="M227">
            <v>51</v>
          </cell>
          <cell r="N227">
            <v>1.9607843137254902E-2</v>
          </cell>
        </row>
        <row r="228">
          <cell r="A228">
            <v>580648</v>
          </cell>
          <cell r="B228" t="str">
            <v>The Old Station Nursery Ltd (Waddington)</v>
          </cell>
          <cell r="K228">
            <v>1</v>
          </cell>
          <cell r="L228">
            <v>1</v>
          </cell>
          <cell r="M228">
            <v>51</v>
          </cell>
          <cell r="N228">
            <v>1.9607843137254902E-2</v>
          </cell>
        </row>
        <row r="229">
          <cell r="A229">
            <v>515290</v>
          </cell>
          <cell r="B229" t="str">
            <v>Park School Day Nursery</v>
          </cell>
          <cell r="K229">
            <v>1</v>
          </cell>
          <cell r="L229">
            <v>1</v>
          </cell>
          <cell r="M229">
            <v>53</v>
          </cell>
          <cell r="N229">
            <v>1.8867924528301886E-2</v>
          </cell>
        </row>
        <row r="230">
          <cell r="A230">
            <v>546485</v>
          </cell>
          <cell r="B230" t="str">
            <v>Town &amp; Country Kiddies (Market Rasen)</v>
          </cell>
          <cell r="K230">
            <v>0</v>
          </cell>
          <cell r="L230">
            <v>0</v>
          </cell>
          <cell r="M230">
            <v>28</v>
          </cell>
          <cell r="N230">
            <v>0</v>
          </cell>
        </row>
      </sheetData>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entation"/>
      <sheetName val="Version Control"/>
      <sheetName val="LACSEG All LAs"/>
      <sheetName val="Academy Level Summary"/>
      <sheetName val="LACSEG Relevance"/>
      <sheetName val="Individual LA Pri"/>
      <sheetName val="Individual LA Sec"/>
      <sheetName val="LACSEG Admissions"/>
      <sheetName val="Individual Grants"/>
      <sheetName val="All LA Spend pp Pri"/>
      <sheetName val="LA % Breakdown Pri"/>
      <sheetName val="All LA Spend pp Sec"/>
      <sheetName val="LA % Breakdown Sec"/>
      <sheetName val="S52 0910 Pri"/>
      <sheetName val="S52 0910 Sec"/>
      <sheetName val="S52 0910 Gross"/>
      <sheetName val="All Schools FTE"/>
      <sheetName val="Prim and Sec SEN"/>
      <sheetName val="Grants Calc 0910 Pri"/>
      <sheetName val="Grants Calc 0910 Sec"/>
      <sheetName val="Section 52 0910 Pri"/>
      <sheetName val="Section 52 0910 Sec"/>
    </sheetNames>
    <sheetDataSet>
      <sheetData sheetId="0"/>
      <sheetData sheetId="1"/>
      <sheetData sheetId="2">
        <row r="4">
          <cell r="A4">
            <v>201</v>
          </cell>
        </row>
        <row r="5">
          <cell r="A5">
            <v>202</v>
          </cell>
        </row>
        <row r="6">
          <cell r="A6">
            <v>203</v>
          </cell>
        </row>
        <row r="7">
          <cell r="A7">
            <v>204</v>
          </cell>
        </row>
        <row r="8">
          <cell r="A8">
            <v>205</v>
          </cell>
        </row>
        <row r="9">
          <cell r="A9">
            <v>206</v>
          </cell>
        </row>
        <row r="10">
          <cell r="A10">
            <v>207</v>
          </cell>
        </row>
        <row r="11">
          <cell r="A11">
            <v>208</v>
          </cell>
        </row>
        <row r="12">
          <cell r="A12">
            <v>209</v>
          </cell>
        </row>
        <row r="13">
          <cell r="A13">
            <v>210</v>
          </cell>
        </row>
        <row r="14">
          <cell r="A14">
            <v>211</v>
          </cell>
        </row>
        <row r="15">
          <cell r="A15">
            <v>212</v>
          </cell>
        </row>
        <row r="16">
          <cell r="A16">
            <v>213</v>
          </cell>
        </row>
        <row r="17">
          <cell r="A17">
            <v>301</v>
          </cell>
        </row>
        <row r="18">
          <cell r="A18">
            <v>302</v>
          </cell>
        </row>
        <row r="19">
          <cell r="A19">
            <v>303</v>
          </cell>
        </row>
        <row r="20">
          <cell r="A20">
            <v>304</v>
          </cell>
        </row>
        <row r="21">
          <cell r="A21">
            <v>305</v>
          </cell>
        </row>
        <row r="22">
          <cell r="A22">
            <v>306</v>
          </cell>
        </row>
        <row r="23">
          <cell r="A23">
            <v>307</v>
          </cell>
        </row>
        <row r="24">
          <cell r="A24">
            <v>308</v>
          </cell>
        </row>
        <row r="25">
          <cell r="A25">
            <v>309</v>
          </cell>
        </row>
        <row r="26">
          <cell r="A26">
            <v>310</v>
          </cell>
        </row>
        <row r="27">
          <cell r="A27">
            <v>311</v>
          </cell>
        </row>
        <row r="28">
          <cell r="A28">
            <v>312</v>
          </cell>
        </row>
        <row r="29">
          <cell r="A29">
            <v>313</v>
          </cell>
        </row>
        <row r="30">
          <cell r="A30">
            <v>314</v>
          </cell>
        </row>
        <row r="31">
          <cell r="A31">
            <v>315</v>
          </cell>
        </row>
        <row r="32">
          <cell r="A32">
            <v>316</v>
          </cell>
        </row>
        <row r="33">
          <cell r="A33">
            <v>317</v>
          </cell>
        </row>
        <row r="34">
          <cell r="A34">
            <v>318</v>
          </cell>
        </row>
        <row r="35">
          <cell r="A35">
            <v>319</v>
          </cell>
        </row>
        <row r="36">
          <cell r="A36">
            <v>320</v>
          </cell>
        </row>
        <row r="37">
          <cell r="A37">
            <v>330</v>
          </cell>
        </row>
        <row r="38">
          <cell r="A38">
            <v>331</v>
          </cell>
        </row>
        <row r="39">
          <cell r="A39">
            <v>332</v>
          </cell>
        </row>
        <row r="40">
          <cell r="A40">
            <v>333</v>
          </cell>
        </row>
        <row r="41">
          <cell r="A41">
            <v>334</v>
          </cell>
        </row>
        <row r="42">
          <cell r="A42">
            <v>335</v>
          </cell>
        </row>
        <row r="43">
          <cell r="A43">
            <v>336</v>
          </cell>
        </row>
        <row r="44">
          <cell r="A44">
            <v>340</v>
          </cell>
        </row>
        <row r="45">
          <cell r="A45">
            <v>341</v>
          </cell>
        </row>
        <row r="46">
          <cell r="A46">
            <v>342</v>
          </cell>
        </row>
        <row r="47">
          <cell r="A47">
            <v>343</v>
          </cell>
        </row>
        <row r="48">
          <cell r="A48">
            <v>344</v>
          </cell>
        </row>
        <row r="49">
          <cell r="A49">
            <v>350</v>
          </cell>
        </row>
        <row r="50">
          <cell r="A50">
            <v>351</v>
          </cell>
        </row>
        <row r="51">
          <cell r="A51">
            <v>352</v>
          </cell>
        </row>
        <row r="52">
          <cell r="A52">
            <v>353</v>
          </cell>
        </row>
        <row r="53">
          <cell r="A53">
            <v>354</v>
          </cell>
        </row>
        <row r="54">
          <cell r="A54">
            <v>355</v>
          </cell>
        </row>
        <row r="55">
          <cell r="A55">
            <v>356</v>
          </cell>
        </row>
        <row r="56">
          <cell r="A56">
            <v>357</v>
          </cell>
        </row>
        <row r="57">
          <cell r="A57">
            <v>358</v>
          </cell>
        </row>
        <row r="58">
          <cell r="A58">
            <v>359</v>
          </cell>
        </row>
        <row r="59">
          <cell r="A59">
            <v>370</v>
          </cell>
        </row>
        <row r="60">
          <cell r="A60">
            <v>371</v>
          </cell>
        </row>
        <row r="61">
          <cell r="A61">
            <v>372</v>
          </cell>
        </row>
        <row r="62">
          <cell r="A62">
            <v>373</v>
          </cell>
        </row>
        <row r="63">
          <cell r="A63">
            <v>380</v>
          </cell>
        </row>
        <row r="64">
          <cell r="A64">
            <v>381</v>
          </cell>
        </row>
        <row r="65">
          <cell r="A65">
            <v>382</v>
          </cell>
        </row>
        <row r="66">
          <cell r="A66">
            <v>383</v>
          </cell>
        </row>
        <row r="67">
          <cell r="A67">
            <v>384</v>
          </cell>
        </row>
        <row r="68">
          <cell r="A68">
            <v>390</v>
          </cell>
        </row>
        <row r="69">
          <cell r="A69">
            <v>391</v>
          </cell>
        </row>
        <row r="70">
          <cell r="A70">
            <v>392</v>
          </cell>
        </row>
        <row r="71">
          <cell r="A71">
            <v>393</v>
          </cell>
        </row>
        <row r="72">
          <cell r="A72">
            <v>394</v>
          </cell>
        </row>
        <row r="73">
          <cell r="A73">
            <v>420</v>
          </cell>
        </row>
        <row r="74">
          <cell r="A74">
            <v>800</v>
          </cell>
        </row>
        <row r="75">
          <cell r="A75">
            <v>801</v>
          </cell>
        </row>
        <row r="76">
          <cell r="A76">
            <v>802</v>
          </cell>
        </row>
        <row r="77">
          <cell r="A77">
            <v>803</v>
          </cell>
        </row>
        <row r="78">
          <cell r="A78">
            <v>805</v>
          </cell>
        </row>
        <row r="79">
          <cell r="A79">
            <v>806</v>
          </cell>
        </row>
        <row r="80">
          <cell r="A80">
            <v>807</v>
          </cell>
        </row>
        <row r="81">
          <cell r="A81">
            <v>808</v>
          </cell>
        </row>
        <row r="82">
          <cell r="A82">
            <v>810</v>
          </cell>
        </row>
        <row r="83">
          <cell r="A83">
            <v>811</v>
          </cell>
        </row>
        <row r="84">
          <cell r="A84">
            <v>812</v>
          </cell>
        </row>
        <row r="85">
          <cell r="A85">
            <v>813</v>
          </cell>
        </row>
        <row r="86">
          <cell r="A86">
            <v>815</v>
          </cell>
        </row>
        <row r="87">
          <cell r="A87">
            <v>816</v>
          </cell>
        </row>
        <row r="88">
          <cell r="A88">
            <v>821</v>
          </cell>
        </row>
        <row r="89">
          <cell r="A89">
            <v>822</v>
          </cell>
        </row>
        <row r="90">
          <cell r="A90">
            <v>823</v>
          </cell>
        </row>
        <row r="91">
          <cell r="A91">
            <v>825</v>
          </cell>
        </row>
        <row r="92">
          <cell r="A92">
            <v>826</v>
          </cell>
        </row>
        <row r="93">
          <cell r="A93">
            <v>830</v>
          </cell>
        </row>
        <row r="94">
          <cell r="A94">
            <v>831</v>
          </cell>
        </row>
        <row r="95">
          <cell r="A95">
            <v>835</v>
          </cell>
        </row>
        <row r="96">
          <cell r="A96">
            <v>836</v>
          </cell>
        </row>
        <row r="97">
          <cell r="A97">
            <v>837</v>
          </cell>
        </row>
        <row r="98">
          <cell r="A98">
            <v>840</v>
          </cell>
        </row>
        <row r="99">
          <cell r="A99">
            <v>841</v>
          </cell>
        </row>
        <row r="100">
          <cell r="A100">
            <v>845</v>
          </cell>
        </row>
        <row r="101">
          <cell r="A101">
            <v>846</v>
          </cell>
        </row>
        <row r="102">
          <cell r="A102">
            <v>850</v>
          </cell>
        </row>
        <row r="103">
          <cell r="A103">
            <v>851</v>
          </cell>
        </row>
        <row r="104">
          <cell r="A104">
            <v>852</v>
          </cell>
        </row>
        <row r="105">
          <cell r="A105">
            <v>855</v>
          </cell>
        </row>
        <row r="106">
          <cell r="A106">
            <v>856</v>
          </cell>
        </row>
        <row r="107">
          <cell r="A107">
            <v>857</v>
          </cell>
        </row>
        <row r="108">
          <cell r="A108">
            <v>860</v>
          </cell>
        </row>
        <row r="109">
          <cell r="A109">
            <v>861</v>
          </cell>
        </row>
        <row r="110">
          <cell r="A110">
            <v>865</v>
          </cell>
        </row>
        <row r="111">
          <cell r="A111">
            <v>866</v>
          </cell>
        </row>
        <row r="112">
          <cell r="A112">
            <v>867</v>
          </cell>
        </row>
        <row r="113">
          <cell r="A113">
            <v>868</v>
          </cell>
        </row>
        <row r="114">
          <cell r="A114">
            <v>869</v>
          </cell>
        </row>
        <row r="115">
          <cell r="A115">
            <v>870</v>
          </cell>
        </row>
        <row r="116">
          <cell r="A116">
            <v>871</v>
          </cell>
        </row>
        <row r="117">
          <cell r="A117">
            <v>872</v>
          </cell>
        </row>
        <row r="118">
          <cell r="A118">
            <v>873</v>
          </cell>
        </row>
        <row r="119">
          <cell r="A119">
            <v>874</v>
          </cell>
        </row>
        <row r="120">
          <cell r="A120">
            <v>876</v>
          </cell>
        </row>
        <row r="121">
          <cell r="A121">
            <v>877</v>
          </cell>
        </row>
        <row r="122">
          <cell r="A122">
            <v>878</v>
          </cell>
        </row>
        <row r="123">
          <cell r="A123">
            <v>879</v>
          </cell>
        </row>
        <row r="124">
          <cell r="A124">
            <v>880</v>
          </cell>
        </row>
        <row r="125">
          <cell r="A125">
            <v>881</v>
          </cell>
        </row>
        <row r="126">
          <cell r="A126">
            <v>882</v>
          </cell>
        </row>
        <row r="127">
          <cell r="A127">
            <v>883</v>
          </cell>
        </row>
        <row r="128">
          <cell r="A128">
            <v>884</v>
          </cell>
        </row>
        <row r="129">
          <cell r="A129">
            <v>885</v>
          </cell>
        </row>
        <row r="130">
          <cell r="A130">
            <v>886</v>
          </cell>
        </row>
        <row r="131">
          <cell r="A131">
            <v>887</v>
          </cell>
        </row>
        <row r="132">
          <cell r="A132">
            <v>888</v>
          </cell>
        </row>
        <row r="133">
          <cell r="A133">
            <v>889</v>
          </cell>
        </row>
        <row r="134">
          <cell r="A134">
            <v>890</v>
          </cell>
        </row>
        <row r="135">
          <cell r="A135">
            <v>891</v>
          </cell>
        </row>
        <row r="136">
          <cell r="A136">
            <v>892</v>
          </cell>
        </row>
        <row r="137">
          <cell r="A137">
            <v>893</v>
          </cell>
        </row>
        <row r="138">
          <cell r="A138">
            <v>894</v>
          </cell>
        </row>
        <row r="139">
          <cell r="A139">
            <v>895</v>
          </cell>
        </row>
        <row r="140">
          <cell r="A140">
            <v>896</v>
          </cell>
        </row>
        <row r="141">
          <cell r="A141">
            <v>908</v>
          </cell>
        </row>
        <row r="142">
          <cell r="A142">
            <v>909</v>
          </cell>
        </row>
        <row r="143">
          <cell r="A143">
            <v>916</v>
          </cell>
        </row>
        <row r="144">
          <cell r="A144">
            <v>919</v>
          </cell>
        </row>
        <row r="145">
          <cell r="A145">
            <v>921</v>
          </cell>
        </row>
        <row r="146">
          <cell r="A146">
            <v>925</v>
          </cell>
        </row>
        <row r="147">
          <cell r="A147">
            <v>926</v>
          </cell>
        </row>
        <row r="148">
          <cell r="A148">
            <v>928</v>
          </cell>
        </row>
        <row r="149">
          <cell r="A149">
            <v>929</v>
          </cell>
        </row>
        <row r="150">
          <cell r="A150">
            <v>931</v>
          </cell>
        </row>
        <row r="151">
          <cell r="A151">
            <v>933</v>
          </cell>
        </row>
        <row r="152">
          <cell r="A152">
            <v>935</v>
          </cell>
        </row>
        <row r="153">
          <cell r="A153">
            <v>936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Notes"/>
      <sheetName val="Front"/>
      <sheetName val="1 - Summary"/>
      <sheetName val="2 - Pupil no proj"/>
      <sheetName val="3 - Budget Share proj"/>
      <sheetName val="4a - Teaching Staff"/>
      <sheetName val="4b - Teaching Staff"/>
      <sheetName val="5a - Non-Teaching Staff"/>
      <sheetName val="5b - Non-Teaching Staff"/>
      <sheetName val="6 - Expenditure proj"/>
      <sheetName val="7 - Standards Fund"/>
      <sheetName val="10 - Salary Scales"/>
      <sheetName val="Basic Information"/>
      <sheetName val="NI &amp; Super Rates"/>
      <sheetName val="SCP Conversion"/>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8">
          <cell r="G8" t="str">
            <v>2010/11</v>
          </cell>
        </row>
        <row r="10">
          <cell r="G10" t="str">
            <v>2011/12</v>
          </cell>
        </row>
        <row r="11">
          <cell r="G11" t="str">
            <v>2012/13</v>
          </cell>
        </row>
        <row r="12">
          <cell r="G12" t="str">
            <v>2013/14</v>
          </cell>
        </row>
        <row r="13">
          <cell r="G13" t="str">
            <v>2014/15</v>
          </cell>
        </row>
        <row r="14">
          <cell r="G14" t="str">
            <v>2009/10</v>
          </cell>
        </row>
      </sheetData>
      <sheetData sheetId="13"/>
      <sheetData sheetId="1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upil Numbers"/>
      <sheetName val="Academy Recoupment"/>
      <sheetName val="Outstanding Converters"/>
      <sheetName val="Recoupment Data"/>
      <sheetName val="Summary"/>
      <sheetName val="Data"/>
    </sheetNames>
    <sheetDataSet>
      <sheetData sheetId="0" refreshError="1"/>
      <sheetData sheetId="1"/>
      <sheetData sheetId="2">
        <row r="39">
          <cell r="D39">
            <v>0</v>
          </cell>
        </row>
      </sheetData>
      <sheetData sheetId="3" refreshError="1"/>
      <sheetData sheetId="4" refreshError="1"/>
      <sheetData sheetId="5" refreshError="1"/>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rent"/>
      <sheetName val="SDG 2008-2009"/>
      <sheetName val="Post-LIG Deprivation Element"/>
      <sheetName val="Specialist Schools"/>
      <sheetName val="Specialist"/>
      <sheetName val="closing &amp; opening"/>
      <sheetName val="FTE data"/>
    </sheetNames>
    <sheetDataSet>
      <sheetData sheetId="0"/>
      <sheetData sheetId="1"/>
      <sheetData sheetId="2"/>
      <sheetData sheetId="3"/>
      <sheetData sheetId="4"/>
      <sheetData sheetId="5"/>
      <sheetData sheetId="6">
        <row r="3">
          <cell r="A3" t="str">
            <v>E1120</v>
          </cell>
          <cell r="B3">
            <v>1001</v>
          </cell>
          <cell r="C3" t="str">
            <v>Grantham Wyndham Park Nursery School</v>
          </cell>
          <cell r="D3" t="str">
            <v/>
          </cell>
          <cell r="E3">
            <v>1001</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1</v>
          </cell>
          <cell r="BH3">
            <v>1</v>
          </cell>
          <cell r="BI3">
            <v>0</v>
          </cell>
          <cell r="BJ3">
            <v>38</v>
          </cell>
          <cell r="BK3">
            <v>28</v>
          </cell>
          <cell r="BL3">
            <v>46</v>
          </cell>
          <cell r="BM3">
            <v>0</v>
          </cell>
          <cell r="BN3">
            <v>114</v>
          </cell>
          <cell r="BO3">
            <v>57</v>
          </cell>
          <cell r="BP3">
            <v>0</v>
          </cell>
          <cell r="BQ3">
            <v>0</v>
          </cell>
          <cell r="BR3" t="str">
            <v>SKDC</v>
          </cell>
        </row>
        <row r="4">
          <cell r="A4" t="str">
            <v>E1220</v>
          </cell>
          <cell r="B4">
            <v>1005</v>
          </cell>
          <cell r="C4" t="str">
            <v>Lincoln St Giles Nursery School</v>
          </cell>
          <cell r="D4" t="str">
            <v/>
          </cell>
          <cell r="E4">
            <v>1005</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23</v>
          </cell>
          <cell r="BC4">
            <v>8</v>
          </cell>
          <cell r="BD4">
            <v>0</v>
          </cell>
          <cell r="BE4">
            <v>0</v>
          </cell>
          <cell r="BF4">
            <v>0</v>
          </cell>
          <cell r="BG4">
            <v>0</v>
          </cell>
          <cell r="BH4">
            <v>0</v>
          </cell>
          <cell r="BI4">
            <v>0</v>
          </cell>
          <cell r="BJ4">
            <v>3</v>
          </cell>
          <cell r="BK4">
            <v>14</v>
          </cell>
          <cell r="BL4">
            <v>48</v>
          </cell>
          <cell r="BM4">
            <v>35</v>
          </cell>
          <cell r="BN4">
            <v>131</v>
          </cell>
          <cell r="BO4">
            <v>81</v>
          </cell>
          <cell r="BP4">
            <v>0</v>
          </cell>
          <cell r="BQ4">
            <v>0</v>
          </cell>
          <cell r="BR4" t="str">
            <v>LCC</v>
          </cell>
        </row>
        <row r="5">
          <cell r="A5" t="str">
            <v>E1240</v>
          </cell>
          <cell r="B5">
            <v>1010</v>
          </cell>
          <cell r="C5" t="str">
            <v>Lincoln Kingsdown Nursery School</v>
          </cell>
          <cell r="D5" t="str">
            <v/>
          </cell>
          <cell r="E5">
            <v>1010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26</v>
          </cell>
          <cell r="BK5">
            <v>18</v>
          </cell>
          <cell r="BL5">
            <v>24</v>
          </cell>
          <cell r="BM5">
            <v>15</v>
          </cell>
          <cell r="BN5">
            <v>83</v>
          </cell>
          <cell r="BO5">
            <v>41.5</v>
          </cell>
          <cell r="BP5">
            <v>0</v>
          </cell>
          <cell r="BQ5">
            <v>0</v>
          </cell>
          <cell r="BR5" t="str">
            <v>LCC</v>
          </cell>
        </row>
        <row r="6">
          <cell r="A6" t="str">
            <v>E1250</v>
          </cell>
          <cell r="B6">
            <v>1011</v>
          </cell>
          <cell r="C6" t="str">
            <v>Gainsborough Nursery School</v>
          </cell>
          <cell r="D6" t="str">
            <v/>
          </cell>
          <cell r="E6">
            <v>1011</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2</v>
          </cell>
          <cell r="BC6">
            <v>0</v>
          </cell>
          <cell r="BD6">
            <v>3</v>
          </cell>
          <cell r="BE6">
            <v>0</v>
          </cell>
          <cell r="BF6">
            <v>0</v>
          </cell>
          <cell r="BG6">
            <v>0</v>
          </cell>
          <cell r="BH6">
            <v>0</v>
          </cell>
          <cell r="BI6">
            <v>0</v>
          </cell>
          <cell r="BJ6">
            <v>29</v>
          </cell>
          <cell r="BK6">
            <v>11</v>
          </cell>
          <cell r="BL6">
            <v>36</v>
          </cell>
          <cell r="BM6">
            <v>8</v>
          </cell>
          <cell r="BN6">
            <v>89</v>
          </cell>
          <cell r="BO6">
            <v>47</v>
          </cell>
          <cell r="BP6">
            <v>0</v>
          </cell>
          <cell r="BQ6">
            <v>0</v>
          </cell>
          <cell r="BR6" t="str">
            <v>WLDC</v>
          </cell>
        </row>
        <row r="7">
          <cell r="A7" t="str">
            <v>E1260</v>
          </cell>
          <cell r="B7">
            <v>1012</v>
          </cell>
          <cell r="C7" t="str">
            <v>Boston Nursery School</v>
          </cell>
          <cell r="D7" t="str">
            <v/>
          </cell>
          <cell r="E7">
            <v>1012</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11</v>
          </cell>
          <cell r="BC7">
            <v>6</v>
          </cell>
          <cell r="BD7">
            <v>5</v>
          </cell>
          <cell r="BE7">
            <v>0</v>
          </cell>
          <cell r="BF7">
            <v>0</v>
          </cell>
          <cell r="BG7">
            <v>0</v>
          </cell>
          <cell r="BH7">
            <v>0</v>
          </cell>
          <cell r="BI7">
            <v>0</v>
          </cell>
          <cell r="BJ7">
            <v>10</v>
          </cell>
          <cell r="BK7">
            <v>10</v>
          </cell>
          <cell r="BL7">
            <v>14</v>
          </cell>
          <cell r="BM7">
            <v>22</v>
          </cell>
          <cell r="BN7">
            <v>78</v>
          </cell>
          <cell r="BO7">
            <v>50</v>
          </cell>
          <cell r="BP7">
            <v>0</v>
          </cell>
          <cell r="BQ7">
            <v>0</v>
          </cell>
          <cell r="BR7" t="str">
            <v>BBC</v>
          </cell>
        </row>
        <row r="8">
          <cell r="A8" t="str">
            <v>E1500</v>
          </cell>
          <cell r="B8">
            <v>3115</v>
          </cell>
          <cell r="C8" t="str">
            <v>Aby CE Primary School</v>
          </cell>
          <cell r="D8" t="str">
            <v/>
          </cell>
          <cell r="E8">
            <v>3115</v>
          </cell>
          <cell r="F8">
            <v>0</v>
          </cell>
          <cell r="G8">
            <v>0</v>
          </cell>
          <cell r="H8">
            <v>0</v>
          </cell>
          <cell r="I8">
            <v>0</v>
          </cell>
          <cell r="J8">
            <v>0</v>
          </cell>
          <cell r="K8">
            <v>0</v>
          </cell>
          <cell r="L8">
            <v>0</v>
          </cell>
          <cell r="M8">
            <v>0</v>
          </cell>
          <cell r="N8">
            <v>0</v>
          </cell>
          <cell r="O8">
            <v>4</v>
          </cell>
          <cell r="P8">
            <v>6</v>
          </cell>
          <cell r="Q8">
            <v>2</v>
          </cell>
          <cell r="R8">
            <v>4</v>
          </cell>
          <cell r="S8">
            <v>4</v>
          </cell>
          <cell r="T8">
            <v>4</v>
          </cell>
          <cell r="U8">
            <v>0</v>
          </cell>
          <cell r="V8">
            <v>0</v>
          </cell>
          <cell r="W8">
            <v>1</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25</v>
          </cell>
          <cell r="BO8">
            <v>25</v>
          </cell>
          <cell r="BP8">
            <v>25</v>
          </cell>
          <cell r="BQ8">
            <v>25</v>
          </cell>
          <cell r="BR8" t="str">
            <v>ELDC</v>
          </cell>
        </row>
        <row r="9">
          <cell r="A9" t="str">
            <v>E1510</v>
          </cell>
          <cell r="B9">
            <v>2142</v>
          </cell>
          <cell r="C9" t="str">
            <v>Alford Primary School</v>
          </cell>
          <cell r="D9" t="str">
            <v/>
          </cell>
          <cell r="E9">
            <v>2142</v>
          </cell>
          <cell r="F9">
            <v>0</v>
          </cell>
          <cell r="G9">
            <v>0</v>
          </cell>
          <cell r="H9">
            <v>0</v>
          </cell>
          <cell r="I9">
            <v>0</v>
          </cell>
          <cell r="J9">
            <v>0</v>
          </cell>
          <cell r="K9">
            <v>0</v>
          </cell>
          <cell r="L9">
            <v>0</v>
          </cell>
          <cell r="M9">
            <v>0</v>
          </cell>
          <cell r="N9">
            <v>0</v>
          </cell>
          <cell r="O9">
            <v>54</v>
          </cell>
          <cell r="P9">
            <v>44</v>
          </cell>
          <cell r="Q9">
            <v>52</v>
          </cell>
          <cell r="R9">
            <v>41</v>
          </cell>
          <cell r="S9">
            <v>54</v>
          </cell>
          <cell r="T9">
            <v>45</v>
          </cell>
          <cell r="U9">
            <v>10</v>
          </cell>
          <cell r="V9">
            <v>9</v>
          </cell>
          <cell r="W9">
            <v>20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329</v>
          </cell>
          <cell r="BO9">
            <v>329</v>
          </cell>
          <cell r="BP9">
            <v>329</v>
          </cell>
          <cell r="BQ9">
            <v>329</v>
          </cell>
          <cell r="BR9" t="str">
            <v>ELDC</v>
          </cell>
        </row>
        <row r="10">
          <cell r="A10" t="str">
            <v>E1530</v>
          </cell>
          <cell r="B10">
            <v>3000</v>
          </cell>
          <cell r="C10" t="str">
            <v>Allington with Sedgebrook CE Primary School</v>
          </cell>
          <cell r="D10" t="str">
            <v/>
          </cell>
          <cell r="E10">
            <v>3000</v>
          </cell>
          <cell r="F10">
            <v>0</v>
          </cell>
          <cell r="G10">
            <v>0</v>
          </cell>
          <cell r="H10">
            <v>0</v>
          </cell>
          <cell r="I10">
            <v>0</v>
          </cell>
          <cell r="J10">
            <v>0</v>
          </cell>
          <cell r="K10">
            <v>0</v>
          </cell>
          <cell r="L10">
            <v>0</v>
          </cell>
          <cell r="M10">
            <v>0</v>
          </cell>
          <cell r="N10">
            <v>0</v>
          </cell>
          <cell r="O10">
            <v>17</v>
          </cell>
          <cell r="P10">
            <v>16</v>
          </cell>
          <cell r="Q10">
            <v>16</v>
          </cell>
          <cell r="R10">
            <v>13</v>
          </cell>
          <cell r="S10">
            <v>16</v>
          </cell>
          <cell r="T10">
            <v>14</v>
          </cell>
          <cell r="U10">
            <v>1</v>
          </cell>
          <cell r="V10">
            <v>6</v>
          </cell>
          <cell r="W10">
            <v>9</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108</v>
          </cell>
          <cell r="BO10">
            <v>108</v>
          </cell>
          <cell r="BP10">
            <v>108</v>
          </cell>
          <cell r="BQ10">
            <v>108</v>
          </cell>
          <cell r="BR10" t="str">
            <v>SKDC</v>
          </cell>
        </row>
        <row r="11">
          <cell r="A11" t="str">
            <v>E1540</v>
          </cell>
          <cell r="B11">
            <v>2076</v>
          </cell>
          <cell r="C11" t="str">
            <v>Amber Hill Toftstead Primary School</v>
          </cell>
          <cell r="D11" t="str">
            <v/>
          </cell>
          <cell r="E11">
            <v>2076</v>
          </cell>
          <cell r="F11">
            <v>0</v>
          </cell>
          <cell r="G11">
            <v>0</v>
          </cell>
          <cell r="H11">
            <v>0</v>
          </cell>
          <cell r="I11">
            <v>0</v>
          </cell>
          <cell r="J11">
            <v>0</v>
          </cell>
          <cell r="K11">
            <v>0</v>
          </cell>
          <cell r="L11">
            <v>0</v>
          </cell>
          <cell r="M11">
            <v>0</v>
          </cell>
          <cell r="N11">
            <v>0</v>
          </cell>
          <cell r="O11">
            <v>4</v>
          </cell>
          <cell r="P11">
            <v>9</v>
          </cell>
          <cell r="Q11">
            <v>4</v>
          </cell>
          <cell r="R11">
            <v>5</v>
          </cell>
          <cell r="S11">
            <v>5</v>
          </cell>
          <cell r="T11">
            <v>2</v>
          </cell>
          <cell r="U11">
            <v>1</v>
          </cell>
          <cell r="V11">
            <v>0</v>
          </cell>
          <cell r="W11">
            <v>3</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33</v>
          </cell>
          <cell r="BO11">
            <v>33</v>
          </cell>
          <cell r="BP11">
            <v>33</v>
          </cell>
          <cell r="BQ11">
            <v>33</v>
          </cell>
          <cell r="BR11" t="str">
            <v>BBC</v>
          </cell>
        </row>
        <row r="12">
          <cell r="A12" t="str">
            <v>E1550</v>
          </cell>
          <cell r="B12">
            <v>3001</v>
          </cell>
          <cell r="C12" t="str">
            <v>Ancaster CE Primary School</v>
          </cell>
          <cell r="D12" t="str">
            <v/>
          </cell>
          <cell r="E12">
            <v>3001</v>
          </cell>
          <cell r="F12">
            <v>0</v>
          </cell>
          <cell r="G12">
            <v>0</v>
          </cell>
          <cell r="H12">
            <v>0</v>
          </cell>
          <cell r="I12">
            <v>0</v>
          </cell>
          <cell r="J12">
            <v>0</v>
          </cell>
          <cell r="K12">
            <v>0</v>
          </cell>
          <cell r="L12">
            <v>0</v>
          </cell>
          <cell r="M12">
            <v>0</v>
          </cell>
          <cell r="N12">
            <v>0</v>
          </cell>
          <cell r="O12">
            <v>27</v>
          </cell>
          <cell r="P12">
            <v>24</v>
          </cell>
          <cell r="Q12">
            <v>21</v>
          </cell>
          <cell r="R12">
            <v>22</v>
          </cell>
          <cell r="S12">
            <v>19</v>
          </cell>
          <cell r="T12">
            <v>17</v>
          </cell>
          <cell r="U12">
            <v>4</v>
          </cell>
          <cell r="V12">
            <v>2</v>
          </cell>
          <cell r="W12">
            <v>10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146</v>
          </cell>
          <cell r="BO12">
            <v>146</v>
          </cell>
          <cell r="BP12">
            <v>146</v>
          </cell>
          <cell r="BQ12">
            <v>146</v>
          </cell>
          <cell r="BR12" t="str">
            <v>SKDC</v>
          </cell>
        </row>
        <row r="13">
          <cell r="A13" t="str">
            <v>E1630</v>
          </cell>
          <cell r="B13">
            <v>3154</v>
          </cell>
          <cell r="C13" t="str">
            <v>Bardney CE and Methodist Primary School</v>
          </cell>
          <cell r="D13" t="str">
            <v/>
          </cell>
          <cell r="E13">
            <v>3154</v>
          </cell>
          <cell r="F13">
            <v>0</v>
          </cell>
          <cell r="G13">
            <v>0</v>
          </cell>
          <cell r="H13">
            <v>0</v>
          </cell>
          <cell r="I13">
            <v>0</v>
          </cell>
          <cell r="J13">
            <v>0</v>
          </cell>
          <cell r="K13">
            <v>0</v>
          </cell>
          <cell r="L13">
            <v>0</v>
          </cell>
          <cell r="M13">
            <v>0</v>
          </cell>
          <cell r="N13">
            <v>0</v>
          </cell>
          <cell r="O13">
            <v>16</v>
          </cell>
          <cell r="P13">
            <v>18</v>
          </cell>
          <cell r="Q13">
            <v>12</v>
          </cell>
          <cell r="R13">
            <v>18</v>
          </cell>
          <cell r="S13">
            <v>13</v>
          </cell>
          <cell r="T13">
            <v>19</v>
          </cell>
          <cell r="U13">
            <v>0</v>
          </cell>
          <cell r="V13">
            <v>1</v>
          </cell>
          <cell r="W13">
            <v>3</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100</v>
          </cell>
          <cell r="BO13">
            <v>100</v>
          </cell>
          <cell r="BP13">
            <v>100</v>
          </cell>
          <cell r="BQ13">
            <v>100</v>
          </cell>
          <cell r="BR13" t="str">
            <v>WLDC</v>
          </cell>
        </row>
        <row r="14">
          <cell r="A14" t="str">
            <v>E1640</v>
          </cell>
          <cell r="B14">
            <v>5222</v>
          </cell>
          <cell r="C14" t="str">
            <v>Barkston and Syston CE Primary School</v>
          </cell>
          <cell r="D14" t="str">
            <v/>
          </cell>
          <cell r="E14">
            <v>5222</v>
          </cell>
          <cell r="F14">
            <v>0</v>
          </cell>
          <cell r="G14">
            <v>0</v>
          </cell>
          <cell r="H14">
            <v>0</v>
          </cell>
          <cell r="I14">
            <v>0</v>
          </cell>
          <cell r="J14">
            <v>0</v>
          </cell>
          <cell r="K14">
            <v>0</v>
          </cell>
          <cell r="L14">
            <v>0</v>
          </cell>
          <cell r="M14">
            <v>0</v>
          </cell>
          <cell r="N14">
            <v>0</v>
          </cell>
          <cell r="O14">
            <v>20</v>
          </cell>
          <cell r="P14">
            <v>14</v>
          </cell>
          <cell r="Q14">
            <v>16</v>
          </cell>
          <cell r="R14">
            <v>13</v>
          </cell>
          <cell r="S14">
            <v>14</v>
          </cell>
          <cell r="T14">
            <v>17</v>
          </cell>
          <cell r="U14">
            <v>6</v>
          </cell>
          <cell r="V14">
            <v>2</v>
          </cell>
          <cell r="W14">
            <v>4</v>
          </cell>
          <cell r="X14">
            <v>5</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111</v>
          </cell>
          <cell r="BO14">
            <v>111</v>
          </cell>
          <cell r="BP14">
            <v>111</v>
          </cell>
          <cell r="BQ14">
            <v>111</v>
          </cell>
          <cell r="BR14" t="str">
            <v>SKDC</v>
          </cell>
        </row>
        <row r="15">
          <cell r="A15" t="str">
            <v>E1650</v>
          </cell>
          <cell r="B15">
            <v>3004</v>
          </cell>
          <cell r="C15" t="str">
            <v>Barrowby CE Primary School</v>
          </cell>
          <cell r="D15" t="str">
            <v/>
          </cell>
          <cell r="E15">
            <v>3004</v>
          </cell>
          <cell r="F15">
            <v>0</v>
          </cell>
          <cell r="G15">
            <v>0</v>
          </cell>
          <cell r="H15">
            <v>0</v>
          </cell>
          <cell r="I15">
            <v>0</v>
          </cell>
          <cell r="J15">
            <v>0</v>
          </cell>
          <cell r="K15">
            <v>0</v>
          </cell>
          <cell r="L15">
            <v>0</v>
          </cell>
          <cell r="M15">
            <v>0</v>
          </cell>
          <cell r="N15">
            <v>0</v>
          </cell>
          <cell r="O15">
            <v>36</v>
          </cell>
          <cell r="P15">
            <v>29</v>
          </cell>
          <cell r="Q15">
            <v>33</v>
          </cell>
          <cell r="R15">
            <v>35</v>
          </cell>
          <cell r="S15">
            <v>33</v>
          </cell>
          <cell r="T15">
            <v>35</v>
          </cell>
          <cell r="U15">
            <v>10</v>
          </cell>
          <cell r="V15">
            <v>7</v>
          </cell>
          <cell r="W15">
            <v>17</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235</v>
          </cell>
          <cell r="BO15">
            <v>235</v>
          </cell>
          <cell r="BP15">
            <v>235</v>
          </cell>
          <cell r="BQ15">
            <v>235</v>
          </cell>
          <cell r="BR15" t="str">
            <v>SKDC</v>
          </cell>
        </row>
        <row r="16">
          <cell r="A16" t="str">
            <v>E1660</v>
          </cell>
          <cell r="B16">
            <v>2002</v>
          </cell>
          <cell r="C16" t="str">
            <v>Bassingham Primary School</v>
          </cell>
          <cell r="D16" t="str">
            <v/>
          </cell>
          <cell r="E16">
            <v>2002</v>
          </cell>
          <cell r="F16">
            <v>0</v>
          </cell>
          <cell r="G16">
            <v>0</v>
          </cell>
          <cell r="H16">
            <v>0</v>
          </cell>
          <cell r="I16">
            <v>0</v>
          </cell>
          <cell r="J16">
            <v>0</v>
          </cell>
          <cell r="K16">
            <v>0</v>
          </cell>
          <cell r="L16">
            <v>0</v>
          </cell>
          <cell r="M16">
            <v>0</v>
          </cell>
          <cell r="N16">
            <v>0</v>
          </cell>
          <cell r="O16">
            <v>31</v>
          </cell>
          <cell r="P16">
            <v>25</v>
          </cell>
          <cell r="Q16">
            <v>28</v>
          </cell>
          <cell r="R16">
            <v>29</v>
          </cell>
          <cell r="S16">
            <v>23</v>
          </cell>
          <cell r="T16">
            <v>21</v>
          </cell>
          <cell r="U16">
            <v>3</v>
          </cell>
          <cell r="V16">
            <v>4</v>
          </cell>
          <cell r="W16">
            <v>9</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173</v>
          </cell>
          <cell r="BO16">
            <v>173</v>
          </cell>
          <cell r="BP16">
            <v>173</v>
          </cell>
          <cell r="BQ16">
            <v>173</v>
          </cell>
          <cell r="BR16" t="str">
            <v>NKDC</v>
          </cell>
        </row>
        <row r="17">
          <cell r="A17" t="str">
            <v>E1670</v>
          </cell>
          <cell r="B17">
            <v>3005</v>
          </cell>
          <cell r="C17" t="str">
            <v>Baston CE Primary School</v>
          </cell>
          <cell r="D17" t="str">
            <v/>
          </cell>
          <cell r="E17">
            <v>3005</v>
          </cell>
          <cell r="F17">
            <v>0</v>
          </cell>
          <cell r="G17">
            <v>0</v>
          </cell>
          <cell r="H17">
            <v>0</v>
          </cell>
          <cell r="I17">
            <v>0</v>
          </cell>
          <cell r="J17">
            <v>0</v>
          </cell>
          <cell r="K17">
            <v>0</v>
          </cell>
          <cell r="L17">
            <v>0</v>
          </cell>
          <cell r="M17">
            <v>0</v>
          </cell>
          <cell r="N17">
            <v>0</v>
          </cell>
          <cell r="O17">
            <v>14</v>
          </cell>
          <cell r="P17">
            <v>21</v>
          </cell>
          <cell r="Q17">
            <v>24</v>
          </cell>
          <cell r="R17">
            <v>27</v>
          </cell>
          <cell r="S17">
            <v>22</v>
          </cell>
          <cell r="T17">
            <v>20</v>
          </cell>
          <cell r="U17">
            <v>8</v>
          </cell>
          <cell r="V17">
            <v>12</v>
          </cell>
          <cell r="W17">
            <v>6</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154</v>
          </cell>
          <cell r="BO17">
            <v>154</v>
          </cell>
          <cell r="BP17">
            <v>154</v>
          </cell>
          <cell r="BQ17">
            <v>154</v>
          </cell>
          <cell r="BR17" t="str">
            <v>SKDC</v>
          </cell>
        </row>
        <row r="18">
          <cell r="A18" t="str">
            <v>E1680</v>
          </cell>
          <cell r="B18">
            <v>2143</v>
          </cell>
          <cell r="C18" t="str">
            <v>Baumber Primary School</v>
          </cell>
          <cell r="D18" t="str">
            <v/>
          </cell>
          <cell r="E18">
            <v>2143</v>
          </cell>
          <cell r="F18">
            <v>0</v>
          </cell>
          <cell r="G18">
            <v>0</v>
          </cell>
          <cell r="H18">
            <v>0</v>
          </cell>
          <cell r="I18">
            <v>0</v>
          </cell>
          <cell r="J18">
            <v>0</v>
          </cell>
          <cell r="K18">
            <v>0</v>
          </cell>
          <cell r="L18">
            <v>0</v>
          </cell>
          <cell r="M18">
            <v>0</v>
          </cell>
          <cell r="N18">
            <v>0</v>
          </cell>
          <cell r="O18">
            <v>10</v>
          </cell>
          <cell r="P18">
            <v>9</v>
          </cell>
          <cell r="Q18">
            <v>11</v>
          </cell>
          <cell r="R18">
            <v>7</v>
          </cell>
          <cell r="S18">
            <v>8</v>
          </cell>
          <cell r="T18">
            <v>5</v>
          </cell>
          <cell r="U18">
            <v>1</v>
          </cell>
          <cell r="V18">
            <v>0</v>
          </cell>
          <cell r="W18">
            <v>2</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53</v>
          </cell>
          <cell r="BO18">
            <v>53</v>
          </cell>
          <cell r="BP18">
            <v>53</v>
          </cell>
          <cell r="BQ18">
            <v>53</v>
          </cell>
          <cell r="BR18" t="str">
            <v>ELDC</v>
          </cell>
        </row>
        <row r="19">
          <cell r="A19" t="str">
            <v>E1700</v>
          </cell>
          <cell r="B19">
            <v>2003</v>
          </cell>
          <cell r="C19" t="str">
            <v>Billingborough Primary School</v>
          </cell>
          <cell r="D19" t="str">
            <v/>
          </cell>
          <cell r="E19">
            <v>2003</v>
          </cell>
          <cell r="F19">
            <v>0</v>
          </cell>
          <cell r="G19">
            <v>0</v>
          </cell>
          <cell r="H19">
            <v>0</v>
          </cell>
          <cell r="I19">
            <v>0</v>
          </cell>
          <cell r="J19">
            <v>0</v>
          </cell>
          <cell r="K19">
            <v>0</v>
          </cell>
          <cell r="L19">
            <v>0</v>
          </cell>
          <cell r="M19">
            <v>0</v>
          </cell>
          <cell r="N19">
            <v>0</v>
          </cell>
          <cell r="O19">
            <v>16</v>
          </cell>
          <cell r="P19">
            <v>19</v>
          </cell>
          <cell r="Q19">
            <v>16</v>
          </cell>
          <cell r="R19">
            <v>10</v>
          </cell>
          <cell r="S19">
            <v>15</v>
          </cell>
          <cell r="T19">
            <v>13</v>
          </cell>
          <cell r="U19">
            <v>2</v>
          </cell>
          <cell r="V19">
            <v>9</v>
          </cell>
          <cell r="W19">
            <v>3</v>
          </cell>
          <cell r="X19">
            <v>1</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104</v>
          </cell>
          <cell r="BO19">
            <v>104</v>
          </cell>
          <cell r="BP19">
            <v>104</v>
          </cell>
          <cell r="BQ19">
            <v>104</v>
          </cell>
          <cell r="BR19" t="str">
            <v>SKDC</v>
          </cell>
        </row>
        <row r="20">
          <cell r="A20" t="str">
            <v>E1720</v>
          </cell>
          <cell r="B20">
            <v>3007</v>
          </cell>
          <cell r="C20" t="str">
            <v>Billinghay CE Primary School</v>
          </cell>
          <cell r="D20" t="str">
            <v/>
          </cell>
          <cell r="E20">
            <v>3007</v>
          </cell>
          <cell r="F20">
            <v>0</v>
          </cell>
          <cell r="G20">
            <v>0</v>
          </cell>
          <cell r="H20">
            <v>0</v>
          </cell>
          <cell r="I20">
            <v>0</v>
          </cell>
          <cell r="J20">
            <v>0</v>
          </cell>
          <cell r="K20">
            <v>0</v>
          </cell>
          <cell r="L20">
            <v>0</v>
          </cell>
          <cell r="M20">
            <v>0</v>
          </cell>
          <cell r="N20">
            <v>0</v>
          </cell>
          <cell r="O20">
            <v>38</v>
          </cell>
          <cell r="P20">
            <v>28</v>
          </cell>
          <cell r="Q20">
            <v>22</v>
          </cell>
          <cell r="R20">
            <v>24</v>
          </cell>
          <cell r="S20">
            <v>19</v>
          </cell>
          <cell r="T20">
            <v>22</v>
          </cell>
          <cell r="U20">
            <v>6</v>
          </cell>
          <cell r="V20">
            <v>6</v>
          </cell>
          <cell r="W20">
            <v>5</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6</v>
          </cell>
          <cell r="BK20">
            <v>4</v>
          </cell>
          <cell r="BL20">
            <v>9</v>
          </cell>
          <cell r="BM20">
            <v>6</v>
          </cell>
          <cell r="BN20">
            <v>195</v>
          </cell>
          <cell r="BO20">
            <v>182.5</v>
          </cell>
          <cell r="BP20">
            <v>170</v>
          </cell>
          <cell r="BQ20">
            <v>170</v>
          </cell>
          <cell r="BR20" t="str">
            <v>NKDC</v>
          </cell>
        </row>
        <row r="21">
          <cell r="A21" t="str">
            <v>E1740</v>
          </cell>
          <cell r="B21">
            <v>3116</v>
          </cell>
          <cell r="C21" t="str">
            <v>Binbrook CE Primary School</v>
          </cell>
          <cell r="D21" t="str">
            <v/>
          </cell>
          <cell r="E21">
            <v>3116</v>
          </cell>
          <cell r="F21">
            <v>0</v>
          </cell>
          <cell r="G21">
            <v>0</v>
          </cell>
          <cell r="H21">
            <v>0</v>
          </cell>
          <cell r="I21">
            <v>0</v>
          </cell>
          <cell r="J21">
            <v>0</v>
          </cell>
          <cell r="K21">
            <v>0</v>
          </cell>
          <cell r="L21">
            <v>0</v>
          </cell>
          <cell r="M21">
            <v>0</v>
          </cell>
          <cell r="N21">
            <v>0</v>
          </cell>
          <cell r="O21">
            <v>15</v>
          </cell>
          <cell r="P21">
            <v>13</v>
          </cell>
          <cell r="Q21">
            <v>16</v>
          </cell>
          <cell r="R21">
            <v>15</v>
          </cell>
          <cell r="S21">
            <v>11</v>
          </cell>
          <cell r="T21">
            <v>8</v>
          </cell>
          <cell r="U21">
            <v>4</v>
          </cell>
          <cell r="V21">
            <v>4</v>
          </cell>
          <cell r="W21">
            <v>5</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91</v>
          </cell>
          <cell r="BO21">
            <v>91</v>
          </cell>
          <cell r="BP21">
            <v>91</v>
          </cell>
          <cell r="BQ21">
            <v>91</v>
          </cell>
          <cell r="BR21" t="str">
            <v>ELDC</v>
          </cell>
        </row>
        <row r="22">
          <cell r="A22" t="str">
            <v>E1770</v>
          </cell>
          <cell r="B22">
            <v>3350</v>
          </cell>
          <cell r="C22" t="str">
            <v>Blyton cum Laughton CE Primary School</v>
          </cell>
          <cell r="D22" t="str">
            <v/>
          </cell>
          <cell r="E22">
            <v>3350</v>
          </cell>
          <cell r="F22">
            <v>0</v>
          </cell>
          <cell r="G22">
            <v>0</v>
          </cell>
          <cell r="H22">
            <v>0</v>
          </cell>
          <cell r="I22">
            <v>0</v>
          </cell>
          <cell r="J22">
            <v>0</v>
          </cell>
          <cell r="K22">
            <v>0</v>
          </cell>
          <cell r="L22">
            <v>0</v>
          </cell>
          <cell r="M22">
            <v>0</v>
          </cell>
          <cell r="N22">
            <v>0</v>
          </cell>
          <cell r="O22">
            <v>23</v>
          </cell>
          <cell r="P22">
            <v>27</v>
          </cell>
          <cell r="Q22">
            <v>25</v>
          </cell>
          <cell r="R22">
            <v>24</v>
          </cell>
          <cell r="S22">
            <v>25</v>
          </cell>
          <cell r="T22">
            <v>19</v>
          </cell>
          <cell r="U22">
            <v>6</v>
          </cell>
          <cell r="V22">
            <v>2</v>
          </cell>
          <cell r="W22">
            <v>9</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160</v>
          </cell>
          <cell r="BO22">
            <v>160</v>
          </cell>
          <cell r="BP22">
            <v>160</v>
          </cell>
          <cell r="BQ22">
            <v>160</v>
          </cell>
          <cell r="BR22" t="str">
            <v>WLDC</v>
          </cell>
        </row>
        <row r="23">
          <cell r="A23" t="str">
            <v>E1810</v>
          </cell>
          <cell r="B23">
            <v>2234</v>
          </cell>
          <cell r="C23" t="str">
            <v>Boston Carlton Road Primary School</v>
          </cell>
          <cell r="D23" t="str">
            <v/>
          </cell>
          <cell r="E23">
            <v>2234</v>
          </cell>
          <cell r="F23">
            <v>0</v>
          </cell>
          <cell r="G23">
            <v>0</v>
          </cell>
          <cell r="H23">
            <v>0</v>
          </cell>
          <cell r="I23">
            <v>0</v>
          </cell>
          <cell r="J23">
            <v>0</v>
          </cell>
          <cell r="K23">
            <v>0</v>
          </cell>
          <cell r="L23">
            <v>0</v>
          </cell>
          <cell r="M23">
            <v>0</v>
          </cell>
          <cell r="N23">
            <v>0</v>
          </cell>
          <cell r="O23">
            <v>56</v>
          </cell>
          <cell r="P23">
            <v>53</v>
          </cell>
          <cell r="Q23">
            <v>56</v>
          </cell>
          <cell r="R23">
            <v>52</v>
          </cell>
          <cell r="S23">
            <v>59</v>
          </cell>
          <cell r="T23">
            <v>52</v>
          </cell>
          <cell r="U23">
            <v>17</v>
          </cell>
          <cell r="V23">
            <v>12</v>
          </cell>
          <cell r="W23">
            <v>31</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17</v>
          </cell>
          <cell r="BK23">
            <v>7</v>
          </cell>
          <cell r="BL23">
            <v>11</v>
          </cell>
          <cell r="BM23">
            <v>13</v>
          </cell>
          <cell r="BN23">
            <v>436</v>
          </cell>
          <cell r="BO23">
            <v>412</v>
          </cell>
          <cell r="BP23">
            <v>388</v>
          </cell>
          <cell r="BQ23">
            <v>388</v>
          </cell>
          <cell r="BR23" t="str">
            <v>BBC</v>
          </cell>
        </row>
        <row r="24">
          <cell r="A24" t="str">
            <v>E1830</v>
          </cell>
          <cell r="B24">
            <v>2113</v>
          </cell>
          <cell r="C24" t="str">
            <v>Boston Hawthorn Tree School</v>
          </cell>
          <cell r="D24" t="str">
            <v/>
          </cell>
          <cell r="E24">
            <v>2113</v>
          </cell>
          <cell r="F24">
            <v>0</v>
          </cell>
          <cell r="G24">
            <v>0</v>
          </cell>
          <cell r="H24">
            <v>0</v>
          </cell>
          <cell r="I24">
            <v>0</v>
          </cell>
          <cell r="J24">
            <v>0</v>
          </cell>
          <cell r="K24">
            <v>0</v>
          </cell>
          <cell r="L24">
            <v>0</v>
          </cell>
          <cell r="M24">
            <v>0</v>
          </cell>
          <cell r="N24">
            <v>0</v>
          </cell>
          <cell r="O24">
            <v>35</v>
          </cell>
          <cell r="P24">
            <v>37</v>
          </cell>
          <cell r="Q24">
            <v>39</v>
          </cell>
          <cell r="R24">
            <v>39</v>
          </cell>
          <cell r="S24">
            <v>39</v>
          </cell>
          <cell r="T24">
            <v>34</v>
          </cell>
          <cell r="U24">
            <v>16</v>
          </cell>
          <cell r="V24">
            <v>4</v>
          </cell>
          <cell r="W24">
            <v>20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263</v>
          </cell>
          <cell r="BO24">
            <v>263</v>
          </cell>
          <cell r="BP24">
            <v>263</v>
          </cell>
          <cell r="BQ24">
            <v>263</v>
          </cell>
          <cell r="BR24" t="str">
            <v>BBC</v>
          </cell>
        </row>
        <row r="25">
          <cell r="A25" t="str">
            <v>E1840</v>
          </cell>
          <cell r="B25">
            <v>2237</v>
          </cell>
          <cell r="C25" t="str">
            <v>Boston Park Community Primary School</v>
          </cell>
          <cell r="D25" t="str">
            <v/>
          </cell>
          <cell r="E25">
            <v>2237</v>
          </cell>
          <cell r="F25">
            <v>0</v>
          </cell>
          <cell r="G25">
            <v>0</v>
          </cell>
          <cell r="H25">
            <v>0</v>
          </cell>
          <cell r="I25">
            <v>0</v>
          </cell>
          <cell r="J25">
            <v>0</v>
          </cell>
          <cell r="K25">
            <v>0</v>
          </cell>
          <cell r="L25">
            <v>0</v>
          </cell>
          <cell r="M25">
            <v>0</v>
          </cell>
          <cell r="N25">
            <v>0</v>
          </cell>
          <cell r="O25">
            <v>31</v>
          </cell>
          <cell r="P25">
            <v>27</v>
          </cell>
          <cell r="Q25">
            <v>30</v>
          </cell>
          <cell r="R25">
            <v>25</v>
          </cell>
          <cell r="S25">
            <v>25</v>
          </cell>
          <cell r="T25">
            <v>26</v>
          </cell>
          <cell r="U25">
            <v>11</v>
          </cell>
          <cell r="V25">
            <v>8</v>
          </cell>
          <cell r="W25">
            <v>10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193</v>
          </cell>
          <cell r="BO25">
            <v>193</v>
          </cell>
          <cell r="BP25">
            <v>193</v>
          </cell>
          <cell r="BQ25">
            <v>193</v>
          </cell>
          <cell r="BR25" t="str">
            <v>BBC</v>
          </cell>
        </row>
        <row r="26">
          <cell r="A26" t="str">
            <v>E1870</v>
          </cell>
          <cell r="B26">
            <v>2239</v>
          </cell>
          <cell r="C26" t="str">
            <v>Boston Staniland Primary and Nursery School</v>
          </cell>
          <cell r="D26" t="str">
            <v/>
          </cell>
          <cell r="E26">
            <v>2239</v>
          </cell>
          <cell r="F26">
            <v>0</v>
          </cell>
          <cell r="G26">
            <v>0</v>
          </cell>
          <cell r="H26">
            <v>0</v>
          </cell>
          <cell r="I26">
            <v>0</v>
          </cell>
          <cell r="J26">
            <v>0</v>
          </cell>
          <cell r="K26">
            <v>0</v>
          </cell>
          <cell r="L26">
            <v>0</v>
          </cell>
          <cell r="M26">
            <v>0</v>
          </cell>
          <cell r="N26">
            <v>0</v>
          </cell>
          <cell r="O26">
            <v>55</v>
          </cell>
          <cell r="P26">
            <v>39</v>
          </cell>
          <cell r="Q26">
            <v>50</v>
          </cell>
          <cell r="R26">
            <v>53</v>
          </cell>
          <cell r="S26">
            <v>46</v>
          </cell>
          <cell r="T26">
            <v>40</v>
          </cell>
          <cell r="U26">
            <v>26</v>
          </cell>
          <cell r="V26">
            <v>11</v>
          </cell>
          <cell r="W26">
            <v>17</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8</v>
          </cell>
          <cell r="BK26">
            <v>4</v>
          </cell>
          <cell r="BL26">
            <v>14</v>
          </cell>
          <cell r="BM26">
            <v>0</v>
          </cell>
          <cell r="BN26">
            <v>363</v>
          </cell>
          <cell r="BO26">
            <v>350</v>
          </cell>
          <cell r="BP26">
            <v>337</v>
          </cell>
          <cell r="BQ26">
            <v>337</v>
          </cell>
          <cell r="BR26" t="str">
            <v>BBC</v>
          </cell>
        </row>
        <row r="27">
          <cell r="A27" t="str">
            <v>E1890</v>
          </cell>
          <cell r="B27">
            <v>3342</v>
          </cell>
          <cell r="C27" t="str">
            <v>Boston Saint Mary's R.C. Primary School</v>
          </cell>
          <cell r="D27" t="str">
            <v/>
          </cell>
          <cell r="E27">
            <v>3342</v>
          </cell>
          <cell r="F27">
            <v>0</v>
          </cell>
          <cell r="G27">
            <v>0</v>
          </cell>
          <cell r="H27">
            <v>0</v>
          </cell>
          <cell r="I27">
            <v>0</v>
          </cell>
          <cell r="J27">
            <v>0</v>
          </cell>
          <cell r="K27">
            <v>0</v>
          </cell>
          <cell r="L27">
            <v>0</v>
          </cell>
          <cell r="M27">
            <v>0</v>
          </cell>
          <cell r="N27">
            <v>0</v>
          </cell>
          <cell r="O27">
            <v>30</v>
          </cell>
          <cell r="P27">
            <v>30</v>
          </cell>
          <cell r="Q27">
            <v>30</v>
          </cell>
          <cell r="R27">
            <v>30</v>
          </cell>
          <cell r="S27">
            <v>30</v>
          </cell>
          <cell r="T27">
            <v>30</v>
          </cell>
          <cell r="U27">
            <v>11</v>
          </cell>
          <cell r="V27">
            <v>7</v>
          </cell>
          <cell r="W27">
            <v>12</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210</v>
          </cell>
          <cell r="BO27">
            <v>210</v>
          </cell>
          <cell r="BP27">
            <v>210</v>
          </cell>
          <cell r="BQ27">
            <v>210</v>
          </cell>
          <cell r="BR27" t="str">
            <v>BBC</v>
          </cell>
        </row>
        <row r="28">
          <cell r="A28" t="str">
            <v>E1900</v>
          </cell>
          <cell r="B28">
            <v>3162</v>
          </cell>
          <cell r="C28" t="str">
            <v>Boston St Nicholas CE Primary School</v>
          </cell>
          <cell r="D28" t="str">
            <v/>
          </cell>
          <cell r="E28">
            <v>3162</v>
          </cell>
          <cell r="F28">
            <v>0</v>
          </cell>
          <cell r="G28">
            <v>0</v>
          </cell>
          <cell r="H28">
            <v>0</v>
          </cell>
          <cell r="I28">
            <v>0</v>
          </cell>
          <cell r="J28">
            <v>0</v>
          </cell>
          <cell r="K28">
            <v>0</v>
          </cell>
          <cell r="L28">
            <v>0</v>
          </cell>
          <cell r="M28">
            <v>0</v>
          </cell>
          <cell r="N28">
            <v>0</v>
          </cell>
          <cell r="O28">
            <v>28</v>
          </cell>
          <cell r="P28">
            <v>29</v>
          </cell>
          <cell r="Q28">
            <v>23</v>
          </cell>
          <cell r="R28">
            <v>31</v>
          </cell>
          <cell r="S28">
            <v>27</v>
          </cell>
          <cell r="T28">
            <v>21</v>
          </cell>
          <cell r="U28">
            <v>9</v>
          </cell>
          <cell r="V28">
            <v>9</v>
          </cell>
          <cell r="W28">
            <v>10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187</v>
          </cell>
          <cell r="BO28">
            <v>187</v>
          </cell>
          <cell r="BP28">
            <v>187</v>
          </cell>
          <cell r="BQ28">
            <v>187</v>
          </cell>
          <cell r="BR28" t="str">
            <v>BBC</v>
          </cell>
        </row>
        <row r="29">
          <cell r="A29" t="str">
            <v>E1910</v>
          </cell>
          <cell r="B29">
            <v>3085</v>
          </cell>
          <cell r="C29" t="str">
            <v>Boston St Thomas' CE Primary School</v>
          </cell>
          <cell r="D29" t="str">
            <v/>
          </cell>
          <cell r="E29">
            <v>3085</v>
          </cell>
          <cell r="F29">
            <v>0</v>
          </cell>
          <cell r="G29">
            <v>0</v>
          </cell>
          <cell r="H29">
            <v>0</v>
          </cell>
          <cell r="I29">
            <v>0</v>
          </cell>
          <cell r="J29">
            <v>0</v>
          </cell>
          <cell r="K29">
            <v>0</v>
          </cell>
          <cell r="L29">
            <v>0</v>
          </cell>
          <cell r="M29">
            <v>0</v>
          </cell>
          <cell r="N29">
            <v>0</v>
          </cell>
          <cell r="O29">
            <v>61</v>
          </cell>
          <cell r="P29">
            <v>59</v>
          </cell>
          <cell r="Q29">
            <v>59</v>
          </cell>
          <cell r="R29">
            <v>58</v>
          </cell>
          <cell r="S29">
            <v>45</v>
          </cell>
          <cell r="T29">
            <v>47</v>
          </cell>
          <cell r="U29">
            <v>19</v>
          </cell>
          <cell r="V29">
            <v>13</v>
          </cell>
          <cell r="W29">
            <v>17</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378</v>
          </cell>
          <cell r="BO29">
            <v>378</v>
          </cell>
          <cell r="BP29">
            <v>378</v>
          </cell>
          <cell r="BQ29">
            <v>378</v>
          </cell>
          <cell r="BR29" t="str">
            <v>BBC</v>
          </cell>
        </row>
        <row r="30">
          <cell r="A30" t="str">
            <v>E1920</v>
          </cell>
          <cell r="B30">
            <v>5221</v>
          </cell>
          <cell r="C30" t="str">
            <v>Boston Tower Road Primary School</v>
          </cell>
          <cell r="D30" t="str">
            <v/>
          </cell>
          <cell r="E30">
            <v>5221</v>
          </cell>
          <cell r="F30">
            <v>0</v>
          </cell>
          <cell r="G30">
            <v>0</v>
          </cell>
          <cell r="H30">
            <v>0</v>
          </cell>
          <cell r="I30">
            <v>0</v>
          </cell>
          <cell r="J30">
            <v>0</v>
          </cell>
          <cell r="K30">
            <v>0</v>
          </cell>
          <cell r="L30">
            <v>0</v>
          </cell>
          <cell r="M30">
            <v>0</v>
          </cell>
          <cell r="N30">
            <v>0</v>
          </cell>
          <cell r="O30">
            <v>91</v>
          </cell>
          <cell r="P30">
            <v>91</v>
          </cell>
          <cell r="Q30">
            <v>89</v>
          </cell>
          <cell r="R30">
            <v>90</v>
          </cell>
          <cell r="S30">
            <v>87</v>
          </cell>
          <cell r="T30">
            <v>84</v>
          </cell>
          <cell r="U30">
            <v>31</v>
          </cell>
          <cell r="V30">
            <v>27</v>
          </cell>
          <cell r="W30">
            <v>31</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621</v>
          </cell>
          <cell r="BO30">
            <v>621</v>
          </cell>
          <cell r="BP30">
            <v>621</v>
          </cell>
          <cell r="BQ30">
            <v>621</v>
          </cell>
          <cell r="BR30" t="str">
            <v>BBC</v>
          </cell>
        </row>
        <row r="31">
          <cell r="A31" t="str">
            <v>E1940</v>
          </cell>
          <cell r="B31">
            <v>2116</v>
          </cell>
          <cell r="C31" t="str">
            <v>Boston West Primary School</v>
          </cell>
          <cell r="D31" t="str">
            <v/>
          </cell>
          <cell r="E31">
            <v>2116</v>
          </cell>
          <cell r="F31">
            <v>0</v>
          </cell>
          <cell r="G31">
            <v>0</v>
          </cell>
          <cell r="H31">
            <v>0</v>
          </cell>
          <cell r="I31">
            <v>0</v>
          </cell>
          <cell r="J31">
            <v>0</v>
          </cell>
          <cell r="K31">
            <v>0</v>
          </cell>
          <cell r="L31">
            <v>0</v>
          </cell>
          <cell r="M31">
            <v>0</v>
          </cell>
          <cell r="N31">
            <v>0</v>
          </cell>
          <cell r="O31">
            <v>40</v>
          </cell>
          <cell r="P31">
            <v>40</v>
          </cell>
          <cell r="Q31">
            <v>40</v>
          </cell>
          <cell r="R31">
            <v>40</v>
          </cell>
          <cell r="S31">
            <v>39</v>
          </cell>
          <cell r="T31">
            <v>35</v>
          </cell>
          <cell r="U31">
            <v>20</v>
          </cell>
          <cell r="V31">
            <v>8</v>
          </cell>
          <cell r="W31">
            <v>12</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274</v>
          </cell>
          <cell r="BO31">
            <v>274</v>
          </cell>
          <cell r="BP31">
            <v>274</v>
          </cell>
          <cell r="BQ31">
            <v>274</v>
          </cell>
          <cell r="BR31" t="str">
            <v>BBC</v>
          </cell>
        </row>
        <row r="32">
          <cell r="A32" t="str">
            <v>E1970</v>
          </cell>
          <cell r="B32">
            <v>5200</v>
          </cell>
          <cell r="C32" t="str">
            <v>Bourne Abbey Primary School</v>
          </cell>
          <cell r="D32" t="str">
            <v/>
          </cell>
          <cell r="E32">
            <v>5200</v>
          </cell>
          <cell r="F32">
            <v>0</v>
          </cell>
          <cell r="G32">
            <v>0</v>
          </cell>
          <cell r="H32">
            <v>0</v>
          </cell>
          <cell r="I32">
            <v>0</v>
          </cell>
          <cell r="J32">
            <v>0</v>
          </cell>
          <cell r="K32">
            <v>0</v>
          </cell>
          <cell r="L32">
            <v>0</v>
          </cell>
          <cell r="M32">
            <v>0</v>
          </cell>
          <cell r="N32">
            <v>0</v>
          </cell>
          <cell r="O32">
            <v>92</v>
          </cell>
          <cell r="P32">
            <v>98</v>
          </cell>
          <cell r="Q32">
            <v>71</v>
          </cell>
          <cell r="R32">
            <v>91</v>
          </cell>
          <cell r="S32">
            <v>74</v>
          </cell>
          <cell r="T32">
            <v>58</v>
          </cell>
          <cell r="U32">
            <v>28</v>
          </cell>
          <cell r="V32">
            <v>17</v>
          </cell>
          <cell r="W32">
            <v>21</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1</v>
          </cell>
          <cell r="BE32">
            <v>0</v>
          </cell>
          <cell r="BF32">
            <v>0</v>
          </cell>
          <cell r="BG32">
            <v>0</v>
          </cell>
          <cell r="BH32">
            <v>0</v>
          </cell>
          <cell r="BI32">
            <v>0</v>
          </cell>
          <cell r="BJ32">
            <v>21</v>
          </cell>
          <cell r="BK32">
            <v>15</v>
          </cell>
          <cell r="BL32">
            <v>23</v>
          </cell>
          <cell r="BM32">
            <v>0</v>
          </cell>
          <cell r="BN32">
            <v>610</v>
          </cell>
          <cell r="BO32">
            <v>580.5</v>
          </cell>
          <cell r="BP32">
            <v>550</v>
          </cell>
          <cell r="BQ32">
            <v>550</v>
          </cell>
          <cell r="BR32" t="str">
            <v>SKDC</v>
          </cell>
        </row>
        <row r="33">
          <cell r="A33" t="str">
            <v>E1980</v>
          </cell>
          <cell r="B33">
            <v>2072</v>
          </cell>
          <cell r="C33" t="str">
            <v>Bourne Westfield Primary School</v>
          </cell>
          <cell r="D33" t="str">
            <v/>
          </cell>
          <cell r="E33">
            <v>2072</v>
          </cell>
          <cell r="F33">
            <v>0</v>
          </cell>
          <cell r="G33">
            <v>0</v>
          </cell>
          <cell r="H33">
            <v>0</v>
          </cell>
          <cell r="I33">
            <v>0</v>
          </cell>
          <cell r="J33">
            <v>0</v>
          </cell>
          <cell r="K33">
            <v>0</v>
          </cell>
          <cell r="L33">
            <v>0</v>
          </cell>
          <cell r="M33">
            <v>0</v>
          </cell>
          <cell r="N33">
            <v>0</v>
          </cell>
          <cell r="O33">
            <v>90</v>
          </cell>
          <cell r="P33">
            <v>94</v>
          </cell>
          <cell r="Q33">
            <v>93</v>
          </cell>
          <cell r="R33">
            <v>90</v>
          </cell>
          <cell r="S33">
            <v>90</v>
          </cell>
          <cell r="T33">
            <v>85</v>
          </cell>
          <cell r="U33">
            <v>34</v>
          </cell>
          <cell r="V33">
            <v>20</v>
          </cell>
          <cell r="W33">
            <v>36</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632</v>
          </cell>
          <cell r="BO33">
            <v>632</v>
          </cell>
          <cell r="BP33">
            <v>632</v>
          </cell>
          <cell r="BQ33">
            <v>632</v>
          </cell>
          <cell r="BR33" t="str">
            <v>SKDC</v>
          </cell>
        </row>
        <row r="34">
          <cell r="A34" t="str">
            <v>E2010</v>
          </cell>
          <cell r="B34">
            <v>2009</v>
          </cell>
          <cell r="C34" t="str">
            <v>Bracebridge Heath St John's Primary School</v>
          </cell>
          <cell r="D34" t="str">
            <v/>
          </cell>
          <cell r="E34">
            <v>2009</v>
          </cell>
          <cell r="F34">
            <v>0</v>
          </cell>
          <cell r="G34">
            <v>0</v>
          </cell>
          <cell r="H34">
            <v>0</v>
          </cell>
          <cell r="I34">
            <v>0</v>
          </cell>
          <cell r="J34">
            <v>0</v>
          </cell>
          <cell r="K34">
            <v>0</v>
          </cell>
          <cell r="L34">
            <v>0</v>
          </cell>
          <cell r="M34">
            <v>0</v>
          </cell>
          <cell r="N34">
            <v>0</v>
          </cell>
          <cell r="O34">
            <v>54</v>
          </cell>
          <cell r="P34">
            <v>64</v>
          </cell>
          <cell r="Q34">
            <v>66</v>
          </cell>
          <cell r="R34">
            <v>55</v>
          </cell>
          <cell r="S34">
            <v>56</v>
          </cell>
          <cell r="T34">
            <v>52</v>
          </cell>
          <cell r="U34">
            <v>17</v>
          </cell>
          <cell r="V34">
            <v>13</v>
          </cell>
          <cell r="W34">
            <v>29</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406</v>
          </cell>
          <cell r="BO34">
            <v>406</v>
          </cell>
          <cell r="BP34">
            <v>406</v>
          </cell>
          <cell r="BQ34">
            <v>406</v>
          </cell>
          <cell r="BR34" t="str">
            <v>NKDC</v>
          </cell>
        </row>
        <row r="35">
          <cell r="A35" t="str">
            <v>E2020</v>
          </cell>
          <cell r="B35">
            <v>3009</v>
          </cell>
          <cell r="C35" t="str">
            <v>Branston CE Infant School</v>
          </cell>
          <cell r="D35" t="str">
            <v/>
          </cell>
          <cell r="E35">
            <v>3009</v>
          </cell>
          <cell r="F35">
            <v>0</v>
          </cell>
          <cell r="G35">
            <v>0</v>
          </cell>
          <cell r="H35">
            <v>0</v>
          </cell>
          <cell r="I35">
            <v>0</v>
          </cell>
          <cell r="J35">
            <v>0</v>
          </cell>
          <cell r="K35">
            <v>0</v>
          </cell>
          <cell r="L35">
            <v>0</v>
          </cell>
          <cell r="M35">
            <v>0</v>
          </cell>
          <cell r="N35">
            <v>0</v>
          </cell>
          <cell r="O35">
            <v>0</v>
          </cell>
          <cell r="P35">
            <v>0</v>
          </cell>
          <cell r="Q35">
            <v>0</v>
          </cell>
          <cell r="R35">
            <v>1</v>
          </cell>
          <cell r="S35">
            <v>45</v>
          </cell>
          <cell r="T35">
            <v>31</v>
          </cell>
          <cell r="U35">
            <v>16</v>
          </cell>
          <cell r="V35">
            <v>7</v>
          </cell>
          <cell r="W35">
            <v>16</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9</v>
          </cell>
          <cell r="AU35">
            <v>5</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130</v>
          </cell>
          <cell r="BO35">
            <v>123</v>
          </cell>
          <cell r="BP35">
            <v>130</v>
          </cell>
          <cell r="BQ35">
            <v>123</v>
          </cell>
          <cell r="BR35" t="str">
            <v>NKDC</v>
          </cell>
        </row>
        <row r="36">
          <cell r="A36" t="str">
            <v>E2030</v>
          </cell>
          <cell r="B36">
            <v>2074</v>
          </cell>
          <cell r="C36" t="str">
            <v>Branston Junior School</v>
          </cell>
          <cell r="D36" t="str">
            <v/>
          </cell>
          <cell r="E36">
            <v>2074</v>
          </cell>
          <cell r="F36">
            <v>0</v>
          </cell>
          <cell r="G36">
            <v>0</v>
          </cell>
          <cell r="H36">
            <v>0</v>
          </cell>
          <cell r="I36">
            <v>0</v>
          </cell>
          <cell r="J36">
            <v>0</v>
          </cell>
          <cell r="K36">
            <v>0</v>
          </cell>
          <cell r="L36">
            <v>0</v>
          </cell>
          <cell r="M36">
            <v>0</v>
          </cell>
          <cell r="N36">
            <v>0</v>
          </cell>
          <cell r="O36">
            <v>39</v>
          </cell>
          <cell r="P36">
            <v>43</v>
          </cell>
          <cell r="Q36">
            <v>40</v>
          </cell>
          <cell r="R36">
            <v>43</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165</v>
          </cell>
          <cell r="BO36">
            <v>165</v>
          </cell>
          <cell r="BP36">
            <v>165</v>
          </cell>
          <cell r="BQ36">
            <v>165</v>
          </cell>
          <cell r="BR36" t="str">
            <v>NKDC</v>
          </cell>
        </row>
        <row r="37">
          <cell r="A37" t="str">
            <v>E2050</v>
          </cell>
          <cell r="B37">
            <v>3163</v>
          </cell>
          <cell r="C37" t="str">
            <v>Brant Broughton CE and Methodist Primary School</v>
          </cell>
          <cell r="D37" t="str">
            <v/>
          </cell>
          <cell r="E37">
            <v>3163</v>
          </cell>
          <cell r="F37">
            <v>0</v>
          </cell>
          <cell r="G37">
            <v>0</v>
          </cell>
          <cell r="H37">
            <v>0</v>
          </cell>
          <cell r="I37">
            <v>0</v>
          </cell>
          <cell r="J37">
            <v>0</v>
          </cell>
          <cell r="K37">
            <v>0</v>
          </cell>
          <cell r="L37">
            <v>0</v>
          </cell>
          <cell r="M37">
            <v>0</v>
          </cell>
          <cell r="N37">
            <v>0</v>
          </cell>
          <cell r="O37">
            <v>15</v>
          </cell>
          <cell r="P37">
            <v>7</v>
          </cell>
          <cell r="Q37">
            <v>18</v>
          </cell>
          <cell r="R37">
            <v>9</v>
          </cell>
          <cell r="S37">
            <v>11</v>
          </cell>
          <cell r="T37">
            <v>13</v>
          </cell>
          <cell r="U37">
            <v>3</v>
          </cell>
          <cell r="V37">
            <v>5</v>
          </cell>
          <cell r="W37">
            <v>10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91</v>
          </cell>
          <cell r="BO37">
            <v>91</v>
          </cell>
          <cell r="BP37">
            <v>91</v>
          </cell>
          <cell r="BQ37">
            <v>91</v>
          </cell>
          <cell r="BR37" t="str">
            <v>NKDC</v>
          </cell>
        </row>
        <row r="38">
          <cell r="A38" t="str">
            <v>E2060</v>
          </cell>
          <cell r="B38">
            <v>2145</v>
          </cell>
          <cell r="C38" t="str">
            <v>Brocklesby Park Primary School</v>
          </cell>
          <cell r="D38" t="str">
            <v/>
          </cell>
          <cell r="E38">
            <v>2145</v>
          </cell>
          <cell r="F38">
            <v>0</v>
          </cell>
          <cell r="G38">
            <v>0</v>
          </cell>
          <cell r="H38">
            <v>0</v>
          </cell>
          <cell r="I38">
            <v>0</v>
          </cell>
          <cell r="J38">
            <v>0</v>
          </cell>
          <cell r="K38">
            <v>0</v>
          </cell>
          <cell r="L38">
            <v>0</v>
          </cell>
          <cell r="M38">
            <v>0</v>
          </cell>
          <cell r="N38">
            <v>0</v>
          </cell>
          <cell r="O38">
            <v>4</v>
          </cell>
          <cell r="P38">
            <v>7</v>
          </cell>
          <cell r="Q38">
            <v>1</v>
          </cell>
          <cell r="R38">
            <v>5</v>
          </cell>
          <cell r="S38">
            <v>9</v>
          </cell>
          <cell r="T38">
            <v>6</v>
          </cell>
          <cell r="U38">
            <v>3</v>
          </cell>
          <cell r="V38">
            <v>2</v>
          </cell>
          <cell r="W38">
            <v>1</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38</v>
          </cell>
          <cell r="BO38">
            <v>38</v>
          </cell>
          <cell r="BP38">
            <v>38</v>
          </cell>
          <cell r="BQ38">
            <v>38</v>
          </cell>
          <cell r="BR38" t="str">
            <v>WLDC</v>
          </cell>
        </row>
        <row r="39">
          <cell r="A39" t="str">
            <v>E2070</v>
          </cell>
          <cell r="B39">
            <v>2146</v>
          </cell>
          <cell r="C39" t="str">
            <v>Bucknall Primary School</v>
          </cell>
          <cell r="D39" t="str">
            <v/>
          </cell>
          <cell r="E39">
            <v>2146</v>
          </cell>
          <cell r="F39">
            <v>0</v>
          </cell>
          <cell r="G39">
            <v>0</v>
          </cell>
          <cell r="H39">
            <v>0</v>
          </cell>
          <cell r="I39">
            <v>0</v>
          </cell>
          <cell r="J39">
            <v>0</v>
          </cell>
          <cell r="K39">
            <v>0</v>
          </cell>
          <cell r="L39">
            <v>0</v>
          </cell>
          <cell r="M39">
            <v>0</v>
          </cell>
          <cell r="N39">
            <v>0</v>
          </cell>
          <cell r="O39">
            <v>6</v>
          </cell>
          <cell r="P39">
            <v>9</v>
          </cell>
          <cell r="Q39">
            <v>7</v>
          </cell>
          <cell r="R39">
            <v>6</v>
          </cell>
          <cell r="S39">
            <v>5</v>
          </cell>
          <cell r="T39">
            <v>4</v>
          </cell>
          <cell r="U39">
            <v>1</v>
          </cell>
          <cell r="V39">
            <v>0</v>
          </cell>
          <cell r="W39">
            <v>3</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41</v>
          </cell>
          <cell r="BO39">
            <v>41</v>
          </cell>
          <cell r="BP39">
            <v>41</v>
          </cell>
          <cell r="BQ39">
            <v>41</v>
          </cell>
          <cell r="BR39" t="str">
            <v>ELDC</v>
          </cell>
        </row>
        <row r="40">
          <cell r="A40" t="str">
            <v>E2080</v>
          </cell>
          <cell r="B40">
            <v>3118</v>
          </cell>
          <cell r="C40" t="str">
            <v>Burgh-le-Marsh St Peter &amp; St Paul CE Primary School</v>
          </cell>
          <cell r="D40" t="str">
            <v/>
          </cell>
          <cell r="E40">
            <v>3118</v>
          </cell>
          <cell r="F40">
            <v>0</v>
          </cell>
          <cell r="G40">
            <v>0</v>
          </cell>
          <cell r="H40">
            <v>0</v>
          </cell>
          <cell r="I40">
            <v>0</v>
          </cell>
          <cell r="J40">
            <v>0</v>
          </cell>
          <cell r="K40">
            <v>0</v>
          </cell>
          <cell r="L40">
            <v>0</v>
          </cell>
          <cell r="M40">
            <v>0</v>
          </cell>
          <cell r="N40">
            <v>0</v>
          </cell>
          <cell r="O40">
            <v>32</v>
          </cell>
          <cell r="P40">
            <v>31</v>
          </cell>
          <cell r="Q40">
            <v>28</v>
          </cell>
          <cell r="R40">
            <v>25</v>
          </cell>
          <cell r="S40">
            <v>31</v>
          </cell>
          <cell r="T40">
            <v>22</v>
          </cell>
          <cell r="U40">
            <v>12</v>
          </cell>
          <cell r="V40">
            <v>9</v>
          </cell>
          <cell r="W40">
            <v>8</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198</v>
          </cell>
          <cell r="BO40">
            <v>198</v>
          </cell>
          <cell r="BP40">
            <v>198</v>
          </cell>
          <cell r="BQ40">
            <v>198</v>
          </cell>
          <cell r="BR40" t="str">
            <v>ELDC</v>
          </cell>
        </row>
        <row r="41">
          <cell r="A41" t="str">
            <v>E2090</v>
          </cell>
          <cell r="B41">
            <v>2243</v>
          </cell>
          <cell r="C41" t="str">
            <v>Bythams Primary School</v>
          </cell>
          <cell r="D41" t="str">
            <v/>
          </cell>
          <cell r="E41">
            <v>2243</v>
          </cell>
          <cell r="F41">
            <v>0</v>
          </cell>
          <cell r="G41">
            <v>0</v>
          </cell>
          <cell r="H41">
            <v>0</v>
          </cell>
          <cell r="I41">
            <v>0</v>
          </cell>
          <cell r="J41">
            <v>0</v>
          </cell>
          <cell r="K41">
            <v>0</v>
          </cell>
          <cell r="L41">
            <v>0</v>
          </cell>
          <cell r="M41">
            <v>0</v>
          </cell>
          <cell r="N41">
            <v>0</v>
          </cell>
          <cell r="O41">
            <v>8</v>
          </cell>
          <cell r="P41">
            <v>7</v>
          </cell>
          <cell r="Q41">
            <v>14</v>
          </cell>
          <cell r="R41">
            <v>13</v>
          </cell>
          <cell r="S41">
            <v>9</v>
          </cell>
          <cell r="T41">
            <v>12</v>
          </cell>
          <cell r="U41">
            <v>4</v>
          </cell>
          <cell r="V41">
            <v>7</v>
          </cell>
          <cell r="W41">
            <v>4</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78</v>
          </cell>
          <cell r="BO41">
            <v>78</v>
          </cell>
          <cell r="BP41">
            <v>78</v>
          </cell>
          <cell r="BQ41">
            <v>78</v>
          </cell>
          <cell r="BR41" t="str">
            <v>SKDC</v>
          </cell>
        </row>
        <row r="42">
          <cell r="A42" t="str">
            <v>E2100</v>
          </cell>
          <cell r="B42">
            <v>5216</v>
          </cell>
          <cell r="C42" t="str">
            <v>Butterwick Pinchbeck's Endowed CE Primary School</v>
          </cell>
          <cell r="D42" t="str">
            <v/>
          </cell>
          <cell r="E42">
            <v>5216</v>
          </cell>
          <cell r="F42">
            <v>0</v>
          </cell>
          <cell r="G42">
            <v>0</v>
          </cell>
          <cell r="H42">
            <v>0</v>
          </cell>
          <cell r="I42">
            <v>0</v>
          </cell>
          <cell r="J42">
            <v>0</v>
          </cell>
          <cell r="K42">
            <v>0</v>
          </cell>
          <cell r="L42">
            <v>0</v>
          </cell>
          <cell r="M42">
            <v>0</v>
          </cell>
          <cell r="N42">
            <v>0</v>
          </cell>
          <cell r="O42">
            <v>34</v>
          </cell>
          <cell r="P42">
            <v>46</v>
          </cell>
          <cell r="Q42">
            <v>37</v>
          </cell>
          <cell r="R42">
            <v>26</v>
          </cell>
          <cell r="S42">
            <v>21</v>
          </cell>
          <cell r="T42">
            <v>28</v>
          </cell>
          <cell r="U42">
            <v>7</v>
          </cell>
          <cell r="V42">
            <v>6</v>
          </cell>
          <cell r="W42">
            <v>13</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218</v>
          </cell>
          <cell r="BO42">
            <v>218</v>
          </cell>
          <cell r="BP42">
            <v>218</v>
          </cell>
          <cell r="BQ42">
            <v>218</v>
          </cell>
          <cell r="BR42" t="str">
            <v>BBC</v>
          </cell>
        </row>
        <row r="43">
          <cell r="A43" t="str">
            <v>E2110</v>
          </cell>
          <cell r="B43">
            <v>3156</v>
          </cell>
          <cell r="C43" t="str">
            <v>Caistor CE and Methodist Primary School</v>
          </cell>
          <cell r="D43" t="str">
            <v/>
          </cell>
          <cell r="E43">
            <v>3156</v>
          </cell>
          <cell r="F43">
            <v>0</v>
          </cell>
          <cell r="G43">
            <v>0</v>
          </cell>
          <cell r="H43">
            <v>0</v>
          </cell>
          <cell r="I43">
            <v>0</v>
          </cell>
          <cell r="J43">
            <v>0</v>
          </cell>
          <cell r="K43">
            <v>0</v>
          </cell>
          <cell r="L43">
            <v>0</v>
          </cell>
          <cell r="M43">
            <v>0</v>
          </cell>
          <cell r="N43">
            <v>0</v>
          </cell>
          <cell r="O43">
            <v>49</v>
          </cell>
          <cell r="P43">
            <v>38</v>
          </cell>
          <cell r="Q43">
            <v>43</v>
          </cell>
          <cell r="R43">
            <v>39</v>
          </cell>
          <cell r="S43">
            <v>42</v>
          </cell>
          <cell r="T43">
            <v>32</v>
          </cell>
          <cell r="U43">
            <v>10</v>
          </cell>
          <cell r="V43">
            <v>7</v>
          </cell>
          <cell r="W43">
            <v>21</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281</v>
          </cell>
          <cell r="BO43">
            <v>281</v>
          </cell>
          <cell r="BP43">
            <v>281</v>
          </cell>
          <cell r="BQ43">
            <v>281</v>
          </cell>
          <cell r="BR43" t="str">
            <v>WLDC</v>
          </cell>
        </row>
        <row r="44">
          <cell r="A44" t="str">
            <v>E2140</v>
          </cell>
          <cell r="B44">
            <v>2241</v>
          </cell>
          <cell r="C44" t="str">
            <v>Cherry Willingham Primary School</v>
          </cell>
          <cell r="D44" t="str">
            <v/>
          </cell>
          <cell r="E44">
            <v>2241</v>
          </cell>
          <cell r="F44">
            <v>0</v>
          </cell>
          <cell r="G44">
            <v>0</v>
          </cell>
          <cell r="H44">
            <v>0</v>
          </cell>
          <cell r="I44">
            <v>0</v>
          </cell>
          <cell r="J44">
            <v>0</v>
          </cell>
          <cell r="K44">
            <v>0</v>
          </cell>
          <cell r="L44">
            <v>0</v>
          </cell>
          <cell r="M44">
            <v>0</v>
          </cell>
          <cell r="N44">
            <v>0</v>
          </cell>
          <cell r="O44">
            <v>50</v>
          </cell>
          <cell r="P44">
            <v>50</v>
          </cell>
          <cell r="Q44">
            <v>38</v>
          </cell>
          <cell r="R44">
            <v>39</v>
          </cell>
          <cell r="S44">
            <v>37</v>
          </cell>
          <cell r="T44">
            <v>25</v>
          </cell>
          <cell r="U44">
            <v>7</v>
          </cell>
          <cell r="V44">
            <v>10</v>
          </cell>
          <cell r="W44">
            <v>17</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273</v>
          </cell>
          <cell r="BO44">
            <v>273</v>
          </cell>
          <cell r="BP44">
            <v>273</v>
          </cell>
          <cell r="BQ44">
            <v>273</v>
          </cell>
          <cell r="BR44" t="str">
            <v>WLDC</v>
          </cell>
        </row>
        <row r="45">
          <cell r="A45" t="str">
            <v>E2170</v>
          </cell>
          <cell r="B45">
            <v>2012</v>
          </cell>
          <cell r="C45" t="str">
            <v>Caythorpe Primary School</v>
          </cell>
          <cell r="D45" t="str">
            <v/>
          </cell>
          <cell r="E45">
            <v>2012</v>
          </cell>
          <cell r="F45">
            <v>0</v>
          </cell>
          <cell r="G45">
            <v>0</v>
          </cell>
          <cell r="H45">
            <v>0</v>
          </cell>
          <cell r="I45">
            <v>0</v>
          </cell>
          <cell r="J45">
            <v>0</v>
          </cell>
          <cell r="K45">
            <v>0</v>
          </cell>
          <cell r="L45">
            <v>0</v>
          </cell>
          <cell r="M45">
            <v>0</v>
          </cell>
          <cell r="N45">
            <v>0</v>
          </cell>
          <cell r="O45">
            <v>23</v>
          </cell>
          <cell r="P45">
            <v>13</v>
          </cell>
          <cell r="Q45">
            <v>8</v>
          </cell>
          <cell r="R45">
            <v>20</v>
          </cell>
          <cell r="S45">
            <v>17</v>
          </cell>
          <cell r="T45">
            <v>15</v>
          </cell>
          <cell r="U45">
            <v>5</v>
          </cell>
          <cell r="V45">
            <v>6</v>
          </cell>
          <cell r="W45">
            <v>10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117</v>
          </cell>
          <cell r="BO45">
            <v>117</v>
          </cell>
          <cell r="BP45">
            <v>117</v>
          </cell>
          <cell r="BQ45">
            <v>117</v>
          </cell>
          <cell r="BR45" t="str">
            <v>SKDC</v>
          </cell>
        </row>
        <row r="46">
          <cell r="A46" t="str">
            <v>E2180</v>
          </cell>
          <cell r="B46">
            <v>5210</v>
          </cell>
          <cell r="C46" t="str">
            <v>Chapel St Leonards Primary School</v>
          </cell>
          <cell r="D46" t="str">
            <v/>
          </cell>
          <cell r="E46">
            <v>5210</v>
          </cell>
          <cell r="F46">
            <v>0</v>
          </cell>
          <cell r="G46">
            <v>0</v>
          </cell>
          <cell r="H46">
            <v>0</v>
          </cell>
          <cell r="I46">
            <v>0</v>
          </cell>
          <cell r="J46">
            <v>0</v>
          </cell>
          <cell r="K46">
            <v>0</v>
          </cell>
          <cell r="L46">
            <v>0</v>
          </cell>
          <cell r="M46">
            <v>0</v>
          </cell>
          <cell r="N46">
            <v>0</v>
          </cell>
          <cell r="O46">
            <v>36</v>
          </cell>
          <cell r="P46">
            <v>35</v>
          </cell>
          <cell r="Q46">
            <v>34</v>
          </cell>
          <cell r="R46">
            <v>33</v>
          </cell>
          <cell r="S46">
            <v>22</v>
          </cell>
          <cell r="T46">
            <v>28</v>
          </cell>
          <cell r="U46">
            <v>13</v>
          </cell>
          <cell r="V46">
            <v>9</v>
          </cell>
          <cell r="W46">
            <v>8</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218</v>
          </cell>
          <cell r="BO46">
            <v>218</v>
          </cell>
          <cell r="BP46">
            <v>218</v>
          </cell>
          <cell r="BQ46">
            <v>218</v>
          </cell>
          <cell r="BR46" t="str">
            <v>ELDC</v>
          </cell>
        </row>
        <row r="47">
          <cell r="A47" t="str">
            <v>E2210</v>
          </cell>
          <cell r="B47">
            <v>3078</v>
          </cell>
          <cell r="C47" t="str">
            <v>Claypole CE Primary School</v>
          </cell>
          <cell r="D47" t="str">
            <v/>
          </cell>
          <cell r="E47">
            <v>3078</v>
          </cell>
          <cell r="F47">
            <v>0</v>
          </cell>
          <cell r="G47">
            <v>0</v>
          </cell>
          <cell r="H47">
            <v>0</v>
          </cell>
          <cell r="I47">
            <v>0</v>
          </cell>
          <cell r="J47">
            <v>0</v>
          </cell>
          <cell r="K47">
            <v>0</v>
          </cell>
          <cell r="L47">
            <v>0</v>
          </cell>
          <cell r="M47">
            <v>0</v>
          </cell>
          <cell r="N47">
            <v>0</v>
          </cell>
          <cell r="O47">
            <v>19</v>
          </cell>
          <cell r="P47">
            <v>23</v>
          </cell>
          <cell r="Q47">
            <v>24</v>
          </cell>
          <cell r="R47">
            <v>24</v>
          </cell>
          <cell r="S47">
            <v>24</v>
          </cell>
          <cell r="T47">
            <v>29</v>
          </cell>
          <cell r="U47">
            <v>3</v>
          </cell>
          <cell r="V47">
            <v>9</v>
          </cell>
          <cell r="W47">
            <v>12</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167</v>
          </cell>
          <cell r="BO47">
            <v>167</v>
          </cell>
          <cell r="BP47">
            <v>167</v>
          </cell>
          <cell r="BQ47">
            <v>167</v>
          </cell>
          <cell r="BR47" t="str">
            <v>SKDC</v>
          </cell>
        </row>
        <row r="48">
          <cell r="A48" t="str">
            <v>E2220</v>
          </cell>
          <cell r="B48">
            <v>3015</v>
          </cell>
          <cell r="C48" t="str">
            <v>Coleby CE Primary School</v>
          </cell>
          <cell r="D48" t="str">
            <v/>
          </cell>
          <cell r="E48">
            <v>3015</v>
          </cell>
          <cell r="F48">
            <v>0</v>
          </cell>
          <cell r="G48">
            <v>0</v>
          </cell>
          <cell r="H48">
            <v>0</v>
          </cell>
          <cell r="I48">
            <v>0</v>
          </cell>
          <cell r="J48">
            <v>0</v>
          </cell>
          <cell r="K48">
            <v>0</v>
          </cell>
          <cell r="L48">
            <v>0</v>
          </cell>
          <cell r="M48">
            <v>0</v>
          </cell>
          <cell r="N48">
            <v>0</v>
          </cell>
          <cell r="O48">
            <v>15</v>
          </cell>
          <cell r="P48">
            <v>8</v>
          </cell>
          <cell r="Q48">
            <v>15</v>
          </cell>
          <cell r="R48">
            <v>12</v>
          </cell>
          <cell r="S48">
            <v>4</v>
          </cell>
          <cell r="T48">
            <v>8</v>
          </cell>
          <cell r="U48">
            <v>3</v>
          </cell>
          <cell r="V48">
            <v>9</v>
          </cell>
          <cell r="W48">
            <v>6</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80</v>
          </cell>
          <cell r="BO48">
            <v>80</v>
          </cell>
          <cell r="BP48">
            <v>80</v>
          </cell>
          <cell r="BQ48">
            <v>80</v>
          </cell>
          <cell r="BR48" t="str">
            <v>NKDC</v>
          </cell>
        </row>
        <row r="49">
          <cell r="A49" t="str">
            <v>E2230</v>
          </cell>
          <cell r="B49">
            <v>3079</v>
          </cell>
          <cell r="C49" t="str">
            <v>Colsterworth CE Primary School</v>
          </cell>
          <cell r="D49" t="str">
            <v/>
          </cell>
          <cell r="E49">
            <v>3079</v>
          </cell>
          <cell r="F49">
            <v>0</v>
          </cell>
          <cell r="G49">
            <v>0</v>
          </cell>
          <cell r="H49">
            <v>0</v>
          </cell>
          <cell r="I49">
            <v>0</v>
          </cell>
          <cell r="J49">
            <v>0</v>
          </cell>
          <cell r="K49">
            <v>0</v>
          </cell>
          <cell r="L49">
            <v>0</v>
          </cell>
          <cell r="M49">
            <v>0</v>
          </cell>
          <cell r="N49">
            <v>0</v>
          </cell>
          <cell r="O49">
            <v>23</v>
          </cell>
          <cell r="P49">
            <v>21</v>
          </cell>
          <cell r="Q49">
            <v>12</v>
          </cell>
          <cell r="R49">
            <v>25</v>
          </cell>
          <cell r="S49">
            <v>7</v>
          </cell>
          <cell r="T49">
            <v>6</v>
          </cell>
          <cell r="U49">
            <v>9</v>
          </cell>
          <cell r="V49">
            <v>2</v>
          </cell>
          <cell r="W49">
            <v>7</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112</v>
          </cell>
          <cell r="BO49">
            <v>112</v>
          </cell>
          <cell r="BP49">
            <v>112</v>
          </cell>
          <cell r="BQ49">
            <v>112</v>
          </cell>
          <cell r="BR49" t="str">
            <v>SKDC</v>
          </cell>
        </row>
        <row r="50">
          <cell r="A50" t="str">
            <v>E2250</v>
          </cell>
          <cell r="B50">
            <v>3119</v>
          </cell>
          <cell r="C50" t="str">
            <v>Coningsby St Michael's CE Primary School</v>
          </cell>
          <cell r="D50" t="str">
            <v/>
          </cell>
          <cell r="E50">
            <v>3119</v>
          </cell>
          <cell r="F50">
            <v>0</v>
          </cell>
          <cell r="G50">
            <v>0</v>
          </cell>
          <cell r="H50">
            <v>0</v>
          </cell>
          <cell r="I50">
            <v>0</v>
          </cell>
          <cell r="J50">
            <v>0</v>
          </cell>
          <cell r="K50">
            <v>0</v>
          </cell>
          <cell r="L50">
            <v>0</v>
          </cell>
          <cell r="M50">
            <v>0</v>
          </cell>
          <cell r="N50">
            <v>0</v>
          </cell>
          <cell r="O50">
            <v>41</v>
          </cell>
          <cell r="P50">
            <v>45</v>
          </cell>
          <cell r="Q50">
            <v>33</v>
          </cell>
          <cell r="R50">
            <v>35</v>
          </cell>
          <cell r="S50">
            <v>30</v>
          </cell>
          <cell r="T50">
            <v>43</v>
          </cell>
          <cell r="U50">
            <v>17</v>
          </cell>
          <cell r="V50">
            <v>6</v>
          </cell>
          <cell r="W50">
            <v>16</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266</v>
          </cell>
          <cell r="BO50">
            <v>266</v>
          </cell>
          <cell r="BP50">
            <v>266</v>
          </cell>
          <cell r="BQ50">
            <v>266</v>
          </cell>
          <cell r="BR50" t="str">
            <v>ELDC</v>
          </cell>
        </row>
        <row r="51">
          <cell r="A51" t="str">
            <v>E2260</v>
          </cell>
          <cell r="B51">
            <v>2013</v>
          </cell>
          <cell r="C51" t="str">
            <v>Corby Glen Community Primary School</v>
          </cell>
          <cell r="D51" t="str">
            <v/>
          </cell>
          <cell r="E51">
            <v>2013</v>
          </cell>
          <cell r="F51">
            <v>0</v>
          </cell>
          <cell r="G51">
            <v>0</v>
          </cell>
          <cell r="H51">
            <v>0</v>
          </cell>
          <cell r="I51">
            <v>0</v>
          </cell>
          <cell r="J51">
            <v>0</v>
          </cell>
          <cell r="K51">
            <v>0</v>
          </cell>
          <cell r="L51">
            <v>0</v>
          </cell>
          <cell r="M51">
            <v>0</v>
          </cell>
          <cell r="N51">
            <v>0</v>
          </cell>
          <cell r="O51">
            <v>22</v>
          </cell>
          <cell r="P51">
            <v>23</v>
          </cell>
          <cell r="Q51">
            <v>20</v>
          </cell>
          <cell r="R51">
            <v>21</v>
          </cell>
          <cell r="S51">
            <v>17</v>
          </cell>
          <cell r="T51">
            <v>20</v>
          </cell>
          <cell r="U51">
            <v>8</v>
          </cell>
          <cell r="V51">
            <v>4</v>
          </cell>
          <cell r="W51">
            <v>3</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138</v>
          </cell>
          <cell r="BO51">
            <v>138</v>
          </cell>
          <cell r="BP51">
            <v>138</v>
          </cell>
          <cell r="BQ51">
            <v>138</v>
          </cell>
          <cell r="BR51" t="str">
            <v>SKDC</v>
          </cell>
        </row>
        <row r="52">
          <cell r="A52" t="str">
            <v>E2270</v>
          </cell>
          <cell r="B52">
            <v>3120</v>
          </cell>
          <cell r="C52" t="str">
            <v>Corringham CE (Voluntary Controlled) Primary School</v>
          </cell>
          <cell r="D52" t="str">
            <v/>
          </cell>
          <cell r="E52">
            <v>3120</v>
          </cell>
          <cell r="F52">
            <v>0</v>
          </cell>
          <cell r="G52">
            <v>0</v>
          </cell>
          <cell r="H52">
            <v>0</v>
          </cell>
          <cell r="I52">
            <v>0</v>
          </cell>
          <cell r="J52">
            <v>0</v>
          </cell>
          <cell r="K52">
            <v>0</v>
          </cell>
          <cell r="L52">
            <v>0</v>
          </cell>
          <cell r="M52">
            <v>0</v>
          </cell>
          <cell r="N52">
            <v>0</v>
          </cell>
          <cell r="O52">
            <v>7</v>
          </cell>
          <cell r="P52">
            <v>13</v>
          </cell>
          <cell r="Q52">
            <v>16</v>
          </cell>
          <cell r="R52">
            <v>12</v>
          </cell>
          <cell r="S52">
            <v>7</v>
          </cell>
          <cell r="T52">
            <v>9</v>
          </cell>
          <cell r="U52">
            <v>10</v>
          </cell>
          <cell r="V52">
            <v>1</v>
          </cell>
          <cell r="W52">
            <v>5</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80</v>
          </cell>
          <cell r="BO52">
            <v>80</v>
          </cell>
          <cell r="BP52">
            <v>80</v>
          </cell>
          <cell r="BQ52">
            <v>80</v>
          </cell>
          <cell r="BR52" t="str">
            <v>WLDC</v>
          </cell>
        </row>
        <row r="53">
          <cell r="A53" t="str">
            <v>E2280</v>
          </cell>
          <cell r="B53">
            <v>3337</v>
          </cell>
          <cell r="C53" t="str">
            <v>Cowbit St Mary's (Endowed) CE Primary School</v>
          </cell>
          <cell r="D53" t="str">
            <v/>
          </cell>
          <cell r="E53">
            <v>3337</v>
          </cell>
          <cell r="F53">
            <v>0</v>
          </cell>
          <cell r="G53">
            <v>0</v>
          </cell>
          <cell r="H53">
            <v>0</v>
          </cell>
          <cell r="I53">
            <v>0</v>
          </cell>
          <cell r="J53">
            <v>0</v>
          </cell>
          <cell r="K53">
            <v>0</v>
          </cell>
          <cell r="L53">
            <v>0</v>
          </cell>
          <cell r="M53">
            <v>0</v>
          </cell>
          <cell r="N53">
            <v>0</v>
          </cell>
          <cell r="O53">
            <v>10</v>
          </cell>
          <cell r="P53">
            <v>11</v>
          </cell>
          <cell r="Q53">
            <v>9</v>
          </cell>
          <cell r="R53">
            <v>9</v>
          </cell>
          <cell r="S53">
            <v>12</v>
          </cell>
          <cell r="T53">
            <v>10</v>
          </cell>
          <cell r="U53">
            <v>1</v>
          </cell>
          <cell r="V53">
            <v>0</v>
          </cell>
          <cell r="W53">
            <v>8</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6</v>
          </cell>
          <cell r="AU53">
            <v>2</v>
          </cell>
          <cell r="AV53">
            <v>5</v>
          </cell>
          <cell r="AW53">
            <v>2</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85</v>
          </cell>
          <cell r="BO53">
            <v>77.5</v>
          </cell>
          <cell r="BP53">
            <v>85</v>
          </cell>
          <cell r="BQ53">
            <v>77.5</v>
          </cell>
          <cell r="BR53" t="str">
            <v>SHDC</v>
          </cell>
        </row>
        <row r="54">
          <cell r="A54" t="str">
            <v>E2290</v>
          </cell>
          <cell r="B54">
            <v>5207</v>
          </cell>
          <cell r="C54" t="str">
            <v>Cranwell Primary School</v>
          </cell>
          <cell r="D54" t="str">
            <v/>
          </cell>
          <cell r="E54">
            <v>5207</v>
          </cell>
          <cell r="F54">
            <v>0</v>
          </cell>
          <cell r="G54">
            <v>0</v>
          </cell>
          <cell r="H54">
            <v>0</v>
          </cell>
          <cell r="I54">
            <v>0</v>
          </cell>
          <cell r="J54">
            <v>0</v>
          </cell>
          <cell r="K54">
            <v>0</v>
          </cell>
          <cell r="L54">
            <v>0</v>
          </cell>
          <cell r="M54">
            <v>0</v>
          </cell>
          <cell r="N54">
            <v>0</v>
          </cell>
          <cell r="O54">
            <v>32</v>
          </cell>
          <cell r="P54">
            <v>52</v>
          </cell>
          <cell r="Q54">
            <v>32</v>
          </cell>
          <cell r="R54">
            <v>38</v>
          </cell>
          <cell r="S54">
            <v>36</v>
          </cell>
          <cell r="T54">
            <v>46</v>
          </cell>
          <cell r="U54">
            <v>9</v>
          </cell>
          <cell r="V54">
            <v>11</v>
          </cell>
          <cell r="W54">
            <v>23</v>
          </cell>
          <cell r="X54">
            <v>13</v>
          </cell>
          <cell r="Y54">
            <v>3</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295</v>
          </cell>
          <cell r="BO54">
            <v>295</v>
          </cell>
          <cell r="BP54">
            <v>295</v>
          </cell>
          <cell r="BQ54">
            <v>295</v>
          </cell>
          <cell r="BR54" t="str">
            <v>NKDC</v>
          </cell>
        </row>
        <row r="55">
          <cell r="A55" t="str">
            <v>E2310</v>
          </cell>
          <cell r="B55">
            <v>2084</v>
          </cell>
          <cell r="C55" t="str">
            <v>Crowland South View Community Primary School</v>
          </cell>
          <cell r="D55" t="str">
            <v/>
          </cell>
          <cell r="E55">
            <v>2084</v>
          </cell>
          <cell r="F55">
            <v>0</v>
          </cell>
          <cell r="G55">
            <v>0</v>
          </cell>
          <cell r="H55">
            <v>0</v>
          </cell>
          <cell r="I55">
            <v>0</v>
          </cell>
          <cell r="J55">
            <v>0</v>
          </cell>
          <cell r="K55">
            <v>0</v>
          </cell>
          <cell r="L55">
            <v>0</v>
          </cell>
          <cell r="M55">
            <v>0</v>
          </cell>
          <cell r="N55">
            <v>0</v>
          </cell>
          <cell r="O55">
            <v>41</v>
          </cell>
          <cell r="P55">
            <v>43</v>
          </cell>
          <cell r="Q55">
            <v>48</v>
          </cell>
          <cell r="R55">
            <v>44</v>
          </cell>
          <cell r="S55">
            <v>40</v>
          </cell>
          <cell r="T55">
            <v>35</v>
          </cell>
          <cell r="U55">
            <v>11</v>
          </cell>
          <cell r="V55">
            <v>8</v>
          </cell>
          <cell r="W55">
            <v>21</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291</v>
          </cell>
          <cell r="BO55">
            <v>291</v>
          </cell>
          <cell r="BP55">
            <v>291</v>
          </cell>
          <cell r="BQ55">
            <v>291</v>
          </cell>
          <cell r="BR55" t="str">
            <v>SHDC</v>
          </cell>
        </row>
        <row r="56">
          <cell r="A56" t="str">
            <v>E2320</v>
          </cell>
          <cell r="B56">
            <v>2062</v>
          </cell>
          <cell r="C56" t="str">
            <v>Deeping St James Community Primary School</v>
          </cell>
          <cell r="D56" t="str">
            <v/>
          </cell>
          <cell r="E56">
            <v>2062</v>
          </cell>
          <cell r="F56">
            <v>0</v>
          </cell>
          <cell r="G56">
            <v>0</v>
          </cell>
          <cell r="H56">
            <v>0</v>
          </cell>
          <cell r="I56">
            <v>0</v>
          </cell>
          <cell r="J56">
            <v>0</v>
          </cell>
          <cell r="K56">
            <v>0</v>
          </cell>
          <cell r="L56">
            <v>0</v>
          </cell>
          <cell r="M56">
            <v>0</v>
          </cell>
          <cell r="N56">
            <v>0</v>
          </cell>
          <cell r="O56">
            <v>47</v>
          </cell>
          <cell r="P56">
            <v>47</v>
          </cell>
          <cell r="Q56">
            <v>33</v>
          </cell>
          <cell r="R56">
            <v>39</v>
          </cell>
          <cell r="S56">
            <v>30</v>
          </cell>
          <cell r="T56">
            <v>28</v>
          </cell>
          <cell r="U56">
            <v>14</v>
          </cell>
          <cell r="V56">
            <v>5</v>
          </cell>
          <cell r="W56">
            <v>14</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8</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265</v>
          </cell>
          <cell r="BO56">
            <v>261</v>
          </cell>
          <cell r="BP56">
            <v>265</v>
          </cell>
          <cell r="BQ56">
            <v>261</v>
          </cell>
          <cell r="BR56" t="str">
            <v>SKDC</v>
          </cell>
        </row>
        <row r="57">
          <cell r="A57" t="str">
            <v>E2330</v>
          </cell>
          <cell r="B57">
            <v>2085</v>
          </cell>
          <cell r="C57" t="str">
            <v>Deeping St Nicholas Primary School</v>
          </cell>
          <cell r="D57" t="str">
            <v/>
          </cell>
          <cell r="E57">
            <v>2085</v>
          </cell>
          <cell r="F57">
            <v>0</v>
          </cell>
          <cell r="G57">
            <v>0</v>
          </cell>
          <cell r="H57">
            <v>0</v>
          </cell>
          <cell r="I57">
            <v>0</v>
          </cell>
          <cell r="J57">
            <v>0</v>
          </cell>
          <cell r="K57">
            <v>0</v>
          </cell>
          <cell r="L57">
            <v>0</v>
          </cell>
          <cell r="M57">
            <v>0</v>
          </cell>
          <cell r="N57">
            <v>0</v>
          </cell>
          <cell r="O57">
            <v>8</v>
          </cell>
          <cell r="P57">
            <v>8</v>
          </cell>
          <cell r="Q57">
            <v>11</v>
          </cell>
          <cell r="R57">
            <v>7</v>
          </cell>
          <cell r="S57">
            <v>6</v>
          </cell>
          <cell r="T57">
            <v>7</v>
          </cell>
          <cell r="U57">
            <v>1</v>
          </cell>
          <cell r="V57">
            <v>1</v>
          </cell>
          <cell r="W57">
            <v>1</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1</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51</v>
          </cell>
          <cell r="BO57">
            <v>50.5</v>
          </cell>
          <cell r="BP57">
            <v>51</v>
          </cell>
          <cell r="BQ57">
            <v>50.5</v>
          </cell>
          <cell r="BR57" t="str">
            <v>SHDC</v>
          </cell>
        </row>
        <row r="58">
          <cell r="A58" t="str">
            <v>E2340</v>
          </cell>
          <cell r="B58">
            <v>2232</v>
          </cell>
          <cell r="C58" t="str">
            <v>Deeping St James Linchfield Community Primary School</v>
          </cell>
          <cell r="D58" t="str">
            <v/>
          </cell>
          <cell r="E58">
            <v>2232</v>
          </cell>
          <cell r="F58">
            <v>0</v>
          </cell>
          <cell r="G58">
            <v>0</v>
          </cell>
          <cell r="H58">
            <v>0</v>
          </cell>
          <cell r="I58">
            <v>0</v>
          </cell>
          <cell r="J58">
            <v>0</v>
          </cell>
          <cell r="K58">
            <v>0</v>
          </cell>
          <cell r="L58">
            <v>0</v>
          </cell>
          <cell r="M58">
            <v>0</v>
          </cell>
          <cell r="N58">
            <v>0</v>
          </cell>
          <cell r="O58">
            <v>65</v>
          </cell>
          <cell r="P58">
            <v>57</v>
          </cell>
          <cell r="Q58">
            <v>62</v>
          </cell>
          <cell r="R58">
            <v>56</v>
          </cell>
          <cell r="S58">
            <v>55</v>
          </cell>
          <cell r="T58">
            <v>56</v>
          </cell>
          <cell r="U58">
            <v>15</v>
          </cell>
          <cell r="V58">
            <v>11</v>
          </cell>
          <cell r="W58">
            <v>21</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398</v>
          </cell>
          <cell r="BO58">
            <v>398</v>
          </cell>
          <cell r="BP58">
            <v>398</v>
          </cell>
          <cell r="BQ58">
            <v>398</v>
          </cell>
          <cell r="BR58" t="str">
            <v>SKDC</v>
          </cell>
        </row>
        <row r="59">
          <cell r="A59" t="str">
            <v>E2350</v>
          </cell>
          <cell r="B59">
            <v>3017</v>
          </cell>
          <cell r="C59" t="str">
            <v>Denton CE School</v>
          </cell>
          <cell r="D59" t="str">
            <v/>
          </cell>
          <cell r="E59">
            <v>3017</v>
          </cell>
          <cell r="F59">
            <v>0</v>
          </cell>
          <cell r="G59">
            <v>0</v>
          </cell>
          <cell r="H59">
            <v>0</v>
          </cell>
          <cell r="I59">
            <v>0</v>
          </cell>
          <cell r="J59">
            <v>0</v>
          </cell>
          <cell r="K59">
            <v>0</v>
          </cell>
          <cell r="L59">
            <v>0</v>
          </cell>
          <cell r="M59">
            <v>0</v>
          </cell>
          <cell r="N59">
            <v>0</v>
          </cell>
          <cell r="O59">
            <v>9</v>
          </cell>
          <cell r="P59">
            <v>6</v>
          </cell>
          <cell r="Q59">
            <v>8</v>
          </cell>
          <cell r="R59">
            <v>6</v>
          </cell>
          <cell r="S59">
            <v>6</v>
          </cell>
          <cell r="T59">
            <v>9</v>
          </cell>
          <cell r="U59">
            <v>3</v>
          </cell>
          <cell r="V59">
            <v>1</v>
          </cell>
          <cell r="W59">
            <v>5</v>
          </cell>
          <cell r="X59">
            <v>2</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55</v>
          </cell>
          <cell r="BO59">
            <v>55</v>
          </cell>
          <cell r="BP59">
            <v>55</v>
          </cell>
          <cell r="BQ59">
            <v>55</v>
          </cell>
          <cell r="BR59" t="str">
            <v>SKDC</v>
          </cell>
        </row>
        <row r="60">
          <cell r="A60" t="str">
            <v>E2360</v>
          </cell>
          <cell r="B60">
            <v>3018</v>
          </cell>
          <cell r="C60" t="str">
            <v>Digby CE School</v>
          </cell>
          <cell r="D60" t="str">
            <v/>
          </cell>
          <cell r="E60">
            <v>3018</v>
          </cell>
          <cell r="F60">
            <v>0</v>
          </cell>
          <cell r="G60">
            <v>0</v>
          </cell>
          <cell r="H60">
            <v>0</v>
          </cell>
          <cell r="I60">
            <v>0</v>
          </cell>
          <cell r="J60">
            <v>0</v>
          </cell>
          <cell r="K60">
            <v>0</v>
          </cell>
          <cell r="L60">
            <v>0</v>
          </cell>
          <cell r="M60">
            <v>0</v>
          </cell>
          <cell r="N60">
            <v>0</v>
          </cell>
          <cell r="O60">
            <v>9</v>
          </cell>
          <cell r="P60">
            <v>12</v>
          </cell>
          <cell r="Q60">
            <v>7</v>
          </cell>
          <cell r="R60">
            <v>8</v>
          </cell>
          <cell r="S60">
            <v>9</v>
          </cell>
          <cell r="T60">
            <v>4</v>
          </cell>
          <cell r="U60">
            <v>3</v>
          </cell>
          <cell r="V60">
            <v>2</v>
          </cell>
          <cell r="W60">
            <v>3</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57</v>
          </cell>
          <cell r="BO60">
            <v>57</v>
          </cell>
          <cell r="BP60">
            <v>57</v>
          </cell>
          <cell r="BQ60">
            <v>57</v>
          </cell>
          <cell r="BR60" t="str">
            <v>NKDC</v>
          </cell>
        </row>
        <row r="61">
          <cell r="A61" t="str">
            <v>E2370</v>
          </cell>
          <cell r="B61">
            <v>2017</v>
          </cell>
          <cell r="C61" t="str">
            <v>Digby The Tedder Primary School</v>
          </cell>
          <cell r="D61" t="str">
            <v/>
          </cell>
          <cell r="E61">
            <v>2017</v>
          </cell>
          <cell r="F61">
            <v>0</v>
          </cell>
          <cell r="G61">
            <v>0</v>
          </cell>
          <cell r="H61">
            <v>0</v>
          </cell>
          <cell r="I61">
            <v>0</v>
          </cell>
          <cell r="J61">
            <v>0</v>
          </cell>
          <cell r="K61">
            <v>0</v>
          </cell>
          <cell r="L61">
            <v>0</v>
          </cell>
          <cell r="M61">
            <v>0</v>
          </cell>
          <cell r="N61">
            <v>0</v>
          </cell>
          <cell r="O61">
            <v>6</v>
          </cell>
          <cell r="P61">
            <v>14</v>
          </cell>
          <cell r="Q61">
            <v>9</v>
          </cell>
          <cell r="R61">
            <v>9</v>
          </cell>
          <cell r="S61">
            <v>9</v>
          </cell>
          <cell r="T61">
            <v>18</v>
          </cell>
          <cell r="U61">
            <v>6</v>
          </cell>
          <cell r="V61">
            <v>2</v>
          </cell>
          <cell r="W61">
            <v>6</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79</v>
          </cell>
          <cell r="BO61">
            <v>79</v>
          </cell>
          <cell r="BP61">
            <v>79</v>
          </cell>
          <cell r="BQ61">
            <v>79</v>
          </cell>
          <cell r="BR61" t="str">
            <v>NKDC</v>
          </cell>
        </row>
        <row r="62">
          <cell r="A62" t="str">
            <v>E2390</v>
          </cell>
          <cell r="B62">
            <v>3098</v>
          </cell>
          <cell r="C62" t="str">
            <v>Donington Cowley Endowed Primary School</v>
          </cell>
          <cell r="D62" t="str">
            <v/>
          </cell>
          <cell r="E62">
            <v>3098</v>
          </cell>
          <cell r="F62">
            <v>0</v>
          </cell>
          <cell r="G62">
            <v>0</v>
          </cell>
          <cell r="H62">
            <v>0</v>
          </cell>
          <cell r="I62">
            <v>0</v>
          </cell>
          <cell r="J62">
            <v>0</v>
          </cell>
          <cell r="K62">
            <v>0</v>
          </cell>
          <cell r="L62">
            <v>0</v>
          </cell>
          <cell r="M62">
            <v>0</v>
          </cell>
          <cell r="N62">
            <v>0</v>
          </cell>
          <cell r="O62">
            <v>33</v>
          </cell>
          <cell r="P62">
            <v>35</v>
          </cell>
          <cell r="Q62">
            <v>35</v>
          </cell>
          <cell r="R62">
            <v>23</v>
          </cell>
          <cell r="S62">
            <v>27</v>
          </cell>
          <cell r="T62">
            <v>30</v>
          </cell>
          <cell r="U62">
            <v>8</v>
          </cell>
          <cell r="V62">
            <v>13</v>
          </cell>
          <cell r="W62">
            <v>9</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5</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218</v>
          </cell>
          <cell r="BO62">
            <v>215.5</v>
          </cell>
          <cell r="BP62">
            <v>218</v>
          </cell>
          <cell r="BQ62">
            <v>215.5</v>
          </cell>
          <cell r="BR62" t="str">
            <v>SHDC</v>
          </cell>
        </row>
        <row r="63">
          <cell r="A63" t="str">
            <v>E2400</v>
          </cell>
          <cell r="B63">
            <v>2149</v>
          </cell>
          <cell r="C63" t="str">
            <v>Donington-on-Bain School</v>
          </cell>
          <cell r="D63" t="str">
            <v/>
          </cell>
          <cell r="E63">
            <v>2149</v>
          </cell>
          <cell r="F63">
            <v>0</v>
          </cell>
          <cell r="G63">
            <v>0</v>
          </cell>
          <cell r="H63">
            <v>0</v>
          </cell>
          <cell r="I63">
            <v>0</v>
          </cell>
          <cell r="J63">
            <v>0</v>
          </cell>
          <cell r="K63">
            <v>0</v>
          </cell>
          <cell r="L63">
            <v>0</v>
          </cell>
          <cell r="M63">
            <v>0</v>
          </cell>
          <cell r="N63">
            <v>0</v>
          </cell>
          <cell r="O63">
            <v>12</v>
          </cell>
          <cell r="P63">
            <v>20</v>
          </cell>
          <cell r="Q63">
            <v>15</v>
          </cell>
          <cell r="R63">
            <v>9</v>
          </cell>
          <cell r="S63">
            <v>8</v>
          </cell>
          <cell r="T63">
            <v>21</v>
          </cell>
          <cell r="U63">
            <v>5</v>
          </cell>
          <cell r="V63">
            <v>2</v>
          </cell>
          <cell r="W63">
            <v>9</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101</v>
          </cell>
          <cell r="BO63">
            <v>101</v>
          </cell>
          <cell r="BP63">
            <v>101</v>
          </cell>
          <cell r="BQ63">
            <v>101</v>
          </cell>
          <cell r="BR63" t="str">
            <v>ELDC</v>
          </cell>
        </row>
        <row r="64">
          <cell r="A64" t="str">
            <v>E2420</v>
          </cell>
          <cell r="B64">
            <v>3121</v>
          </cell>
          <cell r="C64" t="str">
            <v>Dunholme St Chad's CE Primary School</v>
          </cell>
          <cell r="D64" t="str">
            <v/>
          </cell>
          <cell r="E64">
            <v>3121</v>
          </cell>
          <cell r="F64">
            <v>0</v>
          </cell>
          <cell r="G64">
            <v>0</v>
          </cell>
          <cell r="H64">
            <v>0</v>
          </cell>
          <cell r="I64">
            <v>0</v>
          </cell>
          <cell r="J64">
            <v>0</v>
          </cell>
          <cell r="K64">
            <v>0</v>
          </cell>
          <cell r="L64">
            <v>0</v>
          </cell>
          <cell r="M64">
            <v>0</v>
          </cell>
          <cell r="N64">
            <v>0</v>
          </cell>
          <cell r="O64">
            <v>30</v>
          </cell>
          <cell r="P64">
            <v>21</v>
          </cell>
          <cell r="Q64">
            <v>29</v>
          </cell>
          <cell r="R64">
            <v>17</v>
          </cell>
          <cell r="S64">
            <v>30</v>
          </cell>
          <cell r="T64">
            <v>16</v>
          </cell>
          <cell r="U64">
            <v>6</v>
          </cell>
          <cell r="V64">
            <v>2</v>
          </cell>
          <cell r="W64">
            <v>5</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156</v>
          </cell>
          <cell r="BO64">
            <v>156</v>
          </cell>
          <cell r="BP64">
            <v>156</v>
          </cell>
          <cell r="BQ64">
            <v>156</v>
          </cell>
          <cell r="BR64" t="str">
            <v>WLDC</v>
          </cell>
        </row>
        <row r="65">
          <cell r="A65" t="str">
            <v>E2430</v>
          </cell>
          <cell r="B65">
            <v>3021</v>
          </cell>
          <cell r="C65" t="str">
            <v>Dunston St Peter's CE Primary School</v>
          </cell>
          <cell r="D65" t="str">
            <v/>
          </cell>
          <cell r="E65">
            <v>3021</v>
          </cell>
          <cell r="F65">
            <v>0</v>
          </cell>
          <cell r="G65">
            <v>0</v>
          </cell>
          <cell r="H65">
            <v>0</v>
          </cell>
          <cell r="I65">
            <v>0</v>
          </cell>
          <cell r="J65">
            <v>0</v>
          </cell>
          <cell r="K65">
            <v>0</v>
          </cell>
          <cell r="L65">
            <v>0</v>
          </cell>
          <cell r="M65">
            <v>0</v>
          </cell>
          <cell r="N65">
            <v>0</v>
          </cell>
          <cell r="O65">
            <v>8</v>
          </cell>
          <cell r="P65">
            <v>11</v>
          </cell>
          <cell r="Q65">
            <v>7</v>
          </cell>
          <cell r="R65">
            <v>14</v>
          </cell>
          <cell r="S65">
            <v>6</v>
          </cell>
          <cell r="T65">
            <v>11</v>
          </cell>
          <cell r="U65">
            <v>3</v>
          </cell>
          <cell r="V65">
            <v>1</v>
          </cell>
          <cell r="W65">
            <v>6</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67</v>
          </cell>
          <cell r="BO65">
            <v>67</v>
          </cell>
          <cell r="BP65">
            <v>67</v>
          </cell>
          <cell r="BQ65">
            <v>67</v>
          </cell>
          <cell r="BR65" t="str">
            <v>NKDC</v>
          </cell>
        </row>
        <row r="66">
          <cell r="A66" t="str">
            <v>E2440</v>
          </cell>
          <cell r="B66">
            <v>2019</v>
          </cell>
          <cell r="C66" t="str">
            <v>Eagle Community Primary School</v>
          </cell>
          <cell r="D66" t="str">
            <v/>
          </cell>
          <cell r="E66">
            <v>2019</v>
          </cell>
          <cell r="F66">
            <v>0</v>
          </cell>
          <cell r="G66">
            <v>0</v>
          </cell>
          <cell r="H66">
            <v>0</v>
          </cell>
          <cell r="I66">
            <v>0</v>
          </cell>
          <cell r="J66">
            <v>0</v>
          </cell>
          <cell r="K66">
            <v>0</v>
          </cell>
          <cell r="L66">
            <v>0</v>
          </cell>
          <cell r="M66">
            <v>0</v>
          </cell>
          <cell r="N66">
            <v>0</v>
          </cell>
          <cell r="O66">
            <v>11</v>
          </cell>
          <cell r="P66">
            <v>13</v>
          </cell>
          <cell r="Q66">
            <v>9</v>
          </cell>
          <cell r="R66">
            <v>13</v>
          </cell>
          <cell r="S66">
            <v>11</v>
          </cell>
          <cell r="T66">
            <v>11</v>
          </cell>
          <cell r="U66">
            <v>9</v>
          </cell>
          <cell r="V66">
            <v>0</v>
          </cell>
          <cell r="W66">
            <v>3</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6</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86</v>
          </cell>
          <cell r="BO66">
            <v>83</v>
          </cell>
          <cell r="BP66">
            <v>86</v>
          </cell>
          <cell r="BQ66">
            <v>83</v>
          </cell>
          <cell r="BR66" t="str">
            <v>NKDC</v>
          </cell>
        </row>
        <row r="67">
          <cell r="A67" t="str">
            <v>E2490</v>
          </cell>
          <cell r="B67">
            <v>3022</v>
          </cell>
          <cell r="C67" t="str">
            <v>Edenham CE School</v>
          </cell>
          <cell r="D67" t="str">
            <v/>
          </cell>
          <cell r="E67">
            <v>3022</v>
          </cell>
          <cell r="F67">
            <v>0</v>
          </cell>
          <cell r="G67">
            <v>0</v>
          </cell>
          <cell r="H67">
            <v>0</v>
          </cell>
          <cell r="I67">
            <v>0</v>
          </cell>
          <cell r="J67">
            <v>0</v>
          </cell>
          <cell r="K67">
            <v>0</v>
          </cell>
          <cell r="L67">
            <v>0</v>
          </cell>
          <cell r="M67">
            <v>0</v>
          </cell>
          <cell r="N67">
            <v>0</v>
          </cell>
          <cell r="O67">
            <v>15</v>
          </cell>
          <cell r="P67">
            <v>17</v>
          </cell>
          <cell r="Q67">
            <v>15</v>
          </cell>
          <cell r="R67">
            <v>16</v>
          </cell>
          <cell r="S67">
            <v>13</v>
          </cell>
          <cell r="T67">
            <v>17</v>
          </cell>
          <cell r="U67">
            <v>5</v>
          </cell>
          <cell r="V67">
            <v>9</v>
          </cell>
          <cell r="W67">
            <v>5</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112</v>
          </cell>
          <cell r="BO67">
            <v>112</v>
          </cell>
          <cell r="BP67">
            <v>112</v>
          </cell>
          <cell r="BQ67">
            <v>112</v>
          </cell>
          <cell r="BR67" t="str">
            <v>SKDC</v>
          </cell>
        </row>
        <row r="68">
          <cell r="A68" t="str">
            <v>E2520</v>
          </cell>
          <cell r="B68">
            <v>2151</v>
          </cell>
          <cell r="C68" t="str">
            <v>Faldingworth Community Primary School</v>
          </cell>
          <cell r="D68" t="str">
            <v/>
          </cell>
          <cell r="E68">
            <v>2151</v>
          </cell>
          <cell r="F68">
            <v>0</v>
          </cell>
          <cell r="G68">
            <v>0</v>
          </cell>
          <cell r="H68">
            <v>0</v>
          </cell>
          <cell r="I68">
            <v>0</v>
          </cell>
          <cell r="J68">
            <v>0</v>
          </cell>
          <cell r="K68">
            <v>0</v>
          </cell>
          <cell r="L68">
            <v>0</v>
          </cell>
          <cell r="M68">
            <v>0</v>
          </cell>
          <cell r="N68">
            <v>0</v>
          </cell>
          <cell r="O68">
            <v>6</v>
          </cell>
          <cell r="P68">
            <v>4</v>
          </cell>
          <cell r="Q68">
            <v>6</v>
          </cell>
          <cell r="R68">
            <v>2</v>
          </cell>
          <cell r="S68">
            <v>6</v>
          </cell>
          <cell r="T68">
            <v>11</v>
          </cell>
          <cell r="U68">
            <v>1</v>
          </cell>
          <cell r="V68">
            <v>2</v>
          </cell>
          <cell r="W68">
            <v>2</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40</v>
          </cell>
          <cell r="BO68">
            <v>40</v>
          </cell>
          <cell r="BP68">
            <v>40</v>
          </cell>
          <cell r="BQ68">
            <v>40</v>
          </cell>
          <cell r="BR68" t="str">
            <v>WLDC</v>
          </cell>
        </row>
        <row r="69">
          <cell r="A69" t="str">
            <v>E2530</v>
          </cell>
          <cell r="B69">
            <v>3086</v>
          </cell>
          <cell r="C69" t="str">
            <v>Fishtoft School</v>
          </cell>
          <cell r="D69" t="str">
            <v/>
          </cell>
          <cell r="E69">
            <v>3086</v>
          </cell>
          <cell r="F69">
            <v>0</v>
          </cell>
          <cell r="G69">
            <v>0</v>
          </cell>
          <cell r="H69">
            <v>0</v>
          </cell>
          <cell r="I69">
            <v>0</v>
          </cell>
          <cell r="J69">
            <v>0</v>
          </cell>
          <cell r="K69">
            <v>0</v>
          </cell>
          <cell r="L69">
            <v>0</v>
          </cell>
          <cell r="M69">
            <v>0</v>
          </cell>
          <cell r="N69">
            <v>0</v>
          </cell>
          <cell r="O69">
            <v>8</v>
          </cell>
          <cell r="P69">
            <v>13</v>
          </cell>
          <cell r="Q69">
            <v>9</v>
          </cell>
          <cell r="R69">
            <v>16</v>
          </cell>
          <cell r="S69">
            <v>11</v>
          </cell>
          <cell r="T69">
            <v>3</v>
          </cell>
          <cell r="U69">
            <v>3</v>
          </cell>
          <cell r="V69">
            <v>4</v>
          </cell>
          <cell r="W69">
            <v>3</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70</v>
          </cell>
          <cell r="BO69">
            <v>70</v>
          </cell>
          <cell r="BP69">
            <v>70</v>
          </cell>
          <cell r="BQ69">
            <v>70</v>
          </cell>
          <cell r="BR69" t="str">
            <v>BBC</v>
          </cell>
        </row>
        <row r="70">
          <cell r="A70" t="str">
            <v>E2540</v>
          </cell>
          <cell r="B70">
            <v>3122</v>
          </cell>
          <cell r="C70" t="str">
            <v>Fiskerton CE Primary School</v>
          </cell>
          <cell r="D70" t="str">
            <v/>
          </cell>
          <cell r="E70">
            <v>3122</v>
          </cell>
          <cell r="F70">
            <v>0</v>
          </cell>
          <cell r="G70">
            <v>0</v>
          </cell>
          <cell r="H70">
            <v>0</v>
          </cell>
          <cell r="I70">
            <v>0</v>
          </cell>
          <cell r="J70">
            <v>0</v>
          </cell>
          <cell r="K70">
            <v>0</v>
          </cell>
          <cell r="L70">
            <v>0</v>
          </cell>
          <cell r="M70">
            <v>0</v>
          </cell>
          <cell r="N70">
            <v>0</v>
          </cell>
          <cell r="O70">
            <v>3</v>
          </cell>
          <cell r="P70">
            <v>7</v>
          </cell>
          <cell r="Q70">
            <v>6</v>
          </cell>
          <cell r="R70">
            <v>6</v>
          </cell>
          <cell r="S70">
            <v>3</v>
          </cell>
          <cell r="T70">
            <v>6</v>
          </cell>
          <cell r="U70">
            <v>0</v>
          </cell>
          <cell r="V70">
            <v>4</v>
          </cell>
          <cell r="W70">
            <v>4</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39</v>
          </cell>
          <cell r="BO70">
            <v>39</v>
          </cell>
          <cell r="BP70">
            <v>39</v>
          </cell>
          <cell r="BQ70">
            <v>39</v>
          </cell>
          <cell r="BR70" t="str">
            <v>WLDC</v>
          </cell>
        </row>
        <row r="71">
          <cell r="A71" t="str">
            <v>E2550</v>
          </cell>
          <cell r="B71">
            <v>2087</v>
          </cell>
          <cell r="C71" t="str">
            <v>Fleet Wood Lane School</v>
          </cell>
          <cell r="D71" t="str">
            <v/>
          </cell>
          <cell r="E71">
            <v>2087</v>
          </cell>
          <cell r="F71">
            <v>0</v>
          </cell>
          <cell r="G71">
            <v>0</v>
          </cell>
          <cell r="H71">
            <v>0</v>
          </cell>
          <cell r="I71">
            <v>0</v>
          </cell>
          <cell r="J71">
            <v>0</v>
          </cell>
          <cell r="K71">
            <v>0</v>
          </cell>
          <cell r="L71">
            <v>0</v>
          </cell>
          <cell r="M71">
            <v>0</v>
          </cell>
          <cell r="N71">
            <v>0</v>
          </cell>
          <cell r="O71">
            <v>18</v>
          </cell>
          <cell r="P71">
            <v>25</v>
          </cell>
          <cell r="Q71">
            <v>23</v>
          </cell>
          <cell r="R71">
            <v>17</v>
          </cell>
          <cell r="S71">
            <v>20</v>
          </cell>
          <cell r="T71">
            <v>21</v>
          </cell>
          <cell r="U71">
            <v>7</v>
          </cell>
          <cell r="V71">
            <v>2</v>
          </cell>
          <cell r="W71">
            <v>6</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139</v>
          </cell>
          <cell r="BO71">
            <v>139</v>
          </cell>
          <cell r="BP71">
            <v>139</v>
          </cell>
          <cell r="BQ71">
            <v>139</v>
          </cell>
          <cell r="BR71" t="str">
            <v>SHDC</v>
          </cell>
        </row>
        <row r="72">
          <cell r="A72" t="str">
            <v>E2590</v>
          </cell>
          <cell r="B72">
            <v>3353</v>
          </cell>
          <cell r="C72" t="str">
            <v>Friskney All Saints Church of England (Aided) Primary School</v>
          </cell>
          <cell r="D72" t="str">
            <v/>
          </cell>
          <cell r="E72">
            <v>3353</v>
          </cell>
          <cell r="F72">
            <v>0</v>
          </cell>
          <cell r="G72">
            <v>0</v>
          </cell>
          <cell r="H72">
            <v>0</v>
          </cell>
          <cell r="I72">
            <v>0</v>
          </cell>
          <cell r="J72">
            <v>0</v>
          </cell>
          <cell r="K72">
            <v>0</v>
          </cell>
          <cell r="L72">
            <v>0</v>
          </cell>
          <cell r="M72">
            <v>0</v>
          </cell>
          <cell r="N72">
            <v>0</v>
          </cell>
          <cell r="O72">
            <v>28</v>
          </cell>
          <cell r="P72">
            <v>30</v>
          </cell>
          <cell r="Q72">
            <v>24</v>
          </cell>
          <cell r="R72">
            <v>19</v>
          </cell>
          <cell r="S72">
            <v>28</v>
          </cell>
          <cell r="T72">
            <v>26</v>
          </cell>
          <cell r="U72">
            <v>5</v>
          </cell>
          <cell r="V72">
            <v>4</v>
          </cell>
          <cell r="W72">
            <v>11</v>
          </cell>
          <cell r="X72">
            <v>7</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182</v>
          </cell>
          <cell r="BO72">
            <v>182</v>
          </cell>
          <cell r="BP72">
            <v>182</v>
          </cell>
          <cell r="BQ72">
            <v>182</v>
          </cell>
          <cell r="BR72" t="str">
            <v>ELDC</v>
          </cell>
        </row>
        <row r="73">
          <cell r="A73" t="str">
            <v>E2600</v>
          </cell>
          <cell r="B73">
            <v>2152</v>
          </cell>
          <cell r="C73" t="str">
            <v>Frithville Primary School</v>
          </cell>
          <cell r="D73" t="str">
            <v/>
          </cell>
          <cell r="E73">
            <v>2152</v>
          </cell>
          <cell r="F73">
            <v>0</v>
          </cell>
          <cell r="G73">
            <v>0</v>
          </cell>
          <cell r="H73">
            <v>0</v>
          </cell>
          <cell r="I73">
            <v>0</v>
          </cell>
          <cell r="J73">
            <v>0</v>
          </cell>
          <cell r="K73">
            <v>0</v>
          </cell>
          <cell r="L73">
            <v>0</v>
          </cell>
          <cell r="M73">
            <v>0</v>
          </cell>
          <cell r="N73">
            <v>0</v>
          </cell>
          <cell r="O73">
            <v>10</v>
          </cell>
          <cell r="P73">
            <v>9</v>
          </cell>
          <cell r="Q73">
            <v>8</v>
          </cell>
          <cell r="R73">
            <v>7</v>
          </cell>
          <cell r="S73">
            <v>5</v>
          </cell>
          <cell r="T73">
            <v>6</v>
          </cell>
          <cell r="U73">
            <v>0</v>
          </cell>
          <cell r="V73">
            <v>1</v>
          </cell>
          <cell r="W73">
            <v>5</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51</v>
          </cell>
          <cell r="BO73">
            <v>51</v>
          </cell>
          <cell r="BP73">
            <v>51</v>
          </cell>
          <cell r="BQ73">
            <v>51</v>
          </cell>
          <cell r="BR73" t="str">
            <v>ELDC</v>
          </cell>
        </row>
        <row r="74">
          <cell r="A74" t="str">
            <v>E2630</v>
          </cell>
          <cell r="B74">
            <v>2153</v>
          </cell>
          <cell r="C74" t="str">
            <v>Fulstow Community Primary School</v>
          </cell>
          <cell r="D74" t="str">
            <v/>
          </cell>
          <cell r="E74">
            <v>2153</v>
          </cell>
          <cell r="F74">
            <v>0</v>
          </cell>
          <cell r="G74">
            <v>0</v>
          </cell>
          <cell r="H74">
            <v>0</v>
          </cell>
          <cell r="I74">
            <v>0</v>
          </cell>
          <cell r="J74">
            <v>0</v>
          </cell>
          <cell r="K74">
            <v>0</v>
          </cell>
          <cell r="L74">
            <v>0</v>
          </cell>
          <cell r="M74">
            <v>0</v>
          </cell>
          <cell r="N74">
            <v>0</v>
          </cell>
          <cell r="O74">
            <v>7</v>
          </cell>
          <cell r="P74">
            <v>7</v>
          </cell>
          <cell r="Q74">
            <v>5</v>
          </cell>
          <cell r="R74">
            <v>10</v>
          </cell>
          <cell r="S74">
            <v>4</v>
          </cell>
          <cell r="T74">
            <v>8</v>
          </cell>
          <cell r="U74">
            <v>0</v>
          </cell>
          <cell r="V74">
            <v>3</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44</v>
          </cell>
          <cell r="BO74">
            <v>44</v>
          </cell>
          <cell r="BP74">
            <v>44</v>
          </cell>
          <cell r="BQ74">
            <v>44</v>
          </cell>
          <cell r="BR74" t="str">
            <v>ELDC</v>
          </cell>
        </row>
        <row r="75">
          <cell r="A75" t="str">
            <v>E2640</v>
          </cell>
          <cell r="B75">
            <v>2247</v>
          </cell>
          <cell r="C75" t="str">
            <v>Gainsborough Benjamin Adlard Community School</v>
          </cell>
          <cell r="D75" t="str">
            <v/>
          </cell>
          <cell r="E75">
            <v>2247</v>
          </cell>
          <cell r="F75">
            <v>0</v>
          </cell>
          <cell r="G75">
            <v>0</v>
          </cell>
          <cell r="H75">
            <v>0</v>
          </cell>
          <cell r="I75">
            <v>0</v>
          </cell>
          <cell r="J75">
            <v>0</v>
          </cell>
          <cell r="K75">
            <v>0</v>
          </cell>
          <cell r="L75">
            <v>0</v>
          </cell>
          <cell r="M75">
            <v>0</v>
          </cell>
          <cell r="N75">
            <v>0</v>
          </cell>
          <cell r="O75">
            <v>48</v>
          </cell>
          <cell r="P75">
            <v>37</v>
          </cell>
          <cell r="Q75">
            <v>36</v>
          </cell>
          <cell r="R75">
            <v>31</v>
          </cell>
          <cell r="S75">
            <v>24</v>
          </cell>
          <cell r="T75">
            <v>31</v>
          </cell>
          <cell r="U75">
            <v>11</v>
          </cell>
          <cell r="V75">
            <v>10</v>
          </cell>
          <cell r="W75">
            <v>12</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8</v>
          </cell>
          <cell r="BK75">
            <v>5</v>
          </cell>
          <cell r="BL75">
            <v>14</v>
          </cell>
          <cell r="BM75">
            <v>5</v>
          </cell>
          <cell r="BN75">
            <v>272</v>
          </cell>
          <cell r="BO75">
            <v>256</v>
          </cell>
          <cell r="BP75">
            <v>240</v>
          </cell>
          <cell r="BQ75">
            <v>240</v>
          </cell>
          <cell r="BR75" t="str">
            <v>WLDC</v>
          </cell>
        </row>
        <row r="76">
          <cell r="A76" t="str">
            <v>E2660</v>
          </cell>
          <cell r="B76">
            <v>2214</v>
          </cell>
          <cell r="C76" t="str">
            <v>Gainsborough Charles Baines Community Primary School</v>
          </cell>
          <cell r="D76" t="str">
            <v/>
          </cell>
          <cell r="E76">
            <v>2214</v>
          </cell>
          <cell r="F76">
            <v>0</v>
          </cell>
          <cell r="G76">
            <v>0</v>
          </cell>
          <cell r="H76">
            <v>0</v>
          </cell>
          <cell r="I76">
            <v>0</v>
          </cell>
          <cell r="J76">
            <v>0</v>
          </cell>
          <cell r="K76">
            <v>0</v>
          </cell>
          <cell r="L76">
            <v>0</v>
          </cell>
          <cell r="M76">
            <v>0</v>
          </cell>
          <cell r="N76">
            <v>0</v>
          </cell>
          <cell r="O76">
            <v>30</v>
          </cell>
          <cell r="P76">
            <v>26</v>
          </cell>
          <cell r="Q76">
            <v>32</v>
          </cell>
          <cell r="R76">
            <v>29</v>
          </cell>
          <cell r="S76">
            <v>21</v>
          </cell>
          <cell r="T76">
            <v>22</v>
          </cell>
          <cell r="U76">
            <v>10</v>
          </cell>
          <cell r="V76">
            <v>7</v>
          </cell>
          <cell r="W76">
            <v>8</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185</v>
          </cell>
          <cell r="BO76">
            <v>185</v>
          </cell>
          <cell r="BP76">
            <v>185</v>
          </cell>
          <cell r="BQ76">
            <v>185</v>
          </cell>
          <cell r="BR76" t="str">
            <v>WLDC</v>
          </cell>
        </row>
        <row r="77">
          <cell r="A77" t="str">
            <v>E2670</v>
          </cell>
          <cell r="B77">
            <v>2208</v>
          </cell>
          <cell r="C77" t="str">
            <v>Gainsborough Hillcrest Community Infant and Nursery School</v>
          </cell>
          <cell r="D77" t="str">
            <v/>
          </cell>
          <cell r="E77">
            <v>2208</v>
          </cell>
          <cell r="F77">
            <v>0</v>
          </cell>
          <cell r="G77">
            <v>0</v>
          </cell>
          <cell r="H77">
            <v>0</v>
          </cell>
          <cell r="I77">
            <v>0</v>
          </cell>
          <cell r="J77">
            <v>0</v>
          </cell>
          <cell r="K77">
            <v>0</v>
          </cell>
          <cell r="L77">
            <v>0</v>
          </cell>
          <cell r="M77">
            <v>0</v>
          </cell>
          <cell r="N77">
            <v>0</v>
          </cell>
          <cell r="O77">
            <v>0</v>
          </cell>
          <cell r="P77">
            <v>0</v>
          </cell>
          <cell r="Q77">
            <v>0</v>
          </cell>
          <cell r="R77">
            <v>0</v>
          </cell>
          <cell r="S77">
            <v>37</v>
          </cell>
          <cell r="T77">
            <v>37</v>
          </cell>
          <cell r="U77">
            <v>17</v>
          </cell>
          <cell r="V77">
            <v>8</v>
          </cell>
          <cell r="W77">
            <v>25</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8</v>
          </cell>
          <cell r="BK77">
            <v>8</v>
          </cell>
          <cell r="BL77">
            <v>20</v>
          </cell>
          <cell r="BM77">
            <v>8</v>
          </cell>
          <cell r="BN77">
            <v>168</v>
          </cell>
          <cell r="BO77">
            <v>146</v>
          </cell>
          <cell r="BP77">
            <v>124</v>
          </cell>
          <cell r="BQ77">
            <v>124</v>
          </cell>
          <cell r="BR77" t="str">
            <v>WLDC</v>
          </cell>
        </row>
        <row r="78">
          <cell r="A78" t="str">
            <v>E2680</v>
          </cell>
          <cell r="B78">
            <v>2155</v>
          </cell>
          <cell r="C78" t="str">
            <v>Gainsborough North County Primary School</v>
          </cell>
          <cell r="D78" t="str">
            <v/>
          </cell>
          <cell r="E78">
            <v>2155</v>
          </cell>
          <cell r="F78">
            <v>0</v>
          </cell>
          <cell r="G78">
            <v>0</v>
          </cell>
          <cell r="H78">
            <v>0</v>
          </cell>
          <cell r="I78">
            <v>0</v>
          </cell>
          <cell r="J78">
            <v>0</v>
          </cell>
          <cell r="K78">
            <v>0</v>
          </cell>
          <cell r="L78">
            <v>0</v>
          </cell>
          <cell r="M78">
            <v>0</v>
          </cell>
          <cell r="N78">
            <v>0</v>
          </cell>
          <cell r="O78">
            <v>38</v>
          </cell>
          <cell r="P78">
            <v>30</v>
          </cell>
          <cell r="Q78">
            <v>39</v>
          </cell>
          <cell r="R78">
            <v>18</v>
          </cell>
          <cell r="S78">
            <v>32</v>
          </cell>
          <cell r="T78">
            <v>19</v>
          </cell>
          <cell r="U78">
            <v>7</v>
          </cell>
          <cell r="V78">
            <v>9</v>
          </cell>
          <cell r="W78">
            <v>9</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201</v>
          </cell>
          <cell r="BO78">
            <v>201</v>
          </cell>
          <cell r="BP78">
            <v>201</v>
          </cell>
          <cell r="BQ78">
            <v>201</v>
          </cell>
          <cell r="BR78" t="str">
            <v>WLDC</v>
          </cell>
        </row>
        <row r="79">
          <cell r="A79" t="str">
            <v>E2690</v>
          </cell>
          <cell r="B79">
            <v>3354</v>
          </cell>
          <cell r="C79" t="str">
            <v>Gainsborough Parish Church CE (Aided) Primary School</v>
          </cell>
          <cell r="D79" t="str">
            <v/>
          </cell>
          <cell r="E79">
            <v>3354</v>
          </cell>
          <cell r="F79">
            <v>0</v>
          </cell>
          <cell r="G79">
            <v>0</v>
          </cell>
          <cell r="H79">
            <v>0</v>
          </cell>
          <cell r="I79">
            <v>0</v>
          </cell>
          <cell r="J79">
            <v>0</v>
          </cell>
          <cell r="K79">
            <v>0</v>
          </cell>
          <cell r="L79">
            <v>0</v>
          </cell>
          <cell r="M79">
            <v>0</v>
          </cell>
          <cell r="N79">
            <v>0</v>
          </cell>
          <cell r="O79">
            <v>46</v>
          </cell>
          <cell r="P79">
            <v>46</v>
          </cell>
          <cell r="Q79">
            <v>47</v>
          </cell>
          <cell r="R79">
            <v>41</v>
          </cell>
          <cell r="S79">
            <v>39</v>
          </cell>
          <cell r="T79">
            <v>42</v>
          </cell>
          <cell r="U79">
            <v>16</v>
          </cell>
          <cell r="V79">
            <v>14</v>
          </cell>
          <cell r="W79">
            <v>18</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309</v>
          </cell>
          <cell r="BO79">
            <v>309</v>
          </cell>
          <cell r="BP79">
            <v>309</v>
          </cell>
          <cell r="BQ79">
            <v>309</v>
          </cell>
          <cell r="BR79" t="str">
            <v>WLDC</v>
          </cell>
        </row>
        <row r="80">
          <cell r="A80" t="str">
            <v>E2720</v>
          </cell>
          <cell r="B80">
            <v>2207</v>
          </cell>
          <cell r="C80" t="str">
            <v>Gainsborough White's Wood Lane Community Junior School</v>
          </cell>
          <cell r="D80" t="str">
            <v/>
          </cell>
          <cell r="E80">
            <v>2207</v>
          </cell>
          <cell r="F80">
            <v>0</v>
          </cell>
          <cell r="G80">
            <v>0</v>
          </cell>
          <cell r="H80">
            <v>0</v>
          </cell>
          <cell r="I80">
            <v>0</v>
          </cell>
          <cell r="J80">
            <v>0</v>
          </cell>
          <cell r="K80">
            <v>0</v>
          </cell>
          <cell r="L80">
            <v>0</v>
          </cell>
          <cell r="M80">
            <v>0</v>
          </cell>
          <cell r="N80">
            <v>0</v>
          </cell>
          <cell r="O80">
            <v>30</v>
          </cell>
          <cell r="P80">
            <v>43</v>
          </cell>
          <cell r="Q80">
            <v>40</v>
          </cell>
          <cell r="R80">
            <v>27</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140</v>
          </cell>
          <cell r="BO80">
            <v>140</v>
          </cell>
          <cell r="BP80">
            <v>140</v>
          </cell>
          <cell r="BQ80">
            <v>140</v>
          </cell>
          <cell r="BR80" t="str">
            <v>WLDC</v>
          </cell>
        </row>
        <row r="81">
          <cell r="A81" t="str">
            <v>E2740</v>
          </cell>
          <cell r="B81">
            <v>3169</v>
          </cell>
          <cell r="C81" t="str">
            <v>Gainsborough St George's CE Community Primary School</v>
          </cell>
          <cell r="D81" t="str">
            <v/>
          </cell>
          <cell r="E81">
            <v>3169</v>
          </cell>
          <cell r="F81">
            <v>0</v>
          </cell>
          <cell r="G81">
            <v>0</v>
          </cell>
          <cell r="H81">
            <v>0</v>
          </cell>
          <cell r="I81">
            <v>0</v>
          </cell>
          <cell r="J81">
            <v>0</v>
          </cell>
          <cell r="K81">
            <v>0</v>
          </cell>
          <cell r="L81">
            <v>0</v>
          </cell>
          <cell r="M81">
            <v>0</v>
          </cell>
          <cell r="N81">
            <v>0</v>
          </cell>
          <cell r="O81">
            <v>23</v>
          </cell>
          <cell r="P81">
            <v>8</v>
          </cell>
          <cell r="Q81">
            <v>17</v>
          </cell>
          <cell r="R81">
            <v>17</v>
          </cell>
          <cell r="S81">
            <v>13</v>
          </cell>
          <cell r="T81">
            <v>24</v>
          </cell>
          <cell r="U81">
            <v>6</v>
          </cell>
          <cell r="V81">
            <v>3</v>
          </cell>
          <cell r="W81">
            <v>6</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117</v>
          </cell>
          <cell r="BO81">
            <v>117</v>
          </cell>
          <cell r="BP81">
            <v>117</v>
          </cell>
          <cell r="BQ81">
            <v>117</v>
          </cell>
          <cell r="BR81" t="str">
            <v>WLDC</v>
          </cell>
        </row>
        <row r="82">
          <cell r="A82" t="str">
            <v>E2760</v>
          </cell>
          <cell r="B82">
            <v>2088</v>
          </cell>
          <cell r="C82" t="str">
            <v>Gedney Church End Primary School</v>
          </cell>
          <cell r="D82" t="str">
            <v/>
          </cell>
          <cell r="E82">
            <v>2088</v>
          </cell>
          <cell r="F82">
            <v>0</v>
          </cell>
          <cell r="G82">
            <v>0</v>
          </cell>
          <cell r="H82">
            <v>0</v>
          </cell>
          <cell r="I82">
            <v>0</v>
          </cell>
          <cell r="J82">
            <v>0</v>
          </cell>
          <cell r="K82">
            <v>0</v>
          </cell>
          <cell r="L82">
            <v>0</v>
          </cell>
          <cell r="M82">
            <v>0</v>
          </cell>
          <cell r="N82">
            <v>0</v>
          </cell>
          <cell r="O82">
            <v>14</v>
          </cell>
          <cell r="P82">
            <v>8</v>
          </cell>
          <cell r="Q82">
            <v>8</v>
          </cell>
          <cell r="R82">
            <v>11</v>
          </cell>
          <cell r="S82">
            <v>2</v>
          </cell>
          <cell r="T82">
            <v>9</v>
          </cell>
          <cell r="U82">
            <v>3</v>
          </cell>
          <cell r="V82">
            <v>1</v>
          </cell>
          <cell r="W82">
            <v>4</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60</v>
          </cell>
          <cell r="BO82">
            <v>60</v>
          </cell>
          <cell r="BP82">
            <v>60</v>
          </cell>
          <cell r="BQ82">
            <v>60</v>
          </cell>
          <cell r="BR82" t="str">
            <v>SHDC</v>
          </cell>
        </row>
        <row r="83">
          <cell r="A83" t="str">
            <v>E2770</v>
          </cell>
          <cell r="B83">
            <v>2089</v>
          </cell>
          <cell r="C83" t="str">
            <v>Gedney Drove End School</v>
          </cell>
          <cell r="D83" t="str">
            <v/>
          </cell>
          <cell r="E83">
            <v>2089</v>
          </cell>
          <cell r="F83">
            <v>0</v>
          </cell>
          <cell r="G83">
            <v>0</v>
          </cell>
          <cell r="H83">
            <v>0</v>
          </cell>
          <cell r="I83">
            <v>0</v>
          </cell>
          <cell r="J83">
            <v>0</v>
          </cell>
          <cell r="K83">
            <v>0</v>
          </cell>
          <cell r="L83">
            <v>0</v>
          </cell>
          <cell r="M83">
            <v>0</v>
          </cell>
          <cell r="N83">
            <v>0</v>
          </cell>
          <cell r="O83">
            <v>2</v>
          </cell>
          <cell r="P83">
            <v>5</v>
          </cell>
          <cell r="Q83">
            <v>6</v>
          </cell>
          <cell r="R83">
            <v>9</v>
          </cell>
          <cell r="S83">
            <v>8</v>
          </cell>
          <cell r="T83">
            <v>3</v>
          </cell>
          <cell r="U83">
            <v>2</v>
          </cell>
          <cell r="V83">
            <v>1</v>
          </cell>
          <cell r="W83">
            <v>2</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38</v>
          </cell>
          <cell r="BO83">
            <v>38</v>
          </cell>
          <cell r="BP83">
            <v>38</v>
          </cell>
          <cell r="BQ83">
            <v>38</v>
          </cell>
          <cell r="BR83" t="str">
            <v>SHDC</v>
          </cell>
        </row>
        <row r="84">
          <cell r="A84" t="str">
            <v>E2790</v>
          </cell>
          <cell r="B84">
            <v>3088</v>
          </cell>
          <cell r="C84" t="str">
            <v>Gedney Hill CE (Controlled) Primary School</v>
          </cell>
          <cell r="D84" t="str">
            <v/>
          </cell>
          <cell r="E84">
            <v>3088</v>
          </cell>
          <cell r="F84">
            <v>0</v>
          </cell>
          <cell r="G84">
            <v>0</v>
          </cell>
          <cell r="H84">
            <v>0</v>
          </cell>
          <cell r="I84">
            <v>0</v>
          </cell>
          <cell r="J84">
            <v>0</v>
          </cell>
          <cell r="K84">
            <v>0</v>
          </cell>
          <cell r="L84">
            <v>0</v>
          </cell>
          <cell r="M84">
            <v>0</v>
          </cell>
          <cell r="N84">
            <v>0</v>
          </cell>
          <cell r="O84">
            <v>15</v>
          </cell>
          <cell r="P84">
            <v>8</v>
          </cell>
          <cell r="Q84">
            <v>9</v>
          </cell>
          <cell r="R84">
            <v>11</v>
          </cell>
          <cell r="S84">
            <v>7</v>
          </cell>
          <cell r="T84">
            <v>16</v>
          </cell>
          <cell r="U84">
            <v>0</v>
          </cell>
          <cell r="V84">
            <v>1</v>
          </cell>
          <cell r="W84">
            <v>3</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70</v>
          </cell>
          <cell r="BO84">
            <v>70</v>
          </cell>
          <cell r="BP84">
            <v>70</v>
          </cell>
          <cell r="BQ84">
            <v>70</v>
          </cell>
          <cell r="BR84" t="str">
            <v>SHDC</v>
          </cell>
        </row>
        <row r="85">
          <cell r="A85" t="str">
            <v>E2800</v>
          </cell>
          <cell r="B85">
            <v>2157</v>
          </cell>
          <cell r="C85" t="str">
            <v>Gipsey Bridge Primary School</v>
          </cell>
          <cell r="D85" t="str">
            <v/>
          </cell>
          <cell r="E85">
            <v>2157</v>
          </cell>
          <cell r="F85">
            <v>0</v>
          </cell>
          <cell r="G85">
            <v>0</v>
          </cell>
          <cell r="H85">
            <v>0</v>
          </cell>
          <cell r="I85">
            <v>0</v>
          </cell>
          <cell r="J85">
            <v>0</v>
          </cell>
          <cell r="K85">
            <v>0</v>
          </cell>
          <cell r="L85">
            <v>0</v>
          </cell>
          <cell r="M85">
            <v>0</v>
          </cell>
          <cell r="N85">
            <v>0</v>
          </cell>
          <cell r="O85">
            <v>10</v>
          </cell>
          <cell r="P85">
            <v>18</v>
          </cell>
          <cell r="Q85">
            <v>8</v>
          </cell>
          <cell r="R85">
            <v>14</v>
          </cell>
          <cell r="S85">
            <v>9</v>
          </cell>
          <cell r="T85">
            <v>10</v>
          </cell>
          <cell r="U85">
            <v>1</v>
          </cell>
          <cell r="V85">
            <v>3</v>
          </cell>
          <cell r="W85">
            <v>7</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80</v>
          </cell>
          <cell r="BO85">
            <v>80</v>
          </cell>
          <cell r="BP85">
            <v>80</v>
          </cell>
          <cell r="BQ85">
            <v>80</v>
          </cell>
          <cell r="BR85" t="str">
            <v>ELDC</v>
          </cell>
        </row>
        <row r="86">
          <cell r="A86" t="str">
            <v>E2810</v>
          </cell>
          <cell r="B86">
            <v>2090</v>
          </cell>
          <cell r="C86" t="str">
            <v>Gosberton Community Primary School</v>
          </cell>
          <cell r="D86" t="str">
            <v/>
          </cell>
          <cell r="E86">
            <v>2090</v>
          </cell>
          <cell r="F86">
            <v>0</v>
          </cell>
          <cell r="G86">
            <v>0</v>
          </cell>
          <cell r="H86">
            <v>0</v>
          </cell>
          <cell r="I86">
            <v>0</v>
          </cell>
          <cell r="J86">
            <v>0</v>
          </cell>
          <cell r="K86">
            <v>0</v>
          </cell>
          <cell r="L86">
            <v>0</v>
          </cell>
          <cell r="M86">
            <v>0</v>
          </cell>
          <cell r="N86">
            <v>0</v>
          </cell>
          <cell r="O86">
            <v>23</v>
          </cell>
          <cell r="P86">
            <v>20</v>
          </cell>
          <cell r="Q86">
            <v>30</v>
          </cell>
          <cell r="R86">
            <v>16</v>
          </cell>
          <cell r="S86">
            <v>24</v>
          </cell>
          <cell r="T86">
            <v>18</v>
          </cell>
          <cell r="U86">
            <v>1</v>
          </cell>
          <cell r="V86">
            <v>6</v>
          </cell>
          <cell r="W86">
            <v>8</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146</v>
          </cell>
          <cell r="BO86">
            <v>146</v>
          </cell>
          <cell r="BP86">
            <v>146</v>
          </cell>
          <cell r="BQ86">
            <v>146</v>
          </cell>
          <cell r="BR86" t="str">
            <v>SHDC</v>
          </cell>
        </row>
        <row r="87">
          <cell r="A87" t="str">
            <v>E2820</v>
          </cell>
          <cell r="B87">
            <v>2091</v>
          </cell>
          <cell r="C87" t="str">
            <v>Gosberton Clough and Risegate Community Primary School</v>
          </cell>
          <cell r="D87" t="str">
            <v/>
          </cell>
          <cell r="E87">
            <v>2091</v>
          </cell>
          <cell r="F87">
            <v>0</v>
          </cell>
          <cell r="G87">
            <v>0</v>
          </cell>
          <cell r="H87">
            <v>0</v>
          </cell>
          <cell r="I87">
            <v>0</v>
          </cell>
          <cell r="J87">
            <v>0</v>
          </cell>
          <cell r="K87">
            <v>0</v>
          </cell>
          <cell r="L87">
            <v>0</v>
          </cell>
          <cell r="M87">
            <v>0</v>
          </cell>
          <cell r="N87">
            <v>0</v>
          </cell>
          <cell r="O87">
            <v>14</v>
          </cell>
          <cell r="P87">
            <v>12</v>
          </cell>
          <cell r="Q87">
            <v>14</v>
          </cell>
          <cell r="R87">
            <v>10</v>
          </cell>
          <cell r="S87">
            <v>11</v>
          </cell>
          <cell r="T87">
            <v>11</v>
          </cell>
          <cell r="U87">
            <v>2</v>
          </cell>
          <cell r="V87">
            <v>2</v>
          </cell>
          <cell r="W87">
            <v>2</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78</v>
          </cell>
          <cell r="BO87">
            <v>78</v>
          </cell>
          <cell r="BP87">
            <v>78</v>
          </cell>
          <cell r="BQ87">
            <v>78</v>
          </cell>
          <cell r="BR87" t="str">
            <v>SHDC</v>
          </cell>
        </row>
        <row r="88">
          <cell r="A88" t="str">
            <v>E2840</v>
          </cell>
          <cell r="B88">
            <v>2158</v>
          </cell>
          <cell r="C88" t="str">
            <v>Grainthorpe School</v>
          </cell>
          <cell r="D88" t="str">
            <v/>
          </cell>
          <cell r="E88">
            <v>2158</v>
          </cell>
          <cell r="F88">
            <v>0</v>
          </cell>
          <cell r="G88">
            <v>0</v>
          </cell>
          <cell r="H88">
            <v>0</v>
          </cell>
          <cell r="I88">
            <v>0</v>
          </cell>
          <cell r="J88">
            <v>0</v>
          </cell>
          <cell r="K88">
            <v>0</v>
          </cell>
          <cell r="L88">
            <v>0</v>
          </cell>
          <cell r="M88">
            <v>0</v>
          </cell>
          <cell r="N88">
            <v>0</v>
          </cell>
          <cell r="O88">
            <v>10</v>
          </cell>
          <cell r="P88">
            <v>9</v>
          </cell>
          <cell r="Q88">
            <v>10</v>
          </cell>
          <cell r="R88">
            <v>7</v>
          </cell>
          <cell r="S88">
            <v>9</v>
          </cell>
          <cell r="T88">
            <v>7</v>
          </cell>
          <cell r="U88">
            <v>4</v>
          </cell>
          <cell r="V88">
            <v>1</v>
          </cell>
          <cell r="W88">
            <v>5</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62</v>
          </cell>
          <cell r="BO88">
            <v>62</v>
          </cell>
          <cell r="BP88">
            <v>62</v>
          </cell>
          <cell r="BQ88">
            <v>62</v>
          </cell>
          <cell r="BR88" t="str">
            <v>ELDC</v>
          </cell>
        </row>
        <row r="89">
          <cell r="A89" t="str">
            <v>E2850</v>
          </cell>
          <cell r="B89">
            <v>2054</v>
          </cell>
          <cell r="C89" t="str">
            <v>Grantham Belton Lane Community Primary School</v>
          </cell>
          <cell r="D89" t="str">
            <v/>
          </cell>
          <cell r="E89">
            <v>2054</v>
          </cell>
          <cell r="F89">
            <v>0</v>
          </cell>
          <cell r="G89">
            <v>0</v>
          </cell>
          <cell r="H89">
            <v>0</v>
          </cell>
          <cell r="I89">
            <v>0</v>
          </cell>
          <cell r="J89">
            <v>0</v>
          </cell>
          <cell r="K89">
            <v>0</v>
          </cell>
          <cell r="L89">
            <v>0</v>
          </cell>
          <cell r="M89">
            <v>0</v>
          </cell>
          <cell r="N89">
            <v>0</v>
          </cell>
          <cell r="O89">
            <v>19</v>
          </cell>
          <cell r="P89">
            <v>21</v>
          </cell>
          <cell r="Q89">
            <v>11</v>
          </cell>
          <cell r="R89">
            <v>23</v>
          </cell>
          <cell r="S89">
            <v>17</v>
          </cell>
          <cell r="T89">
            <v>22</v>
          </cell>
          <cell r="U89">
            <v>1</v>
          </cell>
          <cell r="V89">
            <v>2</v>
          </cell>
          <cell r="W89">
            <v>2</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5</v>
          </cell>
          <cell r="AR89">
            <v>7</v>
          </cell>
          <cell r="AS89">
            <v>4</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13</v>
          </cell>
          <cell r="BK89">
            <v>7</v>
          </cell>
          <cell r="BL89">
            <v>5</v>
          </cell>
          <cell r="BM89">
            <v>11</v>
          </cell>
          <cell r="BN89">
            <v>170</v>
          </cell>
          <cell r="BO89">
            <v>144</v>
          </cell>
          <cell r="BP89">
            <v>134</v>
          </cell>
          <cell r="BQ89">
            <v>126</v>
          </cell>
          <cell r="BR89" t="str">
            <v>SKDC</v>
          </cell>
        </row>
        <row r="90">
          <cell r="A90" t="str">
            <v>E2860</v>
          </cell>
          <cell r="B90">
            <v>5230</v>
          </cell>
          <cell r="C90" t="str">
            <v>Grantham The Earl Of Dysart Primary School</v>
          </cell>
          <cell r="D90" t="str">
            <v/>
          </cell>
          <cell r="E90">
            <v>5230</v>
          </cell>
          <cell r="F90">
            <v>0</v>
          </cell>
          <cell r="G90">
            <v>0</v>
          </cell>
          <cell r="H90">
            <v>0</v>
          </cell>
          <cell r="I90">
            <v>0</v>
          </cell>
          <cell r="J90">
            <v>0</v>
          </cell>
          <cell r="K90">
            <v>0</v>
          </cell>
          <cell r="L90">
            <v>0</v>
          </cell>
          <cell r="M90">
            <v>0</v>
          </cell>
          <cell r="N90">
            <v>0</v>
          </cell>
          <cell r="O90">
            <v>37</v>
          </cell>
          <cell r="P90">
            <v>34</v>
          </cell>
          <cell r="Q90">
            <v>34</v>
          </cell>
          <cell r="R90">
            <v>30</v>
          </cell>
          <cell r="S90">
            <v>18</v>
          </cell>
          <cell r="T90">
            <v>29</v>
          </cell>
          <cell r="U90">
            <v>8</v>
          </cell>
          <cell r="V90">
            <v>3</v>
          </cell>
          <cell r="W90">
            <v>10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2</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205</v>
          </cell>
          <cell r="BO90">
            <v>204</v>
          </cell>
          <cell r="BP90">
            <v>205</v>
          </cell>
          <cell r="BQ90">
            <v>204</v>
          </cell>
          <cell r="BR90" t="str">
            <v>SKDC</v>
          </cell>
        </row>
        <row r="91">
          <cell r="A91" t="str">
            <v>E2870</v>
          </cell>
          <cell r="B91">
            <v>3029</v>
          </cell>
          <cell r="C91" t="str">
            <v>Grantham Gonerby Hill Foot CE Primary School</v>
          </cell>
          <cell r="D91" t="str">
            <v/>
          </cell>
          <cell r="E91">
            <v>3029</v>
          </cell>
          <cell r="F91">
            <v>0</v>
          </cell>
          <cell r="G91">
            <v>0</v>
          </cell>
          <cell r="H91">
            <v>0</v>
          </cell>
          <cell r="I91">
            <v>0</v>
          </cell>
          <cell r="J91">
            <v>0</v>
          </cell>
          <cell r="K91">
            <v>0</v>
          </cell>
          <cell r="L91">
            <v>0</v>
          </cell>
          <cell r="M91">
            <v>0</v>
          </cell>
          <cell r="N91">
            <v>0</v>
          </cell>
          <cell r="O91">
            <v>45</v>
          </cell>
          <cell r="P91">
            <v>51</v>
          </cell>
          <cell r="Q91">
            <v>47</v>
          </cell>
          <cell r="R91">
            <v>45</v>
          </cell>
          <cell r="S91">
            <v>44</v>
          </cell>
          <cell r="T91">
            <v>42</v>
          </cell>
          <cell r="U91">
            <v>16</v>
          </cell>
          <cell r="V91">
            <v>13</v>
          </cell>
          <cell r="W91">
            <v>12</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315</v>
          </cell>
          <cell r="BO91">
            <v>315</v>
          </cell>
          <cell r="BP91">
            <v>315</v>
          </cell>
          <cell r="BQ91">
            <v>315</v>
          </cell>
          <cell r="BR91" t="str">
            <v>SKDC</v>
          </cell>
        </row>
        <row r="92">
          <cell r="A92" t="str">
            <v>E2880</v>
          </cell>
          <cell r="B92">
            <v>3310</v>
          </cell>
          <cell r="C92" t="str">
            <v>Grantham Harrowby CE Infant School</v>
          </cell>
          <cell r="D92" t="str">
            <v/>
          </cell>
          <cell r="E92">
            <v>3310</v>
          </cell>
          <cell r="F92">
            <v>0</v>
          </cell>
          <cell r="G92">
            <v>0</v>
          </cell>
          <cell r="H92">
            <v>0</v>
          </cell>
          <cell r="I92">
            <v>0</v>
          </cell>
          <cell r="J92">
            <v>0</v>
          </cell>
          <cell r="K92">
            <v>0</v>
          </cell>
          <cell r="L92">
            <v>0</v>
          </cell>
          <cell r="M92">
            <v>0</v>
          </cell>
          <cell r="N92">
            <v>0</v>
          </cell>
          <cell r="O92">
            <v>0</v>
          </cell>
          <cell r="P92">
            <v>0</v>
          </cell>
          <cell r="Q92">
            <v>0</v>
          </cell>
          <cell r="R92">
            <v>0</v>
          </cell>
          <cell r="S92">
            <v>37</v>
          </cell>
          <cell r="T92">
            <v>38</v>
          </cell>
          <cell r="U92">
            <v>11</v>
          </cell>
          <cell r="V92">
            <v>4</v>
          </cell>
          <cell r="W92">
            <v>5</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95</v>
          </cell>
          <cell r="BO92">
            <v>95</v>
          </cell>
          <cell r="BP92">
            <v>95</v>
          </cell>
          <cell r="BQ92">
            <v>95</v>
          </cell>
          <cell r="BR92" t="str">
            <v>SKDC</v>
          </cell>
        </row>
        <row r="93">
          <cell r="A93" t="str">
            <v>E2890</v>
          </cell>
          <cell r="B93">
            <v>2020</v>
          </cell>
          <cell r="C93" t="str">
            <v>Grantham Huntingtower Community Primary School</v>
          </cell>
          <cell r="D93" t="str">
            <v/>
          </cell>
          <cell r="E93">
            <v>2020</v>
          </cell>
          <cell r="F93">
            <v>0</v>
          </cell>
          <cell r="G93">
            <v>0</v>
          </cell>
          <cell r="H93">
            <v>0</v>
          </cell>
          <cell r="I93">
            <v>0</v>
          </cell>
          <cell r="J93">
            <v>0</v>
          </cell>
          <cell r="K93">
            <v>0</v>
          </cell>
          <cell r="L93">
            <v>0</v>
          </cell>
          <cell r="M93">
            <v>0</v>
          </cell>
          <cell r="N93">
            <v>0</v>
          </cell>
          <cell r="O93">
            <v>45</v>
          </cell>
          <cell r="P93">
            <v>34</v>
          </cell>
          <cell r="Q93">
            <v>46</v>
          </cell>
          <cell r="R93">
            <v>42</v>
          </cell>
          <cell r="S93">
            <v>43</v>
          </cell>
          <cell r="T93">
            <v>48</v>
          </cell>
          <cell r="U93">
            <v>12</v>
          </cell>
          <cell r="V93">
            <v>9</v>
          </cell>
          <cell r="W93">
            <v>21</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300</v>
          </cell>
          <cell r="BO93">
            <v>300</v>
          </cell>
          <cell r="BP93">
            <v>300</v>
          </cell>
          <cell r="BQ93">
            <v>300</v>
          </cell>
          <cell r="BR93" t="str">
            <v>SKDC</v>
          </cell>
        </row>
        <row r="94">
          <cell r="A94" t="str">
            <v>E2900</v>
          </cell>
          <cell r="B94">
            <v>3311</v>
          </cell>
          <cell r="C94" t="str">
            <v>Grantham Little Gonerby CE Infant School</v>
          </cell>
          <cell r="D94" t="str">
            <v/>
          </cell>
          <cell r="E94">
            <v>3311</v>
          </cell>
          <cell r="F94">
            <v>0</v>
          </cell>
          <cell r="G94">
            <v>0</v>
          </cell>
          <cell r="H94">
            <v>0</v>
          </cell>
          <cell r="I94">
            <v>0</v>
          </cell>
          <cell r="J94">
            <v>0</v>
          </cell>
          <cell r="K94">
            <v>0</v>
          </cell>
          <cell r="L94">
            <v>0</v>
          </cell>
          <cell r="M94">
            <v>0</v>
          </cell>
          <cell r="N94">
            <v>0</v>
          </cell>
          <cell r="O94">
            <v>0</v>
          </cell>
          <cell r="P94">
            <v>0</v>
          </cell>
          <cell r="Q94">
            <v>0</v>
          </cell>
          <cell r="R94">
            <v>0</v>
          </cell>
          <cell r="S94">
            <v>59</v>
          </cell>
          <cell r="T94">
            <v>59</v>
          </cell>
          <cell r="U94">
            <v>19</v>
          </cell>
          <cell r="V94">
            <v>12</v>
          </cell>
          <cell r="W94">
            <v>25</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174</v>
          </cell>
          <cell r="BO94">
            <v>174</v>
          </cell>
          <cell r="BP94">
            <v>174</v>
          </cell>
          <cell r="BQ94">
            <v>174</v>
          </cell>
          <cell r="BR94" t="str">
            <v>SKDC</v>
          </cell>
        </row>
        <row r="95">
          <cell r="A95" t="str">
            <v>E2910</v>
          </cell>
          <cell r="B95">
            <v>3308</v>
          </cell>
          <cell r="C95" t="str">
            <v>Grantham The National CE Junior School</v>
          </cell>
          <cell r="D95" t="str">
            <v/>
          </cell>
          <cell r="E95">
            <v>3308</v>
          </cell>
          <cell r="F95">
            <v>0</v>
          </cell>
          <cell r="G95">
            <v>0</v>
          </cell>
          <cell r="H95">
            <v>0</v>
          </cell>
          <cell r="I95">
            <v>0</v>
          </cell>
          <cell r="J95">
            <v>0</v>
          </cell>
          <cell r="K95">
            <v>0</v>
          </cell>
          <cell r="L95">
            <v>0</v>
          </cell>
          <cell r="M95">
            <v>0</v>
          </cell>
          <cell r="N95">
            <v>0</v>
          </cell>
          <cell r="O95">
            <v>128</v>
          </cell>
          <cell r="P95">
            <v>127</v>
          </cell>
          <cell r="Q95">
            <v>116</v>
          </cell>
          <cell r="R95">
            <v>107</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478</v>
          </cell>
          <cell r="BO95">
            <v>478</v>
          </cell>
          <cell r="BP95">
            <v>478</v>
          </cell>
          <cell r="BQ95">
            <v>478</v>
          </cell>
          <cell r="BR95" t="str">
            <v>SKDC</v>
          </cell>
        </row>
        <row r="96">
          <cell r="A96" t="str">
            <v>E2920</v>
          </cell>
          <cell r="B96">
            <v>3026</v>
          </cell>
          <cell r="C96" t="str">
            <v>Grantham St Anne's CE Primary School</v>
          </cell>
          <cell r="D96" t="str">
            <v/>
          </cell>
          <cell r="E96">
            <v>3026</v>
          </cell>
          <cell r="F96">
            <v>0</v>
          </cell>
          <cell r="G96">
            <v>0</v>
          </cell>
          <cell r="H96">
            <v>0</v>
          </cell>
          <cell r="I96">
            <v>0</v>
          </cell>
          <cell r="J96">
            <v>0</v>
          </cell>
          <cell r="K96">
            <v>0</v>
          </cell>
          <cell r="L96">
            <v>0</v>
          </cell>
          <cell r="M96">
            <v>0</v>
          </cell>
          <cell r="N96">
            <v>0</v>
          </cell>
          <cell r="O96">
            <v>26</v>
          </cell>
          <cell r="P96">
            <v>27</v>
          </cell>
          <cell r="Q96">
            <v>33</v>
          </cell>
          <cell r="R96">
            <v>24</v>
          </cell>
          <cell r="S96">
            <v>30</v>
          </cell>
          <cell r="T96">
            <v>25</v>
          </cell>
          <cell r="U96">
            <v>10</v>
          </cell>
          <cell r="V96">
            <v>3</v>
          </cell>
          <cell r="W96">
            <v>15</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193</v>
          </cell>
          <cell r="BO96">
            <v>193</v>
          </cell>
          <cell r="BP96">
            <v>193</v>
          </cell>
          <cell r="BQ96">
            <v>193</v>
          </cell>
          <cell r="BR96" t="str">
            <v>SKDC</v>
          </cell>
        </row>
        <row r="97">
          <cell r="A97" t="str">
            <v>E2930</v>
          </cell>
          <cell r="B97">
            <v>3330</v>
          </cell>
          <cell r="C97" t="str">
            <v>Grantham Saint Mary's Catholic Primary School</v>
          </cell>
          <cell r="D97" t="str">
            <v/>
          </cell>
          <cell r="E97">
            <v>3330</v>
          </cell>
          <cell r="F97">
            <v>0</v>
          </cell>
          <cell r="G97">
            <v>0</v>
          </cell>
          <cell r="H97">
            <v>0</v>
          </cell>
          <cell r="I97">
            <v>0</v>
          </cell>
          <cell r="J97">
            <v>0</v>
          </cell>
          <cell r="K97">
            <v>0</v>
          </cell>
          <cell r="L97">
            <v>0</v>
          </cell>
          <cell r="M97">
            <v>0</v>
          </cell>
          <cell r="N97">
            <v>2</v>
          </cell>
          <cell r="O97">
            <v>32</v>
          </cell>
          <cell r="P97">
            <v>29</v>
          </cell>
          <cell r="Q97">
            <v>32</v>
          </cell>
          <cell r="R97">
            <v>34</v>
          </cell>
          <cell r="S97">
            <v>27</v>
          </cell>
          <cell r="T97">
            <v>31</v>
          </cell>
          <cell r="U97">
            <v>10</v>
          </cell>
          <cell r="V97">
            <v>6</v>
          </cell>
          <cell r="W97">
            <v>12</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215</v>
          </cell>
          <cell r="BO97">
            <v>215</v>
          </cell>
          <cell r="BP97">
            <v>215</v>
          </cell>
          <cell r="BQ97">
            <v>215</v>
          </cell>
          <cell r="BR97" t="str">
            <v>SKDC</v>
          </cell>
        </row>
        <row r="98">
          <cell r="A98" t="str">
            <v>E2940</v>
          </cell>
          <cell r="B98">
            <v>3027</v>
          </cell>
          <cell r="C98" t="str">
            <v>Grantham Spitalgate CE Primary School</v>
          </cell>
          <cell r="D98" t="str">
            <v/>
          </cell>
          <cell r="E98">
            <v>3027</v>
          </cell>
          <cell r="F98">
            <v>0</v>
          </cell>
          <cell r="G98">
            <v>0</v>
          </cell>
          <cell r="H98">
            <v>0</v>
          </cell>
          <cell r="I98">
            <v>0</v>
          </cell>
          <cell r="J98">
            <v>0</v>
          </cell>
          <cell r="K98">
            <v>0</v>
          </cell>
          <cell r="L98">
            <v>0</v>
          </cell>
          <cell r="M98">
            <v>0</v>
          </cell>
          <cell r="N98">
            <v>0</v>
          </cell>
          <cell r="O98">
            <v>22</v>
          </cell>
          <cell r="P98">
            <v>28</v>
          </cell>
          <cell r="Q98">
            <v>20</v>
          </cell>
          <cell r="R98">
            <v>22</v>
          </cell>
          <cell r="S98">
            <v>22</v>
          </cell>
          <cell r="T98">
            <v>15</v>
          </cell>
          <cell r="U98">
            <v>7</v>
          </cell>
          <cell r="V98">
            <v>6</v>
          </cell>
          <cell r="W98">
            <v>14</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9</v>
          </cell>
          <cell r="BK98">
            <v>6</v>
          </cell>
          <cell r="BL98">
            <v>12</v>
          </cell>
          <cell r="BM98">
            <v>10</v>
          </cell>
          <cell r="BN98">
            <v>193</v>
          </cell>
          <cell r="BO98">
            <v>174.5</v>
          </cell>
          <cell r="BP98">
            <v>156</v>
          </cell>
          <cell r="BQ98">
            <v>156</v>
          </cell>
          <cell r="BR98" t="str">
            <v>SKDC</v>
          </cell>
        </row>
        <row r="99">
          <cell r="A99" t="str">
            <v>E2950</v>
          </cell>
          <cell r="B99">
            <v>2070</v>
          </cell>
          <cell r="C99" t="str">
            <v>Grantham Belmont Community Primary School</v>
          </cell>
          <cell r="D99" t="str">
            <v/>
          </cell>
          <cell r="E99">
            <v>2070</v>
          </cell>
          <cell r="F99">
            <v>0</v>
          </cell>
          <cell r="G99">
            <v>0</v>
          </cell>
          <cell r="H99">
            <v>0</v>
          </cell>
          <cell r="I99">
            <v>0</v>
          </cell>
          <cell r="J99">
            <v>0</v>
          </cell>
          <cell r="K99">
            <v>0</v>
          </cell>
          <cell r="L99">
            <v>0</v>
          </cell>
          <cell r="M99">
            <v>0</v>
          </cell>
          <cell r="N99">
            <v>0</v>
          </cell>
          <cell r="O99">
            <v>50</v>
          </cell>
          <cell r="P99">
            <v>33</v>
          </cell>
          <cell r="Q99">
            <v>33</v>
          </cell>
          <cell r="R99">
            <v>28</v>
          </cell>
          <cell r="S99">
            <v>30</v>
          </cell>
          <cell r="T99">
            <v>21</v>
          </cell>
          <cell r="U99">
            <v>6</v>
          </cell>
          <cell r="V99">
            <v>4</v>
          </cell>
          <cell r="W99">
            <v>11</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216</v>
          </cell>
          <cell r="BO99">
            <v>216</v>
          </cell>
          <cell r="BP99">
            <v>216</v>
          </cell>
          <cell r="BQ99">
            <v>216</v>
          </cell>
          <cell r="BR99" t="str">
            <v>SKDC</v>
          </cell>
        </row>
        <row r="100">
          <cell r="A100" t="str">
            <v>E2960</v>
          </cell>
          <cell r="B100">
            <v>5213</v>
          </cell>
          <cell r="C100" t="str">
            <v>Grantham The Isaac Newton Primary School</v>
          </cell>
          <cell r="D100" t="str">
            <v/>
          </cell>
          <cell r="E100">
            <v>5213</v>
          </cell>
          <cell r="F100">
            <v>0</v>
          </cell>
          <cell r="G100">
            <v>0</v>
          </cell>
          <cell r="H100">
            <v>0</v>
          </cell>
          <cell r="I100">
            <v>0</v>
          </cell>
          <cell r="J100">
            <v>0</v>
          </cell>
          <cell r="K100">
            <v>0</v>
          </cell>
          <cell r="L100">
            <v>0</v>
          </cell>
          <cell r="M100">
            <v>0</v>
          </cell>
          <cell r="N100">
            <v>0</v>
          </cell>
          <cell r="O100">
            <v>31</v>
          </cell>
          <cell r="P100">
            <v>41</v>
          </cell>
          <cell r="Q100">
            <v>39</v>
          </cell>
          <cell r="R100">
            <v>42</v>
          </cell>
          <cell r="S100">
            <v>37</v>
          </cell>
          <cell r="T100">
            <v>41</v>
          </cell>
          <cell r="U100">
            <v>16</v>
          </cell>
          <cell r="V100">
            <v>6</v>
          </cell>
          <cell r="W100">
            <v>15</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12</v>
          </cell>
          <cell r="BC100">
            <v>4</v>
          </cell>
          <cell r="BD100">
            <v>10</v>
          </cell>
          <cell r="BE100">
            <v>0</v>
          </cell>
          <cell r="BF100">
            <v>0</v>
          </cell>
          <cell r="BG100">
            <v>0</v>
          </cell>
          <cell r="BH100">
            <v>0</v>
          </cell>
          <cell r="BI100">
            <v>0</v>
          </cell>
          <cell r="BJ100">
            <v>0</v>
          </cell>
          <cell r="BK100">
            <v>0</v>
          </cell>
          <cell r="BL100">
            <v>0</v>
          </cell>
          <cell r="BM100">
            <v>0</v>
          </cell>
          <cell r="BN100">
            <v>294</v>
          </cell>
          <cell r="BO100">
            <v>294</v>
          </cell>
          <cell r="BP100">
            <v>268</v>
          </cell>
          <cell r="BQ100">
            <v>268</v>
          </cell>
          <cell r="BR100" t="str">
            <v>SKDC</v>
          </cell>
        </row>
        <row r="101">
          <cell r="A101" t="str">
            <v>E2970</v>
          </cell>
          <cell r="B101">
            <v>2055</v>
          </cell>
          <cell r="C101" t="str">
            <v>Grantham Cliffedale Primary School</v>
          </cell>
          <cell r="D101" t="str">
            <v/>
          </cell>
          <cell r="E101">
            <v>2055</v>
          </cell>
          <cell r="F101">
            <v>0</v>
          </cell>
          <cell r="G101">
            <v>0</v>
          </cell>
          <cell r="H101">
            <v>0</v>
          </cell>
          <cell r="I101">
            <v>0</v>
          </cell>
          <cell r="J101">
            <v>0</v>
          </cell>
          <cell r="K101">
            <v>0</v>
          </cell>
          <cell r="L101">
            <v>0</v>
          </cell>
          <cell r="M101">
            <v>0</v>
          </cell>
          <cell r="N101">
            <v>0</v>
          </cell>
          <cell r="O101">
            <v>49</v>
          </cell>
          <cell r="P101">
            <v>47</v>
          </cell>
          <cell r="Q101">
            <v>46</v>
          </cell>
          <cell r="R101">
            <v>45</v>
          </cell>
          <cell r="S101">
            <v>41</v>
          </cell>
          <cell r="T101">
            <v>45</v>
          </cell>
          <cell r="U101">
            <v>11</v>
          </cell>
          <cell r="V101">
            <v>13</v>
          </cell>
          <cell r="W101">
            <v>21</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318</v>
          </cell>
          <cell r="BO101">
            <v>318</v>
          </cell>
          <cell r="BP101">
            <v>318</v>
          </cell>
          <cell r="BQ101">
            <v>318</v>
          </cell>
          <cell r="BR101" t="str">
            <v>SKDC</v>
          </cell>
        </row>
        <row r="102">
          <cell r="A102" t="str">
            <v>E2980</v>
          </cell>
          <cell r="B102">
            <v>3123</v>
          </cell>
          <cell r="C102" t="str">
            <v>Grasby All Saints CE Primary School</v>
          </cell>
          <cell r="D102" t="str">
            <v/>
          </cell>
          <cell r="E102">
            <v>3123</v>
          </cell>
          <cell r="F102">
            <v>0</v>
          </cell>
          <cell r="G102">
            <v>0</v>
          </cell>
          <cell r="H102">
            <v>0</v>
          </cell>
          <cell r="I102">
            <v>0</v>
          </cell>
          <cell r="J102">
            <v>0</v>
          </cell>
          <cell r="K102">
            <v>0</v>
          </cell>
          <cell r="L102">
            <v>0</v>
          </cell>
          <cell r="M102">
            <v>0</v>
          </cell>
          <cell r="N102">
            <v>0</v>
          </cell>
          <cell r="O102">
            <v>15</v>
          </cell>
          <cell r="P102">
            <v>10</v>
          </cell>
          <cell r="Q102">
            <v>16</v>
          </cell>
          <cell r="R102">
            <v>18</v>
          </cell>
          <cell r="S102">
            <v>11</v>
          </cell>
          <cell r="T102">
            <v>14</v>
          </cell>
          <cell r="U102">
            <v>3</v>
          </cell>
          <cell r="V102">
            <v>2</v>
          </cell>
          <cell r="W102">
            <v>4</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93</v>
          </cell>
          <cell r="BO102">
            <v>93</v>
          </cell>
          <cell r="BP102">
            <v>93</v>
          </cell>
          <cell r="BQ102">
            <v>93</v>
          </cell>
          <cell r="BR102" t="str">
            <v>WLDC</v>
          </cell>
        </row>
        <row r="103">
          <cell r="A103" t="str">
            <v>E3010</v>
          </cell>
          <cell r="B103">
            <v>3313</v>
          </cell>
          <cell r="C103" t="str">
            <v>Great Gonerby St Sebastian's CE Primary School</v>
          </cell>
          <cell r="D103" t="str">
            <v/>
          </cell>
          <cell r="E103">
            <v>3313</v>
          </cell>
          <cell r="F103">
            <v>0</v>
          </cell>
          <cell r="G103">
            <v>0</v>
          </cell>
          <cell r="H103">
            <v>0</v>
          </cell>
          <cell r="I103">
            <v>0</v>
          </cell>
          <cell r="J103">
            <v>0</v>
          </cell>
          <cell r="K103">
            <v>0</v>
          </cell>
          <cell r="L103">
            <v>0</v>
          </cell>
          <cell r="M103">
            <v>0</v>
          </cell>
          <cell r="N103">
            <v>0</v>
          </cell>
          <cell r="O103">
            <v>22</v>
          </cell>
          <cell r="P103">
            <v>17</v>
          </cell>
          <cell r="Q103">
            <v>14</v>
          </cell>
          <cell r="R103">
            <v>22</v>
          </cell>
          <cell r="S103">
            <v>8</v>
          </cell>
          <cell r="T103">
            <v>18</v>
          </cell>
          <cell r="U103">
            <v>5</v>
          </cell>
          <cell r="V103">
            <v>2</v>
          </cell>
          <cell r="W103">
            <v>2</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110</v>
          </cell>
          <cell r="BO103">
            <v>110</v>
          </cell>
          <cell r="BP103">
            <v>110</v>
          </cell>
          <cell r="BQ103">
            <v>110</v>
          </cell>
          <cell r="BR103" t="str">
            <v>SKDC</v>
          </cell>
        </row>
        <row r="104">
          <cell r="A104" t="str">
            <v>E3030</v>
          </cell>
          <cell r="B104">
            <v>3314</v>
          </cell>
          <cell r="C104" t="str">
            <v>Great Ponton CE School</v>
          </cell>
          <cell r="D104" t="str">
            <v/>
          </cell>
          <cell r="E104">
            <v>3314</v>
          </cell>
          <cell r="F104">
            <v>0</v>
          </cell>
          <cell r="G104">
            <v>0</v>
          </cell>
          <cell r="H104">
            <v>0</v>
          </cell>
          <cell r="I104">
            <v>0</v>
          </cell>
          <cell r="J104">
            <v>0</v>
          </cell>
          <cell r="K104">
            <v>0</v>
          </cell>
          <cell r="L104">
            <v>0</v>
          </cell>
          <cell r="M104">
            <v>0</v>
          </cell>
          <cell r="N104">
            <v>0</v>
          </cell>
          <cell r="O104">
            <v>6</v>
          </cell>
          <cell r="P104">
            <v>11</v>
          </cell>
          <cell r="Q104">
            <v>4</v>
          </cell>
          <cell r="R104">
            <v>4</v>
          </cell>
          <cell r="S104">
            <v>5</v>
          </cell>
          <cell r="T104">
            <v>10</v>
          </cell>
          <cell r="U104">
            <v>3</v>
          </cell>
          <cell r="V104">
            <v>0</v>
          </cell>
          <cell r="W104">
            <v>4</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1</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48</v>
          </cell>
          <cell r="BO104">
            <v>47.5</v>
          </cell>
          <cell r="BP104">
            <v>48</v>
          </cell>
          <cell r="BQ104">
            <v>47.5</v>
          </cell>
          <cell r="BR104" t="str">
            <v>SKDC</v>
          </cell>
        </row>
        <row r="105">
          <cell r="A105" t="str">
            <v>E3040</v>
          </cell>
          <cell r="B105">
            <v>2159</v>
          </cell>
          <cell r="C105" t="str">
            <v>Great Steeping Primary School</v>
          </cell>
          <cell r="D105" t="str">
            <v/>
          </cell>
          <cell r="E105">
            <v>2159</v>
          </cell>
          <cell r="F105">
            <v>0</v>
          </cell>
          <cell r="G105">
            <v>0</v>
          </cell>
          <cell r="H105">
            <v>0</v>
          </cell>
          <cell r="I105">
            <v>0</v>
          </cell>
          <cell r="J105">
            <v>0</v>
          </cell>
          <cell r="K105">
            <v>0</v>
          </cell>
          <cell r="L105">
            <v>0</v>
          </cell>
          <cell r="M105">
            <v>0</v>
          </cell>
          <cell r="N105">
            <v>0</v>
          </cell>
          <cell r="O105">
            <v>19</v>
          </cell>
          <cell r="P105">
            <v>15</v>
          </cell>
          <cell r="Q105">
            <v>16</v>
          </cell>
          <cell r="R105">
            <v>15</v>
          </cell>
          <cell r="S105">
            <v>18</v>
          </cell>
          <cell r="T105">
            <v>15</v>
          </cell>
          <cell r="U105">
            <v>5</v>
          </cell>
          <cell r="V105">
            <v>1</v>
          </cell>
          <cell r="W105">
            <v>5</v>
          </cell>
          <cell r="X105">
            <v>7</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116</v>
          </cell>
          <cell r="BO105">
            <v>116</v>
          </cell>
          <cell r="BP105">
            <v>116</v>
          </cell>
          <cell r="BQ105">
            <v>116</v>
          </cell>
          <cell r="BR105" t="str">
            <v>ELDC</v>
          </cell>
        </row>
        <row r="106">
          <cell r="A106" t="str">
            <v>E3050</v>
          </cell>
          <cell r="B106">
            <v>5217</v>
          </cell>
          <cell r="C106" t="str">
            <v>Grimoldby Primary School</v>
          </cell>
          <cell r="D106" t="str">
            <v/>
          </cell>
          <cell r="E106">
            <v>5217</v>
          </cell>
          <cell r="F106">
            <v>0</v>
          </cell>
          <cell r="G106">
            <v>0</v>
          </cell>
          <cell r="H106">
            <v>0</v>
          </cell>
          <cell r="I106">
            <v>0</v>
          </cell>
          <cell r="J106">
            <v>0</v>
          </cell>
          <cell r="K106">
            <v>0</v>
          </cell>
          <cell r="L106">
            <v>0</v>
          </cell>
          <cell r="M106">
            <v>0</v>
          </cell>
          <cell r="N106">
            <v>0</v>
          </cell>
          <cell r="O106">
            <v>28</v>
          </cell>
          <cell r="P106">
            <v>25</v>
          </cell>
          <cell r="Q106">
            <v>25</v>
          </cell>
          <cell r="R106">
            <v>24</v>
          </cell>
          <cell r="S106">
            <v>26</v>
          </cell>
          <cell r="T106">
            <v>24</v>
          </cell>
          <cell r="U106">
            <v>6</v>
          </cell>
          <cell r="V106">
            <v>7</v>
          </cell>
          <cell r="W106">
            <v>10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3</v>
          </cell>
          <cell r="BK106">
            <v>5</v>
          </cell>
          <cell r="BL106">
            <v>10</v>
          </cell>
          <cell r="BM106">
            <v>7</v>
          </cell>
          <cell r="BN106">
            <v>200</v>
          </cell>
          <cell r="BO106">
            <v>187.5</v>
          </cell>
          <cell r="BP106">
            <v>175</v>
          </cell>
          <cell r="BQ106">
            <v>175</v>
          </cell>
          <cell r="BR106" t="str">
            <v>ELDC</v>
          </cell>
        </row>
        <row r="107">
          <cell r="A107" t="str">
            <v>E3090</v>
          </cell>
          <cell r="B107">
            <v>3124</v>
          </cell>
          <cell r="C107" t="str">
            <v>Hackthorn CE Primary School</v>
          </cell>
          <cell r="D107" t="str">
            <v/>
          </cell>
          <cell r="E107">
            <v>3124</v>
          </cell>
          <cell r="F107">
            <v>0</v>
          </cell>
          <cell r="G107">
            <v>0</v>
          </cell>
          <cell r="H107">
            <v>0</v>
          </cell>
          <cell r="I107">
            <v>0</v>
          </cell>
          <cell r="J107">
            <v>0</v>
          </cell>
          <cell r="K107">
            <v>0</v>
          </cell>
          <cell r="L107">
            <v>0</v>
          </cell>
          <cell r="M107">
            <v>0</v>
          </cell>
          <cell r="N107">
            <v>0</v>
          </cell>
          <cell r="O107">
            <v>4</v>
          </cell>
          <cell r="P107">
            <v>13</v>
          </cell>
          <cell r="Q107">
            <v>8</v>
          </cell>
          <cell r="R107">
            <v>11</v>
          </cell>
          <cell r="S107">
            <v>6</v>
          </cell>
          <cell r="T107">
            <v>3</v>
          </cell>
          <cell r="U107">
            <v>1</v>
          </cell>
          <cell r="V107">
            <v>2</v>
          </cell>
          <cell r="W107">
            <v>7</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55</v>
          </cell>
          <cell r="BO107">
            <v>55</v>
          </cell>
          <cell r="BP107">
            <v>55</v>
          </cell>
          <cell r="BQ107">
            <v>55</v>
          </cell>
          <cell r="BR107" t="str">
            <v>WLDC</v>
          </cell>
        </row>
        <row r="108">
          <cell r="A108" t="str">
            <v>E3110</v>
          </cell>
          <cell r="B108">
            <v>3125</v>
          </cell>
          <cell r="C108" t="str">
            <v>Halton Holegate CE Primary School</v>
          </cell>
          <cell r="D108" t="str">
            <v/>
          </cell>
          <cell r="E108">
            <v>3125</v>
          </cell>
          <cell r="F108">
            <v>0</v>
          </cell>
          <cell r="G108">
            <v>0</v>
          </cell>
          <cell r="H108">
            <v>0</v>
          </cell>
          <cell r="I108">
            <v>0</v>
          </cell>
          <cell r="J108">
            <v>0</v>
          </cell>
          <cell r="K108">
            <v>0</v>
          </cell>
          <cell r="L108">
            <v>0</v>
          </cell>
          <cell r="M108">
            <v>0</v>
          </cell>
          <cell r="N108">
            <v>0</v>
          </cell>
          <cell r="O108">
            <v>15</v>
          </cell>
          <cell r="P108">
            <v>12</v>
          </cell>
          <cell r="Q108">
            <v>5</v>
          </cell>
          <cell r="R108">
            <v>9</v>
          </cell>
          <cell r="S108">
            <v>8</v>
          </cell>
          <cell r="T108">
            <v>8</v>
          </cell>
          <cell r="U108">
            <v>2</v>
          </cell>
          <cell r="V108">
            <v>2</v>
          </cell>
          <cell r="W108">
            <v>5</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66</v>
          </cell>
          <cell r="BO108">
            <v>66</v>
          </cell>
          <cell r="BP108">
            <v>66</v>
          </cell>
          <cell r="BQ108">
            <v>66</v>
          </cell>
          <cell r="BR108" t="str">
            <v>ELDC</v>
          </cell>
        </row>
        <row r="109">
          <cell r="A109" t="str">
            <v>E3120</v>
          </cell>
          <cell r="B109">
            <v>3031</v>
          </cell>
          <cell r="C109" t="str">
            <v>Harlaxton CE Primary School</v>
          </cell>
          <cell r="D109" t="str">
            <v/>
          </cell>
          <cell r="E109">
            <v>3031</v>
          </cell>
          <cell r="F109">
            <v>0</v>
          </cell>
          <cell r="G109">
            <v>0</v>
          </cell>
          <cell r="H109">
            <v>0</v>
          </cell>
          <cell r="I109">
            <v>0</v>
          </cell>
          <cell r="J109">
            <v>0</v>
          </cell>
          <cell r="K109">
            <v>0</v>
          </cell>
          <cell r="L109">
            <v>0</v>
          </cell>
          <cell r="M109">
            <v>1</v>
          </cell>
          <cell r="N109">
            <v>1</v>
          </cell>
          <cell r="O109">
            <v>28</v>
          </cell>
          <cell r="P109">
            <v>30</v>
          </cell>
          <cell r="Q109">
            <v>29</v>
          </cell>
          <cell r="R109">
            <v>23</v>
          </cell>
          <cell r="S109">
            <v>25</v>
          </cell>
          <cell r="T109">
            <v>15</v>
          </cell>
          <cell r="U109">
            <v>10</v>
          </cell>
          <cell r="V109">
            <v>7</v>
          </cell>
          <cell r="W109">
            <v>13</v>
          </cell>
          <cell r="X109">
            <v>4</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6</v>
          </cell>
          <cell r="BK109">
            <v>0</v>
          </cell>
          <cell r="BL109">
            <v>0</v>
          </cell>
          <cell r="BM109">
            <v>0</v>
          </cell>
          <cell r="BN109">
            <v>192</v>
          </cell>
          <cell r="BO109">
            <v>189</v>
          </cell>
          <cell r="BP109">
            <v>186</v>
          </cell>
          <cell r="BQ109">
            <v>186</v>
          </cell>
          <cell r="BR109" t="str">
            <v>SKDC</v>
          </cell>
        </row>
        <row r="110">
          <cell r="A110" t="str">
            <v>E3150</v>
          </cell>
          <cell r="B110">
            <v>3033</v>
          </cell>
          <cell r="C110" t="str">
            <v>Heckington St Andrew's CE Primary School</v>
          </cell>
          <cell r="D110" t="str">
            <v/>
          </cell>
          <cell r="E110">
            <v>3033</v>
          </cell>
          <cell r="F110">
            <v>0</v>
          </cell>
          <cell r="G110">
            <v>0</v>
          </cell>
          <cell r="H110">
            <v>0</v>
          </cell>
          <cell r="I110">
            <v>0</v>
          </cell>
          <cell r="J110">
            <v>0</v>
          </cell>
          <cell r="K110">
            <v>0</v>
          </cell>
          <cell r="L110">
            <v>0</v>
          </cell>
          <cell r="M110">
            <v>0</v>
          </cell>
          <cell r="N110">
            <v>0</v>
          </cell>
          <cell r="O110">
            <v>22</v>
          </cell>
          <cell r="P110">
            <v>25</v>
          </cell>
          <cell r="Q110">
            <v>23</v>
          </cell>
          <cell r="R110">
            <v>30</v>
          </cell>
          <cell r="S110">
            <v>28</v>
          </cell>
          <cell r="T110">
            <v>31</v>
          </cell>
          <cell r="U110">
            <v>6</v>
          </cell>
          <cell r="V110">
            <v>5</v>
          </cell>
          <cell r="W110">
            <v>13</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183</v>
          </cell>
          <cell r="BO110">
            <v>183</v>
          </cell>
          <cell r="BP110">
            <v>183</v>
          </cell>
          <cell r="BQ110">
            <v>183</v>
          </cell>
          <cell r="BR110" t="str">
            <v>NKDC</v>
          </cell>
        </row>
        <row r="111">
          <cell r="A111" t="str">
            <v>E3170</v>
          </cell>
          <cell r="B111">
            <v>2075</v>
          </cell>
          <cell r="C111" t="str">
            <v>Heighington Millfield Primary School</v>
          </cell>
          <cell r="D111" t="str">
            <v/>
          </cell>
          <cell r="E111">
            <v>2075</v>
          </cell>
          <cell r="F111">
            <v>0</v>
          </cell>
          <cell r="G111">
            <v>0</v>
          </cell>
          <cell r="H111">
            <v>0</v>
          </cell>
          <cell r="I111">
            <v>0</v>
          </cell>
          <cell r="J111">
            <v>0</v>
          </cell>
          <cell r="K111">
            <v>0</v>
          </cell>
          <cell r="L111">
            <v>0</v>
          </cell>
          <cell r="M111">
            <v>0</v>
          </cell>
          <cell r="N111">
            <v>0</v>
          </cell>
          <cell r="O111">
            <v>33</v>
          </cell>
          <cell r="P111">
            <v>32</v>
          </cell>
          <cell r="Q111">
            <v>34</v>
          </cell>
          <cell r="R111">
            <v>32</v>
          </cell>
          <cell r="S111">
            <v>30</v>
          </cell>
          <cell r="T111">
            <v>26</v>
          </cell>
          <cell r="U111">
            <v>6</v>
          </cell>
          <cell r="V111">
            <v>7</v>
          </cell>
          <cell r="W111">
            <v>16</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216</v>
          </cell>
          <cell r="BO111">
            <v>216</v>
          </cell>
          <cell r="BP111">
            <v>216</v>
          </cell>
          <cell r="BQ111">
            <v>216</v>
          </cell>
          <cell r="BR111" t="str">
            <v>NKDC</v>
          </cell>
        </row>
        <row r="112">
          <cell r="A112" t="str">
            <v>E3190</v>
          </cell>
          <cell r="B112">
            <v>2025</v>
          </cell>
          <cell r="C112" t="str">
            <v>Helpringham School</v>
          </cell>
          <cell r="D112" t="str">
            <v/>
          </cell>
          <cell r="E112">
            <v>2025</v>
          </cell>
          <cell r="F112">
            <v>0</v>
          </cell>
          <cell r="G112">
            <v>0</v>
          </cell>
          <cell r="H112">
            <v>0</v>
          </cell>
          <cell r="I112">
            <v>0</v>
          </cell>
          <cell r="J112">
            <v>0</v>
          </cell>
          <cell r="K112">
            <v>0</v>
          </cell>
          <cell r="L112">
            <v>0</v>
          </cell>
          <cell r="M112">
            <v>0</v>
          </cell>
          <cell r="N112">
            <v>0</v>
          </cell>
          <cell r="O112">
            <v>17</v>
          </cell>
          <cell r="P112">
            <v>19</v>
          </cell>
          <cell r="Q112">
            <v>29</v>
          </cell>
          <cell r="R112">
            <v>17</v>
          </cell>
          <cell r="S112">
            <v>18</v>
          </cell>
          <cell r="T112">
            <v>16</v>
          </cell>
          <cell r="U112">
            <v>4</v>
          </cell>
          <cell r="V112">
            <v>5</v>
          </cell>
          <cell r="W112">
            <v>7</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1</v>
          </cell>
          <cell r="AU112">
            <v>5</v>
          </cell>
          <cell r="AV112">
            <v>2</v>
          </cell>
          <cell r="AW112">
            <v>4</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144</v>
          </cell>
          <cell r="BO112">
            <v>138</v>
          </cell>
          <cell r="BP112">
            <v>144</v>
          </cell>
          <cell r="BQ112">
            <v>138</v>
          </cell>
          <cell r="BR112" t="str">
            <v>NKDC</v>
          </cell>
        </row>
        <row r="113">
          <cell r="A113" t="str">
            <v>E3200</v>
          </cell>
          <cell r="B113">
            <v>2210</v>
          </cell>
          <cell r="C113" t="str">
            <v>Hemswell Cliff Primary School</v>
          </cell>
          <cell r="D113" t="str">
            <v/>
          </cell>
          <cell r="E113">
            <v>2210</v>
          </cell>
          <cell r="F113">
            <v>0</v>
          </cell>
          <cell r="G113">
            <v>0</v>
          </cell>
          <cell r="H113">
            <v>0</v>
          </cell>
          <cell r="I113">
            <v>0</v>
          </cell>
          <cell r="J113">
            <v>0</v>
          </cell>
          <cell r="K113">
            <v>0</v>
          </cell>
          <cell r="L113">
            <v>0</v>
          </cell>
          <cell r="M113">
            <v>0</v>
          </cell>
          <cell r="N113">
            <v>0</v>
          </cell>
          <cell r="O113">
            <v>6</v>
          </cell>
          <cell r="P113">
            <v>15</v>
          </cell>
          <cell r="Q113">
            <v>8</v>
          </cell>
          <cell r="R113">
            <v>16</v>
          </cell>
          <cell r="S113">
            <v>10</v>
          </cell>
          <cell r="T113">
            <v>13</v>
          </cell>
          <cell r="U113">
            <v>2</v>
          </cell>
          <cell r="V113">
            <v>2</v>
          </cell>
          <cell r="W113">
            <v>2</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74</v>
          </cell>
          <cell r="BO113">
            <v>74</v>
          </cell>
          <cell r="BP113">
            <v>74</v>
          </cell>
          <cell r="BQ113">
            <v>74</v>
          </cell>
          <cell r="BR113" t="str">
            <v>WLDC</v>
          </cell>
        </row>
        <row r="114">
          <cell r="A114" t="str">
            <v>E3210</v>
          </cell>
          <cell r="B114">
            <v>2161</v>
          </cell>
          <cell r="C114" t="str">
            <v>Hogsthorpe Community Primary School</v>
          </cell>
          <cell r="D114" t="str">
            <v/>
          </cell>
          <cell r="E114">
            <v>2161</v>
          </cell>
          <cell r="F114">
            <v>0</v>
          </cell>
          <cell r="G114">
            <v>0</v>
          </cell>
          <cell r="H114">
            <v>0</v>
          </cell>
          <cell r="I114">
            <v>0</v>
          </cell>
          <cell r="J114">
            <v>0</v>
          </cell>
          <cell r="K114">
            <v>0</v>
          </cell>
          <cell r="L114">
            <v>0</v>
          </cell>
          <cell r="M114">
            <v>0</v>
          </cell>
          <cell r="N114">
            <v>0</v>
          </cell>
          <cell r="O114">
            <v>16</v>
          </cell>
          <cell r="P114">
            <v>14</v>
          </cell>
          <cell r="Q114">
            <v>12</v>
          </cell>
          <cell r="R114">
            <v>5</v>
          </cell>
          <cell r="S114">
            <v>5</v>
          </cell>
          <cell r="T114">
            <v>2</v>
          </cell>
          <cell r="U114">
            <v>2</v>
          </cell>
          <cell r="V114">
            <v>1</v>
          </cell>
          <cell r="W114">
            <v>4</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61</v>
          </cell>
          <cell r="BO114">
            <v>61</v>
          </cell>
          <cell r="BP114">
            <v>61</v>
          </cell>
          <cell r="BQ114">
            <v>61</v>
          </cell>
          <cell r="BR114" t="str">
            <v>ELDC</v>
          </cell>
        </row>
        <row r="115">
          <cell r="A115" t="str">
            <v>E3220</v>
          </cell>
          <cell r="B115">
            <v>2092</v>
          </cell>
          <cell r="C115" t="str">
            <v>Holbeach Bank Primary School</v>
          </cell>
          <cell r="D115" t="str">
            <v/>
          </cell>
          <cell r="E115">
            <v>2092</v>
          </cell>
          <cell r="F115">
            <v>0</v>
          </cell>
          <cell r="G115">
            <v>0</v>
          </cell>
          <cell r="H115">
            <v>0</v>
          </cell>
          <cell r="I115">
            <v>0</v>
          </cell>
          <cell r="J115">
            <v>0</v>
          </cell>
          <cell r="K115">
            <v>0</v>
          </cell>
          <cell r="L115">
            <v>0</v>
          </cell>
          <cell r="M115">
            <v>0</v>
          </cell>
          <cell r="N115">
            <v>0</v>
          </cell>
          <cell r="O115">
            <v>16</v>
          </cell>
          <cell r="P115">
            <v>12</v>
          </cell>
          <cell r="Q115">
            <v>12</v>
          </cell>
          <cell r="R115">
            <v>7</v>
          </cell>
          <cell r="S115">
            <v>9</v>
          </cell>
          <cell r="T115">
            <v>6</v>
          </cell>
          <cell r="U115">
            <v>4</v>
          </cell>
          <cell r="V115">
            <v>3</v>
          </cell>
          <cell r="W115">
            <v>1</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70</v>
          </cell>
          <cell r="BO115">
            <v>70</v>
          </cell>
          <cell r="BP115">
            <v>70</v>
          </cell>
          <cell r="BQ115">
            <v>70</v>
          </cell>
          <cell r="BR115" t="str">
            <v>SHDC</v>
          </cell>
        </row>
        <row r="116">
          <cell r="A116" t="str">
            <v>E3240</v>
          </cell>
          <cell r="B116">
            <v>2093</v>
          </cell>
          <cell r="C116" t="str">
            <v>Holbeach Primary School</v>
          </cell>
          <cell r="D116" t="str">
            <v/>
          </cell>
          <cell r="E116">
            <v>2093</v>
          </cell>
          <cell r="F116">
            <v>0</v>
          </cell>
          <cell r="G116">
            <v>0</v>
          </cell>
          <cell r="H116">
            <v>0</v>
          </cell>
          <cell r="I116">
            <v>0</v>
          </cell>
          <cell r="J116">
            <v>0</v>
          </cell>
          <cell r="K116">
            <v>0</v>
          </cell>
          <cell r="L116">
            <v>0</v>
          </cell>
          <cell r="M116">
            <v>0</v>
          </cell>
          <cell r="N116">
            <v>0</v>
          </cell>
          <cell r="O116">
            <v>56</v>
          </cell>
          <cell r="P116">
            <v>46</v>
          </cell>
          <cell r="Q116">
            <v>45</v>
          </cell>
          <cell r="R116">
            <v>42</v>
          </cell>
          <cell r="S116">
            <v>39</v>
          </cell>
          <cell r="T116">
            <v>38</v>
          </cell>
          <cell r="U116">
            <v>17</v>
          </cell>
          <cell r="V116">
            <v>2</v>
          </cell>
          <cell r="W116">
            <v>10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295</v>
          </cell>
          <cell r="BO116">
            <v>295</v>
          </cell>
          <cell r="BP116">
            <v>295</v>
          </cell>
          <cell r="BQ116">
            <v>295</v>
          </cell>
          <cell r="BR116" t="str">
            <v>SHDC</v>
          </cell>
        </row>
        <row r="117">
          <cell r="A117" t="str">
            <v>E3250</v>
          </cell>
          <cell r="B117">
            <v>3089</v>
          </cell>
          <cell r="C117" t="str">
            <v>Holbeach St Mark's CE Primary School</v>
          </cell>
          <cell r="D117" t="str">
            <v/>
          </cell>
          <cell r="E117">
            <v>3089</v>
          </cell>
          <cell r="F117">
            <v>0</v>
          </cell>
          <cell r="G117">
            <v>0</v>
          </cell>
          <cell r="H117">
            <v>0</v>
          </cell>
          <cell r="I117">
            <v>0</v>
          </cell>
          <cell r="J117">
            <v>0</v>
          </cell>
          <cell r="K117">
            <v>0</v>
          </cell>
          <cell r="L117">
            <v>0</v>
          </cell>
          <cell r="M117">
            <v>0</v>
          </cell>
          <cell r="N117">
            <v>0</v>
          </cell>
          <cell r="O117">
            <v>8</v>
          </cell>
          <cell r="P117">
            <v>5</v>
          </cell>
          <cell r="Q117">
            <v>5</v>
          </cell>
          <cell r="R117">
            <v>4</v>
          </cell>
          <cell r="S117">
            <v>9</v>
          </cell>
          <cell r="T117">
            <v>8</v>
          </cell>
          <cell r="U117">
            <v>1</v>
          </cell>
          <cell r="V117">
            <v>2</v>
          </cell>
          <cell r="W117">
            <v>1</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43</v>
          </cell>
          <cell r="BO117">
            <v>43</v>
          </cell>
          <cell r="BP117">
            <v>43</v>
          </cell>
          <cell r="BQ117">
            <v>43</v>
          </cell>
          <cell r="BR117" t="str">
            <v>SHDC</v>
          </cell>
        </row>
        <row r="118">
          <cell r="A118" t="str">
            <v>E3260</v>
          </cell>
          <cell r="B118">
            <v>3167</v>
          </cell>
          <cell r="C118" t="str">
            <v>Holbeach William Stukeley VA Primary School</v>
          </cell>
          <cell r="D118" t="str">
            <v/>
          </cell>
          <cell r="E118">
            <v>3167</v>
          </cell>
          <cell r="F118">
            <v>0</v>
          </cell>
          <cell r="G118">
            <v>0</v>
          </cell>
          <cell r="H118">
            <v>0</v>
          </cell>
          <cell r="I118">
            <v>0</v>
          </cell>
          <cell r="J118">
            <v>0</v>
          </cell>
          <cell r="K118">
            <v>0</v>
          </cell>
          <cell r="L118">
            <v>0</v>
          </cell>
          <cell r="M118">
            <v>0</v>
          </cell>
          <cell r="N118">
            <v>2</v>
          </cell>
          <cell r="O118">
            <v>39</v>
          </cell>
          <cell r="P118">
            <v>38</v>
          </cell>
          <cell r="Q118">
            <v>37</v>
          </cell>
          <cell r="R118">
            <v>39</v>
          </cell>
          <cell r="S118">
            <v>40</v>
          </cell>
          <cell r="T118">
            <v>38</v>
          </cell>
          <cell r="U118">
            <v>12</v>
          </cell>
          <cell r="V118">
            <v>5</v>
          </cell>
          <cell r="W118">
            <v>13</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263</v>
          </cell>
          <cell r="BO118">
            <v>263</v>
          </cell>
          <cell r="BP118">
            <v>263</v>
          </cell>
          <cell r="BQ118">
            <v>263</v>
          </cell>
          <cell r="BR118" t="str">
            <v>SHDC</v>
          </cell>
        </row>
        <row r="119">
          <cell r="A119" t="str">
            <v>E3270</v>
          </cell>
          <cell r="B119">
            <v>2229</v>
          </cell>
          <cell r="C119" t="str">
            <v>Holton Le Clay Junior School</v>
          </cell>
          <cell r="D119" t="str">
            <v/>
          </cell>
          <cell r="E119">
            <v>2229</v>
          </cell>
          <cell r="F119">
            <v>0</v>
          </cell>
          <cell r="G119">
            <v>0</v>
          </cell>
          <cell r="H119">
            <v>0</v>
          </cell>
          <cell r="I119">
            <v>0</v>
          </cell>
          <cell r="J119">
            <v>0</v>
          </cell>
          <cell r="K119">
            <v>0</v>
          </cell>
          <cell r="L119">
            <v>0</v>
          </cell>
          <cell r="M119">
            <v>0</v>
          </cell>
          <cell r="N119">
            <v>0</v>
          </cell>
          <cell r="O119">
            <v>34</v>
          </cell>
          <cell r="P119">
            <v>43</v>
          </cell>
          <cell r="Q119">
            <v>40</v>
          </cell>
          <cell r="R119">
            <v>40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157</v>
          </cell>
          <cell r="BO119">
            <v>157</v>
          </cell>
          <cell r="BP119">
            <v>157</v>
          </cell>
          <cell r="BQ119">
            <v>157</v>
          </cell>
          <cell r="BR119" t="str">
            <v>ELDC</v>
          </cell>
        </row>
        <row r="120">
          <cell r="A120" t="str">
            <v>E3280</v>
          </cell>
          <cell r="B120">
            <v>2162</v>
          </cell>
          <cell r="C120" t="str">
            <v>Holton-le-Clay Infants' School</v>
          </cell>
          <cell r="D120" t="str">
            <v/>
          </cell>
          <cell r="E120">
            <v>2162</v>
          </cell>
          <cell r="F120">
            <v>0</v>
          </cell>
          <cell r="G120">
            <v>0</v>
          </cell>
          <cell r="H120">
            <v>0</v>
          </cell>
          <cell r="I120">
            <v>0</v>
          </cell>
          <cell r="J120">
            <v>0</v>
          </cell>
          <cell r="K120">
            <v>0</v>
          </cell>
          <cell r="L120">
            <v>0</v>
          </cell>
          <cell r="M120">
            <v>0</v>
          </cell>
          <cell r="N120">
            <v>0</v>
          </cell>
          <cell r="O120">
            <v>0</v>
          </cell>
          <cell r="P120">
            <v>0</v>
          </cell>
          <cell r="Q120">
            <v>0</v>
          </cell>
          <cell r="R120">
            <v>2</v>
          </cell>
          <cell r="S120">
            <v>40</v>
          </cell>
          <cell r="T120">
            <v>32</v>
          </cell>
          <cell r="U120">
            <v>9</v>
          </cell>
          <cell r="V120">
            <v>5</v>
          </cell>
          <cell r="W120">
            <v>11</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99</v>
          </cell>
          <cell r="BO120">
            <v>99</v>
          </cell>
          <cell r="BP120">
            <v>99</v>
          </cell>
          <cell r="BQ120">
            <v>99</v>
          </cell>
          <cell r="BR120" t="str">
            <v>ELDC</v>
          </cell>
        </row>
        <row r="121">
          <cell r="A121" t="str">
            <v>E3300</v>
          </cell>
          <cell r="B121">
            <v>3317</v>
          </cell>
          <cell r="C121" t="str">
            <v>Horbling Brown's CE Primary School</v>
          </cell>
          <cell r="D121" t="str">
            <v/>
          </cell>
          <cell r="E121">
            <v>3317</v>
          </cell>
          <cell r="F121">
            <v>0</v>
          </cell>
          <cell r="G121">
            <v>0</v>
          </cell>
          <cell r="H121">
            <v>0</v>
          </cell>
          <cell r="I121">
            <v>0</v>
          </cell>
          <cell r="J121">
            <v>0</v>
          </cell>
          <cell r="K121">
            <v>0</v>
          </cell>
          <cell r="L121">
            <v>0</v>
          </cell>
          <cell r="M121">
            <v>0</v>
          </cell>
          <cell r="N121">
            <v>0</v>
          </cell>
          <cell r="O121">
            <v>12</v>
          </cell>
          <cell r="P121">
            <v>18</v>
          </cell>
          <cell r="Q121">
            <v>9</v>
          </cell>
          <cell r="R121">
            <v>18</v>
          </cell>
          <cell r="S121">
            <v>9</v>
          </cell>
          <cell r="T121">
            <v>15</v>
          </cell>
          <cell r="U121">
            <v>4</v>
          </cell>
          <cell r="V121">
            <v>5</v>
          </cell>
          <cell r="W121">
            <v>2</v>
          </cell>
          <cell r="X121">
            <v>3</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95</v>
          </cell>
          <cell r="BO121">
            <v>95</v>
          </cell>
          <cell r="BP121">
            <v>95</v>
          </cell>
          <cell r="BQ121">
            <v>95</v>
          </cell>
          <cell r="BR121" t="str">
            <v>SKDC</v>
          </cell>
        </row>
        <row r="122">
          <cell r="A122" t="str">
            <v>E3330</v>
          </cell>
          <cell r="B122">
            <v>2244</v>
          </cell>
          <cell r="C122" t="str">
            <v>Horncastle Community Primary School</v>
          </cell>
          <cell r="D122" t="str">
            <v/>
          </cell>
          <cell r="E122">
            <v>2244</v>
          </cell>
          <cell r="F122">
            <v>0</v>
          </cell>
          <cell r="G122">
            <v>0</v>
          </cell>
          <cell r="H122">
            <v>0</v>
          </cell>
          <cell r="I122">
            <v>0</v>
          </cell>
          <cell r="J122">
            <v>0</v>
          </cell>
          <cell r="K122">
            <v>0</v>
          </cell>
          <cell r="L122">
            <v>0</v>
          </cell>
          <cell r="M122">
            <v>0</v>
          </cell>
          <cell r="N122">
            <v>0</v>
          </cell>
          <cell r="O122">
            <v>86</v>
          </cell>
          <cell r="P122">
            <v>69</v>
          </cell>
          <cell r="Q122">
            <v>83</v>
          </cell>
          <cell r="R122">
            <v>60</v>
          </cell>
          <cell r="S122">
            <v>74</v>
          </cell>
          <cell r="T122">
            <v>61</v>
          </cell>
          <cell r="U122">
            <v>17</v>
          </cell>
          <cell r="V122">
            <v>17</v>
          </cell>
          <cell r="W122">
            <v>35</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18</v>
          </cell>
          <cell r="BK122">
            <v>12</v>
          </cell>
          <cell r="BL122">
            <v>22</v>
          </cell>
          <cell r="BM122">
            <v>0</v>
          </cell>
          <cell r="BN122">
            <v>554</v>
          </cell>
          <cell r="BO122">
            <v>528</v>
          </cell>
          <cell r="BP122">
            <v>502</v>
          </cell>
          <cell r="BQ122">
            <v>502</v>
          </cell>
          <cell r="BR122" t="str">
            <v>ELDC</v>
          </cell>
        </row>
        <row r="123">
          <cell r="A123" t="str">
            <v>E3350</v>
          </cell>
          <cell r="B123">
            <v>5209</v>
          </cell>
          <cell r="C123" t="str">
            <v>Huttoft Primary School</v>
          </cell>
          <cell r="D123" t="str">
            <v/>
          </cell>
          <cell r="E123">
            <v>5209</v>
          </cell>
          <cell r="F123">
            <v>0</v>
          </cell>
          <cell r="G123">
            <v>0</v>
          </cell>
          <cell r="H123">
            <v>0</v>
          </cell>
          <cell r="I123">
            <v>0</v>
          </cell>
          <cell r="J123">
            <v>0</v>
          </cell>
          <cell r="K123">
            <v>0</v>
          </cell>
          <cell r="L123">
            <v>0</v>
          </cell>
          <cell r="M123">
            <v>0</v>
          </cell>
          <cell r="N123">
            <v>0</v>
          </cell>
          <cell r="O123">
            <v>27</v>
          </cell>
          <cell r="P123">
            <v>22</v>
          </cell>
          <cell r="Q123">
            <v>26</v>
          </cell>
          <cell r="R123">
            <v>30</v>
          </cell>
          <cell r="S123">
            <v>21</v>
          </cell>
          <cell r="T123">
            <v>18</v>
          </cell>
          <cell r="U123">
            <v>9</v>
          </cell>
          <cell r="V123">
            <v>1</v>
          </cell>
          <cell r="W123">
            <v>9</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163</v>
          </cell>
          <cell r="BO123">
            <v>163</v>
          </cell>
          <cell r="BP123">
            <v>163</v>
          </cell>
          <cell r="BQ123">
            <v>163</v>
          </cell>
          <cell r="BR123" t="str">
            <v>ELDC</v>
          </cell>
        </row>
        <row r="124">
          <cell r="A124" t="str">
            <v>E3360</v>
          </cell>
          <cell r="B124">
            <v>2166</v>
          </cell>
          <cell r="C124" t="str">
            <v>Ingham Primary School</v>
          </cell>
          <cell r="D124" t="str">
            <v/>
          </cell>
          <cell r="E124">
            <v>2166</v>
          </cell>
          <cell r="F124">
            <v>0</v>
          </cell>
          <cell r="G124">
            <v>0</v>
          </cell>
          <cell r="H124">
            <v>0</v>
          </cell>
          <cell r="I124">
            <v>0</v>
          </cell>
          <cell r="J124">
            <v>0</v>
          </cell>
          <cell r="K124">
            <v>0</v>
          </cell>
          <cell r="L124">
            <v>0</v>
          </cell>
          <cell r="M124">
            <v>0</v>
          </cell>
          <cell r="N124">
            <v>0</v>
          </cell>
          <cell r="O124">
            <v>13</v>
          </cell>
          <cell r="P124">
            <v>19</v>
          </cell>
          <cell r="Q124">
            <v>14</v>
          </cell>
          <cell r="R124">
            <v>17</v>
          </cell>
          <cell r="S124">
            <v>13</v>
          </cell>
          <cell r="T124">
            <v>16</v>
          </cell>
          <cell r="U124">
            <v>5</v>
          </cell>
          <cell r="V124">
            <v>4</v>
          </cell>
          <cell r="W124">
            <v>7</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108</v>
          </cell>
          <cell r="BO124">
            <v>108</v>
          </cell>
          <cell r="BP124">
            <v>108</v>
          </cell>
          <cell r="BQ124">
            <v>108</v>
          </cell>
          <cell r="BR124" t="str">
            <v>WLDC</v>
          </cell>
        </row>
        <row r="125">
          <cell r="A125" t="str">
            <v>E3370</v>
          </cell>
          <cell r="B125">
            <v>2167</v>
          </cell>
          <cell r="C125" t="str">
            <v>Ingoldmells Primary School</v>
          </cell>
          <cell r="D125" t="str">
            <v/>
          </cell>
          <cell r="E125">
            <v>2167</v>
          </cell>
          <cell r="F125">
            <v>0</v>
          </cell>
          <cell r="G125">
            <v>0</v>
          </cell>
          <cell r="H125">
            <v>0</v>
          </cell>
          <cell r="I125">
            <v>0</v>
          </cell>
          <cell r="J125">
            <v>0</v>
          </cell>
          <cell r="K125">
            <v>0</v>
          </cell>
          <cell r="L125">
            <v>0</v>
          </cell>
          <cell r="M125">
            <v>0</v>
          </cell>
          <cell r="N125">
            <v>0</v>
          </cell>
          <cell r="O125">
            <v>22</v>
          </cell>
          <cell r="P125">
            <v>20</v>
          </cell>
          <cell r="Q125">
            <v>19</v>
          </cell>
          <cell r="R125">
            <v>15</v>
          </cell>
          <cell r="S125">
            <v>15</v>
          </cell>
          <cell r="T125">
            <v>16</v>
          </cell>
          <cell r="U125">
            <v>8</v>
          </cell>
          <cell r="V125">
            <v>2</v>
          </cell>
          <cell r="W125">
            <v>3</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120</v>
          </cell>
          <cell r="BO125">
            <v>120</v>
          </cell>
          <cell r="BP125">
            <v>120</v>
          </cell>
          <cell r="BQ125">
            <v>120</v>
          </cell>
          <cell r="BR125" t="str">
            <v>ELDC</v>
          </cell>
        </row>
        <row r="126">
          <cell r="A126" t="str">
            <v>E3390</v>
          </cell>
          <cell r="B126">
            <v>2026</v>
          </cell>
          <cell r="C126" t="str">
            <v>Ingoldsby Primary School</v>
          </cell>
          <cell r="D126" t="str">
            <v/>
          </cell>
          <cell r="E126">
            <v>2026</v>
          </cell>
          <cell r="F126">
            <v>0</v>
          </cell>
          <cell r="G126">
            <v>0</v>
          </cell>
          <cell r="H126">
            <v>0</v>
          </cell>
          <cell r="I126">
            <v>0</v>
          </cell>
          <cell r="J126">
            <v>0</v>
          </cell>
          <cell r="K126">
            <v>0</v>
          </cell>
          <cell r="L126">
            <v>0</v>
          </cell>
          <cell r="M126">
            <v>0</v>
          </cell>
          <cell r="N126">
            <v>0</v>
          </cell>
          <cell r="O126">
            <v>12</v>
          </cell>
          <cell r="P126">
            <v>12</v>
          </cell>
          <cell r="Q126">
            <v>8</v>
          </cell>
          <cell r="R126">
            <v>14</v>
          </cell>
          <cell r="S126">
            <v>13</v>
          </cell>
          <cell r="T126">
            <v>14</v>
          </cell>
          <cell r="U126">
            <v>4</v>
          </cell>
          <cell r="V126">
            <v>3</v>
          </cell>
          <cell r="W126">
            <v>7</v>
          </cell>
          <cell r="X126">
            <v>5</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92</v>
          </cell>
          <cell r="BO126">
            <v>92</v>
          </cell>
          <cell r="BP126">
            <v>92</v>
          </cell>
          <cell r="BQ126">
            <v>92</v>
          </cell>
          <cell r="BR126" t="str">
            <v>SKDC</v>
          </cell>
        </row>
        <row r="127">
          <cell r="A127" t="str">
            <v>E3400</v>
          </cell>
          <cell r="B127">
            <v>2168</v>
          </cell>
          <cell r="C127" t="str">
            <v>Keelby Primary School</v>
          </cell>
          <cell r="D127" t="str">
            <v/>
          </cell>
          <cell r="E127">
            <v>2168</v>
          </cell>
          <cell r="F127">
            <v>0</v>
          </cell>
          <cell r="G127">
            <v>0</v>
          </cell>
          <cell r="H127">
            <v>0</v>
          </cell>
          <cell r="I127">
            <v>0</v>
          </cell>
          <cell r="J127">
            <v>0</v>
          </cell>
          <cell r="K127">
            <v>0</v>
          </cell>
          <cell r="L127">
            <v>0</v>
          </cell>
          <cell r="M127">
            <v>0</v>
          </cell>
          <cell r="N127">
            <v>0</v>
          </cell>
          <cell r="O127">
            <v>26</v>
          </cell>
          <cell r="P127">
            <v>33</v>
          </cell>
          <cell r="Q127">
            <v>23</v>
          </cell>
          <cell r="R127">
            <v>12</v>
          </cell>
          <cell r="S127">
            <v>16</v>
          </cell>
          <cell r="T127">
            <v>20</v>
          </cell>
          <cell r="U127">
            <v>13</v>
          </cell>
          <cell r="V127">
            <v>4</v>
          </cell>
          <cell r="W127">
            <v>4</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151</v>
          </cell>
          <cell r="BO127">
            <v>151</v>
          </cell>
          <cell r="BP127">
            <v>151</v>
          </cell>
          <cell r="BQ127">
            <v>151</v>
          </cell>
          <cell r="BR127" t="str">
            <v>WLDC</v>
          </cell>
        </row>
        <row r="128">
          <cell r="A128" t="str">
            <v>E3410</v>
          </cell>
          <cell r="B128">
            <v>3036</v>
          </cell>
          <cell r="C128" t="str">
            <v>Kirkby-la-Thorpe CE Primary School</v>
          </cell>
          <cell r="D128" t="str">
            <v/>
          </cell>
          <cell r="E128">
            <v>3036</v>
          </cell>
          <cell r="F128">
            <v>0</v>
          </cell>
          <cell r="G128">
            <v>0</v>
          </cell>
          <cell r="H128">
            <v>0</v>
          </cell>
          <cell r="I128">
            <v>0</v>
          </cell>
          <cell r="J128">
            <v>0</v>
          </cell>
          <cell r="K128">
            <v>0</v>
          </cell>
          <cell r="L128">
            <v>0</v>
          </cell>
          <cell r="M128">
            <v>0</v>
          </cell>
          <cell r="N128">
            <v>0</v>
          </cell>
          <cell r="O128">
            <v>21</v>
          </cell>
          <cell r="P128">
            <v>20</v>
          </cell>
          <cell r="Q128">
            <v>20</v>
          </cell>
          <cell r="R128">
            <v>19</v>
          </cell>
          <cell r="S128">
            <v>20</v>
          </cell>
          <cell r="T128">
            <v>18</v>
          </cell>
          <cell r="U128">
            <v>6</v>
          </cell>
          <cell r="V128">
            <v>4</v>
          </cell>
          <cell r="W128">
            <v>10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138</v>
          </cell>
          <cell r="BO128">
            <v>138</v>
          </cell>
          <cell r="BP128">
            <v>138</v>
          </cell>
          <cell r="BQ128">
            <v>138</v>
          </cell>
          <cell r="BR128" t="str">
            <v>NKDC</v>
          </cell>
        </row>
        <row r="129">
          <cell r="A129" t="str">
            <v>E3420</v>
          </cell>
          <cell r="B129">
            <v>3359</v>
          </cell>
          <cell r="C129" t="str">
            <v>Kirkby-on-Bain CE Primary School</v>
          </cell>
          <cell r="D129" t="str">
            <v/>
          </cell>
          <cell r="E129">
            <v>3359</v>
          </cell>
          <cell r="F129">
            <v>0</v>
          </cell>
          <cell r="G129">
            <v>0</v>
          </cell>
          <cell r="H129">
            <v>0</v>
          </cell>
          <cell r="I129">
            <v>0</v>
          </cell>
          <cell r="J129">
            <v>0</v>
          </cell>
          <cell r="K129">
            <v>0</v>
          </cell>
          <cell r="L129">
            <v>0</v>
          </cell>
          <cell r="M129">
            <v>0</v>
          </cell>
          <cell r="N129">
            <v>1</v>
          </cell>
          <cell r="O129">
            <v>12</v>
          </cell>
          <cell r="P129">
            <v>13</v>
          </cell>
          <cell r="Q129">
            <v>14</v>
          </cell>
          <cell r="R129">
            <v>14</v>
          </cell>
          <cell r="S129">
            <v>13</v>
          </cell>
          <cell r="T129">
            <v>10</v>
          </cell>
          <cell r="U129">
            <v>4</v>
          </cell>
          <cell r="V129">
            <v>5</v>
          </cell>
          <cell r="W129">
            <v>6</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92</v>
          </cell>
          <cell r="BO129">
            <v>92</v>
          </cell>
          <cell r="BP129">
            <v>92</v>
          </cell>
          <cell r="BQ129">
            <v>92</v>
          </cell>
          <cell r="BR129" t="str">
            <v>ELDC</v>
          </cell>
        </row>
        <row r="130">
          <cell r="A130" t="str">
            <v>E3430</v>
          </cell>
          <cell r="B130">
            <v>2094</v>
          </cell>
          <cell r="C130" t="str">
            <v>Kirton Primary School</v>
          </cell>
          <cell r="D130" t="str">
            <v/>
          </cell>
          <cell r="E130">
            <v>2094</v>
          </cell>
          <cell r="F130">
            <v>0</v>
          </cell>
          <cell r="G130">
            <v>0</v>
          </cell>
          <cell r="H130">
            <v>0</v>
          </cell>
          <cell r="I130">
            <v>0</v>
          </cell>
          <cell r="J130">
            <v>0</v>
          </cell>
          <cell r="K130">
            <v>0</v>
          </cell>
          <cell r="L130">
            <v>0</v>
          </cell>
          <cell r="M130">
            <v>0</v>
          </cell>
          <cell r="N130">
            <v>0</v>
          </cell>
          <cell r="O130">
            <v>64</v>
          </cell>
          <cell r="P130">
            <v>62</v>
          </cell>
          <cell r="Q130">
            <v>61</v>
          </cell>
          <cell r="R130">
            <v>59</v>
          </cell>
          <cell r="S130">
            <v>45</v>
          </cell>
          <cell r="T130">
            <v>56</v>
          </cell>
          <cell r="U130">
            <v>15</v>
          </cell>
          <cell r="V130">
            <v>10</v>
          </cell>
          <cell r="W130">
            <v>24</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10</v>
          </cell>
          <cell r="BK130">
            <v>16</v>
          </cell>
          <cell r="BL130">
            <v>23</v>
          </cell>
          <cell r="BM130">
            <v>0</v>
          </cell>
          <cell r="BN130">
            <v>445</v>
          </cell>
          <cell r="BO130">
            <v>420.5</v>
          </cell>
          <cell r="BP130">
            <v>396</v>
          </cell>
          <cell r="BQ130">
            <v>396</v>
          </cell>
          <cell r="BR130" t="str">
            <v>BBC</v>
          </cell>
        </row>
        <row r="131">
          <cell r="A131" t="str">
            <v>E3440</v>
          </cell>
          <cell r="B131">
            <v>2028</v>
          </cell>
          <cell r="C131" t="str">
            <v>Langtoft Primary School</v>
          </cell>
          <cell r="D131" t="str">
            <v/>
          </cell>
          <cell r="E131">
            <v>2028</v>
          </cell>
          <cell r="F131">
            <v>0</v>
          </cell>
          <cell r="G131">
            <v>0</v>
          </cell>
          <cell r="H131">
            <v>0</v>
          </cell>
          <cell r="I131">
            <v>0</v>
          </cell>
          <cell r="J131">
            <v>0</v>
          </cell>
          <cell r="K131">
            <v>0</v>
          </cell>
          <cell r="L131">
            <v>0</v>
          </cell>
          <cell r="M131">
            <v>0</v>
          </cell>
          <cell r="N131">
            <v>0</v>
          </cell>
          <cell r="O131">
            <v>32</v>
          </cell>
          <cell r="P131">
            <v>23</v>
          </cell>
          <cell r="Q131">
            <v>34</v>
          </cell>
          <cell r="R131">
            <v>22</v>
          </cell>
          <cell r="S131">
            <v>29</v>
          </cell>
          <cell r="T131">
            <v>27</v>
          </cell>
          <cell r="U131">
            <v>6</v>
          </cell>
          <cell r="V131">
            <v>4</v>
          </cell>
          <cell r="W131">
            <v>14</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191</v>
          </cell>
          <cell r="BO131">
            <v>191</v>
          </cell>
          <cell r="BP131">
            <v>191</v>
          </cell>
          <cell r="BQ131">
            <v>191</v>
          </cell>
          <cell r="BR131" t="str">
            <v>SKDC</v>
          </cell>
        </row>
        <row r="132">
          <cell r="A132" t="str">
            <v>E3470</v>
          </cell>
          <cell r="B132">
            <v>3319</v>
          </cell>
          <cell r="C132" t="str">
            <v>Leadenham CE Primary School</v>
          </cell>
          <cell r="D132" t="str">
            <v/>
          </cell>
          <cell r="E132">
            <v>3319</v>
          </cell>
          <cell r="F132">
            <v>0</v>
          </cell>
          <cell r="G132">
            <v>0</v>
          </cell>
          <cell r="H132">
            <v>0</v>
          </cell>
          <cell r="I132">
            <v>0</v>
          </cell>
          <cell r="J132">
            <v>0</v>
          </cell>
          <cell r="K132">
            <v>0</v>
          </cell>
          <cell r="L132">
            <v>0</v>
          </cell>
          <cell r="M132">
            <v>0</v>
          </cell>
          <cell r="N132">
            <v>0</v>
          </cell>
          <cell r="O132">
            <v>6</v>
          </cell>
          <cell r="P132">
            <v>9</v>
          </cell>
          <cell r="Q132">
            <v>3</v>
          </cell>
          <cell r="R132">
            <v>5</v>
          </cell>
          <cell r="S132">
            <v>7</v>
          </cell>
          <cell r="T132">
            <v>8</v>
          </cell>
          <cell r="U132">
            <v>2</v>
          </cell>
          <cell r="V132">
            <v>2</v>
          </cell>
          <cell r="W132">
            <v>3</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45</v>
          </cell>
          <cell r="BO132">
            <v>45</v>
          </cell>
          <cell r="BP132">
            <v>45</v>
          </cell>
          <cell r="BQ132">
            <v>45</v>
          </cell>
          <cell r="BR132" t="str">
            <v>NKDC</v>
          </cell>
        </row>
        <row r="133">
          <cell r="A133" t="str">
            <v>E3480</v>
          </cell>
          <cell r="B133">
            <v>3361</v>
          </cell>
          <cell r="C133" t="str">
            <v>Lea Frances Olive Anderson CE Primary School</v>
          </cell>
          <cell r="D133" t="str">
            <v/>
          </cell>
          <cell r="E133">
            <v>3361</v>
          </cell>
          <cell r="F133">
            <v>0</v>
          </cell>
          <cell r="G133">
            <v>0</v>
          </cell>
          <cell r="H133">
            <v>0</v>
          </cell>
          <cell r="I133">
            <v>0</v>
          </cell>
          <cell r="J133">
            <v>0</v>
          </cell>
          <cell r="K133">
            <v>0</v>
          </cell>
          <cell r="L133">
            <v>0</v>
          </cell>
          <cell r="M133">
            <v>0</v>
          </cell>
          <cell r="N133">
            <v>0</v>
          </cell>
          <cell r="O133">
            <v>22</v>
          </cell>
          <cell r="P133">
            <v>24</v>
          </cell>
          <cell r="Q133">
            <v>18</v>
          </cell>
          <cell r="R133">
            <v>17</v>
          </cell>
          <cell r="S133">
            <v>22</v>
          </cell>
          <cell r="T133">
            <v>23</v>
          </cell>
          <cell r="U133">
            <v>6</v>
          </cell>
          <cell r="V133">
            <v>2</v>
          </cell>
          <cell r="W133">
            <v>7</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141</v>
          </cell>
          <cell r="BO133">
            <v>141</v>
          </cell>
          <cell r="BP133">
            <v>141</v>
          </cell>
          <cell r="BQ133">
            <v>141</v>
          </cell>
          <cell r="BR133" t="str">
            <v>WLDC</v>
          </cell>
        </row>
        <row r="134">
          <cell r="A134" t="str">
            <v>E3490</v>
          </cell>
          <cell r="B134">
            <v>3037</v>
          </cell>
          <cell r="C134" t="str">
            <v>Leasingham St Andrew's CE Primary School</v>
          </cell>
          <cell r="D134" t="str">
            <v/>
          </cell>
          <cell r="E134">
            <v>3037</v>
          </cell>
          <cell r="F134">
            <v>0</v>
          </cell>
          <cell r="G134">
            <v>0</v>
          </cell>
          <cell r="H134">
            <v>0</v>
          </cell>
          <cell r="I134">
            <v>0</v>
          </cell>
          <cell r="J134">
            <v>0</v>
          </cell>
          <cell r="K134">
            <v>0</v>
          </cell>
          <cell r="L134">
            <v>0</v>
          </cell>
          <cell r="M134">
            <v>0</v>
          </cell>
          <cell r="N134">
            <v>0</v>
          </cell>
          <cell r="O134">
            <v>34</v>
          </cell>
          <cell r="P134">
            <v>24</v>
          </cell>
          <cell r="Q134">
            <v>31</v>
          </cell>
          <cell r="R134">
            <v>25</v>
          </cell>
          <cell r="S134">
            <v>15</v>
          </cell>
          <cell r="T134">
            <v>15</v>
          </cell>
          <cell r="U134">
            <v>5</v>
          </cell>
          <cell r="V134">
            <v>4</v>
          </cell>
          <cell r="W134">
            <v>9</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162</v>
          </cell>
          <cell r="BO134">
            <v>162</v>
          </cell>
          <cell r="BP134">
            <v>162</v>
          </cell>
          <cell r="BQ134">
            <v>162</v>
          </cell>
          <cell r="BR134" t="str">
            <v>NKDC</v>
          </cell>
        </row>
        <row r="135">
          <cell r="A135" t="str">
            <v>E3500</v>
          </cell>
          <cell r="B135">
            <v>3168</v>
          </cell>
          <cell r="C135" t="str">
            <v>Legbourne East Wold CE Primary School</v>
          </cell>
          <cell r="D135" t="str">
            <v/>
          </cell>
          <cell r="E135">
            <v>3168</v>
          </cell>
          <cell r="F135">
            <v>0</v>
          </cell>
          <cell r="G135">
            <v>0</v>
          </cell>
          <cell r="H135">
            <v>0</v>
          </cell>
          <cell r="I135">
            <v>0</v>
          </cell>
          <cell r="J135">
            <v>0</v>
          </cell>
          <cell r="K135">
            <v>0</v>
          </cell>
          <cell r="L135">
            <v>0</v>
          </cell>
          <cell r="M135">
            <v>0</v>
          </cell>
          <cell r="N135">
            <v>1</v>
          </cell>
          <cell r="O135">
            <v>14</v>
          </cell>
          <cell r="P135">
            <v>16</v>
          </cell>
          <cell r="Q135">
            <v>15</v>
          </cell>
          <cell r="R135">
            <v>13</v>
          </cell>
          <cell r="S135">
            <v>15</v>
          </cell>
          <cell r="T135">
            <v>14</v>
          </cell>
          <cell r="U135">
            <v>5</v>
          </cell>
          <cell r="V135">
            <v>3</v>
          </cell>
          <cell r="W135">
            <v>7</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103</v>
          </cell>
          <cell r="BO135">
            <v>103</v>
          </cell>
          <cell r="BP135">
            <v>103</v>
          </cell>
          <cell r="BQ135">
            <v>103</v>
          </cell>
          <cell r="BR135" t="str">
            <v>ELDC</v>
          </cell>
        </row>
        <row r="136">
          <cell r="A136" t="str">
            <v>E3520</v>
          </cell>
          <cell r="B136">
            <v>2169</v>
          </cell>
          <cell r="C136" t="str">
            <v>Legsby Primary School</v>
          </cell>
          <cell r="D136" t="str">
            <v/>
          </cell>
          <cell r="E136">
            <v>2169</v>
          </cell>
          <cell r="F136">
            <v>0</v>
          </cell>
          <cell r="G136">
            <v>0</v>
          </cell>
          <cell r="H136">
            <v>0</v>
          </cell>
          <cell r="I136">
            <v>0</v>
          </cell>
          <cell r="J136">
            <v>0</v>
          </cell>
          <cell r="K136">
            <v>0</v>
          </cell>
          <cell r="L136">
            <v>0</v>
          </cell>
          <cell r="M136">
            <v>0</v>
          </cell>
          <cell r="N136">
            <v>0</v>
          </cell>
          <cell r="O136">
            <v>8</v>
          </cell>
          <cell r="P136">
            <v>5</v>
          </cell>
          <cell r="Q136">
            <v>4</v>
          </cell>
          <cell r="R136">
            <v>9</v>
          </cell>
          <cell r="S136">
            <v>7</v>
          </cell>
          <cell r="T136">
            <v>6</v>
          </cell>
          <cell r="U136">
            <v>1</v>
          </cell>
          <cell r="V136">
            <v>2</v>
          </cell>
          <cell r="W136">
            <v>2</v>
          </cell>
          <cell r="X136">
            <v>6</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50</v>
          </cell>
          <cell r="BO136">
            <v>50</v>
          </cell>
          <cell r="BP136">
            <v>50</v>
          </cell>
          <cell r="BQ136">
            <v>50</v>
          </cell>
          <cell r="BR136" t="str">
            <v>WLDC</v>
          </cell>
        </row>
        <row r="137">
          <cell r="A137" t="str">
            <v>E3540</v>
          </cell>
          <cell r="B137">
            <v>5219</v>
          </cell>
          <cell r="C137" t="str">
            <v>Lincoln The Lancaster School</v>
          </cell>
          <cell r="D137" t="str">
            <v/>
          </cell>
          <cell r="E137">
            <v>5219</v>
          </cell>
          <cell r="F137">
            <v>0</v>
          </cell>
          <cell r="G137">
            <v>0</v>
          </cell>
          <cell r="H137">
            <v>0</v>
          </cell>
          <cell r="I137">
            <v>0</v>
          </cell>
          <cell r="J137">
            <v>0</v>
          </cell>
          <cell r="K137">
            <v>0</v>
          </cell>
          <cell r="L137">
            <v>0</v>
          </cell>
          <cell r="M137">
            <v>0</v>
          </cell>
          <cell r="N137">
            <v>0</v>
          </cell>
          <cell r="O137">
            <v>0</v>
          </cell>
          <cell r="P137">
            <v>0</v>
          </cell>
          <cell r="Q137">
            <v>0</v>
          </cell>
          <cell r="R137">
            <v>0</v>
          </cell>
          <cell r="S137">
            <v>44</v>
          </cell>
          <cell r="T137">
            <v>29</v>
          </cell>
          <cell r="U137">
            <v>15</v>
          </cell>
          <cell r="V137">
            <v>16</v>
          </cell>
          <cell r="W137">
            <v>14</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1</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8</v>
          </cell>
          <cell r="BK137">
            <v>11</v>
          </cell>
          <cell r="BL137">
            <v>15</v>
          </cell>
          <cell r="BM137">
            <v>3</v>
          </cell>
          <cell r="BN137">
            <v>156</v>
          </cell>
          <cell r="BO137">
            <v>137</v>
          </cell>
          <cell r="BP137">
            <v>119</v>
          </cell>
          <cell r="BQ137">
            <v>118.5</v>
          </cell>
          <cell r="BR137" t="str">
            <v>LCC</v>
          </cell>
        </row>
        <row r="138">
          <cell r="A138" t="str">
            <v>E3550</v>
          </cell>
          <cell r="B138">
            <v>2135</v>
          </cell>
          <cell r="C138" t="str">
            <v>Lincoln Woodlands Infant &amp; Nursery School</v>
          </cell>
          <cell r="D138" t="str">
            <v/>
          </cell>
          <cell r="E138">
            <v>2135</v>
          </cell>
          <cell r="F138">
            <v>0</v>
          </cell>
          <cell r="G138">
            <v>0</v>
          </cell>
          <cell r="H138">
            <v>0</v>
          </cell>
          <cell r="I138">
            <v>0</v>
          </cell>
          <cell r="J138">
            <v>0</v>
          </cell>
          <cell r="K138">
            <v>0</v>
          </cell>
          <cell r="L138">
            <v>0</v>
          </cell>
          <cell r="M138">
            <v>0</v>
          </cell>
          <cell r="N138">
            <v>0</v>
          </cell>
          <cell r="O138">
            <v>0</v>
          </cell>
          <cell r="P138">
            <v>0</v>
          </cell>
          <cell r="Q138">
            <v>0</v>
          </cell>
          <cell r="R138">
            <v>0</v>
          </cell>
          <cell r="S138">
            <v>32</v>
          </cell>
          <cell r="T138">
            <v>40</v>
          </cell>
          <cell r="U138">
            <v>18</v>
          </cell>
          <cell r="V138">
            <v>12</v>
          </cell>
          <cell r="W138">
            <v>20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16</v>
          </cell>
          <cell r="BK138">
            <v>12</v>
          </cell>
          <cell r="BL138">
            <v>16</v>
          </cell>
          <cell r="BM138">
            <v>8</v>
          </cell>
          <cell r="BN138">
            <v>174</v>
          </cell>
          <cell r="BO138">
            <v>148</v>
          </cell>
          <cell r="BP138">
            <v>122</v>
          </cell>
          <cell r="BQ138">
            <v>122</v>
          </cell>
          <cell r="BR138" t="str">
            <v>LCC</v>
          </cell>
        </row>
        <row r="139">
          <cell r="A139" t="str">
            <v>E3570</v>
          </cell>
          <cell r="B139">
            <v>2245</v>
          </cell>
          <cell r="C139" t="str">
            <v>Lincoln Birchwood Junior School</v>
          </cell>
          <cell r="D139" t="str">
            <v/>
          </cell>
          <cell r="E139">
            <v>2245</v>
          </cell>
          <cell r="F139">
            <v>0</v>
          </cell>
          <cell r="G139">
            <v>0</v>
          </cell>
          <cell r="H139">
            <v>0</v>
          </cell>
          <cell r="I139">
            <v>0</v>
          </cell>
          <cell r="J139">
            <v>0</v>
          </cell>
          <cell r="K139">
            <v>0</v>
          </cell>
          <cell r="L139">
            <v>0</v>
          </cell>
          <cell r="M139">
            <v>0</v>
          </cell>
          <cell r="N139">
            <v>0</v>
          </cell>
          <cell r="O139">
            <v>72</v>
          </cell>
          <cell r="P139">
            <v>71</v>
          </cell>
          <cell r="Q139">
            <v>65</v>
          </cell>
          <cell r="R139">
            <v>78</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286</v>
          </cell>
          <cell r="BO139">
            <v>286</v>
          </cell>
          <cell r="BP139">
            <v>286</v>
          </cell>
          <cell r="BQ139">
            <v>286</v>
          </cell>
          <cell r="BR139" t="str">
            <v>LCC</v>
          </cell>
        </row>
        <row r="140">
          <cell r="A140" t="str">
            <v>E3580</v>
          </cell>
          <cell r="B140">
            <v>2120</v>
          </cell>
          <cell r="C140" t="str">
            <v>Lincoln The Sir Francis Hill Community Primary School</v>
          </cell>
          <cell r="D140" t="str">
            <v/>
          </cell>
          <cell r="E140">
            <v>2120</v>
          </cell>
          <cell r="F140">
            <v>0</v>
          </cell>
          <cell r="G140">
            <v>0</v>
          </cell>
          <cell r="H140">
            <v>0</v>
          </cell>
          <cell r="I140">
            <v>0</v>
          </cell>
          <cell r="J140">
            <v>0</v>
          </cell>
          <cell r="K140">
            <v>0</v>
          </cell>
          <cell r="L140">
            <v>0</v>
          </cell>
          <cell r="M140">
            <v>0</v>
          </cell>
          <cell r="N140">
            <v>0</v>
          </cell>
          <cell r="O140">
            <v>62</v>
          </cell>
          <cell r="P140">
            <v>61</v>
          </cell>
          <cell r="Q140">
            <v>60</v>
          </cell>
          <cell r="R140">
            <v>52</v>
          </cell>
          <cell r="S140">
            <v>52</v>
          </cell>
          <cell r="T140">
            <v>42</v>
          </cell>
          <cell r="U140">
            <v>20</v>
          </cell>
          <cell r="V140">
            <v>10</v>
          </cell>
          <cell r="W140">
            <v>22</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1</v>
          </cell>
          <cell r="AT140">
            <v>0</v>
          </cell>
          <cell r="AU140">
            <v>0</v>
          </cell>
          <cell r="AV140">
            <v>0</v>
          </cell>
          <cell r="AW140">
            <v>0</v>
          </cell>
          <cell r="AX140">
            <v>0</v>
          </cell>
          <cell r="AY140">
            <v>0</v>
          </cell>
          <cell r="AZ140">
            <v>0</v>
          </cell>
          <cell r="BA140">
            <v>0</v>
          </cell>
          <cell r="BB140">
            <v>1</v>
          </cell>
          <cell r="BC140">
            <v>0</v>
          </cell>
          <cell r="BD140">
            <v>0</v>
          </cell>
          <cell r="BE140">
            <v>0</v>
          </cell>
          <cell r="BF140">
            <v>0</v>
          </cell>
          <cell r="BG140">
            <v>0</v>
          </cell>
          <cell r="BH140">
            <v>0</v>
          </cell>
          <cell r="BI140">
            <v>1</v>
          </cell>
          <cell r="BJ140">
            <v>17</v>
          </cell>
          <cell r="BK140">
            <v>6</v>
          </cell>
          <cell r="BL140">
            <v>17</v>
          </cell>
          <cell r="BM140">
            <v>9</v>
          </cell>
          <cell r="BN140">
            <v>433</v>
          </cell>
          <cell r="BO140">
            <v>407.5</v>
          </cell>
          <cell r="BP140">
            <v>382</v>
          </cell>
          <cell r="BQ140">
            <v>381.5</v>
          </cell>
          <cell r="BR140" t="str">
            <v>LCC</v>
          </cell>
        </row>
        <row r="141">
          <cell r="A141" t="str">
            <v>E3590</v>
          </cell>
          <cell r="B141">
            <v>2122</v>
          </cell>
          <cell r="C141" t="str">
            <v>Lincoln Bracebridge Infant and Nursery School</v>
          </cell>
          <cell r="D141" t="str">
            <v/>
          </cell>
          <cell r="E141">
            <v>2122</v>
          </cell>
          <cell r="F141">
            <v>0</v>
          </cell>
          <cell r="G141">
            <v>0</v>
          </cell>
          <cell r="H141">
            <v>0</v>
          </cell>
          <cell r="I141">
            <v>0</v>
          </cell>
          <cell r="J141">
            <v>0</v>
          </cell>
          <cell r="K141">
            <v>0</v>
          </cell>
          <cell r="L141">
            <v>0</v>
          </cell>
          <cell r="M141">
            <v>0</v>
          </cell>
          <cell r="N141">
            <v>0</v>
          </cell>
          <cell r="O141">
            <v>0</v>
          </cell>
          <cell r="P141">
            <v>0</v>
          </cell>
          <cell r="Q141">
            <v>0</v>
          </cell>
          <cell r="R141">
            <v>0</v>
          </cell>
          <cell r="S141">
            <v>20</v>
          </cell>
          <cell r="T141">
            <v>20</v>
          </cell>
          <cell r="U141">
            <v>8</v>
          </cell>
          <cell r="V141">
            <v>12</v>
          </cell>
          <cell r="W141">
            <v>10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1</v>
          </cell>
          <cell r="BB141">
            <v>0</v>
          </cell>
          <cell r="BC141">
            <v>0</v>
          </cell>
          <cell r="BD141">
            <v>0</v>
          </cell>
          <cell r="BE141">
            <v>0</v>
          </cell>
          <cell r="BF141">
            <v>0</v>
          </cell>
          <cell r="BG141">
            <v>0</v>
          </cell>
          <cell r="BH141">
            <v>0</v>
          </cell>
          <cell r="BI141">
            <v>0</v>
          </cell>
          <cell r="BJ141">
            <v>10</v>
          </cell>
          <cell r="BK141">
            <v>5</v>
          </cell>
          <cell r="BL141">
            <v>8</v>
          </cell>
          <cell r="BM141">
            <v>9</v>
          </cell>
          <cell r="BN141">
            <v>103</v>
          </cell>
          <cell r="BO141">
            <v>87</v>
          </cell>
          <cell r="BP141">
            <v>70</v>
          </cell>
          <cell r="BQ141">
            <v>70</v>
          </cell>
          <cell r="BR141" t="str">
            <v>LCC</v>
          </cell>
        </row>
        <row r="142">
          <cell r="A142" t="str">
            <v>E3600</v>
          </cell>
          <cell r="B142">
            <v>3105</v>
          </cell>
          <cell r="C142" t="str">
            <v>Lincoln St Peter In Eastgate CE (Controlled) Infants school</v>
          </cell>
          <cell r="D142" t="str">
            <v/>
          </cell>
          <cell r="E142">
            <v>3105</v>
          </cell>
          <cell r="F142">
            <v>0</v>
          </cell>
          <cell r="G142">
            <v>0</v>
          </cell>
          <cell r="H142">
            <v>0</v>
          </cell>
          <cell r="I142">
            <v>0</v>
          </cell>
          <cell r="J142">
            <v>0</v>
          </cell>
          <cell r="K142">
            <v>0</v>
          </cell>
          <cell r="L142">
            <v>0</v>
          </cell>
          <cell r="M142">
            <v>0</v>
          </cell>
          <cell r="N142">
            <v>0</v>
          </cell>
          <cell r="O142">
            <v>0</v>
          </cell>
          <cell r="P142">
            <v>0</v>
          </cell>
          <cell r="Q142">
            <v>0</v>
          </cell>
          <cell r="R142">
            <v>0</v>
          </cell>
          <cell r="S142">
            <v>26</v>
          </cell>
          <cell r="T142">
            <v>27</v>
          </cell>
          <cell r="U142">
            <v>8</v>
          </cell>
          <cell r="V142">
            <v>9</v>
          </cell>
          <cell r="W142">
            <v>13</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83</v>
          </cell>
          <cell r="BO142">
            <v>83</v>
          </cell>
          <cell r="BP142">
            <v>83</v>
          </cell>
          <cell r="BQ142">
            <v>83</v>
          </cell>
          <cell r="BR142" t="str">
            <v>LCC</v>
          </cell>
        </row>
        <row r="143">
          <cell r="A143" t="str">
            <v>E3610</v>
          </cell>
          <cell r="B143">
            <v>2133</v>
          </cell>
          <cell r="C143" t="str">
            <v>Lincoln Ermine Community Infant School</v>
          </cell>
          <cell r="D143" t="str">
            <v/>
          </cell>
          <cell r="E143">
            <v>2133</v>
          </cell>
          <cell r="F143">
            <v>0</v>
          </cell>
          <cell r="G143">
            <v>0</v>
          </cell>
          <cell r="H143">
            <v>0</v>
          </cell>
          <cell r="I143">
            <v>0</v>
          </cell>
          <cell r="J143">
            <v>0</v>
          </cell>
          <cell r="K143">
            <v>0</v>
          </cell>
          <cell r="L143">
            <v>0</v>
          </cell>
          <cell r="M143">
            <v>0</v>
          </cell>
          <cell r="N143">
            <v>0</v>
          </cell>
          <cell r="O143">
            <v>0</v>
          </cell>
          <cell r="P143">
            <v>0</v>
          </cell>
          <cell r="Q143">
            <v>0</v>
          </cell>
          <cell r="R143">
            <v>0</v>
          </cell>
          <cell r="S143">
            <v>56</v>
          </cell>
          <cell r="T143">
            <v>43</v>
          </cell>
          <cell r="U143">
            <v>8</v>
          </cell>
          <cell r="V143">
            <v>10</v>
          </cell>
          <cell r="W143">
            <v>18</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21</v>
          </cell>
          <cell r="BK143">
            <v>13</v>
          </cell>
          <cell r="BL143">
            <v>15</v>
          </cell>
          <cell r="BM143">
            <v>15</v>
          </cell>
          <cell r="BN143">
            <v>199</v>
          </cell>
          <cell r="BO143">
            <v>167</v>
          </cell>
          <cell r="BP143">
            <v>135</v>
          </cell>
          <cell r="BQ143">
            <v>135</v>
          </cell>
          <cell r="BR143" t="str">
            <v>LCC</v>
          </cell>
        </row>
        <row r="144">
          <cell r="A144" t="str">
            <v>E3620</v>
          </cell>
          <cell r="B144">
            <v>5204</v>
          </cell>
          <cell r="C144" t="str">
            <v>Lincoln Ermine Junior School</v>
          </cell>
          <cell r="D144" t="str">
            <v/>
          </cell>
          <cell r="E144">
            <v>5204</v>
          </cell>
          <cell r="F144">
            <v>0</v>
          </cell>
          <cell r="G144">
            <v>0</v>
          </cell>
          <cell r="H144">
            <v>0</v>
          </cell>
          <cell r="I144">
            <v>0</v>
          </cell>
          <cell r="J144">
            <v>0</v>
          </cell>
          <cell r="K144">
            <v>0</v>
          </cell>
          <cell r="L144">
            <v>0</v>
          </cell>
          <cell r="M144">
            <v>0</v>
          </cell>
          <cell r="N144">
            <v>0</v>
          </cell>
          <cell r="O144">
            <v>64</v>
          </cell>
          <cell r="P144">
            <v>60</v>
          </cell>
          <cell r="Q144">
            <v>51</v>
          </cell>
          <cell r="R144">
            <v>53</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228</v>
          </cell>
          <cell r="BO144">
            <v>228</v>
          </cell>
          <cell r="BP144">
            <v>228</v>
          </cell>
          <cell r="BQ144">
            <v>228</v>
          </cell>
          <cell r="BR144" t="str">
            <v>LCC</v>
          </cell>
        </row>
        <row r="145">
          <cell r="A145" t="str">
            <v>E3630</v>
          </cell>
          <cell r="B145">
            <v>5220</v>
          </cell>
          <cell r="C145" t="str">
            <v>Lincoln Hartsholme Primary School</v>
          </cell>
          <cell r="D145" t="str">
            <v/>
          </cell>
          <cell r="E145">
            <v>5220</v>
          </cell>
          <cell r="F145">
            <v>0</v>
          </cell>
          <cell r="G145">
            <v>0</v>
          </cell>
          <cell r="H145">
            <v>0</v>
          </cell>
          <cell r="I145">
            <v>0</v>
          </cell>
          <cell r="J145">
            <v>0</v>
          </cell>
          <cell r="K145">
            <v>0</v>
          </cell>
          <cell r="L145">
            <v>0</v>
          </cell>
          <cell r="M145">
            <v>0</v>
          </cell>
          <cell r="N145">
            <v>0</v>
          </cell>
          <cell r="O145">
            <v>48</v>
          </cell>
          <cell r="P145">
            <v>36</v>
          </cell>
          <cell r="Q145">
            <v>28</v>
          </cell>
          <cell r="R145">
            <v>34</v>
          </cell>
          <cell r="S145">
            <v>32</v>
          </cell>
          <cell r="T145">
            <v>35</v>
          </cell>
          <cell r="U145">
            <v>6</v>
          </cell>
          <cell r="V145">
            <v>11</v>
          </cell>
          <cell r="W145">
            <v>16</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10</v>
          </cell>
          <cell r="BK145">
            <v>5</v>
          </cell>
          <cell r="BL145">
            <v>16</v>
          </cell>
          <cell r="BM145">
            <v>5</v>
          </cell>
          <cell r="BN145">
            <v>282</v>
          </cell>
          <cell r="BO145">
            <v>264</v>
          </cell>
          <cell r="BP145">
            <v>246</v>
          </cell>
          <cell r="BQ145">
            <v>246</v>
          </cell>
          <cell r="BR145" t="str">
            <v>LCC</v>
          </cell>
        </row>
        <row r="146">
          <cell r="A146" t="str">
            <v>E3640</v>
          </cell>
          <cell r="B146">
            <v>2137</v>
          </cell>
          <cell r="C146" t="str">
            <v>Lincoln Manor Leas Infant School</v>
          </cell>
          <cell r="D146" t="str">
            <v/>
          </cell>
          <cell r="E146">
            <v>2137</v>
          </cell>
          <cell r="F146">
            <v>0</v>
          </cell>
          <cell r="G146">
            <v>0</v>
          </cell>
          <cell r="H146">
            <v>0</v>
          </cell>
          <cell r="I146">
            <v>0</v>
          </cell>
          <cell r="J146">
            <v>0</v>
          </cell>
          <cell r="K146">
            <v>0</v>
          </cell>
          <cell r="L146">
            <v>0</v>
          </cell>
          <cell r="M146">
            <v>0</v>
          </cell>
          <cell r="N146">
            <v>0</v>
          </cell>
          <cell r="O146">
            <v>0</v>
          </cell>
          <cell r="P146">
            <v>0</v>
          </cell>
          <cell r="Q146">
            <v>0</v>
          </cell>
          <cell r="R146">
            <v>0</v>
          </cell>
          <cell r="S146">
            <v>59</v>
          </cell>
          <cell r="T146">
            <v>60</v>
          </cell>
          <cell r="U146">
            <v>21</v>
          </cell>
          <cell r="V146">
            <v>14</v>
          </cell>
          <cell r="W146">
            <v>20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174</v>
          </cell>
          <cell r="BO146">
            <v>174</v>
          </cell>
          <cell r="BP146">
            <v>174</v>
          </cell>
          <cell r="BQ146">
            <v>174</v>
          </cell>
          <cell r="BR146" t="str">
            <v>LCC</v>
          </cell>
        </row>
        <row r="147">
          <cell r="A147" t="str">
            <v>E3650</v>
          </cell>
          <cell r="B147">
            <v>2136</v>
          </cell>
          <cell r="C147" t="str">
            <v>Lincoln Manor Leas Junior School</v>
          </cell>
          <cell r="D147" t="str">
            <v/>
          </cell>
          <cell r="E147">
            <v>2136</v>
          </cell>
          <cell r="F147">
            <v>0</v>
          </cell>
          <cell r="G147">
            <v>0</v>
          </cell>
          <cell r="H147">
            <v>0</v>
          </cell>
          <cell r="I147">
            <v>0</v>
          </cell>
          <cell r="J147">
            <v>0</v>
          </cell>
          <cell r="K147">
            <v>0</v>
          </cell>
          <cell r="L147">
            <v>0</v>
          </cell>
          <cell r="M147">
            <v>0</v>
          </cell>
          <cell r="N147">
            <v>0</v>
          </cell>
          <cell r="O147">
            <v>96</v>
          </cell>
          <cell r="P147">
            <v>98</v>
          </cell>
          <cell r="Q147">
            <v>80</v>
          </cell>
          <cell r="R147">
            <v>79</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353</v>
          </cell>
          <cell r="BO147">
            <v>353</v>
          </cell>
          <cell r="BP147">
            <v>353</v>
          </cell>
          <cell r="BQ147">
            <v>353</v>
          </cell>
          <cell r="BR147" t="str">
            <v>LCC</v>
          </cell>
        </row>
        <row r="148">
          <cell r="A148" t="str">
            <v>E3660</v>
          </cell>
          <cell r="B148">
            <v>2246</v>
          </cell>
          <cell r="C148" t="str">
            <v>Lincoln Leslie Manser Primary School</v>
          </cell>
          <cell r="D148" t="str">
            <v/>
          </cell>
          <cell r="E148">
            <v>2246</v>
          </cell>
          <cell r="F148">
            <v>0</v>
          </cell>
          <cell r="G148">
            <v>0</v>
          </cell>
          <cell r="H148">
            <v>0</v>
          </cell>
          <cell r="I148">
            <v>0</v>
          </cell>
          <cell r="J148">
            <v>0</v>
          </cell>
          <cell r="K148">
            <v>0</v>
          </cell>
          <cell r="L148">
            <v>0</v>
          </cell>
          <cell r="M148">
            <v>0</v>
          </cell>
          <cell r="N148">
            <v>0</v>
          </cell>
          <cell r="O148">
            <v>39</v>
          </cell>
          <cell r="P148">
            <v>29</v>
          </cell>
          <cell r="Q148">
            <v>35</v>
          </cell>
          <cell r="R148">
            <v>36</v>
          </cell>
          <cell r="S148">
            <v>40</v>
          </cell>
          <cell r="T148">
            <v>36</v>
          </cell>
          <cell r="U148">
            <v>12</v>
          </cell>
          <cell r="V148">
            <v>9</v>
          </cell>
          <cell r="W148">
            <v>15</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251</v>
          </cell>
          <cell r="BO148">
            <v>251</v>
          </cell>
          <cell r="BP148">
            <v>251</v>
          </cell>
          <cell r="BQ148">
            <v>251</v>
          </cell>
          <cell r="BR148" t="str">
            <v>LCC</v>
          </cell>
        </row>
        <row r="149">
          <cell r="A149" t="str">
            <v>E3670</v>
          </cell>
          <cell r="B149">
            <v>2124</v>
          </cell>
          <cell r="C149" t="str">
            <v>Lincoln Monks Abbey Primary School</v>
          </cell>
          <cell r="D149" t="str">
            <v/>
          </cell>
          <cell r="E149">
            <v>2124</v>
          </cell>
          <cell r="F149">
            <v>0</v>
          </cell>
          <cell r="G149">
            <v>0</v>
          </cell>
          <cell r="H149">
            <v>0</v>
          </cell>
          <cell r="I149">
            <v>0</v>
          </cell>
          <cell r="J149">
            <v>0</v>
          </cell>
          <cell r="K149">
            <v>0</v>
          </cell>
          <cell r="L149">
            <v>0</v>
          </cell>
          <cell r="M149">
            <v>0</v>
          </cell>
          <cell r="N149">
            <v>0</v>
          </cell>
          <cell r="O149">
            <v>50</v>
          </cell>
          <cell r="P149">
            <v>54</v>
          </cell>
          <cell r="Q149">
            <v>47</v>
          </cell>
          <cell r="R149">
            <v>48</v>
          </cell>
          <cell r="S149">
            <v>49</v>
          </cell>
          <cell r="T149">
            <v>42</v>
          </cell>
          <cell r="U149">
            <v>16</v>
          </cell>
          <cell r="V149">
            <v>9</v>
          </cell>
          <cell r="W149">
            <v>20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17</v>
          </cell>
          <cell r="BK149">
            <v>8</v>
          </cell>
          <cell r="BL149">
            <v>12</v>
          </cell>
          <cell r="BM149">
            <v>12</v>
          </cell>
          <cell r="BN149">
            <v>384</v>
          </cell>
          <cell r="BO149">
            <v>359.5</v>
          </cell>
          <cell r="BP149">
            <v>335</v>
          </cell>
          <cell r="BQ149">
            <v>335</v>
          </cell>
          <cell r="BR149" t="str">
            <v>LCC</v>
          </cell>
        </row>
        <row r="150">
          <cell r="A150" t="str">
            <v>E3680</v>
          </cell>
          <cell r="B150">
            <v>2130</v>
          </cell>
          <cell r="C150" t="str">
            <v>Lincoln Moorland Infant and Nursery School</v>
          </cell>
          <cell r="D150" t="str">
            <v/>
          </cell>
          <cell r="E150">
            <v>2130</v>
          </cell>
          <cell r="F150">
            <v>0</v>
          </cell>
          <cell r="G150">
            <v>0</v>
          </cell>
          <cell r="H150">
            <v>0</v>
          </cell>
          <cell r="I150">
            <v>0</v>
          </cell>
          <cell r="J150">
            <v>0</v>
          </cell>
          <cell r="K150">
            <v>0</v>
          </cell>
          <cell r="L150">
            <v>0</v>
          </cell>
          <cell r="M150">
            <v>0</v>
          </cell>
          <cell r="N150">
            <v>0</v>
          </cell>
          <cell r="O150">
            <v>0</v>
          </cell>
          <cell r="P150">
            <v>0</v>
          </cell>
          <cell r="Q150">
            <v>0</v>
          </cell>
          <cell r="R150">
            <v>2</v>
          </cell>
          <cell r="S150">
            <v>48</v>
          </cell>
          <cell r="T150">
            <v>46</v>
          </cell>
          <cell r="U150">
            <v>13</v>
          </cell>
          <cell r="V150">
            <v>10</v>
          </cell>
          <cell r="W150">
            <v>20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28</v>
          </cell>
          <cell r="BK150">
            <v>10</v>
          </cell>
          <cell r="BL150">
            <v>23</v>
          </cell>
          <cell r="BM150">
            <v>17</v>
          </cell>
          <cell r="BN150">
            <v>217</v>
          </cell>
          <cell r="BO150">
            <v>178</v>
          </cell>
          <cell r="BP150">
            <v>139</v>
          </cell>
          <cell r="BQ150">
            <v>139</v>
          </cell>
          <cell r="BR150" t="str">
            <v>LCC</v>
          </cell>
        </row>
        <row r="151">
          <cell r="A151" t="str">
            <v>E3690</v>
          </cell>
          <cell r="B151">
            <v>5227</v>
          </cell>
          <cell r="C151" t="str">
            <v>Lincoln Mount Street Infant and Nursery School</v>
          </cell>
          <cell r="D151" t="str">
            <v/>
          </cell>
          <cell r="E151">
            <v>5227</v>
          </cell>
          <cell r="F151">
            <v>0</v>
          </cell>
          <cell r="G151">
            <v>0</v>
          </cell>
          <cell r="H151">
            <v>0</v>
          </cell>
          <cell r="I151">
            <v>0</v>
          </cell>
          <cell r="J151">
            <v>0</v>
          </cell>
          <cell r="K151">
            <v>0</v>
          </cell>
          <cell r="L151">
            <v>0</v>
          </cell>
          <cell r="M151">
            <v>0</v>
          </cell>
          <cell r="N151">
            <v>0</v>
          </cell>
          <cell r="O151">
            <v>0</v>
          </cell>
          <cell r="P151">
            <v>0</v>
          </cell>
          <cell r="Q151">
            <v>0</v>
          </cell>
          <cell r="R151">
            <v>0</v>
          </cell>
          <cell r="S151">
            <v>79</v>
          </cell>
          <cell r="T151">
            <v>85</v>
          </cell>
          <cell r="U151">
            <v>20</v>
          </cell>
          <cell r="V151">
            <v>16</v>
          </cell>
          <cell r="W151">
            <v>47</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1</v>
          </cell>
          <cell r="BA151">
            <v>3</v>
          </cell>
          <cell r="BB151">
            <v>0</v>
          </cell>
          <cell r="BC151">
            <v>2</v>
          </cell>
          <cell r="BD151">
            <v>1</v>
          </cell>
          <cell r="BE151">
            <v>0</v>
          </cell>
          <cell r="BF151">
            <v>0</v>
          </cell>
          <cell r="BG151">
            <v>0</v>
          </cell>
          <cell r="BH151">
            <v>0</v>
          </cell>
          <cell r="BI151">
            <v>0</v>
          </cell>
          <cell r="BJ151">
            <v>18</v>
          </cell>
          <cell r="BK151">
            <v>18</v>
          </cell>
          <cell r="BL151">
            <v>26</v>
          </cell>
          <cell r="BM151">
            <v>2</v>
          </cell>
          <cell r="BN151">
            <v>318</v>
          </cell>
          <cell r="BO151">
            <v>286</v>
          </cell>
          <cell r="BP151">
            <v>247</v>
          </cell>
          <cell r="BQ151">
            <v>247</v>
          </cell>
          <cell r="BR151" t="str">
            <v>LCC</v>
          </cell>
        </row>
        <row r="152">
          <cell r="A152" t="str">
            <v>E3700</v>
          </cell>
          <cell r="B152">
            <v>3347</v>
          </cell>
          <cell r="C152" t="str">
            <v>Lincoln Our Lady of Lincoln Catholic Primary School</v>
          </cell>
          <cell r="D152" t="str">
            <v/>
          </cell>
          <cell r="E152">
            <v>3347</v>
          </cell>
          <cell r="F152">
            <v>0</v>
          </cell>
          <cell r="G152">
            <v>0</v>
          </cell>
          <cell r="H152">
            <v>0</v>
          </cell>
          <cell r="I152">
            <v>0</v>
          </cell>
          <cell r="J152">
            <v>0</v>
          </cell>
          <cell r="K152">
            <v>0</v>
          </cell>
          <cell r="L152">
            <v>0</v>
          </cell>
          <cell r="M152">
            <v>0</v>
          </cell>
          <cell r="N152">
            <v>0</v>
          </cell>
          <cell r="O152">
            <v>30</v>
          </cell>
          <cell r="P152">
            <v>27</v>
          </cell>
          <cell r="Q152">
            <v>30</v>
          </cell>
          <cell r="R152">
            <v>26</v>
          </cell>
          <cell r="S152">
            <v>28</v>
          </cell>
          <cell r="T152">
            <v>18</v>
          </cell>
          <cell r="U152">
            <v>11</v>
          </cell>
          <cell r="V152">
            <v>4</v>
          </cell>
          <cell r="W152">
            <v>15</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189</v>
          </cell>
          <cell r="BO152">
            <v>189</v>
          </cell>
          <cell r="BP152">
            <v>189</v>
          </cell>
          <cell r="BQ152">
            <v>189</v>
          </cell>
          <cell r="BR152" t="str">
            <v>LCC</v>
          </cell>
        </row>
        <row r="153">
          <cell r="A153" t="str">
            <v>E3710</v>
          </cell>
          <cell r="B153">
            <v>2129</v>
          </cell>
          <cell r="C153" t="str">
            <v>Lincoln The Usher Junior School</v>
          </cell>
          <cell r="D153" t="str">
            <v/>
          </cell>
          <cell r="E153">
            <v>2129</v>
          </cell>
          <cell r="F153">
            <v>0</v>
          </cell>
          <cell r="G153">
            <v>0</v>
          </cell>
          <cell r="H153">
            <v>0</v>
          </cell>
          <cell r="I153">
            <v>0</v>
          </cell>
          <cell r="J153">
            <v>0</v>
          </cell>
          <cell r="K153">
            <v>0</v>
          </cell>
          <cell r="L153">
            <v>0</v>
          </cell>
          <cell r="M153">
            <v>0</v>
          </cell>
          <cell r="N153">
            <v>0</v>
          </cell>
          <cell r="O153">
            <v>56</v>
          </cell>
          <cell r="P153">
            <v>48</v>
          </cell>
          <cell r="Q153">
            <v>59</v>
          </cell>
          <cell r="R153">
            <v>48</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211</v>
          </cell>
          <cell r="BO153">
            <v>211</v>
          </cell>
          <cell r="BP153">
            <v>211</v>
          </cell>
          <cell r="BQ153">
            <v>211</v>
          </cell>
          <cell r="BR153" t="str">
            <v>LCC</v>
          </cell>
        </row>
        <row r="154">
          <cell r="A154" t="str">
            <v>E3740</v>
          </cell>
          <cell r="B154">
            <v>3108</v>
          </cell>
          <cell r="C154" t="str">
            <v>Lincoln St Faith's CE Infant School</v>
          </cell>
          <cell r="D154" t="str">
            <v/>
          </cell>
          <cell r="E154">
            <v>3108</v>
          </cell>
          <cell r="F154">
            <v>0</v>
          </cell>
          <cell r="G154">
            <v>0</v>
          </cell>
          <cell r="H154">
            <v>0</v>
          </cell>
          <cell r="I154">
            <v>0</v>
          </cell>
          <cell r="J154">
            <v>0</v>
          </cell>
          <cell r="K154">
            <v>0</v>
          </cell>
          <cell r="L154">
            <v>0</v>
          </cell>
          <cell r="M154">
            <v>0</v>
          </cell>
          <cell r="N154">
            <v>0</v>
          </cell>
          <cell r="O154">
            <v>0</v>
          </cell>
          <cell r="P154">
            <v>0</v>
          </cell>
          <cell r="Q154">
            <v>0</v>
          </cell>
          <cell r="R154">
            <v>0</v>
          </cell>
          <cell r="S154">
            <v>41</v>
          </cell>
          <cell r="T154">
            <v>46</v>
          </cell>
          <cell r="U154">
            <v>10</v>
          </cell>
          <cell r="V154">
            <v>14</v>
          </cell>
          <cell r="W154">
            <v>21</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12</v>
          </cell>
          <cell r="BK154">
            <v>6</v>
          </cell>
          <cell r="BL154">
            <v>22</v>
          </cell>
          <cell r="BM154">
            <v>10</v>
          </cell>
          <cell r="BN154">
            <v>182</v>
          </cell>
          <cell r="BO154">
            <v>157</v>
          </cell>
          <cell r="BP154">
            <v>132</v>
          </cell>
          <cell r="BQ154">
            <v>132</v>
          </cell>
          <cell r="BR154" t="str">
            <v>LCC</v>
          </cell>
        </row>
        <row r="155">
          <cell r="A155" t="str">
            <v>E3750</v>
          </cell>
          <cell r="B155">
            <v>3107</v>
          </cell>
          <cell r="C155" t="str">
            <v>Lincoln St Faith and St Martin CE Junior School</v>
          </cell>
          <cell r="D155" t="str">
            <v/>
          </cell>
          <cell r="E155">
            <v>3107</v>
          </cell>
          <cell r="F155">
            <v>0</v>
          </cell>
          <cell r="G155">
            <v>0</v>
          </cell>
          <cell r="H155">
            <v>0</v>
          </cell>
          <cell r="I155">
            <v>0</v>
          </cell>
          <cell r="J155">
            <v>0</v>
          </cell>
          <cell r="K155">
            <v>0</v>
          </cell>
          <cell r="L155">
            <v>0</v>
          </cell>
          <cell r="M155">
            <v>0</v>
          </cell>
          <cell r="N155">
            <v>0</v>
          </cell>
          <cell r="O155">
            <v>40</v>
          </cell>
          <cell r="P155">
            <v>49</v>
          </cell>
          <cell r="Q155">
            <v>53</v>
          </cell>
          <cell r="R155">
            <v>43</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185</v>
          </cell>
          <cell r="BO155">
            <v>185</v>
          </cell>
          <cell r="BP155">
            <v>185</v>
          </cell>
          <cell r="BQ155">
            <v>185</v>
          </cell>
          <cell r="BR155" t="str">
            <v>LCC</v>
          </cell>
        </row>
        <row r="156">
          <cell r="A156" t="str">
            <v>E3760</v>
          </cell>
          <cell r="B156">
            <v>2128</v>
          </cell>
          <cell r="C156" t="str">
            <v>Lincoln St Giles Infant School</v>
          </cell>
          <cell r="D156" t="str">
            <v/>
          </cell>
          <cell r="E156">
            <v>2128</v>
          </cell>
          <cell r="F156">
            <v>0</v>
          </cell>
          <cell r="G156">
            <v>0</v>
          </cell>
          <cell r="H156">
            <v>0</v>
          </cell>
          <cell r="I156">
            <v>0</v>
          </cell>
          <cell r="J156">
            <v>0</v>
          </cell>
          <cell r="K156">
            <v>0</v>
          </cell>
          <cell r="L156">
            <v>0</v>
          </cell>
          <cell r="M156">
            <v>0</v>
          </cell>
          <cell r="N156">
            <v>0</v>
          </cell>
          <cell r="O156">
            <v>0</v>
          </cell>
          <cell r="P156">
            <v>0</v>
          </cell>
          <cell r="Q156">
            <v>0</v>
          </cell>
          <cell r="R156">
            <v>63</v>
          </cell>
          <cell r="S156">
            <v>69</v>
          </cell>
          <cell r="T156">
            <v>53</v>
          </cell>
          <cell r="U156">
            <v>22</v>
          </cell>
          <cell r="V156">
            <v>16</v>
          </cell>
          <cell r="W156">
            <v>36</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259</v>
          </cell>
          <cell r="BO156">
            <v>259</v>
          </cell>
          <cell r="BP156">
            <v>259</v>
          </cell>
          <cell r="BQ156">
            <v>259</v>
          </cell>
          <cell r="BR156" t="str">
            <v>LCC</v>
          </cell>
        </row>
        <row r="157">
          <cell r="A157" t="str">
            <v>E3770</v>
          </cell>
          <cell r="B157">
            <v>2127</v>
          </cell>
          <cell r="C157" t="str">
            <v>Lincoln Myle Cross Junior School</v>
          </cell>
          <cell r="D157" t="str">
            <v/>
          </cell>
          <cell r="E157">
            <v>2127</v>
          </cell>
          <cell r="F157">
            <v>0</v>
          </cell>
          <cell r="G157">
            <v>0</v>
          </cell>
          <cell r="H157">
            <v>0</v>
          </cell>
          <cell r="I157">
            <v>0</v>
          </cell>
          <cell r="J157">
            <v>0</v>
          </cell>
          <cell r="K157">
            <v>0</v>
          </cell>
          <cell r="L157">
            <v>0</v>
          </cell>
          <cell r="M157">
            <v>0</v>
          </cell>
          <cell r="N157">
            <v>0</v>
          </cell>
          <cell r="O157">
            <v>58</v>
          </cell>
          <cell r="P157">
            <v>44</v>
          </cell>
          <cell r="Q157">
            <v>68</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170</v>
          </cell>
          <cell r="BO157">
            <v>170</v>
          </cell>
          <cell r="BP157">
            <v>170</v>
          </cell>
          <cell r="BQ157">
            <v>170</v>
          </cell>
          <cell r="BR157" t="str">
            <v>LCC</v>
          </cell>
        </row>
        <row r="158">
          <cell r="A158" t="str">
            <v>E3780</v>
          </cell>
          <cell r="B158">
            <v>3346</v>
          </cell>
          <cell r="C158" t="str">
            <v>Lincoln Saint Hugh's Catholic Primary School</v>
          </cell>
          <cell r="D158" t="str">
            <v/>
          </cell>
          <cell r="E158">
            <v>3346</v>
          </cell>
          <cell r="F158">
            <v>0</v>
          </cell>
          <cell r="G158">
            <v>0</v>
          </cell>
          <cell r="H158">
            <v>0</v>
          </cell>
          <cell r="I158">
            <v>0</v>
          </cell>
          <cell r="J158">
            <v>0</v>
          </cell>
          <cell r="K158">
            <v>0</v>
          </cell>
          <cell r="L158">
            <v>0</v>
          </cell>
          <cell r="M158">
            <v>0</v>
          </cell>
          <cell r="N158">
            <v>0</v>
          </cell>
          <cell r="O158">
            <v>34</v>
          </cell>
          <cell r="P158">
            <v>41</v>
          </cell>
          <cell r="Q158">
            <v>35</v>
          </cell>
          <cell r="R158">
            <v>34</v>
          </cell>
          <cell r="S158">
            <v>34</v>
          </cell>
          <cell r="T158">
            <v>35</v>
          </cell>
          <cell r="U158">
            <v>18</v>
          </cell>
          <cell r="V158">
            <v>8</v>
          </cell>
          <cell r="W158">
            <v>16</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255</v>
          </cell>
          <cell r="BO158">
            <v>255</v>
          </cell>
          <cell r="BP158">
            <v>255</v>
          </cell>
          <cell r="BQ158">
            <v>255</v>
          </cell>
          <cell r="BR158" t="str">
            <v>LCC</v>
          </cell>
        </row>
        <row r="159">
          <cell r="A159" t="str">
            <v>E3800</v>
          </cell>
          <cell r="B159">
            <v>3111</v>
          </cell>
          <cell r="C159" t="str">
            <v>Lincoln St Peter at Gowts CE Primary School</v>
          </cell>
          <cell r="D159" t="str">
            <v/>
          </cell>
          <cell r="E159">
            <v>3111</v>
          </cell>
          <cell r="F159">
            <v>0</v>
          </cell>
          <cell r="G159">
            <v>0</v>
          </cell>
          <cell r="H159">
            <v>0</v>
          </cell>
          <cell r="I159">
            <v>0</v>
          </cell>
          <cell r="J159">
            <v>0</v>
          </cell>
          <cell r="K159">
            <v>0</v>
          </cell>
          <cell r="L159">
            <v>0</v>
          </cell>
          <cell r="M159">
            <v>0</v>
          </cell>
          <cell r="N159">
            <v>0</v>
          </cell>
          <cell r="O159">
            <v>29</v>
          </cell>
          <cell r="P159">
            <v>28</v>
          </cell>
          <cell r="Q159">
            <v>29</v>
          </cell>
          <cell r="R159">
            <v>30</v>
          </cell>
          <cell r="S159">
            <v>28</v>
          </cell>
          <cell r="T159">
            <v>29</v>
          </cell>
          <cell r="U159">
            <v>11</v>
          </cell>
          <cell r="V159">
            <v>6</v>
          </cell>
          <cell r="W159">
            <v>13</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11</v>
          </cell>
          <cell r="BK159">
            <v>9</v>
          </cell>
          <cell r="BL159">
            <v>15</v>
          </cell>
          <cell r="BM159">
            <v>9</v>
          </cell>
          <cell r="BN159">
            <v>247</v>
          </cell>
          <cell r="BO159">
            <v>225</v>
          </cell>
          <cell r="BP159">
            <v>203</v>
          </cell>
          <cell r="BQ159">
            <v>203</v>
          </cell>
          <cell r="BR159" t="str">
            <v>LCC</v>
          </cell>
        </row>
        <row r="160">
          <cell r="A160" t="str">
            <v>E3810</v>
          </cell>
          <cell r="B160">
            <v>3505</v>
          </cell>
          <cell r="C160" t="str">
            <v>Lincoln Bishop King CE Community Primary School</v>
          </cell>
          <cell r="D160" t="str">
            <v/>
          </cell>
          <cell r="E160">
            <v>3505</v>
          </cell>
          <cell r="F160">
            <v>0</v>
          </cell>
          <cell r="G160">
            <v>0</v>
          </cell>
          <cell r="H160">
            <v>0</v>
          </cell>
          <cell r="I160">
            <v>0</v>
          </cell>
          <cell r="J160">
            <v>0</v>
          </cell>
          <cell r="K160">
            <v>0</v>
          </cell>
          <cell r="L160">
            <v>0</v>
          </cell>
          <cell r="M160">
            <v>0</v>
          </cell>
          <cell r="N160">
            <v>0</v>
          </cell>
          <cell r="O160">
            <v>36</v>
          </cell>
          <cell r="P160">
            <v>15</v>
          </cell>
          <cell r="Q160">
            <v>30</v>
          </cell>
          <cell r="R160">
            <v>35</v>
          </cell>
          <cell r="S160">
            <v>33</v>
          </cell>
          <cell r="T160">
            <v>27</v>
          </cell>
          <cell r="U160">
            <v>12</v>
          </cell>
          <cell r="V160">
            <v>5</v>
          </cell>
          <cell r="W160">
            <v>21</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6</v>
          </cell>
          <cell r="BK160">
            <v>7</v>
          </cell>
          <cell r="BL160">
            <v>14</v>
          </cell>
          <cell r="BM160">
            <v>6</v>
          </cell>
          <cell r="BN160">
            <v>247</v>
          </cell>
          <cell r="BO160">
            <v>230.5</v>
          </cell>
          <cell r="BP160">
            <v>214</v>
          </cell>
          <cell r="BQ160">
            <v>214</v>
          </cell>
          <cell r="BR160" t="str">
            <v>LCC</v>
          </cell>
        </row>
        <row r="161">
          <cell r="A161" t="str">
            <v>E3820</v>
          </cell>
          <cell r="B161">
            <v>5224</v>
          </cell>
          <cell r="C161" t="str">
            <v>Lincoln Westgate Junior School</v>
          </cell>
          <cell r="D161" t="str">
            <v/>
          </cell>
          <cell r="E161">
            <v>5224</v>
          </cell>
          <cell r="F161">
            <v>0</v>
          </cell>
          <cell r="G161">
            <v>0</v>
          </cell>
          <cell r="H161">
            <v>0</v>
          </cell>
          <cell r="I161">
            <v>0</v>
          </cell>
          <cell r="J161">
            <v>0</v>
          </cell>
          <cell r="K161">
            <v>0</v>
          </cell>
          <cell r="L161">
            <v>0</v>
          </cell>
          <cell r="M161">
            <v>0</v>
          </cell>
          <cell r="N161">
            <v>2</v>
          </cell>
          <cell r="O161">
            <v>97</v>
          </cell>
          <cell r="P161">
            <v>125</v>
          </cell>
          <cell r="Q161">
            <v>107</v>
          </cell>
          <cell r="R161">
            <v>96</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427</v>
          </cell>
          <cell r="BO161">
            <v>427</v>
          </cell>
          <cell r="BP161">
            <v>427</v>
          </cell>
          <cell r="BQ161">
            <v>427</v>
          </cell>
          <cell r="BR161" t="str">
            <v>LCC</v>
          </cell>
        </row>
        <row r="162">
          <cell r="A162" t="str">
            <v>E3850</v>
          </cell>
          <cell r="B162">
            <v>3507</v>
          </cell>
          <cell r="C162" t="str">
            <v>Lincoln The Meadows Primary School</v>
          </cell>
          <cell r="D162" t="str">
            <v/>
          </cell>
          <cell r="E162">
            <v>3507</v>
          </cell>
          <cell r="F162">
            <v>0</v>
          </cell>
          <cell r="G162">
            <v>0</v>
          </cell>
          <cell r="H162">
            <v>0</v>
          </cell>
          <cell r="I162">
            <v>0</v>
          </cell>
          <cell r="J162">
            <v>0</v>
          </cell>
          <cell r="K162">
            <v>0</v>
          </cell>
          <cell r="L162">
            <v>0</v>
          </cell>
          <cell r="M162">
            <v>0</v>
          </cell>
          <cell r="N162">
            <v>0</v>
          </cell>
          <cell r="O162">
            <v>38</v>
          </cell>
          <cell r="P162">
            <v>37</v>
          </cell>
          <cell r="Q162">
            <v>36</v>
          </cell>
          <cell r="R162">
            <v>44</v>
          </cell>
          <cell r="S162">
            <v>21</v>
          </cell>
          <cell r="T162">
            <v>44</v>
          </cell>
          <cell r="U162">
            <v>11</v>
          </cell>
          <cell r="V162">
            <v>9</v>
          </cell>
          <cell r="W162">
            <v>18</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258</v>
          </cell>
          <cell r="BO162">
            <v>258</v>
          </cell>
          <cell r="BP162">
            <v>258</v>
          </cell>
          <cell r="BQ162">
            <v>258</v>
          </cell>
          <cell r="BR162" t="str">
            <v>LCC</v>
          </cell>
        </row>
        <row r="163">
          <cell r="A163" t="str">
            <v>E3890</v>
          </cell>
          <cell r="B163">
            <v>3040</v>
          </cell>
          <cell r="C163" t="str">
            <v>Long Bennington CE Primary School</v>
          </cell>
          <cell r="D163" t="str">
            <v/>
          </cell>
          <cell r="E163">
            <v>3040</v>
          </cell>
          <cell r="F163">
            <v>0</v>
          </cell>
          <cell r="G163">
            <v>0</v>
          </cell>
          <cell r="H163">
            <v>0</v>
          </cell>
          <cell r="I163">
            <v>0</v>
          </cell>
          <cell r="J163">
            <v>0</v>
          </cell>
          <cell r="K163">
            <v>0</v>
          </cell>
          <cell r="L163">
            <v>0</v>
          </cell>
          <cell r="M163">
            <v>0</v>
          </cell>
          <cell r="N163">
            <v>0</v>
          </cell>
          <cell r="O163">
            <v>36</v>
          </cell>
          <cell r="P163">
            <v>40</v>
          </cell>
          <cell r="Q163">
            <v>38</v>
          </cell>
          <cell r="R163">
            <v>32</v>
          </cell>
          <cell r="S163">
            <v>41</v>
          </cell>
          <cell r="T163">
            <v>37</v>
          </cell>
          <cell r="U163">
            <v>13</v>
          </cell>
          <cell r="V163">
            <v>14</v>
          </cell>
          <cell r="W163">
            <v>16</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267</v>
          </cell>
          <cell r="BO163">
            <v>267</v>
          </cell>
          <cell r="BP163">
            <v>267</v>
          </cell>
          <cell r="BQ163">
            <v>267</v>
          </cell>
          <cell r="BR163" t="str">
            <v>SKDC</v>
          </cell>
        </row>
        <row r="164">
          <cell r="A164" t="str">
            <v>E3900</v>
          </cell>
          <cell r="B164">
            <v>2095</v>
          </cell>
          <cell r="C164" t="str">
            <v>Long Sutton Primary School</v>
          </cell>
          <cell r="D164" t="str">
            <v/>
          </cell>
          <cell r="E164">
            <v>2095</v>
          </cell>
          <cell r="F164">
            <v>0</v>
          </cell>
          <cell r="G164">
            <v>0</v>
          </cell>
          <cell r="H164">
            <v>0</v>
          </cell>
          <cell r="I164">
            <v>0</v>
          </cell>
          <cell r="J164">
            <v>0</v>
          </cell>
          <cell r="K164">
            <v>0</v>
          </cell>
          <cell r="L164">
            <v>0</v>
          </cell>
          <cell r="M164">
            <v>0</v>
          </cell>
          <cell r="N164">
            <v>0</v>
          </cell>
          <cell r="O164">
            <v>54</v>
          </cell>
          <cell r="P164">
            <v>58</v>
          </cell>
          <cell r="Q164">
            <v>48</v>
          </cell>
          <cell r="R164">
            <v>53</v>
          </cell>
          <cell r="S164">
            <v>46</v>
          </cell>
          <cell r="T164">
            <v>48</v>
          </cell>
          <cell r="U164">
            <v>21</v>
          </cell>
          <cell r="V164">
            <v>15</v>
          </cell>
          <cell r="W164">
            <v>23</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5</v>
          </cell>
          <cell r="BK164">
            <v>5</v>
          </cell>
          <cell r="BL164">
            <v>8</v>
          </cell>
          <cell r="BM164">
            <v>4</v>
          </cell>
          <cell r="BN164">
            <v>388</v>
          </cell>
          <cell r="BO164">
            <v>377</v>
          </cell>
          <cell r="BP164">
            <v>366</v>
          </cell>
          <cell r="BQ164">
            <v>366</v>
          </cell>
          <cell r="BR164" t="str">
            <v>SHDC</v>
          </cell>
        </row>
        <row r="165">
          <cell r="A165" t="str">
            <v>E3910</v>
          </cell>
          <cell r="B165">
            <v>2170</v>
          </cell>
          <cell r="C165" t="str">
            <v>Louth Eastfield Infants' and Nursery School</v>
          </cell>
          <cell r="D165" t="str">
            <v/>
          </cell>
          <cell r="E165">
            <v>2170</v>
          </cell>
          <cell r="F165">
            <v>0</v>
          </cell>
          <cell r="G165">
            <v>0</v>
          </cell>
          <cell r="H165">
            <v>0</v>
          </cell>
          <cell r="I165">
            <v>0</v>
          </cell>
          <cell r="J165">
            <v>0</v>
          </cell>
          <cell r="K165">
            <v>0</v>
          </cell>
          <cell r="L165">
            <v>0</v>
          </cell>
          <cell r="M165">
            <v>0</v>
          </cell>
          <cell r="N165">
            <v>0</v>
          </cell>
          <cell r="O165">
            <v>0</v>
          </cell>
          <cell r="P165">
            <v>0</v>
          </cell>
          <cell r="Q165">
            <v>0</v>
          </cell>
          <cell r="R165">
            <v>1</v>
          </cell>
          <cell r="S165">
            <v>54</v>
          </cell>
          <cell r="T165">
            <v>56</v>
          </cell>
          <cell r="U165">
            <v>23</v>
          </cell>
          <cell r="V165">
            <v>15</v>
          </cell>
          <cell r="W165">
            <v>32</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1</v>
          </cell>
          <cell r="AZ165">
            <v>0</v>
          </cell>
          <cell r="BA165">
            <v>1</v>
          </cell>
          <cell r="BB165">
            <v>4</v>
          </cell>
          <cell r="BC165">
            <v>4</v>
          </cell>
          <cell r="BD165">
            <v>4</v>
          </cell>
          <cell r="BE165">
            <v>1</v>
          </cell>
          <cell r="BF165">
            <v>0</v>
          </cell>
          <cell r="BG165">
            <v>0</v>
          </cell>
          <cell r="BH165">
            <v>0</v>
          </cell>
          <cell r="BI165">
            <v>0</v>
          </cell>
          <cell r="BJ165">
            <v>10</v>
          </cell>
          <cell r="BK165">
            <v>13</v>
          </cell>
          <cell r="BL165">
            <v>9</v>
          </cell>
          <cell r="BM165">
            <v>9</v>
          </cell>
          <cell r="BN165">
            <v>237</v>
          </cell>
          <cell r="BO165">
            <v>216.5</v>
          </cell>
          <cell r="BP165">
            <v>181</v>
          </cell>
          <cell r="BQ165">
            <v>181</v>
          </cell>
          <cell r="BR165" t="str">
            <v>ELDC</v>
          </cell>
        </row>
        <row r="166">
          <cell r="A166" t="str">
            <v>E3920</v>
          </cell>
          <cell r="B166">
            <v>2171</v>
          </cell>
          <cell r="C166" t="str">
            <v>Louth Kidgate Primary School</v>
          </cell>
          <cell r="D166" t="str">
            <v/>
          </cell>
          <cell r="E166">
            <v>2171</v>
          </cell>
          <cell r="F166">
            <v>0</v>
          </cell>
          <cell r="G166">
            <v>0</v>
          </cell>
          <cell r="H166">
            <v>0</v>
          </cell>
          <cell r="I166">
            <v>0</v>
          </cell>
          <cell r="J166">
            <v>0</v>
          </cell>
          <cell r="K166">
            <v>0</v>
          </cell>
          <cell r="L166">
            <v>0</v>
          </cell>
          <cell r="M166">
            <v>0</v>
          </cell>
          <cell r="N166">
            <v>0</v>
          </cell>
          <cell r="O166">
            <v>58</v>
          </cell>
          <cell r="P166">
            <v>60</v>
          </cell>
          <cell r="Q166">
            <v>58</v>
          </cell>
          <cell r="R166">
            <v>60</v>
          </cell>
          <cell r="S166">
            <v>60</v>
          </cell>
          <cell r="T166">
            <v>57</v>
          </cell>
          <cell r="U166">
            <v>11</v>
          </cell>
          <cell r="V166">
            <v>14</v>
          </cell>
          <cell r="W166">
            <v>35</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413</v>
          </cell>
          <cell r="BO166">
            <v>413</v>
          </cell>
          <cell r="BP166">
            <v>413</v>
          </cell>
          <cell r="BQ166">
            <v>413</v>
          </cell>
          <cell r="BR166" t="str">
            <v>ELDC</v>
          </cell>
        </row>
        <row r="167">
          <cell r="A167" t="str">
            <v>E3930</v>
          </cell>
          <cell r="B167">
            <v>5206</v>
          </cell>
          <cell r="C167" t="str">
            <v>Louth Lacey Gardens Junior School</v>
          </cell>
          <cell r="D167" t="str">
            <v/>
          </cell>
          <cell r="E167">
            <v>5206</v>
          </cell>
          <cell r="F167">
            <v>0</v>
          </cell>
          <cell r="G167">
            <v>0</v>
          </cell>
          <cell r="H167">
            <v>0</v>
          </cell>
          <cell r="I167">
            <v>0</v>
          </cell>
          <cell r="J167">
            <v>0</v>
          </cell>
          <cell r="K167">
            <v>0</v>
          </cell>
          <cell r="L167">
            <v>0</v>
          </cell>
          <cell r="M167">
            <v>0</v>
          </cell>
          <cell r="N167">
            <v>0</v>
          </cell>
          <cell r="O167">
            <v>69</v>
          </cell>
          <cell r="P167">
            <v>74</v>
          </cell>
          <cell r="Q167">
            <v>89</v>
          </cell>
          <cell r="R167">
            <v>67</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299</v>
          </cell>
          <cell r="BO167">
            <v>299</v>
          </cell>
          <cell r="BP167">
            <v>299</v>
          </cell>
          <cell r="BQ167">
            <v>299</v>
          </cell>
          <cell r="BR167" t="str">
            <v>ELDC</v>
          </cell>
        </row>
        <row r="168">
          <cell r="A168" t="str">
            <v>E3940</v>
          </cell>
          <cell r="B168">
            <v>3128</v>
          </cell>
          <cell r="C168" t="str">
            <v>Louth St Michael's CE School</v>
          </cell>
          <cell r="D168" t="str">
            <v/>
          </cell>
          <cell r="E168">
            <v>3128</v>
          </cell>
          <cell r="F168">
            <v>0</v>
          </cell>
          <cell r="G168">
            <v>0</v>
          </cell>
          <cell r="H168">
            <v>0</v>
          </cell>
          <cell r="I168">
            <v>0</v>
          </cell>
          <cell r="J168">
            <v>0</v>
          </cell>
          <cell r="K168">
            <v>0</v>
          </cell>
          <cell r="L168">
            <v>0</v>
          </cell>
          <cell r="M168">
            <v>0</v>
          </cell>
          <cell r="N168">
            <v>0</v>
          </cell>
          <cell r="O168">
            <v>32</v>
          </cell>
          <cell r="P168">
            <v>35</v>
          </cell>
          <cell r="Q168">
            <v>32</v>
          </cell>
          <cell r="R168">
            <v>33</v>
          </cell>
          <cell r="S168">
            <v>35</v>
          </cell>
          <cell r="T168">
            <v>32</v>
          </cell>
          <cell r="U168">
            <v>6</v>
          </cell>
          <cell r="V168">
            <v>11</v>
          </cell>
          <cell r="W168">
            <v>13</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229</v>
          </cell>
          <cell r="BO168">
            <v>229</v>
          </cell>
          <cell r="BP168">
            <v>229</v>
          </cell>
          <cell r="BQ168">
            <v>229</v>
          </cell>
          <cell r="BR168" t="str">
            <v>ELDC</v>
          </cell>
        </row>
        <row r="169">
          <cell r="A169" t="str">
            <v>E3970</v>
          </cell>
          <cell r="B169">
            <v>3129</v>
          </cell>
          <cell r="C169" t="str">
            <v>Ludford CE Primary School</v>
          </cell>
          <cell r="D169" t="str">
            <v/>
          </cell>
          <cell r="E169">
            <v>3129</v>
          </cell>
          <cell r="F169">
            <v>0</v>
          </cell>
          <cell r="G169">
            <v>0</v>
          </cell>
          <cell r="H169">
            <v>0</v>
          </cell>
          <cell r="I169">
            <v>0</v>
          </cell>
          <cell r="J169">
            <v>0</v>
          </cell>
          <cell r="K169">
            <v>0</v>
          </cell>
          <cell r="L169">
            <v>0</v>
          </cell>
          <cell r="M169">
            <v>0</v>
          </cell>
          <cell r="N169">
            <v>0</v>
          </cell>
          <cell r="O169">
            <v>7</v>
          </cell>
          <cell r="P169">
            <v>13</v>
          </cell>
          <cell r="Q169">
            <v>7</v>
          </cell>
          <cell r="R169">
            <v>4</v>
          </cell>
          <cell r="S169">
            <v>2</v>
          </cell>
          <cell r="T169">
            <v>4</v>
          </cell>
          <cell r="U169">
            <v>3</v>
          </cell>
          <cell r="V169">
            <v>0</v>
          </cell>
          <cell r="W169">
            <v>1</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41</v>
          </cell>
          <cell r="BO169">
            <v>41</v>
          </cell>
          <cell r="BP169">
            <v>41</v>
          </cell>
          <cell r="BQ169">
            <v>41</v>
          </cell>
          <cell r="BR169" t="str">
            <v>ELDC</v>
          </cell>
        </row>
        <row r="170">
          <cell r="A170" t="str">
            <v>E3980</v>
          </cell>
          <cell r="B170">
            <v>2105</v>
          </cell>
          <cell r="C170" t="str">
            <v>Lutton St Nicholas Primary School</v>
          </cell>
          <cell r="D170" t="str">
            <v/>
          </cell>
          <cell r="E170">
            <v>2105</v>
          </cell>
          <cell r="F170">
            <v>0</v>
          </cell>
          <cell r="G170">
            <v>0</v>
          </cell>
          <cell r="H170">
            <v>0</v>
          </cell>
          <cell r="I170">
            <v>0</v>
          </cell>
          <cell r="J170">
            <v>0</v>
          </cell>
          <cell r="K170">
            <v>0</v>
          </cell>
          <cell r="L170">
            <v>0</v>
          </cell>
          <cell r="M170">
            <v>0</v>
          </cell>
          <cell r="N170">
            <v>0</v>
          </cell>
          <cell r="O170">
            <v>15</v>
          </cell>
          <cell r="P170">
            <v>15</v>
          </cell>
          <cell r="Q170">
            <v>13</v>
          </cell>
          <cell r="R170">
            <v>14</v>
          </cell>
          <cell r="S170">
            <v>10</v>
          </cell>
          <cell r="T170">
            <v>9</v>
          </cell>
          <cell r="U170">
            <v>7</v>
          </cell>
          <cell r="V170">
            <v>3</v>
          </cell>
          <cell r="W170">
            <v>1</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87</v>
          </cell>
          <cell r="BO170">
            <v>87</v>
          </cell>
          <cell r="BP170">
            <v>87</v>
          </cell>
          <cell r="BQ170">
            <v>87</v>
          </cell>
          <cell r="BR170" t="str">
            <v>SHDC</v>
          </cell>
        </row>
        <row r="171">
          <cell r="A171" t="str">
            <v>E3990</v>
          </cell>
          <cell r="B171">
            <v>2173</v>
          </cell>
          <cell r="C171" t="str">
            <v>Mablethorpe Primary and Nursery School</v>
          </cell>
          <cell r="D171" t="str">
            <v/>
          </cell>
          <cell r="E171">
            <v>2173</v>
          </cell>
          <cell r="F171">
            <v>0</v>
          </cell>
          <cell r="G171">
            <v>0</v>
          </cell>
          <cell r="H171">
            <v>0</v>
          </cell>
          <cell r="I171">
            <v>0</v>
          </cell>
          <cell r="J171">
            <v>0</v>
          </cell>
          <cell r="K171">
            <v>0</v>
          </cell>
          <cell r="L171">
            <v>0</v>
          </cell>
          <cell r="M171">
            <v>0</v>
          </cell>
          <cell r="N171">
            <v>0</v>
          </cell>
          <cell r="O171">
            <v>51</v>
          </cell>
          <cell r="P171">
            <v>60</v>
          </cell>
          <cell r="Q171">
            <v>54</v>
          </cell>
          <cell r="R171">
            <v>57</v>
          </cell>
          <cell r="S171">
            <v>44</v>
          </cell>
          <cell r="T171">
            <v>40</v>
          </cell>
          <cell r="U171">
            <v>15</v>
          </cell>
          <cell r="V171">
            <v>7</v>
          </cell>
          <cell r="W171">
            <v>13</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11</v>
          </cell>
          <cell r="BK171">
            <v>12</v>
          </cell>
          <cell r="BL171">
            <v>14</v>
          </cell>
          <cell r="BM171">
            <v>0</v>
          </cell>
          <cell r="BN171">
            <v>378</v>
          </cell>
          <cell r="BO171">
            <v>359.5</v>
          </cell>
          <cell r="BP171">
            <v>341</v>
          </cell>
          <cell r="BQ171">
            <v>341</v>
          </cell>
          <cell r="BR171" t="str">
            <v>ELDC</v>
          </cell>
        </row>
        <row r="172">
          <cell r="A172" t="str">
            <v>E4010</v>
          </cell>
          <cell r="B172">
            <v>3130</v>
          </cell>
          <cell r="C172" t="str">
            <v>Mareham-le-Fen CE Primary School</v>
          </cell>
          <cell r="D172" t="str">
            <v/>
          </cell>
          <cell r="E172">
            <v>3130</v>
          </cell>
          <cell r="F172">
            <v>0</v>
          </cell>
          <cell r="G172">
            <v>0</v>
          </cell>
          <cell r="H172">
            <v>0</v>
          </cell>
          <cell r="I172">
            <v>0</v>
          </cell>
          <cell r="J172">
            <v>0</v>
          </cell>
          <cell r="K172">
            <v>0</v>
          </cell>
          <cell r="L172">
            <v>0</v>
          </cell>
          <cell r="M172">
            <v>0</v>
          </cell>
          <cell r="N172">
            <v>0</v>
          </cell>
          <cell r="O172">
            <v>10</v>
          </cell>
          <cell r="P172">
            <v>18</v>
          </cell>
          <cell r="Q172">
            <v>17</v>
          </cell>
          <cell r="R172">
            <v>16</v>
          </cell>
          <cell r="S172">
            <v>11</v>
          </cell>
          <cell r="T172">
            <v>11</v>
          </cell>
          <cell r="U172">
            <v>7</v>
          </cell>
          <cell r="V172">
            <v>4</v>
          </cell>
          <cell r="W172">
            <v>5</v>
          </cell>
          <cell r="X172">
            <v>3</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102</v>
          </cell>
          <cell r="BO172">
            <v>102</v>
          </cell>
          <cell r="BP172">
            <v>102</v>
          </cell>
          <cell r="BQ172">
            <v>102</v>
          </cell>
          <cell r="BR172" t="str">
            <v>ELDC</v>
          </cell>
        </row>
        <row r="173">
          <cell r="A173" t="str">
            <v>E4020</v>
          </cell>
          <cell r="B173">
            <v>2065</v>
          </cell>
          <cell r="C173" t="str">
            <v>Market Deeping Community Primary School</v>
          </cell>
          <cell r="D173" t="str">
            <v/>
          </cell>
          <cell r="E173">
            <v>2065</v>
          </cell>
          <cell r="F173">
            <v>0</v>
          </cell>
          <cell r="G173">
            <v>0</v>
          </cell>
          <cell r="H173">
            <v>0</v>
          </cell>
          <cell r="I173">
            <v>0</v>
          </cell>
          <cell r="J173">
            <v>0</v>
          </cell>
          <cell r="K173">
            <v>0</v>
          </cell>
          <cell r="L173">
            <v>0</v>
          </cell>
          <cell r="M173">
            <v>0</v>
          </cell>
          <cell r="N173">
            <v>0</v>
          </cell>
          <cell r="O173">
            <v>33</v>
          </cell>
          <cell r="P173">
            <v>26</v>
          </cell>
          <cell r="Q173">
            <v>28</v>
          </cell>
          <cell r="R173">
            <v>26</v>
          </cell>
          <cell r="S173">
            <v>27</v>
          </cell>
          <cell r="T173">
            <v>29</v>
          </cell>
          <cell r="U173">
            <v>7</v>
          </cell>
          <cell r="V173">
            <v>8</v>
          </cell>
          <cell r="W173">
            <v>15</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6</v>
          </cell>
          <cell r="BK173">
            <v>5</v>
          </cell>
          <cell r="BL173">
            <v>8</v>
          </cell>
          <cell r="BM173">
            <v>3</v>
          </cell>
          <cell r="BN173">
            <v>221</v>
          </cell>
          <cell r="BO173">
            <v>210</v>
          </cell>
          <cell r="BP173">
            <v>199</v>
          </cell>
          <cell r="BQ173">
            <v>199</v>
          </cell>
          <cell r="BR173" t="str">
            <v>SKDC</v>
          </cell>
        </row>
        <row r="174">
          <cell r="A174" t="str">
            <v>E4030</v>
          </cell>
          <cell r="B174">
            <v>5228</v>
          </cell>
          <cell r="C174" t="str">
            <v>Market Deeping William Hildyard CE Primary School</v>
          </cell>
          <cell r="D174" t="str">
            <v/>
          </cell>
          <cell r="E174">
            <v>5228</v>
          </cell>
          <cell r="F174">
            <v>0</v>
          </cell>
          <cell r="G174">
            <v>0</v>
          </cell>
          <cell r="H174">
            <v>0</v>
          </cell>
          <cell r="I174">
            <v>0</v>
          </cell>
          <cell r="J174">
            <v>0</v>
          </cell>
          <cell r="K174">
            <v>0</v>
          </cell>
          <cell r="L174">
            <v>0</v>
          </cell>
          <cell r="M174">
            <v>0</v>
          </cell>
          <cell r="N174">
            <v>0</v>
          </cell>
          <cell r="O174">
            <v>30</v>
          </cell>
          <cell r="P174">
            <v>27</v>
          </cell>
          <cell r="Q174">
            <v>29</v>
          </cell>
          <cell r="R174">
            <v>26</v>
          </cell>
          <cell r="S174">
            <v>30</v>
          </cell>
          <cell r="T174">
            <v>25</v>
          </cell>
          <cell r="U174">
            <v>11</v>
          </cell>
          <cell r="V174">
            <v>6</v>
          </cell>
          <cell r="W174">
            <v>12</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5</v>
          </cell>
          <cell r="BK174">
            <v>6</v>
          </cell>
          <cell r="BL174">
            <v>4</v>
          </cell>
          <cell r="BM174">
            <v>7</v>
          </cell>
          <cell r="BN174">
            <v>218</v>
          </cell>
          <cell r="BO174">
            <v>207</v>
          </cell>
          <cell r="BP174">
            <v>196</v>
          </cell>
          <cell r="BQ174">
            <v>196</v>
          </cell>
          <cell r="BR174" t="str">
            <v>SKDC</v>
          </cell>
        </row>
        <row r="175">
          <cell r="A175" t="str">
            <v>E4040</v>
          </cell>
          <cell r="B175">
            <v>3131</v>
          </cell>
          <cell r="C175" t="str">
            <v>Market Rasen CE Primary School</v>
          </cell>
          <cell r="D175" t="str">
            <v/>
          </cell>
          <cell r="E175">
            <v>3131</v>
          </cell>
          <cell r="F175">
            <v>0</v>
          </cell>
          <cell r="G175">
            <v>0</v>
          </cell>
          <cell r="H175">
            <v>0</v>
          </cell>
          <cell r="I175">
            <v>0</v>
          </cell>
          <cell r="J175">
            <v>0</v>
          </cell>
          <cell r="K175">
            <v>0</v>
          </cell>
          <cell r="L175">
            <v>0</v>
          </cell>
          <cell r="M175">
            <v>0</v>
          </cell>
          <cell r="N175">
            <v>0</v>
          </cell>
          <cell r="O175">
            <v>41</v>
          </cell>
          <cell r="P175">
            <v>44</v>
          </cell>
          <cell r="Q175">
            <v>34</v>
          </cell>
          <cell r="R175">
            <v>36</v>
          </cell>
          <cell r="S175">
            <v>32</v>
          </cell>
          <cell r="T175">
            <v>34</v>
          </cell>
          <cell r="U175">
            <v>11</v>
          </cell>
          <cell r="V175">
            <v>11</v>
          </cell>
          <cell r="W175">
            <v>18</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261</v>
          </cell>
          <cell r="BO175">
            <v>261</v>
          </cell>
          <cell r="BP175">
            <v>261</v>
          </cell>
          <cell r="BQ175">
            <v>261</v>
          </cell>
          <cell r="BR175" t="str">
            <v>WLDC</v>
          </cell>
        </row>
        <row r="176">
          <cell r="A176" t="str">
            <v>E4050</v>
          </cell>
          <cell r="B176">
            <v>2174</v>
          </cell>
          <cell r="C176" t="str">
            <v>Marshchapel Primary School</v>
          </cell>
          <cell r="D176" t="str">
            <v/>
          </cell>
          <cell r="E176">
            <v>2174</v>
          </cell>
          <cell r="F176">
            <v>0</v>
          </cell>
          <cell r="G176">
            <v>0</v>
          </cell>
          <cell r="H176">
            <v>0</v>
          </cell>
          <cell r="I176">
            <v>0</v>
          </cell>
          <cell r="J176">
            <v>0</v>
          </cell>
          <cell r="K176">
            <v>0</v>
          </cell>
          <cell r="L176">
            <v>0</v>
          </cell>
          <cell r="M176">
            <v>0</v>
          </cell>
          <cell r="N176">
            <v>0</v>
          </cell>
          <cell r="O176">
            <v>5</v>
          </cell>
          <cell r="P176">
            <v>5</v>
          </cell>
          <cell r="Q176">
            <v>6</v>
          </cell>
          <cell r="R176">
            <v>7</v>
          </cell>
          <cell r="S176">
            <v>1</v>
          </cell>
          <cell r="T176">
            <v>8</v>
          </cell>
          <cell r="U176">
            <v>0</v>
          </cell>
          <cell r="V176">
            <v>1</v>
          </cell>
          <cell r="W176">
            <v>1</v>
          </cell>
          <cell r="X176">
            <v>3</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37</v>
          </cell>
          <cell r="BO176">
            <v>37</v>
          </cell>
          <cell r="BP176">
            <v>37</v>
          </cell>
          <cell r="BQ176">
            <v>37</v>
          </cell>
          <cell r="BR176" t="str">
            <v>ELDC</v>
          </cell>
        </row>
        <row r="177">
          <cell r="A177" t="str">
            <v>E4060</v>
          </cell>
          <cell r="B177">
            <v>3321</v>
          </cell>
          <cell r="C177" t="str">
            <v>Marston Thorold's Charity CE Primary School</v>
          </cell>
          <cell r="D177" t="str">
            <v/>
          </cell>
          <cell r="E177">
            <v>3321</v>
          </cell>
          <cell r="F177">
            <v>0</v>
          </cell>
          <cell r="G177">
            <v>0</v>
          </cell>
          <cell r="H177">
            <v>0</v>
          </cell>
          <cell r="I177">
            <v>0</v>
          </cell>
          <cell r="J177">
            <v>0</v>
          </cell>
          <cell r="K177">
            <v>0</v>
          </cell>
          <cell r="L177">
            <v>0</v>
          </cell>
          <cell r="M177">
            <v>0</v>
          </cell>
          <cell r="N177">
            <v>0</v>
          </cell>
          <cell r="O177">
            <v>10</v>
          </cell>
          <cell r="P177">
            <v>12</v>
          </cell>
          <cell r="Q177">
            <v>12</v>
          </cell>
          <cell r="R177">
            <v>7</v>
          </cell>
          <cell r="S177">
            <v>9</v>
          </cell>
          <cell r="T177">
            <v>11</v>
          </cell>
          <cell r="U177">
            <v>1</v>
          </cell>
          <cell r="V177">
            <v>0</v>
          </cell>
          <cell r="W177">
            <v>4</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66</v>
          </cell>
          <cell r="BO177">
            <v>66</v>
          </cell>
          <cell r="BP177">
            <v>66</v>
          </cell>
          <cell r="BQ177">
            <v>66</v>
          </cell>
          <cell r="BR177" t="str">
            <v>SKDC</v>
          </cell>
        </row>
        <row r="178">
          <cell r="A178" t="str">
            <v>E4070</v>
          </cell>
          <cell r="B178">
            <v>3041</v>
          </cell>
          <cell r="C178" t="str">
            <v>Martin Mrs Mary King's CE (Controlled) Primary School</v>
          </cell>
          <cell r="D178" t="str">
            <v/>
          </cell>
          <cell r="E178">
            <v>3041</v>
          </cell>
          <cell r="F178">
            <v>0</v>
          </cell>
          <cell r="G178">
            <v>0</v>
          </cell>
          <cell r="H178">
            <v>0</v>
          </cell>
          <cell r="I178">
            <v>0</v>
          </cell>
          <cell r="J178">
            <v>0</v>
          </cell>
          <cell r="K178">
            <v>0</v>
          </cell>
          <cell r="L178">
            <v>0</v>
          </cell>
          <cell r="M178">
            <v>0</v>
          </cell>
          <cell r="N178">
            <v>0</v>
          </cell>
          <cell r="O178">
            <v>14</v>
          </cell>
          <cell r="P178">
            <v>16</v>
          </cell>
          <cell r="Q178">
            <v>10</v>
          </cell>
          <cell r="R178">
            <v>13</v>
          </cell>
          <cell r="S178">
            <v>16</v>
          </cell>
          <cell r="T178">
            <v>6</v>
          </cell>
          <cell r="U178">
            <v>5</v>
          </cell>
          <cell r="V178">
            <v>4</v>
          </cell>
          <cell r="W178">
            <v>3</v>
          </cell>
          <cell r="X178">
            <v>3</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90</v>
          </cell>
          <cell r="BO178">
            <v>90</v>
          </cell>
          <cell r="BP178">
            <v>90</v>
          </cell>
          <cell r="BQ178">
            <v>90</v>
          </cell>
          <cell r="BR178" t="str">
            <v>NKDC</v>
          </cell>
        </row>
        <row r="179">
          <cell r="A179" t="str">
            <v>E4080</v>
          </cell>
          <cell r="B179">
            <v>2175</v>
          </cell>
          <cell r="C179" t="str">
            <v>Marton Primary School</v>
          </cell>
          <cell r="D179" t="str">
            <v/>
          </cell>
          <cell r="E179">
            <v>2175</v>
          </cell>
          <cell r="F179">
            <v>0</v>
          </cell>
          <cell r="G179">
            <v>0</v>
          </cell>
          <cell r="H179">
            <v>0</v>
          </cell>
          <cell r="I179">
            <v>0</v>
          </cell>
          <cell r="J179">
            <v>0</v>
          </cell>
          <cell r="K179">
            <v>0</v>
          </cell>
          <cell r="L179">
            <v>0</v>
          </cell>
          <cell r="M179">
            <v>0</v>
          </cell>
          <cell r="N179">
            <v>0</v>
          </cell>
          <cell r="O179">
            <v>9</v>
          </cell>
          <cell r="P179">
            <v>16</v>
          </cell>
          <cell r="Q179">
            <v>11</v>
          </cell>
          <cell r="R179">
            <v>7</v>
          </cell>
          <cell r="S179">
            <v>13</v>
          </cell>
          <cell r="T179">
            <v>9</v>
          </cell>
          <cell r="U179">
            <v>2</v>
          </cell>
          <cell r="V179">
            <v>2</v>
          </cell>
          <cell r="W179">
            <v>1</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70</v>
          </cell>
          <cell r="BO179">
            <v>70</v>
          </cell>
          <cell r="BP179">
            <v>70</v>
          </cell>
          <cell r="BQ179">
            <v>70</v>
          </cell>
          <cell r="BR179" t="str">
            <v>WLDC</v>
          </cell>
        </row>
        <row r="180">
          <cell r="A180" t="str">
            <v>E4090</v>
          </cell>
          <cell r="B180">
            <v>2030</v>
          </cell>
          <cell r="C180" t="str">
            <v>Metheringham Primary School</v>
          </cell>
          <cell r="D180" t="str">
            <v/>
          </cell>
          <cell r="E180">
            <v>2030</v>
          </cell>
          <cell r="F180">
            <v>0</v>
          </cell>
          <cell r="G180">
            <v>0</v>
          </cell>
          <cell r="H180">
            <v>0</v>
          </cell>
          <cell r="I180">
            <v>0</v>
          </cell>
          <cell r="J180">
            <v>0</v>
          </cell>
          <cell r="K180">
            <v>0</v>
          </cell>
          <cell r="L180">
            <v>0</v>
          </cell>
          <cell r="M180">
            <v>0</v>
          </cell>
          <cell r="N180">
            <v>0</v>
          </cell>
          <cell r="O180">
            <v>45</v>
          </cell>
          <cell r="P180">
            <v>37</v>
          </cell>
          <cell r="Q180">
            <v>33</v>
          </cell>
          <cell r="R180">
            <v>33</v>
          </cell>
          <cell r="S180">
            <v>32</v>
          </cell>
          <cell r="T180">
            <v>29</v>
          </cell>
          <cell r="U180">
            <v>10</v>
          </cell>
          <cell r="V180">
            <v>4</v>
          </cell>
          <cell r="W180">
            <v>7</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230</v>
          </cell>
          <cell r="BO180">
            <v>230</v>
          </cell>
          <cell r="BP180">
            <v>230</v>
          </cell>
          <cell r="BQ180">
            <v>230</v>
          </cell>
          <cell r="BR180" t="str">
            <v>NKDC</v>
          </cell>
        </row>
        <row r="181">
          <cell r="A181" t="str">
            <v>E4110</v>
          </cell>
          <cell r="B181">
            <v>2176</v>
          </cell>
          <cell r="C181" t="str">
            <v>Middle Rasen Primary School</v>
          </cell>
          <cell r="D181" t="str">
            <v/>
          </cell>
          <cell r="E181">
            <v>2176</v>
          </cell>
          <cell r="F181">
            <v>0</v>
          </cell>
          <cell r="G181">
            <v>0</v>
          </cell>
          <cell r="H181">
            <v>0</v>
          </cell>
          <cell r="I181">
            <v>0</v>
          </cell>
          <cell r="J181">
            <v>0</v>
          </cell>
          <cell r="K181">
            <v>0</v>
          </cell>
          <cell r="L181">
            <v>0</v>
          </cell>
          <cell r="M181">
            <v>0</v>
          </cell>
          <cell r="N181">
            <v>0</v>
          </cell>
          <cell r="O181">
            <v>14</v>
          </cell>
          <cell r="P181">
            <v>14</v>
          </cell>
          <cell r="Q181">
            <v>14</v>
          </cell>
          <cell r="R181">
            <v>10</v>
          </cell>
          <cell r="S181">
            <v>18</v>
          </cell>
          <cell r="T181">
            <v>8</v>
          </cell>
          <cell r="U181">
            <v>6</v>
          </cell>
          <cell r="V181">
            <v>2</v>
          </cell>
          <cell r="W181">
            <v>2</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88</v>
          </cell>
          <cell r="BO181">
            <v>88</v>
          </cell>
          <cell r="BP181">
            <v>88</v>
          </cell>
          <cell r="BQ181">
            <v>88</v>
          </cell>
          <cell r="BR181" t="str">
            <v>WLDC</v>
          </cell>
        </row>
        <row r="182">
          <cell r="A182" t="str">
            <v>E4120</v>
          </cell>
          <cell r="B182">
            <v>2177</v>
          </cell>
          <cell r="C182" t="str">
            <v>Morton Trentside Primary School</v>
          </cell>
          <cell r="D182" t="str">
            <v/>
          </cell>
          <cell r="E182">
            <v>2177</v>
          </cell>
          <cell r="F182">
            <v>0</v>
          </cell>
          <cell r="G182">
            <v>0</v>
          </cell>
          <cell r="H182">
            <v>0</v>
          </cell>
          <cell r="I182">
            <v>0</v>
          </cell>
          <cell r="J182">
            <v>0</v>
          </cell>
          <cell r="K182">
            <v>0</v>
          </cell>
          <cell r="L182">
            <v>0</v>
          </cell>
          <cell r="M182">
            <v>0</v>
          </cell>
          <cell r="N182">
            <v>0</v>
          </cell>
          <cell r="O182">
            <v>30</v>
          </cell>
          <cell r="P182">
            <v>34</v>
          </cell>
          <cell r="Q182">
            <v>30</v>
          </cell>
          <cell r="R182">
            <v>28</v>
          </cell>
          <cell r="S182">
            <v>30</v>
          </cell>
          <cell r="T182">
            <v>30</v>
          </cell>
          <cell r="U182">
            <v>9</v>
          </cell>
          <cell r="V182">
            <v>6</v>
          </cell>
          <cell r="W182">
            <v>14</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211</v>
          </cell>
          <cell r="BO182">
            <v>211</v>
          </cell>
          <cell r="BP182">
            <v>211</v>
          </cell>
          <cell r="BQ182">
            <v>211</v>
          </cell>
          <cell r="BR182" t="str">
            <v>WLDC</v>
          </cell>
        </row>
        <row r="183">
          <cell r="A183" t="str">
            <v>E4130</v>
          </cell>
          <cell r="B183">
            <v>3044</v>
          </cell>
          <cell r="C183" t="str">
            <v>Morton CE (Controlled) Primary School</v>
          </cell>
          <cell r="D183" t="str">
            <v/>
          </cell>
          <cell r="E183">
            <v>3044</v>
          </cell>
          <cell r="F183">
            <v>0</v>
          </cell>
          <cell r="G183">
            <v>0</v>
          </cell>
          <cell r="H183">
            <v>0</v>
          </cell>
          <cell r="I183">
            <v>0</v>
          </cell>
          <cell r="J183">
            <v>0</v>
          </cell>
          <cell r="K183">
            <v>0</v>
          </cell>
          <cell r="L183">
            <v>0</v>
          </cell>
          <cell r="M183">
            <v>0</v>
          </cell>
          <cell r="N183">
            <v>0</v>
          </cell>
          <cell r="O183">
            <v>18</v>
          </cell>
          <cell r="P183">
            <v>26</v>
          </cell>
          <cell r="Q183">
            <v>23</v>
          </cell>
          <cell r="R183">
            <v>19</v>
          </cell>
          <cell r="S183">
            <v>16</v>
          </cell>
          <cell r="T183">
            <v>18</v>
          </cell>
          <cell r="U183">
            <v>4</v>
          </cell>
          <cell r="V183">
            <v>3</v>
          </cell>
          <cell r="W183">
            <v>8</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135</v>
          </cell>
          <cell r="BO183">
            <v>135</v>
          </cell>
          <cell r="BP183">
            <v>135</v>
          </cell>
          <cell r="BQ183">
            <v>135</v>
          </cell>
          <cell r="BR183" t="str">
            <v>SKDC</v>
          </cell>
        </row>
        <row r="184">
          <cell r="A184" t="str">
            <v>E4140</v>
          </cell>
          <cell r="B184">
            <v>2096</v>
          </cell>
          <cell r="C184" t="str">
            <v>Moulton Chapel Primary School</v>
          </cell>
          <cell r="D184" t="str">
            <v/>
          </cell>
          <cell r="E184">
            <v>2096</v>
          </cell>
          <cell r="F184">
            <v>0</v>
          </cell>
          <cell r="G184">
            <v>0</v>
          </cell>
          <cell r="H184">
            <v>0</v>
          </cell>
          <cell r="I184">
            <v>0</v>
          </cell>
          <cell r="J184">
            <v>0</v>
          </cell>
          <cell r="K184">
            <v>0</v>
          </cell>
          <cell r="L184">
            <v>0</v>
          </cell>
          <cell r="M184">
            <v>0</v>
          </cell>
          <cell r="N184">
            <v>0</v>
          </cell>
          <cell r="O184">
            <v>14</v>
          </cell>
          <cell r="P184">
            <v>11</v>
          </cell>
          <cell r="Q184">
            <v>9</v>
          </cell>
          <cell r="R184">
            <v>11</v>
          </cell>
          <cell r="S184">
            <v>8</v>
          </cell>
          <cell r="T184">
            <v>7</v>
          </cell>
          <cell r="U184">
            <v>2</v>
          </cell>
          <cell r="V184">
            <v>2</v>
          </cell>
          <cell r="W184">
            <v>4</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3</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71</v>
          </cell>
          <cell r="BO184">
            <v>69.5</v>
          </cell>
          <cell r="BP184">
            <v>71</v>
          </cell>
          <cell r="BQ184">
            <v>69.5</v>
          </cell>
          <cell r="BR184" t="str">
            <v>SHDC</v>
          </cell>
        </row>
        <row r="185">
          <cell r="A185" t="str">
            <v>E4150</v>
          </cell>
          <cell r="B185">
            <v>2097</v>
          </cell>
          <cell r="C185" t="str">
            <v>Moulton The John Harrox Primary School</v>
          </cell>
          <cell r="D185" t="str">
            <v/>
          </cell>
          <cell r="E185">
            <v>2097</v>
          </cell>
          <cell r="F185">
            <v>0</v>
          </cell>
          <cell r="G185">
            <v>0</v>
          </cell>
          <cell r="H185">
            <v>0</v>
          </cell>
          <cell r="I185">
            <v>0</v>
          </cell>
          <cell r="J185">
            <v>0</v>
          </cell>
          <cell r="K185">
            <v>0</v>
          </cell>
          <cell r="L185">
            <v>0</v>
          </cell>
          <cell r="M185">
            <v>0</v>
          </cell>
          <cell r="N185">
            <v>0</v>
          </cell>
          <cell r="O185">
            <v>43</v>
          </cell>
          <cell r="P185">
            <v>43</v>
          </cell>
          <cell r="Q185">
            <v>42</v>
          </cell>
          <cell r="R185">
            <v>45</v>
          </cell>
          <cell r="S185">
            <v>41</v>
          </cell>
          <cell r="T185">
            <v>32</v>
          </cell>
          <cell r="U185">
            <v>14</v>
          </cell>
          <cell r="V185">
            <v>12</v>
          </cell>
          <cell r="W185">
            <v>15</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287</v>
          </cell>
          <cell r="BO185">
            <v>287</v>
          </cell>
          <cell r="BP185">
            <v>287</v>
          </cell>
          <cell r="BQ185">
            <v>287</v>
          </cell>
          <cell r="BR185" t="str">
            <v>SHDC</v>
          </cell>
        </row>
        <row r="186">
          <cell r="A186" t="str">
            <v>E4180</v>
          </cell>
          <cell r="B186">
            <v>3045</v>
          </cell>
          <cell r="C186" t="str">
            <v>Navenby CE Primary School</v>
          </cell>
          <cell r="D186" t="str">
            <v/>
          </cell>
          <cell r="E186">
            <v>3045</v>
          </cell>
          <cell r="F186">
            <v>0</v>
          </cell>
          <cell r="G186">
            <v>0</v>
          </cell>
          <cell r="H186">
            <v>0</v>
          </cell>
          <cell r="I186">
            <v>0</v>
          </cell>
          <cell r="J186">
            <v>0</v>
          </cell>
          <cell r="K186">
            <v>0</v>
          </cell>
          <cell r="L186">
            <v>0</v>
          </cell>
          <cell r="M186">
            <v>0</v>
          </cell>
          <cell r="N186">
            <v>0</v>
          </cell>
          <cell r="O186">
            <v>28</v>
          </cell>
          <cell r="P186">
            <v>31</v>
          </cell>
          <cell r="Q186">
            <v>31</v>
          </cell>
          <cell r="R186">
            <v>31</v>
          </cell>
          <cell r="S186">
            <v>28</v>
          </cell>
          <cell r="T186">
            <v>22</v>
          </cell>
          <cell r="U186">
            <v>8</v>
          </cell>
          <cell r="V186">
            <v>8</v>
          </cell>
          <cell r="W186">
            <v>14</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201</v>
          </cell>
          <cell r="BO186">
            <v>201</v>
          </cell>
          <cell r="BP186">
            <v>201</v>
          </cell>
          <cell r="BQ186">
            <v>201</v>
          </cell>
          <cell r="BR186" t="str">
            <v>NKDC</v>
          </cell>
        </row>
        <row r="187">
          <cell r="A187" t="str">
            <v>E4190</v>
          </cell>
          <cell r="B187">
            <v>5223</v>
          </cell>
          <cell r="C187" t="str">
            <v>Nettleham Infant School</v>
          </cell>
          <cell r="D187" t="str">
            <v/>
          </cell>
          <cell r="E187">
            <v>5223</v>
          </cell>
          <cell r="F187">
            <v>0</v>
          </cell>
          <cell r="G187">
            <v>0</v>
          </cell>
          <cell r="H187">
            <v>0</v>
          </cell>
          <cell r="I187">
            <v>0</v>
          </cell>
          <cell r="J187">
            <v>0</v>
          </cell>
          <cell r="K187">
            <v>0</v>
          </cell>
          <cell r="L187">
            <v>0</v>
          </cell>
          <cell r="M187">
            <v>0</v>
          </cell>
          <cell r="N187">
            <v>0</v>
          </cell>
          <cell r="O187">
            <v>0</v>
          </cell>
          <cell r="P187">
            <v>0</v>
          </cell>
          <cell r="Q187">
            <v>0</v>
          </cell>
          <cell r="R187">
            <v>0</v>
          </cell>
          <cell r="S187">
            <v>47</v>
          </cell>
          <cell r="T187">
            <v>41</v>
          </cell>
          <cell r="U187">
            <v>14</v>
          </cell>
          <cell r="V187">
            <v>11</v>
          </cell>
          <cell r="W187">
            <v>29</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1</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143</v>
          </cell>
          <cell r="BO187">
            <v>142.5</v>
          </cell>
          <cell r="BP187">
            <v>143</v>
          </cell>
          <cell r="BQ187">
            <v>142.5</v>
          </cell>
          <cell r="BR187" t="str">
            <v>WLDC</v>
          </cell>
        </row>
        <row r="188">
          <cell r="A188" t="str">
            <v>E4200</v>
          </cell>
          <cell r="B188">
            <v>3364</v>
          </cell>
          <cell r="C188" t="str">
            <v>Nettleham CE Voluntary Aided Junior School</v>
          </cell>
          <cell r="D188" t="str">
            <v/>
          </cell>
          <cell r="E188">
            <v>3364</v>
          </cell>
          <cell r="F188">
            <v>0</v>
          </cell>
          <cell r="G188">
            <v>0</v>
          </cell>
          <cell r="H188">
            <v>0</v>
          </cell>
          <cell r="I188">
            <v>0</v>
          </cell>
          <cell r="J188">
            <v>0</v>
          </cell>
          <cell r="K188">
            <v>0</v>
          </cell>
          <cell r="L188">
            <v>0</v>
          </cell>
          <cell r="M188">
            <v>0</v>
          </cell>
          <cell r="N188">
            <v>0</v>
          </cell>
          <cell r="O188">
            <v>60</v>
          </cell>
          <cell r="P188">
            <v>64</v>
          </cell>
          <cell r="Q188">
            <v>60</v>
          </cell>
          <cell r="R188">
            <v>47</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231</v>
          </cell>
          <cell r="BO188">
            <v>231</v>
          </cell>
          <cell r="BP188">
            <v>231</v>
          </cell>
          <cell r="BQ188">
            <v>231</v>
          </cell>
          <cell r="BR188" t="str">
            <v>WLDC</v>
          </cell>
        </row>
        <row r="189">
          <cell r="A189" t="str">
            <v>E4220</v>
          </cell>
          <cell r="B189">
            <v>2178</v>
          </cell>
          <cell r="C189" t="str">
            <v>Nettleton Community Primary School</v>
          </cell>
          <cell r="D189" t="str">
            <v/>
          </cell>
          <cell r="E189">
            <v>2178</v>
          </cell>
          <cell r="F189">
            <v>0</v>
          </cell>
          <cell r="G189">
            <v>0</v>
          </cell>
          <cell r="H189">
            <v>0</v>
          </cell>
          <cell r="I189">
            <v>0</v>
          </cell>
          <cell r="J189">
            <v>0</v>
          </cell>
          <cell r="K189">
            <v>0</v>
          </cell>
          <cell r="L189">
            <v>0</v>
          </cell>
          <cell r="M189">
            <v>0</v>
          </cell>
          <cell r="N189">
            <v>1</v>
          </cell>
          <cell r="O189">
            <v>12</v>
          </cell>
          <cell r="P189">
            <v>11</v>
          </cell>
          <cell r="Q189">
            <v>11</v>
          </cell>
          <cell r="R189">
            <v>8</v>
          </cell>
          <cell r="S189">
            <v>12</v>
          </cell>
          <cell r="T189">
            <v>9</v>
          </cell>
          <cell r="U189">
            <v>1</v>
          </cell>
          <cell r="V189">
            <v>1</v>
          </cell>
          <cell r="W189">
            <v>1</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67</v>
          </cell>
          <cell r="BO189">
            <v>67</v>
          </cell>
          <cell r="BP189">
            <v>67</v>
          </cell>
          <cell r="BQ189">
            <v>67</v>
          </cell>
          <cell r="BR189" t="str">
            <v>WLDC</v>
          </cell>
        </row>
        <row r="190">
          <cell r="A190" t="str">
            <v>E4230</v>
          </cell>
          <cell r="B190">
            <v>2179</v>
          </cell>
          <cell r="C190" t="str">
            <v>New Leake Primary School</v>
          </cell>
          <cell r="D190" t="str">
            <v/>
          </cell>
          <cell r="E190">
            <v>2179</v>
          </cell>
          <cell r="F190">
            <v>0</v>
          </cell>
          <cell r="G190">
            <v>0</v>
          </cell>
          <cell r="H190">
            <v>0</v>
          </cell>
          <cell r="I190">
            <v>0</v>
          </cell>
          <cell r="J190">
            <v>0</v>
          </cell>
          <cell r="K190">
            <v>0</v>
          </cell>
          <cell r="L190">
            <v>0</v>
          </cell>
          <cell r="M190">
            <v>0</v>
          </cell>
          <cell r="N190">
            <v>0</v>
          </cell>
          <cell r="O190">
            <v>8</v>
          </cell>
          <cell r="P190">
            <v>3</v>
          </cell>
          <cell r="Q190">
            <v>5</v>
          </cell>
          <cell r="R190">
            <v>5</v>
          </cell>
          <cell r="S190">
            <v>4</v>
          </cell>
          <cell r="T190">
            <v>2</v>
          </cell>
          <cell r="U190">
            <v>1</v>
          </cell>
          <cell r="V190">
            <v>2</v>
          </cell>
          <cell r="W190">
            <v>1</v>
          </cell>
          <cell r="X190">
            <v>4</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35</v>
          </cell>
          <cell r="BO190">
            <v>35</v>
          </cell>
          <cell r="BP190">
            <v>35</v>
          </cell>
          <cell r="BQ190">
            <v>35</v>
          </cell>
          <cell r="BR190" t="str">
            <v>ELDC</v>
          </cell>
        </row>
        <row r="191">
          <cell r="A191" t="str">
            <v>E4240</v>
          </cell>
          <cell r="B191">
            <v>2180</v>
          </cell>
          <cell r="C191" t="str">
            <v>New York Primary School</v>
          </cell>
          <cell r="D191" t="str">
            <v/>
          </cell>
          <cell r="E191">
            <v>2180</v>
          </cell>
          <cell r="F191">
            <v>0</v>
          </cell>
          <cell r="G191">
            <v>0</v>
          </cell>
          <cell r="H191">
            <v>0</v>
          </cell>
          <cell r="I191">
            <v>0</v>
          </cell>
          <cell r="J191">
            <v>0</v>
          </cell>
          <cell r="K191">
            <v>0</v>
          </cell>
          <cell r="L191">
            <v>0</v>
          </cell>
          <cell r="M191">
            <v>0</v>
          </cell>
          <cell r="N191">
            <v>0</v>
          </cell>
          <cell r="O191">
            <v>6</v>
          </cell>
          <cell r="P191">
            <v>8</v>
          </cell>
          <cell r="Q191">
            <v>7</v>
          </cell>
          <cell r="R191">
            <v>10</v>
          </cell>
          <cell r="S191">
            <v>5</v>
          </cell>
          <cell r="T191">
            <v>5</v>
          </cell>
          <cell r="U191">
            <v>0</v>
          </cell>
          <cell r="V191">
            <v>1</v>
          </cell>
          <cell r="W191">
            <v>2</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44</v>
          </cell>
          <cell r="BO191">
            <v>44</v>
          </cell>
          <cell r="BP191">
            <v>44</v>
          </cell>
          <cell r="BQ191">
            <v>44</v>
          </cell>
          <cell r="BR191" t="str">
            <v>ELDC</v>
          </cell>
        </row>
        <row r="192">
          <cell r="A192" t="str">
            <v>E4250</v>
          </cell>
          <cell r="B192">
            <v>3132</v>
          </cell>
          <cell r="C192" t="str">
            <v>Newton-on-Trent CE Primary School</v>
          </cell>
          <cell r="D192" t="str">
            <v/>
          </cell>
          <cell r="E192">
            <v>3132</v>
          </cell>
          <cell r="F192">
            <v>0</v>
          </cell>
          <cell r="G192">
            <v>0</v>
          </cell>
          <cell r="H192">
            <v>0</v>
          </cell>
          <cell r="I192">
            <v>0</v>
          </cell>
          <cell r="J192">
            <v>0</v>
          </cell>
          <cell r="K192">
            <v>0</v>
          </cell>
          <cell r="L192">
            <v>0</v>
          </cell>
          <cell r="M192">
            <v>0</v>
          </cell>
          <cell r="N192">
            <v>0</v>
          </cell>
          <cell r="O192">
            <v>15</v>
          </cell>
          <cell r="P192">
            <v>5</v>
          </cell>
          <cell r="Q192">
            <v>14</v>
          </cell>
          <cell r="R192">
            <v>9</v>
          </cell>
          <cell r="S192">
            <v>8</v>
          </cell>
          <cell r="T192">
            <v>13</v>
          </cell>
          <cell r="U192">
            <v>2</v>
          </cell>
          <cell r="V192">
            <v>0</v>
          </cell>
          <cell r="W192">
            <v>3</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69</v>
          </cell>
          <cell r="BO192">
            <v>69</v>
          </cell>
          <cell r="BP192">
            <v>69</v>
          </cell>
          <cell r="BQ192">
            <v>69</v>
          </cell>
          <cell r="BR192" t="str">
            <v>WLDC</v>
          </cell>
        </row>
        <row r="193">
          <cell r="A193" t="str">
            <v>E4260</v>
          </cell>
          <cell r="B193">
            <v>2031</v>
          </cell>
          <cell r="C193" t="str">
            <v>Nocton Community School</v>
          </cell>
          <cell r="D193" t="str">
            <v/>
          </cell>
          <cell r="E193">
            <v>2031</v>
          </cell>
          <cell r="F193">
            <v>0</v>
          </cell>
          <cell r="G193">
            <v>0</v>
          </cell>
          <cell r="H193">
            <v>0</v>
          </cell>
          <cell r="I193">
            <v>0</v>
          </cell>
          <cell r="J193">
            <v>0</v>
          </cell>
          <cell r="K193">
            <v>0</v>
          </cell>
          <cell r="L193">
            <v>0</v>
          </cell>
          <cell r="M193">
            <v>0</v>
          </cell>
          <cell r="N193">
            <v>0</v>
          </cell>
          <cell r="O193">
            <v>15</v>
          </cell>
          <cell r="P193">
            <v>9</v>
          </cell>
          <cell r="Q193">
            <v>6</v>
          </cell>
          <cell r="R193">
            <v>11</v>
          </cell>
          <cell r="S193">
            <v>7</v>
          </cell>
          <cell r="T193">
            <v>8</v>
          </cell>
          <cell r="U193">
            <v>3</v>
          </cell>
          <cell r="V193">
            <v>2</v>
          </cell>
          <cell r="W193">
            <v>2</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3</v>
          </cell>
          <cell r="AU193">
            <v>2</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68</v>
          </cell>
          <cell r="BO193">
            <v>65.5</v>
          </cell>
          <cell r="BP193">
            <v>68</v>
          </cell>
          <cell r="BQ193">
            <v>65.5</v>
          </cell>
          <cell r="BR193" t="str">
            <v>NKDC</v>
          </cell>
        </row>
        <row r="194">
          <cell r="A194" t="str">
            <v>E4270</v>
          </cell>
          <cell r="B194">
            <v>2181</v>
          </cell>
          <cell r="C194" t="str">
            <v>Normanby-by-Spital Primary School</v>
          </cell>
          <cell r="D194" t="str">
            <v/>
          </cell>
          <cell r="E194">
            <v>2181</v>
          </cell>
          <cell r="F194">
            <v>0</v>
          </cell>
          <cell r="G194">
            <v>0</v>
          </cell>
          <cell r="H194">
            <v>0</v>
          </cell>
          <cell r="I194">
            <v>0</v>
          </cell>
          <cell r="J194">
            <v>0</v>
          </cell>
          <cell r="K194">
            <v>0</v>
          </cell>
          <cell r="L194">
            <v>0</v>
          </cell>
          <cell r="M194">
            <v>0</v>
          </cell>
          <cell r="N194">
            <v>0</v>
          </cell>
          <cell r="O194">
            <v>10</v>
          </cell>
          <cell r="P194">
            <v>12</v>
          </cell>
          <cell r="Q194">
            <v>11</v>
          </cell>
          <cell r="R194">
            <v>8</v>
          </cell>
          <cell r="S194">
            <v>9</v>
          </cell>
          <cell r="T194">
            <v>10</v>
          </cell>
          <cell r="U194">
            <v>4</v>
          </cell>
          <cell r="V194">
            <v>3</v>
          </cell>
          <cell r="W194">
            <v>3</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4</v>
          </cell>
          <cell r="AU194">
            <v>1</v>
          </cell>
          <cell r="AV194">
            <v>5</v>
          </cell>
          <cell r="AW194">
            <v>4</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84</v>
          </cell>
          <cell r="BO194">
            <v>77</v>
          </cell>
          <cell r="BP194">
            <v>84</v>
          </cell>
          <cell r="BQ194">
            <v>77</v>
          </cell>
          <cell r="BR194" t="str">
            <v>WLDC</v>
          </cell>
        </row>
        <row r="195">
          <cell r="A195" t="str">
            <v>E4280</v>
          </cell>
          <cell r="B195">
            <v>3134</v>
          </cell>
          <cell r="C195" t="str">
            <v>North Cockerington CE Primary School</v>
          </cell>
          <cell r="D195" t="str">
            <v/>
          </cell>
          <cell r="E195">
            <v>3134</v>
          </cell>
          <cell r="F195">
            <v>0</v>
          </cell>
          <cell r="G195">
            <v>0</v>
          </cell>
          <cell r="H195">
            <v>0</v>
          </cell>
          <cell r="I195">
            <v>0</v>
          </cell>
          <cell r="J195">
            <v>0</v>
          </cell>
          <cell r="K195">
            <v>0</v>
          </cell>
          <cell r="L195">
            <v>0</v>
          </cell>
          <cell r="M195">
            <v>0</v>
          </cell>
          <cell r="N195">
            <v>0</v>
          </cell>
          <cell r="O195">
            <v>10</v>
          </cell>
          <cell r="P195">
            <v>12</v>
          </cell>
          <cell r="Q195">
            <v>12</v>
          </cell>
          <cell r="R195">
            <v>12</v>
          </cell>
          <cell r="S195">
            <v>12</v>
          </cell>
          <cell r="T195">
            <v>11</v>
          </cell>
          <cell r="U195">
            <v>5</v>
          </cell>
          <cell r="V195">
            <v>2</v>
          </cell>
          <cell r="W195">
            <v>6</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82</v>
          </cell>
          <cell r="BO195">
            <v>82</v>
          </cell>
          <cell r="BP195">
            <v>82</v>
          </cell>
          <cell r="BQ195">
            <v>82</v>
          </cell>
          <cell r="BR195" t="str">
            <v>ELDC</v>
          </cell>
        </row>
        <row r="196">
          <cell r="A196" t="str">
            <v>E4290</v>
          </cell>
          <cell r="B196">
            <v>3133</v>
          </cell>
          <cell r="C196" t="str">
            <v>North Cotes CE Primary School</v>
          </cell>
          <cell r="D196" t="str">
            <v/>
          </cell>
          <cell r="E196">
            <v>3133</v>
          </cell>
          <cell r="F196">
            <v>0</v>
          </cell>
          <cell r="G196">
            <v>0</v>
          </cell>
          <cell r="H196">
            <v>0</v>
          </cell>
          <cell r="I196">
            <v>0</v>
          </cell>
          <cell r="J196">
            <v>0</v>
          </cell>
          <cell r="K196">
            <v>0</v>
          </cell>
          <cell r="L196">
            <v>0</v>
          </cell>
          <cell r="M196">
            <v>0</v>
          </cell>
          <cell r="N196">
            <v>1</v>
          </cell>
          <cell r="O196">
            <v>5</v>
          </cell>
          <cell r="P196">
            <v>7</v>
          </cell>
          <cell r="Q196">
            <v>9</v>
          </cell>
          <cell r="R196">
            <v>7</v>
          </cell>
          <cell r="S196">
            <v>7</v>
          </cell>
          <cell r="T196">
            <v>11</v>
          </cell>
          <cell r="U196">
            <v>3</v>
          </cell>
          <cell r="V196">
            <v>3</v>
          </cell>
          <cell r="W196">
            <v>6</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59</v>
          </cell>
          <cell r="BO196">
            <v>59</v>
          </cell>
          <cell r="BP196">
            <v>59</v>
          </cell>
          <cell r="BQ196">
            <v>59</v>
          </cell>
          <cell r="BR196" t="str">
            <v>ELDC</v>
          </cell>
        </row>
        <row r="197">
          <cell r="A197" t="str">
            <v>E4300</v>
          </cell>
          <cell r="B197">
            <v>3047</v>
          </cell>
          <cell r="C197" t="str">
            <v>North Hykeham All Saints CE Primary School</v>
          </cell>
          <cell r="D197" t="str">
            <v/>
          </cell>
          <cell r="E197">
            <v>3047</v>
          </cell>
          <cell r="F197">
            <v>0</v>
          </cell>
          <cell r="G197">
            <v>0</v>
          </cell>
          <cell r="H197">
            <v>0</v>
          </cell>
          <cell r="I197">
            <v>0</v>
          </cell>
          <cell r="J197">
            <v>0</v>
          </cell>
          <cell r="K197">
            <v>0</v>
          </cell>
          <cell r="L197">
            <v>0</v>
          </cell>
          <cell r="M197">
            <v>0</v>
          </cell>
          <cell r="N197">
            <v>0</v>
          </cell>
          <cell r="O197">
            <v>43</v>
          </cell>
          <cell r="P197">
            <v>40</v>
          </cell>
          <cell r="Q197">
            <v>35</v>
          </cell>
          <cell r="R197">
            <v>20</v>
          </cell>
          <cell r="S197">
            <v>25</v>
          </cell>
          <cell r="T197">
            <v>19</v>
          </cell>
          <cell r="U197">
            <v>6</v>
          </cell>
          <cell r="V197">
            <v>1</v>
          </cell>
          <cell r="W197">
            <v>12</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201</v>
          </cell>
          <cell r="BO197">
            <v>201</v>
          </cell>
          <cell r="BP197">
            <v>201</v>
          </cell>
          <cell r="BQ197">
            <v>201</v>
          </cell>
          <cell r="BR197" t="str">
            <v>NKDC</v>
          </cell>
        </row>
        <row r="198">
          <cell r="A198" t="str">
            <v>E4310</v>
          </cell>
          <cell r="B198">
            <v>2057</v>
          </cell>
          <cell r="C198" t="str">
            <v>North Hykeham Fosse Way Primary School</v>
          </cell>
          <cell r="D198" t="str">
            <v/>
          </cell>
          <cell r="E198">
            <v>2057</v>
          </cell>
          <cell r="F198">
            <v>0</v>
          </cell>
          <cell r="G198">
            <v>0</v>
          </cell>
          <cell r="H198">
            <v>0</v>
          </cell>
          <cell r="I198">
            <v>0</v>
          </cell>
          <cell r="J198">
            <v>0</v>
          </cell>
          <cell r="K198">
            <v>0</v>
          </cell>
          <cell r="L198">
            <v>0</v>
          </cell>
          <cell r="M198">
            <v>0</v>
          </cell>
          <cell r="N198">
            <v>0</v>
          </cell>
          <cell r="O198">
            <v>71</v>
          </cell>
          <cell r="P198">
            <v>70</v>
          </cell>
          <cell r="Q198">
            <v>67</v>
          </cell>
          <cell r="R198">
            <v>73</v>
          </cell>
          <cell r="S198">
            <v>56</v>
          </cell>
          <cell r="T198">
            <v>74</v>
          </cell>
          <cell r="U198">
            <v>29</v>
          </cell>
          <cell r="V198">
            <v>17</v>
          </cell>
          <cell r="W198">
            <v>30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21</v>
          </cell>
          <cell r="BK198">
            <v>19</v>
          </cell>
          <cell r="BL198">
            <v>11</v>
          </cell>
          <cell r="BM198">
            <v>0</v>
          </cell>
          <cell r="BN198">
            <v>538</v>
          </cell>
          <cell r="BO198">
            <v>512.5</v>
          </cell>
          <cell r="BP198">
            <v>487</v>
          </cell>
          <cell r="BQ198">
            <v>487</v>
          </cell>
          <cell r="BR198" t="str">
            <v>NKDC</v>
          </cell>
        </row>
        <row r="199">
          <cell r="A199" t="str">
            <v>E4330</v>
          </cell>
          <cell r="B199">
            <v>2064</v>
          </cell>
          <cell r="C199" t="str">
            <v>North Hykeham Ling Moor Primary School</v>
          </cell>
          <cell r="D199" t="str">
            <v/>
          </cell>
          <cell r="E199">
            <v>2064</v>
          </cell>
          <cell r="F199">
            <v>0</v>
          </cell>
          <cell r="G199">
            <v>0</v>
          </cell>
          <cell r="H199">
            <v>0</v>
          </cell>
          <cell r="I199">
            <v>0</v>
          </cell>
          <cell r="J199">
            <v>0</v>
          </cell>
          <cell r="K199">
            <v>0</v>
          </cell>
          <cell r="L199">
            <v>0</v>
          </cell>
          <cell r="M199">
            <v>0</v>
          </cell>
          <cell r="N199">
            <v>0</v>
          </cell>
          <cell r="O199">
            <v>47</v>
          </cell>
          <cell r="P199">
            <v>31</v>
          </cell>
          <cell r="Q199">
            <v>43</v>
          </cell>
          <cell r="R199">
            <v>30</v>
          </cell>
          <cell r="S199">
            <v>40</v>
          </cell>
          <cell r="T199">
            <v>36</v>
          </cell>
          <cell r="U199">
            <v>14</v>
          </cell>
          <cell r="V199">
            <v>12</v>
          </cell>
          <cell r="W199">
            <v>18</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271</v>
          </cell>
          <cell r="BO199">
            <v>271</v>
          </cell>
          <cell r="BP199">
            <v>271</v>
          </cell>
          <cell r="BQ199">
            <v>271</v>
          </cell>
          <cell r="BR199" t="str">
            <v>NKDC</v>
          </cell>
        </row>
        <row r="200">
          <cell r="A200" t="str">
            <v>E4360</v>
          </cell>
          <cell r="B200">
            <v>2182</v>
          </cell>
          <cell r="C200" t="str">
            <v>Kelsey Primary School</v>
          </cell>
          <cell r="D200" t="str">
            <v/>
          </cell>
          <cell r="E200">
            <v>2182</v>
          </cell>
          <cell r="F200">
            <v>0</v>
          </cell>
          <cell r="G200">
            <v>0</v>
          </cell>
          <cell r="H200">
            <v>0</v>
          </cell>
          <cell r="I200">
            <v>0</v>
          </cell>
          <cell r="J200">
            <v>0</v>
          </cell>
          <cell r="K200">
            <v>0</v>
          </cell>
          <cell r="L200">
            <v>0</v>
          </cell>
          <cell r="M200">
            <v>0</v>
          </cell>
          <cell r="N200">
            <v>0</v>
          </cell>
          <cell r="O200">
            <v>12</v>
          </cell>
          <cell r="P200">
            <v>16</v>
          </cell>
          <cell r="Q200">
            <v>18</v>
          </cell>
          <cell r="R200">
            <v>15</v>
          </cell>
          <cell r="S200">
            <v>17</v>
          </cell>
          <cell r="T200">
            <v>8</v>
          </cell>
          <cell r="U200">
            <v>3</v>
          </cell>
          <cell r="V200">
            <v>1</v>
          </cell>
          <cell r="W200">
            <v>2</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92</v>
          </cell>
          <cell r="BO200">
            <v>92</v>
          </cell>
          <cell r="BP200">
            <v>92</v>
          </cell>
          <cell r="BQ200">
            <v>92</v>
          </cell>
          <cell r="BR200" t="str">
            <v>WLDC</v>
          </cell>
        </row>
        <row r="201">
          <cell r="A201" t="str">
            <v>E4380</v>
          </cell>
          <cell r="B201">
            <v>5202</v>
          </cell>
          <cell r="C201" t="str">
            <v>Rauceby School (Church of England)</v>
          </cell>
          <cell r="D201" t="str">
            <v/>
          </cell>
          <cell r="E201">
            <v>5202</v>
          </cell>
          <cell r="F201">
            <v>0</v>
          </cell>
          <cell r="G201">
            <v>0</v>
          </cell>
          <cell r="H201">
            <v>0</v>
          </cell>
          <cell r="I201">
            <v>0</v>
          </cell>
          <cell r="J201">
            <v>0</v>
          </cell>
          <cell r="K201">
            <v>0</v>
          </cell>
          <cell r="L201">
            <v>0</v>
          </cell>
          <cell r="M201">
            <v>0</v>
          </cell>
          <cell r="N201">
            <v>0</v>
          </cell>
          <cell r="O201">
            <v>26</v>
          </cell>
          <cell r="P201">
            <v>26</v>
          </cell>
          <cell r="Q201">
            <v>26</v>
          </cell>
          <cell r="R201">
            <v>25</v>
          </cell>
          <cell r="S201">
            <v>26</v>
          </cell>
          <cell r="T201">
            <v>26</v>
          </cell>
          <cell r="U201">
            <v>10</v>
          </cell>
          <cell r="V201">
            <v>4</v>
          </cell>
          <cell r="W201">
            <v>12</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181</v>
          </cell>
          <cell r="BO201">
            <v>181</v>
          </cell>
          <cell r="BP201">
            <v>181</v>
          </cell>
          <cell r="BQ201">
            <v>181</v>
          </cell>
          <cell r="BR201" t="str">
            <v>NKDC</v>
          </cell>
        </row>
        <row r="202">
          <cell r="A202" t="str">
            <v>E4390</v>
          </cell>
          <cell r="B202">
            <v>2033</v>
          </cell>
          <cell r="C202" t="str">
            <v>North Scarle Primary School</v>
          </cell>
          <cell r="D202" t="str">
            <v/>
          </cell>
          <cell r="E202">
            <v>2033</v>
          </cell>
          <cell r="F202">
            <v>0</v>
          </cell>
          <cell r="G202">
            <v>0</v>
          </cell>
          <cell r="H202">
            <v>0</v>
          </cell>
          <cell r="I202">
            <v>0</v>
          </cell>
          <cell r="J202">
            <v>0</v>
          </cell>
          <cell r="K202">
            <v>0</v>
          </cell>
          <cell r="L202">
            <v>0</v>
          </cell>
          <cell r="M202">
            <v>0</v>
          </cell>
          <cell r="N202">
            <v>0</v>
          </cell>
          <cell r="O202">
            <v>13</v>
          </cell>
          <cell r="P202">
            <v>7</v>
          </cell>
          <cell r="Q202">
            <v>17</v>
          </cell>
          <cell r="R202">
            <v>7</v>
          </cell>
          <cell r="S202">
            <v>8</v>
          </cell>
          <cell r="T202">
            <v>4</v>
          </cell>
          <cell r="U202">
            <v>4</v>
          </cell>
          <cell r="V202">
            <v>2</v>
          </cell>
          <cell r="W202">
            <v>3</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65</v>
          </cell>
          <cell r="BO202">
            <v>65</v>
          </cell>
          <cell r="BP202">
            <v>65</v>
          </cell>
          <cell r="BQ202">
            <v>65</v>
          </cell>
          <cell r="BR202" t="str">
            <v>NKDC</v>
          </cell>
        </row>
        <row r="203">
          <cell r="A203" t="str">
            <v>E4400</v>
          </cell>
          <cell r="B203">
            <v>5225</v>
          </cell>
          <cell r="C203" t="str">
            <v>North Somercotes CE Primary School</v>
          </cell>
          <cell r="D203" t="str">
            <v/>
          </cell>
          <cell r="E203">
            <v>5225</v>
          </cell>
          <cell r="F203">
            <v>0</v>
          </cell>
          <cell r="G203">
            <v>0</v>
          </cell>
          <cell r="H203">
            <v>0</v>
          </cell>
          <cell r="I203">
            <v>0</v>
          </cell>
          <cell r="J203">
            <v>0</v>
          </cell>
          <cell r="K203">
            <v>0</v>
          </cell>
          <cell r="L203">
            <v>0</v>
          </cell>
          <cell r="M203">
            <v>0</v>
          </cell>
          <cell r="N203">
            <v>1</v>
          </cell>
          <cell r="O203">
            <v>33</v>
          </cell>
          <cell r="P203">
            <v>30</v>
          </cell>
          <cell r="Q203">
            <v>33</v>
          </cell>
          <cell r="R203">
            <v>26</v>
          </cell>
          <cell r="S203">
            <v>27</v>
          </cell>
          <cell r="T203">
            <v>9</v>
          </cell>
          <cell r="U203">
            <v>10</v>
          </cell>
          <cell r="V203">
            <v>4</v>
          </cell>
          <cell r="W203">
            <v>6</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4</v>
          </cell>
          <cell r="AU203">
            <v>5</v>
          </cell>
          <cell r="AV203">
            <v>4</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192</v>
          </cell>
          <cell r="BO203">
            <v>185.5</v>
          </cell>
          <cell r="BP203">
            <v>192</v>
          </cell>
          <cell r="BQ203">
            <v>185.5</v>
          </cell>
          <cell r="BR203" t="str">
            <v>ELDC</v>
          </cell>
        </row>
        <row r="204">
          <cell r="A204" t="str">
            <v>E4410</v>
          </cell>
          <cell r="B204">
            <v>2183</v>
          </cell>
          <cell r="C204" t="str">
            <v>North Thoresby Primary School</v>
          </cell>
          <cell r="D204" t="str">
            <v/>
          </cell>
          <cell r="E204">
            <v>2183</v>
          </cell>
          <cell r="F204">
            <v>0</v>
          </cell>
          <cell r="G204">
            <v>0</v>
          </cell>
          <cell r="H204">
            <v>0</v>
          </cell>
          <cell r="I204">
            <v>0</v>
          </cell>
          <cell r="J204">
            <v>0</v>
          </cell>
          <cell r="K204">
            <v>0</v>
          </cell>
          <cell r="L204">
            <v>0</v>
          </cell>
          <cell r="M204">
            <v>0</v>
          </cell>
          <cell r="N204">
            <v>0</v>
          </cell>
          <cell r="O204">
            <v>2</v>
          </cell>
          <cell r="P204">
            <v>7</v>
          </cell>
          <cell r="Q204">
            <v>4</v>
          </cell>
          <cell r="R204">
            <v>7</v>
          </cell>
          <cell r="S204">
            <v>6</v>
          </cell>
          <cell r="T204">
            <v>2</v>
          </cell>
          <cell r="U204">
            <v>4</v>
          </cell>
          <cell r="V204">
            <v>0</v>
          </cell>
          <cell r="W204">
            <v>1</v>
          </cell>
          <cell r="X204">
            <v>1</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34</v>
          </cell>
          <cell r="BO204">
            <v>34</v>
          </cell>
          <cell r="BP204">
            <v>34</v>
          </cell>
          <cell r="BQ204">
            <v>34</v>
          </cell>
          <cell r="BR204" t="str">
            <v>ELDC</v>
          </cell>
        </row>
        <row r="205">
          <cell r="A205" t="str">
            <v>E4440</v>
          </cell>
          <cell r="B205">
            <v>5215</v>
          </cell>
          <cell r="C205" t="str">
            <v>Old Leake Primary and Nursery School</v>
          </cell>
          <cell r="D205" t="str">
            <v/>
          </cell>
          <cell r="E205">
            <v>5215</v>
          </cell>
          <cell r="F205">
            <v>0</v>
          </cell>
          <cell r="G205">
            <v>0</v>
          </cell>
          <cell r="H205">
            <v>0</v>
          </cell>
          <cell r="I205">
            <v>0</v>
          </cell>
          <cell r="J205">
            <v>0</v>
          </cell>
          <cell r="K205">
            <v>0</v>
          </cell>
          <cell r="L205">
            <v>0</v>
          </cell>
          <cell r="M205">
            <v>0</v>
          </cell>
          <cell r="N205">
            <v>0</v>
          </cell>
          <cell r="O205">
            <v>31</v>
          </cell>
          <cell r="P205">
            <v>30</v>
          </cell>
          <cell r="Q205">
            <v>28</v>
          </cell>
          <cell r="R205">
            <v>24</v>
          </cell>
          <cell r="S205">
            <v>22</v>
          </cell>
          <cell r="T205">
            <v>20</v>
          </cell>
          <cell r="U205">
            <v>16</v>
          </cell>
          <cell r="V205">
            <v>5</v>
          </cell>
          <cell r="W205">
            <v>6</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10</v>
          </cell>
          <cell r="BK205">
            <v>5</v>
          </cell>
          <cell r="BL205">
            <v>9</v>
          </cell>
          <cell r="BM205">
            <v>0</v>
          </cell>
          <cell r="BN205">
            <v>206</v>
          </cell>
          <cell r="BO205">
            <v>194</v>
          </cell>
          <cell r="BP205">
            <v>182</v>
          </cell>
          <cell r="BQ205">
            <v>182</v>
          </cell>
          <cell r="BR205" t="str">
            <v>BBC</v>
          </cell>
        </row>
        <row r="206">
          <cell r="A206" t="str">
            <v>E4460</v>
          </cell>
          <cell r="B206">
            <v>2034</v>
          </cell>
          <cell r="C206" t="str">
            <v>Osbournby Primary School</v>
          </cell>
          <cell r="D206" t="str">
            <v/>
          </cell>
          <cell r="E206">
            <v>2034</v>
          </cell>
          <cell r="F206">
            <v>0</v>
          </cell>
          <cell r="G206">
            <v>0</v>
          </cell>
          <cell r="H206">
            <v>0</v>
          </cell>
          <cell r="I206">
            <v>0</v>
          </cell>
          <cell r="J206">
            <v>0</v>
          </cell>
          <cell r="K206">
            <v>0</v>
          </cell>
          <cell r="L206">
            <v>0</v>
          </cell>
          <cell r="M206">
            <v>0</v>
          </cell>
          <cell r="N206">
            <v>0</v>
          </cell>
          <cell r="O206">
            <v>17</v>
          </cell>
          <cell r="P206">
            <v>14</v>
          </cell>
          <cell r="Q206">
            <v>14</v>
          </cell>
          <cell r="R206">
            <v>13</v>
          </cell>
          <cell r="S206">
            <v>17</v>
          </cell>
          <cell r="T206">
            <v>14</v>
          </cell>
          <cell r="U206">
            <v>5</v>
          </cell>
          <cell r="V206">
            <v>4</v>
          </cell>
          <cell r="W206">
            <v>2</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100</v>
          </cell>
          <cell r="BO206">
            <v>100</v>
          </cell>
          <cell r="BP206">
            <v>100</v>
          </cell>
          <cell r="BQ206">
            <v>100</v>
          </cell>
          <cell r="BR206" t="str">
            <v>NKDC</v>
          </cell>
        </row>
        <row r="207">
          <cell r="A207" t="str">
            <v>E4470</v>
          </cell>
          <cell r="B207">
            <v>2185</v>
          </cell>
          <cell r="C207" t="str">
            <v>Osgodby Primary School</v>
          </cell>
          <cell r="D207" t="str">
            <v/>
          </cell>
          <cell r="E207">
            <v>2185</v>
          </cell>
          <cell r="F207">
            <v>0</v>
          </cell>
          <cell r="G207">
            <v>0</v>
          </cell>
          <cell r="H207">
            <v>0</v>
          </cell>
          <cell r="I207">
            <v>0</v>
          </cell>
          <cell r="J207">
            <v>0</v>
          </cell>
          <cell r="K207">
            <v>0</v>
          </cell>
          <cell r="L207">
            <v>0</v>
          </cell>
          <cell r="M207">
            <v>0</v>
          </cell>
          <cell r="N207">
            <v>0</v>
          </cell>
          <cell r="O207">
            <v>12</v>
          </cell>
          <cell r="P207">
            <v>12</v>
          </cell>
          <cell r="Q207">
            <v>15</v>
          </cell>
          <cell r="R207">
            <v>2</v>
          </cell>
          <cell r="S207">
            <v>14</v>
          </cell>
          <cell r="T207">
            <v>8</v>
          </cell>
          <cell r="U207">
            <v>2</v>
          </cell>
          <cell r="V207">
            <v>5</v>
          </cell>
          <cell r="W207">
            <v>5</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75</v>
          </cell>
          <cell r="BO207">
            <v>75</v>
          </cell>
          <cell r="BP207">
            <v>75</v>
          </cell>
          <cell r="BQ207">
            <v>75</v>
          </cell>
          <cell r="BR207" t="str">
            <v>WLDC</v>
          </cell>
        </row>
        <row r="208">
          <cell r="A208" t="str">
            <v>E4500</v>
          </cell>
          <cell r="B208">
            <v>3366</v>
          </cell>
          <cell r="C208" t="str">
            <v>Partney CE Primary School</v>
          </cell>
          <cell r="D208" t="str">
            <v/>
          </cell>
          <cell r="E208">
            <v>3366</v>
          </cell>
          <cell r="F208">
            <v>0</v>
          </cell>
          <cell r="G208">
            <v>0</v>
          </cell>
          <cell r="H208">
            <v>0</v>
          </cell>
          <cell r="I208">
            <v>0</v>
          </cell>
          <cell r="J208">
            <v>0</v>
          </cell>
          <cell r="K208">
            <v>0</v>
          </cell>
          <cell r="L208">
            <v>0</v>
          </cell>
          <cell r="M208">
            <v>0</v>
          </cell>
          <cell r="N208">
            <v>0</v>
          </cell>
          <cell r="O208">
            <v>11</v>
          </cell>
          <cell r="P208">
            <v>13</v>
          </cell>
          <cell r="Q208">
            <v>9</v>
          </cell>
          <cell r="R208">
            <v>13</v>
          </cell>
          <cell r="S208">
            <v>5</v>
          </cell>
          <cell r="T208">
            <v>7</v>
          </cell>
          <cell r="U208">
            <v>3</v>
          </cell>
          <cell r="V208">
            <v>1</v>
          </cell>
          <cell r="W208">
            <v>3</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65</v>
          </cell>
          <cell r="BO208">
            <v>65</v>
          </cell>
          <cell r="BP208">
            <v>65</v>
          </cell>
          <cell r="BQ208">
            <v>65</v>
          </cell>
          <cell r="BR208" t="str">
            <v>ELDC</v>
          </cell>
        </row>
        <row r="209">
          <cell r="A209" t="str">
            <v>E4510</v>
          </cell>
          <cell r="B209">
            <v>3091</v>
          </cell>
          <cell r="C209" t="str">
            <v>Pinchbeck East CE Primary School</v>
          </cell>
          <cell r="D209" t="str">
            <v/>
          </cell>
          <cell r="E209">
            <v>3091</v>
          </cell>
          <cell r="F209">
            <v>0</v>
          </cell>
          <cell r="G209">
            <v>0</v>
          </cell>
          <cell r="H209">
            <v>0</v>
          </cell>
          <cell r="I209">
            <v>0</v>
          </cell>
          <cell r="J209">
            <v>0</v>
          </cell>
          <cell r="K209">
            <v>0</v>
          </cell>
          <cell r="L209">
            <v>0</v>
          </cell>
          <cell r="M209">
            <v>0</v>
          </cell>
          <cell r="N209">
            <v>0</v>
          </cell>
          <cell r="O209">
            <v>41</v>
          </cell>
          <cell r="P209">
            <v>56</v>
          </cell>
          <cell r="Q209">
            <v>37</v>
          </cell>
          <cell r="R209">
            <v>37</v>
          </cell>
          <cell r="S209">
            <v>37</v>
          </cell>
          <cell r="T209">
            <v>35</v>
          </cell>
          <cell r="U209">
            <v>10</v>
          </cell>
          <cell r="V209">
            <v>13</v>
          </cell>
          <cell r="W209">
            <v>15</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281</v>
          </cell>
          <cell r="BO209">
            <v>281</v>
          </cell>
          <cell r="BP209">
            <v>281</v>
          </cell>
          <cell r="BQ209">
            <v>281</v>
          </cell>
          <cell r="BR209" t="str">
            <v>SHDC</v>
          </cell>
        </row>
        <row r="210">
          <cell r="A210" t="str">
            <v>E4520</v>
          </cell>
          <cell r="B210">
            <v>3092</v>
          </cell>
          <cell r="C210" t="str">
            <v>Pinchbeck St Bartholomew's CE Primary School</v>
          </cell>
          <cell r="D210" t="str">
            <v/>
          </cell>
          <cell r="E210">
            <v>3092</v>
          </cell>
          <cell r="F210">
            <v>0</v>
          </cell>
          <cell r="G210">
            <v>0</v>
          </cell>
          <cell r="H210">
            <v>0</v>
          </cell>
          <cell r="I210">
            <v>0</v>
          </cell>
          <cell r="J210">
            <v>0</v>
          </cell>
          <cell r="K210">
            <v>0</v>
          </cell>
          <cell r="L210">
            <v>0</v>
          </cell>
          <cell r="M210">
            <v>0</v>
          </cell>
          <cell r="N210">
            <v>0</v>
          </cell>
          <cell r="O210">
            <v>9</v>
          </cell>
          <cell r="P210">
            <v>13</v>
          </cell>
          <cell r="Q210">
            <v>10</v>
          </cell>
          <cell r="R210">
            <v>9</v>
          </cell>
          <cell r="S210">
            <v>16</v>
          </cell>
          <cell r="T210">
            <v>7</v>
          </cell>
          <cell r="U210">
            <v>2</v>
          </cell>
          <cell r="V210">
            <v>2</v>
          </cell>
          <cell r="W210">
            <v>5</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1</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74</v>
          </cell>
          <cell r="BO210">
            <v>73.5</v>
          </cell>
          <cell r="BP210">
            <v>74</v>
          </cell>
          <cell r="BQ210">
            <v>73.5</v>
          </cell>
          <cell r="BR210" t="str">
            <v>SHDC</v>
          </cell>
        </row>
        <row r="211">
          <cell r="A211" t="str">
            <v>E4540</v>
          </cell>
          <cell r="B211">
            <v>3322</v>
          </cell>
          <cell r="C211" t="str">
            <v>Pointon St Gilbert of Sempringham CE Primary School</v>
          </cell>
          <cell r="D211" t="str">
            <v/>
          </cell>
          <cell r="E211">
            <v>3322</v>
          </cell>
          <cell r="F211">
            <v>0</v>
          </cell>
          <cell r="G211">
            <v>0</v>
          </cell>
          <cell r="H211">
            <v>0</v>
          </cell>
          <cell r="I211">
            <v>0</v>
          </cell>
          <cell r="J211">
            <v>0</v>
          </cell>
          <cell r="K211">
            <v>0</v>
          </cell>
          <cell r="L211">
            <v>0</v>
          </cell>
          <cell r="M211">
            <v>0</v>
          </cell>
          <cell r="N211">
            <v>0</v>
          </cell>
          <cell r="O211">
            <v>11</v>
          </cell>
          <cell r="P211">
            <v>2</v>
          </cell>
          <cell r="Q211">
            <v>6</v>
          </cell>
          <cell r="R211">
            <v>9</v>
          </cell>
          <cell r="S211">
            <v>7</v>
          </cell>
          <cell r="T211">
            <v>14</v>
          </cell>
          <cell r="U211">
            <v>3</v>
          </cell>
          <cell r="V211">
            <v>1</v>
          </cell>
          <cell r="W211">
            <v>3</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3</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59</v>
          </cell>
          <cell r="BO211">
            <v>57.5</v>
          </cell>
          <cell r="BP211">
            <v>59</v>
          </cell>
          <cell r="BQ211">
            <v>57.5</v>
          </cell>
          <cell r="BR211" t="str">
            <v>SKDC</v>
          </cell>
        </row>
        <row r="212">
          <cell r="A212" t="str">
            <v>E4550</v>
          </cell>
          <cell r="B212">
            <v>3050</v>
          </cell>
          <cell r="C212" t="str">
            <v>Potterhanworth CE Primary School</v>
          </cell>
          <cell r="D212" t="str">
            <v/>
          </cell>
          <cell r="E212">
            <v>3050</v>
          </cell>
          <cell r="F212">
            <v>0</v>
          </cell>
          <cell r="G212">
            <v>0</v>
          </cell>
          <cell r="H212">
            <v>0</v>
          </cell>
          <cell r="I212">
            <v>0</v>
          </cell>
          <cell r="J212">
            <v>0</v>
          </cell>
          <cell r="K212">
            <v>0</v>
          </cell>
          <cell r="L212">
            <v>0</v>
          </cell>
          <cell r="M212">
            <v>0</v>
          </cell>
          <cell r="N212">
            <v>1</v>
          </cell>
          <cell r="O212">
            <v>9</v>
          </cell>
          <cell r="P212">
            <v>11</v>
          </cell>
          <cell r="Q212">
            <v>13</v>
          </cell>
          <cell r="R212">
            <v>14</v>
          </cell>
          <cell r="S212">
            <v>13</v>
          </cell>
          <cell r="T212">
            <v>12</v>
          </cell>
          <cell r="U212">
            <v>7</v>
          </cell>
          <cell r="V212">
            <v>2</v>
          </cell>
          <cell r="W212">
            <v>5</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87</v>
          </cell>
          <cell r="BO212">
            <v>87</v>
          </cell>
          <cell r="BP212">
            <v>87</v>
          </cell>
          <cell r="BQ212">
            <v>87</v>
          </cell>
          <cell r="BR212" t="str">
            <v>NKDC</v>
          </cell>
        </row>
        <row r="213">
          <cell r="A213" t="str">
            <v>E4560</v>
          </cell>
          <cell r="B213">
            <v>3093</v>
          </cell>
          <cell r="C213" t="str">
            <v>Quadring Cowley and Brown's Primary School</v>
          </cell>
          <cell r="D213" t="str">
            <v/>
          </cell>
          <cell r="E213">
            <v>3093</v>
          </cell>
          <cell r="F213">
            <v>0</v>
          </cell>
          <cell r="G213">
            <v>0</v>
          </cell>
          <cell r="H213">
            <v>0</v>
          </cell>
          <cell r="I213">
            <v>0</v>
          </cell>
          <cell r="J213">
            <v>0</v>
          </cell>
          <cell r="K213">
            <v>0</v>
          </cell>
          <cell r="L213">
            <v>0</v>
          </cell>
          <cell r="M213">
            <v>0</v>
          </cell>
          <cell r="N213">
            <v>0</v>
          </cell>
          <cell r="O213">
            <v>16</v>
          </cell>
          <cell r="P213">
            <v>16</v>
          </cell>
          <cell r="Q213">
            <v>13</v>
          </cell>
          <cell r="R213">
            <v>14</v>
          </cell>
          <cell r="S213">
            <v>15</v>
          </cell>
          <cell r="T213">
            <v>15</v>
          </cell>
          <cell r="U213">
            <v>6</v>
          </cell>
          <cell r="V213">
            <v>1</v>
          </cell>
          <cell r="W213">
            <v>8</v>
          </cell>
          <cell r="X213">
            <v>5</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109</v>
          </cell>
          <cell r="BO213">
            <v>109</v>
          </cell>
          <cell r="BP213">
            <v>109</v>
          </cell>
          <cell r="BQ213">
            <v>109</v>
          </cell>
          <cell r="BR213" t="str">
            <v>SHDC</v>
          </cell>
        </row>
        <row r="214">
          <cell r="A214" t="str">
            <v>E4580</v>
          </cell>
          <cell r="B214">
            <v>3136</v>
          </cell>
          <cell r="C214" t="str">
            <v>Reepham CE Primary School</v>
          </cell>
          <cell r="D214" t="str">
            <v/>
          </cell>
          <cell r="E214">
            <v>3136</v>
          </cell>
          <cell r="F214">
            <v>0</v>
          </cell>
          <cell r="G214">
            <v>0</v>
          </cell>
          <cell r="H214">
            <v>0</v>
          </cell>
          <cell r="I214">
            <v>0</v>
          </cell>
          <cell r="J214">
            <v>0</v>
          </cell>
          <cell r="K214">
            <v>0</v>
          </cell>
          <cell r="L214">
            <v>0</v>
          </cell>
          <cell r="M214">
            <v>0</v>
          </cell>
          <cell r="N214">
            <v>0</v>
          </cell>
          <cell r="O214">
            <v>25</v>
          </cell>
          <cell r="P214">
            <v>25</v>
          </cell>
          <cell r="Q214">
            <v>26</v>
          </cell>
          <cell r="R214">
            <v>23</v>
          </cell>
          <cell r="S214">
            <v>24</v>
          </cell>
          <cell r="T214">
            <v>26</v>
          </cell>
          <cell r="U214">
            <v>11</v>
          </cell>
          <cell r="V214">
            <v>0</v>
          </cell>
          <cell r="W214">
            <v>14</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174</v>
          </cell>
          <cell r="BO214">
            <v>174</v>
          </cell>
          <cell r="BP214">
            <v>174</v>
          </cell>
          <cell r="BQ214">
            <v>174</v>
          </cell>
          <cell r="BR214" t="str">
            <v>WLDC</v>
          </cell>
        </row>
        <row r="215">
          <cell r="A215" t="str">
            <v>E4610</v>
          </cell>
          <cell r="B215">
            <v>3052</v>
          </cell>
          <cell r="C215" t="str">
            <v>Ropsley CE Primary School</v>
          </cell>
          <cell r="D215" t="str">
            <v/>
          </cell>
          <cell r="E215">
            <v>3052</v>
          </cell>
          <cell r="F215">
            <v>0</v>
          </cell>
          <cell r="G215">
            <v>0</v>
          </cell>
          <cell r="H215">
            <v>0</v>
          </cell>
          <cell r="I215">
            <v>0</v>
          </cell>
          <cell r="J215">
            <v>0</v>
          </cell>
          <cell r="K215">
            <v>0</v>
          </cell>
          <cell r="L215">
            <v>0</v>
          </cell>
          <cell r="M215">
            <v>0</v>
          </cell>
          <cell r="N215">
            <v>0</v>
          </cell>
          <cell r="O215">
            <v>18</v>
          </cell>
          <cell r="P215">
            <v>13</v>
          </cell>
          <cell r="Q215">
            <v>15</v>
          </cell>
          <cell r="R215">
            <v>11</v>
          </cell>
          <cell r="S215">
            <v>13</v>
          </cell>
          <cell r="T215">
            <v>13</v>
          </cell>
          <cell r="U215">
            <v>3</v>
          </cell>
          <cell r="V215">
            <v>2</v>
          </cell>
          <cell r="W215">
            <v>8</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3</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99</v>
          </cell>
          <cell r="BO215">
            <v>97.5</v>
          </cell>
          <cell r="BP215">
            <v>99</v>
          </cell>
          <cell r="BQ215">
            <v>97.5</v>
          </cell>
          <cell r="BR215" t="str">
            <v>SKDC</v>
          </cell>
        </row>
        <row r="216">
          <cell r="A216" t="str">
            <v>E4640</v>
          </cell>
          <cell r="B216">
            <v>5226</v>
          </cell>
          <cell r="C216" t="str">
            <v>Ruskington Chestnut Street CE Primary School</v>
          </cell>
          <cell r="D216" t="str">
            <v/>
          </cell>
          <cell r="E216">
            <v>5226</v>
          </cell>
          <cell r="F216">
            <v>0</v>
          </cell>
          <cell r="G216">
            <v>0</v>
          </cell>
          <cell r="H216">
            <v>0</v>
          </cell>
          <cell r="I216">
            <v>0</v>
          </cell>
          <cell r="J216">
            <v>0</v>
          </cell>
          <cell r="K216">
            <v>0</v>
          </cell>
          <cell r="L216">
            <v>0</v>
          </cell>
          <cell r="M216">
            <v>0</v>
          </cell>
          <cell r="N216">
            <v>0</v>
          </cell>
          <cell r="O216">
            <v>57</v>
          </cell>
          <cell r="P216">
            <v>55</v>
          </cell>
          <cell r="Q216">
            <v>60</v>
          </cell>
          <cell r="R216">
            <v>56</v>
          </cell>
          <cell r="S216">
            <v>49</v>
          </cell>
          <cell r="T216">
            <v>47</v>
          </cell>
          <cell r="U216">
            <v>11</v>
          </cell>
          <cell r="V216">
            <v>13</v>
          </cell>
          <cell r="W216">
            <v>18</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4</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370</v>
          </cell>
          <cell r="BO216">
            <v>368</v>
          </cell>
          <cell r="BP216">
            <v>370</v>
          </cell>
          <cell r="BQ216">
            <v>368</v>
          </cell>
          <cell r="BR216" t="str">
            <v>NKDC</v>
          </cell>
        </row>
        <row r="217">
          <cell r="A217" t="str">
            <v>E4650</v>
          </cell>
          <cell r="B217">
            <v>2224</v>
          </cell>
          <cell r="C217" t="str">
            <v>Ruskington Winchelsea Primary School</v>
          </cell>
          <cell r="D217" t="str">
            <v/>
          </cell>
          <cell r="E217">
            <v>2224</v>
          </cell>
          <cell r="F217">
            <v>0</v>
          </cell>
          <cell r="G217">
            <v>0</v>
          </cell>
          <cell r="H217">
            <v>0</v>
          </cell>
          <cell r="I217">
            <v>0</v>
          </cell>
          <cell r="J217">
            <v>0</v>
          </cell>
          <cell r="K217">
            <v>0</v>
          </cell>
          <cell r="L217">
            <v>0</v>
          </cell>
          <cell r="M217">
            <v>0</v>
          </cell>
          <cell r="N217">
            <v>1</v>
          </cell>
          <cell r="O217">
            <v>23</v>
          </cell>
          <cell r="P217">
            <v>25</v>
          </cell>
          <cell r="Q217">
            <v>31</v>
          </cell>
          <cell r="R217">
            <v>27</v>
          </cell>
          <cell r="S217">
            <v>22</v>
          </cell>
          <cell r="T217">
            <v>18</v>
          </cell>
          <cell r="U217">
            <v>11</v>
          </cell>
          <cell r="V217">
            <v>4</v>
          </cell>
          <cell r="W217">
            <v>8</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4</v>
          </cell>
          <cell r="BK217">
            <v>4</v>
          </cell>
          <cell r="BL217">
            <v>5</v>
          </cell>
          <cell r="BM217">
            <v>1</v>
          </cell>
          <cell r="BN217">
            <v>184</v>
          </cell>
          <cell r="BO217">
            <v>177</v>
          </cell>
          <cell r="BP217">
            <v>170</v>
          </cell>
          <cell r="BQ217">
            <v>170</v>
          </cell>
          <cell r="BR217" t="str">
            <v>NKDC</v>
          </cell>
        </row>
        <row r="218">
          <cell r="A218" t="str">
            <v>E4660</v>
          </cell>
          <cell r="B218">
            <v>3137</v>
          </cell>
          <cell r="C218" t="str">
            <v>Saltfleetby CE Primary School</v>
          </cell>
          <cell r="D218" t="str">
            <v/>
          </cell>
          <cell r="E218">
            <v>3137</v>
          </cell>
          <cell r="F218">
            <v>0</v>
          </cell>
          <cell r="G218">
            <v>0</v>
          </cell>
          <cell r="H218">
            <v>0</v>
          </cell>
          <cell r="I218">
            <v>0</v>
          </cell>
          <cell r="J218">
            <v>0</v>
          </cell>
          <cell r="K218">
            <v>0</v>
          </cell>
          <cell r="L218">
            <v>0</v>
          </cell>
          <cell r="M218">
            <v>0</v>
          </cell>
          <cell r="N218">
            <v>0</v>
          </cell>
          <cell r="O218">
            <v>5</v>
          </cell>
          <cell r="P218">
            <v>8</v>
          </cell>
          <cell r="Q218">
            <v>8</v>
          </cell>
          <cell r="R218">
            <v>5</v>
          </cell>
          <cell r="S218">
            <v>6</v>
          </cell>
          <cell r="T218">
            <v>2</v>
          </cell>
          <cell r="U218">
            <v>1</v>
          </cell>
          <cell r="V218">
            <v>0</v>
          </cell>
          <cell r="W218">
            <v>3</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2</v>
          </cell>
          <cell r="AU218">
            <v>2</v>
          </cell>
          <cell r="AV218">
            <v>1</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43</v>
          </cell>
          <cell r="BO218">
            <v>40.5</v>
          </cell>
          <cell r="BP218">
            <v>43</v>
          </cell>
          <cell r="BQ218">
            <v>40.5</v>
          </cell>
          <cell r="BR218" t="str">
            <v>ELDC</v>
          </cell>
        </row>
        <row r="219">
          <cell r="A219" t="str">
            <v>E4680</v>
          </cell>
          <cell r="B219">
            <v>3139</v>
          </cell>
          <cell r="C219" t="str">
            <v>Saxilby CE Primary School</v>
          </cell>
          <cell r="D219" t="str">
            <v/>
          </cell>
          <cell r="E219">
            <v>3139</v>
          </cell>
          <cell r="F219">
            <v>0</v>
          </cell>
          <cell r="G219">
            <v>0</v>
          </cell>
          <cell r="H219">
            <v>0</v>
          </cell>
          <cell r="I219">
            <v>0</v>
          </cell>
          <cell r="J219">
            <v>0</v>
          </cell>
          <cell r="K219">
            <v>0</v>
          </cell>
          <cell r="L219">
            <v>0</v>
          </cell>
          <cell r="M219">
            <v>0</v>
          </cell>
          <cell r="N219">
            <v>0</v>
          </cell>
          <cell r="O219">
            <v>38</v>
          </cell>
          <cell r="P219">
            <v>57</v>
          </cell>
          <cell r="Q219">
            <v>54</v>
          </cell>
          <cell r="R219">
            <v>46</v>
          </cell>
          <cell r="S219">
            <v>40</v>
          </cell>
          <cell r="T219">
            <v>38</v>
          </cell>
          <cell r="U219">
            <v>12</v>
          </cell>
          <cell r="V219">
            <v>14</v>
          </cell>
          <cell r="W219">
            <v>25</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324</v>
          </cell>
          <cell r="BO219">
            <v>324</v>
          </cell>
          <cell r="BP219">
            <v>324</v>
          </cell>
          <cell r="BQ219">
            <v>324</v>
          </cell>
          <cell r="BR219" t="str">
            <v>WLDC</v>
          </cell>
        </row>
        <row r="220">
          <cell r="A220" t="str">
            <v>E4700</v>
          </cell>
          <cell r="B220">
            <v>3140</v>
          </cell>
          <cell r="C220" t="str">
            <v>Scamblesby CE Primary School</v>
          </cell>
          <cell r="D220" t="str">
            <v/>
          </cell>
          <cell r="E220">
            <v>3140</v>
          </cell>
          <cell r="F220">
            <v>0</v>
          </cell>
          <cell r="G220">
            <v>0</v>
          </cell>
          <cell r="H220">
            <v>0</v>
          </cell>
          <cell r="I220">
            <v>0</v>
          </cell>
          <cell r="J220">
            <v>0</v>
          </cell>
          <cell r="K220">
            <v>0</v>
          </cell>
          <cell r="L220">
            <v>0</v>
          </cell>
          <cell r="M220">
            <v>0</v>
          </cell>
          <cell r="N220">
            <v>0</v>
          </cell>
          <cell r="O220">
            <v>14</v>
          </cell>
          <cell r="P220">
            <v>14</v>
          </cell>
          <cell r="Q220">
            <v>11</v>
          </cell>
          <cell r="R220">
            <v>10</v>
          </cell>
          <cell r="S220">
            <v>10</v>
          </cell>
          <cell r="T220">
            <v>6</v>
          </cell>
          <cell r="U220">
            <v>5</v>
          </cell>
          <cell r="V220">
            <v>1</v>
          </cell>
          <cell r="W220">
            <v>3</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74</v>
          </cell>
          <cell r="BO220">
            <v>74</v>
          </cell>
          <cell r="BP220">
            <v>74</v>
          </cell>
          <cell r="BQ220">
            <v>74</v>
          </cell>
          <cell r="BR220" t="str">
            <v>ELDC</v>
          </cell>
        </row>
        <row r="221">
          <cell r="A221" t="str">
            <v>E4710</v>
          </cell>
          <cell r="B221">
            <v>2187</v>
          </cell>
          <cell r="C221" t="str">
            <v>Scampton Pollyplatt Primary School</v>
          </cell>
          <cell r="D221" t="str">
            <v/>
          </cell>
          <cell r="E221">
            <v>2187</v>
          </cell>
          <cell r="F221">
            <v>0</v>
          </cell>
          <cell r="G221">
            <v>0</v>
          </cell>
          <cell r="H221">
            <v>0</v>
          </cell>
          <cell r="I221">
            <v>0</v>
          </cell>
          <cell r="J221">
            <v>0</v>
          </cell>
          <cell r="K221">
            <v>0</v>
          </cell>
          <cell r="L221">
            <v>0</v>
          </cell>
          <cell r="M221">
            <v>0</v>
          </cell>
          <cell r="N221">
            <v>0</v>
          </cell>
          <cell r="O221">
            <v>19</v>
          </cell>
          <cell r="P221">
            <v>13</v>
          </cell>
          <cell r="Q221">
            <v>18</v>
          </cell>
          <cell r="R221">
            <v>14</v>
          </cell>
          <cell r="S221">
            <v>12</v>
          </cell>
          <cell r="T221">
            <v>12</v>
          </cell>
          <cell r="U221">
            <v>2</v>
          </cell>
          <cell r="V221">
            <v>1</v>
          </cell>
          <cell r="W221">
            <v>8</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99</v>
          </cell>
          <cell r="BO221">
            <v>99</v>
          </cell>
          <cell r="BP221">
            <v>99</v>
          </cell>
          <cell r="BQ221">
            <v>99</v>
          </cell>
          <cell r="BR221" t="str">
            <v>WLDC</v>
          </cell>
        </row>
        <row r="222">
          <cell r="A222" t="str">
            <v>E4720</v>
          </cell>
          <cell r="B222">
            <v>3141</v>
          </cell>
          <cell r="C222" t="str">
            <v>Scampton CE Primary School</v>
          </cell>
          <cell r="D222" t="str">
            <v/>
          </cell>
          <cell r="E222">
            <v>3141</v>
          </cell>
          <cell r="F222">
            <v>0</v>
          </cell>
          <cell r="G222">
            <v>0</v>
          </cell>
          <cell r="H222">
            <v>0</v>
          </cell>
          <cell r="I222">
            <v>0</v>
          </cell>
          <cell r="J222">
            <v>0</v>
          </cell>
          <cell r="K222">
            <v>0</v>
          </cell>
          <cell r="L222">
            <v>0</v>
          </cell>
          <cell r="M222">
            <v>0</v>
          </cell>
          <cell r="N222">
            <v>0</v>
          </cell>
          <cell r="O222">
            <v>13</v>
          </cell>
          <cell r="P222">
            <v>9</v>
          </cell>
          <cell r="Q222">
            <v>13</v>
          </cell>
          <cell r="R222">
            <v>10</v>
          </cell>
          <cell r="S222">
            <v>12</v>
          </cell>
          <cell r="T222">
            <v>11</v>
          </cell>
          <cell r="U222">
            <v>2</v>
          </cell>
          <cell r="V222">
            <v>2</v>
          </cell>
          <cell r="W222">
            <v>5</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77</v>
          </cell>
          <cell r="BO222">
            <v>77</v>
          </cell>
          <cell r="BP222">
            <v>77</v>
          </cell>
          <cell r="BQ222">
            <v>77</v>
          </cell>
          <cell r="BR222" t="str">
            <v>WLDC</v>
          </cell>
        </row>
        <row r="223">
          <cell r="A223" t="str">
            <v>E4730</v>
          </cell>
          <cell r="B223">
            <v>3166</v>
          </cell>
          <cell r="C223" t="str">
            <v>Scothern Ellison Boulters CE Primary School</v>
          </cell>
          <cell r="D223" t="str">
            <v/>
          </cell>
          <cell r="E223">
            <v>3166</v>
          </cell>
          <cell r="F223">
            <v>0</v>
          </cell>
          <cell r="G223">
            <v>0</v>
          </cell>
          <cell r="H223">
            <v>0</v>
          </cell>
          <cell r="I223">
            <v>0</v>
          </cell>
          <cell r="J223">
            <v>0</v>
          </cell>
          <cell r="K223">
            <v>0</v>
          </cell>
          <cell r="L223">
            <v>0</v>
          </cell>
          <cell r="M223">
            <v>0</v>
          </cell>
          <cell r="N223">
            <v>0</v>
          </cell>
          <cell r="O223">
            <v>36</v>
          </cell>
          <cell r="P223">
            <v>42</v>
          </cell>
          <cell r="Q223">
            <v>38</v>
          </cell>
          <cell r="R223">
            <v>42</v>
          </cell>
          <cell r="S223">
            <v>35</v>
          </cell>
          <cell r="T223">
            <v>32</v>
          </cell>
          <cell r="U223">
            <v>15</v>
          </cell>
          <cell r="V223">
            <v>6</v>
          </cell>
          <cell r="W223">
            <v>24</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270</v>
          </cell>
          <cell r="BO223">
            <v>270</v>
          </cell>
          <cell r="BP223">
            <v>270</v>
          </cell>
          <cell r="BQ223">
            <v>270</v>
          </cell>
          <cell r="BR223" t="str">
            <v>WLDC</v>
          </cell>
        </row>
        <row r="224">
          <cell r="A224" t="str">
            <v>E4750</v>
          </cell>
          <cell r="B224">
            <v>2188</v>
          </cell>
          <cell r="C224" t="str">
            <v>Scotter Primary School</v>
          </cell>
          <cell r="D224" t="str">
            <v/>
          </cell>
          <cell r="E224">
            <v>2188</v>
          </cell>
          <cell r="F224">
            <v>0</v>
          </cell>
          <cell r="G224">
            <v>0</v>
          </cell>
          <cell r="H224">
            <v>0</v>
          </cell>
          <cell r="I224">
            <v>0</v>
          </cell>
          <cell r="J224">
            <v>0</v>
          </cell>
          <cell r="K224">
            <v>0</v>
          </cell>
          <cell r="L224">
            <v>0</v>
          </cell>
          <cell r="M224">
            <v>0</v>
          </cell>
          <cell r="N224">
            <v>0</v>
          </cell>
          <cell r="O224">
            <v>34</v>
          </cell>
          <cell r="P224">
            <v>41</v>
          </cell>
          <cell r="Q224">
            <v>40</v>
          </cell>
          <cell r="R224">
            <v>42</v>
          </cell>
          <cell r="S224">
            <v>43</v>
          </cell>
          <cell r="T224">
            <v>30</v>
          </cell>
          <cell r="U224">
            <v>9</v>
          </cell>
          <cell r="V224">
            <v>13</v>
          </cell>
          <cell r="W224">
            <v>17</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269</v>
          </cell>
          <cell r="BO224">
            <v>269</v>
          </cell>
          <cell r="BP224">
            <v>269</v>
          </cell>
          <cell r="BQ224">
            <v>269</v>
          </cell>
          <cell r="BR224" t="str">
            <v>WLDC</v>
          </cell>
        </row>
        <row r="225">
          <cell r="A225" t="str">
            <v>E4780</v>
          </cell>
          <cell r="B225">
            <v>3170</v>
          </cell>
          <cell r="C225" t="str">
            <v>Sibsey Free Primary School</v>
          </cell>
          <cell r="D225" t="str">
            <v/>
          </cell>
          <cell r="E225">
            <v>3170</v>
          </cell>
          <cell r="F225">
            <v>0</v>
          </cell>
          <cell r="G225">
            <v>0</v>
          </cell>
          <cell r="H225">
            <v>0</v>
          </cell>
          <cell r="I225">
            <v>0</v>
          </cell>
          <cell r="J225">
            <v>0</v>
          </cell>
          <cell r="K225">
            <v>0</v>
          </cell>
          <cell r="L225">
            <v>0</v>
          </cell>
          <cell r="M225">
            <v>0</v>
          </cell>
          <cell r="N225">
            <v>1</v>
          </cell>
          <cell r="O225">
            <v>25</v>
          </cell>
          <cell r="P225">
            <v>27</v>
          </cell>
          <cell r="Q225">
            <v>27</v>
          </cell>
          <cell r="R225">
            <v>21</v>
          </cell>
          <cell r="S225">
            <v>26</v>
          </cell>
          <cell r="T225">
            <v>21</v>
          </cell>
          <cell r="U225">
            <v>10</v>
          </cell>
          <cell r="V225">
            <v>3</v>
          </cell>
          <cell r="W225">
            <v>14</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175</v>
          </cell>
          <cell r="BO225">
            <v>175</v>
          </cell>
          <cell r="BP225">
            <v>175</v>
          </cell>
          <cell r="BQ225">
            <v>175</v>
          </cell>
          <cell r="BR225" t="str">
            <v>ELDC</v>
          </cell>
        </row>
        <row r="226">
          <cell r="A226" t="str">
            <v>E4790</v>
          </cell>
          <cell r="B226">
            <v>2190</v>
          </cell>
          <cell r="C226" t="str">
            <v>Skegness Infant School</v>
          </cell>
          <cell r="D226" t="str">
            <v/>
          </cell>
          <cell r="E226">
            <v>2190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87</v>
          </cell>
          <cell r="T226">
            <v>87</v>
          </cell>
          <cell r="U226">
            <v>22</v>
          </cell>
          <cell r="V226">
            <v>12</v>
          </cell>
          <cell r="W226">
            <v>28</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19</v>
          </cell>
          <cell r="BK226">
            <v>14</v>
          </cell>
          <cell r="BL226">
            <v>21</v>
          </cell>
          <cell r="BM226">
            <v>0</v>
          </cell>
          <cell r="BN226">
            <v>290</v>
          </cell>
          <cell r="BO226">
            <v>263</v>
          </cell>
          <cell r="BP226">
            <v>236</v>
          </cell>
          <cell r="BQ226">
            <v>236</v>
          </cell>
          <cell r="BR226" t="str">
            <v>ELDC</v>
          </cell>
        </row>
        <row r="227">
          <cell r="A227" t="str">
            <v>E4800</v>
          </cell>
          <cell r="B227">
            <v>2189</v>
          </cell>
          <cell r="C227" t="str">
            <v>Skegness Junior School</v>
          </cell>
          <cell r="D227" t="str">
            <v/>
          </cell>
          <cell r="E227">
            <v>2189</v>
          </cell>
          <cell r="F227">
            <v>0</v>
          </cell>
          <cell r="G227">
            <v>0</v>
          </cell>
          <cell r="H227">
            <v>0</v>
          </cell>
          <cell r="I227">
            <v>0</v>
          </cell>
          <cell r="J227">
            <v>0</v>
          </cell>
          <cell r="K227">
            <v>0</v>
          </cell>
          <cell r="L227">
            <v>0</v>
          </cell>
          <cell r="M227">
            <v>0</v>
          </cell>
          <cell r="N227">
            <v>0</v>
          </cell>
          <cell r="O227">
            <v>88</v>
          </cell>
          <cell r="P227">
            <v>91</v>
          </cell>
          <cell r="Q227">
            <v>84</v>
          </cell>
          <cell r="R227">
            <v>80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343</v>
          </cell>
          <cell r="BO227">
            <v>343</v>
          </cell>
          <cell r="BP227">
            <v>343</v>
          </cell>
          <cell r="BQ227">
            <v>343</v>
          </cell>
          <cell r="BR227" t="str">
            <v>ELDC</v>
          </cell>
        </row>
        <row r="228">
          <cell r="A228" t="str">
            <v>E4810</v>
          </cell>
          <cell r="B228">
            <v>2191</v>
          </cell>
          <cell r="C228" t="str">
            <v>Skegness Seathorne Primary School</v>
          </cell>
          <cell r="D228" t="str">
            <v/>
          </cell>
          <cell r="E228">
            <v>2191</v>
          </cell>
          <cell r="F228">
            <v>0</v>
          </cell>
          <cell r="G228">
            <v>0</v>
          </cell>
          <cell r="H228">
            <v>0</v>
          </cell>
          <cell r="I228">
            <v>0</v>
          </cell>
          <cell r="J228">
            <v>0</v>
          </cell>
          <cell r="K228">
            <v>0</v>
          </cell>
          <cell r="L228">
            <v>0</v>
          </cell>
          <cell r="M228">
            <v>0</v>
          </cell>
          <cell r="N228">
            <v>0</v>
          </cell>
          <cell r="O228">
            <v>46</v>
          </cell>
          <cell r="P228">
            <v>60</v>
          </cell>
          <cell r="Q228">
            <v>52</v>
          </cell>
          <cell r="R228">
            <v>48</v>
          </cell>
          <cell r="S228">
            <v>40</v>
          </cell>
          <cell r="T228">
            <v>37</v>
          </cell>
          <cell r="U228">
            <v>21</v>
          </cell>
          <cell r="V228">
            <v>12</v>
          </cell>
          <cell r="W228">
            <v>20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6</v>
          </cell>
          <cell r="BK228">
            <v>13</v>
          </cell>
          <cell r="BL228">
            <v>11</v>
          </cell>
          <cell r="BM228">
            <v>9</v>
          </cell>
          <cell r="BN228">
            <v>375</v>
          </cell>
          <cell r="BO228">
            <v>355.5</v>
          </cell>
          <cell r="BP228">
            <v>336</v>
          </cell>
          <cell r="BQ228">
            <v>336</v>
          </cell>
          <cell r="BR228" t="str">
            <v>ELDC</v>
          </cell>
        </row>
        <row r="229">
          <cell r="A229" t="str">
            <v>E4820</v>
          </cell>
          <cell r="B229">
            <v>2219</v>
          </cell>
          <cell r="C229" t="str">
            <v>Skegness The Richmond School</v>
          </cell>
          <cell r="D229" t="str">
            <v/>
          </cell>
          <cell r="E229">
            <v>2219</v>
          </cell>
          <cell r="F229">
            <v>0</v>
          </cell>
          <cell r="G229">
            <v>0</v>
          </cell>
          <cell r="H229">
            <v>0</v>
          </cell>
          <cell r="I229">
            <v>0</v>
          </cell>
          <cell r="J229">
            <v>0</v>
          </cell>
          <cell r="K229">
            <v>0</v>
          </cell>
          <cell r="L229">
            <v>0</v>
          </cell>
          <cell r="M229">
            <v>0</v>
          </cell>
          <cell r="N229">
            <v>1</v>
          </cell>
          <cell r="O229">
            <v>59</v>
          </cell>
          <cell r="P229">
            <v>62</v>
          </cell>
          <cell r="Q229">
            <v>58</v>
          </cell>
          <cell r="R229">
            <v>60</v>
          </cell>
          <cell r="S229">
            <v>59</v>
          </cell>
          <cell r="T229">
            <v>61</v>
          </cell>
          <cell r="U229">
            <v>16</v>
          </cell>
          <cell r="V229">
            <v>14</v>
          </cell>
          <cell r="W229">
            <v>29</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419</v>
          </cell>
          <cell r="BO229">
            <v>419</v>
          </cell>
          <cell r="BP229">
            <v>419</v>
          </cell>
          <cell r="BQ229">
            <v>419</v>
          </cell>
          <cell r="BR229" t="str">
            <v>ELDC</v>
          </cell>
        </row>
        <row r="230">
          <cell r="A230" t="str">
            <v>E4840</v>
          </cell>
          <cell r="B230">
            <v>2067</v>
          </cell>
          <cell r="C230" t="str">
            <v>Skellingthorpe The Holt Primary School</v>
          </cell>
          <cell r="D230" t="str">
            <v/>
          </cell>
          <cell r="E230">
            <v>2067</v>
          </cell>
          <cell r="F230">
            <v>0</v>
          </cell>
          <cell r="G230">
            <v>0</v>
          </cell>
          <cell r="H230">
            <v>0</v>
          </cell>
          <cell r="I230">
            <v>0</v>
          </cell>
          <cell r="J230">
            <v>0</v>
          </cell>
          <cell r="K230">
            <v>0</v>
          </cell>
          <cell r="L230">
            <v>0</v>
          </cell>
          <cell r="M230">
            <v>0</v>
          </cell>
          <cell r="N230">
            <v>0</v>
          </cell>
          <cell r="O230">
            <v>30</v>
          </cell>
          <cell r="P230">
            <v>30</v>
          </cell>
          <cell r="Q230">
            <v>28</v>
          </cell>
          <cell r="R230">
            <v>30</v>
          </cell>
          <cell r="S230">
            <v>30</v>
          </cell>
          <cell r="T230">
            <v>29</v>
          </cell>
          <cell r="U230">
            <v>7</v>
          </cell>
          <cell r="V230">
            <v>9</v>
          </cell>
          <cell r="W230">
            <v>8</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201</v>
          </cell>
          <cell r="BO230">
            <v>201</v>
          </cell>
          <cell r="BP230">
            <v>201</v>
          </cell>
          <cell r="BQ230">
            <v>201</v>
          </cell>
          <cell r="BR230" t="str">
            <v>NKDC</v>
          </cell>
        </row>
        <row r="231">
          <cell r="A231" t="str">
            <v>E4850</v>
          </cell>
          <cell r="B231">
            <v>3056</v>
          </cell>
          <cell r="C231" t="str">
            <v>Skellingthorpe St Lawrence CE Primary School</v>
          </cell>
          <cell r="D231" t="str">
            <v/>
          </cell>
          <cell r="E231">
            <v>3056</v>
          </cell>
          <cell r="F231">
            <v>0</v>
          </cell>
          <cell r="G231">
            <v>0</v>
          </cell>
          <cell r="H231">
            <v>0</v>
          </cell>
          <cell r="I231">
            <v>0</v>
          </cell>
          <cell r="J231">
            <v>0</v>
          </cell>
          <cell r="K231">
            <v>0</v>
          </cell>
          <cell r="L231">
            <v>0</v>
          </cell>
          <cell r="M231">
            <v>0</v>
          </cell>
          <cell r="N231">
            <v>0</v>
          </cell>
          <cell r="O231">
            <v>33</v>
          </cell>
          <cell r="P231">
            <v>19</v>
          </cell>
          <cell r="Q231">
            <v>25</v>
          </cell>
          <cell r="R231">
            <v>26</v>
          </cell>
          <cell r="S231">
            <v>31</v>
          </cell>
          <cell r="T231">
            <v>22</v>
          </cell>
          <cell r="U231">
            <v>5</v>
          </cell>
          <cell r="V231">
            <v>7</v>
          </cell>
          <cell r="W231">
            <v>13</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181</v>
          </cell>
          <cell r="BO231">
            <v>181</v>
          </cell>
          <cell r="BP231">
            <v>181</v>
          </cell>
          <cell r="BQ231">
            <v>181</v>
          </cell>
          <cell r="BR231" t="str">
            <v>NKDC</v>
          </cell>
        </row>
        <row r="232">
          <cell r="A232" t="str">
            <v>E4880</v>
          </cell>
          <cell r="B232">
            <v>2038</v>
          </cell>
          <cell r="C232" t="str">
            <v xml:space="preserve">Sleaford Church Lane Primary School and Nursery </v>
          </cell>
          <cell r="D232" t="str">
            <v/>
          </cell>
          <cell r="E232">
            <v>2038</v>
          </cell>
          <cell r="F232">
            <v>0</v>
          </cell>
          <cell r="G232">
            <v>0</v>
          </cell>
          <cell r="H232">
            <v>0</v>
          </cell>
          <cell r="I232">
            <v>0</v>
          </cell>
          <cell r="J232">
            <v>0</v>
          </cell>
          <cell r="K232">
            <v>0</v>
          </cell>
          <cell r="L232">
            <v>0</v>
          </cell>
          <cell r="M232">
            <v>0</v>
          </cell>
          <cell r="N232">
            <v>0</v>
          </cell>
          <cell r="O232">
            <v>29</v>
          </cell>
          <cell r="P232">
            <v>27</v>
          </cell>
          <cell r="Q232">
            <v>29</v>
          </cell>
          <cell r="R232">
            <v>31</v>
          </cell>
          <cell r="S232">
            <v>23</v>
          </cell>
          <cell r="T232">
            <v>24</v>
          </cell>
          <cell r="U232">
            <v>7</v>
          </cell>
          <cell r="V232">
            <v>7</v>
          </cell>
          <cell r="W232">
            <v>9</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8</v>
          </cell>
          <cell r="BK232">
            <v>9</v>
          </cell>
          <cell r="BL232">
            <v>19</v>
          </cell>
          <cell r="BM232">
            <v>8</v>
          </cell>
          <cell r="BN232">
            <v>230</v>
          </cell>
          <cell r="BO232">
            <v>208</v>
          </cell>
          <cell r="BP232">
            <v>186</v>
          </cell>
          <cell r="BQ232">
            <v>186</v>
          </cell>
          <cell r="BR232" t="str">
            <v>NKDC</v>
          </cell>
        </row>
        <row r="233">
          <cell r="A233" t="str">
            <v>E4890</v>
          </cell>
          <cell r="B233">
            <v>3331</v>
          </cell>
          <cell r="C233" t="str">
            <v>Sleaford Our Lady of Good Counsel Catholic Primary School</v>
          </cell>
          <cell r="D233" t="str">
            <v/>
          </cell>
          <cell r="E233">
            <v>3331</v>
          </cell>
          <cell r="F233">
            <v>0</v>
          </cell>
          <cell r="G233">
            <v>0</v>
          </cell>
          <cell r="H233">
            <v>0</v>
          </cell>
          <cell r="I233">
            <v>0</v>
          </cell>
          <cell r="J233">
            <v>0</v>
          </cell>
          <cell r="K233">
            <v>0</v>
          </cell>
          <cell r="L233">
            <v>0</v>
          </cell>
          <cell r="M233">
            <v>0</v>
          </cell>
          <cell r="N233">
            <v>0</v>
          </cell>
          <cell r="O233">
            <v>26</v>
          </cell>
          <cell r="P233">
            <v>26</v>
          </cell>
          <cell r="Q233">
            <v>30</v>
          </cell>
          <cell r="R233">
            <v>15</v>
          </cell>
          <cell r="S233">
            <v>23</v>
          </cell>
          <cell r="T233">
            <v>17</v>
          </cell>
          <cell r="U233">
            <v>6</v>
          </cell>
          <cell r="V233">
            <v>3</v>
          </cell>
          <cell r="W233">
            <v>11</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157</v>
          </cell>
          <cell r="BO233">
            <v>157</v>
          </cell>
          <cell r="BP233">
            <v>157</v>
          </cell>
          <cell r="BQ233">
            <v>157</v>
          </cell>
          <cell r="BR233" t="str">
            <v>NKDC</v>
          </cell>
        </row>
        <row r="234">
          <cell r="A234" t="str">
            <v>E4910</v>
          </cell>
          <cell r="B234">
            <v>5203</v>
          </cell>
          <cell r="C234" t="str">
            <v>Sleaford The William Alvey CE School</v>
          </cell>
          <cell r="D234" t="str">
            <v/>
          </cell>
          <cell r="E234">
            <v>5203</v>
          </cell>
          <cell r="F234">
            <v>0</v>
          </cell>
          <cell r="G234">
            <v>0</v>
          </cell>
          <cell r="H234">
            <v>0</v>
          </cell>
          <cell r="I234">
            <v>0</v>
          </cell>
          <cell r="J234">
            <v>0</v>
          </cell>
          <cell r="K234">
            <v>0</v>
          </cell>
          <cell r="L234">
            <v>0</v>
          </cell>
          <cell r="M234">
            <v>0</v>
          </cell>
          <cell r="N234">
            <v>0</v>
          </cell>
          <cell r="O234">
            <v>81</v>
          </cell>
          <cell r="P234">
            <v>79</v>
          </cell>
          <cell r="Q234">
            <v>85</v>
          </cell>
          <cell r="R234">
            <v>86</v>
          </cell>
          <cell r="S234">
            <v>73</v>
          </cell>
          <cell r="T234">
            <v>74</v>
          </cell>
          <cell r="U234">
            <v>17</v>
          </cell>
          <cell r="V234">
            <v>17</v>
          </cell>
          <cell r="W234">
            <v>27</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539</v>
          </cell>
          <cell r="BO234">
            <v>539</v>
          </cell>
          <cell r="BP234">
            <v>539</v>
          </cell>
          <cell r="BQ234">
            <v>539</v>
          </cell>
          <cell r="BR234" t="str">
            <v>NKDC</v>
          </cell>
        </row>
        <row r="235">
          <cell r="A235" t="str">
            <v>E4920</v>
          </cell>
          <cell r="B235">
            <v>2248</v>
          </cell>
          <cell r="C235" t="str">
            <v>Sleaford St Botolph's CE School, Quarrington</v>
          </cell>
          <cell r="D235" t="str">
            <v/>
          </cell>
          <cell r="E235">
            <v>2248</v>
          </cell>
          <cell r="F235">
            <v>0</v>
          </cell>
          <cell r="G235">
            <v>0</v>
          </cell>
          <cell r="H235">
            <v>0</v>
          </cell>
          <cell r="I235">
            <v>0</v>
          </cell>
          <cell r="J235">
            <v>0</v>
          </cell>
          <cell r="K235">
            <v>0</v>
          </cell>
          <cell r="L235">
            <v>0</v>
          </cell>
          <cell r="M235">
            <v>0</v>
          </cell>
          <cell r="N235">
            <v>1</v>
          </cell>
          <cell r="O235">
            <v>60</v>
          </cell>
          <cell r="P235">
            <v>51</v>
          </cell>
          <cell r="Q235">
            <v>59</v>
          </cell>
          <cell r="R235">
            <v>60</v>
          </cell>
          <cell r="S235">
            <v>51</v>
          </cell>
          <cell r="T235">
            <v>51</v>
          </cell>
          <cell r="U235">
            <v>13</v>
          </cell>
          <cell r="V235">
            <v>16</v>
          </cell>
          <cell r="W235">
            <v>19</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381</v>
          </cell>
          <cell r="BO235">
            <v>381</v>
          </cell>
          <cell r="BP235">
            <v>381</v>
          </cell>
          <cell r="BQ235">
            <v>381</v>
          </cell>
          <cell r="BR235" t="str">
            <v>NKDC</v>
          </cell>
        </row>
        <row r="236">
          <cell r="A236" t="str">
            <v>E4940</v>
          </cell>
          <cell r="B236">
            <v>2039</v>
          </cell>
          <cell r="C236" t="str">
            <v>South Hykeham School</v>
          </cell>
          <cell r="D236" t="str">
            <v/>
          </cell>
          <cell r="E236">
            <v>2039</v>
          </cell>
          <cell r="F236">
            <v>0</v>
          </cell>
          <cell r="G236">
            <v>0</v>
          </cell>
          <cell r="H236">
            <v>0</v>
          </cell>
          <cell r="I236">
            <v>0</v>
          </cell>
          <cell r="J236">
            <v>0</v>
          </cell>
          <cell r="K236">
            <v>0</v>
          </cell>
          <cell r="L236">
            <v>0</v>
          </cell>
          <cell r="M236">
            <v>0</v>
          </cell>
          <cell r="N236">
            <v>0</v>
          </cell>
          <cell r="O236">
            <v>22</v>
          </cell>
          <cell r="P236">
            <v>21</v>
          </cell>
          <cell r="Q236">
            <v>20</v>
          </cell>
          <cell r="R236">
            <v>18</v>
          </cell>
          <cell r="S236">
            <v>20</v>
          </cell>
          <cell r="T236">
            <v>20</v>
          </cell>
          <cell r="U236">
            <v>6</v>
          </cell>
          <cell r="V236">
            <v>2</v>
          </cell>
          <cell r="W236">
            <v>9</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138</v>
          </cell>
          <cell r="BO236">
            <v>138</v>
          </cell>
          <cell r="BP236">
            <v>138</v>
          </cell>
          <cell r="BQ236">
            <v>138</v>
          </cell>
          <cell r="BR236" t="str">
            <v>NKDC</v>
          </cell>
        </row>
        <row r="237">
          <cell r="A237" t="str">
            <v>E4990</v>
          </cell>
          <cell r="B237">
            <v>2041</v>
          </cell>
          <cell r="C237" t="str">
            <v>South Witham Community Primary School</v>
          </cell>
          <cell r="D237" t="str">
            <v/>
          </cell>
          <cell r="E237">
            <v>2041</v>
          </cell>
          <cell r="F237">
            <v>0</v>
          </cell>
          <cell r="G237">
            <v>0</v>
          </cell>
          <cell r="H237">
            <v>0</v>
          </cell>
          <cell r="I237">
            <v>0</v>
          </cell>
          <cell r="J237">
            <v>0</v>
          </cell>
          <cell r="K237">
            <v>0</v>
          </cell>
          <cell r="L237">
            <v>0</v>
          </cell>
          <cell r="M237">
            <v>0</v>
          </cell>
          <cell r="N237">
            <v>0</v>
          </cell>
          <cell r="O237">
            <v>8</v>
          </cell>
          <cell r="P237">
            <v>12</v>
          </cell>
          <cell r="Q237">
            <v>17</v>
          </cell>
          <cell r="R237">
            <v>15</v>
          </cell>
          <cell r="S237">
            <v>15</v>
          </cell>
          <cell r="T237">
            <v>17</v>
          </cell>
          <cell r="U237">
            <v>2</v>
          </cell>
          <cell r="V237">
            <v>1</v>
          </cell>
          <cell r="W237">
            <v>3</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90</v>
          </cell>
          <cell r="BO237">
            <v>90</v>
          </cell>
          <cell r="BP237">
            <v>90</v>
          </cell>
          <cell r="BQ237">
            <v>90</v>
          </cell>
          <cell r="BR237" t="str">
            <v>SKDC</v>
          </cell>
        </row>
        <row r="238">
          <cell r="A238" t="str">
            <v>E5010</v>
          </cell>
          <cell r="B238">
            <v>3338</v>
          </cell>
          <cell r="C238" t="str">
            <v>Spalding Parish CE Day School</v>
          </cell>
          <cell r="D238" t="str">
            <v/>
          </cell>
          <cell r="E238">
            <v>3338</v>
          </cell>
          <cell r="F238">
            <v>0</v>
          </cell>
          <cell r="G238">
            <v>0</v>
          </cell>
          <cell r="H238">
            <v>0</v>
          </cell>
          <cell r="I238">
            <v>0</v>
          </cell>
          <cell r="J238">
            <v>0</v>
          </cell>
          <cell r="K238">
            <v>0</v>
          </cell>
          <cell r="L238">
            <v>0</v>
          </cell>
          <cell r="M238">
            <v>0</v>
          </cell>
          <cell r="N238">
            <v>0</v>
          </cell>
          <cell r="O238">
            <v>65</v>
          </cell>
          <cell r="P238">
            <v>63</v>
          </cell>
          <cell r="Q238">
            <v>63</v>
          </cell>
          <cell r="R238">
            <v>60</v>
          </cell>
          <cell r="S238">
            <v>58</v>
          </cell>
          <cell r="T238">
            <v>60</v>
          </cell>
          <cell r="U238">
            <v>22</v>
          </cell>
          <cell r="V238">
            <v>23</v>
          </cell>
          <cell r="W238">
            <v>15</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16</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445</v>
          </cell>
          <cell r="BO238">
            <v>437</v>
          </cell>
          <cell r="BP238">
            <v>445</v>
          </cell>
          <cell r="BQ238">
            <v>437</v>
          </cell>
          <cell r="BR238" t="str">
            <v>SHDC</v>
          </cell>
        </row>
        <row r="239">
          <cell r="A239" t="str">
            <v>E5020</v>
          </cell>
          <cell r="B239">
            <v>3339</v>
          </cell>
          <cell r="C239" t="str">
            <v>Spalding St John The Baptist CE Primary School</v>
          </cell>
          <cell r="D239" t="str">
            <v/>
          </cell>
          <cell r="E239">
            <v>3339</v>
          </cell>
          <cell r="F239">
            <v>0</v>
          </cell>
          <cell r="G239">
            <v>0</v>
          </cell>
          <cell r="H239">
            <v>0</v>
          </cell>
          <cell r="I239">
            <v>0</v>
          </cell>
          <cell r="J239">
            <v>0</v>
          </cell>
          <cell r="K239">
            <v>0</v>
          </cell>
          <cell r="L239">
            <v>0</v>
          </cell>
          <cell r="M239">
            <v>0</v>
          </cell>
          <cell r="N239">
            <v>0</v>
          </cell>
          <cell r="O239">
            <v>62</v>
          </cell>
          <cell r="P239">
            <v>64</v>
          </cell>
          <cell r="Q239">
            <v>60</v>
          </cell>
          <cell r="R239">
            <v>62</v>
          </cell>
          <cell r="S239">
            <v>60</v>
          </cell>
          <cell r="T239">
            <v>60</v>
          </cell>
          <cell r="U239">
            <v>15</v>
          </cell>
          <cell r="V239">
            <v>14</v>
          </cell>
          <cell r="W239">
            <v>30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427</v>
          </cell>
          <cell r="BO239">
            <v>427</v>
          </cell>
          <cell r="BP239">
            <v>427</v>
          </cell>
          <cell r="BQ239">
            <v>427</v>
          </cell>
          <cell r="BR239" t="str">
            <v>SHDC</v>
          </cell>
        </row>
        <row r="240">
          <cell r="A240" t="str">
            <v>E5030</v>
          </cell>
          <cell r="B240">
            <v>3343</v>
          </cell>
          <cell r="C240" t="str">
            <v>Spalding Saint Norbert's Catholic Primary School</v>
          </cell>
          <cell r="D240" t="str">
            <v/>
          </cell>
          <cell r="E240">
            <v>3343</v>
          </cell>
          <cell r="F240">
            <v>0</v>
          </cell>
          <cell r="G240">
            <v>0</v>
          </cell>
          <cell r="H240">
            <v>0</v>
          </cell>
          <cell r="I240">
            <v>0</v>
          </cell>
          <cell r="J240">
            <v>0</v>
          </cell>
          <cell r="K240">
            <v>0</v>
          </cell>
          <cell r="L240">
            <v>0</v>
          </cell>
          <cell r="M240">
            <v>0</v>
          </cell>
          <cell r="N240">
            <v>0</v>
          </cell>
          <cell r="O240">
            <v>20</v>
          </cell>
          <cell r="P240">
            <v>22</v>
          </cell>
          <cell r="Q240">
            <v>21</v>
          </cell>
          <cell r="R240">
            <v>20</v>
          </cell>
          <cell r="S240">
            <v>20</v>
          </cell>
          <cell r="T240">
            <v>19</v>
          </cell>
          <cell r="U240">
            <v>6</v>
          </cell>
          <cell r="V240">
            <v>5</v>
          </cell>
          <cell r="W240">
            <v>10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143</v>
          </cell>
          <cell r="BO240">
            <v>143</v>
          </cell>
          <cell r="BP240">
            <v>143</v>
          </cell>
          <cell r="BQ240">
            <v>143</v>
          </cell>
          <cell r="BR240" t="str">
            <v>SHDC</v>
          </cell>
        </row>
        <row r="241">
          <cell r="A241" t="str">
            <v>E5040</v>
          </cell>
          <cell r="B241">
            <v>2109</v>
          </cell>
          <cell r="C241" t="str">
            <v>Spalding St Paul's Community Primary and Nursery School</v>
          </cell>
          <cell r="D241" t="str">
            <v/>
          </cell>
          <cell r="E241">
            <v>2109</v>
          </cell>
          <cell r="F241">
            <v>0</v>
          </cell>
          <cell r="G241">
            <v>0</v>
          </cell>
          <cell r="H241">
            <v>0</v>
          </cell>
          <cell r="I241">
            <v>0</v>
          </cell>
          <cell r="J241">
            <v>0</v>
          </cell>
          <cell r="K241">
            <v>0</v>
          </cell>
          <cell r="L241">
            <v>0</v>
          </cell>
          <cell r="M241">
            <v>0</v>
          </cell>
          <cell r="N241">
            <v>0</v>
          </cell>
          <cell r="O241">
            <v>30</v>
          </cell>
          <cell r="P241">
            <v>30</v>
          </cell>
          <cell r="Q241">
            <v>30</v>
          </cell>
          <cell r="R241">
            <v>29</v>
          </cell>
          <cell r="S241">
            <v>25</v>
          </cell>
          <cell r="T241">
            <v>30</v>
          </cell>
          <cell r="U241">
            <v>10</v>
          </cell>
          <cell r="V241">
            <v>8</v>
          </cell>
          <cell r="W241">
            <v>11</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1</v>
          </cell>
          <cell r="BI241">
            <v>0</v>
          </cell>
          <cell r="BJ241">
            <v>13</v>
          </cell>
          <cell r="BK241">
            <v>12</v>
          </cell>
          <cell r="BL241">
            <v>16</v>
          </cell>
          <cell r="BM241">
            <v>6</v>
          </cell>
          <cell r="BN241">
            <v>251</v>
          </cell>
          <cell r="BO241">
            <v>227</v>
          </cell>
          <cell r="BP241">
            <v>203</v>
          </cell>
          <cell r="BQ241">
            <v>203</v>
          </cell>
          <cell r="BR241" t="str">
            <v>SHDC</v>
          </cell>
        </row>
        <row r="242">
          <cell r="A242" t="str">
            <v>E5050</v>
          </cell>
          <cell r="B242">
            <v>2114</v>
          </cell>
          <cell r="C242" t="str">
            <v>Spalding Monkshouse Primary School</v>
          </cell>
          <cell r="D242" t="str">
            <v/>
          </cell>
          <cell r="E242">
            <v>2114</v>
          </cell>
          <cell r="F242">
            <v>0</v>
          </cell>
          <cell r="G242">
            <v>0</v>
          </cell>
          <cell r="H242">
            <v>0</v>
          </cell>
          <cell r="I242">
            <v>0</v>
          </cell>
          <cell r="J242">
            <v>0</v>
          </cell>
          <cell r="K242">
            <v>0</v>
          </cell>
          <cell r="L242">
            <v>0</v>
          </cell>
          <cell r="M242">
            <v>0</v>
          </cell>
          <cell r="N242">
            <v>0</v>
          </cell>
          <cell r="O242">
            <v>42</v>
          </cell>
          <cell r="P242">
            <v>47</v>
          </cell>
          <cell r="Q242">
            <v>46</v>
          </cell>
          <cell r="R242">
            <v>43</v>
          </cell>
          <cell r="S242">
            <v>40</v>
          </cell>
          <cell r="T242">
            <v>46</v>
          </cell>
          <cell r="U242">
            <v>25</v>
          </cell>
          <cell r="V242">
            <v>6</v>
          </cell>
          <cell r="W242">
            <v>14</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19</v>
          </cell>
          <cell r="BK242">
            <v>11</v>
          </cell>
          <cell r="BL242">
            <v>22</v>
          </cell>
          <cell r="BM242">
            <v>0</v>
          </cell>
          <cell r="BN242">
            <v>361</v>
          </cell>
          <cell r="BO242">
            <v>335</v>
          </cell>
          <cell r="BP242">
            <v>309</v>
          </cell>
          <cell r="BQ242">
            <v>309</v>
          </cell>
          <cell r="BR242" t="str">
            <v>SHDC</v>
          </cell>
        </row>
        <row r="243">
          <cell r="A243" t="str">
            <v>E5070</v>
          </cell>
          <cell r="B243">
            <v>5211</v>
          </cell>
          <cell r="C243" t="str">
            <v>Spalding Primary School</v>
          </cell>
          <cell r="D243" t="str">
            <v/>
          </cell>
          <cell r="E243">
            <v>5211</v>
          </cell>
          <cell r="F243">
            <v>0</v>
          </cell>
          <cell r="G243">
            <v>0</v>
          </cell>
          <cell r="H243">
            <v>0</v>
          </cell>
          <cell r="I243">
            <v>0</v>
          </cell>
          <cell r="J243">
            <v>0</v>
          </cell>
          <cell r="K243">
            <v>0</v>
          </cell>
          <cell r="L243">
            <v>0</v>
          </cell>
          <cell r="M243">
            <v>0</v>
          </cell>
          <cell r="N243">
            <v>0</v>
          </cell>
          <cell r="O243">
            <v>58</v>
          </cell>
          <cell r="P243">
            <v>61</v>
          </cell>
          <cell r="Q243">
            <v>60</v>
          </cell>
          <cell r="R243">
            <v>54</v>
          </cell>
          <cell r="S243">
            <v>60</v>
          </cell>
          <cell r="T243">
            <v>58</v>
          </cell>
          <cell r="U243">
            <v>19</v>
          </cell>
          <cell r="V243">
            <v>17</v>
          </cell>
          <cell r="W243">
            <v>24</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411</v>
          </cell>
          <cell r="BO243">
            <v>411</v>
          </cell>
          <cell r="BP243">
            <v>411</v>
          </cell>
          <cell r="BQ243">
            <v>411</v>
          </cell>
          <cell r="BR243" t="str">
            <v>SHDC</v>
          </cell>
        </row>
        <row r="244">
          <cell r="A244" t="str">
            <v>E5090</v>
          </cell>
          <cell r="B244">
            <v>2193</v>
          </cell>
          <cell r="C244" t="str">
            <v>Spilsby Primary School</v>
          </cell>
          <cell r="D244" t="str">
            <v/>
          </cell>
          <cell r="E244">
            <v>2193</v>
          </cell>
          <cell r="F244">
            <v>0</v>
          </cell>
          <cell r="G244">
            <v>0</v>
          </cell>
          <cell r="H244">
            <v>0</v>
          </cell>
          <cell r="I244">
            <v>0</v>
          </cell>
          <cell r="J244">
            <v>0</v>
          </cell>
          <cell r="K244">
            <v>0</v>
          </cell>
          <cell r="L244">
            <v>0</v>
          </cell>
          <cell r="M244">
            <v>0</v>
          </cell>
          <cell r="N244">
            <v>0</v>
          </cell>
          <cell r="O244">
            <v>37</v>
          </cell>
          <cell r="P244">
            <v>37</v>
          </cell>
          <cell r="Q244">
            <v>33</v>
          </cell>
          <cell r="R244">
            <v>25</v>
          </cell>
          <cell r="S244">
            <v>38</v>
          </cell>
          <cell r="T244">
            <v>31</v>
          </cell>
          <cell r="U244">
            <v>6</v>
          </cell>
          <cell r="V244">
            <v>6</v>
          </cell>
          <cell r="W244">
            <v>17</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7</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237</v>
          </cell>
          <cell r="BO244">
            <v>233.5</v>
          </cell>
          <cell r="BP244">
            <v>237</v>
          </cell>
          <cell r="BQ244">
            <v>233.5</v>
          </cell>
          <cell r="BR244" t="str">
            <v>ELDC</v>
          </cell>
        </row>
        <row r="245">
          <cell r="A245" t="str">
            <v>E5110</v>
          </cell>
          <cell r="B245">
            <v>2066</v>
          </cell>
          <cell r="C245" t="str">
            <v>Stamford The Bluecoat School</v>
          </cell>
          <cell r="D245" t="str">
            <v/>
          </cell>
          <cell r="E245">
            <v>2066</v>
          </cell>
          <cell r="F245">
            <v>0</v>
          </cell>
          <cell r="G245">
            <v>0</v>
          </cell>
          <cell r="H245">
            <v>0</v>
          </cell>
          <cell r="I245">
            <v>0</v>
          </cell>
          <cell r="J245">
            <v>0</v>
          </cell>
          <cell r="K245">
            <v>0</v>
          </cell>
          <cell r="L245">
            <v>0</v>
          </cell>
          <cell r="M245">
            <v>0</v>
          </cell>
          <cell r="N245">
            <v>1</v>
          </cell>
          <cell r="O245">
            <v>39</v>
          </cell>
          <cell r="P245">
            <v>23</v>
          </cell>
          <cell r="Q245">
            <v>25</v>
          </cell>
          <cell r="R245">
            <v>20</v>
          </cell>
          <cell r="S245">
            <v>25</v>
          </cell>
          <cell r="T245">
            <v>29</v>
          </cell>
          <cell r="U245">
            <v>4</v>
          </cell>
          <cell r="V245">
            <v>5</v>
          </cell>
          <cell r="W245">
            <v>9</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1</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17</v>
          </cell>
          <cell r="BK245">
            <v>15</v>
          </cell>
          <cell r="BL245">
            <v>12</v>
          </cell>
          <cell r="BM245">
            <v>7</v>
          </cell>
          <cell r="BN245">
            <v>232</v>
          </cell>
          <cell r="BO245">
            <v>206</v>
          </cell>
          <cell r="BP245">
            <v>181</v>
          </cell>
          <cell r="BQ245">
            <v>180.5</v>
          </cell>
          <cell r="BR245" t="str">
            <v>SKDC</v>
          </cell>
        </row>
        <row r="246">
          <cell r="A246" t="str">
            <v>E5120</v>
          </cell>
          <cell r="B246">
            <v>5205</v>
          </cell>
          <cell r="C246" t="str">
            <v>Stamford The Malcolm Sargent Primary School</v>
          </cell>
          <cell r="D246" t="str">
            <v/>
          </cell>
          <cell r="E246">
            <v>5205</v>
          </cell>
          <cell r="F246">
            <v>0</v>
          </cell>
          <cell r="G246">
            <v>0</v>
          </cell>
          <cell r="H246">
            <v>0</v>
          </cell>
          <cell r="I246">
            <v>0</v>
          </cell>
          <cell r="J246">
            <v>0</v>
          </cell>
          <cell r="K246">
            <v>0</v>
          </cell>
          <cell r="L246">
            <v>0</v>
          </cell>
          <cell r="M246">
            <v>0</v>
          </cell>
          <cell r="N246">
            <v>0</v>
          </cell>
          <cell r="O246">
            <v>75</v>
          </cell>
          <cell r="P246">
            <v>65</v>
          </cell>
          <cell r="Q246">
            <v>73</v>
          </cell>
          <cell r="R246">
            <v>72</v>
          </cell>
          <cell r="S246">
            <v>75</v>
          </cell>
          <cell r="T246">
            <v>68</v>
          </cell>
          <cell r="U246">
            <v>18</v>
          </cell>
          <cell r="V246">
            <v>16</v>
          </cell>
          <cell r="W246">
            <v>29</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491</v>
          </cell>
          <cell r="BO246">
            <v>491</v>
          </cell>
          <cell r="BP246">
            <v>491</v>
          </cell>
          <cell r="BQ246">
            <v>491</v>
          </cell>
          <cell r="BR246" t="str">
            <v>SKDC</v>
          </cell>
        </row>
        <row r="247">
          <cell r="A247" t="str">
            <v>E5130</v>
          </cell>
          <cell r="B247">
            <v>3332</v>
          </cell>
          <cell r="C247" t="str">
            <v>Stamford Saint Augustine's Catholic Primary School</v>
          </cell>
          <cell r="D247" t="str">
            <v/>
          </cell>
          <cell r="E247">
            <v>3332</v>
          </cell>
          <cell r="F247">
            <v>0</v>
          </cell>
          <cell r="G247">
            <v>0</v>
          </cell>
          <cell r="H247">
            <v>0</v>
          </cell>
          <cell r="I247">
            <v>0</v>
          </cell>
          <cell r="J247">
            <v>0</v>
          </cell>
          <cell r="K247">
            <v>0</v>
          </cell>
          <cell r="L247">
            <v>0</v>
          </cell>
          <cell r="M247">
            <v>0</v>
          </cell>
          <cell r="N247">
            <v>0</v>
          </cell>
          <cell r="O247">
            <v>27</v>
          </cell>
          <cell r="P247">
            <v>17</v>
          </cell>
          <cell r="Q247">
            <v>12</v>
          </cell>
          <cell r="R247">
            <v>24</v>
          </cell>
          <cell r="S247">
            <v>17</v>
          </cell>
          <cell r="T247">
            <v>11</v>
          </cell>
          <cell r="U247">
            <v>1</v>
          </cell>
          <cell r="V247">
            <v>4</v>
          </cell>
          <cell r="W247">
            <v>6</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119</v>
          </cell>
          <cell r="BO247">
            <v>119</v>
          </cell>
          <cell r="BP247">
            <v>119</v>
          </cell>
          <cell r="BQ247">
            <v>119</v>
          </cell>
          <cell r="BR247" t="str">
            <v>SKDC</v>
          </cell>
        </row>
        <row r="248">
          <cell r="A248" t="str">
            <v>E5140</v>
          </cell>
          <cell r="B248">
            <v>3325</v>
          </cell>
          <cell r="C248" t="str">
            <v>Stamford Saint George's CE Primary School</v>
          </cell>
          <cell r="D248" t="str">
            <v/>
          </cell>
          <cell r="E248">
            <v>3325</v>
          </cell>
          <cell r="F248">
            <v>0</v>
          </cell>
          <cell r="G248">
            <v>0</v>
          </cell>
          <cell r="H248">
            <v>0</v>
          </cell>
          <cell r="I248">
            <v>0</v>
          </cell>
          <cell r="J248">
            <v>0</v>
          </cell>
          <cell r="K248">
            <v>0</v>
          </cell>
          <cell r="L248">
            <v>0</v>
          </cell>
          <cell r="M248">
            <v>0</v>
          </cell>
          <cell r="N248">
            <v>0</v>
          </cell>
          <cell r="O248">
            <v>30</v>
          </cell>
          <cell r="P248">
            <v>26</v>
          </cell>
          <cell r="Q248">
            <v>27</v>
          </cell>
          <cell r="R248">
            <v>28</v>
          </cell>
          <cell r="S248">
            <v>23</v>
          </cell>
          <cell r="T248">
            <v>17</v>
          </cell>
          <cell r="U248">
            <v>10</v>
          </cell>
          <cell r="V248">
            <v>6</v>
          </cell>
          <cell r="W248">
            <v>9</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176</v>
          </cell>
          <cell r="BO248">
            <v>176</v>
          </cell>
          <cell r="BP248">
            <v>176</v>
          </cell>
          <cell r="BQ248">
            <v>176</v>
          </cell>
          <cell r="BR248" t="str">
            <v>SKDC</v>
          </cell>
        </row>
        <row r="249">
          <cell r="A249" t="str">
            <v>E5150</v>
          </cell>
          <cell r="B249">
            <v>3077</v>
          </cell>
          <cell r="C249" t="str">
            <v>Stamford St Gilbert's CE Primary School</v>
          </cell>
          <cell r="D249" t="str">
            <v/>
          </cell>
          <cell r="E249">
            <v>3077</v>
          </cell>
          <cell r="F249">
            <v>0</v>
          </cell>
          <cell r="G249">
            <v>0</v>
          </cell>
          <cell r="H249">
            <v>0</v>
          </cell>
          <cell r="I249">
            <v>0</v>
          </cell>
          <cell r="J249">
            <v>0</v>
          </cell>
          <cell r="K249">
            <v>0</v>
          </cell>
          <cell r="L249">
            <v>0</v>
          </cell>
          <cell r="M249">
            <v>0</v>
          </cell>
          <cell r="N249">
            <v>0</v>
          </cell>
          <cell r="O249">
            <v>49</v>
          </cell>
          <cell r="P249">
            <v>46</v>
          </cell>
          <cell r="Q249">
            <v>47</v>
          </cell>
          <cell r="R249">
            <v>45</v>
          </cell>
          <cell r="S249">
            <v>47</v>
          </cell>
          <cell r="T249">
            <v>40</v>
          </cell>
          <cell r="U249">
            <v>21</v>
          </cell>
          <cell r="V249">
            <v>15</v>
          </cell>
          <cell r="W249">
            <v>14</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324</v>
          </cell>
          <cell r="BO249">
            <v>324</v>
          </cell>
          <cell r="BP249">
            <v>324</v>
          </cell>
          <cell r="BQ249">
            <v>324</v>
          </cell>
          <cell r="BR249" t="str">
            <v>SKDC</v>
          </cell>
        </row>
        <row r="250">
          <cell r="A250" t="str">
            <v>E5190</v>
          </cell>
          <cell r="B250">
            <v>3171</v>
          </cell>
          <cell r="C250" t="str">
            <v>Stickney CE Primary School</v>
          </cell>
          <cell r="D250" t="str">
            <v/>
          </cell>
          <cell r="E250">
            <v>3171</v>
          </cell>
          <cell r="F250">
            <v>0</v>
          </cell>
          <cell r="G250">
            <v>0</v>
          </cell>
          <cell r="H250">
            <v>0</v>
          </cell>
          <cell r="I250">
            <v>0</v>
          </cell>
          <cell r="J250">
            <v>0</v>
          </cell>
          <cell r="K250">
            <v>0</v>
          </cell>
          <cell r="L250">
            <v>0</v>
          </cell>
          <cell r="M250">
            <v>0</v>
          </cell>
          <cell r="N250">
            <v>0</v>
          </cell>
          <cell r="O250">
            <v>31</v>
          </cell>
          <cell r="P250">
            <v>28</v>
          </cell>
          <cell r="Q250">
            <v>23</v>
          </cell>
          <cell r="R250">
            <v>29</v>
          </cell>
          <cell r="S250">
            <v>20</v>
          </cell>
          <cell r="T250">
            <v>18</v>
          </cell>
          <cell r="U250">
            <v>7</v>
          </cell>
          <cell r="V250">
            <v>6</v>
          </cell>
          <cell r="W250">
            <v>5</v>
          </cell>
          <cell r="X250">
            <v>3</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170</v>
          </cell>
          <cell r="BO250">
            <v>170</v>
          </cell>
          <cell r="BP250">
            <v>170</v>
          </cell>
          <cell r="BQ250">
            <v>170</v>
          </cell>
          <cell r="BR250" t="str">
            <v>ELDC</v>
          </cell>
        </row>
        <row r="251">
          <cell r="A251" t="str">
            <v>E5200</v>
          </cell>
          <cell r="B251">
            <v>2195</v>
          </cell>
          <cell r="C251" t="str">
            <v>Sturton by Stow Primary School</v>
          </cell>
          <cell r="D251" t="str">
            <v/>
          </cell>
          <cell r="E251">
            <v>2195</v>
          </cell>
          <cell r="F251">
            <v>0</v>
          </cell>
          <cell r="G251">
            <v>0</v>
          </cell>
          <cell r="H251">
            <v>0</v>
          </cell>
          <cell r="I251">
            <v>0</v>
          </cell>
          <cell r="J251">
            <v>0</v>
          </cell>
          <cell r="K251">
            <v>0</v>
          </cell>
          <cell r="L251">
            <v>0</v>
          </cell>
          <cell r="M251">
            <v>0</v>
          </cell>
          <cell r="N251">
            <v>0</v>
          </cell>
          <cell r="O251">
            <v>28</v>
          </cell>
          <cell r="P251">
            <v>25</v>
          </cell>
          <cell r="Q251">
            <v>20</v>
          </cell>
          <cell r="R251">
            <v>27</v>
          </cell>
          <cell r="S251">
            <v>23</v>
          </cell>
          <cell r="T251">
            <v>17</v>
          </cell>
          <cell r="U251">
            <v>7</v>
          </cell>
          <cell r="V251">
            <v>4</v>
          </cell>
          <cell r="W251">
            <v>12</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163</v>
          </cell>
          <cell r="BO251">
            <v>163</v>
          </cell>
          <cell r="BP251">
            <v>163</v>
          </cell>
          <cell r="BQ251">
            <v>163</v>
          </cell>
          <cell r="BR251" t="str">
            <v>WLDC</v>
          </cell>
        </row>
        <row r="252">
          <cell r="A252" t="str">
            <v>E5210</v>
          </cell>
          <cell r="B252">
            <v>2102</v>
          </cell>
          <cell r="C252" t="str">
            <v>Surfleet Seas End Primary School</v>
          </cell>
          <cell r="D252" t="str">
            <v/>
          </cell>
          <cell r="E252">
            <v>2102</v>
          </cell>
          <cell r="F252">
            <v>0</v>
          </cell>
          <cell r="G252">
            <v>0</v>
          </cell>
          <cell r="H252">
            <v>0</v>
          </cell>
          <cell r="I252">
            <v>0</v>
          </cell>
          <cell r="J252">
            <v>0</v>
          </cell>
          <cell r="K252">
            <v>0</v>
          </cell>
          <cell r="L252">
            <v>0</v>
          </cell>
          <cell r="M252">
            <v>0</v>
          </cell>
          <cell r="N252">
            <v>0</v>
          </cell>
          <cell r="O252">
            <v>15</v>
          </cell>
          <cell r="P252">
            <v>13</v>
          </cell>
          <cell r="Q252">
            <v>16</v>
          </cell>
          <cell r="R252">
            <v>7</v>
          </cell>
          <cell r="S252">
            <v>11</v>
          </cell>
          <cell r="T252">
            <v>13</v>
          </cell>
          <cell r="U252">
            <v>3</v>
          </cell>
          <cell r="V252">
            <v>5</v>
          </cell>
          <cell r="W252">
            <v>4</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87</v>
          </cell>
          <cell r="BO252">
            <v>87</v>
          </cell>
          <cell r="BP252">
            <v>87</v>
          </cell>
          <cell r="BQ252">
            <v>87</v>
          </cell>
          <cell r="BR252" t="str">
            <v>SHDC</v>
          </cell>
        </row>
        <row r="253">
          <cell r="A253" t="str">
            <v>E5230</v>
          </cell>
          <cell r="B253">
            <v>2238</v>
          </cell>
          <cell r="C253" t="str">
            <v>Sutton Bridge Westmere Community Primary School</v>
          </cell>
          <cell r="D253" t="str">
            <v/>
          </cell>
          <cell r="E253">
            <v>2238</v>
          </cell>
          <cell r="F253">
            <v>0</v>
          </cell>
          <cell r="G253">
            <v>0</v>
          </cell>
          <cell r="H253">
            <v>0</v>
          </cell>
          <cell r="I253">
            <v>0</v>
          </cell>
          <cell r="J253">
            <v>0</v>
          </cell>
          <cell r="K253">
            <v>0</v>
          </cell>
          <cell r="L253">
            <v>0</v>
          </cell>
          <cell r="M253">
            <v>0</v>
          </cell>
          <cell r="N253">
            <v>0</v>
          </cell>
          <cell r="O253">
            <v>38</v>
          </cell>
          <cell r="P253">
            <v>26</v>
          </cell>
          <cell r="Q253">
            <v>33</v>
          </cell>
          <cell r="R253">
            <v>26</v>
          </cell>
          <cell r="S253">
            <v>28</v>
          </cell>
          <cell r="T253">
            <v>32</v>
          </cell>
          <cell r="U253">
            <v>8</v>
          </cell>
          <cell r="V253">
            <v>4</v>
          </cell>
          <cell r="W253">
            <v>10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205</v>
          </cell>
          <cell r="BO253">
            <v>205</v>
          </cell>
          <cell r="BP253">
            <v>205</v>
          </cell>
          <cell r="BQ253">
            <v>205</v>
          </cell>
          <cell r="BR253" t="str">
            <v>SHDC</v>
          </cell>
        </row>
        <row r="254">
          <cell r="A254" t="str">
            <v>E5250</v>
          </cell>
          <cell r="B254">
            <v>2104</v>
          </cell>
          <cell r="C254" t="str">
            <v>Sutton St James Community Primary School</v>
          </cell>
          <cell r="D254" t="str">
            <v/>
          </cell>
          <cell r="E254">
            <v>2104</v>
          </cell>
          <cell r="F254">
            <v>0</v>
          </cell>
          <cell r="G254">
            <v>0</v>
          </cell>
          <cell r="H254">
            <v>0</v>
          </cell>
          <cell r="I254">
            <v>0</v>
          </cell>
          <cell r="J254">
            <v>0</v>
          </cell>
          <cell r="K254">
            <v>0</v>
          </cell>
          <cell r="L254">
            <v>0</v>
          </cell>
          <cell r="M254">
            <v>0</v>
          </cell>
          <cell r="N254">
            <v>0</v>
          </cell>
          <cell r="O254">
            <v>23</v>
          </cell>
          <cell r="P254">
            <v>17</v>
          </cell>
          <cell r="Q254">
            <v>18</v>
          </cell>
          <cell r="R254">
            <v>12</v>
          </cell>
          <cell r="S254">
            <v>21</v>
          </cell>
          <cell r="T254">
            <v>16</v>
          </cell>
          <cell r="U254">
            <v>5</v>
          </cell>
          <cell r="V254">
            <v>3</v>
          </cell>
          <cell r="W254">
            <v>5</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120</v>
          </cell>
          <cell r="BO254">
            <v>120</v>
          </cell>
          <cell r="BP254">
            <v>120</v>
          </cell>
          <cell r="BQ254">
            <v>120</v>
          </cell>
          <cell r="BR254" t="str">
            <v>SHDC</v>
          </cell>
        </row>
        <row r="255">
          <cell r="A255" t="str">
            <v>E5260</v>
          </cell>
          <cell r="B255">
            <v>3103</v>
          </cell>
          <cell r="C255" t="str">
            <v>Sutterton Fourfields CE School</v>
          </cell>
          <cell r="D255" t="str">
            <v/>
          </cell>
          <cell r="E255">
            <v>3103</v>
          </cell>
          <cell r="F255">
            <v>0</v>
          </cell>
          <cell r="G255">
            <v>0</v>
          </cell>
          <cell r="H255">
            <v>0</v>
          </cell>
          <cell r="I255">
            <v>0</v>
          </cell>
          <cell r="J255">
            <v>0</v>
          </cell>
          <cell r="K255">
            <v>0</v>
          </cell>
          <cell r="L255">
            <v>0</v>
          </cell>
          <cell r="M255">
            <v>0</v>
          </cell>
          <cell r="N255">
            <v>0</v>
          </cell>
          <cell r="O255">
            <v>17</v>
          </cell>
          <cell r="P255">
            <v>17</v>
          </cell>
          <cell r="Q255">
            <v>11</v>
          </cell>
          <cell r="R255">
            <v>17</v>
          </cell>
          <cell r="S255">
            <v>4</v>
          </cell>
          <cell r="T255">
            <v>16</v>
          </cell>
          <cell r="U255">
            <v>3</v>
          </cell>
          <cell r="V255">
            <v>3</v>
          </cell>
          <cell r="W255">
            <v>15</v>
          </cell>
          <cell r="X255">
            <v>4</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107</v>
          </cell>
          <cell r="BO255">
            <v>107</v>
          </cell>
          <cell r="BP255">
            <v>107</v>
          </cell>
          <cell r="BQ255">
            <v>107</v>
          </cell>
          <cell r="BR255" t="str">
            <v>BBC</v>
          </cell>
        </row>
        <row r="256">
          <cell r="A256" t="str">
            <v>E5270</v>
          </cell>
          <cell r="B256">
            <v>2196</v>
          </cell>
          <cell r="C256" t="str">
            <v>Sutton-on-Sea Community Primary School</v>
          </cell>
          <cell r="D256" t="str">
            <v/>
          </cell>
          <cell r="E256">
            <v>2196</v>
          </cell>
          <cell r="F256">
            <v>0</v>
          </cell>
          <cell r="G256">
            <v>0</v>
          </cell>
          <cell r="H256">
            <v>0</v>
          </cell>
          <cell r="I256">
            <v>0</v>
          </cell>
          <cell r="J256">
            <v>0</v>
          </cell>
          <cell r="K256">
            <v>0</v>
          </cell>
          <cell r="L256">
            <v>0</v>
          </cell>
          <cell r="M256">
            <v>0</v>
          </cell>
          <cell r="N256">
            <v>0</v>
          </cell>
          <cell r="O256">
            <v>36</v>
          </cell>
          <cell r="P256">
            <v>35</v>
          </cell>
          <cell r="Q256">
            <v>38</v>
          </cell>
          <cell r="R256">
            <v>35</v>
          </cell>
          <cell r="S256">
            <v>29</v>
          </cell>
          <cell r="T256">
            <v>29</v>
          </cell>
          <cell r="U256">
            <v>7</v>
          </cell>
          <cell r="V256">
            <v>8</v>
          </cell>
          <cell r="W256">
            <v>4</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221</v>
          </cell>
          <cell r="BO256">
            <v>221</v>
          </cell>
          <cell r="BP256">
            <v>221</v>
          </cell>
          <cell r="BQ256">
            <v>221</v>
          </cell>
          <cell r="BR256" t="str">
            <v>ELDC</v>
          </cell>
        </row>
        <row r="257">
          <cell r="A257" t="str">
            <v>E5320</v>
          </cell>
          <cell r="B257">
            <v>3066</v>
          </cell>
          <cell r="C257" t="str">
            <v>Swinderby All Saints CE Primary School</v>
          </cell>
          <cell r="D257" t="str">
            <v/>
          </cell>
          <cell r="E257">
            <v>3066</v>
          </cell>
          <cell r="F257">
            <v>0</v>
          </cell>
          <cell r="G257">
            <v>0</v>
          </cell>
          <cell r="H257">
            <v>0</v>
          </cell>
          <cell r="I257">
            <v>0</v>
          </cell>
          <cell r="J257">
            <v>0</v>
          </cell>
          <cell r="K257">
            <v>0</v>
          </cell>
          <cell r="L257">
            <v>0</v>
          </cell>
          <cell r="M257">
            <v>0</v>
          </cell>
          <cell r="N257">
            <v>0</v>
          </cell>
          <cell r="O257">
            <v>13</v>
          </cell>
          <cell r="P257">
            <v>17</v>
          </cell>
          <cell r="Q257">
            <v>15</v>
          </cell>
          <cell r="R257">
            <v>11</v>
          </cell>
          <cell r="S257">
            <v>11</v>
          </cell>
          <cell r="T257">
            <v>5</v>
          </cell>
          <cell r="U257">
            <v>5</v>
          </cell>
          <cell r="V257">
            <v>0</v>
          </cell>
          <cell r="W257">
            <v>3</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80</v>
          </cell>
          <cell r="BO257">
            <v>80</v>
          </cell>
          <cell r="BP257">
            <v>80</v>
          </cell>
          <cell r="BQ257">
            <v>80</v>
          </cell>
          <cell r="BR257" t="str">
            <v>NKDC</v>
          </cell>
        </row>
        <row r="258">
          <cell r="A258" t="str">
            <v>E5330</v>
          </cell>
          <cell r="B258">
            <v>3102</v>
          </cell>
          <cell r="C258" t="str">
            <v>Swineshead St Mary's CE Primary School</v>
          </cell>
          <cell r="D258" t="str">
            <v/>
          </cell>
          <cell r="E258">
            <v>3102</v>
          </cell>
          <cell r="F258">
            <v>0</v>
          </cell>
          <cell r="G258">
            <v>0</v>
          </cell>
          <cell r="H258">
            <v>0</v>
          </cell>
          <cell r="I258">
            <v>0</v>
          </cell>
          <cell r="J258">
            <v>0</v>
          </cell>
          <cell r="K258">
            <v>0</v>
          </cell>
          <cell r="L258">
            <v>0</v>
          </cell>
          <cell r="M258">
            <v>0</v>
          </cell>
          <cell r="N258">
            <v>0</v>
          </cell>
          <cell r="O258">
            <v>34</v>
          </cell>
          <cell r="P258">
            <v>36</v>
          </cell>
          <cell r="Q258">
            <v>35</v>
          </cell>
          <cell r="R258">
            <v>28</v>
          </cell>
          <cell r="S258">
            <v>30</v>
          </cell>
          <cell r="T258">
            <v>33</v>
          </cell>
          <cell r="U258">
            <v>8</v>
          </cell>
          <cell r="V258">
            <v>7</v>
          </cell>
          <cell r="W258">
            <v>18</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229</v>
          </cell>
          <cell r="BO258">
            <v>229</v>
          </cell>
          <cell r="BP258">
            <v>229</v>
          </cell>
          <cell r="BQ258">
            <v>229</v>
          </cell>
          <cell r="BR258" t="str">
            <v>BBC</v>
          </cell>
        </row>
        <row r="259">
          <cell r="A259" t="str">
            <v>E5390</v>
          </cell>
          <cell r="B259">
            <v>3146</v>
          </cell>
          <cell r="C259" t="str">
            <v>Tattershall Holy Trinity CE Primary School</v>
          </cell>
          <cell r="D259" t="str">
            <v/>
          </cell>
          <cell r="E259">
            <v>3146</v>
          </cell>
          <cell r="F259">
            <v>0</v>
          </cell>
          <cell r="G259">
            <v>0</v>
          </cell>
          <cell r="H259">
            <v>0</v>
          </cell>
          <cell r="I259">
            <v>0</v>
          </cell>
          <cell r="J259">
            <v>0</v>
          </cell>
          <cell r="K259">
            <v>0</v>
          </cell>
          <cell r="L259">
            <v>0</v>
          </cell>
          <cell r="M259">
            <v>0</v>
          </cell>
          <cell r="N259">
            <v>0</v>
          </cell>
          <cell r="O259">
            <v>15</v>
          </cell>
          <cell r="P259">
            <v>16</v>
          </cell>
          <cell r="Q259">
            <v>16</v>
          </cell>
          <cell r="R259">
            <v>15</v>
          </cell>
          <cell r="S259">
            <v>13</v>
          </cell>
          <cell r="T259">
            <v>15</v>
          </cell>
          <cell r="U259">
            <v>4</v>
          </cell>
          <cell r="V259">
            <v>7</v>
          </cell>
          <cell r="W259">
            <v>5</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106</v>
          </cell>
          <cell r="BO259">
            <v>106</v>
          </cell>
          <cell r="BP259">
            <v>106</v>
          </cell>
          <cell r="BQ259">
            <v>106</v>
          </cell>
          <cell r="BR259" t="str">
            <v>ELDC</v>
          </cell>
        </row>
        <row r="260">
          <cell r="A260" t="str">
            <v>E5400</v>
          </cell>
          <cell r="B260">
            <v>2215</v>
          </cell>
          <cell r="C260" t="str">
            <v>The Tattershall Primary School</v>
          </cell>
          <cell r="D260" t="str">
            <v/>
          </cell>
          <cell r="E260">
            <v>2215</v>
          </cell>
          <cell r="F260">
            <v>0</v>
          </cell>
          <cell r="G260">
            <v>0</v>
          </cell>
          <cell r="H260">
            <v>0</v>
          </cell>
          <cell r="I260">
            <v>0</v>
          </cell>
          <cell r="J260">
            <v>0</v>
          </cell>
          <cell r="K260">
            <v>0</v>
          </cell>
          <cell r="L260">
            <v>0</v>
          </cell>
          <cell r="M260">
            <v>0</v>
          </cell>
          <cell r="N260">
            <v>0</v>
          </cell>
          <cell r="O260">
            <v>10</v>
          </cell>
          <cell r="P260">
            <v>20</v>
          </cell>
          <cell r="Q260">
            <v>16</v>
          </cell>
          <cell r="R260">
            <v>11</v>
          </cell>
          <cell r="S260">
            <v>11</v>
          </cell>
          <cell r="T260">
            <v>16</v>
          </cell>
          <cell r="U260">
            <v>5</v>
          </cell>
          <cell r="V260">
            <v>1</v>
          </cell>
          <cell r="W260">
            <v>5</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95</v>
          </cell>
          <cell r="BO260">
            <v>95</v>
          </cell>
          <cell r="BP260">
            <v>95</v>
          </cell>
          <cell r="BQ260">
            <v>95</v>
          </cell>
          <cell r="BR260" t="str">
            <v>ELDC</v>
          </cell>
        </row>
        <row r="261">
          <cell r="A261" t="str">
            <v>E5410</v>
          </cell>
          <cell r="B261">
            <v>2197</v>
          </cell>
          <cell r="C261" t="str">
            <v>Tealby School</v>
          </cell>
          <cell r="D261" t="str">
            <v/>
          </cell>
          <cell r="E261">
            <v>2197</v>
          </cell>
          <cell r="F261">
            <v>0</v>
          </cell>
          <cell r="G261">
            <v>0</v>
          </cell>
          <cell r="H261">
            <v>0</v>
          </cell>
          <cell r="I261">
            <v>0</v>
          </cell>
          <cell r="J261">
            <v>0</v>
          </cell>
          <cell r="K261">
            <v>0</v>
          </cell>
          <cell r="L261">
            <v>0</v>
          </cell>
          <cell r="M261">
            <v>0</v>
          </cell>
          <cell r="N261">
            <v>0</v>
          </cell>
          <cell r="O261">
            <v>11</v>
          </cell>
          <cell r="P261">
            <v>8</v>
          </cell>
          <cell r="Q261">
            <v>11</v>
          </cell>
          <cell r="R261">
            <v>10</v>
          </cell>
          <cell r="S261">
            <v>8</v>
          </cell>
          <cell r="T261">
            <v>6</v>
          </cell>
          <cell r="U261">
            <v>2</v>
          </cell>
          <cell r="V261">
            <v>3</v>
          </cell>
          <cell r="W261">
            <v>4</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63</v>
          </cell>
          <cell r="BO261">
            <v>63</v>
          </cell>
          <cell r="BP261">
            <v>63</v>
          </cell>
          <cell r="BQ261">
            <v>63</v>
          </cell>
          <cell r="BR261" t="str">
            <v>WLDC</v>
          </cell>
        </row>
        <row r="262">
          <cell r="A262" t="str">
            <v>E5420</v>
          </cell>
          <cell r="B262">
            <v>2198</v>
          </cell>
          <cell r="C262" t="str">
            <v>Tetford The Edward Richardson Primary School</v>
          </cell>
          <cell r="D262" t="str">
            <v/>
          </cell>
          <cell r="E262">
            <v>2198</v>
          </cell>
          <cell r="F262">
            <v>0</v>
          </cell>
          <cell r="G262">
            <v>0</v>
          </cell>
          <cell r="H262">
            <v>0</v>
          </cell>
          <cell r="I262">
            <v>0</v>
          </cell>
          <cell r="J262">
            <v>0</v>
          </cell>
          <cell r="K262">
            <v>0</v>
          </cell>
          <cell r="L262">
            <v>0</v>
          </cell>
          <cell r="M262">
            <v>0</v>
          </cell>
          <cell r="N262">
            <v>0</v>
          </cell>
          <cell r="O262">
            <v>17</v>
          </cell>
          <cell r="P262">
            <v>15</v>
          </cell>
          <cell r="Q262">
            <v>17</v>
          </cell>
          <cell r="R262">
            <v>14</v>
          </cell>
          <cell r="S262">
            <v>16</v>
          </cell>
          <cell r="T262">
            <v>14</v>
          </cell>
          <cell r="U262">
            <v>2</v>
          </cell>
          <cell r="V262">
            <v>2</v>
          </cell>
          <cell r="W262">
            <v>7</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104</v>
          </cell>
          <cell r="BO262">
            <v>104</v>
          </cell>
          <cell r="BP262">
            <v>104</v>
          </cell>
          <cell r="BQ262">
            <v>104</v>
          </cell>
          <cell r="BR262" t="str">
            <v>ELDC</v>
          </cell>
        </row>
        <row r="263">
          <cell r="A263" t="str">
            <v>E5430</v>
          </cell>
          <cell r="B263">
            <v>2199</v>
          </cell>
          <cell r="C263" t="str">
            <v>Tetney Primary School</v>
          </cell>
          <cell r="D263" t="str">
            <v/>
          </cell>
          <cell r="E263">
            <v>2199</v>
          </cell>
          <cell r="F263">
            <v>0</v>
          </cell>
          <cell r="G263">
            <v>0</v>
          </cell>
          <cell r="H263">
            <v>0</v>
          </cell>
          <cell r="I263">
            <v>0</v>
          </cell>
          <cell r="J263">
            <v>0</v>
          </cell>
          <cell r="K263">
            <v>0</v>
          </cell>
          <cell r="L263">
            <v>0</v>
          </cell>
          <cell r="M263">
            <v>0</v>
          </cell>
          <cell r="N263">
            <v>0</v>
          </cell>
          <cell r="O263">
            <v>25</v>
          </cell>
          <cell r="P263">
            <v>14</v>
          </cell>
          <cell r="Q263">
            <v>19</v>
          </cell>
          <cell r="R263">
            <v>18</v>
          </cell>
          <cell r="S263">
            <v>10</v>
          </cell>
          <cell r="T263">
            <v>14</v>
          </cell>
          <cell r="U263">
            <v>6</v>
          </cell>
          <cell r="V263">
            <v>6</v>
          </cell>
          <cell r="W263">
            <v>9</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121</v>
          </cell>
          <cell r="BO263">
            <v>121</v>
          </cell>
          <cell r="BP263">
            <v>121</v>
          </cell>
          <cell r="BQ263">
            <v>121</v>
          </cell>
          <cell r="BR263" t="str">
            <v>ELDC</v>
          </cell>
        </row>
        <row r="264">
          <cell r="A264" t="str">
            <v>E5440</v>
          </cell>
          <cell r="B264">
            <v>2220</v>
          </cell>
          <cell r="C264" t="str">
            <v>Theddlethorpe Primary School</v>
          </cell>
          <cell r="D264" t="str">
            <v/>
          </cell>
          <cell r="E264">
            <v>2220</v>
          </cell>
          <cell r="F264">
            <v>0</v>
          </cell>
          <cell r="G264">
            <v>0</v>
          </cell>
          <cell r="H264">
            <v>0</v>
          </cell>
          <cell r="I264">
            <v>0</v>
          </cell>
          <cell r="J264">
            <v>0</v>
          </cell>
          <cell r="K264">
            <v>0</v>
          </cell>
          <cell r="L264">
            <v>0</v>
          </cell>
          <cell r="M264">
            <v>0</v>
          </cell>
          <cell r="N264">
            <v>0</v>
          </cell>
          <cell r="O264">
            <v>10</v>
          </cell>
          <cell r="P264">
            <v>16</v>
          </cell>
          <cell r="Q264">
            <v>13</v>
          </cell>
          <cell r="R264">
            <v>10</v>
          </cell>
          <cell r="S264">
            <v>8</v>
          </cell>
          <cell r="T264">
            <v>6</v>
          </cell>
          <cell r="U264">
            <v>6</v>
          </cell>
          <cell r="V264">
            <v>2</v>
          </cell>
          <cell r="W264">
            <v>4</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75</v>
          </cell>
          <cell r="BO264">
            <v>75</v>
          </cell>
          <cell r="BP264">
            <v>75</v>
          </cell>
          <cell r="BQ264">
            <v>75</v>
          </cell>
          <cell r="BR264" t="str">
            <v>ELDC</v>
          </cell>
        </row>
        <row r="265">
          <cell r="A265" t="str">
            <v>E5450</v>
          </cell>
          <cell r="B265">
            <v>3068</v>
          </cell>
          <cell r="C265" t="str">
            <v>Thorpe-on-the-Hill St Michael's CE Primary School</v>
          </cell>
          <cell r="D265" t="str">
            <v/>
          </cell>
          <cell r="E265">
            <v>3068</v>
          </cell>
          <cell r="F265">
            <v>0</v>
          </cell>
          <cell r="G265">
            <v>0</v>
          </cell>
          <cell r="H265">
            <v>0</v>
          </cell>
          <cell r="I265">
            <v>0</v>
          </cell>
          <cell r="J265">
            <v>0</v>
          </cell>
          <cell r="K265">
            <v>0</v>
          </cell>
          <cell r="L265">
            <v>0</v>
          </cell>
          <cell r="M265">
            <v>0</v>
          </cell>
          <cell r="N265">
            <v>0</v>
          </cell>
          <cell r="O265">
            <v>13</v>
          </cell>
          <cell r="P265">
            <v>18</v>
          </cell>
          <cell r="Q265">
            <v>24</v>
          </cell>
          <cell r="R265">
            <v>25</v>
          </cell>
          <cell r="S265">
            <v>16</v>
          </cell>
          <cell r="T265">
            <v>18</v>
          </cell>
          <cell r="U265">
            <v>8</v>
          </cell>
          <cell r="V265">
            <v>7</v>
          </cell>
          <cell r="W265">
            <v>8</v>
          </cell>
          <cell r="X265">
            <v>2</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139</v>
          </cell>
          <cell r="BO265">
            <v>139</v>
          </cell>
          <cell r="BP265">
            <v>139</v>
          </cell>
          <cell r="BQ265">
            <v>139</v>
          </cell>
          <cell r="BR265" t="str">
            <v>NKDC</v>
          </cell>
        </row>
        <row r="266">
          <cell r="A266" t="str">
            <v>E5470</v>
          </cell>
          <cell r="B266">
            <v>2046</v>
          </cell>
          <cell r="C266" t="str">
            <v>Thurlby Community Primary School</v>
          </cell>
          <cell r="D266" t="str">
            <v/>
          </cell>
          <cell r="E266">
            <v>2046</v>
          </cell>
          <cell r="F266">
            <v>0</v>
          </cell>
          <cell r="G266">
            <v>0</v>
          </cell>
          <cell r="H266">
            <v>0</v>
          </cell>
          <cell r="I266">
            <v>0</v>
          </cell>
          <cell r="J266">
            <v>0</v>
          </cell>
          <cell r="K266">
            <v>0</v>
          </cell>
          <cell r="L266">
            <v>0</v>
          </cell>
          <cell r="M266">
            <v>0</v>
          </cell>
          <cell r="N266">
            <v>0</v>
          </cell>
          <cell r="O266">
            <v>34</v>
          </cell>
          <cell r="P266">
            <v>30</v>
          </cell>
          <cell r="Q266">
            <v>31</v>
          </cell>
          <cell r="R266">
            <v>30</v>
          </cell>
          <cell r="S266">
            <v>24</v>
          </cell>
          <cell r="T266">
            <v>26</v>
          </cell>
          <cell r="U266">
            <v>10</v>
          </cell>
          <cell r="V266">
            <v>7</v>
          </cell>
          <cell r="W266">
            <v>10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202</v>
          </cell>
          <cell r="BO266">
            <v>202</v>
          </cell>
          <cell r="BP266">
            <v>202</v>
          </cell>
          <cell r="BQ266">
            <v>202</v>
          </cell>
          <cell r="BR266" t="str">
            <v>SKDC</v>
          </cell>
        </row>
        <row r="267">
          <cell r="A267" t="str">
            <v>E5480</v>
          </cell>
          <cell r="B267">
            <v>2201</v>
          </cell>
          <cell r="C267" t="str">
            <v>Toynton All Saints Primary School</v>
          </cell>
          <cell r="D267" t="str">
            <v/>
          </cell>
          <cell r="E267">
            <v>2201</v>
          </cell>
          <cell r="F267">
            <v>0</v>
          </cell>
          <cell r="G267">
            <v>0</v>
          </cell>
          <cell r="H267">
            <v>0</v>
          </cell>
          <cell r="I267">
            <v>0</v>
          </cell>
          <cell r="J267">
            <v>0</v>
          </cell>
          <cell r="K267">
            <v>0</v>
          </cell>
          <cell r="L267">
            <v>0</v>
          </cell>
          <cell r="M267">
            <v>0</v>
          </cell>
          <cell r="N267">
            <v>0</v>
          </cell>
          <cell r="O267">
            <v>13</v>
          </cell>
          <cell r="P267">
            <v>15</v>
          </cell>
          <cell r="Q267">
            <v>12</v>
          </cell>
          <cell r="R267">
            <v>7</v>
          </cell>
          <cell r="S267">
            <v>8</v>
          </cell>
          <cell r="T267">
            <v>7</v>
          </cell>
          <cell r="U267">
            <v>2</v>
          </cell>
          <cell r="V267">
            <v>1</v>
          </cell>
          <cell r="W267">
            <v>2</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67</v>
          </cell>
          <cell r="BO267">
            <v>67</v>
          </cell>
          <cell r="BP267">
            <v>67</v>
          </cell>
          <cell r="BQ267">
            <v>67</v>
          </cell>
          <cell r="BR267" t="str">
            <v>ELDC</v>
          </cell>
        </row>
        <row r="268">
          <cell r="A268" t="str">
            <v>E5500</v>
          </cell>
          <cell r="B268">
            <v>3340</v>
          </cell>
          <cell r="C268" t="str">
            <v>Tydd St Mary CE Primary School</v>
          </cell>
          <cell r="D268" t="str">
            <v/>
          </cell>
          <cell r="E268">
            <v>3340</v>
          </cell>
          <cell r="F268">
            <v>0</v>
          </cell>
          <cell r="G268">
            <v>0</v>
          </cell>
          <cell r="H268">
            <v>0</v>
          </cell>
          <cell r="I268">
            <v>0</v>
          </cell>
          <cell r="J268">
            <v>0</v>
          </cell>
          <cell r="K268">
            <v>0</v>
          </cell>
          <cell r="L268">
            <v>0</v>
          </cell>
          <cell r="M268">
            <v>0</v>
          </cell>
          <cell r="N268">
            <v>0</v>
          </cell>
          <cell r="O268">
            <v>13</v>
          </cell>
          <cell r="P268">
            <v>12</v>
          </cell>
          <cell r="Q268">
            <v>10</v>
          </cell>
          <cell r="R268">
            <v>14</v>
          </cell>
          <cell r="S268">
            <v>7</v>
          </cell>
          <cell r="T268">
            <v>16</v>
          </cell>
          <cell r="U268">
            <v>4</v>
          </cell>
          <cell r="V268">
            <v>5</v>
          </cell>
          <cell r="W268">
            <v>4</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85</v>
          </cell>
          <cell r="BO268">
            <v>85</v>
          </cell>
          <cell r="BP268">
            <v>85</v>
          </cell>
          <cell r="BQ268">
            <v>85</v>
          </cell>
          <cell r="BR268" t="str">
            <v>SHDC</v>
          </cell>
        </row>
        <row r="269">
          <cell r="A269" t="str">
            <v>E5530</v>
          </cell>
          <cell r="B269">
            <v>3070</v>
          </cell>
          <cell r="C269" t="str">
            <v>Uffington CE Primary School</v>
          </cell>
          <cell r="D269" t="str">
            <v/>
          </cell>
          <cell r="E269">
            <v>3070</v>
          </cell>
          <cell r="F269">
            <v>0</v>
          </cell>
          <cell r="G269">
            <v>0</v>
          </cell>
          <cell r="H269">
            <v>0</v>
          </cell>
          <cell r="I269">
            <v>0</v>
          </cell>
          <cell r="J269">
            <v>0</v>
          </cell>
          <cell r="K269">
            <v>0</v>
          </cell>
          <cell r="L269">
            <v>0</v>
          </cell>
          <cell r="M269">
            <v>0</v>
          </cell>
          <cell r="N269">
            <v>0</v>
          </cell>
          <cell r="O269">
            <v>9</v>
          </cell>
          <cell r="P269">
            <v>11</v>
          </cell>
          <cell r="Q269">
            <v>15</v>
          </cell>
          <cell r="R269">
            <v>14</v>
          </cell>
          <cell r="S269">
            <v>12</v>
          </cell>
          <cell r="T269">
            <v>8</v>
          </cell>
          <cell r="U269">
            <v>7</v>
          </cell>
          <cell r="V269">
            <v>1</v>
          </cell>
          <cell r="W269">
            <v>6</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83</v>
          </cell>
          <cell r="BO269">
            <v>83</v>
          </cell>
          <cell r="BP269">
            <v>83</v>
          </cell>
          <cell r="BQ269">
            <v>83</v>
          </cell>
          <cell r="BR269" t="str">
            <v>SKDC</v>
          </cell>
        </row>
        <row r="270">
          <cell r="A270" t="str">
            <v>E5540</v>
          </cell>
          <cell r="B270">
            <v>2202</v>
          </cell>
          <cell r="C270" t="str">
            <v>Utterby Primary School</v>
          </cell>
          <cell r="D270" t="str">
            <v/>
          </cell>
          <cell r="E270">
            <v>2202</v>
          </cell>
          <cell r="F270">
            <v>0</v>
          </cell>
          <cell r="G270">
            <v>0</v>
          </cell>
          <cell r="H270">
            <v>0</v>
          </cell>
          <cell r="I270">
            <v>0</v>
          </cell>
          <cell r="J270">
            <v>0</v>
          </cell>
          <cell r="K270">
            <v>0</v>
          </cell>
          <cell r="L270">
            <v>0</v>
          </cell>
          <cell r="M270">
            <v>0</v>
          </cell>
          <cell r="N270">
            <v>0</v>
          </cell>
          <cell r="O270">
            <v>4</v>
          </cell>
          <cell r="P270">
            <v>7</v>
          </cell>
          <cell r="Q270">
            <v>10</v>
          </cell>
          <cell r="R270">
            <v>7</v>
          </cell>
          <cell r="S270">
            <v>6</v>
          </cell>
          <cell r="T270">
            <v>4</v>
          </cell>
          <cell r="U270">
            <v>1</v>
          </cell>
          <cell r="V270">
            <v>1</v>
          </cell>
          <cell r="W270">
            <v>4</v>
          </cell>
          <cell r="X270">
            <v>3</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47</v>
          </cell>
          <cell r="BO270">
            <v>47</v>
          </cell>
          <cell r="BP270">
            <v>47</v>
          </cell>
          <cell r="BQ270">
            <v>47</v>
          </cell>
          <cell r="BR270" t="str">
            <v>ELDC</v>
          </cell>
        </row>
        <row r="271">
          <cell r="A271" t="str">
            <v>E5560</v>
          </cell>
          <cell r="B271">
            <v>2203</v>
          </cell>
          <cell r="C271" t="str">
            <v>Waddingham Primary School</v>
          </cell>
          <cell r="D271" t="str">
            <v/>
          </cell>
          <cell r="E271">
            <v>2203</v>
          </cell>
          <cell r="F271">
            <v>0</v>
          </cell>
          <cell r="G271">
            <v>0</v>
          </cell>
          <cell r="H271">
            <v>0</v>
          </cell>
          <cell r="I271">
            <v>0</v>
          </cell>
          <cell r="J271">
            <v>0</v>
          </cell>
          <cell r="K271">
            <v>0</v>
          </cell>
          <cell r="L271">
            <v>0</v>
          </cell>
          <cell r="M271">
            <v>0</v>
          </cell>
          <cell r="N271">
            <v>0</v>
          </cell>
          <cell r="O271">
            <v>11</v>
          </cell>
          <cell r="P271">
            <v>10</v>
          </cell>
          <cell r="Q271">
            <v>11</v>
          </cell>
          <cell r="R271">
            <v>8</v>
          </cell>
          <cell r="S271">
            <v>11</v>
          </cell>
          <cell r="T271">
            <v>13</v>
          </cell>
          <cell r="U271">
            <v>1</v>
          </cell>
          <cell r="V271">
            <v>0</v>
          </cell>
          <cell r="W271">
            <v>3</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68</v>
          </cell>
          <cell r="BO271">
            <v>68</v>
          </cell>
          <cell r="BP271">
            <v>68</v>
          </cell>
          <cell r="BQ271">
            <v>68</v>
          </cell>
          <cell r="BR271" t="str">
            <v>WLDC</v>
          </cell>
        </row>
        <row r="272">
          <cell r="A272" t="str">
            <v>E5570</v>
          </cell>
          <cell r="B272">
            <v>2061</v>
          </cell>
          <cell r="C272" t="str">
            <v>Waddington Redwood Primary School</v>
          </cell>
          <cell r="D272" t="str">
            <v/>
          </cell>
          <cell r="E272">
            <v>2061</v>
          </cell>
          <cell r="F272">
            <v>0</v>
          </cell>
          <cell r="G272">
            <v>0</v>
          </cell>
          <cell r="H272">
            <v>0</v>
          </cell>
          <cell r="I272">
            <v>0</v>
          </cell>
          <cell r="J272">
            <v>0</v>
          </cell>
          <cell r="K272">
            <v>0</v>
          </cell>
          <cell r="L272">
            <v>0</v>
          </cell>
          <cell r="M272">
            <v>0</v>
          </cell>
          <cell r="N272">
            <v>0</v>
          </cell>
          <cell r="O272">
            <v>42</v>
          </cell>
          <cell r="P272">
            <v>45</v>
          </cell>
          <cell r="Q272">
            <v>45</v>
          </cell>
          <cell r="R272">
            <v>29</v>
          </cell>
          <cell r="S272">
            <v>40</v>
          </cell>
          <cell r="T272">
            <v>46</v>
          </cell>
          <cell r="U272">
            <v>14</v>
          </cell>
          <cell r="V272">
            <v>6</v>
          </cell>
          <cell r="W272">
            <v>16</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283</v>
          </cell>
          <cell r="BO272">
            <v>283</v>
          </cell>
          <cell r="BP272">
            <v>283</v>
          </cell>
          <cell r="BQ272">
            <v>283</v>
          </cell>
          <cell r="BR272" t="str">
            <v>NKDC</v>
          </cell>
        </row>
        <row r="273">
          <cell r="A273" t="str">
            <v>E5580</v>
          </cell>
          <cell r="B273">
            <v>2240</v>
          </cell>
          <cell r="C273" t="str">
            <v>Waddington All Saints Primary School</v>
          </cell>
          <cell r="D273" t="str">
            <v/>
          </cell>
          <cell r="E273">
            <v>2240</v>
          </cell>
          <cell r="F273">
            <v>0</v>
          </cell>
          <cell r="G273">
            <v>0</v>
          </cell>
          <cell r="H273">
            <v>0</v>
          </cell>
          <cell r="I273">
            <v>0</v>
          </cell>
          <cell r="J273">
            <v>0</v>
          </cell>
          <cell r="K273">
            <v>0</v>
          </cell>
          <cell r="L273">
            <v>0</v>
          </cell>
          <cell r="M273">
            <v>0</v>
          </cell>
          <cell r="N273">
            <v>0</v>
          </cell>
          <cell r="O273">
            <v>61</v>
          </cell>
          <cell r="P273">
            <v>57</v>
          </cell>
          <cell r="Q273">
            <v>59</v>
          </cell>
          <cell r="R273">
            <v>46</v>
          </cell>
          <cell r="S273">
            <v>50</v>
          </cell>
          <cell r="T273">
            <v>50</v>
          </cell>
          <cell r="U273">
            <v>16</v>
          </cell>
          <cell r="V273">
            <v>12</v>
          </cell>
          <cell r="W273">
            <v>21</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372</v>
          </cell>
          <cell r="BO273">
            <v>372</v>
          </cell>
          <cell r="BP273">
            <v>372</v>
          </cell>
          <cell r="BQ273">
            <v>372</v>
          </cell>
          <cell r="BR273" t="str">
            <v>NKDC</v>
          </cell>
        </row>
        <row r="274">
          <cell r="A274" t="str">
            <v>E5600</v>
          </cell>
          <cell r="B274">
            <v>5201</v>
          </cell>
          <cell r="C274" t="str">
            <v>Wainfleet Magdalen CE/Methodist School</v>
          </cell>
          <cell r="D274" t="str">
            <v/>
          </cell>
          <cell r="E274">
            <v>5201</v>
          </cell>
          <cell r="F274">
            <v>0</v>
          </cell>
          <cell r="G274">
            <v>0</v>
          </cell>
          <cell r="H274">
            <v>0</v>
          </cell>
          <cell r="I274">
            <v>0</v>
          </cell>
          <cell r="J274">
            <v>0</v>
          </cell>
          <cell r="K274">
            <v>0</v>
          </cell>
          <cell r="L274">
            <v>0</v>
          </cell>
          <cell r="M274">
            <v>0</v>
          </cell>
          <cell r="N274">
            <v>0</v>
          </cell>
          <cell r="O274">
            <v>35</v>
          </cell>
          <cell r="P274">
            <v>38</v>
          </cell>
          <cell r="Q274">
            <v>34</v>
          </cell>
          <cell r="R274">
            <v>21</v>
          </cell>
          <cell r="S274">
            <v>24</v>
          </cell>
          <cell r="T274">
            <v>30</v>
          </cell>
          <cell r="U274">
            <v>6</v>
          </cell>
          <cell r="V274">
            <v>6</v>
          </cell>
          <cell r="W274">
            <v>16</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210</v>
          </cell>
          <cell r="BO274">
            <v>210</v>
          </cell>
          <cell r="BP274">
            <v>210</v>
          </cell>
          <cell r="BQ274">
            <v>210</v>
          </cell>
          <cell r="BR274" t="str">
            <v>ELDC</v>
          </cell>
        </row>
        <row r="275">
          <cell r="A275" t="str">
            <v>E5640</v>
          </cell>
          <cell r="B275">
            <v>2050</v>
          </cell>
          <cell r="C275" t="str">
            <v>Walcott Primary School</v>
          </cell>
          <cell r="D275" t="str">
            <v/>
          </cell>
          <cell r="E275">
            <v>2050</v>
          </cell>
          <cell r="F275">
            <v>0</v>
          </cell>
          <cell r="G275">
            <v>0</v>
          </cell>
          <cell r="H275">
            <v>0</v>
          </cell>
          <cell r="I275">
            <v>0</v>
          </cell>
          <cell r="J275">
            <v>0</v>
          </cell>
          <cell r="K275">
            <v>0</v>
          </cell>
          <cell r="L275">
            <v>0</v>
          </cell>
          <cell r="M275">
            <v>0</v>
          </cell>
          <cell r="N275">
            <v>0</v>
          </cell>
          <cell r="O275">
            <v>14</v>
          </cell>
          <cell r="P275">
            <v>11</v>
          </cell>
          <cell r="Q275">
            <v>11</v>
          </cell>
          <cell r="R275">
            <v>13</v>
          </cell>
          <cell r="S275">
            <v>13</v>
          </cell>
          <cell r="T275">
            <v>9</v>
          </cell>
          <cell r="U275">
            <v>5</v>
          </cell>
          <cell r="V275">
            <v>3</v>
          </cell>
          <cell r="W275">
            <v>2</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81</v>
          </cell>
          <cell r="BO275">
            <v>81</v>
          </cell>
          <cell r="BP275">
            <v>81</v>
          </cell>
          <cell r="BQ275">
            <v>81</v>
          </cell>
          <cell r="BR275" t="str">
            <v>NKDC</v>
          </cell>
        </row>
        <row r="276">
          <cell r="A276" t="str">
            <v>E5670</v>
          </cell>
          <cell r="B276">
            <v>3071</v>
          </cell>
          <cell r="C276" t="str">
            <v>Welbourn CE Primary School</v>
          </cell>
          <cell r="D276" t="str">
            <v/>
          </cell>
          <cell r="E276">
            <v>3071</v>
          </cell>
          <cell r="F276">
            <v>0</v>
          </cell>
          <cell r="G276">
            <v>0</v>
          </cell>
          <cell r="H276">
            <v>0</v>
          </cell>
          <cell r="I276">
            <v>0</v>
          </cell>
          <cell r="J276">
            <v>0</v>
          </cell>
          <cell r="K276">
            <v>0</v>
          </cell>
          <cell r="L276">
            <v>0</v>
          </cell>
          <cell r="M276">
            <v>0</v>
          </cell>
          <cell r="N276">
            <v>0</v>
          </cell>
          <cell r="O276">
            <v>15</v>
          </cell>
          <cell r="P276">
            <v>6</v>
          </cell>
          <cell r="Q276">
            <v>14</v>
          </cell>
          <cell r="R276">
            <v>9</v>
          </cell>
          <cell r="S276">
            <v>7</v>
          </cell>
          <cell r="T276">
            <v>6</v>
          </cell>
          <cell r="U276">
            <v>3</v>
          </cell>
          <cell r="V276">
            <v>1</v>
          </cell>
          <cell r="W276">
            <v>3</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64</v>
          </cell>
          <cell r="BO276">
            <v>64</v>
          </cell>
          <cell r="BP276">
            <v>64</v>
          </cell>
          <cell r="BQ276">
            <v>64</v>
          </cell>
          <cell r="BR276" t="str">
            <v>NKDC</v>
          </cell>
        </row>
        <row r="277">
          <cell r="A277" t="str">
            <v>E5680</v>
          </cell>
          <cell r="B277">
            <v>5212</v>
          </cell>
          <cell r="C277" t="str">
            <v>Washingborough Foundation Primary School</v>
          </cell>
          <cell r="D277" t="str">
            <v/>
          </cell>
          <cell r="E277">
            <v>5212</v>
          </cell>
          <cell r="F277">
            <v>0</v>
          </cell>
          <cell r="G277">
            <v>0</v>
          </cell>
          <cell r="H277">
            <v>0</v>
          </cell>
          <cell r="I277">
            <v>0</v>
          </cell>
          <cell r="J277">
            <v>0</v>
          </cell>
          <cell r="K277">
            <v>0</v>
          </cell>
          <cell r="L277">
            <v>0</v>
          </cell>
          <cell r="M277">
            <v>0</v>
          </cell>
          <cell r="N277">
            <v>0</v>
          </cell>
          <cell r="O277">
            <v>47</v>
          </cell>
          <cell r="P277">
            <v>45</v>
          </cell>
          <cell r="Q277">
            <v>30</v>
          </cell>
          <cell r="R277">
            <v>41</v>
          </cell>
          <cell r="S277">
            <v>32</v>
          </cell>
          <cell r="T277">
            <v>33</v>
          </cell>
          <cell r="U277">
            <v>14</v>
          </cell>
          <cell r="V277">
            <v>12</v>
          </cell>
          <cell r="W277">
            <v>19</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7</v>
          </cell>
          <cell r="BK277">
            <v>7</v>
          </cell>
          <cell r="BL277">
            <v>7</v>
          </cell>
          <cell r="BM277">
            <v>0</v>
          </cell>
          <cell r="BN277">
            <v>294</v>
          </cell>
          <cell r="BO277">
            <v>283.5</v>
          </cell>
          <cell r="BP277">
            <v>273</v>
          </cell>
          <cell r="BQ277">
            <v>273</v>
          </cell>
          <cell r="BR277" t="str">
            <v>NKDC</v>
          </cell>
        </row>
        <row r="278">
          <cell r="A278" t="str">
            <v>E5690</v>
          </cell>
          <cell r="B278">
            <v>3158</v>
          </cell>
          <cell r="C278" t="str">
            <v>Welton St Mary's CE Primary School</v>
          </cell>
          <cell r="D278" t="str">
            <v/>
          </cell>
          <cell r="E278">
            <v>3158</v>
          </cell>
          <cell r="F278">
            <v>0</v>
          </cell>
          <cell r="G278">
            <v>0</v>
          </cell>
          <cell r="H278">
            <v>0</v>
          </cell>
          <cell r="I278">
            <v>0</v>
          </cell>
          <cell r="J278">
            <v>0</v>
          </cell>
          <cell r="K278">
            <v>0</v>
          </cell>
          <cell r="L278">
            <v>0</v>
          </cell>
          <cell r="M278">
            <v>0</v>
          </cell>
          <cell r="N278">
            <v>0</v>
          </cell>
          <cell r="O278">
            <v>61</v>
          </cell>
          <cell r="P278">
            <v>60</v>
          </cell>
          <cell r="Q278">
            <v>61</v>
          </cell>
          <cell r="R278">
            <v>60</v>
          </cell>
          <cell r="S278">
            <v>60</v>
          </cell>
          <cell r="T278">
            <v>57</v>
          </cell>
          <cell r="U278">
            <v>20</v>
          </cell>
          <cell r="V278">
            <v>18</v>
          </cell>
          <cell r="W278">
            <v>11</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408</v>
          </cell>
          <cell r="BO278">
            <v>408</v>
          </cell>
          <cell r="BP278">
            <v>408</v>
          </cell>
          <cell r="BQ278">
            <v>408</v>
          </cell>
          <cell r="BR278" t="str">
            <v>WLDC</v>
          </cell>
        </row>
        <row r="279">
          <cell r="A279" t="str">
            <v>E5730</v>
          </cell>
          <cell r="B279">
            <v>3096</v>
          </cell>
          <cell r="C279" t="str">
            <v>Weston Hills CE Primary School</v>
          </cell>
          <cell r="D279" t="str">
            <v/>
          </cell>
          <cell r="E279">
            <v>3096</v>
          </cell>
          <cell r="F279">
            <v>0</v>
          </cell>
          <cell r="G279">
            <v>0</v>
          </cell>
          <cell r="H279">
            <v>0</v>
          </cell>
          <cell r="I279">
            <v>0</v>
          </cell>
          <cell r="J279">
            <v>0</v>
          </cell>
          <cell r="K279">
            <v>0</v>
          </cell>
          <cell r="L279">
            <v>0</v>
          </cell>
          <cell r="M279">
            <v>0</v>
          </cell>
          <cell r="N279">
            <v>0</v>
          </cell>
          <cell r="O279">
            <v>23</v>
          </cell>
          <cell r="P279">
            <v>26</v>
          </cell>
          <cell r="Q279">
            <v>21</v>
          </cell>
          <cell r="R279">
            <v>21</v>
          </cell>
          <cell r="S279">
            <v>22</v>
          </cell>
          <cell r="T279">
            <v>15</v>
          </cell>
          <cell r="U279">
            <v>9</v>
          </cell>
          <cell r="V279">
            <v>5</v>
          </cell>
          <cell r="W279">
            <v>7</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149</v>
          </cell>
          <cell r="BO279">
            <v>149</v>
          </cell>
          <cell r="BP279">
            <v>149</v>
          </cell>
          <cell r="BQ279">
            <v>149</v>
          </cell>
          <cell r="BR279" t="str">
            <v>SHDC</v>
          </cell>
        </row>
        <row r="280">
          <cell r="A280" t="str">
            <v>E5740</v>
          </cell>
          <cell r="B280">
            <v>3100</v>
          </cell>
          <cell r="C280" t="str">
            <v>Weston St Mary CE Primary School</v>
          </cell>
          <cell r="D280" t="str">
            <v/>
          </cell>
          <cell r="E280">
            <v>3100</v>
          </cell>
          <cell r="F280">
            <v>0</v>
          </cell>
          <cell r="G280">
            <v>0</v>
          </cell>
          <cell r="H280">
            <v>0</v>
          </cell>
          <cell r="I280">
            <v>0</v>
          </cell>
          <cell r="J280">
            <v>0</v>
          </cell>
          <cell r="K280">
            <v>0</v>
          </cell>
          <cell r="L280">
            <v>0</v>
          </cell>
          <cell r="M280">
            <v>0</v>
          </cell>
          <cell r="N280">
            <v>0</v>
          </cell>
          <cell r="O280">
            <v>8</v>
          </cell>
          <cell r="P280">
            <v>9</v>
          </cell>
          <cell r="Q280">
            <v>1</v>
          </cell>
          <cell r="R280">
            <v>7</v>
          </cell>
          <cell r="S280">
            <v>6</v>
          </cell>
          <cell r="T280">
            <v>4</v>
          </cell>
          <cell r="U280">
            <v>1</v>
          </cell>
          <cell r="V280">
            <v>2</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2</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40</v>
          </cell>
          <cell r="BO280">
            <v>39</v>
          </cell>
          <cell r="BP280">
            <v>40</v>
          </cell>
          <cell r="BQ280">
            <v>39</v>
          </cell>
          <cell r="BR280" t="str">
            <v>SHDC</v>
          </cell>
        </row>
        <row r="281">
          <cell r="A281" t="str">
            <v>E5750</v>
          </cell>
          <cell r="B281">
            <v>3097</v>
          </cell>
          <cell r="C281" t="str">
            <v>Whaplode CE Primary School</v>
          </cell>
          <cell r="D281" t="str">
            <v/>
          </cell>
          <cell r="E281">
            <v>3097</v>
          </cell>
          <cell r="F281">
            <v>0</v>
          </cell>
          <cell r="G281">
            <v>0</v>
          </cell>
          <cell r="H281">
            <v>0</v>
          </cell>
          <cell r="I281">
            <v>0</v>
          </cell>
          <cell r="J281">
            <v>0</v>
          </cell>
          <cell r="K281">
            <v>0</v>
          </cell>
          <cell r="L281">
            <v>0</v>
          </cell>
          <cell r="M281">
            <v>0</v>
          </cell>
          <cell r="N281">
            <v>0</v>
          </cell>
          <cell r="O281">
            <v>34</v>
          </cell>
          <cell r="P281">
            <v>27</v>
          </cell>
          <cell r="Q281">
            <v>28</v>
          </cell>
          <cell r="R281">
            <v>28</v>
          </cell>
          <cell r="S281">
            <v>28</v>
          </cell>
          <cell r="T281">
            <v>19</v>
          </cell>
          <cell r="U281">
            <v>6</v>
          </cell>
          <cell r="V281">
            <v>7</v>
          </cell>
          <cell r="W281">
            <v>12</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189</v>
          </cell>
          <cell r="BO281">
            <v>189</v>
          </cell>
          <cell r="BP281">
            <v>189</v>
          </cell>
          <cell r="BQ281">
            <v>189</v>
          </cell>
          <cell r="BR281" t="str">
            <v>SHDC</v>
          </cell>
        </row>
        <row r="282">
          <cell r="A282" t="str">
            <v>E5770</v>
          </cell>
          <cell r="B282">
            <v>2107</v>
          </cell>
          <cell r="C282" t="str">
            <v>Shepeau Stow Primary School</v>
          </cell>
          <cell r="D282" t="str">
            <v/>
          </cell>
          <cell r="E282">
            <v>2107</v>
          </cell>
          <cell r="F282">
            <v>0</v>
          </cell>
          <cell r="G282">
            <v>0</v>
          </cell>
          <cell r="H282">
            <v>0</v>
          </cell>
          <cell r="I282">
            <v>0</v>
          </cell>
          <cell r="J282">
            <v>0</v>
          </cell>
          <cell r="K282">
            <v>0</v>
          </cell>
          <cell r="L282">
            <v>0</v>
          </cell>
          <cell r="M282">
            <v>0</v>
          </cell>
          <cell r="N282">
            <v>0</v>
          </cell>
          <cell r="O282">
            <v>19</v>
          </cell>
          <cell r="P282">
            <v>10</v>
          </cell>
          <cell r="Q282">
            <v>11</v>
          </cell>
          <cell r="R282">
            <v>10</v>
          </cell>
          <cell r="S282">
            <v>12</v>
          </cell>
          <cell r="T282">
            <v>10</v>
          </cell>
          <cell r="U282">
            <v>3</v>
          </cell>
          <cell r="V282">
            <v>1</v>
          </cell>
          <cell r="W282">
            <v>7</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83</v>
          </cell>
          <cell r="BO282">
            <v>83</v>
          </cell>
          <cell r="BP282">
            <v>83</v>
          </cell>
          <cell r="BQ282">
            <v>83</v>
          </cell>
          <cell r="BR282" t="str">
            <v>SHDC</v>
          </cell>
        </row>
        <row r="283">
          <cell r="A283" t="str">
            <v>E5810</v>
          </cell>
          <cell r="B283">
            <v>3151</v>
          </cell>
          <cell r="C283" t="str">
            <v>Willoughby St Helena's CE Primary School</v>
          </cell>
          <cell r="D283" t="str">
            <v/>
          </cell>
          <cell r="E283">
            <v>3151</v>
          </cell>
          <cell r="F283">
            <v>0</v>
          </cell>
          <cell r="G283">
            <v>0</v>
          </cell>
          <cell r="H283">
            <v>0</v>
          </cell>
          <cell r="I283">
            <v>0</v>
          </cell>
          <cell r="J283">
            <v>0</v>
          </cell>
          <cell r="K283">
            <v>0</v>
          </cell>
          <cell r="L283">
            <v>0</v>
          </cell>
          <cell r="M283">
            <v>0</v>
          </cell>
          <cell r="N283">
            <v>0</v>
          </cell>
          <cell r="O283">
            <v>15</v>
          </cell>
          <cell r="P283">
            <v>21</v>
          </cell>
          <cell r="Q283">
            <v>10</v>
          </cell>
          <cell r="R283">
            <v>17</v>
          </cell>
          <cell r="S283">
            <v>15</v>
          </cell>
          <cell r="T283">
            <v>8</v>
          </cell>
          <cell r="U283">
            <v>1</v>
          </cell>
          <cell r="V283">
            <v>5</v>
          </cell>
          <cell r="W283">
            <v>2</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1</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95</v>
          </cell>
          <cell r="BO283">
            <v>94.5</v>
          </cell>
          <cell r="BP283">
            <v>95</v>
          </cell>
          <cell r="BQ283">
            <v>94.5</v>
          </cell>
          <cell r="BR283" t="str">
            <v>ELDC</v>
          </cell>
        </row>
        <row r="284">
          <cell r="A284" t="str">
            <v>E5820</v>
          </cell>
          <cell r="B284">
            <v>2205</v>
          </cell>
          <cell r="C284" t="str">
            <v>Willoughton Primary School</v>
          </cell>
          <cell r="D284" t="str">
            <v/>
          </cell>
          <cell r="E284">
            <v>2205</v>
          </cell>
          <cell r="F284">
            <v>0</v>
          </cell>
          <cell r="G284">
            <v>0</v>
          </cell>
          <cell r="H284">
            <v>0</v>
          </cell>
          <cell r="I284">
            <v>0</v>
          </cell>
          <cell r="J284">
            <v>0</v>
          </cell>
          <cell r="K284">
            <v>0</v>
          </cell>
          <cell r="L284">
            <v>0</v>
          </cell>
          <cell r="M284">
            <v>0</v>
          </cell>
          <cell r="N284">
            <v>0</v>
          </cell>
          <cell r="O284">
            <v>15</v>
          </cell>
          <cell r="P284">
            <v>6</v>
          </cell>
          <cell r="Q284">
            <v>9</v>
          </cell>
          <cell r="R284">
            <v>7</v>
          </cell>
          <cell r="S284">
            <v>6</v>
          </cell>
          <cell r="T284">
            <v>3</v>
          </cell>
          <cell r="U284">
            <v>1</v>
          </cell>
          <cell r="V284">
            <v>1</v>
          </cell>
          <cell r="W284">
            <v>3</v>
          </cell>
          <cell r="X284">
            <v>2</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53</v>
          </cell>
          <cell r="BO284">
            <v>53</v>
          </cell>
          <cell r="BP284">
            <v>53</v>
          </cell>
          <cell r="BQ284">
            <v>53</v>
          </cell>
          <cell r="BR284" t="str">
            <v>WLDC</v>
          </cell>
        </row>
        <row r="285">
          <cell r="A285" t="str">
            <v>E5840</v>
          </cell>
          <cell r="B285">
            <v>3506</v>
          </cell>
          <cell r="C285" t="str">
            <v>Witham St Hughs Primary School</v>
          </cell>
          <cell r="D285" t="str">
            <v/>
          </cell>
          <cell r="E285">
            <v>3506</v>
          </cell>
          <cell r="F285">
            <v>0</v>
          </cell>
          <cell r="G285">
            <v>0</v>
          </cell>
          <cell r="H285">
            <v>0</v>
          </cell>
          <cell r="I285">
            <v>0</v>
          </cell>
          <cell r="J285">
            <v>0</v>
          </cell>
          <cell r="K285">
            <v>0</v>
          </cell>
          <cell r="L285">
            <v>0</v>
          </cell>
          <cell r="M285">
            <v>0</v>
          </cell>
          <cell r="N285">
            <v>0</v>
          </cell>
          <cell r="O285">
            <v>14</v>
          </cell>
          <cell r="P285">
            <v>18</v>
          </cell>
          <cell r="Q285">
            <v>20</v>
          </cell>
          <cell r="R285">
            <v>17</v>
          </cell>
          <cell r="S285">
            <v>18</v>
          </cell>
          <cell r="T285">
            <v>24</v>
          </cell>
          <cell r="U285">
            <v>11</v>
          </cell>
          <cell r="V285">
            <v>4</v>
          </cell>
          <cell r="W285">
            <v>9</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135</v>
          </cell>
          <cell r="BO285">
            <v>135</v>
          </cell>
          <cell r="BP285">
            <v>135</v>
          </cell>
          <cell r="BQ285">
            <v>135</v>
          </cell>
          <cell r="BR285" t="str">
            <v>NKDC</v>
          </cell>
        </row>
        <row r="286">
          <cell r="A286" t="str">
            <v>E5850</v>
          </cell>
          <cell r="B286">
            <v>3152</v>
          </cell>
          <cell r="C286" t="str">
            <v>Withern St Margaret's CE School</v>
          </cell>
          <cell r="D286" t="str">
            <v/>
          </cell>
          <cell r="E286">
            <v>3152</v>
          </cell>
          <cell r="F286">
            <v>0</v>
          </cell>
          <cell r="G286">
            <v>0</v>
          </cell>
          <cell r="H286">
            <v>0</v>
          </cell>
          <cell r="I286">
            <v>0</v>
          </cell>
          <cell r="J286">
            <v>0</v>
          </cell>
          <cell r="K286">
            <v>0</v>
          </cell>
          <cell r="L286">
            <v>0</v>
          </cell>
          <cell r="M286">
            <v>0</v>
          </cell>
          <cell r="N286">
            <v>1</v>
          </cell>
          <cell r="O286">
            <v>6</v>
          </cell>
          <cell r="P286">
            <v>14</v>
          </cell>
          <cell r="Q286">
            <v>9</v>
          </cell>
          <cell r="R286">
            <v>8</v>
          </cell>
          <cell r="S286">
            <v>9</v>
          </cell>
          <cell r="T286">
            <v>7</v>
          </cell>
          <cell r="U286">
            <v>2</v>
          </cell>
          <cell r="V286">
            <v>1</v>
          </cell>
          <cell r="W286">
            <v>2</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59</v>
          </cell>
          <cell r="BO286">
            <v>59</v>
          </cell>
          <cell r="BP286">
            <v>59</v>
          </cell>
          <cell r="BQ286">
            <v>59</v>
          </cell>
          <cell r="BR286" t="str">
            <v>ELDC</v>
          </cell>
        </row>
        <row r="287">
          <cell r="A287" t="str">
            <v>E5860</v>
          </cell>
          <cell r="B287">
            <v>5208</v>
          </cell>
          <cell r="C287" t="str">
            <v>Woodhall Spa St Andrew's CE Primary School</v>
          </cell>
          <cell r="D287" t="str">
            <v/>
          </cell>
          <cell r="E287">
            <v>5208</v>
          </cell>
          <cell r="F287">
            <v>0</v>
          </cell>
          <cell r="G287">
            <v>0</v>
          </cell>
          <cell r="H287">
            <v>0</v>
          </cell>
          <cell r="I287">
            <v>0</v>
          </cell>
          <cell r="J287">
            <v>0</v>
          </cell>
          <cell r="K287">
            <v>0</v>
          </cell>
          <cell r="L287">
            <v>0</v>
          </cell>
          <cell r="M287">
            <v>0</v>
          </cell>
          <cell r="N287">
            <v>0</v>
          </cell>
          <cell r="O287">
            <v>39</v>
          </cell>
          <cell r="P287">
            <v>41</v>
          </cell>
          <cell r="Q287">
            <v>26</v>
          </cell>
          <cell r="R287">
            <v>45</v>
          </cell>
          <cell r="S287">
            <v>30</v>
          </cell>
          <cell r="T287">
            <v>28</v>
          </cell>
          <cell r="U287">
            <v>13</v>
          </cell>
          <cell r="V287">
            <v>7</v>
          </cell>
          <cell r="W287">
            <v>14</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243</v>
          </cell>
          <cell r="BO287">
            <v>243</v>
          </cell>
          <cell r="BP287">
            <v>243</v>
          </cell>
          <cell r="BQ287">
            <v>243</v>
          </cell>
          <cell r="BR287" t="str">
            <v>ELDC</v>
          </cell>
        </row>
        <row r="288">
          <cell r="A288" t="str">
            <v>E5890</v>
          </cell>
          <cell r="B288">
            <v>2206</v>
          </cell>
          <cell r="C288" t="str">
            <v>Wragby Primary School</v>
          </cell>
          <cell r="D288" t="str">
            <v/>
          </cell>
          <cell r="E288">
            <v>2206</v>
          </cell>
          <cell r="F288">
            <v>0</v>
          </cell>
          <cell r="G288">
            <v>0</v>
          </cell>
          <cell r="H288">
            <v>0</v>
          </cell>
          <cell r="I288">
            <v>0</v>
          </cell>
          <cell r="J288">
            <v>0</v>
          </cell>
          <cell r="K288">
            <v>0</v>
          </cell>
          <cell r="L288">
            <v>0</v>
          </cell>
          <cell r="M288">
            <v>0</v>
          </cell>
          <cell r="N288">
            <v>0</v>
          </cell>
          <cell r="O288">
            <v>24</v>
          </cell>
          <cell r="P288">
            <v>15</v>
          </cell>
          <cell r="Q288">
            <v>23</v>
          </cell>
          <cell r="R288">
            <v>18</v>
          </cell>
          <cell r="S288">
            <v>24</v>
          </cell>
          <cell r="T288">
            <v>14</v>
          </cell>
          <cell r="U288">
            <v>5</v>
          </cell>
          <cell r="V288">
            <v>3</v>
          </cell>
          <cell r="W288">
            <v>11</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137</v>
          </cell>
          <cell r="BO288">
            <v>137</v>
          </cell>
          <cell r="BP288">
            <v>137</v>
          </cell>
          <cell r="BQ288">
            <v>137</v>
          </cell>
          <cell r="BR288" t="str">
            <v>ELDC</v>
          </cell>
        </row>
        <row r="289">
          <cell r="A289" t="str">
            <v>E5900</v>
          </cell>
          <cell r="B289">
            <v>5218</v>
          </cell>
          <cell r="C289" t="str">
            <v>Wrangle Primary School</v>
          </cell>
          <cell r="D289" t="str">
            <v/>
          </cell>
          <cell r="E289">
            <v>5218</v>
          </cell>
          <cell r="F289">
            <v>0</v>
          </cell>
          <cell r="G289">
            <v>0</v>
          </cell>
          <cell r="H289">
            <v>0</v>
          </cell>
          <cell r="I289">
            <v>0</v>
          </cell>
          <cell r="J289">
            <v>0</v>
          </cell>
          <cell r="K289">
            <v>0</v>
          </cell>
          <cell r="L289">
            <v>0</v>
          </cell>
          <cell r="M289">
            <v>0</v>
          </cell>
          <cell r="N289">
            <v>0</v>
          </cell>
          <cell r="O289">
            <v>10</v>
          </cell>
          <cell r="P289">
            <v>10</v>
          </cell>
          <cell r="Q289">
            <v>13</v>
          </cell>
          <cell r="R289">
            <v>14</v>
          </cell>
          <cell r="S289">
            <v>12</v>
          </cell>
          <cell r="T289">
            <v>5</v>
          </cell>
          <cell r="U289">
            <v>1</v>
          </cell>
          <cell r="V289">
            <v>1</v>
          </cell>
          <cell r="W289">
            <v>3</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69</v>
          </cell>
          <cell r="BO289">
            <v>69</v>
          </cell>
          <cell r="BP289">
            <v>69</v>
          </cell>
          <cell r="BQ289">
            <v>69</v>
          </cell>
          <cell r="BR289" t="str">
            <v>BBC</v>
          </cell>
        </row>
        <row r="290">
          <cell r="A290" t="str">
            <v>E5910</v>
          </cell>
          <cell r="B290">
            <v>5214</v>
          </cell>
          <cell r="C290" t="str">
            <v>Wyberton Primary School</v>
          </cell>
          <cell r="D290" t="str">
            <v/>
          </cell>
          <cell r="E290">
            <v>5214</v>
          </cell>
          <cell r="F290">
            <v>0</v>
          </cell>
          <cell r="G290">
            <v>0</v>
          </cell>
          <cell r="H290">
            <v>0</v>
          </cell>
          <cell r="I290">
            <v>0</v>
          </cell>
          <cell r="J290">
            <v>0</v>
          </cell>
          <cell r="K290">
            <v>0</v>
          </cell>
          <cell r="L290">
            <v>0</v>
          </cell>
          <cell r="M290">
            <v>0</v>
          </cell>
          <cell r="N290">
            <v>0</v>
          </cell>
          <cell r="O290">
            <v>31</v>
          </cell>
          <cell r="P290">
            <v>27</v>
          </cell>
          <cell r="Q290">
            <v>29</v>
          </cell>
          <cell r="R290">
            <v>29</v>
          </cell>
          <cell r="S290">
            <v>27</v>
          </cell>
          <cell r="T290">
            <v>21</v>
          </cell>
          <cell r="U290">
            <v>15</v>
          </cell>
          <cell r="V290">
            <v>2</v>
          </cell>
          <cell r="W290">
            <v>8</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189</v>
          </cell>
          <cell r="BO290">
            <v>189</v>
          </cell>
          <cell r="BP290">
            <v>189</v>
          </cell>
          <cell r="BQ290">
            <v>189</v>
          </cell>
          <cell r="BR290" t="str">
            <v>BBC</v>
          </cell>
        </row>
        <row r="291">
          <cell r="A291" t="str">
            <v>E6010</v>
          </cell>
          <cell r="B291">
            <v>5401</v>
          </cell>
          <cell r="C291" t="str">
            <v>Alford Queen Elizabeth's Grammar School</v>
          </cell>
          <cell r="D291" t="str">
            <v/>
          </cell>
          <cell r="E291">
            <v>5401</v>
          </cell>
          <cell r="F291">
            <v>0</v>
          </cell>
          <cell r="G291">
            <v>1</v>
          </cell>
          <cell r="H291">
            <v>56</v>
          </cell>
          <cell r="I291">
            <v>68</v>
          </cell>
          <cell r="J291">
            <v>84</v>
          </cell>
          <cell r="K291">
            <v>83</v>
          </cell>
          <cell r="L291">
            <v>76</v>
          </cell>
          <cell r="M291">
            <v>86</v>
          </cell>
          <cell r="N291">
            <v>88</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542</v>
          </cell>
          <cell r="BO291">
            <v>542</v>
          </cell>
          <cell r="BP291">
            <v>542</v>
          </cell>
          <cell r="BQ291">
            <v>542</v>
          </cell>
          <cell r="BR291" t="str">
            <v>ELDC</v>
          </cell>
        </row>
        <row r="292">
          <cell r="A292" t="str">
            <v>E6020</v>
          </cell>
          <cell r="B292">
            <v>4048</v>
          </cell>
          <cell r="C292" t="str">
            <v>Alford John Spendluffe Technology College</v>
          </cell>
          <cell r="D292" t="str">
            <v/>
          </cell>
          <cell r="E292">
            <v>4048</v>
          </cell>
          <cell r="F292">
            <v>0</v>
          </cell>
          <cell r="G292">
            <v>0</v>
          </cell>
          <cell r="H292">
            <v>0</v>
          </cell>
          <cell r="I292">
            <v>0</v>
          </cell>
          <cell r="J292">
            <v>114</v>
          </cell>
          <cell r="K292">
            <v>115</v>
          </cell>
          <cell r="L292">
            <v>131</v>
          </cell>
          <cell r="M292">
            <v>116</v>
          </cell>
          <cell r="N292">
            <v>134</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610</v>
          </cell>
          <cell r="BO292">
            <v>610</v>
          </cell>
          <cell r="BP292">
            <v>610</v>
          </cell>
          <cell r="BQ292">
            <v>610</v>
          </cell>
          <cell r="BR292" t="str">
            <v>ELDC</v>
          </cell>
        </row>
        <row r="293">
          <cell r="A293" t="str">
            <v>E6040</v>
          </cell>
          <cell r="B293">
            <v>4015</v>
          </cell>
          <cell r="C293" t="str">
            <v>Billingborough The Aveland High School</v>
          </cell>
          <cell r="D293" t="str">
            <v/>
          </cell>
          <cell r="E293">
            <v>4015</v>
          </cell>
          <cell r="F293">
            <v>0</v>
          </cell>
          <cell r="G293">
            <v>0</v>
          </cell>
          <cell r="H293">
            <v>0</v>
          </cell>
          <cell r="I293">
            <v>1</v>
          </cell>
          <cell r="J293">
            <v>84</v>
          </cell>
          <cell r="K293">
            <v>82</v>
          </cell>
          <cell r="L293">
            <v>75</v>
          </cell>
          <cell r="M293">
            <v>81</v>
          </cell>
          <cell r="N293">
            <v>57</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380</v>
          </cell>
          <cell r="BO293">
            <v>380</v>
          </cell>
          <cell r="BP293">
            <v>380</v>
          </cell>
          <cell r="BQ293">
            <v>380</v>
          </cell>
          <cell r="BR293" t="str">
            <v>SKDC</v>
          </cell>
        </row>
        <row r="294">
          <cell r="A294" t="str">
            <v>E6050</v>
          </cell>
          <cell r="B294">
            <v>4016</v>
          </cell>
          <cell r="C294" t="str">
            <v>Billinghay The Lafford High School</v>
          </cell>
          <cell r="D294" t="str">
            <v/>
          </cell>
          <cell r="E294">
            <v>4016</v>
          </cell>
          <cell r="F294">
            <v>0</v>
          </cell>
          <cell r="G294">
            <v>0</v>
          </cell>
          <cell r="H294">
            <v>0</v>
          </cell>
          <cell r="I294">
            <v>1</v>
          </cell>
          <cell r="J294">
            <v>70</v>
          </cell>
          <cell r="K294">
            <v>61</v>
          </cell>
          <cell r="L294">
            <v>65</v>
          </cell>
          <cell r="M294">
            <v>45</v>
          </cell>
          <cell r="N294">
            <v>25</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1</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268</v>
          </cell>
          <cell r="BO294">
            <v>267.5</v>
          </cell>
          <cell r="BP294">
            <v>268</v>
          </cell>
          <cell r="BQ294">
            <v>267.5</v>
          </cell>
          <cell r="BR294" t="str">
            <v>NKDC</v>
          </cell>
        </row>
        <row r="295">
          <cell r="A295" t="str">
            <v>E6060</v>
          </cell>
          <cell r="B295">
            <v>4604</v>
          </cell>
          <cell r="C295" t="str">
            <v>Boston Saint Bede's Catholic Science College</v>
          </cell>
          <cell r="D295" t="str">
            <v/>
          </cell>
          <cell r="E295">
            <v>4604</v>
          </cell>
          <cell r="F295">
            <v>0</v>
          </cell>
          <cell r="G295">
            <v>0</v>
          </cell>
          <cell r="H295">
            <v>0</v>
          </cell>
          <cell r="I295">
            <v>2</v>
          </cell>
          <cell r="J295">
            <v>72</v>
          </cell>
          <cell r="K295">
            <v>58</v>
          </cell>
          <cell r="L295">
            <v>60</v>
          </cell>
          <cell r="M295">
            <v>67</v>
          </cell>
          <cell r="N295">
            <v>71</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330</v>
          </cell>
          <cell r="BO295">
            <v>330</v>
          </cell>
          <cell r="BP295">
            <v>330</v>
          </cell>
          <cell r="BQ295">
            <v>330</v>
          </cell>
          <cell r="BR295" t="str">
            <v>BBC</v>
          </cell>
        </row>
        <row r="296">
          <cell r="A296" t="str">
            <v>E6070</v>
          </cell>
          <cell r="B296">
            <v>5424</v>
          </cell>
          <cell r="C296" t="str">
            <v>Boston Grammar School</v>
          </cell>
          <cell r="D296" t="str">
            <v/>
          </cell>
          <cell r="E296">
            <v>5424</v>
          </cell>
          <cell r="F296">
            <v>1</v>
          </cell>
          <cell r="G296">
            <v>5</v>
          </cell>
          <cell r="H296">
            <v>69</v>
          </cell>
          <cell r="I296">
            <v>98</v>
          </cell>
          <cell r="J296">
            <v>76</v>
          </cell>
          <cell r="K296">
            <v>94</v>
          </cell>
          <cell r="L296">
            <v>90</v>
          </cell>
          <cell r="M296">
            <v>91</v>
          </cell>
          <cell r="N296">
            <v>80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604</v>
          </cell>
          <cell r="BO296">
            <v>604</v>
          </cell>
          <cell r="BP296">
            <v>604</v>
          </cell>
          <cell r="BQ296">
            <v>604</v>
          </cell>
          <cell r="BR296" t="str">
            <v>BBC</v>
          </cell>
        </row>
        <row r="297">
          <cell r="A297" t="str">
            <v>E6080</v>
          </cell>
          <cell r="B297">
            <v>4022</v>
          </cell>
          <cell r="C297" t="str">
            <v>Boston High School</v>
          </cell>
          <cell r="D297" t="str">
            <v/>
          </cell>
          <cell r="E297">
            <v>4022</v>
          </cell>
          <cell r="F297">
            <v>0</v>
          </cell>
          <cell r="G297">
            <v>5</v>
          </cell>
          <cell r="H297">
            <v>92</v>
          </cell>
          <cell r="I297">
            <v>125</v>
          </cell>
          <cell r="J297">
            <v>113</v>
          </cell>
          <cell r="K297">
            <v>113</v>
          </cell>
          <cell r="L297">
            <v>112</v>
          </cell>
          <cell r="M297">
            <v>121</v>
          </cell>
          <cell r="N297">
            <v>74</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755</v>
          </cell>
          <cell r="BO297">
            <v>755</v>
          </cell>
          <cell r="BP297">
            <v>755</v>
          </cell>
          <cell r="BQ297">
            <v>755</v>
          </cell>
          <cell r="BR297" t="str">
            <v>BBC</v>
          </cell>
        </row>
        <row r="298">
          <cell r="A298" t="str">
            <v>E6110</v>
          </cell>
          <cell r="B298">
            <v>4072</v>
          </cell>
          <cell r="C298" t="str">
            <v>Boston The Haven High Technology College</v>
          </cell>
          <cell r="D298" t="str">
            <v/>
          </cell>
          <cell r="E298">
            <v>4072</v>
          </cell>
          <cell r="F298">
            <v>0</v>
          </cell>
          <cell r="G298">
            <v>0</v>
          </cell>
          <cell r="H298">
            <v>0</v>
          </cell>
          <cell r="I298">
            <v>4</v>
          </cell>
          <cell r="J298">
            <v>141</v>
          </cell>
          <cell r="K298">
            <v>146</v>
          </cell>
          <cell r="L298">
            <v>163</v>
          </cell>
          <cell r="M298">
            <v>158</v>
          </cell>
          <cell r="N298">
            <v>138</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750</v>
          </cell>
          <cell r="BO298">
            <v>750</v>
          </cell>
          <cell r="BP298">
            <v>750</v>
          </cell>
          <cell r="BQ298">
            <v>750</v>
          </cell>
          <cell r="BR298" t="str">
            <v>BBC</v>
          </cell>
        </row>
        <row r="299">
          <cell r="A299" t="str">
            <v>E6120</v>
          </cell>
          <cell r="B299">
            <v>4000</v>
          </cell>
          <cell r="C299" t="str">
            <v>Bourne The Robert Manning Technology College</v>
          </cell>
          <cell r="D299" t="str">
            <v/>
          </cell>
          <cell r="E299">
            <v>4000</v>
          </cell>
          <cell r="F299">
            <v>0</v>
          </cell>
          <cell r="G299">
            <v>3</v>
          </cell>
          <cell r="H299">
            <v>58</v>
          </cell>
          <cell r="I299">
            <v>88</v>
          </cell>
          <cell r="J299">
            <v>209</v>
          </cell>
          <cell r="K299">
            <v>208</v>
          </cell>
          <cell r="L299">
            <v>203</v>
          </cell>
          <cell r="M299">
            <v>192</v>
          </cell>
          <cell r="N299">
            <v>210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1171</v>
          </cell>
          <cell r="BO299">
            <v>1171</v>
          </cell>
          <cell r="BP299">
            <v>1171</v>
          </cell>
          <cell r="BQ299">
            <v>1171</v>
          </cell>
          <cell r="BR299" t="str">
            <v>SKDC</v>
          </cell>
        </row>
        <row r="300">
          <cell r="A300" t="str">
            <v>E6130</v>
          </cell>
          <cell r="B300">
            <v>4501</v>
          </cell>
          <cell r="C300" t="str">
            <v>Bourne Grammar School</v>
          </cell>
          <cell r="D300" t="str">
            <v/>
          </cell>
          <cell r="E300">
            <v>4501</v>
          </cell>
          <cell r="F300">
            <v>0</v>
          </cell>
          <cell r="G300">
            <v>1</v>
          </cell>
          <cell r="H300">
            <v>111</v>
          </cell>
          <cell r="I300">
            <v>133</v>
          </cell>
          <cell r="J300">
            <v>139</v>
          </cell>
          <cell r="K300">
            <v>141</v>
          </cell>
          <cell r="L300">
            <v>139</v>
          </cell>
          <cell r="M300">
            <v>140</v>
          </cell>
          <cell r="N300">
            <v>141</v>
          </cell>
          <cell r="O300">
            <v>1</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946</v>
          </cell>
          <cell r="BO300">
            <v>946</v>
          </cell>
          <cell r="BP300">
            <v>946</v>
          </cell>
          <cell r="BQ300">
            <v>946</v>
          </cell>
          <cell r="BR300" t="str">
            <v>SKDC</v>
          </cell>
        </row>
        <row r="301">
          <cell r="A301" t="str">
            <v>E6140</v>
          </cell>
          <cell r="B301">
            <v>5418</v>
          </cell>
          <cell r="C301" t="str">
            <v>Branston Community College</v>
          </cell>
          <cell r="D301" t="str">
            <v/>
          </cell>
          <cell r="E301">
            <v>5418</v>
          </cell>
          <cell r="F301">
            <v>0</v>
          </cell>
          <cell r="G301">
            <v>4</v>
          </cell>
          <cell r="H301">
            <v>61</v>
          </cell>
          <cell r="I301">
            <v>97</v>
          </cell>
          <cell r="J301">
            <v>182</v>
          </cell>
          <cell r="K301">
            <v>166</v>
          </cell>
          <cell r="L301">
            <v>181</v>
          </cell>
          <cell r="M301">
            <v>165</v>
          </cell>
          <cell r="N301">
            <v>175</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1031</v>
          </cell>
          <cell r="BO301">
            <v>1031</v>
          </cell>
          <cell r="BP301">
            <v>1031</v>
          </cell>
          <cell r="BQ301">
            <v>1031</v>
          </cell>
          <cell r="BR301" t="str">
            <v>NKDC</v>
          </cell>
        </row>
        <row r="302">
          <cell r="A302" t="str">
            <v>E6150</v>
          </cell>
          <cell r="B302">
            <v>5406</v>
          </cell>
          <cell r="C302" t="str">
            <v>Caistor Grammar School</v>
          </cell>
          <cell r="D302" t="str">
            <v/>
          </cell>
          <cell r="E302">
            <v>5406</v>
          </cell>
          <cell r="F302">
            <v>0</v>
          </cell>
          <cell r="G302">
            <v>10</v>
          </cell>
          <cell r="H302">
            <v>74</v>
          </cell>
          <cell r="I302">
            <v>85</v>
          </cell>
          <cell r="J302">
            <v>95</v>
          </cell>
          <cell r="K302">
            <v>96</v>
          </cell>
          <cell r="L302">
            <v>89</v>
          </cell>
          <cell r="M302">
            <v>91</v>
          </cell>
          <cell r="N302">
            <v>91</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631</v>
          </cell>
          <cell r="BO302">
            <v>631</v>
          </cell>
          <cell r="BP302">
            <v>631</v>
          </cell>
          <cell r="BQ302">
            <v>631</v>
          </cell>
          <cell r="BR302" t="str">
            <v>WLDC</v>
          </cell>
        </row>
        <row r="303">
          <cell r="A303" t="str">
            <v>E6160</v>
          </cell>
          <cell r="B303">
            <v>4049</v>
          </cell>
          <cell r="C303" t="str">
            <v>Caistor Yarborough School</v>
          </cell>
          <cell r="D303" t="str">
            <v/>
          </cell>
          <cell r="E303">
            <v>4049</v>
          </cell>
          <cell r="F303">
            <v>0</v>
          </cell>
          <cell r="G303">
            <v>0</v>
          </cell>
          <cell r="H303">
            <v>0</v>
          </cell>
          <cell r="I303">
            <v>0</v>
          </cell>
          <cell r="J303">
            <v>116</v>
          </cell>
          <cell r="K303">
            <v>109</v>
          </cell>
          <cell r="L303">
            <v>112</v>
          </cell>
          <cell r="M303">
            <v>112</v>
          </cell>
          <cell r="N303">
            <v>112</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561</v>
          </cell>
          <cell r="BO303">
            <v>561</v>
          </cell>
          <cell r="BP303">
            <v>561</v>
          </cell>
          <cell r="BQ303">
            <v>561</v>
          </cell>
          <cell r="BR303" t="str">
            <v>WLDC</v>
          </cell>
        </row>
        <row r="304">
          <cell r="A304" t="str">
            <v>E6170</v>
          </cell>
          <cell r="B304">
            <v>4062</v>
          </cell>
          <cell r="C304" t="str">
            <v>Cherry Willingham Community School</v>
          </cell>
          <cell r="D304" t="str">
            <v/>
          </cell>
          <cell r="E304">
            <v>4062</v>
          </cell>
          <cell r="F304">
            <v>0</v>
          </cell>
          <cell r="G304">
            <v>0</v>
          </cell>
          <cell r="H304">
            <v>0</v>
          </cell>
          <cell r="I304">
            <v>5</v>
          </cell>
          <cell r="J304">
            <v>109</v>
          </cell>
          <cell r="K304">
            <v>101</v>
          </cell>
          <cell r="L304">
            <v>119</v>
          </cell>
          <cell r="M304">
            <v>91</v>
          </cell>
          <cell r="N304">
            <v>102</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527</v>
          </cell>
          <cell r="BO304">
            <v>527</v>
          </cell>
          <cell r="BP304">
            <v>527</v>
          </cell>
          <cell r="BQ304">
            <v>527</v>
          </cell>
          <cell r="BR304" t="str">
            <v>WLDC</v>
          </cell>
        </row>
        <row r="305">
          <cell r="A305" t="str">
            <v>E6180</v>
          </cell>
          <cell r="B305">
            <v>4017</v>
          </cell>
          <cell r="C305" t="str">
            <v>Corby Glen The Charles Read High School</v>
          </cell>
          <cell r="D305" t="str">
            <v/>
          </cell>
          <cell r="E305">
            <v>4017</v>
          </cell>
          <cell r="F305">
            <v>0</v>
          </cell>
          <cell r="G305">
            <v>0</v>
          </cell>
          <cell r="H305">
            <v>0</v>
          </cell>
          <cell r="I305">
            <v>0</v>
          </cell>
          <cell r="J305">
            <v>50</v>
          </cell>
          <cell r="K305">
            <v>54</v>
          </cell>
          <cell r="L305">
            <v>48</v>
          </cell>
          <cell r="M305">
            <v>56</v>
          </cell>
          <cell r="N305">
            <v>50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258</v>
          </cell>
          <cell r="BO305">
            <v>258</v>
          </cell>
          <cell r="BP305">
            <v>258</v>
          </cell>
          <cell r="BQ305">
            <v>258</v>
          </cell>
          <cell r="BR305" t="str">
            <v>SKDC</v>
          </cell>
        </row>
        <row r="306">
          <cell r="A306" t="str">
            <v>E6190</v>
          </cell>
          <cell r="B306">
            <v>4032</v>
          </cell>
          <cell r="C306" t="str">
            <v>Crowland The St Guthlac School</v>
          </cell>
          <cell r="D306" t="str">
            <v/>
          </cell>
          <cell r="E306">
            <v>4032</v>
          </cell>
          <cell r="F306">
            <v>0</v>
          </cell>
          <cell r="G306">
            <v>0</v>
          </cell>
          <cell r="H306">
            <v>0</v>
          </cell>
          <cell r="I306">
            <v>2</v>
          </cell>
          <cell r="J306">
            <v>82</v>
          </cell>
          <cell r="K306">
            <v>76</v>
          </cell>
          <cell r="L306">
            <v>81</v>
          </cell>
          <cell r="M306">
            <v>77</v>
          </cell>
          <cell r="N306">
            <v>59</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377</v>
          </cell>
          <cell r="BO306">
            <v>377</v>
          </cell>
          <cell r="BP306">
            <v>377</v>
          </cell>
          <cell r="BQ306">
            <v>377</v>
          </cell>
          <cell r="BR306" t="str">
            <v>SHDC</v>
          </cell>
        </row>
        <row r="307">
          <cell r="A307" t="str">
            <v>E6210</v>
          </cell>
          <cell r="B307">
            <v>4010</v>
          </cell>
          <cell r="C307" t="str">
            <v>Deepings School</v>
          </cell>
          <cell r="D307" t="str">
            <v/>
          </cell>
          <cell r="E307">
            <v>4010</v>
          </cell>
          <cell r="F307">
            <v>0</v>
          </cell>
          <cell r="G307">
            <v>0</v>
          </cell>
          <cell r="H307">
            <v>103</v>
          </cell>
          <cell r="I307">
            <v>128</v>
          </cell>
          <cell r="J307">
            <v>230</v>
          </cell>
          <cell r="K307">
            <v>229</v>
          </cell>
          <cell r="L307">
            <v>226</v>
          </cell>
          <cell r="M307">
            <v>235</v>
          </cell>
          <cell r="N307">
            <v>232</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1383</v>
          </cell>
          <cell r="BO307">
            <v>1383</v>
          </cell>
          <cell r="BP307">
            <v>1383</v>
          </cell>
          <cell r="BQ307">
            <v>1383</v>
          </cell>
          <cell r="BR307" t="str">
            <v>SKDC</v>
          </cell>
        </row>
        <row r="308">
          <cell r="A308" t="str">
            <v>E6220</v>
          </cell>
          <cell r="B308">
            <v>4507</v>
          </cell>
          <cell r="C308" t="str">
            <v>Donington The Thomas Cowley High School</v>
          </cell>
          <cell r="D308" t="str">
            <v/>
          </cell>
          <cell r="E308">
            <v>4507</v>
          </cell>
          <cell r="F308">
            <v>0</v>
          </cell>
          <cell r="G308">
            <v>0</v>
          </cell>
          <cell r="H308">
            <v>0</v>
          </cell>
          <cell r="I308">
            <v>0</v>
          </cell>
          <cell r="J308">
            <v>118</v>
          </cell>
          <cell r="K308">
            <v>119</v>
          </cell>
          <cell r="L308">
            <v>135</v>
          </cell>
          <cell r="M308">
            <v>125</v>
          </cell>
          <cell r="N308">
            <v>125</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622</v>
          </cell>
          <cell r="BO308">
            <v>622</v>
          </cell>
          <cell r="BP308">
            <v>622</v>
          </cell>
          <cell r="BQ308">
            <v>622</v>
          </cell>
          <cell r="BR308" t="str">
            <v>SHDC</v>
          </cell>
        </row>
        <row r="309">
          <cell r="A309" t="str">
            <v>E6230</v>
          </cell>
          <cell r="B309">
            <v>5410</v>
          </cell>
          <cell r="C309" t="str">
            <v>Gainsborough The Castle Hills Community Arts College</v>
          </cell>
          <cell r="D309" t="str">
            <v/>
          </cell>
          <cell r="E309">
            <v>5410</v>
          </cell>
          <cell r="F309">
            <v>0</v>
          </cell>
          <cell r="G309">
            <v>0</v>
          </cell>
          <cell r="H309">
            <v>0</v>
          </cell>
          <cell r="I309">
            <v>0</v>
          </cell>
          <cell r="J309">
            <v>152</v>
          </cell>
          <cell r="K309">
            <v>116</v>
          </cell>
          <cell r="L309">
            <v>109</v>
          </cell>
          <cell r="M309">
            <v>117</v>
          </cell>
          <cell r="N309">
            <v>96</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590</v>
          </cell>
          <cell r="BO309">
            <v>590</v>
          </cell>
          <cell r="BP309">
            <v>590</v>
          </cell>
          <cell r="BQ309">
            <v>590</v>
          </cell>
          <cell r="BR309" t="str">
            <v>WLDC</v>
          </cell>
        </row>
        <row r="310">
          <cell r="A310" t="str">
            <v>E6240</v>
          </cell>
          <cell r="B310">
            <v>4069</v>
          </cell>
          <cell r="C310" t="str">
            <v>Gainsborough The Middlefield School Of Technology</v>
          </cell>
          <cell r="D310" t="str">
            <v/>
          </cell>
          <cell r="E310">
            <v>4069</v>
          </cell>
          <cell r="F310">
            <v>0</v>
          </cell>
          <cell r="G310">
            <v>0</v>
          </cell>
          <cell r="H310">
            <v>0</v>
          </cell>
          <cell r="I310">
            <v>0</v>
          </cell>
          <cell r="J310">
            <v>114</v>
          </cell>
          <cell r="K310">
            <v>120</v>
          </cell>
          <cell r="L310">
            <v>128</v>
          </cell>
          <cell r="M310">
            <v>114</v>
          </cell>
          <cell r="N310">
            <v>123</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599</v>
          </cell>
          <cell r="BO310">
            <v>599</v>
          </cell>
          <cell r="BP310">
            <v>599</v>
          </cell>
          <cell r="BQ310">
            <v>599</v>
          </cell>
          <cell r="BR310" t="str">
            <v>WLDC</v>
          </cell>
        </row>
        <row r="311">
          <cell r="A311" t="str">
            <v>E6270</v>
          </cell>
          <cell r="B311">
            <v>4065</v>
          </cell>
          <cell r="C311" t="str">
            <v>Gainsborough Queen Elizabeth's High School</v>
          </cell>
          <cell r="D311" t="str">
            <v/>
          </cell>
          <cell r="E311">
            <v>4065</v>
          </cell>
          <cell r="F311">
            <v>0</v>
          </cell>
          <cell r="G311">
            <v>6</v>
          </cell>
          <cell r="H311">
            <v>131</v>
          </cell>
          <cell r="I311">
            <v>133</v>
          </cell>
          <cell r="J311">
            <v>176</v>
          </cell>
          <cell r="K311">
            <v>181</v>
          </cell>
          <cell r="L311">
            <v>181</v>
          </cell>
          <cell r="M311">
            <v>177</v>
          </cell>
          <cell r="N311">
            <v>183</v>
          </cell>
          <cell r="O311">
            <v>2</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1170</v>
          </cell>
          <cell r="BO311">
            <v>1170</v>
          </cell>
          <cell r="BP311">
            <v>1170</v>
          </cell>
          <cell r="BQ311">
            <v>1170</v>
          </cell>
          <cell r="BR311" t="str">
            <v>WLDC</v>
          </cell>
        </row>
        <row r="312">
          <cell r="A312" t="str">
            <v>E6300</v>
          </cell>
          <cell r="B312">
            <v>4004</v>
          </cell>
          <cell r="C312" t="str">
            <v>Grantham Kesteven and Grantham Girls' School - 'A Specialist Science School'</v>
          </cell>
          <cell r="D312" t="str">
            <v/>
          </cell>
          <cell r="E312">
            <v>4004</v>
          </cell>
          <cell r="F312">
            <v>0</v>
          </cell>
          <cell r="G312">
            <v>3</v>
          </cell>
          <cell r="H312">
            <v>122</v>
          </cell>
          <cell r="I312">
            <v>131</v>
          </cell>
          <cell r="J312">
            <v>150</v>
          </cell>
          <cell r="K312">
            <v>169</v>
          </cell>
          <cell r="L312">
            <v>141</v>
          </cell>
          <cell r="M312">
            <v>167</v>
          </cell>
          <cell r="N312">
            <v>163</v>
          </cell>
          <cell r="O312">
            <v>1</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1047</v>
          </cell>
          <cell r="BO312">
            <v>1047</v>
          </cell>
          <cell r="BP312">
            <v>1047</v>
          </cell>
          <cell r="BQ312">
            <v>1047</v>
          </cell>
          <cell r="BR312" t="str">
            <v>SKDC</v>
          </cell>
        </row>
        <row r="313">
          <cell r="A313" t="str">
            <v>E6310</v>
          </cell>
          <cell r="B313">
            <v>5402</v>
          </cell>
          <cell r="C313" t="str">
            <v>Grantham The King's School</v>
          </cell>
          <cell r="D313" t="str">
            <v/>
          </cell>
          <cell r="E313">
            <v>5402</v>
          </cell>
          <cell r="F313">
            <v>0</v>
          </cell>
          <cell r="G313">
            <v>1</v>
          </cell>
          <cell r="H313">
            <v>129</v>
          </cell>
          <cell r="I313">
            <v>123</v>
          </cell>
          <cell r="J313">
            <v>130</v>
          </cell>
          <cell r="K313">
            <v>148</v>
          </cell>
          <cell r="L313">
            <v>149</v>
          </cell>
          <cell r="M313">
            <v>146</v>
          </cell>
          <cell r="N313">
            <v>137</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963</v>
          </cell>
          <cell r="BO313">
            <v>963</v>
          </cell>
          <cell r="BP313">
            <v>963</v>
          </cell>
          <cell r="BQ313">
            <v>963</v>
          </cell>
          <cell r="BR313" t="str">
            <v>SKDC</v>
          </cell>
        </row>
        <row r="314">
          <cell r="A314" t="str">
            <v>E6320</v>
          </cell>
          <cell r="B314">
            <v>5422</v>
          </cell>
          <cell r="C314" t="str">
            <v>Grantham St Hugh's C.E. Mathematics &amp; Computing College</v>
          </cell>
          <cell r="D314" t="str">
            <v/>
          </cell>
          <cell r="E314">
            <v>5422</v>
          </cell>
          <cell r="F314">
            <v>0</v>
          </cell>
          <cell r="G314">
            <v>0</v>
          </cell>
          <cell r="H314">
            <v>0</v>
          </cell>
          <cell r="I314">
            <v>0</v>
          </cell>
          <cell r="J314">
            <v>90</v>
          </cell>
          <cell r="K314">
            <v>93</v>
          </cell>
          <cell r="L314">
            <v>99</v>
          </cell>
          <cell r="M314">
            <v>107</v>
          </cell>
          <cell r="N314">
            <v>85</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1</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475</v>
          </cell>
          <cell r="BO314">
            <v>474.5</v>
          </cell>
          <cell r="BP314">
            <v>475</v>
          </cell>
          <cell r="BQ314">
            <v>474.5</v>
          </cell>
          <cell r="BR314" t="str">
            <v>SKDC</v>
          </cell>
        </row>
        <row r="315">
          <cell r="A315" t="str">
            <v>E6330</v>
          </cell>
          <cell r="B315">
            <v>5419</v>
          </cell>
          <cell r="C315" t="str">
            <v>The Grantham Church (VA) High School</v>
          </cell>
          <cell r="D315" t="str">
            <v/>
          </cell>
          <cell r="E315">
            <v>5419</v>
          </cell>
          <cell r="F315">
            <v>0</v>
          </cell>
          <cell r="G315">
            <v>0</v>
          </cell>
          <cell r="H315">
            <v>0</v>
          </cell>
          <cell r="I315">
            <v>0</v>
          </cell>
          <cell r="J315">
            <v>120</v>
          </cell>
          <cell r="K315">
            <v>99</v>
          </cell>
          <cell r="L315">
            <v>122</v>
          </cell>
          <cell r="M315">
            <v>99</v>
          </cell>
          <cell r="N315">
            <v>76</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516</v>
          </cell>
          <cell r="BO315">
            <v>516</v>
          </cell>
          <cell r="BP315">
            <v>516</v>
          </cell>
          <cell r="BQ315">
            <v>516</v>
          </cell>
          <cell r="BR315" t="str">
            <v>SKDC</v>
          </cell>
        </row>
        <row r="316">
          <cell r="A316" t="str">
            <v>E6340</v>
          </cell>
          <cell r="B316">
            <v>4019</v>
          </cell>
          <cell r="C316" t="str">
            <v>Grantham The Walton Girls' High School</v>
          </cell>
          <cell r="D316" t="str">
            <v/>
          </cell>
          <cell r="E316">
            <v>4019</v>
          </cell>
          <cell r="F316">
            <v>0</v>
          </cell>
          <cell r="G316">
            <v>0</v>
          </cell>
          <cell r="H316">
            <v>0</v>
          </cell>
          <cell r="I316">
            <v>0</v>
          </cell>
          <cell r="J316">
            <v>140</v>
          </cell>
          <cell r="K316">
            <v>131</v>
          </cell>
          <cell r="L316">
            <v>162</v>
          </cell>
          <cell r="M316">
            <v>139</v>
          </cell>
          <cell r="N316">
            <v>146</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718</v>
          </cell>
          <cell r="BO316">
            <v>718</v>
          </cell>
          <cell r="BP316">
            <v>718</v>
          </cell>
          <cell r="BQ316">
            <v>718</v>
          </cell>
          <cell r="BR316" t="str">
            <v>SKDC</v>
          </cell>
        </row>
        <row r="317">
          <cell r="A317" t="str">
            <v>E6350</v>
          </cell>
          <cell r="B317">
            <v>5426</v>
          </cell>
          <cell r="C317" t="str">
            <v>Grantham The Central Technology and Sports College</v>
          </cell>
          <cell r="D317" t="str">
            <v/>
          </cell>
          <cell r="E317">
            <v>5426</v>
          </cell>
          <cell r="F317">
            <v>0</v>
          </cell>
          <cell r="G317">
            <v>0</v>
          </cell>
          <cell r="H317">
            <v>0</v>
          </cell>
          <cell r="I317">
            <v>0</v>
          </cell>
          <cell r="J317">
            <v>127</v>
          </cell>
          <cell r="K317">
            <v>134</v>
          </cell>
          <cell r="L317">
            <v>136</v>
          </cell>
          <cell r="M317">
            <v>129</v>
          </cell>
          <cell r="N317">
            <v>150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676</v>
          </cell>
          <cell r="BO317">
            <v>676</v>
          </cell>
          <cell r="BP317">
            <v>676</v>
          </cell>
          <cell r="BQ317">
            <v>676</v>
          </cell>
          <cell r="BR317" t="str">
            <v>SKDC</v>
          </cell>
        </row>
        <row r="318">
          <cell r="A318" t="str">
            <v>E6360</v>
          </cell>
          <cell r="B318">
            <v>4029</v>
          </cell>
          <cell r="C318" t="str">
            <v>Holbeach The George Farmer Technology and Language College</v>
          </cell>
          <cell r="D318" t="str">
            <v/>
          </cell>
          <cell r="E318">
            <v>4029</v>
          </cell>
          <cell r="F318">
            <v>0</v>
          </cell>
          <cell r="G318">
            <v>0</v>
          </cell>
          <cell r="H318">
            <v>0</v>
          </cell>
          <cell r="I318">
            <v>12</v>
          </cell>
          <cell r="J318">
            <v>137</v>
          </cell>
          <cell r="K318">
            <v>137</v>
          </cell>
          <cell r="L318">
            <v>141</v>
          </cell>
          <cell r="M318">
            <v>143</v>
          </cell>
          <cell r="N318">
            <v>147</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717</v>
          </cell>
          <cell r="BO318">
            <v>717</v>
          </cell>
          <cell r="BP318">
            <v>717</v>
          </cell>
          <cell r="BQ318">
            <v>717</v>
          </cell>
          <cell r="BR318" t="str">
            <v>SHDC</v>
          </cell>
        </row>
        <row r="319">
          <cell r="A319" t="str">
            <v>E6370</v>
          </cell>
          <cell r="B319">
            <v>5411</v>
          </cell>
          <cell r="C319" t="str">
            <v>Horncastle Queen Elizabeth's Grammar School</v>
          </cell>
          <cell r="D319" t="str">
            <v/>
          </cell>
          <cell r="E319">
            <v>5411</v>
          </cell>
          <cell r="F319">
            <v>0</v>
          </cell>
          <cell r="G319">
            <v>2</v>
          </cell>
          <cell r="H319">
            <v>107</v>
          </cell>
          <cell r="I319">
            <v>121</v>
          </cell>
          <cell r="J319">
            <v>118</v>
          </cell>
          <cell r="K319">
            <v>123</v>
          </cell>
          <cell r="L319">
            <v>121</v>
          </cell>
          <cell r="M319">
            <v>119</v>
          </cell>
          <cell r="N319">
            <v>124</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835</v>
          </cell>
          <cell r="BO319">
            <v>835</v>
          </cell>
          <cell r="BP319">
            <v>835</v>
          </cell>
          <cell r="BQ319">
            <v>835</v>
          </cell>
          <cell r="BR319" t="str">
            <v>ELDC</v>
          </cell>
        </row>
        <row r="320">
          <cell r="A320" t="str">
            <v>E6380</v>
          </cell>
          <cell r="B320">
            <v>4050</v>
          </cell>
          <cell r="C320" t="str">
            <v>Horncastle Banovallum School</v>
          </cell>
          <cell r="D320" t="str">
            <v/>
          </cell>
          <cell r="E320">
            <v>4050</v>
          </cell>
          <cell r="F320">
            <v>0</v>
          </cell>
          <cell r="G320">
            <v>0</v>
          </cell>
          <cell r="H320">
            <v>0</v>
          </cell>
          <cell r="I320">
            <v>0</v>
          </cell>
          <cell r="J320">
            <v>124</v>
          </cell>
          <cell r="K320">
            <v>108</v>
          </cell>
          <cell r="L320">
            <v>125</v>
          </cell>
          <cell r="M320">
            <v>110</v>
          </cell>
          <cell r="N320">
            <v>107</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1</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575</v>
          </cell>
          <cell r="BO320">
            <v>574.5</v>
          </cell>
          <cell r="BP320">
            <v>575</v>
          </cell>
          <cell r="BQ320">
            <v>574.5</v>
          </cell>
          <cell r="BR320" t="str">
            <v>ELDC</v>
          </cell>
        </row>
        <row r="321">
          <cell r="A321" t="str">
            <v>E6400</v>
          </cell>
          <cell r="B321">
            <v>4028</v>
          </cell>
          <cell r="C321" t="str">
            <v>Kirton Middlecott School</v>
          </cell>
          <cell r="D321" t="str">
            <v/>
          </cell>
          <cell r="E321">
            <v>4028</v>
          </cell>
          <cell r="F321">
            <v>0</v>
          </cell>
          <cell r="G321">
            <v>1</v>
          </cell>
          <cell r="H321">
            <v>0</v>
          </cell>
          <cell r="I321">
            <v>6</v>
          </cell>
          <cell r="J321">
            <v>99</v>
          </cell>
          <cell r="K321">
            <v>104</v>
          </cell>
          <cell r="L321">
            <v>108</v>
          </cell>
          <cell r="M321">
            <v>89</v>
          </cell>
          <cell r="N321">
            <v>104</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511</v>
          </cell>
          <cell r="BO321">
            <v>511</v>
          </cell>
          <cell r="BP321">
            <v>511</v>
          </cell>
          <cell r="BQ321">
            <v>511</v>
          </cell>
          <cell r="BR321" t="str">
            <v>BBC</v>
          </cell>
        </row>
        <row r="322">
          <cell r="A322" t="str">
            <v>E6420</v>
          </cell>
          <cell r="B322">
            <v>5414</v>
          </cell>
          <cell r="C322" t="str">
            <v>Lincoln Joseph Ruston Technology College</v>
          </cell>
          <cell r="D322" t="str">
            <v/>
          </cell>
          <cell r="E322">
            <v>5414</v>
          </cell>
          <cell r="F322">
            <v>0</v>
          </cell>
          <cell r="G322">
            <v>2</v>
          </cell>
          <cell r="H322">
            <v>2</v>
          </cell>
          <cell r="I322">
            <v>6</v>
          </cell>
          <cell r="J322">
            <v>75</v>
          </cell>
          <cell r="K322">
            <v>85</v>
          </cell>
          <cell r="L322">
            <v>83</v>
          </cell>
          <cell r="M322">
            <v>57</v>
          </cell>
          <cell r="N322">
            <v>60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370</v>
          </cell>
          <cell r="BO322">
            <v>370</v>
          </cell>
          <cell r="BP322">
            <v>370</v>
          </cell>
          <cell r="BQ322">
            <v>370</v>
          </cell>
          <cell r="BR322" t="str">
            <v>LCC</v>
          </cell>
        </row>
        <row r="323">
          <cell r="A323" t="str">
            <v>E6450</v>
          </cell>
          <cell r="B323">
            <v>5421</v>
          </cell>
          <cell r="C323" t="str">
            <v>Lincoln Saint Peter and Saint Paul Lincoln's Catholic High School A Science College</v>
          </cell>
          <cell r="D323" t="str">
            <v/>
          </cell>
          <cell r="E323">
            <v>5421</v>
          </cell>
          <cell r="F323">
            <v>0</v>
          </cell>
          <cell r="G323">
            <v>6</v>
          </cell>
          <cell r="H323">
            <v>35</v>
          </cell>
          <cell r="I323">
            <v>67</v>
          </cell>
          <cell r="J323">
            <v>108</v>
          </cell>
          <cell r="K323">
            <v>115</v>
          </cell>
          <cell r="L323">
            <v>110</v>
          </cell>
          <cell r="M323">
            <v>106</v>
          </cell>
          <cell r="N323">
            <v>112</v>
          </cell>
          <cell r="O323">
            <v>1</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660</v>
          </cell>
          <cell r="BO323">
            <v>660</v>
          </cell>
          <cell r="BP323">
            <v>660</v>
          </cell>
          <cell r="BQ323">
            <v>660</v>
          </cell>
          <cell r="BR323" t="str">
            <v>LCC</v>
          </cell>
        </row>
        <row r="324">
          <cell r="A324" t="str">
            <v>E6470</v>
          </cell>
          <cell r="B324">
            <v>5407</v>
          </cell>
          <cell r="C324" t="str">
            <v>Lincoln Yarborough School</v>
          </cell>
          <cell r="D324" t="str">
            <v/>
          </cell>
          <cell r="E324">
            <v>5407</v>
          </cell>
          <cell r="F324">
            <v>0</v>
          </cell>
          <cell r="G324">
            <v>9</v>
          </cell>
          <cell r="H324">
            <v>61</v>
          </cell>
          <cell r="I324">
            <v>81</v>
          </cell>
          <cell r="J324">
            <v>138</v>
          </cell>
          <cell r="K324">
            <v>151</v>
          </cell>
          <cell r="L324">
            <v>147</v>
          </cell>
          <cell r="M324">
            <v>137</v>
          </cell>
          <cell r="N324">
            <v>127</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851</v>
          </cell>
          <cell r="BO324">
            <v>851</v>
          </cell>
          <cell r="BP324">
            <v>851</v>
          </cell>
          <cell r="BQ324">
            <v>851</v>
          </cell>
          <cell r="BR324" t="str">
            <v>LCC</v>
          </cell>
        </row>
        <row r="325">
          <cell r="A325" t="str">
            <v>E6480</v>
          </cell>
          <cell r="B325">
            <v>4036</v>
          </cell>
          <cell r="C325" t="str">
            <v>Lincoln The City of Lincoln Community College</v>
          </cell>
          <cell r="D325" t="str">
            <v/>
          </cell>
          <cell r="E325">
            <v>4036</v>
          </cell>
          <cell r="F325">
            <v>0</v>
          </cell>
          <cell r="G325">
            <v>2</v>
          </cell>
          <cell r="H325">
            <v>45</v>
          </cell>
          <cell r="I325">
            <v>63</v>
          </cell>
          <cell r="J325">
            <v>155</v>
          </cell>
          <cell r="K325">
            <v>178</v>
          </cell>
          <cell r="L325">
            <v>166</v>
          </cell>
          <cell r="M325">
            <v>167</v>
          </cell>
          <cell r="N325">
            <v>147</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923</v>
          </cell>
          <cell r="BO325">
            <v>923</v>
          </cell>
          <cell r="BP325">
            <v>923</v>
          </cell>
          <cell r="BQ325">
            <v>923</v>
          </cell>
          <cell r="BR325" t="str">
            <v>LCC</v>
          </cell>
        </row>
        <row r="326">
          <cell r="A326" t="str">
            <v>E6500</v>
          </cell>
          <cell r="B326">
            <v>5425</v>
          </cell>
          <cell r="C326" t="str">
            <v>Lincoln The Priory LSST School</v>
          </cell>
          <cell r="D326" t="str">
            <v/>
          </cell>
          <cell r="E326">
            <v>5425</v>
          </cell>
          <cell r="F326">
            <v>0</v>
          </cell>
          <cell r="G326">
            <v>11</v>
          </cell>
          <cell r="H326">
            <v>197</v>
          </cell>
          <cell r="I326">
            <v>212</v>
          </cell>
          <cell r="J326">
            <v>258</v>
          </cell>
          <cell r="K326">
            <v>253</v>
          </cell>
          <cell r="L326">
            <v>251</v>
          </cell>
          <cell r="M326">
            <v>261</v>
          </cell>
          <cell r="N326">
            <v>260</v>
          </cell>
          <cell r="O326">
            <v>2</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1705</v>
          </cell>
          <cell r="BO326">
            <v>1705</v>
          </cell>
          <cell r="BP326">
            <v>1705</v>
          </cell>
          <cell r="BQ326">
            <v>1705</v>
          </cell>
          <cell r="BR326" t="str">
            <v>LCC</v>
          </cell>
        </row>
        <row r="327">
          <cell r="A327" t="str">
            <v>E6540</v>
          </cell>
          <cell r="B327">
            <v>4030</v>
          </cell>
          <cell r="C327" t="str">
            <v>Long Sutton The Peele School</v>
          </cell>
          <cell r="D327" t="str">
            <v/>
          </cell>
          <cell r="E327">
            <v>4030</v>
          </cell>
          <cell r="F327">
            <v>0</v>
          </cell>
          <cell r="G327">
            <v>0</v>
          </cell>
          <cell r="H327">
            <v>0</v>
          </cell>
          <cell r="I327">
            <v>0</v>
          </cell>
          <cell r="J327">
            <v>127</v>
          </cell>
          <cell r="K327">
            <v>127</v>
          </cell>
          <cell r="L327">
            <v>131</v>
          </cell>
          <cell r="M327">
            <v>136</v>
          </cell>
          <cell r="N327">
            <v>129</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650</v>
          </cell>
          <cell r="BO327">
            <v>650</v>
          </cell>
          <cell r="BP327">
            <v>650</v>
          </cell>
          <cell r="BQ327">
            <v>650</v>
          </cell>
          <cell r="BR327" t="str">
            <v>SHDC</v>
          </cell>
        </row>
        <row r="328">
          <cell r="A328" t="str">
            <v>E6550</v>
          </cell>
          <cell r="B328">
            <v>5405</v>
          </cell>
          <cell r="C328" t="str">
            <v>Louth King Edward VI Grammar School</v>
          </cell>
          <cell r="D328" t="str">
            <v/>
          </cell>
          <cell r="E328">
            <v>5405</v>
          </cell>
          <cell r="F328">
            <v>1</v>
          </cell>
          <cell r="G328">
            <v>3</v>
          </cell>
          <cell r="H328">
            <v>102</v>
          </cell>
          <cell r="I328">
            <v>109</v>
          </cell>
          <cell r="J328">
            <v>119</v>
          </cell>
          <cell r="K328">
            <v>121</v>
          </cell>
          <cell r="L328">
            <v>120</v>
          </cell>
          <cell r="M328">
            <v>120</v>
          </cell>
          <cell r="N328">
            <v>120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815</v>
          </cell>
          <cell r="BO328">
            <v>815</v>
          </cell>
          <cell r="BP328">
            <v>815</v>
          </cell>
          <cell r="BQ328">
            <v>815</v>
          </cell>
          <cell r="BR328" t="str">
            <v>ELDC</v>
          </cell>
        </row>
        <row r="329">
          <cell r="A329" t="str">
            <v>E6560</v>
          </cell>
          <cell r="B329">
            <v>4056</v>
          </cell>
          <cell r="C329" t="str">
            <v>Louth Cordeaux School</v>
          </cell>
          <cell r="D329" t="str">
            <v/>
          </cell>
          <cell r="E329">
            <v>4056</v>
          </cell>
          <cell r="F329">
            <v>0</v>
          </cell>
          <cell r="G329">
            <v>2</v>
          </cell>
          <cell r="H329">
            <v>34</v>
          </cell>
          <cell r="I329">
            <v>34</v>
          </cell>
          <cell r="J329">
            <v>110</v>
          </cell>
          <cell r="K329">
            <v>113</v>
          </cell>
          <cell r="L329">
            <v>107</v>
          </cell>
          <cell r="M329">
            <v>105</v>
          </cell>
          <cell r="N329">
            <v>85</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590</v>
          </cell>
          <cell r="BO329">
            <v>590</v>
          </cell>
          <cell r="BP329">
            <v>590</v>
          </cell>
          <cell r="BQ329">
            <v>590</v>
          </cell>
          <cell r="BR329" t="str">
            <v>ELDC</v>
          </cell>
        </row>
        <row r="330">
          <cell r="A330" t="str">
            <v>E6570</v>
          </cell>
          <cell r="B330">
            <v>5417</v>
          </cell>
          <cell r="C330" t="str">
            <v>Louth Monks' Dyke Technology College</v>
          </cell>
          <cell r="D330" t="str">
            <v/>
          </cell>
          <cell r="E330">
            <v>5417</v>
          </cell>
          <cell r="F330">
            <v>0</v>
          </cell>
          <cell r="G330">
            <v>4</v>
          </cell>
          <cell r="H330">
            <v>75</v>
          </cell>
          <cell r="I330">
            <v>83</v>
          </cell>
          <cell r="J330">
            <v>200</v>
          </cell>
          <cell r="K330">
            <v>196</v>
          </cell>
          <cell r="L330">
            <v>199</v>
          </cell>
          <cell r="M330">
            <v>199</v>
          </cell>
          <cell r="N330">
            <v>184</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1140</v>
          </cell>
          <cell r="BO330">
            <v>1140</v>
          </cell>
          <cell r="BP330">
            <v>1140</v>
          </cell>
          <cell r="BQ330">
            <v>1140</v>
          </cell>
          <cell r="BR330" t="str">
            <v>ELDC</v>
          </cell>
        </row>
        <row r="331">
          <cell r="A331" t="str">
            <v>E6580</v>
          </cell>
          <cell r="B331">
            <v>5408</v>
          </cell>
          <cell r="C331" t="str">
            <v>Lincoln Christ's Hospital School</v>
          </cell>
          <cell r="D331" t="str">
            <v/>
          </cell>
          <cell r="E331">
            <v>5408</v>
          </cell>
          <cell r="F331">
            <v>0</v>
          </cell>
          <cell r="G331">
            <v>13</v>
          </cell>
          <cell r="H331">
            <v>66</v>
          </cell>
          <cell r="I331">
            <v>155</v>
          </cell>
          <cell r="J331">
            <v>224</v>
          </cell>
          <cell r="K331">
            <v>228</v>
          </cell>
          <cell r="L331">
            <v>229</v>
          </cell>
          <cell r="M331">
            <v>223</v>
          </cell>
          <cell r="N331">
            <v>203</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1341</v>
          </cell>
          <cell r="BO331">
            <v>1341</v>
          </cell>
          <cell r="BP331">
            <v>1341</v>
          </cell>
          <cell r="BQ331">
            <v>1341</v>
          </cell>
          <cell r="BR331" t="str">
            <v>LCC</v>
          </cell>
        </row>
        <row r="332">
          <cell r="A332" t="str">
            <v>E6590</v>
          </cell>
          <cell r="B332">
            <v>4059</v>
          </cell>
          <cell r="C332" t="str">
            <v>Mablethorpe Tennyson High School</v>
          </cell>
          <cell r="D332" t="str">
            <v/>
          </cell>
          <cell r="E332">
            <v>4059</v>
          </cell>
          <cell r="F332">
            <v>0</v>
          </cell>
          <cell r="G332">
            <v>1</v>
          </cell>
          <cell r="H332">
            <v>2</v>
          </cell>
          <cell r="I332">
            <v>13</v>
          </cell>
          <cell r="J332">
            <v>65</v>
          </cell>
          <cell r="K332">
            <v>64</v>
          </cell>
          <cell r="L332">
            <v>78</v>
          </cell>
          <cell r="M332">
            <v>50</v>
          </cell>
          <cell r="N332">
            <v>38</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311</v>
          </cell>
          <cell r="BO332">
            <v>311</v>
          </cell>
          <cell r="BP332">
            <v>311</v>
          </cell>
          <cell r="BQ332">
            <v>311</v>
          </cell>
          <cell r="BR332" t="str">
            <v>ELDC</v>
          </cell>
        </row>
        <row r="333">
          <cell r="A333" t="str">
            <v>E6600</v>
          </cell>
          <cell r="B333">
            <v>4514</v>
          </cell>
          <cell r="C333" t="str">
            <v>Market Rasen De Aston School</v>
          </cell>
          <cell r="D333" t="str">
            <v/>
          </cell>
          <cell r="E333">
            <v>4514</v>
          </cell>
          <cell r="F333">
            <v>1</v>
          </cell>
          <cell r="G333">
            <v>10</v>
          </cell>
          <cell r="H333">
            <v>69</v>
          </cell>
          <cell r="I333">
            <v>95</v>
          </cell>
          <cell r="J333">
            <v>195</v>
          </cell>
          <cell r="K333">
            <v>187</v>
          </cell>
          <cell r="L333">
            <v>204</v>
          </cell>
          <cell r="M333">
            <v>153</v>
          </cell>
          <cell r="N333">
            <v>187</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1101</v>
          </cell>
          <cell r="BO333">
            <v>1101</v>
          </cell>
          <cell r="BP333">
            <v>1101</v>
          </cell>
          <cell r="BQ333">
            <v>1101</v>
          </cell>
          <cell r="BR333" t="str">
            <v>WLDC</v>
          </cell>
        </row>
        <row r="334">
          <cell r="A334" t="str">
            <v>E6620</v>
          </cell>
          <cell r="B334">
            <v>5412</v>
          </cell>
          <cell r="C334" t="str">
            <v>North Hykeham North Kesteven School</v>
          </cell>
          <cell r="D334" t="str">
            <v/>
          </cell>
          <cell r="E334">
            <v>5412</v>
          </cell>
          <cell r="F334">
            <v>0</v>
          </cell>
          <cell r="G334">
            <v>6</v>
          </cell>
          <cell r="H334">
            <v>103</v>
          </cell>
          <cell r="I334">
            <v>145</v>
          </cell>
          <cell r="J334">
            <v>232</v>
          </cell>
          <cell r="K334">
            <v>233</v>
          </cell>
          <cell r="L334">
            <v>232</v>
          </cell>
          <cell r="M334">
            <v>236</v>
          </cell>
          <cell r="N334">
            <v>234</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1421</v>
          </cell>
          <cell r="BO334">
            <v>1421</v>
          </cell>
          <cell r="BP334">
            <v>1421</v>
          </cell>
          <cell r="BQ334">
            <v>1421</v>
          </cell>
          <cell r="BR334" t="str">
            <v>NKDC</v>
          </cell>
        </row>
        <row r="335">
          <cell r="A335" t="str">
            <v>E6630</v>
          </cell>
          <cell r="B335">
            <v>5413</v>
          </cell>
          <cell r="C335" t="str">
            <v>North Hykeham Robert Pattinson School</v>
          </cell>
          <cell r="D335" t="str">
            <v/>
          </cell>
          <cell r="E335">
            <v>5413</v>
          </cell>
          <cell r="F335">
            <v>0</v>
          </cell>
          <cell r="G335">
            <v>10</v>
          </cell>
          <cell r="H335">
            <v>79</v>
          </cell>
          <cell r="I335">
            <v>129</v>
          </cell>
          <cell r="J335">
            <v>223</v>
          </cell>
          <cell r="K335">
            <v>227</v>
          </cell>
          <cell r="L335">
            <v>209</v>
          </cell>
          <cell r="M335">
            <v>225</v>
          </cell>
          <cell r="N335">
            <v>218</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1320</v>
          </cell>
          <cell r="BO335">
            <v>1320</v>
          </cell>
          <cell r="BP335">
            <v>1320</v>
          </cell>
          <cell r="BQ335">
            <v>1320</v>
          </cell>
          <cell r="BR335" t="str">
            <v>NKDC</v>
          </cell>
        </row>
        <row r="336">
          <cell r="A336" t="str">
            <v>E6640</v>
          </cell>
          <cell r="B336">
            <v>4061</v>
          </cell>
          <cell r="C336" t="str">
            <v>North Somercotes The Birkbeck School &amp; Community Arts College</v>
          </cell>
          <cell r="D336" t="str">
            <v/>
          </cell>
          <cell r="E336">
            <v>4061</v>
          </cell>
          <cell r="F336">
            <v>0</v>
          </cell>
          <cell r="G336">
            <v>0</v>
          </cell>
          <cell r="H336">
            <v>0</v>
          </cell>
          <cell r="I336">
            <v>1</v>
          </cell>
          <cell r="J336">
            <v>66</v>
          </cell>
          <cell r="K336">
            <v>72</v>
          </cell>
          <cell r="L336">
            <v>70</v>
          </cell>
          <cell r="M336">
            <v>72</v>
          </cell>
          <cell r="N336">
            <v>56</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337</v>
          </cell>
          <cell r="BO336">
            <v>337</v>
          </cell>
          <cell r="BP336">
            <v>337</v>
          </cell>
          <cell r="BQ336">
            <v>337</v>
          </cell>
          <cell r="BR336" t="str">
            <v>ELDC</v>
          </cell>
        </row>
        <row r="337">
          <cell r="A337" t="str">
            <v>E6650</v>
          </cell>
          <cell r="B337">
            <v>5423</v>
          </cell>
          <cell r="C337" t="str">
            <v>Old Leake The Giles School - 'Specialist In Visual Arts'</v>
          </cell>
          <cell r="D337" t="str">
            <v/>
          </cell>
          <cell r="E337">
            <v>5423</v>
          </cell>
          <cell r="F337">
            <v>1</v>
          </cell>
          <cell r="G337">
            <v>3</v>
          </cell>
          <cell r="H337">
            <v>73</v>
          </cell>
          <cell r="I337">
            <v>75</v>
          </cell>
          <cell r="J337">
            <v>161</v>
          </cell>
          <cell r="K337">
            <v>151</v>
          </cell>
          <cell r="L337">
            <v>158</v>
          </cell>
          <cell r="M337">
            <v>173</v>
          </cell>
          <cell r="N337">
            <v>166</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961</v>
          </cell>
          <cell r="BO337">
            <v>961</v>
          </cell>
          <cell r="BP337">
            <v>961</v>
          </cell>
          <cell r="BQ337">
            <v>961</v>
          </cell>
          <cell r="BR337" t="str">
            <v>BBC</v>
          </cell>
        </row>
        <row r="338">
          <cell r="A338" t="str">
            <v>E6660</v>
          </cell>
          <cell r="B338">
            <v>4006</v>
          </cell>
          <cell r="C338" t="str">
            <v>Ruskington Coteland's School</v>
          </cell>
          <cell r="D338" t="str">
            <v/>
          </cell>
          <cell r="E338">
            <v>4006</v>
          </cell>
          <cell r="F338">
            <v>0</v>
          </cell>
          <cell r="G338">
            <v>0</v>
          </cell>
          <cell r="H338">
            <v>0</v>
          </cell>
          <cell r="I338">
            <v>1</v>
          </cell>
          <cell r="J338">
            <v>75</v>
          </cell>
          <cell r="K338">
            <v>76</v>
          </cell>
          <cell r="L338">
            <v>76</v>
          </cell>
          <cell r="M338">
            <v>77</v>
          </cell>
          <cell r="N338">
            <v>67</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372</v>
          </cell>
          <cell r="BO338">
            <v>372</v>
          </cell>
          <cell r="BP338">
            <v>372</v>
          </cell>
          <cell r="BQ338">
            <v>372</v>
          </cell>
          <cell r="BR338" t="str">
            <v>NKDC</v>
          </cell>
        </row>
        <row r="339">
          <cell r="A339" t="str">
            <v>E6670</v>
          </cell>
          <cell r="B339">
            <v>5400</v>
          </cell>
          <cell r="C339" t="str">
            <v>Skegness Grammar School</v>
          </cell>
          <cell r="D339" t="str">
            <v/>
          </cell>
          <cell r="E339">
            <v>5400</v>
          </cell>
          <cell r="F339">
            <v>0</v>
          </cell>
          <cell r="G339">
            <v>4</v>
          </cell>
          <cell r="H339">
            <v>102</v>
          </cell>
          <cell r="I339">
            <v>104</v>
          </cell>
          <cell r="J339">
            <v>110</v>
          </cell>
          <cell r="K339">
            <v>129</v>
          </cell>
          <cell r="L339">
            <v>134</v>
          </cell>
          <cell r="M339">
            <v>106</v>
          </cell>
          <cell r="N339">
            <v>110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799</v>
          </cell>
          <cell r="BO339">
            <v>799</v>
          </cell>
          <cell r="BP339">
            <v>799</v>
          </cell>
          <cell r="BQ339">
            <v>799</v>
          </cell>
          <cell r="BR339" t="str">
            <v>ELDC</v>
          </cell>
        </row>
        <row r="340">
          <cell r="A340" t="str">
            <v>E6690</v>
          </cell>
          <cell r="B340">
            <v>4609</v>
          </cell>
          <cell r="C340" t="str">
            <v>Skegness St. Clement's College</v>
          </cell>
          <cell r="D340" t="str">
            <v/>
          </cell>
          <cell r="E340">
            <v>4609</v>
          </cell>
          <cell r="F340">
            <v>1</v>
          </cell>
          <cell r="G340">
            <v>15</v>
          </cell>
          <cell r="H340">
            <v>32</v>
          </cell>
          <cell r="I340">
            <v>76</v>
          </cell>
          <cell r="J340">
            <v>172</v>
          </cell>
          <cell r="K340">
            <v>193</v>
          </cell>
          <cell r="L340">
            <v>202</v>
          </cell>
          <cell r="M340">
            <v>186</v>
          </cell>
          <cell r="N340">
            <v>141</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1018</v>
          </cell>
          <cell r="BO340">
            <v>1018</v>
          </cell>
          <cell r="BP340">
            <v>1018</v>
          </cell>
          <cell r="BQ340">
            <v>1018</v>
          </cell>
          <cell r="BR340" t="str">
            <v>ELDC</v>
          </cell>
        </row>
        <row r="341">
          <cell r="A341" t="str">
            <v>E6710</v>
          </cell>
          <cell r="B341">
            <v>5403</v>
          </cell>
          <cell r="C341" t="str">
            <v>Sleaford Carre’s Grammar School</v>
          </cell>
          <cell r="D341" t="str">
            <v/>
          </cell>
          <cell r="E341">
            <v>5403</v>
          </cell>
          <cell r="F341">
            <v>0</v>
          </cell>
          <cell r="G341">
            <v>2</v>
          </cell>
          <cell r="H341">
            <v>85</v>
          </cell>
          <cell r="I341">
            <v>84</v>
          </cell>
          <cell r="J341">
            <v>103</v>
          </cell>
          <cell r="K341">
            <v>109</v>
          </cell>
          <cell r="L341">
            <v>117</v>
          </cell>
          <cell r="M341">
            <v>96</v>
          </cell>
          <cell r="N341">
            <v>108</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704</v>
          </cell>
          <cell r="BO341">
            <v>704</v>
          </cell>
          <cell r="BP341">
            <v>704</v>
          </cell>
          <cell r="BQ341">
            <v>704</v>
          </cell>
          <cell r="BR341" t="str">
            <v>NKDC</v>
          </cell>
        </row>
        <row r="342">
          <cell r="A342" t="str">
            <v>E6720</v>
          </cell>
          <cell r="B342">
            <v>4005</v>
          </cell>
          <cell r="C342" t="str">
            <v>Sleaford Kesteven &amp; Sleaford High School</v>
          </cell>
          <cell r="D342" t="str">
            <v/>
          </cell>
          <cell r="E342">
            <v>4005</v>
          </cell>
          <cell r="F342">
            <v>0</v>
          </cell>
          <cell r="G342">
            <v>3</v>
          </cell>
          <cell r="H342">
            <v>95</v>
          </cell>
          <cell r="I342">
            <v>105</v>
          </cell>
          <cell r="J342">
            <v>123</v>
          </cell>
          <cell r="K342">
            <v>118</v>
          </cell>
          <cell r="L342">
            <v>120</v>
          </cell>
          <cell r="M342">
            <v>151</v>
          </cell>
          <cell r="N342">
            <v>118</v>
          </cell>
          <cell r="O342">
            <v>1</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834</v>
          </cell>
          <cell r="BO342">
            <v>834</v>
          </cell>
          <cell r="BP342">
            <v>834</v>
          </cell>
          <cell r="BQ342">
            <v>834</v>
          </cell>
          <cell r="BR342" t="str">
            <v>NKDC</v>
          </cell>
        </row>
        <row r="343">
          <cell r="A343" t="str">
            <v>E6730</v>
          </cell>
          <cell r="B343">
            <v>5404</v>
          </cell>
          <cell r="C343" t="str">
            <v>Sleaford St George's College of Technology</v>
          </cell>
          <cell r="D343" t="str">
            <v/>
          </cell>
          <cell r="E343">
            <v>5404</v>
          </cell>
          <cell r="F343">
            <v>6</v>
          </cell>
          <cell r="G343">
            <v>12</v>
          </cell>
          <cell r="H343">
            <v>127</v>
          </cell>
          <cell r="I343">
            <v>163</v>
          </cell>
          <cell r="J343">
            <v>252</v>
          </cell>
          <cell r="K343">
            <v>256</v>
          </cell>
          <cell r="L343">
            <v>258</v>
          </cell>
          <cell r="M343">
            <v>272</v>
          </cell>
          <cell r="N343">
            <v>273</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1619</v>
          </cell>
          <cell r="BO343">
            <v>1619</v>
          </cell>
          <cell r="BP343">
            <v>1619</v>
          </cell>
          <cell r="BQ343">
            <v>1619</v>
          </cell>
          <cell r="BR343" t="str">
            <v>NKDC</v>
          </cell>
        </row>
        <row r="344">
          <cell r="A344" t="str">
            <v>E6740</v>
          </cell>
          <cell r="B344">
            <v>4603</v>
          </cell>
          <cell r="C344" t="str">
            <v>Spalding Grammar School</v>
          </cell>
          <cell r="D344" t="str">
            <v/>
          </cell>
          <cell r="E344">
            <v>4603</v>
          </cell>
          <cell r="F344">
            <v>0</v>
          </cell>
          <cell r="G344">
            <v>0</v>
          </cell>
          <cell r="H344">
            <v>154</v>
          </cell>
          <cell r="I344">
            <v>158</v>
          </cell>
          <cell r="J344">
            <v>119</v>
          </cell>
          <cell r="K344">
            <v>142</v>
          </cell>
          <cell r="L344">
            <v>119</v>
          </cell>
          <cell r="M344">
            <v>116</v>
          </cell>
          <cell r="N344">
            <v>124</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932</v>
          </cell>
          <cell r="BO344">
            <v>932</v>
          </cell>
          <cell r="BP344">
            <v>932</v>
          </cell>
          <cell r="BQ344">
            <v>932</v>
          </cell>
          <cell r="BR344" t="str">
            <v>SHDC</v>
          </cell>
        </row>
        <row r="345">
          <cell r="A345" t="str">
            <v>E6750</v>
          </cell>
          <cell r="B345">
            <v>4027</v>
          </cell>
          <cell r="C345" t="str">
            <v>Spalding High School</v>
          </cell>
          <cell r="D345" t="str">
            <v/>
          </cell>
          <cell r="E345">
            <v>4027</v>
          </cell>
          <cell r="F345">
            <v>0</v>
          </cell>
          <cell r="G345">
            <v>2</v>
          </cell>
          <cell r="H345">
            <v>112</v>
          </cell>
          <cell r="I345">
            <v>123</v>
          </cell>
          <cell r="J345">
            <v>132</v>
          </cell>
          <cell r="K345">
            <v>151</v>
          </cell>
          <cell r="L345">
            <v>148</v>
          </cell>
          <cell r="M345">
            <v>147</v>
          </cell>
          <cell r="N345">
            <v>151</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966</v>
          </cell>
          <cell r="BO345">
            <v>966</v>
          </cell>
          <cell r="BP345">
            <v>966</v>
          </cell>
          <cell r="BQ345">
            <v>966</v>
          </cell>
          <cell r="BR345" t="str">
            <v>SHDC</v>
          </cell>
        </row>
        <row r="346">
          <cell r="A346" t="str">
            <v>E6760</v>
          </cell>
          <cell r="B346">
            <v>4025</v>
          </cell>
          <cell r="C346" t="str">
            <v>Spalding Gleed Boys’ School</v>
          </cell>
          <cell r="D346" t="str">
            <v/>
          </cell>
          <cell r="E346">
            <v>4025</v>
          </cell>
          <cell r="F346">
            <v>0</v>
          </cell>
          <cell r="G346">
            <v>0</v>
          </cell>
          <cell r="H346">
            <v>0</v>
          </cell>
          <cell r="I346">
            <v>2</v>
          </cell>
          <cell r="J346">
            <v>132</v>
          </cell>
          <cell r="K346">
            <v>129</v>
          </cell>
          <cell r="L346">
            <v>132</v>
          </cell>
          <cell r="M346">
            <v>129</v>
          </cell>
          <cell r="N346">
            <v>120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644</v>
          </cell>
          <cell r="BO346">
            <v>644</v>
          </cell>
          <cell r="BP346">
            <v>644</v>
          </cell>
          <cell r="BQ346">
            <v>644</v>
          </cell>
          <cell r="BR346" t="str">
            <v>SHDC</v>
          </cell>
        </row>
        <row r="347">
          <cell r="A347" t="str">
            <v>E6770</v>
          </cell>
          <cell r="B347">
            <v>5416</v>
          </cell>
          <cell r="C347" t="str">
            <v>Spalding The Gleed Girls' Technology College</v>
          </cell>
          <cell r="D347" t="str">
            <v/>
          </cell>
          <cell r="E347">
            <v>5416</v>
          </cell>
          <cell r="F347">
            <v>0</v>
          </cell>
          <cell r="G347">
            <v>0</v>
          </cell>
          <cell r="H347">
            <v>0</v>
          </cell>
          <cell r="I347">
            <v>3</v>
          </cell>
          <cell r="J347">
            <v>163</v>
          </cell>
          <cell r="K347">
            <v>147</v>
          </cell>
          <cell r="L347">
            <v>152</v>
          </cell>
          <cell r="M347">
            <v>161</v>
          </cell>
          <cell r="N347">
            <v>146</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772</v>
          </cell>
          <cell r="BO347">
            <v>772</v>
          </cell>
          <cell r="BP347">
            <v>772</v>
          </cell>
          <cell r="BQ347">
            <v>772</v>
          </cell>
          <cell r="BR347" t="str">
            <v>SHDC</v>
          </cell>
        </row>
        <row r="348">
          <cell r="A348" t="str">
            <v>E6780</v>
          </cell>
          <cell r="B348">
            <v>4067</v>
          </cell>
          <cell r="C348" t="str">
            <v>Stamford Queen Eleanor Technology College</v>
          </cell>
          <cell r="D348" t="str">
            <v/>
          </cell>
          <cell r="E348">
            <v>4067</v>
          </cell>
          <cell r="F348">
            <v>0</v>
          </cell>
          <cell r="G348">
            <v>0</v>
          </cell>
          <cell r="H348">
            <v>1</v>
          </cell>
          <cell r="I348">
            <v>0</v>
          </cell>
          <cell r="J348">
            <v>91</v>
          </cell>
          <cell r="K348">
            <v>97</v>
          </cell>
          <cell r="L348">
            <v>96</v>
          </cell>
          <cell r="M348">
            <v>92</v>
          </cell>
          <cell r="N348">
            <v>96</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473</v>
          </cell>
          <cell r="BO348">
            <v>473</v>
          </cell>
          <cell r="BP348">
            <v>473</v>
          </cell>
          <cell r="BQ348">
            <v>473</v>
          </cell>
          <cell r="BR348" t="str">
            <v>SKDC</v>
          </cell>
        </row>
        <row r="349">
          <cell r="A349" t="str">
            <v>E6830</v>
          </cell>
          <cell r="B349">
            <v>4516</v>
          </cell>
          <cell r="C349" t="str">
            <v>Stickney William Lovell CE School</v>
          </cell>
          <cell r="D349" t="str">
            <v/>
          </cell>
          <cell r="E349">
            <v>4516</v>
          </cell>
          <cell r="F349">
            <v>0</v>
          </cell>
          <cell r="G349">
            <v>0</v>
          </cell>
          <cell r="H349">
            <v>0</v>
          </cell>
          <cell r="I349">
            <v>0</v>
          </cell>
          <cell r="J349">
            <v>86</v>
          </cell>
          <cell r="K349">
            <v>85</v>
          </cell>
          <cell r="L349">
            <v>86</v>
          </cell>
          <cell r="M349">
            <v>85</v>
          </cell>
          <cell r="N349">
            <v>85</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427</v>
          </cell>
          <cell r="BO349">
            <v>427</v>
          </cell>
          <cell r="BP349">
            <v>427</v>
          </cell>
          <cell r="BQ349">
            <v>427</v>
          </cell>
          <cell r="BR349" t="str">
            <v>ELDC</v>
          </cell>
        </row>
        <row r="350">
          <cell r="A350" t="str">
            <v>E6850</v>
          </cell>
          <cell r="B350">
            <v>5409</v>
          </cell>
          <cell r="C350" t="str">
            <v>Tattershall Gartree Community School</v>
          </cell>
          <cell r="D350" t="str">
            <v/>
          </cell>
          <cell r="E350">
            <v>5409</v>
          </cell>
          <cell r="F350">
            <v>0</v>
          </cell>
          <cell r="G350">
            <v>0</v>
          </cell>
          <cell r="H350">
            <v>0</v>
          </cell>
          <cell r="I350">
            <v>0</v>
          </cell>
          <cell r="J350">
            <v>120</v>
          </cell>
          <cell r="K350">
            <v>111</v>
          </cell>
          <cell r="L350">
            <v>105</v>
          </cell>
          <cell r="M350">
            <v>90</v>
          </cell>
          <cell r="N350">
            <v>93</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519</v>
          </cell>
          <cell r="BO350">
            <v>519</v>
          </cell>
          <cell r="BP350">
            <v>519</v>
          </cell>
          <cell r="BQ350">
            <v>519</v>
          </cell>
          <cell r="BR350" t="str">
            <v>ELDC</v>
          </cell>
        </row>
        <row r="351">
          <cell r="A351" t="str">
            <v>E6870</v>
          </cell>
          <cell r="B351">
            <v>5420</v>
          </cell>
          <cell r="C351" t="str">
            <v>Welbourn Sir William Robertson High School</v>
          </cell>
          <cell r="D351" t="str">
            <v/>
          </cell>
          <cell r="E351">
            <v>5420</v>
          </cell>
          <cell r="F351">
            <v>0</v>
          </cell>
          <cell r="G351">
            <v>0</v>
          </cell>
          <cell r="H351">
            <v>0</v>
          </cell>
          <cell r="I351">
            <v>1</v>
          </cell>
          <cell r="J351">
            <v>164</v>
          </cell>
          <cell r="K351">
            <v>162</v>
          </cell>
          <cell r="L351">
            <v>199</v>
          </cell>
          <cell r="M351">
            <v>177</v>
          </cell>
          <cell r="N351">
            <v>187</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890</v>
          </cell>
          <cell r="BO351">
            <v>890</v>
          </cell>
          <cell r="BP351">
            <v>890</v>
          </cell>
          <cell r="BQ351">
            <v>890</v>
          </cell>
          <cell r="BR351" t="str">
            <v>NKDC</v>
          </cell>
        </row>
        <row r="352">
          <cell r="A352" t="str">
            <v>E6880</v>
          </cell>
          <cell r="B352">
            <v>5415</v>
          </cell>
          <cell r="C352" t="str">
            <v>Welton William Farr (CE) Comprehensive School</v>
          </cell>
          <cell r="D352" t="str">
            <v/>
          </cell>
          <cell r="E352">
            <v>5415</v>
          </cell>
          <cell r="F352">
            <v>0</v>
          </cell>
          <cell r="G352">
            <v>1</v>
          </cell>
          <cell r="H352">
            <v>115</v>
          </cell>
          <cell r="I352">
            <v>138</v>
          </cell>
          <cell r="J352">
            <v>237</v>
          </cell>
          <cell r="K352">
            <v>239</v>
          </cell>
          <cell r="L352">
            <v>254</v>
          </cell>
          <cell r="M352">
            <v>260</v>
          </cell>
          <cell r="N352">
            <v>236</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1480</v>
          </cell>
          <cell r="BO352">
            <v>1480</v>
          </cell>
          <cell r="BP352">
            <v>1480</v>
          </cell>
          <cell r="BQ352">
            <v>1480</v>
          </cell>
          <cell r="BR352" t="str">
            <v>WLDC</v>
          </cell>
        </row>
        <row r="353">
          <cell r="A353" t="str">
            <v>E6890</v>
          </cell>
          <cell r="B353">
            <v>4071</v>
          </cell>
          <cell r="C353" t="str">
            <v>Spilsby The King Edward VI Humanities College</v>
          </cell>
          <cell r="D353" t="str">
            <v/>
          </cell>
          <cell r="E353">
            <v>4071</v>
          </cell>
          <cell r="F353">
            <v>0</v>
          </cell>
          <cell r="G353">
            <v>0</v>
          </cell>
          <cell r="H353">
            <v>0</v>
          </cell>
          <cell r="I353">
            <v>0</v>
          </cell>
          <cell r="J353">
            <v>102</v>
          </cell>
          <cell r="K353">
            <v>101</v>
          </cell>
          <cell r="L353">
            <v>94</v>
          </cell>
          <cell r="M353">
            <v>87</v>
          </cell>
          <cell r="N353">
            <v>86</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470</v>
          </cell>
          <cell r="BO353">
            <v>470</v>
          </cell>
          <cell r="BP353">
            <v>470</v>
          </cell>
          <cell r="BQ353">
            <v>470</v>
          </cell>
          <cell r="BR353" t="str">
            <v>ELDC</v>
          </cell>
        </row>
        <row r="354">
          <cell r="A354" t="str">
            <v>E7000</v>
          </cell>
          <cell r="B354">
            <v>7010</v>
          </cell>
          <cell r="C354" t="str">
            <v>Boston John Fielding School</v>
          </cell>
          <cell r="D354" t="str">
            <v/>
          </cell>
          <cell r="E354">
            <v>7010</v>
          </cell>
          <cell r="F354">
            <v>0</v>
          </cell>
          <cell r="G354">
            <v>2</v>
          </cell>
          <cell r="H354">
            <v>0</v>
          </cell>
          <cell r="I354">
            <v>5</v>
          </cell>
          <cell r="J354">
            <v>6</v>
          </cell>
          <cell r="K354">
            <v>4</v>
          </cell>
          <cell r="L354">
            <v>5</v>
          </cell>
          <cell r="M354">
            <v>5</v>
          </cell>
          <cell r="N354">
            <v>3</v>
          </cell>
          <cell r="O354">
            <v>0</v>
          </cell>
          <cell r="P354">
            <v>4</v>
          </cell>
          <cell r="Q354">
            <v>1</v>
          </cell>
          <cell r="R354">
            <v>1</v>
          </cell>
          <cell r="S354">
            <v>2</v>
          </cell>
          <cell r="T354">
            <v>1</v>
          </cell>
          <cell r="U354">
            <v>0</v>
          </cell>
          <cell r="V354">
            <v>0</v>
          </cell>
          <cell r="W354">
            <v>0</v>
          </cell>
          <cell r="X354">
            <v>0</v>
          </cell>
          <cell r="Y354">
            <v>2</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1</v>
          </cell>
          <cell r="AT354">
            <v>2</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44</v>
          </cell>
          <cell r="BO354">
            <v>42.5</v>
          </cell>
          <cell r="BP354">
            <v>44</v>
          </cell>
          <cell r="BQ354">
            <v>42.5</v>
          </cell>
          <cell r="BR354" t="str">
            <v>BBC</v>
          </cell>
        </row>
        <row r="355">
          <cell r="A355" t="str">
            <v>E7010</v>
          </cell>
          <cell r="B355">
            <v>7029</v>
          </cell>
          <cell r="C355" t="str">
            <v>Grantham The Phoenix School</v>
          </cell>
          <cell r="D355" t="str">
            <v/>
          </cell>
          <cell r="E355">
            <v>7029</v>
          </cell>
          <cell r="F355">
            <v>0</v>
          </cell>
          <cell r="G355">
            <v>0</v>
          </cell>
          <cell r="H355">
            <v>0</v>
          </cell>
          <cell r="I355">
            <v>0</v>
          </cell>
          <cell r="J355">
            <v>14</v>
          </cell>
          <cell r="K355">
            <v>10</v>
          </cell>
          <cell r="L355">
            <v>14</v>
          </cell>
          <cell r="M355">
            <v>9</v>
          </cell>
          <cell r="N355">
            <v>8</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55</v>
          </cell>
          <cell r="BO355">
            <v>55</v>
          </cell>
          <cell r="BP355">
            <v>55</v>
          </cell>
          <cell r="BQ355">
            <v>55</v>
          </cell>
          <cell r="BR355" t="str">
            <v>SKDC</v>
          </cell>
        </row>
        <row r="356">
          <cell r="A356" t="str">
            <v>E7020</v>
          </cell>
          <cell r="B356">
            <v>7030</v>
          </cell>
          <cell r="C356" t="str">
            <v>Spilsby The Lady Jane Franklin School</v>
          </cell>
          <cell r="D356" t="str">
            <v/>
          </cell>
          <cell r="E356">
            <v>7030</v>
          </cell>
          <cell r="F356">
            <v>0</v>
          </cell>
          <cell r="G356">
            <v>0</v>
          </cell>
          <cell r="H356">
            <v>0</v>
          </cell>
          <cell r="I356">
            <v>0</v>
          </cell>
          <cell r="J356">
            <v>10</v>
          </cell>
          <cell r="K356">
            <v>19</v>
          </cell>
          <cell r="L356">
            <v>10</v>
          </cell>
          <cell r="M356">
            <v>10</v>
          </cell>
          <cell r="N356">
            <v>7</v>
          </cell>
          <cell r="O356">
            <v>1</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57</v>
          </cell>
          <cell r="BO356">
            <v>57</v>
          </cell>
          <cell r="BP356">
            <v>57</v>
          </cell>
          <cell r="BQ356">
            <v>57</v>
          </cell>
          <cell r="BR356" t="str">
            <v>ELDC</v>
          </cell>
        </row>
        <row r="357">
          <cell r="A357" t="str">
            <v>E7030</v>
          </cell>
          <cell r="B357">
            <v>7031</v>
          </cell>
          <cell r="C357" t="str">
            <v>Lincoln The Fortuna Primary School</v>
          </cell>
          <cell r="D357" t="str">
            <v/>
          </cell>
          <cell r="E357">
            <v>7031</v>
          </cell>
          <cell r="F357">
            <v>0</v>
          </cell>
          <cell r="G357">
            <v>0</v>
          </cell>
          <cell r="H357">
            <v>0</v>
          </cell>
          <cell r="I357">
            <v>0</v>
          </cell>
          <cell r="J357">
            <v>0</v>
          </cell>
          <cell r="K357">
            <v>0</v>
          </cell>
          <cell r="L357">
            <v>0</v>
          </cell>
          <cell r="M357">
            <v>0</v>
          </cell>
          <cell r="N357">
            <v>0</v>
          </cell>
          <cell r="O357">
            <v>16</v>
          </cell>
          <cell r="P357">
            <v>14</v>
          </cell>
          <cell r="Q357">
            <v>10</v>
          </cell>
          <cell r="R357">
            <v>6</v>
          </cell>
          <cell r="S357">
            <v>0</v>
          </cell>
          <cell r="T357">
            <v>1</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47</v>
          </cell>
          <cell r="BO357">
            <v>47</v>
          </cell>
          <cell r="BP357">
            <v>47</v>
          </cell>
          <cell r="BQ357">
            <v>47</v>
          </cell>
          <cell r="BR357" t="str">
            <v>LCC</v>
          </cell>
        </row>
        <row r="358">
          <cell r="A358" t="str">
            <v>E7040</v>
          </cell>
          <cell r="B358">
            <v>7026</v>
          </cell>
          <cell r="C358" t="str">
            <v>Gainsborough The William Harrison School</v>
          </cell>
          <cell r="D358" t="str">
            <v/>
          </cell>
          <cell r="E358">
            <v>7026</v>
          </cell>
          <cell r="F358">
            <v>0</v>
          </cell>
          <cell r="G358">
            <v>0</v>
          </cell>
          <cell r="H358">
            <v>0</v>
          </cell>
          <cell r="I358">
            <v>0</v>
          </cell>
          <cell r="J358">
            <v>8</v>
          </cell>
          <cell r="K358">
            <v>11</v>
          </cell>
          <cell r="L358">
            <v>9</v>
          </cell>
          <cell r="M358">
            <v>12</v>
          </cell>
          <cell r="N358">
            <v>8</v>
          </cell>
          <cell r="O358">
            <v>10</v>
          </cell>
          <cell r="P358">
            <v>10</v>
          </cell>
          <cell r="Q358">
            <v>12</v>
          </cell>
          <cell r="R358">
            <v>9</v>
          </cell>
          <cell r="S358">
            <v>4</v>
          </cell>
          <cell r="T358">
            <v>5</v>
          </cell>
          <cell r="U358">
            <v>1</v>
          </cell>
          <cell r="V358">
            <v>1</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2</v>
          </cell>
          <cell r="AU358">
            <v>0</v>
          </cell>
          <cell r="AV358">
            <v>1</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103</v>
          </cell>
          <cell r="BO358">
            <v>101.5</v>
          </cell>
          <cell r="BP358">
            <v>103</v>
          </cell>
          <cell r="BQ358">
            <v>101.5</v>
          </cell>
          <cell r="BR358" t="str">
            <v>WLDC</v>
          </cell>
        </row>
        <row r="359">
          <cell r="A359" t="str">
            <v>E7050</v>
          </cell>
          <cell r="B359">
            <v>7023</v>
          </cell>
          <cell r="C359" t="str">
            <v>Gainsborough The Beckett School</v>
          </cell>
          <cell r="D359" t="str">
            <v/>
          </cell>
          <cell r="E359">
            <v>7023</v>
          </cell>
          <cell r="F359">
            <v>0</v>
          </cell>
          <cell r="G359">
            <v>6</v>
          </cell>
          <cell r="H359">
            <v>1</v>
          </cell>
          <cell r="I359">
            <v>0</v>
          </cell>
          <cell r="J359">
            <v>2</v>
          </cell>
          <cell r="K359">
            <v>2</v>
          </cell>
          <cell r="L359">
            <v>2</v>
          </cell>
          <cell r="M359">
            <v>3</v>
          </cell>
          <cell r="N359">
            <v>0</v>
          </cell>
          <cell r="O359">
            <v>1</v>
          </cell>
          <cell r="P359">
            <v>4</v>
          </cell>
          <cell r="Q359">
            <v>3</v>
          </cell>
          <cell r="R359">
            <v>1</v>
          </cell>
          <cell r="S359">
            <v>0</v>
          </cell>
          <cell r="T359">
            <v>3</v>
          </cell>
          <cell r="U359">
            <v>0</v>
          </cell>
          <cell r="V359">
            <v>3</v>
          </cell>
          <cell r="W359">
            <v>1</v>
          </cell>
          <cell r="X359">
            <v>0</v>
          </cell>
          <cell r="Y359">
            <v>0</v>
          </cell>
          <cell r="Z359">
            <v>0</v>
          </cell>
          <cell r="AA359">
            <v>1</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33</v>
          </cell>
          <cell r="BO359">
            <v>33</v>
          </cell>
          <cell r="BP359">
            <v>33</v>
          </cell>
          <cell r="BQ359">
            <v>33</v>
          </cell>
          <cell r="BR359" t="str">
            <v>WLDC</v>
          </cell>
        </row>
        <row r="360">
          <cell r="A360" t="str">
            <v>E7060</v>
          </cell>
          <cell r="B360">
            <v>7008</v>
          </cell>
          <cell r="C360" t="str">
            <v>Gosberton House School</v>
          </cell>
          <cell r="D360" t="str">
            <v/>
          </cell>
          <cell r="E360">
            <v>7008</v>
          </cell>
          <cell r="F360">
            <v>0</v>
          </cell>
          <cell r="G360">
            <v>0</v>
          </cell>
          <cell r="H360">
            <v>0</v>
          </cell>
          <cell r="I360">
            <v>0</v>
          </cell>
          <cell r="J360">
            <v>0</v>
          </cell>
          <cell r="K360">
            <v>0</v>
          </cell>
          <cell r="L360">
            <v>0</v>
          </cell>
          <cell r="M360">
            <v>0</v>
          </cell>
          <cell r="N360">
            <v>0</v>
          </cell>
          <cell r="O360">
            <v>15</v>
          </cell>
          <cell r="P360">
            <v>10</v>
          </cell>
          <cell r="Q360">
            <v>17</v>
          </cell>
          <cell r="R360">
            <v>14</v>
          </cell>
          <cell r="S360">
            <v>9</v>
          </cell>
          <cell r="T360">
            <v>2</v>
          </cell>
          <cell r="U360">
            <v>0</v>
          </cell>
          <cell r="V360">
            <v>0</v>
          </cell>
          <cell r="W360">
            <v>1</v>
          </cell>
          <cell r="X360">
            <v>0</v>
          </cell>
          <cell r="Y360">
            <v>1</v>
          </cell>
          <cell r="Z360">
            <v>2</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5</v>
          </cell>
          <cell r="AT360">
            <v>2</v>
          </cell>
          <cell r="AU360">
            <v>1</v>
          </cell>
          <cell r="AV360">
            <v>0</v>
          </cell>
          <cell r="AW360">
            <v>0</v>
          </cell>
          <cell r="AX360">
            <v>2</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81</v>
          </cell>
          <cell r="BO360">
            <v>77</v>
          </cell>
          <cell r="BP360">
            <v>79</v>
          </cell>
          <cell r="BQ360">
            <v>75</v>
          </cell>
          <cell r="BR360" t="str">
            <v>SHDC</v>
          </cell>
        </row>
        <row r="361">
          <cell r="A361" t="str">
            <v>E7070</v>
          </cell>
          <cell r="B361">
            <v>7002</v>
          </cell>
          <cell r="C361" t="str">
            <v>Grantham Ambergate School</v>
          </cell>
          <cell r="D361" t="str">
            <v/>
          </cell>
          <cell r="E361">
            <v>7002</v>
          </cell>
          <cell r="F361">
            <v>0</v>
          </cell>
          <cell r="G361">
            <v>0</v>
          </cell>
          <cell r="H361">
            <v>0</v>
          </cell>
          <cell r="I361">
            <v>0</v>
          </cell>
          <cell r="J361">
            <v>13</v>
          </cell>
          <cell r="K361">
            <v>15</v>
          </cell>
          <cell r="L361">
            <v>13</v>
          </cell>
          <cell r="M361">
            <v>14</v>
          </cell>
          <cell r="N361">
            <v>13</v>
          </cell>
          <cell r="O361">
            <v>10</v>
          </cell>
          <cell r="P361">
            <v>8</v>
          </cell>
          <cell r="Q361">
            <v>4</v>
          </cell>
          <cell r="R361">
            <v>4</v>
          </cell>
          <cell r="S361">
            <v>2</v>
          </cell>
          <cell r="T361">
            <v>2</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98</v>
          </cell>
          <cell r="BO361">
            <v>98</v>
          </cell>
          <cell r="BP361">
            <v>98</v>
          </cell>
          <cell r="BQ361">
            <v>98</v>
          </cell>
          <cell r="BR361" t="str">
            <v>SKDC</v>
          </cell>
        </row>
        <row r="362">
          <cell r="A362" t="str">
            <v>E7080</v>
          </cell>
          <cell r="B362">
            <v>7005</v>
          </cell>
          <cell r="C362" t="str">
            <v>Grantham Sandon School</v>
          </cell>
          <cell r="D362" t="str">
            <v/>
          </cell>
          <cell r="E362">
            <v>7005</v>
          </cell>
          <cell r="F362">
            <v>0</v>
          </cell>
          <cell r="G362">
            <v>5</v>
          </cell>
          <cell r="H362">
            <v>1</v>
          </cell>
          <cell r="I362">
            <v>3</v>
          </cell>
          <cell r="J362">
            <v>8</v>
          </cell>
          <cell r="K362">
            <v>4</v>
          </cell>
          <cell r="L362">
            <v>1</v>
          </cell>
          <cell r="M362">
            <v>4</v>
          </cell>
          <cell r="N362">
            <v>4</v>
          </cell>
          <cell r="O362">
            <v>3</v>
          </cell>
          <cell r="P362">
            <v>5</v>
          </cell>
          <cell r="Q362">
            <v>1</v>
          </cell>
          <cell r="R362">
            <v>1</v>
          </cell>
          <cell r="S362">
            <v>2</v>
          </cell>
          <cell r="T362">
            <v>4</v>
          </cell>
          <cell r="U362">
            <v>1</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1</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48</v>
          </cell>
          <cell r="BO362">
            <v>47.5</v>
          </cell>
          <cell r="BP362">
            <v>48</v>
          </cell>
          <cell r="BQ362">
            <v>47.5</v>
          </cell>
          <cell r="BR362" t="str">
            <v>SKDC</v>
          </cell>
        </row>
        <row r="363">
          <cell r="A363" t="str">
            <v>E7100</v>
          </cell>
          <cell r="B363">
            <v>7021</v>
          </cell>
          <cell r="C363" t="str">
            <v>Horncastle St Lawrence School</v>
          </cell>
          <cell r="D363" t="str">
            <v/>
          </cell>
          <cell r="E363">
            <v>7021</v>
          </cell>
          <cell r="F363">
            <v>0</v>
          </cell>
          <cell r="G363">
            <v>0</v>
          </cell>
          <cell r="H363">
            <v>0</v>
          </cell>
          <cell r="I363">
            <v>0</v>
          </cell>
          <cell r="J363">
            <v>25</v>
          </cell>
          <cell r="K363">
            <v>19</v>
          </cell>
          <cell r="L363">
            <v>27</v>
          </cell>
          <cell r="M363">
            <v>21</v>
          </cell>
          <cell r="N363">
            <v>23</v>
          </cell>
          <cell r="O363">
            <v>6</v>
          </cell>
          <cell r="P363">
            <v>1</v>
          </cell>
          <cell r="Q363">
            <v>2</v>
          </cell>
          <cell r="R363">
            <v>1</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125</v>
          </cell>
          <cell r="BO363">
            <v>125</v>
          </cell>
          <cell r="BP363">
            <v>125</v>
          </cell>
          <cell r="BQ363">
            <v>125</v>
          </cell>
          <cell r="BR363" t="str">
            <v>ELDC</v>
          </cell>
        </row>
        <row r="364">
          <cell r="A364" t="str">
            <v>E7120</v>
          </cell>
          <cell r="B364">
            <v>7017</v>
          </cell>
          <cell r="C364" t="str">
            <v>Lincoln Queen's Park School</v>
          </cell>
          <cell r="D364" t="str">
            <v/>
          </cell>
          <cell r="E364">
            <v>7017</v>
          </cell>
          <cell r="F364">
            <v>0</v>
          </cell>
          <cell r="G364">
            <v>10</v>
          </cell>
          <cell r="H364">
            <v>10</v>
          </cell>
          <cell r="I364">
            <v>13</v>
          </cell>
          <cell r="J364">
            <v>7</v>
          </cell>
          <cell r="K364">
            <v>7</v>
          </cell>
          <cell r="L364">
            <v>4</v>
          </cell>
          <cell r="M364">
            <v>5</v>
          </cell>
          <cell r="N364">
            <v>2</v>
          </cell>
          <cell r="O364">
            <v>9</v>
          </cell>
          <cell r="P364">
            <v>8</v>
          </cell>
          <cell r="Q364">
            <v>5</v>
          </cell>
          <cell r="R364">
            <v>6</v>
          </cell>
          <cell r="S364">
            <v>4</v>
          </cell>
          <cell r="T364">
            <v>2</v>
          </cell>
          <cell r="U364">
            <v>0</v>
          </cell>
          <cell r="V364">
            <v>0</v>
          </cell>
          <cell r="W364">
            <v>3</v>
          </cell>
          <cell r="X364">
            <v>0</v>
          </cell>
          <cell r="Y364">
            <v>1</v>
          </cell>
          <cell r="Z364">
            <v>3</v>
          </cell>
          <cell r="AA364">
            <v>1</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1</v>
          </cell>
          <cell r="AW364">
            <v>1</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102</v>
          </cell>
          <cell r="BO364">
            <v>101</v>
          </cell>
          <cell r="BP364">
            <v>102</v>
          </cell>
          <cell r="BQ364">
            <v>101</v>
          </cell>
          <cell r="BR364" t="str">
            <v>LCC</v>
          </cell>
        </row>
        <row r="365">
          <cell r="A365" t="str">
            <v>E7130</v>
          </cell>
          <cell r="B365">
            <v>7015</v>
          </cell>
          <cell r="C365" t="str">
            <v>Lincoln St Christopher's School</v>
          </cell>
          <cell r="D365" t="str">
            <v/>
          </cell>
          <cell r="E365">
            <v>7015</v>
          </cell>
          <cell r="F365">
            <v>0</v>
          </cell>
          <cell r="G365">
            <v>0</v>
          </cell>
          <cell r="H365">
            <v>0</v>
          </cell>
          <cell r="I365">
            <v>0</v>
          </cell>
          <cell r="J365">
            <v>11</v>
          </cell>
          <cell r="K365">
            <v>23</v>
          </cell>
          <cell r="L365">
            <v>21</v>
          </cell>
          <cell r="M365">
            <v>27</v>
          </cell>
          <cell r="N365">
            <v>29</v>
          </cell>
          <cell r="O365">
            <v>9</v>
          </cell>
          <cell r="P365">
            <v>8</v>
          </cell>
          <cell r="Q365">
            <v>9</v>
          </cell>
          <cell r="R365">
            <v>8</v>
          </cell>
          <cell r="S365">
            <v>4</v>
          </cell>
          <cell r="T365">
            <v>9</v>
          </cell>
          <cell r="U365">
            <v>1</v>
          </cell>
          <cell r="V365">
            <v>1</v>
          </cell>
          <cell r="W365">
            <v>4</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2</v>
          </cell>
          <cell r="AU365">
            <v>2</v>
          </cell>
          <cell r="AV365">
            <v>1</v>
          </cell>
          <cell r="AW365">
            <v>1</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170</v>
          </cell>
          <cell r="BO365">
            <v>167</v>
          </cell>
          <cell r="BP365">
            <v>170</v>
          </cell>
          <cell r="BQ365">
            <v>167</v>
          </cell>
          <cell r="BR365" t="str">
            <v>LCC</v>
          </cell>
        </row>
        <row r="366">
          <cell r="A366" t="str">
            <v>E7140</v>
          </cell>
          <cell r="B366">
            <v>7016</v>
          </cell>
          <cell r="C366" t="str">
            <v>Lincoln St Francis Special School</v>
          </cell>
          <cell r="D366" t="str">
            <v/>
          </cell>
          <cell r="E366">
            <v>7016</v>
          </cell>
          <cell r="F366">
            <v>1</v>
          </cell>
          <cell r="G366">
            <v>8</v>
          </cell>
          <cell r="H366">
            <v>11</v>
          </cell>
          <cell r="I366">
            <v>13</v>
          </cell>
          <cell r="J366">
            <v>9</v>
          </cell>
          <cell r="K366">
            <v>11</v>
          </cell>
          <cell r="L366">
            <v>10</v>
          </cell>
          <cell r="M366">
            <v>7</v>
          </cell>
          <cell r="N366">
            <v>7</v>
          </cell>
          <cell r="O366">
            <v>4</v>
          </cell>
          <cell r="P366">
            <v>3</v>
          </cell>
          <cell r="Q366">
            <v>1</v>
          </cell>
          <cell r="R366">
            <v>3</v>
          </cell>
          <cell r="S366">
            <v>5</v>
          </cell>
          <cell r="T366">
            <v>1</v>
          </cell>
          <cell r="U366">
            <v>1</v>
          </cell>
          <cell r="V366">
            <v>0</v>
          </cell>
          <cell r="W366">
            <v>0</v>
          </cell>
          <cell r="X366">
            <v>3</v>
          </cell>
          <cell r="Y366">
            <v>1</v>
          </cell>
          <cell r="Z366">
            <v>1</v>
          </cell>
          <cell r="AA366">
            <v>2</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102</v>
          </cell>
          <cell r="BO366">
            <v>102</v>
          </cell>
          <cell r="BP366">
            <v>102</v>
          </cell>
          <cell r="BQ366">
            <v>102</v>
          </cell>
          <cell r="BR366" t="str">
            <v>LCC</v>
          </cell>
        </row>
        <row r="367">
          <cell r="A367" t="str">
            <v>E7150</v>
          </cell>
          <cell r="B367">
            <v>7032</v>
          </cell>
          <cell r="C367" t="str">
            <v>Lincoln The Sincil School</v>
          </cell>
          <cell r="D367" t="str">
            <v/>
          </cell>
          <cell r="E367">
            <v>7032</v>
          </cell>
          <cell r="F367">
            <v>0</v>
          </cell>
          <cell r="G367">
            <v>0</v>
          </cell>
          <cell r="H367">
            <v>0</v>
          </cell>
          <cell r="I367">
            <v>0</v>
          </cell>
          <cell r="J367">
            <v>7</v>
          </cell>
          <cell r="K367">
            <v>10</v>
          </cell>
          <cell r="L367">
            <v>13</v>
          </cell>
          <cell r="M367">
            <v>16</v>
          </cell>
          <cell r="N367">
            <v>7</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53</v>
          </cell>
          <cell r="BO367">
            <v>53</v>
          </cell>
          <cell r="BP367">
            <v>53</v>
          </cell>
          <cell r="BQ367">
            <v>53</v>
          </cell>
          <cell r="BR367" t="str">
            <v>LCC</v>
          </cell>
        </row>
        <row r="368">
          <cell r="A368" t="str">
            <v>E7170</v>
          </cell>
          <cell r="B368">
            <v>7025</v>
          </cell>
          <cell r="C368" t="str">
            <v>Louth St Bernard's School</v>
          </cell>
          <cell r="D368" t="str">
            <v/>
          </cell>
          <cell r="E368">
            <v>7025</v>
          </cell>
          <cell r="F368">
            <v>0</v>
          </cell>
          <cell r="G368">
            <v>5</v>
          </cell>
          <cell r="H368">
            <v>5</v>
          </cell>
          <cell r="I368">
            <v>3</v>
          </cell>
          <cell r="J368">
            <v>4</v>
          </cell>
          <cell r="K368">
            <v>3</v>
          </cell>
          <cell r="L368">
            <v>3</v>
          </cell>
          <cell r="M368">
            <v>4</v>
          </cell>
          <cell r="N368">
            <v>2</v>
          </cell>
          <cell r="O368">
            <v>2</v>
          </cell>
          <cell r="P368">
            <v>3</v>
          </cell>
          <cell r="Q368">
            <v>5</v>
          </cell>
          <cell r="R368">
            <v>3</v>
          </cell>
          <cell r="S368">
            <v>1</v>
          </cell>
          <cell r="T368">
            <v>0</v>
          </cell>
          <cell r="U368">
            <v>1</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44</v>
          </cell>
          <cell r="BO368">
            <v>44</v>
          </cell>
          <cell r="BP368">
            <v>44</v>
          </cell>
          <cell r="BQ368">
            <v>44</v>
          </cell>
          <cell r="BR368" t="str">
            <v>ELDC</v>
          </cell>
        </row>
        <row r="369">
          <cell r="A369" t="str">
            <v>E7180</v>
          </cell>
          <cell r="B369">
            <v>7012</v>
          </cell>
          <cell r="C369" t="str">
            <v xml:space="preserve">Boston The Pilgrim School </v>
          </cell>
          <cell r="D369" t="str">
            <v/>
          </cell>
          <cell r="E369">
            <v>7012</v>
          </cell>
          <cell r="F369">
            <v>0</v>
          </cell>
          <cell r="G369">
            <v>0</v>
          </cell>
          <cell r="H369">
            <v>0</v>
          </cell>
          <cell r="I369">
            <v>0</v>
          </cell>
          <cell r="J369">
            <v>39</v>
          </cell>
          <cell r="K369">
            <v>11</v>
          </cell>
          <cell r="L369">
            <v>11</v>
          </cell>
          <cell r="M369">
            <v>7</v>
          </cell>
          <cell r="N369">
            <v>6</v>
          </cell>
          <cell r="O369">
            <v>1</v>
          </cell>
          <cell r="P369">
            <v>0</v>
          </cell>
          <cell r="Q369">
            <v>1</v>
          </cell>
          <cell r="R369">
            <v>0</v>
          </cell>
          <cell r="S369">
            <v>1</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77</v>
          </cell>
          <cell r="BO369">
            <v>77</v>
          </cell>
          <cell r="BP369">
            <v>77</v>
          </cell>
          <cell r="BQ369">
            <v>77</v>
          </cell>
          <cell r="BR369" t="str">
            <v>BBC</v>
          </cell>
        </row>
        <row r="370">
          <cell r="A370" t="str">
            <v>E7190</v>
          </cell>
          <cell r="B370">
            <v>7003</v>
          </cell>
          <cell r="C370" t="str">
            <v>South Rauceby The Ash Villa School</v>
          </cell>
          <cell r="D370" t="str">
            <v/>
          </cell>
          <cell r="E370">
            <v>7003</v>
          </cell>
          <cell r="F370">
            <v>0</v>
          </cell>
          <cell r="G370">
            <v>0</v>
          </cell>
          <cell r="H370">
            <v>0</v>
          </cell>
          <cell r="I370">
            <v>3</v>
          </cell>
          <cell r="J370">
            <v>4</v>
          </cell>
          <cell r="K370">
            <v>1</v>
          </cell>
          <cell r="L370">
            <v>1</v>
          </cell>
          <cell r="M370">
            <v>1</v>
          </cell>
          <cell r="N370">
            <v>1</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11</v>
          </cell>
          <cell r="BO370">
            <v>11</v>
          </cell>
          <cell r="BP370">
            <v>11</v>
          </cell>
          <cell r="BQ370">
            <v>11</v>
          </cell>
          <cell r="BR370" t="str">
            <v>NKDC</v>
          </cell>
        </row>
        <row r="371">
          <cell r="A371" t="str">
            <v>E7210</v>
          </cell>
          <cell r="B371">
            <v>7011</v>
          </cell>
          <cell r="C371" t="str">
            <v>Spalding The Garth School</v>
          </cell>
          <cell r="D371" t="str">
            <v/>
          </cell>
          <cell r="E371">
            <v>7011</v>
          </cell>
          <cell r="F371">
            <v>0</v>
          </cell>
          <cell r="G371">
            <v>0</v>
          </cell>
          <cell r="H371">
            <v>1</v>
          </cell>
          <cell r="I371">
            <v>3</v>
          </cell>
          <cell r="J371">
            <v>5</v>
          </cell>
          <cell r="K371">
            <v>2</v>
          </cell>
          <cell r="L371">
            <v>1</v>
          </cell>
          <cell r="M371">
            <v>0</v>
          </cell>
          <cell r="N371">
            <v>4</v>
          </cell>
          <cell r="O371">
            <v>0</v>
          </cell>
          <cell r="P371">
            <v>2</v>
          </cell>
          <cell r="Q371">
            <v>2</v>
          </cell>
          <cell r="R371">
            <v>4</v>
          </cell>
          <cell r="S371">
            <v>3</v>
          </cell>
          <cell r="T371">
            <v>3</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1</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31</v>
          </cell>
          <cell r="BO371">
            <v>30.5</v>
          </cell>
          <cell r="BP371">
            <v>31</v>
          </cell>
          <cell r="BQ371">
            <v>30.5</v>
          </cell>
          <cell r="BR371" t="str">
            <v>SHDC</v>
          </cell>
        </row>
        <row r="372">
          <cell r="A372" t="str">
            <v>E7220</v>
          </cell>
          <cell r="B372">
            <v>7009</v>
          </cell>
          <cell r="C372" t="str">
            <v>Spalding The Priory School</v>
          </cell>
          <cell r="D372" t="str">
            <v/>
          </cell>
          <cell r="E372">
            <v>7009</v>
          </cell>
          <cell r="F372">
            <v>0</v>
          </cell>
          <cell r="G372">
            <v>0</v>
          </cell>
          <cell r="H372">
            <v>0</v>
          </cell>
          <cell r="I372">
            <v>0</v>
          </cell>
          <cell r="J372">
            <v>21</v>
          </cell>
          <cell r="K372">
            <v>26</v>
          </cell>
          <cell r="L372">
            <v>23</v>
          </cell>
          <cell r="M372">
            <v>26</v>
          </cell>
          <cell r="N372">
            <v>23</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119</v>
          </cell>
          <cell r="BO372">
            <v>119</v>
          </cell>
          <cell r="BP372">
            <v>119</v>
          </cell>
          <cell r="BQ372">
            <v>119</v>
          </cell>
          <cell r="BR372" t="str">
            <v>SHDC</v>
          </cell>
        </row>
        <row r="373">
          <cell r="A373" t="str">
            <v>E7230</v>
          </cell>
          <cell r="B373">
            <v>7024</v>
          </cell>
          <cell r="C373" t="str">
            <v>Spilsby The Eresby School</v>
          </cell>
          <cell r="D373" t="str">
            <v/>
          </cell>
          <cell r="E373">
            <v>7024</v>
          </cell>
          <cell r="F373">
            <v>0</v>
          </cell>
          <cell r="G373">
            <v>6</v>
          </cell>
          <cell r="H373">
            <v>2</v>
          </cell>
          <cell r="I373">
            <v>7</v>
          </cell>
          <cell r="J373">
            <v>2</v>
          </cell>
          <cell r="K373">
            <v>3</v>
          </cell>
          <cell r="L373">
            <v>4</v>
          </cell>
          <cell r="M373">
            <v>4</v>
          </cell>
          <cell r="N373">
            <v>3</v>
          </cell>
          <cell r="O373">
            <v>2</v>
          </cell>
          <cell r="P373">
            <v>2</v>
          </cell>
          <cell r="Q373">
            <v>3</v>
          </cell>
          <cell r="R373">
            <v>3</v>
          </cell>
          <cell r="S373">
            <v>2</v>
          </cell>
          <cell r="T373">
            <v>1</v>
          </cell>
          <cell r="U373">
            <v>1</v>
          </cell>
          <cell r="V373">
            <v>0</v>
          </cell>
          <cell r="W373">
            <v>0</v>
          </cell>
          <cell r="X373">
            <v>1</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1</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47</v>
          </cell>
          <cell r="BO373">
            <v>46.5</v>
          </cell>
          <cell r="BP373">
            <v>47</v>
          </cell>
          <cell r="BQ373">
            <v>46.5</v>
          </cell>
          <cell r="BR373" t="str">
            <v>ELDC</v>
          </cell>
        </row>
        <row r="374">
          <cell r="A374" t="str">
            <v>E7260</v>
          </cell>
          <cell r="B374">
            <v>7028</v>
          </cell>
          <cell r="C374" t="str">
            <v>Bourne Willoughby School</v>
          </cell>
          <cell r="D374" t="str">
            <v/>
          </cell>
          <cell r="E374">
            <v>7028</v>
          </cell>
          <cell r="F374">
            <v>0</v>
          </cell>
          <cell r="G374">
            <v>2</v>
          </cell>
          <cell r="H374">
            <v>2</v>
          </cell>
          <cell r="I374">
            <v>5</v>
          </cell>
          <cell r="J374">
            <v>5</v>
          </cell>
          <cell r="K374">
            <v>5</v>
          </cell>
          <cell r="L374">
            <v>8</v>
          </cell>
          <cell r="M374">
            <v>5</v>
          </cell>
          <cell r="N374">
            <v>4</v>
          </cell>
          <cell r="O374">
            <v>6</v>
          </cell>
          <cell r="P374">
            <v>7</v>
          </cell>
          <cell r="Q374">
            <v>4</v>
          </cell>
          <cell r="R374">
            <v>3</v>
          </cell>
          <cell r="S374">
            <v>4</v>
          </cell>
          <cell r="T374">
            <v>2</v>
          </cell>
          <cell r="U374">
            <v>1</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2</v>
          </cell>
          <cell r="AT374">
            <v>1</v>
          </cell>
          <cell r="AU374">
            <v>3</v>
          </cell>
          <cell r="AV374">
            <v>1</v>
          </cell>
          <cell r="AW374">
            <v>2</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72</v>
          </cell>
          <cell r="BO374">
            <v>67.5</v>
          </cell>
          <cell r="BP374">
            <v>72</v>
          </cell>
          <cell r="BQ374">
            <v>67.5</v>
          </cell>
          <cell r="BR374" t="str">
            <v>SKDC</v>
          </cell>
        </row>
        <row r="375">
          <cell r="A375" t="str">
            <v>E7300</v>
          </cell>
          <cell r="B375">
            <v>1101</v>
          </cell>
          <cell r="C375" t="str">
            <v>Skegness The Willows Centre</v>
          </cell>
          <cell r="D375" t="str">
            <v/>
          </cell>
          <cell r="E375">
            <v>1101</v>
          </cell>
          <cell r="F375">
            <v>0</v>
          </cell>
          <cell r="G375">
            <v>0</v>
          </cell>
          <cell r="H375">
            <v>0</v>
          </cell>
          <cell r="I375">
            <v>0</v>
          </cell>
          <cell r="J375">
            <v>0</v>
          </cell>
          <cell r="K375">
            <v>1</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1</v>
          </cell>
          <cell r="AG375">
            <v>1</v>
          </cell>
          <cell r="AH375">
            <v>3</v>
          </cell>
          <cell r="AI375">
            <v>1</v>
          </cell>
          <cell r="AJ375">
            <v>19</v>
          </cell>
          <cell r="AK375">
            <v>9</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35</v>
          </cell>
          <cell r="BO375">
            <v>18</v>
          </cell>
          <cell r="BP375">
            <v>35</v>
          </cell>
          <cell r="BQ375">
            <v>18</v>
          </cell>
          <cell r="BR375" t="str">
            <v>ELDC</v>
          </cell>
        </row>
        <row r="376">
          <cell r="A376" t="str">
            <v>E7310</v>
          </cell>
          <cell r="B376">
            <v>1103</v>
          </cell>
          <cell r="C376" t="str">
            <v>Grantham Hillview Education Centre</v>
          </cell>
          <cell r="D376" t="str">
            <v/>
          </cell>
          <cell r="E376">
            <v>1103</v>
          </cell>
          <cell r="F376">
            <v>0</v>
          </cell>
          <cell r="G376">
            <v>0</v>
          </cell>
          <cell r="H376">
            <v>0</v>
          </cell>
          <cell r="I376">
            <v>0</v>
          </cell>
          <cell r="J376">
            <v>0</v>
          </cell>
          <cell r="K376">
            <v>0</v>
          </cell>
          <cell r="L376">
            <v>3</v>
          </cell>
          <cell r="M376">
            <v>3</v>
          </cell>
          <cell r="N376">
            <v>2</v>
          </cell>
          <cell r="O376">
            <v>2</v>
          </cell>
          <cell r="P376">
            <v>0</v>
          </cell>
          <cell r="Q376">
            <v>2</v>
          </cell>
          <cell r="R376">
            <v>1</v>
          </cell>
          <cell r="S376">
            <v>1</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14</v>
          </cell>
          <cell r="BO376">
            <v>14</v>
          </cell>
          <cell r="BP376">
            <v>14</v>
          </cell>
          <cell r="BQ376">
            <v>14</v>
          </cell>
          <cell r="BR376" t="str">
            <v>SKDC</v>
          </cell>
        </row>
        <row r="377">
          <cell r="A377" t="str">
            <v>E7330</v>
          </cell>
          <cell r="B377">
            <v>1102</v>
          </cell>
          <cell r="C377" t="str">
            <v>Boston The Chestnuts Pupil Referral Unit</v>
          </cell>
          <cell r="D377" t="str">
            <v/>
          </cell>
          <cell r="E377">
            <v>1102</v>
          </cell>
          <cell r="F377">
            <v>0</v>
          </cell>
          <cell r="G377">
            <v>0</v>
          </cell>
          <cell r="H377">
            <v>0</v>
          </cell>
          <cell r="I377">
            <v>0</v>
          </cell>
          <cell r="J377">
            <v>0</v>
          </cell>
          <cell r="K377">
            <v>0</v>
          </cell>
          <cell r="L377">
            <v>2</v>
          </cell>
          <cell r="M377">
            <v>6</v>
          </cell>
          <cell r="N377">
            <v>2</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3</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13</v>
          </cell>
          <cell r="BO377">
            <v>11.5</v>
          </cell>
          <cell r="BP377">
            <v>13</v>
          </cell>
          <cell r="BQ377">
            <v>11.5</v>
          </cell>
          <cell r="BR377" t="str">
            <v>BBC</v>
          </cell>
        </row>
        <row r="378">
          <cell r="A378" t="str">
            <v>E7340</v>
          </cell>
          <cell r="B378">
            <v>1100</v>
          </cell>
          <cell r="C378" t="str">
            <v>Lincoln Mary Knox Education Centre</v>
          </cell>
          <cell r="D378" t="str">
            <v/>
          </cell>
          <cell r="E378">
            <v>1100</v>
          </cell>
          <cell r="F378">
            <v>0</v>
          </cell>
          <cell r="G378">
            <v>0</v>
          </cell>
          <cell r="H378">
            <v>0</v>
          </cell>
          <cell r="I378">
            <v>0</v>
          </cell>
          <cell r="J378">
            <v>0</v>
          </cell>
          <cell r="K378">
            <v>0</v>
          </cell>
          <cell r="L378">
            <v>8</v>
          </cell>
          <cell r="M378">
            <v>5</v>
          </cell>
          <cell r="N378">
            <v>3</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3</v>
          </cell>
          <cell r="AH378">
            <v>37</v>
          </cell>
          <cell r="AI378">
            <v>17</v>
          </cell>
          <cell r="AJ378">
            <v>1</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74</v>
          </cell>
          <cell r="BO378">
            <v>45</v>
          </cell>
          <cell r="BP378">
            <v>74</v>
          </cell>
          <cell r="BQ378">
            <v>45</v>
          </cell>
          <cell r="BR378" t="str">
            <v>LCC</v>
          </cell>
        </row>
        <row r="379">
          <cell r="A379" t="str">
            <v>E7350</v>
          </cell>
          <cell r="B379">
            <v>1104</v>
          </cell>
          <cell r="C379" t="str">
            <v>Solutions 4</v>
          </cell>
          <cell r="D379" t="str">
            <v/>
          </cell>
          <cell r="E379">
            <v>1104</v>
          </cell>
          <cell r="F379">
            <v>0</v>
          </cell>
          <cell r="G379">
            <v>0</v>
          </cell>
          <cell r="H379">
            <v>0</v>
          </cell>
          <cell r="I379">
            <v>0</v>
          </cell>
          <cell r="J379">
            <v>151</v>
          </cell>
          <cell r="K379">
            <v>98</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249</v>
          </cell>
          <cell r="BO379">
            <v>249</v>
          </cell>
          <cell r="BP379">
            <v>249</v>
          </cell>
          <cell r="BQ379">
            <v>249</v>
          </cell>
          <cell r="BR379" t="str">
            <v>BBC</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Funding Model"/>
      <sheetName val="2013-14 Places"/>
      <sheetName val="2013-14 Funding (pre 16)"/>
      <sheetName val="2013-14 Funding"/>
      <sheetName val="2012-13 Top-ups"/>
      <sheetName val="Sheet1"/>
      <sheetName val="BS 2012-13"/>
      <sheetName val="Band Calculations"/>
      <sheetName val="2010-11 Funding"/>
      <sheetName val="Mainstreamed Grants"/>
      <sheetName val="Revised Band Returns"/>
      <sheetName val="Transition"/>
      <sheetName val="Ash Villa2"/>
      <sheetName val="Boston 2"/>
      <sheetName val="Gainsborough"/>
      <sheetName val="PFI Summary"/>
      <sheetName val="1112 Unitary Charge Bench"/>
    </sheetNames>
    <sheetDataSet>
      <sheetData sheetId="0"/>
      <sheetData sheetId="1"/>
      <sheetData sheetId="2"/>
      <sheetData sheetId="3"/>
      <sheetData sheetId="4"/>
      <sheetData sheetId="5"/>
      <sheetData sheetId="6"/>
      <sheetData sheetId="7"/>
      <sheetData sheetId="8">
        <row r="24">
          <cell r="I24">
            <v>20</v>
          </cell>
          <cell r="K24">
            <v>233840.41276193573</v>
          </cell>
        </row>
        <row r="25">
          <cell r="I25">
            <v>9</v>
          </cell>
          <cell r="K25">
            <v>105228.18574287108</v>
          </cell>
        </row>
      </sheetData>
      <sheetData sheetId="9"/>
      <sheetData sheetId="10"/>
      <sheetData sheetId="11"/>
      <sheetData sheetId="12"/>
      <sheetData sheetId="13"/>
      <sheetData sheetId="14"/>
      <sheetData sheetId="15"/>
      <sheetData sheetId="16"/>
      <sheetData sheetId="1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Req 1516"/>
      <sheetName val="Budget Req 1617"/>
      <sheetName val="Funding Model"/>
      <sheetName val="2016-17 Funding Summary"/>
      <sheetName val="2016-17 Funding Detail"/>
      <sheetName val="Band Calculations 1617"/>
      <sheetName val="2016-17 Other Funding"/>
      <sheetName val="2015-16 Funding Summary"/>
      <sheetName val="2015-16 Funding Detail"/>
      <sheetName val="Band Calculations 1516"/>
      <sheetName val="2014-15 Funding Detail"/>
      <sheetName val="2013-14 Funding (4)"/>
      <sheetName val="2012-13 Top-ups"/>
      <sheetName val="Band Calculations 1415"/>
      <sheetName val="Band Calculations"/>
      <sheetName val="2015-16 Other Funding"/>
      <sheetName val="Revised Band Returns"/>
      <sheetName val="FSM Calculation 1516"/>
      <sheetName val="DSG US 1415"/>
      <sheetName val="DSG US 1516"/>
      <sheetName val="Front Sheet - Please Read First"/>
      <sheetName val="ISB Weightings"/>
      <sheetName val="Budget Shares"/>
      <sheetName val="2017-18 Funding Summary"/>
      <sheetName val="2017-18 Funding Detail"/>
      <sheetName val="Band Calculations 1718"/>
      <sheetName val="2017-18 Other Funding"/>
      <sheetName val="FSM Calculation 1718"/>
      <sheetName val="Budget Requirement 1718"/>
      <sheetName val="Funding Summary - Rebase"/>
      <sheetName val="Funding Detail - Rebase"/>
      <sheetName val="Band Calculations - Rebase"/>
      <sheetName val="Revised Bands - Reb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18">
          <cell r="V118">
            <v>118.91666666666667</v>
          </cell>
        </row>
      </sheetData>
      <sheetData sheetId="3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d Profiles"/>
      <sheetName val="Band Descriptors"/>
      <sheetName val="Teacher Pay Scales"/>
      <sheetName val="TA Pay scales"/>
      <sheetName val="GLEA Pay Scales"/>
      <sheetName val="Place Numbers"/>
      <sheetName val="Finance Analysis"/>
      <sheetName val="Basic Staffing Block"/>
      <sheetName val="Non Staffing Block"/>
      <sheetName val="Previous Non-Staffing"/>
      <sheetName val="Leadership Pay Scale"/>
    </sheetNames>
    <sheetDataSet>
      <sheetData sheetId="0"/>
      <sheetData sheetId="1">
        <row r="5">
          <cell r="F5">
            <v>14004.235952555704</v>
          </cell>
        </row>
        <row r="8">
          <cell r="F8">
            <v>6829.0826228613796</v>
          </cell>
        </row>
        <row r="11">
          <cell r="F11">
            <v>5740.9218150011166</v>
          </cell>
        </row>
        <row r="14">
          <cell r="F14">
            <v>14004.235952555704</v>
          </cell>
        </row>
        <row r="17">
          <cell r="F17">
            <v>11263.412317184524</v>
          </cell>
        </row>
        <row r="22">
          <cell r="F22">
            <v>14877.000599571715</v>
          </cell>
        </row>
        <row r="24">
          <cell r="F24">
            <v>22512.750755794426</v>
          </cell>
        </row>
      </sheetData>
      <sheetData sheetId="2"/>
      <sheetData sheetId="3"/>
      <sheetData sheetId="4"/>
      <sheetData sheetId="5"/>
      <sheetData sheetId="6"/>
      <sheetData sheetId="7"/>
      <sheetData sheetId="8"/>
      <sheetData sheetId="9"/>
      <sheetData sheetId="1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V6"/>
      <sheetName val="Summary V7"/>
      <sheetName val="Summary V8"/>
      <sheetName val="Pri Sec V6"/>
      <sheetName val="Pri Sec V7"/>
      <sheetName val="Pri Sec V8"/>
      <sheetName val="Nursery Schools"/>
      <sheetName val="Special Schools"/>
      <sheetName val="Jan 18 APT"/>
      <sheetName val="Jan 17 APT"/>
      <sheetName val="Jan 18 APT V7"/>
      <sheetName val="Jan 18 APT V8"/>
    </sheetNames>
    <sheetDataSet>
      <sheetData sheetId="0">
        <row r="24">
          <cell r="B24">
            <v>166096.01284005385</v>
          </cell>
        </row>
      </sheetData>
      <sheetData sheetId="1"/>
      <sheetData sheetId="2">
        <row r="12">
          <cell r="C12">
            <v>1.0693422712905052</v>
          </cell>
        </row>
        <row r="17">
          <cell r="C17">
            <v>165614.38426611698</v>
          </cell>
        </row>
      </sheetData>
      <sheetData sheetId="3"/>
      <sheetData sheetId="4"/>
      <sheetData sheetId="5"/>
      <sheetData sheetId="6"/>
      <sheetData sheetId="7">
        <row r="45">
          <cell r="I45">
            <v>154877.8125</v>
          </cell>
        </row>
      </sheetData>
      <sheetData sheetId="8"/>
      <sheetData sheetId="9"/>
      <sheetData sheetId="10"/>
      <sheetData sheetId="1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d Profiles"/>
      <sheetName val="Band Descriptors"/>
      <sheetName val="Teacher Pay Scales"/>
      <sheetName val="TA Pay scales"/>
      <sheetName val="GLEA Pay Scales"/>
      <sheetName val="Place Numbers"/>
      <sheetName val="Finance Analysis"/>
      <sheetName val="Basic Staffing Block"/>
      <sheetName val="Non Staffing Block"/>
      <sheetName val="Previous Non-Staffing"/>
      <sheetName val="Leadership Pay Scale"/>
    </sheetNames>
    <sheetDataSet>
      <sheetData sheetId="0" refreshError="1"/>
      <sheetData sheetId="1" refreshError="1"/>
      <sheetData sheetId="2">
        <row r="44">
          <cell r="I44">
            <v>36849</v>
          </cell>
          <cell r="M44">
            <v>43118</v>
          </cell>
        </row>
      </sheetData>
      <sheetData sheetId="3">
        <row r="45">
          <cell r="L45">
            <v>19807.100655021834</v>
          </cell>
          <cell r="N45">
            <v>22171.648471615721</v>
          </cell>
        </row>
      </sheetData>
      <sheetData sheetId="4">
        <row r="21">
          <cell r="K21">
            <v>20409.239999999998</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Req 1516"/>
      <sheetName val="Budget Req 1617"/>
      <sheetName val="Funding Model"/>
      <sheetName val="2016-17 Funding Summary"/>
      <sheetName val="2016-17 Funding Detail"/>
      <sheetName val="Band Calculations 1617"/>
      <sheetName val="2016-17 Other Funding"/>
      <sheetName val="2015-16 Funding Summary"/>
      <sheetName val="2015-16 Funding Detail"/>
      <sheetName val="Band Calculations 1516"/>
      <sheetName val="2014-15 Funding Detail"/>
      <sheetName val="2013-14 Funding (4)"/>
      <sheetName val="2012-13 Top-ups"/>
      <sheetName val="Band Calculations 1415"/>
      <sheetName val="Band Calculations"/>
      <sheetName val="2015-16 Other Funding"/>
      <sheetName val="Revised Band Returns"/>
      <sheetName val="FSM Calculation 1516"/>
      <sheetName val="DSG US 1415"/>
      <sheetName val="DSG US 1516"/>
      <sheetName val="Front Sheet - Please Read First"/>
      <sheetName val="ISB Weightings"/>
      <sheetName val="Budget Shares"/>
      <sheetName val="2017-18 Funding Summary"/>
      <sheetName val="2017-18 Funding Detail"/>
      <sheetName val="Band Calculations 1718"/>
      <sheetName val="2017-18 Other Funding"/>
      <sheetName val="FSM Calculation 1718"/>
      <sheetName val="Budget Requirement 17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47">
          <cell r="D47">
            <v>11692.020638096787</v>
          </cell>
        </row>
        <row r="49">
          <cell r="D49">
            <v>7350.1419469065795</v>
          </cell>
        </row>
        <row r="51">
          <cell r="D51">
            <v>6243.7244928897762</v>
          </cell>
        </row>
        <row r="53">
          <cell r="D53">
            <v>11692.020638096787</v>
          </cell>
        </row>
        <row r="57">
          <cell r="D57">
            <v>11692.020638096787</v>
          </cell>
        </row>
      </sheetData>
      <sheetData sheetId="24" refreshError="1"/>
      <sheetData sheetId="25" refreshError="1"/>
      <sheetData sheetId="26" refreshError="1"/>
      <sheetData sheetId="27" refreshError="1"/>
      <sheetData sheetId="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ol"/>
      <sheetName val="Instructions"/>
      <sheetName val="LAs"/>
      <sheetName val="Schools Census&amp;SLASC"/>
      <sheetName val="AP"/>
      <sheetName val="EYC"/>
      <sheetName val="3yo adjustment"/>
      <sheetName val="Academies"/>
      <sheetName val="Transferring schools"/>
      <sheetName val="Summary"/>
    </sheetNames>
    <sheetDataSet>
      <sheetData sheetId="0" refreshError="1"/>
      <sheetData sheetId="1"/>
      <sheetData sheetId="2"/>
      <sheetData sheetId="3" refreshError="1"/>
      <sheetData sheetId="4" refreshError="1"/>
      <sheetData sheetId="5" refreshError="1"/>
      <sheetData sheetId="6" refreshError="1"/>
      <sheetData sheetId="7">
        <row r="29">
          <cell r="B29" t="str">
            <v>September</v>
          </cell>
        </row>
        <row r="30">
          <cell r="B30" t="str">
            <v>October</v>
          </cell>
        </row>
        <row r="31">
          <cell r="B31" t="str">
            <v>November</v>
          </cell>
        </row>
        <row r="32">
          <cell r="B32" t="str">
            <v>December</v>
          </cell>
        </row>
        <row r="33">
          <cell r="B33" t="str">
            <v>January</v>
          </cell>
        </row>
        <row r="34">
          <cell r="B34" t="str">
            <v>February</v>
          </cell>
        </row>
        <row r="35">
          <cell r="B35" t="str">
            <v>March</v>
          </cell>
        </row>
        <row r="36">
          <cell r="B36" t="str">
            <v>April</v>
          </cell>
        </row>
        <row r="37">
          <cell r="B37" t="str">
            <v>May</v>
          </cell>
        </row>
        <row r="38">
          <cell r="B38" t="str">
            <v>June</v>
          </cell>
        </row>
        <row r="39">
          <cell r="B39" t="str">
            <v>July</v>
          </cell>
        </row>
        <row r="40">
          <cell r="B40" t="str">
            <v>August</v>
          </cell>
        </row>
      </sheetData>
      <sheetData sheetId="8" refreshError="1"/>
      <sheetData sheetId="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_Ge_M2v8WE-FLT4waiIJ8v3vyY3kdpROubYoNsS7YN6C1OxHo8sVSoo2DQZt0ykd" itemId="017CWL5FYCH4ZVUWKPKJAJ6QATGAX32LFL">
      <xxl21:absoluteUrl r:id="rId3"/>
    </xxl21:alternateUrls>
    <sheetNames>
      <sheetName val="Budget Req 1516"/>
      <sheetName val="Budget Req 1617"/>
      <sheetName val="Funding Model"/>
      <sheetName val="2016-17 Funding Summary"/>
      <sheetName val="2016-17 Funding Detail"/>
      <sheetName val="Band Calculations 1617"/>
      <sheetName val="2016-17 Other Funding"/>
      <sheetName val="2015-16 Funding Summary"/>
      <sheetName val="2015-16 Funding Detail"/>
      <sheetName val="Band Calculations 1516"/>
      <sheetName val="2014-15 Funding Detail"/>
      <sheetName val="2013-14 Funding (4)"/>
      <sheetName val="2012-13 Top-ups"/>
      <sheetName val="Band Calculations 1415"/>
      <sheetName val="Band Calculations"/>
      <sheetName val="2015-16 Other Funding"/>
      <sheetName val="Revised Band Returns"/>
      <sheetName val="FSM Calculation 1516"/>
      <sheetName val="DSG US 1415"/>
      <sheetName val="DSG US 1516"/>
      <sheetName val="DfE MFG"/>
      <sheetName val="DfE 2122 Funding Detail"/>
      <sheetName val="DfE 2122 Band Calculations"/>
      <sheetName val="DfE 2122 MFG Protection"/>
      <sheetName val="Front Sheet - Please Read First"/>
      <sheetName val="ISB Weightings"/>
      <sheetName val="Budget Shares"/>
      <sheetName val="2017-18 Funding Summary"/>
      <sheetName val="2017-18 Funding Detail"/>
      <sheetName val="Band Calculations 1718"/>
      <sheetName val="2017-18 Other Funding"/>
      <sheetName val="FSM Calculation 1718"/>
      <sheetName val="Budget Requirement 1718"/>
      <sheetName val="Funding Summary"/>
      <sheetName val="Funding Detail - Rebase"/>
      <sheetName val="Band Calculations - Rebase"/>
      <sheetName val="Revised Bands - Rebase"/>
      <sheetName val="1819 Funding Detail"/>
      <sheetName val="1819 Band Calculations"/>
      <sheetName val="1819 Revised Bands"/>
      <sheetName val="FSM Calculation 1819"/>
      <sheetName val="2018-19 Other Funding"/>
      <sheetName val="1819 DSG 1718 Underspend"/>
      <sheetName val="1819 Budget Requirement"/>
      <sheetName val="1920 Budget Requirement"/>
      <sheetName val="1920 Funding Detail"/>
      <sheetName val="1920 Band Calculations"/>
      <sheetName val="1920 Band Moderations"/>
      <sheetName val="1920 Other Funding"/>
      <sheetName val="1920 FSM Calculation"/>
      <sheetName val="Band Values"/>
      <sheetName val="2021 Budget Requirement"/>
      <sheetName val="MFG"/>
      <sheetName val="2021 Band Calculations"/>
      <sheetName val="2021 FSM Calculation"/>
      <sheetName val="2021 Other Funding"/>
      <sheetName val="2021 Band Moderations"/>
      <sheetName val="MFG Tab"/>
      <sheetName val="2122 Budget Requirement"/>
      <sheetName val="2122 Funding Detail"/>
      <sheetName val="2122 Band Calculations"/>
      <sheetName val="2021 Funding Detail"/>
      <sheetName val="2122 MFG Protection"/>
      <sheetName val="202021 MFG Protection"/>
      <sheetName val="Group Sizes"/>
      <sheetName val="2122 FSM Calculation"/>
      <sheetName val="2122 Other Funding"/>
      <sheetName val="2122 Band Values"/>
      <sheetName val="2122 Teachers Pay Scales"/>
      <sheetName val="2122 TA Pay Scales"/>
      <sheetName val="2122 GLEA Pay Scales"/>
      <sheetName val="2122 Pay &amp; Pension Allocations"/>
      <sheetName val="Pay &amp; Pension Workings"/>
      <sheetName val="TA Workings"/>
      <sheetName val="2122 Band Moderations"/>
      <sheetName val="2122 OLEA Plac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79">
          <cell r="D79" t="str">
            <v>School Size 5 Transition Point</v>
          </cell>
        </row>
      </sheetData>
      <sheetData sheetId="21">
        <row r="3">
          <cell r="A3" t="str">
            <v>DfE Number</v>
          </cell>
          <cell r="B3" t="str">
            <v>School</v>
          </cell>
          <cell r="C3" t="str">
            <v>School Size</v>
          </cell>
          <cell r="D3" t="str">
            <v>Staffing Block</v>
          </cell>
          <cell r="E3" t="str">
            <v>Non-Staffing Block</v>
          </cell>
          <cell r="F3" t="str">
            <v>PFI Block</v>
          </cell>
          <cell r="G3" t="str">
            <v>Split-Site Factor</v>
          </cell>
          <cell r="H3" t="str">
            <v>Pre-16 &amp; Post-16 Banded Funding</v>
          </cell>
          <cell r="I3" t="str">
            <v>Band 5 Additionality Banded Funding</v>
          </cell>
          <cell r="J3" t="str">
            <v>Free School Meal Funding</v>
          </cell>
          <cell r="K3" t="str">
            <v>Total Funding</v>
          </cell>
          <cell r="L3" t="str">
            <v>Total Funding (less PFI) - Removed from Place/Top up</v>
          </cell>
          <cell r="M3" t="str">
            <v>2021/22 Places</v>
          </cell>
          <cell r="N3" t="str">
            <v>Band G</v>
          </cell>
          <cell r="O3" t="str">
            <v>2020/21 Places (less Band G)</v>
          </cell>
          <cell r="P3" t="str">
            <v>Ave. Band Value (Excl. Band G)</v>
          </cell>
          <cell r="Q3" t="str">
            <v>MFG Funding</v>
          </cell>
          <cell r="R3" t="str">
            <v>Total Funding (with MFG)</v>
          </cell>
          <cell r="S3" t="str">
            <v>Minimum £10,000pp Funding</v>
          </cell>
          <cell r="T3" t="str">
            <v>DfE Place Funding Adjustment</v>
          </cell>
          <cell r="U3" t="str">
            <v>Total Funding Place</v>
          </cell>
          <cell r="V3" t="str">
            <v>Place-led Funding</v>
          </cell>
          <cell r="W3" t="str">
            <v>Top up Funding</v>
          </cell>
          <cell r="X3" t="str">
            <v>Total Top up Funding</v>
          </cell>
          <cell r="Y3" t="str">
            <v>Final Budgets</v>
          </cell>
        </row>
        <row r="4">
          <cell r="A4">
            <v>9257010</v>
          </cell>
          <cell r="B4" t="str">
            <v>John Fielding School</v>
          </cell>
          <cell r="C4" t="str">
            <v>School Size 5</v>
          </cell>
          <cell r="D4">
            <v>420000</v>
          </cell>
          <cell r="E4">
            <v>120000</v>
          </cell>
          <cell r="F4"/>
          <cell r="G4"/>
          <cell r="H4">
            <v>1251225.5767195767</v>
          </cell>
          <cell r="I4">
            <v>0</v>
          </cell>
          <cell r="J4">
            <v>8171.9</v>
          </cell>
          <cell r="K4">
            <v>1799397.4767195766</v>
          </cell>
          <cell r="L4">
            <v>1799397.4767195766</v>
          </cell>
          <cell r="M4">
            <v>85.666666666666671</v>
          </cell>
          <cell r="N4">
            <v>298682.95238095237</v>
          </cell>
          <cell r="O4">
            <v>73.428571428571431</v>
          </cell>
          <cell r="P4">
            <v>12972.370370370369</v>
          </cell>
          <cell r="Q4">
            <v>5447.9430589344474</v>
          </cell>
          <cell r="R4">
            <v>1804845.4197785112</v>
          </cell>
          <cell r="S4">
            <v>856666.66666666674</v>
          </cell>
          <cell r="T4">
            <v>0</v>
          </cell>
          <cell r="U4">
            <v>21068.234472122698</v>
          </cell>
          <cell r="V4">
            <v>856666.66666666674</v>
          </cell>
          <cell r="W4">
            <v>11068.234472122698</v>
          </cell>
          <cell r="X4">
            <v>948178.75311184442</v>
          </cell>
          <cell r="Y4">
            <v>1804845.4197785112</v>
          </cell>
        </row>
        <row r="5">
          <cell r="A5">
            <v>9257005</v>
          </cell>
          <cell r="B5" t="str">
            <v>Sandon School</v>
          </cell>
          <cell r="C5" t="str">
            <v>School Size 4 Transition Point</v>
          </cell>
          <cell r="D5">
            <v>390000</v>
          </cell>
          <cell r="E5">
            <v>115000</v>
          </cell>
          <cell r="F5"/>
          <cell r="G5"/>
          <cell r="H5">
            <v>1074791.8406250002</v>
          </cell>
          <cell r="I5">
            <v>0</v>
          </cell>
          <cell r="J5">
            <v>11056.1</v>
          </cell>
          <cell r="K5">
            <v>1590847.9406250003</v>
          </cell>
          <cell r="L5">
            <v>1590847.9406250003</v>
          </cell>
          <cell r="M5">
            <v>83.25</v>
          </cell>
          <cell r="N5">
            <v>126987.46875000001</v>
          </cell>
          <cell r="O5">
            <v>78.046875</v>
          </cell>
          <cell r="P5">
            <v>12144.040000000003</v>
          </cell>
          <cell r="Q5">
            <v>4506.5936734566967</v>
          </cell>
          <cell r="R5">
            <v>1595354.534298457</v>
          </cell>
          <cell r="S5">
            <v>832500</v>
          </cell>
          <cell r="T5">
            <v>0</v>
          </cell>
          <cell r="U5">
            <v>19163.417829410893</v>
          </cell>
          <cell r="V5">
            <v>832500</v>
          </cell>
          <cell r="W5">
            <v>9163.4178294108933</v>
          </cell>
          <cell r="X5">
            <v>762854.53429845697</v>
          </cell>
          <cell r="Y5">
            <v>1595354.534298457</v>
          </cell>
        </row>
        <row r="6">
          <cell r="A6">
            <v>9257025</v>
          </cell>
          <cell r="B6" t="str">
            <v>St Bernard's School</v>
          </cell>
          <cell r="C6" t="str">
            <v>School Size 4</v>
          </cell>
          <cell r="D6">
            <v>360000</v>
          </cell>
          <cell r="E6">
            <v>110000</v>
          </cell>
          <cell r="F6"/>
          <cell r="G6"/>
          <cell r="H6">
            <v>915978.53896103892</v>
          </cell>
          <cell r="I6">
            <v>0</v>
          </cell>
          <cell r="J6">
            <v>10094.699999999999</v>
          </cell>
          <cell r="K6">
            <v>1396073.2389610389</v>
          </cell>
          <cell r="L6">
            <v>1396073.2389610389</v>
          </cell>
          <cell r="M6">
            <v>77.5</v>
          </cell>
          <cell r="N6">
            <v>98257.922077922063</v>
          </cell>
          <cell r="O6">
            <v>73.474025974025977</v>
          </cell>
          <cell r="P6">
            <v>11129.383561643835</v>
          </cell>
          <cell r="Q6">
            <v>8674.107205028442</v>
          </cell>
          <cell r="R6">
            <v>1404747.3461660673</v>
          </cell>
          <cell r="S6">
            <v>775000</v>
          </cell>
          <cell r="T6">
            <v>0</v>
          </cell>
          <cell r="U6">
            <v>18125.772208594415</v>
          </cell>
          <cell r="V6">
            <v>775000</v>
          </cell>
          <cell r="W6">
            <v>8125.7722085944151</v>
          </cell>
          <cell r="X6">
            <v>629747.34616606729</v>
          </cell>
          <cell r="Y6">
            <v>1404747.3461660673</v>
          </cell>
        </row>
        <row r="7">
          <cell r="A7">
            <v>9257011</v>
          </cell>
          <cell r="B7" t="str">
            <v>Spalding The Garth</v>
          </cell>
          <cell r="C7" t="str">
            <v>School Size 4</v>
          </cell>
          <cell r="D7">
            <v>360000</v>
          </cell>
          <cell r="E7">
            <v>110000</v>
          </cell>
          <cell r="F7"/>
          <cell r="G7"/>
          <cell r="H7">
            <v>790436.03773584915</v>
          </cell>
          <cell r="I7">
            <v>0</v>
          </cell>
          <cell r="J7">
            <v>11536.8</v>
          </cell>
          <cell r="K7">
            <v>1271972.8377358492</v>
          </cell>
          <cell r="L7">
            <v>1271972.8377358492</v>
          </cell>
          <cell r="M7">
            <v>58</v>
          </cell>
          <cell r="N7">
            <v>160250.71698113208</v>
          </cell>
          <cell r="O7">
            <v>51.433962264150942</v>
          </cell>
          <cell r="P7">
            <v>12252.319148936172</v>
          </cell>
          <cell r="Q7">
            <v>0</v>
          </cell>
          <cell r="R7">
            <v>1271972.8377358492</v>
          </cell>
          <cell r="S7">
            <v>580000</v>
          </cell>
          <cell r="T7">
            <v>0</v>
          </cell>
          <cell r="U7">
            <v>21930.56616785947</v>
          </cell>
          <cell r="V7">
            <v>580000</v>
          </cell>
          <cell r="W7">
            <v>11930.56616785947</v>
          </cell>
          <cell r="X7">
            <v>691972.8377358492</v>
          </cell>
          <cell r="Y7">
            <v>1271972.8377358492</v>
          </cell>
        </row>
        <row r="8">
          <cell r="A8">
            <v>9257024</v>
          </cell>
          <cell r="B8" t="str">
            <v>Eresby Special School</v>
          </cell>
          <cell r="C8" t="str">
            <v>School Size 4 Transition Point</v>
          </cell>
          <cell r="D8">
            <v>390000</v>
          </cell>
          <cell r="E8">
            <v>115000</v>
          </cell>
          <cell r="F8"/>
          <cell r="G8"/>
          <cell r="H8">
            <v>1044747.3343373494</v>
          </cell>
          <cell r="I8">
            <v>0</v>
          </cell>
          <cell r="J8">
            <v>10575.4</v>
          </cell>
          <cell r="K8">
            <v>1560322.7343373494</v>
          </cell>
          <cell r="L8">
            <v>1560322.7343373494</v>
          </cell>
          <cell r="M8">
            <v>83.916666666666686</v>
          </cell>
          <cell r="N8">
            <v>222079.89759036148</v>
          </cell>
          <cell r="O8">
            <v>74.817269076305237</v>
          </cell>
          <cell r="P8">
            <v>10995.689189189186</v>
          </cell>
          <cell r="Q8">
            <v>10277.238975019005</v>
          </cell>
          <cell r="R8">
            <v>1570599.9733123684</v>
          </cell>
          <cell r="S8">
            <v>839166.66666666686</v>
          </cell>
          <cell r="T8">
            <v>0</v>
          </cell>
          <cell r="U8">
            <v>18716.186375122557</v>
          </cell>
          <cell r="V8">
            <v>839166.66666666686</v>
          </cell>
          <cell r="W8">
            <v>8716.1863751225574</v>
          </cell>
          <cell r="X8">
            <v>731433.30664570152</v>
          </cell>
          <cell r="Y8">
            <v>1570599.9733123684</v>
          </cell>
        </row>
        <row r="9">
          <cell r="A9">
            <v>9257031</v>
          </cell>
          <cell r="B9" t="str">
            <v>Fortuna School</v>
          </cell>
          <cell r="C9" t="str">
            <v>School Size 5</v>
          </cell>
          <cell r="D9">
            <v>360000</v>
          </cell>
          <cell r="E9">
            <v>85000</v>
          </cell>
          <cell r="F9">
            <v>187683</v>
          </cell>
          <cell r="G9"/>
          <cell r="H9">
            <v>1254440.75</v>
          </cell>
          <cell r="I9">
            <v>0</v>
          </cell>
          <cell r="J9">
            <v>22592.899999999998</v>
          </cell>
          <cell r="K9">
            <v>1909716.65</v>
          </cell>
          <cell r="L9">
            <v>1722033.65</v>
          </cell>
          <cell r="M9">
            <v>80.583333333333343</v>
          </cell>
          <cell r="N9">
            <v>0</v>
          </cell>
          <cell r="O9">
            <v>80.583333333333343</v>
          </cell>
          <cell r="P9">
            <v>15566.999999999998</v>
          </cell>
          <cell r="Q9">
            <v>0</v>
          </cell>
          <cell r="R9">
            <v>1722033.65</v>
          </cell>
          <cell r="S9">
            <v>805833.33333333337</v>
          </cell>
          <cell r="T9">
            <v>0</v>
          </cell>
          <cell r="U9">
            <v>21369.600620475696</v>
          </cell>
          <cell r="V9">
            <v>805833.33333333337</v>
          </cell>
          <cell r="W9">
            <v>11369.600620475696</v>
          </cell>
          <cell r="X9">
            <v>916200.31666666653</v>
          </cell>
          <cell r="Y9">
            <v>1722033.65</v>
          </cell>
        </row>
        <row r="10">
          <cell r="A10">
            <v>9257033</v>
          </cell>
          <cell r="B10" t="str">
            <v>Warren Wood Specialist Academy</v>
          </cell>
          <cell r="C10" t="str">
            <v>School Size 4</v>
          </cell>
          <cell r="D10">
            <v>360000</v>
          </cell>
          <cell r="E10">
            <v>110000</v>
          </cell>
          <cell r="F10"/>
          <cell r="G10"/>
          <cell r="H10">
            <v>990593.79298245627</v>
          </cell>
          <cell r="I10">
            <v>0</v>
          </cell>
          <cell r="J10">
            <v>23554.3</v>
          </cell>
          <cell r="K10">
            <v>1484148.0929824563</v>
          </cell>
          <cell r="L10">
            <v>1484148.0929824563</v>
          </cell>
          <cell r="M10">
            <v>98.416666666666671</v>
          </cell>
          <cell r="N10">
            <v>0</v>
          </cell>
          <cell r="O10">
            <v>98.416666666666671</v>
          </cell>
          <cell r="P10">
            <v>10065.305263157896</v>
          </cell>
          <cell r="Q10">
            <v>0</v>
          </cell>
          <cell r="R10">
            <v>1484148.0929824563</v>
          </cell>
          <cell r="S10">
            <v>984166.66666666674</v>
          </cell>
          <cell r="T10">
            <v>0</v>
          </cell>
          <cell r="U10">
            <v>15080.251579838676</v>
          </cell>
          <cell r="V10">
            <v>984166.66666666674</v>
          </cell>
          <cell r="W10">
            <v>5080.2515798386758</v>
          </cell>
          <cell r="X10">
            <v>499981.42631578958</v>
          </cell>
          <cell r="Y10">
            <v>1484148.0929824563</v>
          </cell>
        </row>
        <row r="11">
          <cell r="A11">
            <v>9257008</v>
          </cell>
          <cell r="B11" t="str">
            <v>Gosberton House School</v>
          </cell>
          <cell r="C11" t="str">
            <v>School Size 4 Transition Point</v>
          </cell>
          <cell r="D11">
            <v>390000</v>
          </cell>
          <cell r="E11">
            <v>115000</v>
          </cell>
          <cell r="F11"/>
          <cell r="G11"/>
          <cell r="H11">
            <v>1031868.7626262626</v>
          </cell>
          <cell r="I11">
            <v>0</v>
          </cell>
          <cell r="J11">
            <v>15382.4</v>
          </cell>
          <cell r="K11">
            <v>1552251.1626262625</v>
          </cell>
          <cell r="L11">
            <v>1552251.1626262625</v>
          </cell>
          <cell r="M11">
            <v>98.583333333333343</v>
          </cell>
          <cell r="N11">
            <v>24303.281144781147</v>
          </cell>
          <cell r="O11">
            <v>97.58754208754209</v>
          </cell>
          <cell r="P11">
            <v>10324.73469387755</v>
          </cell>
          <cell r="Q11">
            <v>0</v>
          </cell>
          <cell r="R11">
            <v>1552251.1626262625</v>
          </cell>
          <cell r="S11">
            <v>985833.33333333337</v>
          </cell>
          <cell r="T11">
            <v>0</v>
          </cell>
          <cell r="U11">
            <v>15745.573923512382</v>
          </cell>
          <cell r="V11">
            <v>985833.33333333337</v>
          </cell>
          <cell r="W11">
            <v>5745.573923512382</v>
          </cell>
          <cell r="X11">
            <v>566417.82929292915</v>
          </cell>
          <cell r="Y11">
            <v>1552251.1626262625</v>
          </cell>
        </row>
        <row r="12">
          <cell r="A12">
            <v>9257034</v>
          </cell>
          <cell r="B12" t="str">
            <v>Aegir Specialist Academy</v>
          </cell>
          <cell r="C12" t="str">
            <v>School Size 5</v>
          </cell>
          <cell r="D12">
            <v>420000</v>
          </cell>
          <cell r="E12">
            <v>120000</v>
          </cell>
          <cell r="F12"/>
          <cell r="G12"/>
          <cell r="H12">
            <v>1198177.7744107745</v>
          </cell>
          <cell r="I12">
            <v>0</v>
          </cell>
          <cell r="J12">
            <v>12978.9</v>
          </cell>
          <cell r="K12">
            <v>1751156.6744107744</v>
          </cell>
          <cell r="L12">
            <v>1751156.6744107744</v>
          </cell>
          <cell r="M12">
            <v>123.16666666666666</v>
          </cell>
          <cell r="N12">
            <v>30363.693602693605</v>
          </cell>
          <cell r="O12">
            <v>121.92255892255891</v>
          </cell>
          <cell r="P12">
            <v>9578.3265306122466</v>
          </cell>
          <cell r="Q12">
            <v>21700.951439797085</v>
          </cell>
          <cell r="R12">
            <v>1772857.6258505716</v>
          </cell>
          <cell r="S12">
            <v>1231666.6666666665</v>
          </cell>
          <cell r="T12">
            <v>0</v>
          </cell>
          <cell r="U12">
            <v>14393.972605011408</v>
          </cell>
          <cell r="V12">
            <v>1231666.6666666665</v>
          </cell>
          <cell r="W12">
            <v>4393.9726050114077</v>
          </cell>
          <cell r="X12">
            <v>541190.95918390504</v>
          </cell>
          <cell r="Y12">
            <v>1772857.6258505716</v>
          </cell>
        </row>
        <row r="13">
          <cell r="A13">
            <v>9257002</v>
          </cell>
          <cell r="B13" t="str">
            <v>Ambergate Sports College</v>
          </cell>
          <cell r="C13" t="str">
            <v>School Size 5</v>
          </cell>
          <cell r="D13">
            <v>420000</v>
          </cell>
          <cell r="E13">
            <v>120000</v>
          </cell>
          <cell r="F13"/>
          <cell r="G13"/>
          <cell r="H13">
            <v>1453321.40070922</v>
          </cell>
          <cell r="I13">
            <v>0</v>
          </cell>
          <cell r="J13">
            <v>20189.399999999998</v>
          </cell>
          <cell r="K13">
            <v>2013510.8007092199</v>
          </cell>
          <cell r="L13">
            <v>2013510.8007092199</v>
          </cell>
          <cell r="M13">
            <v>150.58333333333334</v>
          </cell>
          <cell r="N13">
            <v>26064.80023640662</v>
          </cell>
          <cell r="O13">
            <v>149.51536643026006</v>
          </cell>
          <cell r="P13">
            <v>9545.8857142857159</v>
          </cell>
          <cell r="Q13">
            <v>0</v>
          </cell>
          <cell r="R13">
            <v>2013510.8007092199</v>
          </cell>
          <cell r="S13">
            <v>1505833.3333333335</v>
          </cell>
          <cell r="T13">
            <v>0</v>
          </cell>
          <cell r="U13">
            <v>13371.405428063441</v>
          </cell>
          <cell r="V13">
            <v>1505833.3333333335</v>
          </cell>
          <cell r="W13">
            <v>3371.4054280634409</v>
          </cell>
          <cell r="X13">
            <v>507677.46737588639</v>
          </cell>
          <cell r="Y13">
            <v>2013510.8007092199</v>
          </cell>
        </row>
        <row r="14">
          <cell r="A14">
            <v>9257009</v>
          </cell>
          <cell r="B14" t="str">
            <v>The Priory School</v>
          </cell>
          <cell r="C14" t="str">
            <v>School Size 5</v>
          </cell>
          <cell r="D14">
            <v>420000</v>
          </cell>
          <cell r="E14">
            <v>120000</v>
          </cell>
          <cell r="F14"/>
          <cell r="G14"/>
          <cell r="H14">
            <v>1232835.648</v>
          </cell>
          <cell r="I14">
            <v>0</v>
          </cell>
          <cell r="J14">
            <v>24035</v>
          </cell>
          <cell r="K14">
            <v>1796870.648</v>
          </cell>
          <cell r="L14">
            <v>1796870.648</v>
          </cell>
          <cell r="M14">
            <v>136</v>
          </cell>
          <cell r="N14">
            <v>0</v>
          </cell>
          <cell r="O14">
            <v>136</v>
          </cell>
          <cell r="P14">
            <v>9064.9680000000008</v>
          </cell>
          <cell r="Q14">
            <v>23335.654385413844</v>
          </cell>
          <cell r="R14">
            <v>1820206.3023854138</v>
          </cell>
          <cell r="S14">
            <v>1360000</v>
          </cell>
          <cell r="T14">
            <v>0</v>
          </cell>
          <cell r="U14">
            <v>13383.869870480983</v>
          </cell>
          <cell r="V14">
            <v>1360000</v>
          </cell>
          <cell r="W14">
            <v>3383.8698704809831</v>
          </cell>
          <cell r="X14">
            <v>460206.30238541379</v>
          </cell>
          <cell r="Y14">
            <v>1820206.3023854138</v>
          </cell>
        </row>
        <row r="15">
          <cell r="A15">
            <v>9257029</v>
          </cell>
          <cell r="B15" t="str">
            <v>Greenfields Academy</v>
          </cell>
          <cell r="C15" t="str">
            <v>School Size 5</v>
          </cell>
          <cell r="D15">
            <v>360000</v>
          </cell>
          <cell r="E15">
            <v>85000</v>
          </cell>
          <cell r="F15">
            <v>265481</v>
          </cell>
          <cell r="G15"/>
          <cell r="H15">
            <v>1162336</v>
          </cell>
          <cell r="I15">
            <v>0</v>
          </cell>
          <cell r="J15">
            <v>11056.1</v>
          </cell>
          <cell r="K15">
            <v>1883873.1</v>
          </cell>
          <cell r="L15">
            <v>1618392.1</v>
          </cell>
          <cell r="M15">
            <v>74.666666666666671</v>
          </cell>
          <cell r="N15">
            <v>0</v>
          </cell>
          <cell r="O15">
            <v>74.666666666666671</v>
          </cell>
          <cell r="P15">
            <v>15566.999999999998</v>
          </cell>
          <cell r="Q15">
            <v>0</v>
          </cell>
          <cell r="R15">
            <v>1618392.1</v>
          </cell>
          <cell r="S15">
            <v>746666.66666666674</v>
          </cell>
          <cell r="T15">
            <v>0</v>
          </cell>
          <cell r="U15">
            <v>21674.89419642857</v>
          </cell>
          <cell r="V15">
            <v>746666.66666666674</v>
          </cell>
          <cell r="W15">
            <v>11674.89419642857</v>
          </cell>
          <cell r="X15">
            <v>871725.43333333335</v>
          </cell>
          <cell r="Y15">
            <v>1618392.1</v>
          </cell>
        </row>
        <row r="16">
          <cell r="A16">
            <v>9257032</v>
          </cell>
          <cell r="B16" t="str">
            <v>Athena School</v>
          </cell>
          <cell r="C16" t="str">
            <v>School Size 4 Transition Point</v>
          </cell>
          <cell r="D16">
            <v>350000</v>
          </cell>
          <cell r="E16">
            <v>85000</v>
          </cell>
          <cell r="F16">
            <v>235661</v>
          </cell>
          <cell r="G16">
            <v>168000</v>
          </cell>
          <cell r="H16">
            <v>1476270.5</v>
          </cell>
          <cell r="I16">
            <v>0</v>
          </cell>
          <cell r="J16">
            <v>20670.099999999999</v>
          </cell>
          <cell r="K16">
            <v>2335601.6</v>
          </cell>
          <cell r="L16">
            <v>1931940.6</v>
          </cell>
          <cell r="M16">
            <v>94.833333333333343</v>
          </cell>
          <cell r="N16">
            <v>0</v>
          </cell>
          <cell r="O16">
            <v>94.833333333333343</v>
          </cell>
          <cell r="P16">
            <v>15566.999999999998</v>
          </cell>
          <cell r="Q16">
            <v>0</v>
          </cell>
          <cell r="R16">
            <v>1931940.6</v>
          </cell>
          <cell r="S16">
            <v>948333.33333333337</v>
          </cell>
          <cell r="T16">
            <v>0</v>
          </cell>
          <cell r="U16">
            <v>20371.957117750437</v>
          </cell>
          <cell r="V16">
            <v>948333.33333333337</v>
          </cell>
          <cell r="W16">
            <v>10371.957117750437</v>
          </cell>
          <cell r="X16">
            <v>983607.26666666672</v>
          </cell>
          <cell r="Y16">
            <v>1931940.6</v>
          </cell>
        </row>
        <row r="17">
          <cell r="A17">
            <v>9257030</v>
          </cell>
          <cell r="B17" t="str">
            <v>Woodlands Academy</v>
          </cell>
          <cell r="C17" t="str">
            <v>School Size 4 Transition Point</v>
          </cell>
          <cell r="D17">
            <v>350000</v>
          </cell>
          <cell r="E17">
            <v>85000</v>
          </cell>
          <cell r="F17">
            <v>289365</v>
          </cell>
          <cell r="G17"/>
          <cell r="H17">
            <v>1140282.75</v>
          </cell>
          <cell r="I17">
            <v>0</v>
          </cell>
          <cell r="J17">
            <v>9614</v>
          </cell>
          <cell r="K17">
            <v>1874261.75</v>
          </cell>
          <cell r="L17">
            <v>1584896.75</v>
          </cell>
          <cell r="M17">
            <v>73.25</v>
          </cell>
          <cell r="N17">
            <v>0</v>
          </cell>
          <cell r="O17">
            <v>73.25</v>
          </cell>
          <cell r="P17">
            <v>15567</v>
          </cell>
          <cell r="Q17">
            <v>0</v>
          </cell>
          <cell r="R17">
            <v>1584896.75</v>
          </cell>
          <cell r="S17">
            <v>732500</v>
          </cell>
          <cell r="T17">
            <v>0</v>
          </cell>
          <cell r="U17">
            <v>21636.815699658702</v>
          </cell>
          <cell r="V17">
            <v>732500</v>
          </cell>
          <cell r="W17">
            <v>11636.815699658702</v>
          </cell>
          <cell r="X17">
            <v>852396.75</v>
          </cell>
          <cell r="Y17">
            <v>1584896.75</v>
          </cell>
        </row>
        <row r="18">
          <cell r="A18">
            <v>9257028</v>
          </cell>
          <cell r="B18" t="str">
            <v>Bourne Willoughby</v>
          </cell>
          <cell r="C18" t="str">
            <v>School Size 5</v>
          </cell>
          <cell r="D18">
            <v>420000</v>
          </cell>
          <cell r="E18">
            <v>120000</v>
          </cell>
          <cell r="F18"/>
          <cell r="G18"/>
          <cell r="H18">
            <v>1439431.5016501651</v>
          </cell>
          <cell r="I18">
            <v>0</v>
          </cell>
          <cell r="J18">
            <v>15382.4</v>
          </cell>
          <cell r="K18">
            <v>1994813.901650165</v>
          </cell>
          <cell r="L18">
            <v>1994813.901650165</v>
          </cell>
          <cell r="M18">
            <v>112.16666666666667</v>
          </cell>
          <cell r="N18">
            <v>298147.88448844885</v>
          </cell>
          <cell r="O18">
            <v>99.950495049504951</v>
          </cell>
          <cell r="P18">
            <v>11418.488888888891</v>
          </cell>
          <cell r="Q18">
            <v>0</v>
          </cell>
          <cell r="R18">
            <v>1994813.901650165</v>
          </cell>
          <cell r="S18">
            <v>1121666.6666666667</v>
          </cell>
          <cell r="T18">
            <v>0</v>
          </cell>
          <cell r="U18">
            <v>17784.373565974725</v>
          </cell>
          <cell r="V18">
            <v>1121666.6666666667</v>
          </cell>
          <cell r="W18">
            <v>7784.3735659747254</v>
          </cell>
          <cell r="X18">
            <v>873147.23498349823</v>
          </cell>
          <cell r="Y18">
            <v>1994813.901650165</v>
          </cell>
        </row>
        <row r="19">
          <cell r="A19">
            <v>9257021</v>
          </cell>
          <cell r="B19" t="str">
            <v>St Lawrence School</v>
          </cell>
          <cell r="C19" t="str">
            <v>School Size 5 Transition Point</v>
          </cell>
          <cell r="D19">
            <v>455000</v>
          </cell>
          <cell r="E19">
            <v>130000</v>
          </cell>
          <cell r="F19"/>
          <cell r="G19"/>
          <cell r="H19">
            <v>1706746.8033536589</v>
          </cell>
          <cell r="I19">
            <v>0</v>
          </cell>
          <cell r="J19">
            <v>27399.899999999998</v>
          </cell>
          <cell r="K19">
            <v>2319146.7033536588</v>
          </cell>
          <cell r="L19">
            <v>2319146.7033536588</v>
          </cell>
          <cell r="M19">
            <v>167.75</v>
          </cell>
          <cell r="N19">
            <v>49928.128048780491</v>
          </cell>
          <cell r="O19">
            <v>165.70426829268294</v>
          </cell>
          <cell r="P19">
            <v>9998.6481481481496</v>
          </cell>
          <cell r="Q19">
            <v>26411.813058356754</v>
          </cell>
          <cell r="R19">
            <v>2345558.5164120155</v>
          </cell>
          <cell r="S19">
            <v>1677500</v>
          </cell>
          <cell r="T19">
            <v>0</v>
          </cell>
          <cell r="U19">
            <v>13982.465075481463</v>
          </cell>
          <cell r="V19">
            <v>1677500</v>
          </cell>
          <cell r="W19">
            <v>3982.4650754814629</v>
          </cell>
          <cell r="X19">
            <v>668058.51641201554</v>
          </cell>
          <cell r="Y19">
            <v>2345558.5164120155</v>
          </cell>
        </row>
        <row r="20">
          <cell r="A20">
            <v>9257015</v>
          </cell>
          <cell r="B20" t="str">
            <v>Lincoln St Christopher's</v>
          </cell>
          <cell r="C20" t="str">
            <v>School Size 6 Transition Point</v>
          </cell>
          <cell r="D20">
            <v>525000</v>
          </cell>
          <cell r="E20">
            <v>145000</v>
          </cell>
          <cell r="F20"/>
          <cell r="G20"/>
          <cell r="H20">
            <v>2282236.1467551626</v>
          </cell>
          <cell r="I20">
            <v>0</v>
          </cell>
          <cell r="J20">
            <v>23073.599999999999</v>
          </cell>
          <cell r="K20">
            <v>2975309.7467551627</v>
          </cell>
          <cell r="L20">
            <v>2975309.7467551627</v>
          </cell>
          <cell r="M20">
            <v>228.08333333333334</v>
          </cell>
          <cell r="N20">
            <v>73892.944690265489</v>
          </cell>
          <cell r="O20">
            <v>225.0556784660767</v>
          </cell>
          <cell r="P20">
            <v>9812.4304932735431</v>
          </cell>
          <cell r="Q20">
            <v>0</v>
          </cell>
          <cell r="R20">
            <v>2975309.7467551627</v>
          </cell>
          <cell r="S20">
            <v>2280833.3333333335</v>
          </cell>
          <cell r="T20">
            <v>0</v>
          </cell>
          <cell r="U20">
            <v>13044.836302909007</v>
          </cell>
          <cell r="V20">
            <v>2280833.3333333335</v>
          </cell>
          <cell r="W20">
            <v>3044.8363029090069</v>
          </cell>
          <cell r="X20">
            <v>694476.41342182923</v>
          </cell>
          <cell r="Y20">
            <v>2975309.7467551627</v>
          </cell>
        </row>
        <row r="21">
          <cell r="A21">
            <v>9257016</v>
          </cell>
          <cell r="B21" t="str">
            <v xml:space="preserve">Lincoln St Francis </v>
          </cell>
          <cell r="C21" t="str">
            <v>School Size 7</v>
          </cell>
          <cell r="D21">
            <v>560000</v>
          </cell>
          <cell r="E21">
            <v>150000</v>
          </cell>
          <cell r="F21"/>
          <cell r="G21"/>
          <cell r="H21">
            <v>2397491.3638716359</v>
          </cell>
          <cell r="I21">
            <v>0</v>
          </cell>
          <cell r="J21">
            <v>23073.599999999999</v>
          </cell>
          <cell r="K21">
            <v>3130564.963871636</v>
          </cell>
          <cell r="L21">
            <v>3130564.963871636</v>
          </cell>
          <cell r="M21">
            <v>162.08333333333334</v>
          </cell>
          <cell r="N21">
            <v>835387.56728778465</v>
          </cell>
          <cell r="O21">
            <v>127.85455486542443</v>
          </cell>
          <cell r="P21">
            <v>12217.818897637799</v>
          </cell>
          <cell r="Q21">
            <v>0</v>
          </cell>
          <cell r="R21">
            <v>3130564.963871636</v>
          </cell>
          <cell r="S21">
            <v>1620833.3333333335</v>
          </cell>
          <cell r="T21">
            <v>0</v>
          </cell>
          <cell r="U21">
            <v>19314.539622858421</v>
          </cell>
          <cell r="V21">
            <v>1620833.3333333335</v>
          </cell>
          <cell r="W21">
            <v>9314.5396228584214</v>
          </cell>
          <cell r="X21">
            <v>1509731.6305383025</v>
          </cell>
          <cell r="Y21">
            <v>3130564.963871636</v>
          </cell>
        </row>
      </sheetData>
      <sheetData sheetId="22"/>
      <sheetData sheetId="23">
        <row r="10">
          <cell r="L10">
            <v>2325.8415308553208</v>
          </cell>
        </row>
        <row r="19">
          <cell r="L19">
            <v>0</v>
          </cell>
        </row>
        <row r="28">
          <cell r="L28">
            <v>8674.107205028442</v>
          </cell>
        </row>
        <row r="37">
          <cell r="L37">
            <v>0</v>
          </cell>
        </row>
        <row r="46">
          <cell r="L46">
            <v>9079.1997680569111</v>
          </cell>
        </row>
        <row r="55">
          <cell r="L55">
            <v>0</v>
          </cell>
        </row>
        <row r="64">
          <cell r="L64">
            <v>0</v>
          </cell>
        </row>
        <row r="73">
          <cell r="L73">
            <v>0</v>
          </cell>
        </row>
        <row r="82">
          <cell r="L82">
            <v>34114.690686835864</v>
          </cell>
        </row>
        <row r="91">
          <cell r="L91">
            <v>0</v>
          </cell>
        </row>
        <row r="109">
          <cell r="L109">
            <v>0</v>
          </cell>
        </row>
        <row r="118">
          <cell r="L118">
            <v>0</v>
          </cell>
        </row>
        <row r="127">
          <cell r="L127">
            <v>2967.1675168530028</v>
          </cell>
        </row>
        <row r="136">
          <cell r="L136">
            <v>0</v>
          </cell>
        </row>
        <row r="145">
          <cell r="L145">
            <v>0</v>
          </cell>
        </row>
        <row r="154">
          <cell r="L154">
            <v>0</v>
          </cell>
        </row>
        <row r="163">
          <cell r="L163">
            <v>0</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4">
          <cell r="A4">
            <v>9257010</v>
          </cell>
          <cell r="B4" t="str">
            <v>John Fielding School</v>
          </cell>
          <cell r="C4" t="str">
            <v>School Size 5</v>
          </cell>
          <cell r="D4">
            <v>420000</v>
          </cell>
          <cell r="E4">
            <v>120000</v>
          </cell>
          <cell r="F4"/>
          <cell r="G4"/>
          <cell r="H4">
            <v>1158838.1764308882</v>
          </cell>
          <cell r="I4">
            <v>21498.253968253968</v>
          </cell>
          <cell r="J4">
            <v>7630.4500000000007</v>
          </cell>
          <cell r="K4">
            <v>1727966.8803991422</v>
          </cell>
          <cell r="L4">
            <v>1727966.8803991422</v>
          </cell>
          <cell r="M4">
            <v>85.666666666666671</v>
          </cell>
          <cell r="N4">
            <v>279960.97400187148</v>
          </cell>
          <cell r="O4">
            <v>73.428571428571431</v>
          </cell>
          <cell r="P4">
            <v>12261.922557939484</v>
          </cell>
          <cell r="Q4">
            <v>9139.18596024607</v>
          </cell>
          <cell r="R4">
            <v>1737106.0663593882</v>
          </cell>
          <cell r="S4">
            <v>856666.66666666674</v>
          </cell>
          <cell r="T4">
            <v>0</v>
          </cell>
          <cell r="U4">
            <v>20277.502720148499</v>
          </cell>
          <cell r="V4">
            <v>856666.66666666674</v>
          </cell>
          <cell r="W4">
            <v>10277.502720148499</v>
          </cell>
          <cell r="X4">
            <v>880439.39969272143</v>
          </cell>
          <cell r="Y4">
            <v>1737106.0663593882</v>
          </cell>
          <cell r="Z4">
            <v>0</v>
          </cell>
        </row>
        <row r="5">
          <cell r="A5">
            <v>9257005</v>
          </cell>
          <cell r="B5" t="str">
            <v>Sandon School</v>
          </cell>
          <cell r="C5" t="str">
            <v>School Size 4</v>
          </cell>
          <cell r="D5">
            <v>360000</v>
          </cell>
          <cell r="E5">
            <v>110000</v>
          </cell>
          <cell r="F5"/>
          <cell r="G5"/>
          <cell r="H5">
            <v>1001409.0586673757</v>
          </cell>
          <cell r="I5">
            <v>13710.234375</v>
          </cell>
          <cell r="J5">
            <v>10323.550000000001</v>
          </cell>
          <cell r="K5">
            <v>1495442.8430423758</v>
          </cell>
          <cell r="L5">
            <v>1495442.8430423758</v>
          </cell>
          <cell r="M5">
            <v>83.25</v>
          </cell>
          <cell r="N5">
            <v>119027.6684821916</v>
          </cell>
          <cell r="O5">
            <v>78.046875</v>
          </cell>
          <cell r="P5">
            <v>11481.454248618975</v>
          </cell>
          <cell r="Q5">
            <v>1106.2590793901277</v>
          </cell>
          <cell r="R5">
            <v>1496549.102121766</v>
          </cell>
          <cell r="S5">
            <v>832500</v>
          </cell>
          <cell r="T5">
            <v>0</v>
          </cell>
          <cell r="U5">
            <v>17976.565791252444</v>
          </cell>
          <cell r="V5">
            <v>832500</v>
          </cell>
          <cell r="W5">
            <v>7976.5657912524439</v>
          </cell>
          <cell r="X5">
            <v>664049.10212176596</v>
          </cell>
          <cell r="Y5">
            <v>1496549.102121766</v>
          </cell>
          <cell r="Z5">
            <v>0</v>
          </cell>
        </row>
        <row r="6">
          <cell r="A6">
            <v>9257025</v>
          </cell>
          <cell r="B6" t="str">
            <v>St Bernard's School</v>
          </cell>
          <cell r="C6" t="str">
            <v>School Size 4</v>
          </cell>
          <cell r="D6">
            <v>360000</v>
          </cell>
          <cell r="E6">
            <v>110000</v>
          </cell>
          <cell r="F6"/>
          <cell r="G6"/>
          <cell r="H6">
            <v>857582.99105446076</v>
          </cell>
          <cell r="I6">
            <v>7956.3311688311687</v>
          </cell>
          <cell r="J6">
            <v>9425.85</v>
          </cell>
          <cell r="K6">
            <v>1344965.1722232921</v>
          </cell>
          <cell r="L6">
            <v>1344965.1722232921</v>
          </cell>
          <cell r="M6">
            <v>77.5</v>
          </cell>
          <cell r="N6">
            <v>92098.940863721436</v>
          </cell>
          <cell r="O6">
            <v>73.474025974025977</v>
          </cell>
          <cell r="P6">
            <v>10526.718402949524</v>
          </cell>
          <cell r="Q6">
            <v>20124.481605575605</v>
          </cell>
          <cell r="R6">
            <v>1365089.6538288677</v>
          </cell>
          <cell r="S6">
            <v>775000</v>
          </cell>
          <cell r="T6">
            <v>0</v>
          </cell>
          <cell r="U6">
            <v>17614.060049404743</v>
          </cell>
          <cell r="V6">
            <v>775000</v>
          </cell>
          <cell r="W6">
            <v>7614.060049404743</v>
          </cell>
          <cell r="X6">
            <v>590089.65382886771</v>
          </cell>
          <cell r="Y6">
            <v>1365089.6538288677</v>
          </cell>
          <cell r="Z6">
            <v>0</v>
          </cell>
        </row>
        <row r="7">
          <cell r="A7">
            <v>9257011</v>
          </cell>
          <cell r="B7" t="str">
            <v>Spalding The Garth</v>
          </cell>
          <cell r="C7" t="str">
            <v>School Size 3 Transition Point</v>
          </cell>
          <cell r="D7">
            <v>332500</v>
          </cell>
          <cell r="E7">
            <v>105000</v>
          </cell>
          <cell r="F7"/>
          <cell r="G7"/>
          <cell r="H7">
            <v>743100.46710014949</v>
          </cell>
          <cell r="I7">
            <v>2883.5849056603774</v>
          </cell>
          <cell r="J7">
            <v>10772.400000000001</v>
          </cell>
          <cell r="K7">
            <v>1194256.4520058099</v>
          </cell>
          <cell r="L7">
            <v>1194256.4520058099</v>
          </cell>
          <cell r="M7">
            <v>58</v>
          </cell>
          <cell r="N7">
            <v>150205.91718711381</v>
          </cell>
          <cell r="O7">
            <v>51.433962264150942</v>
          </cell>
          <cell r="P7">
            <v>11583.36065494897</v>
          </cell>
          <cell r="Q7">
            <v>0</v>
          </cell>
          <cell r="R7">
            <v>1194256.4520058099</v>
          </cell>
          <cell r="S7">
            <v>580000</v>
          </cell>
          <cell r="T7">
            <v>0</v>
          </cell>
          <cell r="U7">
            <v>20590.628482858792</v>
          </cell>
          <cell r="V7">
            <v>580000</v>
          </cell>
          <cell r="W7">
            <v>10590.628482858792</v>
          </cell>
          <cell r="X7">
            <v>614256.45200580987</v>
          </cell>
          <cell r="Y7">
            <v>1194256.4520058099</v>
          </cell>
          <cell r="Z7">
            <v>0</v>
          </cell>
        </row>
        <row r="8">
          <cell r="A8">
            <v>9257024</v>
          </cell>
          <cell r="B8" t="str">
            <v>Eresby Special School</v>
          </cell>
          <cell r="C8" t="str">
            <v>School Size 4</v>
          </cell>
          <cell r="D8">
            <v>360000</v>
          </cell>
          <cell r="E8">
            <v>110000</v>
          </cell>
          <cell r="F8"/>
          <cell r="G8"/>
          <cell r="H8">
            <v>983575.69878823857</v>
          </cell>
          <cell r="I8">
            <v>2664.1014056224903</v>
          </cell>
          <cell r="J8">
            <v>9874.7000000000007</v>
          </cell>
          <cell r="K8">
            <v>1466114.5001938611</v>
          </cell>
          <cell r="L8">
            <v>1466114.5001938611</v>
          </cell>
          <cell r="M8">
            <v>83.916666666666686</v>
          </cell>
          <cell r="N8">
            <v>208159.53485130478</v>
          </cell>
          <cell r="O8">
            <v>74.817269076305237</v>
          </cell>
          <cell r="P8">
            <v>10399.74159640873</v>
          </cell>
          <cell r="Q8">
            <v>21452.798486354863</v>
          </cell>
          <cell r="R8">
            <v>1487567.2986802158</v>
          </cell>
          <cell r="S8">
            <v>839166.66666666686</v>
          </cell>
          <cell r="T8">
            <v>0</v>
          </cell>
          <cell r="U8">
            <v>17726.720540379927</v>
          </cell>
          <cell r="V8">
            <v>839166.66666666686</v>
          </cell>
          <cell r="W8">
            <v>7726.7205403799271</v>
          </cell>
          <cell r="X8">
            <v>648400.63201354898</v>
          </cell>
          <cell r="Y8">
            <v>1487567.2986802158</v>
          </cell>
          <cell r="Z8">
            <v>0</v>
          </cell>
        </row>
        <row r="9">
          <cell r="A9">
            <v>9257031</v>
          </cell>
          <cell r="B9" t="str">
            <v>Fortuna School</v>
          </cell>
          <cell r="C9" t="str">
            <v>School Size 5</v>
          </cell>
          <cell r="D9">
            <v>360000</v>
          </cell>
          <cell r="E9">
            <v>85000</v>
          </cell>
          <cell r="F9">
            <v>187683</v>
          </cell>
          <cell r="G9"/>
          <cell r="H9">
            <v>971767.43493117648</v>
          </cell>
          <cell r="I9">
            <v>212337.08333333337</v>
          </cell>
          <cell r="J9">
            <v>21095.95</v>
          </cell>
          <cell r="K9">
            <v>1837883.4682645097</v>
          </cell>
          <cell r="L9">
            <v>1650200.4682645097</v>
          </cell>
          <cell r="M9">
            <v>80.583333333333343</v>
          </cell>
          <cell r="N9">
            <v>0</v>
          </cell>
          <cell r="O9">
            <v>80.583333333333343</v>
          </cell>
          <cell r="P9">
            <v>14694.161550335177</v>
          </cell>
          <cell r="Q9">
            <v>17799.737007142194</v>
          </cell>
          <cell r="R9">
            <v>1668000.205271652</v>
          </cell>
          <cell r="S9">
            <v>805833.33333333337</v>
          </cell>
          <cell r="T9">
            <v>0</v>
          </cell>
          <cell r="U9">
            <v>20699.071833774375</v>
          </cell>
          <cell r="V9">
            <v>805833.33333333337</v>
          </cell>
          <cell r="W9">
            <v>10699.071833774375</v>
          </cell>
          <cell r="X9">
            <v>862166.8719383186</v>
          </cell>
          <cell r="Y9">
            <v>1668000.205271652</v>
          </cell>
          <cell r="Z9">
            <v>0</v>
          </cell>
        </row>
        <row r="10">
          <cell r="A10">
            <v>9257033</v>
          </cell>
          <cell r="B10" t="str">
            <v>Warren Wood Specialist Academy</v>
          </cell>
          <cell r="C10" t="str">
            <v>School Size 4</v>
          </cell>
          <cell r="D10">
            <v>360000</v>
          </cell>
          <cell r="E10">
            <v>110000</v>
          </cell>
          <cell r="F10"/>
          <cell r="G10"/>
          <cell r="H10">
            <v>920915.78688585176</v>
          </cell>
          <cell r="I10">
            <v>16378.605263157897</v>
          </cell>
          <cell r="J10">
            <v>21993.65</v>
          </cell>
          <cell r="K10">
            <v>1429288.0421490096</v>
          </cell>
          <cell r="L10">
            <v>1429288.0421490096</v>
          </cell>
          <cell r="M10">
            <v>98.416666666666671</v>
          </cell>
          <cell r="N10">
            <v>0</v>
          </cell>
          <cell r="O10">
            <v>98.416666666666671</v>
          </cell>
          <cell r="P10">
            <v>9523.7364147232129</v>
          </cell>
          <cell r="Q10">
            <v>0</v>
          </cell>
          <cell r="R10">
            <v>1429288.0421490096</v>
          </cell>
          <cell r="S10">
            <v>984166.66666666674</v>
          </cell>
          <cell r="T10">
            <v>0</v>
          </cell>
          <cell r="U10">
            <v>14522.825153080537</v>
          </cell>
          <cell r="V10">
            <v>984166.66666666674</v>
          </cell>
          <cell r="W10">
            <v>4522.8251530805373</v>
          </cell>
          <cell r="X10">
            <v>445121.3754823429</v>
          </cell>
          <cell r="Y10">
            <v>1429288.0421490096</v>
          </cell>
          <cell r="Z10">
            <v>0</v>
          </cell>
        </row>
        <row r="11">
          <cell r="A11">
            <v>9257008</v>
          </cell>
          <cell r="B11" t="str">
            <v>Gosberton House School</v>
          </cell>
          <cell r="C11" t="str">
            <v>School Size 4</v>
          </cell>
          <cell r="D11">
            <v>360000</v>
          </cell>
          <cell r="E11">
            <v>110000</v>
          </cell>
          <cell r="F11"/>
          <cell r="G11"/>
          <cell r="H11">
            <v>955264.96067784482</v>
          </cell>
          <cell r="I11">
            <v>20991.279461279461</v>
          </cell>
          <cell r="J11">
            <v>14363.2</v>
          </cell>
          <cell r="K11">
            <v>1460619.4401391244</v>
          </cell>
          <cell r="L11">
            <v>1460619.4401391244</v>
          </cell>
          <cell r="M11">
            <v>98.583333333333343</v>
          </cell>
          <cell r="N11">
            <v>22779.908282332057</v>
          </cell>
          <cell r="O11">
            <v>97.58754208754209</v>
          </cell>
          <cell r="P11">
            <v>9770.4718395455111</v>
          </cell>
          <cell r="Q11">
            <v>0</v>
          </cell>
          <cell r="R11">
            <v>1460619.4401391244</v>
          </cell>
          <cell r="S11">
            <v>985833.33333333337</v>
          </cell>
          <cell r="T11">
            <v>0</v>
          </cell>
          <cell r="U11">
            <v>14816.088995494076</v>
          </cell>
          <cell r="V11">
            <v>985833.33333333337</v>
          </cell>
          <cell r="W11">
            <v>4816.0889954940758</v>
          </cell>
          <cell r="X11">
            <v>474786.10680579103</v>
          </cell>
          <cell r="Y11">
            <v>1460619.4401391244</v>
          </cell>
          <cell r="Z11">
            <v>0</v>
          </cell>
        </row>
        <row r="12">
          <cell r="A12">
            <v>9257034</v>
          </cell>
          <cell r="B12" t="str">
            <v>Aegir Specialist Academy</v>
          </cell>
          <cell r="C12" t="str">
            <v>School Size 4 Transition Point</v>
          </cell>
          <cell r="D12">
            <v>390000</v>
          </cell>
          <cell r="E12">
            <v>115000</v>
          </cell>
          <cell r="F12"/>
          <cell r="G12"/>
          <cell r="H12">
            <v>1087703.2634701165</v>
          </cell>
          <cell r="I12">
            <v>45895.134680134681</v>
          </cell>
          <cell r="J12">
            <v>21095.95</v>
          </cell>
          <cell r="K12">
            <v>1659694.3481502512</v>
          </cell>
          <cell r="L12">
            <v>1659694.3481502512</v>
          </cell>
          <cell r="M12">
            <v>123.16666666666666</v>
          </cell>
          <cell r="N12">
            <v>28460.443314697197</v>
          </cell>
          <cell r="O12">
            <v>121.92255892255891</v>
          </cell>
          <cell r="P12">
            <v>9064.261483697208</v>
          </cell>
          <cell r="Q12">
            <v>59535.284511571168</v>
          </cell>
          <cell r="R12">
            <v>1719229.6326618223</v>
          </cell>
          <cell r="S12">
            <v>1231666.6666666665</v>
          </cell>
          <cell r="T12">
            <v>0</v>
          </cell>
          <cell r="U12">
            <v>13958.562646780696</v>
          </cell>
          <cell r="V12">
            <v>1231666.6666666665</v>
          </cell>
          <cell r="W12">
            <v>3958.562646780696</v>
          </cell>
          <cell r="X12">
            <v>487562.96599515574</v>
          </cell>
          <cell r="Y12">
            <v>1719229.6326618223</v>
          </cell>
          <cell r="Z12">
            <v>0</v>
          </cell>
        </row>
        <row r="13">
          <cell r="A13">
            <v>9257002</v>
          </cell>
          <cell r="B13" t="str">
            <v>Ambergate Sports College</v>
          </cell>
          <cell r="C13" t="str">
            <v>School Size 5</v>
          </cell>
          <cell r="D13">
            <v>420000</v>
          </cell>
          <cell r="E13">
            <v>120000</v>
          </cell>
          <cell r="F13"/>
          <cell r="G13"/>
          <cell r="H13">
            <v>1324642.7827644676</v>
          </cell>
          <cell r="I13">
            <v>50653.670212765952</v>
          </cell>
          <cell r="J13">
            <v>18851.7</v>
          </cell>
          <cell r="K13">
            <v>1934148.1529772335</v>
          </cell>
          <cell r="L13">
            <v>1934148.1529772335</v>
          </cell>
          <cell r="M13">
            <v>150.58333333333334</v>
          </cell>
          <cell r="N13">
            <v>24431.012226106413</v>
          </cell>
          <cell r="O13">
            <v>149.51536643026006</v>
          </cell>
          <cell r="P13">
            <v>9034.9605729737814</v>
          </cell>
          <cell r="Q13">
            <v>0</v>
          </cell>
          <cell r="R13">
            <v>1934148.1529772335</v>
          </cell>
          <cell r="S13">
            <v>1505833.3333333335</v>
          </cell>
          <cell r="T13">
            <v>0</v>
          </cell>
          <cell r="U13">
            <v>12844.370689389485</v>
          </cell>
          <cell r="V13">
            <v>1505833.3333333335</v>
          </cell>
          <cell r="W13">
            <v>2844.3706893894851</v>
          </cell>
          <cell r="X13">
            <v>428314.81964390003</v>
          </cell>
          <cell r="Y13">
            <v>1934148.1529772335</v>
          </cell>
          <cell r="Z13">
            <v>0</v>
          </cell>
        </row>
        <row r="14">
          <cell r="A14">
            <v>9257009</v>
          </cell>
          <cell r="B14" t="str">
            <v>The Priory School</v>
          </cell>
          <cell r="C14" t="str">
            <v>School Size 4 Transition Point</v>
          </cell>
          <cell r="D14">
            <v>390000</v>
          </cell>
          <cell r="E14">
            <v>115000</v>
          </cell>
          <cell r="F14"/>
          <cell r="G14"/>
          <cell r="H14">
            <v>1156108.9567382953</v>
          </cell>
          <cell r="I14">
            <v>28668.800000000007</v>
          </cell>
          <cell r="J14">
            <v>22442.5</v>
          </cell>
          <cell r="K14">
            <v>1712220.2567382953</v>
          </cell>
          <cell r="L14">
            <v>1712220.2567382953</v>
          </cell>
          <cell r="M14">
            <v>136</v>
          </cell>
          <cell r="N14">
            <v>0</v>
          </cell>
          <cell r="O14">
            <v>136</v>
          </cell>
          <cell r="P14">
            <v>8711.6011524874648</v>
          </cell>
          <cell r="Q14">
            <v>60152.544594865052</v>
          </cell>
          <cell r="R14">
            <v>1772372.8013331604</v>
          </cell>
          <cell r="S14">
            <v>1360000</v>
          </cell>
          <cell r="T14">
            <v>0</v>
          </cell>
          <cell r="U14">
            <v>13032.15295097912</v>
          </cell>
          <cell r="V14">
            <v>1360000</v>
          </cell>
          <cell r="W14">
            <v>3032.1529509791199</v>
          </cell>
          <cell r="X14">
            <v>412372.80133316037</v>
          </cell>
          <cell r="Y14">
            <v>1772372.8013331604</v>
          </cell>
          <cell r="Z14">
            <v>0</v>
          </cell>
        </row>
        <row r="15">
          <cell r="A15">
            <v>9257029</v>
          </cell>
          <cell r="B15" t="str">
            <v>Greenfields Academy</v>
          </cell>
          <cell r="C15" t="str">
            <v>School Size 4 Transition Point</v>
          </cell>
          <cell r="D15">
            <v>350000</v>
          </cell>
          <cell r="E15">
            <v>85000</v>
          </cell>
          <cell r="F15">
            <v>265481</v>
          </cell>
          <cell r="G15"/>
          <cell r="H15">
            <v>900417.39575836004</v>
          </cell>
          <cell r="I15">
            <v>196746.66666666669</v>
          </cell>
          <cell r="J15">
            <v>10323.550000000001</v>
          </cell>
          <cell r="K15">
            <v>1807968.6124250269</v>
          </cell>
          <cell r="L15">
            <v>1542487.6124250269</v>
          </cell>
          <cell r="M15">
            <v>74.666666666666671</v>
          </cell>
          <cell r="N15">
            <v>0</v>
          </cell>
          <cell r="O15">
            <v>74.666666666666671</v>
          </cell>
          <cell r="P15">
            <v>14694.161550335177</v>
          </cell>
          <cell r="Q15">
            <v>4968.7663456613536</v>
          </cell>
          <cell r="R15">
            <v>1547456.3787706883</v>
          </cell>
          <cell r="S15">
            <v>746666.66666666674</v>
          </cell>
          <cell r="T15">
            <v>0</v>
          </cell>
          <cell r="U15">
            <v>20724.862215678859</v>
          </cell>
          <cell r="V15">
            <v>746666.66666666674</v>
          </cell>
          <cell r="W15">
            <v>10724.862215678859</v>
          </cell>
          <cell r="X15">
            <v>800789.71210402157</v>
          </cell>
          <cell r="Y15">
            <v>1547456.3787706883</v>
          </cell>
          <cell r="Z15">
            <v>0</v>
          </cell>
        </row>
        <row r="16">
          <cell r="A16">
            <v>9257032</v>
          </cell>
          <cell r="B16" t="str">
            <v>Athena School</v>
          </cell>
          <cell r="C16" t="str">
            <v>School Size 4 Transition Point</v>
          </cell>
          <cell r="D16">
            <v>350000</v>
          </cell>
          <cell r="E16">
            <v>85000</v>
          </cell>
          <cell r="F16">
            <v>235661</v>
          </cell>
          <cell r="G16">
            <v>168000</v>
          </cell>
          <cell r="H16">
            <v>1143610.4870234528</v>
          </cell>
          <cell r="I16">
            <v>249885.83333333337</v>
          </cell>
          <cell r="J16">
            <v>19300.55</v>
          </cell>
          <cell r="K16">
            <v>2251457.8703567861</v>
          </cell>
          <cell r="L16">
            <v>1847796.8703567861</v>
          </cell>
          <cell r="M16">
            <v>94.833333333333343</v>
          </cell>
          <cell r="N16">
            <v>0</v>
          </cell>
          <cell r="O16">
            <v>94.833333333333343</v>
          </cell>
          <cell r="P16">
            <v>14694.161550335179</v>
          </cell>
          <cell r="Q16">
            <v>26861.708477914828</v>
          </cell>
          <cell r="R16">
            <v>1874658.5788347009</v>
          </cell>
          <cell r="S16">
            <v>948333.33333333337</v>
          </cell>
          <cell r="T16">
            <v>0</v>
          </cell>
          <cell r="U16">
            <v>19767.928775058353</v>
          </cell>
          <cell r="V16">
            <v>948333.33333333337</v>
          </cell>
          <cell r="W16">
            <v>9767.9287750583535</v>
          </cell>
          <cell r="X16">
            <v>926325.24550136749</v>
          </cell>
          <cell r="Y16">
            <v>1874658.5788347009</v>
          </cell>
          <cell r="Z16">
            <v>0</v>
          </cell>
        </row>
        <row r="17">
          <cell r="A17">
            <v>9257030</v>
          </cell>
          <cell r="B17" t="str">
            <v>Woodlands Academy</v>
          </cell>
          <cell r="C17" t="str">
            <v>School Size 4 Transition Point</v>
          </cell>
          <cell r="D17">
            <v>350000</v>
          </cell>
          <cell r="E17">
            <v>85000</v>
          </cell>
          <cell r="F17">
            <v>289365</v>
          </cell>
          <cell r="G17"/>
          <cell r="H17">
            <v>883333.58356205188</v>
          </cell>
          <cell r="I17">
            <v>193013.75</v>
          </cell>
          <cell r="J17">
            <v>8977</v>
          </cell>
          <cell r="K17">
            <v>1809689.3335620519</v>
          </cell>
          <cell r="L17">
            <v>1520324.3335620519</v>
          </cell>
          <cell r="M17">
            <v>73.25</v>
          </cell>
          <cell r="N17">
            <v>0</v>
          </cell>
          <cell r="O17">
            <v>73.25</v>
          </cell>
          <cell r="P17">
            <v>14694.161550335179</v>
          </cell>
          <cell r="Q17">
            <v>33252.755302644044</v>
          </cell>
          <cell r="R17">
            <v>1553577.088864696</v>
          </cell>
          <cell r="S17">
            <v>732500</v>
          </cell>
          <cell r="T17">
            <v>0</v>
          </cell>
          <cell r="U17">
            <v>21209.243533989025</v>
          </cell>
          <cell r="V17">
            <v>732500</v>
          </cell>
          <cell r="W17">
            <v>11209.243533989025</v>
          </cell>
          <cell r="X17">
            <v>821077.08886469598</v>
          </cell>
          <cell r="Y17">
            <v>1553577.088864696</v>
          </cell>
          <cell r="Z17">
            <v>0</v>
          </cell>
        </row>
        <row r="18">
          <cell r="A18">
            <v>9257028</v>
          </cell>
          <cell r="B18" t="str">
            <v>Bourne Willoughby</v>
          </cell>
          <cell r="C18" t="str">
            <v>School Size 5</v>
          </cell>
          <cell r="D18">
            <v>420000</v>
          </cell>
          <cell r="E18">
            <v>120000</v>
          </cell>
          <cell r="F18"/>
          <cell r="G18"/>
          <cell r="H18">
            <v>1335301.3034477031</v>
          </cell>
          <cell r="I18">
            <v>23410.627062706269</v>
          </cell>
          <cell r="J18">
            <v>14363.2</v>
          </cell>
          <cell r="K18">
            <v>1913075.1305104094</v>
          </cell>
          <cell r="L18">
            <v>1913075.1305104094</v>
          </cell>
          <cell r="M18">
            <v>112.16666666666667</v>
          </cell>
          <cell r="N18">
            <v>279459.44511597994</v>
          </cell>
          <cell r="O18">
            <v>99.950495049504951</v>
          </cell>
          <cell r="P18">
            <v>10797.870334307812</v>
          </cell>
          <cell r="Q18">
            <v>0</v>
          </cell>
          <cell r="R18">
            <v>1913075.1305104094</v>
          </cell>
          <cell r="S18">
            <v>1121666.6666666667</v>
          </cell>
          <cell r="T18">
            <v>0</v>
          </cell>
          <cell r="U18">
            <v>17055.647523124004</v>
          </cell>
          <cell r="V18">
            <v>1121666.6666666667</v>
          </cell>
          <cell r="W18">
            <v>7055.6475231240038</v>
          </cell>
          <cell r="X18">
            <v>791408.46384374262</v>
          </cell>
          <cell r="Y18">
            <v>1913075.1305104094</v>
          </cell>
          <cell r="Z18">
            <v>0</v>
          </cell>
        </row>
        <row r="19">
          <cell r="A19">
            <v>9257021</v>
          </cell>
          <cell r="B19" t="str">
            <v>St Lawrence School</v>
          </cell>
          <cell r="C19" t="str">
            <v>School Size 5 Transition Point</v>
          </cell>
          <cell r="D19">
            <v>455000</v>
          </cell>
          <cell r="E19">
            <v>130000</v>
          </cell>
          <cell r="F19"/>
          <cell r="G19"/>
          <cell r="H19">
            <v>1579584.5197189793</v>
          </cell>
          <cell r="I19">
            <v>35038.269817073175</v>
          </cell>
          <cell r="J19">
            <v>25584.45</v>
          </cell>
          <cell r="K19">
            <v>2225207.239536053</v>
          </cell>
          <cell r="L19">
            <v>2225207.239536053</v>
          </cell>
          <cell r="M19">
            <v>167.75</v>
          </cell>
          <cell r="N19">
            <v>46798.544232945467</v>
          </cell>
          <cell r="O19">
            <v>165.70426829268294</v>
          </cell>
          <cell r="P19">
            <v>9461.5803289620999</v>
          </cell>
          <cell r="Q19">
            <v>12937.523007891316</v>
          </cell>
          <cell r="R19">
            <v>2238144.7625439442</v>
          </cell>
          <cell r="S19">
            <v>1677500</v>
          </cell>
          <cell r="T19">
            <v>0</v>
          </cell>
          <cell r="U19">
            <v>13342.144635135286</v>
          </cell>
          <cell r="V19">
            <v>1677500</v>
          </cell>
          <cell r="W19">
            <v>3342.1446351352861</v>
          </cell>
          <cell r="X19">
            <v>560644.76254394418</v>
          </cell>
          <cell r="Y19">
            <v>2238144.7625439442</v>
          </cell>
          <cell r="Z19">
            <v>0</v>
          </cell>
        </row>
        <row r="20">
          <cell r="A20">
            <v>9257015</v>
          </cell>
          <cell r="B20" t="str">
            <v>Lincoln St Christopher's</v>
          </cell>
          <cell r="C20" t="str">
            <v>School Size 6 Transition Point</v>
          </cell>
          <cell r="D20">
            <v>525000</v>
          </cell>
          <cell r="E20">
            <v>145000</v>
          </cell>
          <cell r="F20"/>
          <cell r="G20"/>
          <cell r="H20">
            <v>2148810.2146396968</v>
          </cell>
          <cell r="I20">
            <v>10637.160766961651</v>
          </cell>
          <cell r="J20">
            <v>21544.800000000003</v>
          </cell>
          <cell r="K20">
            <v>2850992.1754066581</v>
          </cell>
          <cell r="L20">
            <v>2850992.1754066581</v>
          </cell>
          <cell r="M20">
            <v>228.08333333333334</v>
          </cell>
          <cell r="N20">
            <v>69261.203568685509</v>
          </cell>
          <cell r="O20">
            <v>225.0556784660767</v>
          </cell>
          <cell r="P20">
            <v>9287.4180562079564</v>
          </cell>
          <cell r="Q20">
            <v>0</v>
          </cell>
          <cell r="R20">
            <v>2850992.1754066581</v>
          </cell>
          <cell r="S20">
            <v>2280833.3333333335</v>
          </cell>
          <cell r="T20">
            <v>0</v>
          </cell>
          <cell r="U20">
            <v>12499.783012378479</v>
          </cell>
          <cell r="V20">
            <v>2280833.3333333335</v>
          </cell>
          <cell r="W20">
            <v>2499.7830123784788</v>
          </cell>
          <cell r="X20">
            <v>570158.8420733246</v>
          </cell>
          <cell r="Y20">
            <v>2850992.1754066581</v>
          </cell>
          <cell r="Z20">
            <v>0</v>
          </cell>
        </row>
        <row r="21">
          <cell r="A21">
            <v>9257016</v>
          </cell>
          <cell r="B21" t="str">
            <v xml:space="preserve">Lincoln St Francis </v>
          </cell>
          <cell r="C21" t="str">
            <v>School Size 6 Transition Point</v>
          </cell>
          <cell r="D21">
            <v>525000</v>
          </cell>
          <cell r="E21">
            <v>145000</v>
          </cell>
          <cell r="F21"/>
          <cell r="G21"/>
          <cell r="H21">
            <v>2256437.5442380505</v>
          </cell>
          <cell r="I21">
            <v>2652.7303312629401</v>
          </cell>
          <cell r="J21">
            <v>21544.800000000003</v>
          </cell>
          <cell r="K21">
            <v>2950635.0745693133</v>
          </cell>
          <cell r="L21">
            <v>2950635.0745693133</v>
          </cell>
          <cell r="M21">
            <v>162.08333333333334</v>
          </cell>
          <cell r="N21">
            <v>783023.98962712591</v>
          </cell>
          <cell r="O21">
            <v>127.85455486542443</v>
          </cell>
          <cell r="P21">
            <v>11544.886191155623</v>
          </cell>
          <cell r="Q21">
            <v>0</v>
          </cell>
          <cell r="R21">
            <v>2950635.0745693133</v>
          </cell>
          <cell r="S21">
            <v>1620833.3333333335</v>
          </cell>
          <cell r="T21">
            <v>0</v>
          </cell>
          <cell r="U21">
            <v>18204.432336674425</v>
          </cell>
          <cell r="V21">
            <v>1620833.3333333335</v>
          </cell>
          <cell r="W21">
            <v>8204.4323366744247</v>
          </cell>
          <cell r="X21">
            <v>1329801.7412359798</v>
          </cell>
          <cell r="Y21">
            <v>2950635.0745693133</v>
          </cell>
          <cell r="Z21">
            <v>0</v>
          </cell>
        </row>
      </sheetData>
      <sheetData sheetId="60">
        <row r="18">
          <cell r="G18">
            <v>0</v>
          </cell>
        </row>
        <row r="72">
          <cell r="A72">
            <v>9257010</v>
          </cell>
          <cell r="B72" t="str">
            <v>Boston John Fielding</v>
          </cell>
          <cell r="C72">
            <v>5</v>
          </cell>
          <cell r="D72">
            <v>1.5873015873015872E-2</v>
          </cell>
          <cell r="E72">
            <v>0.31746031746031744</v>
          </cell>
          <cell r="F72">
            <v>9.5238095238095233E-2</v>
          </cell>
          <cell r="G72">
            <v>0.17460317460317459</v>
          </cell>
          <cell r="H72">
            <v>6.3492063492063489E-2</v>
          </cell>
          <cell r="I72">
            <v>0.19047619047619047</v>
          </cell>
          <cell r="J72">
            <v>0.14285714285714285</v>
          </cell>
        </row>
        <row r="73">
          <cell r="A73">
            <v>9257005</v>
          </cell>
          <cell r="B73" t="str">
            <v>Grantham Sandon</v>
          </cell>
          <cell r="C73">
            <v>4</v>
          </cell>
          <cell r="D73">
            <v>0.05</v>
          </cell>
          <cell r="E73">
            <v>0.4</v>
          </cell>
          <cell r="F73">
            <v>6.25E-2</v>
          </cell>
          <cell r="G73">
            <v>0.15</v>
          </cell>
          <cell r="H73">
            <v>0.125</v>
          </cell>
          <cell r="I73">
            <v>0.15</v>
          </cell>
          <cell r="J73">
            <v>6.25E-2</v>
          </cell>
        </row>
        <row r="74">
          <cell r="A74">
            <v>9257025</v>
          </cell>
          <cell r="B74" t="str">
            <v>Louth St Bernard's</v>
          </cell>
          <cell r="C74">
            <v>4</v>
          </cell>
          <cell r="D74">
            <v>0.15584415584415584</v>
          </cell>
          <cell r="E74">
            <v>0.40259740259740262</v>
          </cell>
          <cell r="F74">
            <v>3.896103896103896E-2</v>
          </cell>
          <cell r="G74">
            <v>0.15584415584415584</v>
          </cell>
          <cell r="H74">
            <v>5.1948051948051951E-2</v>
          </cell>
          <cell r="I74">
            <v>0.14285714285714285</v>
          </cell>
          <cell r="J74">
            <v>5.1948051948051951E-2</v>
          </cell>
        </row>
        <row r="75">
          <cell r="A75">
            <v>9257011</v>
          </cell>
          <cell r="B75" t="str">
            <v>Spalding The Garth</v>
          </cell>
          <cell r="C75" t="str">
            <v>3 (TP)</v>
          </cell>
          <cell r="D75">
            <v>5.6603773584905662E-2</v>
          </cell>
          <cell r="E75">
            <v>0.35849056603773582</v>
          </cell>
          <cell r="F75">
            <v>1.8867924528301886E-2</v>
          </cell>
          <cell r="G75">
            <v>0.16981132075471697</v>
          </cell>
          <cell r="H75">
            <v>0.13207547169811321</v>
          </cell>
          <cell r="I75">
            <v>0.15094339622641509</v>
          </cell>
          <cell r="J75">
            <v>0.11320754716981132</v>
          </cell>
        </row>
        <row r="76">
          <cell r="A76">
            <v>9257024</v>
          </cell>
          <cell r="B76" t="str">
            <v>Spilsby The Eresby</v>
          </cell>
          <cell r="C76">
            <v>4</v>
          </cell>
          <cell r="D76">
            <v>8.4337349397590355E-2</v>
          </cell>
          <cell r="E76">
            <v>0.45783132530120479</v>
          </cell>
          <cell r="F76">
            <v>1.2048192771084338E-2</v>
          </cell>
          <cell r="G76">
            <v>0.18072289156626506</v>
          </cell>
          <cell r="H76">
            <v>8.4337349397590355E-2</v>
          </cell>
          <cell r="I76">
            <v>7.2289156626506021E-2</v>
          </cell>
          <cell r="J76">
            <v>0.10843373493975904</v>
          </cell>
        </row>
        <row r="77">
          <cell r="A77">
            <v>9257031</v>
          </cell>
          <cell r="B77" t="str">
            <v>Lincoln Fortuna</v>
          </cell>
          <cell r="C77">
            <v>5</v>
          </cell>
          <cell r="D77">
            <v>0</v>
          </cell>
          <cell r="E77">
            <v>0</v>
          </cell>
          <cell r="F77">
            <v>1</v>
          </cell>
          <cell r="G77">
            <v>0</v>
          </cell>
          <cell r="H77">
            <v>0</v>
          </cell>
          <cell r="I77">
            <v>0</v>
          </cell>
          <cell r="J77">
            <v>0</v>
          </cell>
        </row>
        <row r="78">
          <cell r="A78">
            <v>9257033</v>
          </cell>
          <cell r="B78" t="str">
            <v xml:space="preserve">Gainsborough Warren Wood </v>
          </cell>
          <cell r="C78" t="str">
            <v>4 (TP)</v>
          </cell>
          <cell r="D78">
            <v>0.16842105263157894</v>
          </cell>
          <cell r="E78">
            <v>0.5368421052631579</v>
          </cell>
          <cell r="F78">
            <v>6.3157894736842107E-2</v>
          </cell>
          <cell r="G78">
            <v>0.14736842105263157</v>
          </cell>
          <cell r="H78">
            <v>4.2105263157894736E-2</v>
          </cell>
          <cell r="I78">
            <v>4.2105263157894736E-2</v>
          </cell>
          <cell r="J78">
            <v>0</v>
          </cell>
        </row>
        <row r="79">
          <cell r="A79">
            <v>9257008</v>
          </cell>
          <cell r="B79" t="str">
            <v>Gosberton House</v>
          </cell>
          <cell r="C79">
            <v>4</v>
          </cell>
          <cell r="D79">
            <v>0.10101010101010101</v>
          </cell>
          <cell r="E79">
            <v>0.58585858585858586</v>
          </cell>
          <cell r="F79">
            <v>8.0808080808080815E-2</v>
          </cell>
          <cell r="G79">
            <v>9.0909090909090912E-2</v>
          </cell>
          <cell r="H79">
            <v>1.0101010101010102E-2</v>
          </cell>
          <cell r="I79">
            <v>0.12121212121212122</v>
          </cell>
          <cell r="J79">
            <v>1.0101010101010102E-2</v>
          </cell>
        </row>
        <row r="80">
          <cell r="A80">
            <v>9257034</v>
          </cell>
          <cell r="B80" t="str">
            <v>Gainsborough Aegir</v>
          </cell>
          <cell r="C80" t="str">
            <v>4 (TP)</v>
          </cell>
          <cell r="D80">
            <v>0.42424242424242425</v>
          </cell>
          <cell r="E80">
            <v>0.29292929292929293</v>
          </cell>
          <cell r="F80">
            <v>0.14141414141414141</v>
          </cell>
          <cell r="G80">
            <v>3.0303030303030304E-2</v>
          </cell>
          <cell r="H80">
            <v>4.0404040404040407E-2</v>
          </cell>
          <cell r="I80">
            <v>6.0606060606060608E-2</v>
          </cell>
          <cell r="J80">
            <v>1.0101010101010102E-2</v>
          </cell>
        </row>
        <row r="81">
          <cell r="A81">
            <v>9257002</v>
          </cell>
          <cell r="B81" t="str">
            <v>Grantham Ambergate</v>
          </cell>
          <cell r="C81">
            <v>5</v>
          </cell>
          <cell r="D81">
            <v>0.3546099290780142</v>
          </cell>
          <cell r="E81">
            <v>0.38297872340425532</v>
          </cell>
          <cell r="F81">
            <v>0.1276595744680851</v>
          </cell>
          <cell r="G81">
            <v>2.8368794326241134E-2</v>
          </cell>
          <cell r="H81">
            <v>2.1276595744680851E-2</v>
          </cell>
          <cell r="I81">
            <v>7.8014184397163122E-2</v>
          </cell>
          <cell r="J81">
            <v>7.0921985815602835E-3</v>
          </cell>
        </row>
        <row r="82">
          <cell r="A82">
            <v>9257009</v>
          </cell>
          <cell r="B82" t="str">
            <v>Spalding The Priory</v>
          </cell>
          <cell r="C82" t="str">
            <v>4 (TP)</v>
          </cell>
          <cell r="D82">
            <v>0.23200000000000001</v>
          </cell>
          <cell r="E82">
            <v>0.57599999999999996</v>
          </cell>
          <cell r="F82">
            <v>0.08</v>
          </cell>
          <cell r="G82">
            <v>2.4E-2</v>
          </cell>
          <cell r="H82">
            <v>8.0000000000000002E-3</v>
          </cell>
          <cell r="I82">
            <v>0.08</v>
          </cell>
          <cell r="J82">
            <v>0</v>
          </cell>
        </row>
        <row r="83">
          <cell r="A83">
            <v>9257029</v>
          </cell>
          <cell r="B83" t="str">
            <v>Greenfields Academy</v>
          </cell>
          <cell r="C83" t="str">
            <v>PFI 4 (TP)</v>
          </cell>
          <cell r="D83">
            <v>0</v>
          </cell>
          <cell r="E83">
            <v>0</v>
          </cell>
          <cell r="F83">
            <v>1</v>
          </cell>
          <cell r="G83">
            <v>0</v>
          </cell>
          <cell r="H83">
            <v>0</v>
          </cell>
          <cell r="I83">
            <v>0</v>
          </cell>
          <cell r="J83">
            <v>0</v>
          </cell>
        </row>
        <row r="84">
          <cell r="A84">
            <v>9257032</v>
          </cell>
          <cell r="B84" t="str">
            <v>Lincoln Athena School</v>
          </cell>
          <cell r="C84" t="str">
            <v>PFI 4 (TP)</v>
          </cell>
          <cell r="D84">
            <v>0</v>
          </cell>
          <cell r="E84">
            <v>0</v>
          </cell>
          <cell r="F84">
            <v>1</v>
          </cell>
          <cell r="G84">
            <v>0</v>
          </cell>
          <cell r="H84">
            <v>0</v>
          </cell>
          <cell r="I84">
            <v>0</v>
          </cell>
          <cell r="J84">
            <v>0</v>
          </cell>
        </row>
        <row r="85">
          <cell r="A85">
            <v>9257030</v>
          </cell>
          <cell r="B85" t="str">
            <v>Spilsby The Woodlands</v>
          </cell>
          <cell r="C85" t="str">
            <v>PFI 4 (TP)</v>
          </cell>
          <cell r="D85">
            <v>0</v>
          </cell>
          <cell r="E85">
            <v>0</v>
          </cell>
          <cell r="F85">
            <v>1</v>
          </cell>
          <cell r="G85">
            <v>0</v>
          </cell>
          <cell r="H85">
            <v>0</v>
          </cell>
          <cell r="I85">
            <v>0</v>
          </cell>
          <cell r="J85">
            <v>0</v>
          </cell>
        </row>
        <row r="86">
          <cell r="A86">
            <v>9257028</v>
          </cell>
          <cell r="B86" t="str">
            <v>Bourne Willoughby</v>
          </cell>
          <cell r="C86">
            <v>5</v>
          </cell>
          <cell r="D86">
            <v>8.9108910891089105E-2</v>
          </cell>
          <cell r="E86">
            <v>0.40594059405940597</v>
          </cell>
          <cell r="F86">
            <v>7.9207920792079209E-2</v>
          </cell>
          <cell r="G86">
            <v>8.9108910891089105E-2</v>
          </cell>
          <cell r="H86">
            <v>0.12871287128712872</v>
          </cell>
          <cell r="I86">
            <v>9.9009900990099015E-2</v>
          </cell>
          <cell r="J86">
            <v>0.10891089108910891</v>
          </cell>
        </row>
        <row r="87">
          <cell r="A87">
            <v>9257021</v>
          </cell>
          <cell r="B87" t="str">
            <v>Horncastle St Lawrence</v>
          </cell>
          <cell r="C87" t="str">
            <v>5 (TP)</v>
          </cell>
          <cell r="D87">
            <v>0.26829268292682928</v>
          </cell>
          <cell r="E87">
            <v>0.42682926829268292</v>
          </cell>
          <cell r="F87">
            <v>7.926829268292683E-2</v>
          </cell>
          <cell r="G87">
            <v>6.7073170731707321E-2</v>
          </cell>
          <cell r="H87">
            <v>5.4878048780487805E-2</v>
          </cell>
          <cell r="I87">
            <v>9.1463414634146339E-2</v>
          </cell>
          <cell r="J87">
            <v>1.2195121951219513E-2</v>
          </cell>
        </row>
        <row r="88">
          <cell r="A88">
            <v>9257015</v>
          </cell>
          <cell r="B88" t="str">
            <v>Lincoln St Christopher's</v>
          </cell>
          <cell r="C88" t="str">
            <v>6 (TP)</v>
          </cell>
          <cell r="D88">
            <v>0.33185840707964603</v>
          </cell>
          <cell r="E88">
            <v>0.38495575221238937</v>
          </cell>
          <cell r="F88">
            <v>1.7699115044247787E-2</v>
          </cell>
          <cell r="G88">
            <v>8.8495575221238937E-2</v>
          </cell>
          <cell r="H88">
            <v>2.2123893805309734E-2</v>
          </cell>
          <cell r="I88">
            <v>0.1415929203539823</v>
          </cell>
          <cell r="J88">
            <v>1.3274336283185841E-2</v>
          </cell>
        </row>
        <row r="89">
          <cell r="A89">
            <v>9257016</v>
          </cell>
          <cell r="B89" t="str">
            <v xml:space="preserve">Lincoln St Francis </v>
          </cell>
          <cell r="C89" t="str">
            <v>6 (TP)</v>
          </cell>
          <cell r="D89">
            <v>0.18012422360248448</v>
          </cell>
          <cell r="E89">
            <v>0.15527950310559005</v>
          </cell>
          <cell r="F89">
            <v>6.2111801242236021E-3</v>
          </cell>
          <cell r="G89">
            <v>0.2236024844720497</v>
          </cell>
          <cell r="H89">
            <v>0.21118012422360249</v>
          </cell>
          <cell r="I89">
            <v>1.2422360248447204E-2</v>
          </cell>
          <cell r="J89">
            <v>0.21118012422360249</v>
          </cell>
        </row>
        <row r="92">
          <cell r="G92">
            <v>6286.622831709632</v>
          </cell>
        </row>
        <row r="94">
          <cell r="G94">
            <v>7483.9238429115967</v>
          </cell>
        </row>
        <row r="96">
          <cell r="G96">
            <v>12059.161550335179</v>
          </cell>
        </row>
        <row r="98">
          <cell r="G98">
            <v>14998.922493994021</v>
          </cell>
        </row>
        <row r="100">
          <cell r="G100">
            <v>14998.922493994021</v>
          </cell>
        </row>
        <row r="102">
          <cell r="G102">
            <v>16085.825977239108</v>
          </cell>
        </row>
        <row r="104">
          <cell r="G104">
            <v>22876.188537117905</v>
          </cell>
        </row>
      </sheetData>
      <sheetData sheetId="61"/>
      <sheetData sheetId="62"/>
      <sheetData sheetId="63"/>
      <sheetData sheetId="64"/>
      <sheetData sheetId="65"/>
      <sheetData sheetId="66"/>
      <sheetData sheetId="67"/>
      <sheetData sheetId="68"/>
      <sheetData sheetId="69"/>
      <sheetData sheetId="70"/>
      <sheetData sheetId="71">
        <row r="56">
          <cell r="B56"/>
          <cell r="C56"/>
          <cell r="D56">
            <v>648386.43375133898</v>
          </cell>
          <cell r="J56">
            <v>1115185.3492188419</v>
          </cell>
          <cell r="K56"/>
        </row>
        <row r="58">
          <cell r="B58" t="str">
            <v>Teachers' Supplementary Pension Grant - Confirmed Allocations to High Needs Institutions</v>
          </cell>
          <cell r="C58"/>
        </row>
        <row r="60">
          <cell r="B60" t="str">
            <v>School</v>
          </cell>
          <cell r="C60"/>
          <cell r="D60" t="str">
            <v>19/20 Allocation</v>
          </cell>
        </row>
        <row r="61">
          <cell r="B61" t="str">
            <v>Woodlands Academy</v>
          </cell>
          <cell r="C61"/>
          <cell r="D61">
            <v>8262.3474421185565</v>
          </cell>
        </row>
        <row r="62">
          <cell r="B62" t="str">
            <v>The Greenfields Academy</v>
          </cell>
          <cell r="C62"/>
          <cell r="D62">
            <v>1668.5380944342503</v>
          </cell>
        </row>
        <row r="64">
          <cell r="D64">
            <v>9930.885536552807</v>
          </cell>
        </row>
        <row r="65">
          <cell r="N65" t="str">
            <v>Main Scale 5 (80%)</v>
          </cell>
          <cell r="U65" t="str">
            <v>Main Scale 5 (71%)</v>
          </cell>
          <cell r="V65"/>
        </row>
        <row r="66">
          <cell r="N66"/>
          <cell r="U66"/>
          <cell r="V66"/>
        </row>
        <row r="67">
          <cell r="D67" t="str">
            <v>Main Scale 5 (Fully)</v>
          </cell>
          <cell r="E67"/>
          <cell r="F67"/>
          <cell r="G67"/>
          <cell r="H67"/>
          <cell r="I67"/>
          <cell r="J67"/>
          <cell r="L67"/>
          <cell r="M67"/>
          <cell r="N67"/>
          <cell r="O67"/>
          <cell r="U67"/>
          <cell r="V67"/>
        </row>
        <row r="68">
          <cell r="C68" t="str">
            <v>2020/21</v>
          </cell>
          <cell r="D68" t="str">
            <v>2021/22</v>
          </cell>
          <cell r="K68" t="str">
            <v>Total 2021/22</v>
          </cell>
          <cell r="M68"/>
          <cell r="N68" t="str">
            <v>2021/22</v>
          </cell>
          <cell r="O68"/>
          <cell r="P68" t="str">
            <v>Total 2021/22</v>
          </cell>
          <cell r="U68" t="str">
            <v>2021/22</v>
          </cell>
          <cell r="V68"/>
        </row>
        <row r="69">
          <cell r="C69" t="str">
            <v>Pay &amp; Pension</v>
          </cell>
          <cell r="D69" t="str">
            <v>Band All'</v>
          </cell>
          <cell r="J69" t="str">
            <v>Staffig Blo'</v>
          </cell>
          <cell r="K69"/>
          <cell r="L69" t="str">
            <v>Diff.</v>
          </cell>
          <cell r="M69"/>
          <cell r="N69" t="str">
            <v>Band All'</v>
          </cell>
          <cell r="O69" t="str">
            <v>Staffig Blo'</v>
          </cell>
          <cell r="P69"/>
          <cell r="Q69" t="str">
            <v>Diff.</v>
          </cell>
          <cell r="R69" t="str">
            <v>v2</v>
          </cell>
          <cell r="S69" t="str">
            <v>v3</v>
          </cell>
          <cell r="T69" t="str">
            <v>Sch' Size</v>
          </cell>
          <cell r="U69" t="str">
            <v>Band All'</v>
          </cell>
          <cell r="V69" t="str">
            <v>Total</v>
          </cell>
        </row>
        <row r="70">
          <cell r="A70">
            <v>9257010</v>
          </cell>
          <cell r="B70" t="str">
            <v>John Fielding School</v>
          </cell>
          <cell r="C70">
            <v>42698.210659650227</v>
          </cell>
          <cell r="D70">
            <v>52115.332193693306</v>
          </cell>
          <cell r="K70">
            <v>52115.332193693306</v>
          </cell>
          <cell r="L70">
            <v>9417.121534043079</v>
          </cell>
          <cell r="M70"/>
          <cell r="N70">
            <v>54674.819645577641</v>
          </cell>
          <cell r="O70">
            <v>20065.006250000006</v>
          </cell>
          <cell r="P70">
            <v>74739.82589557764</v>
          </cell>
          <cell r="Q70">
            <v>32041.615235927413</v>
          </cell>
          <cell r="R70">
            <v>15282.377500000002</v>
          </cell>
          <cell r="S70">
            <v>13435.682499999995</v>
          </cell>
          <cell r="T70" t="str">
            <v>School Size 5</v>
          </cell>
          <cell r="U70">
            <v>52115.332193693306</v>
          </cell>
          <cell r="V70">
            <v>65551.014693693302</v>
          </cell>
        </row>
        <row r="71">
          <cell r="A71">
            <v>9257005</v>
          </cell>
          <cell r="B71" t="str">
            <v>Sandon School</v>
          </cell>
          <cell r="C71">
            <v>53312.429854825234</v>
          </cell>
          <cell r="D71">
            <v>53413.904418921054</v>
          </cell>
          <cell r="K71">
            <v>53413.904418921054</v>
          </cell>
          <cell r="L71">
            <v>101.47456409582082</v>
          </cell>
          <cell r="M71"/>
          <cell r="N71">
            <v>56037.167331421908</v>
          </cell>
          <cell r="O71">
            <v>20065.006250000006</v>
          </cell>
          <cell r="P71">
            <v>76102.173581421914</v>
          </cell>
          <cell r="Q71">
            <v>22789.74372659668</v>
          </cell>
          <cell r="R71">
            <v>15282.377500000002</v>
          </cell>
          <cell r="S71">
            <v>10726.717499999999</v>
          </cell>
          <cell r="T71" t="str">
            <v>School Size 4</v>
          </cell>
          <cell r="U71">
            <v>53413.904418921054</v>
          </cell>
          <cell r="V71">
            <v>64140.621918921053</v>
          </cell>
        </row>
        <row r="72">
          <cell r="A72">
            <v>9257025</v>
          </cell>
          <cell r="B72" t="str">
            <v>St Bernard's School</v>
          </cell>
          <cell r="C72">
            <v>51683.323330562751</v>
          </cell>
          <cell r="D72">
            <v>48426.979369799752</v>
          </cell>
          <cell r="K72">
            <v>48426.979369799752</v>
          </cell>
          <cell r="L72">
            <v>-3256.3439607629989</v>
          </cell>
          <cell r="M72"/>
          <cell r="N72">
            <v>50805.324490368002</v>
          </cell>
          <cell r="O72">
            <v>20065.006250000006</v>
          </cell>
          <cell r="P72">
            <v>70870.330740368008</v>
          </cell>
          <cell r="Q72">
            <v>19187.007409805257</v>
          </cell>
          <cell r="R72">
            <v>15282.377500000002</v>
          </cell>
          <cell r="S72">
            <v>10726.717499999999</v>
          </cell>
          <cell r="T72" t="str">
            <v>School Size 4</v>
          </cell>
          <cell r="U72">
            <v>48426.979369799752</v>
          </cell>
          <cell r="V72">
            <v>59153.696869799751</v>
          </cell>
        </row>
        <row r="73">
          <cell r="A73">
            <v>9257011</v>
          </cell>
          <cell r="B73" t="str">
            <v>Spalding The Garth</v>
          </cell>
          <cell r="C73">
            <v>40187.942994863319</v>
          </cell>
          <cell r="D73">
            <v>35706.426283977962</v>
          </cell>
          <cell r="K73">
            <v>35706.426283977962</v>
          </cell>
          <cell r="L73">
            <v>-4481.5167108853566</v>
          </cell>
          <cell r="M73"/>
          <cell r="N73">
            <v>37460.039782704422</v>
          </cell>
          <cell r="O73">
            <v>20065.006250000006</v>
          </cell>
          <cell r="P73">
            <v>57525.046032704427</v>
          </cell>
          <cell r="Q73">
            <v>17337.103037841109</v>
          </cell>
          <cell r="R73">
            <v>15282.377500000002</v>
          </cell>
          <cell r="S73">
            <v>10297.022499999992</v>
          </cell>
          <cell r="T73" t="str">
            <v>School Size 3 Transition Point</v>
          </cell>
          <cell r="U73">
            <v>35706.426283977962</v>
          </cell>
          <cell r="V73">
            <v>46003.448783977954</v>
          </cell>
        </row>
        <row r="74">
          <cell r="A74">
            <v>9257024</v>
          </cell>
          <cell r="B74" t="str">
            <v>Eresby Special School</v>
          </cell>
          <cell r="C74">
            <v>54885.371036422905</v>
          </cell>
          <cell r="D74">
            <v>48645.932806774224</v>
          </cell>
          <cell r="K74">
            <v>48645.932806774224</v>
          </cell>
          <cell r="L74">
            <v>-6239.4382296486801</v>
          </cell>
          <cell r="M74"/>
          <cell r="N74">
            <v>51035.031165418375</v>
          </cell>
          <cell r="O74">
            <v>20065.006250000006</v>
          </cell>
          <cell r="P74">
            <v>71100.037415418381</v>
          </cell>
          <cell r="Q74">
            <v>16214.666378995476</v>
          </cell>
          <cell r="R74">
            <v>15282.377500000002</v>
          </cell>
          <cell r="S74">
            <v>10726.717499999999</v>
          </cell>
          <cell r="T74" t="str">
            <v>School Size 4</v>
          </cell>
          <cell r="U74">
            <v>48645.932806774224</v>
          </cell>
          <cell r="V74">
            <v>59372.650306774223</v>
          </cell>
        </row>
        <row r="75">
          <cell r="A75">
            <v>9257031</v>
          </cell>
          <cell r="B75" t="str">
            <v>Fortuna School</v>
          </cell>
          <cell r="C75">
            <v>51182.576930797077</v>
          </cell>
          <cell r="D75">
            <v>47091.869621208272</v>
          </cell>
          <cell r="K75">
            <v>47091.869621208272</v>
          </cell>
          <cell r="L75">
            <v>-4090.7073095888045</v>
          </cell>
          <cell r="M75"/>
          <cell r="N75">
            <v>49404.644850833341</v>
          </cell>
          <cell r="O75"/>
          <cell r="P75">
            <v>49404.644850833341</v>
          </cell>
          <cell r="Q75">
            <v>-1777.9320799637353</v>
          </cell>
          <cell r="R75"/>
          <cell r="S75">
            <v>13435.682499999995</v>
          </cell>
          <cell r="T75" t="str">
            <v>School Size 5</v>
          </cell>
          <cell r="U75">
            <v>47091.869621208272</v>
          </cell>
          <cell r="V75">
            <v>60527.552121208268</v>
          </cell>
        </row>
        <row r="76">
          <cell r="A76">
            <v>9257033</v>
          </cell>
          <cell r="B76" t="str">
            <v>Warren Wood Specialist Academy</v>
          </cell>
          <cell r="C76">
            <v>63767.332078207386</v>
          </cell>
          <cell r="D76">
            <v>60237.762512963323</v>
          </cell>
          <cell r="K76">
            <v>60237.762512963323</v>
          </cell>
          <cell r="L76">
            <v>-3529.5695652440627</v>
          </cell>
          <cell r="M76"/>
          <cell r="N76">
            <v>63196.158646916694</v>
          </cell>
          <cell r="O76">
            <v>20065.006250000006</v>
          </cell>
          <cell r="P76">
            <v>83261.1648969167</v>
          </cell>
          <cell r="Q76">
            <v>19493.832818709314</v>
          </cell>
          <cell r="R76">
            <v>15282.377500000002</v>
          </cell>
          <cell r="S76">
            <v>10726.717499999999</v>
          </cell>
          <cell r="T76" t="str">
            <v>School Size 4</v>
          </cell>
          <cell r="U76">
            <v>60237.762512963323</v>
          </cell>
          <cell r="V76">
            <v>70964.480012963322</v>
          </cell>
        </row>
        <row r="77">
          <cell r="A77">
            <v>9257008</v>
          </cell>
          <cell r="B77" t="str">
            <v>Gosberton House School</v>
          </cell>
          <cell r="C77">
            <v>64889.46243302607</v>
          </cell>
          <cell r="D77">
            <v>62169.272889827458</v>
          </cell>
          <cell r="K77">
            <v>62169.272889827458</v>
          </cell>
          <cell r="L77">
            <v>-2720.1895431986122</v>
          </cell>
          <cell r="M77"/>
          <cell r="N77">
            <v>65222.529333879102</v>
          </cell>
          <cell r="O77">
            <v>20065.006250000006</v>
          </cell>
          <cell r="P77">
            <v>85287.5355838791</v>
          </cell>
          <cell r="Q77">
            <v>20398.07315085303</v>
          </cell>
          <cell r="R77">
            <v>15282.377500000002</v>
          </cell>
          <cell r="S77">
            <v>10726.717499999999</v>
          </cell>
          <cell r="T77" t="str">
            <v>School Size 4</v>
          </cell>
          <cell r="U77">
            <v>62169.272889827458</v>
          </cell>
          <cell r="V77">
            <v>72895.990389827464</v>
          </cell>
        </row>
        <row r="78">
          <cell r="A78">
            <v>9257034</v>
          </cell>
          <cell r="B78" t="str">
            <v>Aegir Specialist Academy</v>
          </cell>
          <cell r="C78">
            <v>82273.379758953335</v>
          </cell>
          <cell r="D78">
            <v>70341.183649202605</v>
          </cell>
          <cell r="K78">
            <v>70341.183649202605</v>
          </cell>
          <cell r="L78">
            <v>-11932.19610975073</v>
          </cell>
          <cell r="M78"/>
          <cell r="N78">
            <v>73795.778857992482</v>
          </cell>
          <cell r="O78">
            <v>21940.122499999983</v>
          </cell>
          <cell r="P78">
            <v>95735.901357992465</v>
          </cell>
          <cell r="Q78">
            <v>13462.52159903913</v>
          </cell>
          <cell r="R78">
            <v>16918.096250000002</v>
          </cell>
          <cell r="S78">
            <v>12081.199999999997</v>
          </cell>
          <cell r="T78" t="str">
            <v>School Size 4 Transition Point</v>
          </cell>
          <cell r="U78">
            <v>70341.183649202605</v>
          </cell>
          <cell r="V78">
            <v>82422.383649202602</v>
          </cell>
        </row>
        <row r="79">
          <cell r="A79">
            <v>9257002</v>
          </cell>
          <cell r="B79" t="str">
            <v>Ambergate Sports College</v>
          </cell>
          <cell r="C79">
            <v>97616.284973640199</v>
          </cell>
          <cell r="D79">
            <v>87842.94801555897</v>
          </cell>
          <cell r="K79">
            <v>87842.94801555897</v>
          </cell>
          <cell r="L79">
            <v>-9773.3369580812287</v>
          </cell>
          <cell r="M79"/>
          <cell r="N79">
            <v>92157.089626452493</v>
          </cell>
          <cell r="O79">
            <v>23815.23874999996</v>
          </cell>
          <cell r="P79">
            <v>115972.32837645245</v>
          </cell>
          <cell r="Q79">
            <v>18356.043402812254</v>
          </cell>
          <cell r="R79">
            <v>18553.815000000002</v>
          </cell>
          <cell r="S79">
            <v>13435.682499999995</v>
          </cell>
          <cell r="T79" t="str">
            <v>School Size 5</v>
          </cell>
          <cell r="U79">
            <v>87842.94801555897</v>
          </cell>
          <cell r="V79">
            <v>101278.63051555897</v>
          </cell>
        </row>
        <row r="80">
          <cell r="A80">
            <v>9257009</v>
          </cell>
          <cell r="B80" t="str">
            <v>The Priory School</v>
          </cell>
          <cell r="C80">
            <v>90501.045838232065</v>
          </cell>
          <cell r="D80">
            <v>81013.209816029266</v>
          </cell>
          <cell r="K80">
            <v>81013.209816029266</v>
          </cell>
          <cell r="L80">
            <v>-9487.8360222027986</v>
          </cell>
          <cell r="M80"/>
          <cell r="N80">
            <v>84991.929421813373</v>
          </cell>
          <cell r="O80"/>
          <cell r="P80">
            <v>84991.929421813373</v>
          </cell>
          <cell r="Q80">
            <v>-5509.1164164186921</v>
          </cell>
          <cell r="R80">
            <v>18553.815000000002</v>
          </cell>
          <cell r="S80">
            <v>12081.199999999997</v>
          </cell>
          <cell r="T80" t="str">
            <v>School Size 4 Transition Point</v>
          </cell>
          <cell r="U80">
            <v>81013.209816029266</v>
          </cell>
          <cell r="V80">
            <v>93094.409816029263</v>
          </cell>
        </row>
        <row r="81">
          <cell r="A81">
            <v>9257029</v>
          </cell>
          <cell r="B81" t="str">
            <v>The Greenfields Academy</v>
          </cell>
          <cell r="C81">
            <v>48607.35085196502</v>
          </cell>
          <cell r="D81">
            <v>43634.245274666609</v>
          </cell>
          <cell r="K81">
            <v>43634.245274666609</v>
          </cell>
          <cell r="L81">
            <v>-4973.1055772984109</v>
          </cell>
          <cell r="M81"/>
          <cell r="N81">
            <v>45777.209706666661</v>
          </cell>
          <cell r="O81"/>
          <cell r="P81">
            <v>45777.209706666661</v>
          </cell>
          <cell r="Q81">
            <v>-2830.1411452983593</v>
          </cell>
          <cell r="R81"/>
          <cell r="S81">
            <v>12081.199999999997</v>
          </cell>
          <cell r="T81" t="str">
            <v>School Size 4 Transition Point</v>
          </cell>
          <cell r="U81">
            <v>43634.245274666609</v>
          </cell>
          <cell r="V81">
            <v>55715.445274666607</v>
          </cell>
        </row>
        <row r="82">
          <cell r="A82">
            <v>9257032</v>
          </cell>
          <cell r="B82" t="str">
            <v>Athena School</v>
          </cell>
          <cell r="C82">
            <v>48946.303673923634</v>
          </cell>
          <cell r="D82">
            <v>55419.387413583267</v>
          </cell>
          <cell r="K82">
            <v>55419.387413583267</v>
          </cell>
          <cell r="L82">
            <v>6473.0837396596326</v>
          </cell>
          <cell r="M82"/>
          <cell r="N82">
            <v>58141.143578333329</v>
          </cell>
          <cell r="O82"/>
          <cell r="P82">
            <v>58141.143578333329</v>
          </cell>
          <cell r="Q82">
            <v>9194.839904409695</v>
          </cell>
          <cell r="R82"/>
          <cell r="S82">
            <v>12081.199999999997</v>
          </cell>
          <cell r="T82" t="str">
            <v>School Size 4 Transition Point</v>
          </cell>
          <cell r="U82">
            <v>55419.387413583267</v>
          </cell>
          <cell r="V82">
            <v>67500.587413583271</v>
          </cell>
        </row>
        <row r="83">
          <cell r="A83">
            <v>9257030</v>
          </cell>
          <cell r="B83" t="str">
            <v>Woodlands Academy</v>
          </cell>
          <cell r="C83">
            <v>50615.078033627906</v>
          </cell>
          <cell r="D83">
            <v>42806.363388874946</v>
          </cell>
          <cell r="K83">
            <v>42806.363388874946</v>
          </cell>
          <cell r="L83">
            <v>-7808.7146447529594</v>
          </cell>
          <cell r="M83"/>
          <cell r="N83">
            <v>44908.6688975</v>
          </cell>
          <cell r="O83"/>
          <cell r="P83">
            <v>44908.6688975</v>
          </cell>
          <cell r="Q83">
            <v>-5706.4091361279061</v>
          </cell>
          <cell r="R83"/>
          <cell r="S83">
            <v>12081.199999999997</v>
          </cell>
          <cell r="T83" t="str">
            <v>School Size 4 Transition Point</v>
          </cell>
          <cell r="U83">
            <v>42806.363388874946</v>
          </cell>
          <cell r="V83">
            <v>54887.563388874943</v>
          </cell>
        </row>
        <row r="84">
          <cell r="A84">
            <v>9257028</v>
          </cell>
          <cell r="B84" t="str">
            <v>Bourne Willoughby</v>
          </cell>
          <cell r="C84">
            <v>71771.03517003126</v>
          </cell>
          <cell r="D84">
            <v>65332.433220583553</v>
          </cell>
          <cell r="K84">
            <v>65332.433220583553</v>
          </cell>
          <cell r="L84">
            <v>-6438.6019494477077</v>
          </cell>
          <cell r="M84"/>
          <cell r="N84">
            <v>68541.038749714018</v>
          </cell>
          <cell r="O84">
            <v>23815.23874999996</v>
          </cell>
          <cell r="P84">
            <v>92356.277499713979</v>
          </cell>
          <cell r="Q84">
            <v>20585.242329682718</v>
          </cell>
          <cell r="R84">
            <v>18553.815000000002</v>
          </cell>
          <cell r="S84">
            <v>13435.682499999995</v>
          </cell>
          <cell r="T84" t="str">
            <v>School Size 5</v>
          </cell>
          <cell r="U84">
            <v>65332.433220583553</v>
          </cell>
          <cell r="V84">
            <v>78768.115720583548</v>
          </cell>
        </row>
        <row r="85">
          <cell r="A85">
            <v>9257021</v>
          </cell>
          <cell r="B85" t="str">
            <v>St Lawrence School</v>
          </cell>
          <cell r="C85">
            <v>109449.10323009848</v>
          </cell>
          <cell r="D85">
            <v>101418.20351197985</v>
          </cell>
          <cell r="K85">
            <v>101418.20351197985</v>
          </cell>
          <cell r="L85">
            <v>-8030.8997181186278</v>
          </cell>
          <cell r="M85"/>
          <cell r="N85">
            <v>106399.05287732223</v>
          </cell>
          <cell r="O85">
            <v>25690.354999999938</v>
          </cell>
          <cell r="P85">
            <v>132089.40787732217</v>
          </cell>
          <cell r="Q85">
            <v>22640.304647223689</v>
          </cell>
          <cell r="R85">
            <v>22306.738125000003</v>
          </cell>
          <cell r="S85">
            <v>16788.441249999989</v>
          </cell>
          <cell r="T85" t="str">
            <v>School Size 5 Transition Point</v>
          </cell>
          <cell r="U85">
            <v>101418.20351197985</v>
          </cell>
          <cell r="V85">
            <v>118206.64476197984</v>
          </cell>
        </row>
        <row r="86">
          <cell r="A86">
            <v>9257015</v>
          </cell>
          <cell r="B86" t="str">
            <v>Lincoln St Christopher's</v>
          </cell>
          <cell r="C86">
            <v>157007.50638731191</v>
          </cell>
          <cell r="D86">
            <v>140415.42263303587</v>
          </cell>
          <cell r="K86">
            <v>140415.42263303587</v>
          </cell>
          <cell r="L86">
            <v>-16592.083754276042</v>
          </cell>
          <cell r="M86"/>
          <cell r="N86">
            <v>147311.50286801482</v>
          </cell>
          <cell r="O86">
            <v>32783.428749999992</v>
          </cell>
          <cell r="P86">
            <v>180094.93161801482</v>
          </cell>
          <cell r="Q86">
            <v>23087.425230702909</v>
          </cell>
          <cell r="R86">
            <v>22306.738125000003</v>
          </cell>
          <cell r="S86">
            <v>19674.728749999995</v>
          </cell>
          <cell r="T86" t="str">
            <v>School Size 6 Transition Point</v>
          </cell>
          <cell r="U86">
            <v>140415.42263303587</v>
          </cell>
          <cell r="V86">
            <v>160090.15138303587</v>
          </cell>
        </row>
        <row r="87">
          <cell r="A87">
            <v>9257016</v>
          </cell>
          <cell r="B87" t="str">
            <v xml:space="preserve">Lincoln St Francis </v>
          </cell>
          <cell r="C87">
            <v>90411.817119857238</v>
          </cell>
          <cell r="D87">
            <v>82953.039009475891</v>
          </cell>
          <cell r="K87">
            <v>82953.039009475891</v>
          </cell>
          <cell r="L87">
            <v>-7458.7781103813468</v>
          </cell>
          <cell r="M87"/>
          <cell r="N87">
            <v>87027.027478959702</v>
          </cell>
          <cell r="O87">
            <v>32783.428749999992</v>
          </cell>
          <cell r="P87">
            <v>119810.45622895969</v>
          </cell>
          <cell r="Q87">
            <v>29398.639109102456</v>
          </cell>
          <cell r="R87">
            <v>22306.738125000003</v>
          </cell>
          <cell r="S87">
            <v>19674.728749999995</v>
          </cell>
          <cell r="T87" t="str">
            <v>School Size 6 Transition Point</v>
          </cell>
          <cell r="U87">
            <v>82953.039009475891</v>
          </cell>
          <cell r="V87">
            <v>102627.76775947589</v>
          </cell>
        </row>
        <row r="88">
          <cell r="C88">
            <v>1269805.554355996</v>
          </cell>
          <cell r="D88">
            <v>1178983.9160301562</v>
          </cell>
          <cell r="N88">
            <v>1236886.1573098886</v>
          </cell>
          <cell r="S88"/>
        </row>
        <row r="89">
          <cell r="C89"/>
          <cell r="D89"/>
          <cell r="Q89" t="str">
            <v>Cost</v>
          </cell>
          <cell r="R89">
            <v>246476.39812500004</v>
          </cell>
          <cell r="S89">
            <v>234217.23874999996</v>
          </cell>
        </row>
        <row r="90">
          <cell r="B90" t="str">
            <v>Staffing Block Funding still to be allocated</v>
          </cell>
          <cell r="C90"/>
          <cell r="D90"/>
          <cell r="R90" t="str">
            <v>Over-allocated</v>
          </cell>
          <cell r="S90">
            <v>-12681.154780156154</v>
          </cell>
        </row>
      </sheetData>
      <sheetData sheetId="72"/>
      <sheetData sheetId="73"/>
      <sheetData sheetId="74"/>
      <sheetData sheetId="7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udget Req 1516"/>
      <sheetName val="Budget Req 1617"/>
      <sheetName val="Funding Model"/>
      <sheetName val="2016-17 Funding Summary"/>
      <sheetName val="2016-17 Funding Detail"/>
      <sheetName val="Band Calculations 1617"/>
      <sheetName val="2016-17 Other Funding"/>
      <sheetName val="2015-16 Funding Summary"/>
      <sheetName val="2015-16 Funding Detail"/>
      <sheetName val="Band Calculations 1516"/>
      <sheetName val="2014-15 Funding Detail"/>
      <sheetName val="2013-14 Funding (4)"/>
      <sheetName val="2012-13 Top-ups"/>
      <sheetName val="Band Calculations 1415"/>
      <sheetName val="Band Calculations"/>
      <sheetName val="2015-16 Other Funding"/>
      <sheetName val="Revised Band Returns"/>
      <sheetName val="FSM Calculation 1516"/>
      <sheetName val="DSG US 1415"/>
      <sheetName val="DSG US 1516"/>
      <sheetName val="2021 Band Calculations (MFG)"/>
      <sheetName val="Front Sheet - Please Read First"/>
      <sheetName val="ISB Weightings"/>
      <sheetName val="Budget Shares"/>
      <sheetName val="2017-18 Funding Summary"/>
      <sheetName val="2017-18 Funding Detail"/>
      <sheetName val="Band Calculations 1718"/>
      <sheetName val="2017-18 Other Funding"/>
      <sheetName val="FSM Calculation 1718"/>
      <sheetName val="Budget Requirement 1718"/>
      <sheetName val="Funding Summary"/>
      <sheetName val="Funding Detail - Rebase"/>
      <sheetName val="Band Calculations - Rebase"/>
      <sheetName val="Revised Bands - Rebase"/>
      <sheetName val="1819 Funding Detail"/>
      <sheetName val="1819 Band Calculations"/>
      <sheetName val="1819 Revised Bands"/>
      <sheetName val="FSM Calculation 1819"/>
      <sheetName val="2018-19 Other Funding"/>
      <sheetName val="1819 DSG 1718 Underspend"/>
      <sheetName val="1819 Budget Requirement"/>
      <sheetName val="1920 Budget Requirement"/>
      <sheetName val="1920 Funding Detail"/>
      <sheetName val="1920 Band Calculations"/>
      <sheetName val="1920 Band Moderations"/>
      <sheetName val="1920 Other Funding"/>
      <sheetName val="1920 FSM Calculation"/>
      <sheetName val="Band Values"/>
      <sheetName val="2021 Budget Requirement"/>
      <sheetName val="2223 Budget Requirement"/>
      <sheetName val="2324 Budget Requirement"/>
      <sheetName val="2223 Funding Detail"/>
      <sheetName val="DfE MFG"/>
      <sheetName val="2324 Funding Detail"/>
      <sheetName val="2324 MFG Protection"/>
      <sheetName val="2223 MFG Protection"/>
      <sheetName val="2122 MFG Protection"/>
      <sheetName val="MFG"/>
      <sheetName val="2021 FSM Calculation"/>
      <sheetName val="2021 Other Funding"/>
      <sheetName val="2021 Band Moderations"/>
      <sheetName val="MFG Tab"/>
      <sheetName val="2122 Budget Requirement"/>
      <sheetName val="2122 Funding Detail"/>
      <sheetName val="School Size Ranges (2223)"/>
      <sheetName val="School Size Ranges (2324)"/>
      <sheetName val="2122 Band Calculations"/>
      <sheetName val="2021 Band Calculations"/>
      <sheetName val="2021 Funding Detail"/>
      <sheetName val="202021 MFG Protection"/>
      <sheetName val="2122 Group Sizes"/>
      <sheetName val="2223 Group Sizes"/>
      <sheetName val="2122 FSM Calculation"/>
      <sheetName val="2324 FSM Calculation"/>
      <sheetName val="2223 FSM Calculation"/>
      <sheetName val="2122 Other Funding"/>
      <sheetName val="Other Funding"/>
      <sheetName val="2122 Band Values"/>
      <sheetName val="2223 Band Values"/>
      <sheetName val="2324 Band Values"/>
      <sheetName val="2122 Teachers Pay Scales"/>
      <sheetName val="2223 Teachers Pay Scales"/>
      <sheetName val="2324 Teacher's Pay Scales"/>
      <sheetName val="2122 TA Pay Scales"/>
      <sheetName val="2223 TA Pay Scales"/>
      <sheetName val="2324 TA Pay Scales"/>
      <sheetName val="2122 GLEA Pay Scales"/>
      <sheetName val="2122 Pay &amp; Pension Allocations"/>
      <sheetName val="Pay &amp; Pension Workings"/>
      <sheetName val="TA Workings"/>
      <sheetName val="2122 Band Moderations"/>
      <sheetName val="2223 Band Calculations"/>
      <sheetName val="2324 Band Calculations"/>
      <sheetName val="2223 Band Moderations"/>
      <sheetName val="2122 OLEA Placements"/>
      <sheetName val="2324 Band Moderations"/>
      <sheetName val="OLEA Plac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26">
          <cell r="R126">
            <v>1246528.7130525063</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ow r="18">
          <cell r="B18" t="str">
            <v>Bourne Willoughby</v>
          </cell>
        </row>
      </sheetData>
      <sheetData sheetId="64" refreshError="1"/>
      <sheetData sheetId="65"/>
      <sheetData sheetId="66" refreshError="1"/>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Req 1516"/>
      <sheetName val="Budget Req 1617"/>
      <sheetName val="Funding Model"/>
      <sheetName val="2016-17 Funding Summary"/>
      <sheetName val="2016-17 Funding Detail"/>
      <sheetName val="Band Calculations 1617"/>
      <sheetName val="2016-17 Other Funding"/>
      <sheetName val="2015-16 Funding Summary"/>
      <sheetName val="2015-16 Funding Detail"/>
      <sheetName val="Band Calculations 1516"/>
      <sheetName val="2014-15 Funding Detail"/>
      <sheetName val="2013-14 Funding (4)"/>
      <sheetName val="2012-13 Top-ups"/>
      <sheetName val="Band Calculations 1415"/>
      <sheetName val="Band Calculations"/>
      <sheetName val="2015-16 Other Funding"/>
      <sheetName val="Revised Band Returns"/>
      <sheetName val="FSM Calculation 1516"/>
      <sheetName val="DSG US 1415"/>
      <sheetName val="DSG US 1516"/>
      <sheetName val="Front Sheet - Please Read First"/>
      <sheetName val="ISB Weightings"/>
      <sheetName val="Budget Shares"/>
      <sheetName val="2017-18 Funding Summary"/>
      <sheetName val="2017-18 Funding Detail"/>
      <sheetName val="Band Calculations 1718"/>
      <sheetName val="2017-18 Other Funding"/>
      <sheetName val="FSM Calculation 1718"/>
      <sheetName val="Budget Requirement 1718"/>
      <sheetName val="Funding Summary"/>
      <sheetName val="Funding Detail - Rebase"/>
      <sheetName val="Band Calculations - Rebase"/>
      <sheetName val="Revised Bands - Rebase"/>
      <sheetName val="1819 Funding Detail"/>
      <sheetName val="1819 Band Calculations"/>
      <sheetName val="1819 Revised Bands"/>
      <sheetName val="FSM Calculation 1819"/>
      <sheetName val="2018-19 Other Funding"/>
      <sheetName val="1819 DSG 1718 Underspend"/>
      <sheetName val="1819 Budget Requirement"/>
      <sheetName val="1920 Budget Requirement"/>
      <sheetName val="1920 Funding Detail"/>
      <sheetName val="1920 Band Calculations"/>
      <sheetName val="1920 Band Moderations"/>
      <sheetName val="1920 Other Funding"/>
      <sheetName val="1920 FSM Calculation"/>
      <sheetName val="Band Values"/>
      <sheetName val="2021 Budget Requirement"/>
      <sheetName val="MFG"/>
      <sheetName val="2021 Band Calculations"/>
      <sheetName val="2021 FSM Calculation"/>
      <sheetName val="2021 Other Funding"/>
      <sheetName val="2021 Band Moderations"/>
      <sheetName val="MFG Tab"/>
      <sheetName val="2122 Budget Requirement"/>
      <sheetName val="2122 Funding Detail"/>
      <sheetName val="2122 Band Calculations"/>
      <sheetName val="2021 Funding Detail"/>
      <sheetName val="2122 MFG Protection"/>
      <sheetName val="202021 MFG Protection"/>
      <sheetName val="Group Sizes"/>
      <sheetName val="2122 FSM Calculation"/>
      <sheetName val="2122 Other Funding"/>
      <sheetName val="2122 Band Values"/>
      <sheetName val="2122 Teachers Pay Scales"/>
      <sheetName val="2122 TA Pay Scales"/>
      <sheetName val="2122 GLEA Pay Scales"/>
      <sheetName val="2122 Pay &amp; Pension Allocations"/>
      <sheetName val="Pay &amp; Pension Workings"/>
      <sheetName val="TA Workings"/>
      <sheetName val="2122 Band Moderations"/>
      <sheetName val="2122 OLEA Plac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4">
          <cell r="M4">
            <v>58.916666666666671</v>
          </cell>
        </row>
        <row r="5">
          <cell r="M5">
            <v>73.25</v>
          </cell>
        </row>
        <row r="6">
          <cell r="M6">
            <v>71.416666666666686</v>
          </cell>
        </row>
        <row r="7">
          <cell r="M7">
            <v>59</v>
          </cell>
        </row>
        <row r="8">
          <cell r="M8">
            <v>81.083333333333343</v>
          </cell>
        </row>
        <row r="9">
          <cell r="M9">
            <v>95</v>
          </cell>
        </row>
        <row r="10">
          <cell r="M10">
            <v>144.58333333333334</v>
          </cell>
        </row>
        <row r="11">
          <cell r="M11">
            <v>134.16666666666669</v>
          </cell>
        </row>
        <row r="12">
          <cell r="M12">
            <v>83.333333333333343</v>
          </cell>
        </row>
        <row r="13">
          <cell r="M13">
            <v>159.08333333333334</v>
          </cell>
        </row>
        <row r="14">
          <cell r="M14">
            <v>238.00000000000003</v>
          </cell>
        </row>
        <row r="15">
          <cell r="M15">
            <v>137.08333333333334</v>
          </cell>
        </row>
        <row r="17">
          <cell r="M17">
            <v>73.75</v>
          </cell>
        </row>
        <row r="18">
          <cell r="M18">
            <v>56.750000000000007</v>
          </cell>
        </row>
        <row r="19">
          <cell r="M19">
            <v>71.416666666666671</v>
          </cell>
        </row>
        <row r="20">
          <cell r="M20">
            <v>72.333333333333343</v>
          </cell>
        </row>
        <row r="23">
          <cell r="M23">
            <v>116.58333333333334</v>
          </cell>
        </row>
      </sheetData>
      <sheetData sheetId="42" refreshError="1">
        <row r="6">
          <cell r="R6">
            <v>51435.381935113655</v>
          </cell>
        </row>
        <row r="7">
          <cell r="R7">
            <v>32704.333868214879</v>
          </cell>
        </row>
        <row r="8">
          <cell r="R8">
            <v>18633.864645843361</v>
          </cell>
        </row>
        <row r="9">
          <cell r="R9">
            <v>37521.25125965738</v>
          </cell>
        </row>
        <row r="10">
          <cell r="R10">
            <v>77787.959928557975</v>
          </cell>
        </row>
        <row r="11">
          <cell r="R11">
            <v>0</v>
          </cell>
        </row>
        <row r="12">
          <cell r="R12">
            <v>0</v>
          </cell>
        </row>
        <row r="13">
          <cell r="R13">
            <v>0</v>
          </cell>
        </row>
        <row r="14">
          <cell r="R14">
            <v>6532.7178532439184</v>
          </cell>
        </row>
        <row r="15">
          <cell r="R15">
            <v>9380.3128149143449</v>
          </cell>
        </row>
        <row r="16">
          <cell r="R16">
            <v>0</v>
          </cell>
        </row>
        <row r="17">
          <cell r="R17">
            <v>0</v>
          </cell>
        </row>
        <row r="18">
          <cell r="R18">
            <v>0</v>
          </cell>
        </row>
        <row r="19">
          <cell r="R19">
            <v>0</v>
          </cell>
        </row>
        <row r="20">
          <cell r="R20">
            <v>86386.136621071637</v>
          </cell>
        </row>
        <row r="21">
          <cell r="R21">
            <v>8974.990656245207</v>
          </cell>
        </row>
        <row r="22">
          <cell r="R22">
            <v>17177.450471193355</v>
          </cell>
        </row>
        <row r="23">
          <cell r="R23">
            <v>200366.24064210418</v>
          </cell>
        </row>
        <row r="28">
          <cell r="R28">
            <v>9630.454489978727</v>
          </cell>
        </row>
        <row r="29">
          <cell r="R29">
            <v>17645.128970757793</v>
          </cell>
        </row>
        <row r="30">
          <cell r="R30">
            <v>5780.3008697310006</v>
          </cell>
        </row>
        <row r="31">
          <cell r="R31">
            <v>10233.068525361103</v>
          </cell>
        </row>
        <row r="32">
          <cell r="R32">
            <v>10066.677167225149</v>
          </cell>
        </row>
        <row r="33">
          <cell r="R33">
            <v>0</v>
          </cell>
        </row>
        <row r="34">
          <cell r="R34">
            <v>0</v>
          </cell>
        </row>
        <row r="35">
          <cell r="R35">
            <v>0</v>
          </cell>
        </row>
        <row r="36">
          <cell r="R36">
            <v>2211.0737349440956</v>
          </cell>
        </row>
        <row r="37">
          <cell r="R37">
            <v>0</v>
          </cell>
        </row>
        <row r="38">
          <cell r="R38">
            <v>0</v>
          </cell>
        </row>
        <row r="39">
          <cell r="R39">
            <v>0</v>
          </cell>
        </row>
        <row r="40">
          <cell r="R40">
            <v>0</v>
          </cell>
        </row>
        <row r="41">
          <cell r="R41">
            <v>0</v>
          </cell>
        </row>
        <row r="42">
          <cell r="R42">
            <v>14659.465608424276</v>
          </cell>
        </row>
        <row r="43">
          <cell r="R43">
            <v>0</v>
          </cell>
        </row>
        <row r="44">
          <cell r="R44">
            <v>1519.848152289919</v>
          </cell>
        </row>
        <row r="45">
          <cell r="R45">
            <v>110080.72979855363</v>
          </cell>
        </row>
        <row r="50">
          <cell r="R50">
            <v>79670.123508005825</v>
          </cell>
        </row>
        <row r="51">
          <cell r="R51">
            <v>55369.1978047917</v>
          </cell>
        </row>
        <row r="52">
          <cell r="R52">
            <v>29814.183433349375</v>
          </cell>
        </row>
        <row r="53">
          <cell r="R53">
            <v>52529.751763520326</v>
          </cell>
        </row>
        <row r="54">
          <cell r="R54">
            <v>107301.62707792262</v>
          </cell>
        </row>
        <row r="55">
          <cell r="R55">
            <v>0</v>
          </cell>
        </row>
        <row r="56">
          <cell r="R56">
            <v>0</v>
          </cell>
        </row>
        <row r="57">
          <cell r="R57">
            <v>0</v>
          </cell>
        </row>
        <row r="58">
          <cell r="R58">
            <v>9732.0745454736316</v>
          </cell>
        </row>
        <row r="59">
          <cell r="R59">
            <v>13223.635426580637</v>
          </cell>
        </row>
        <row r="60">
          <cell r="R60">
            <v>0</v>
          </cell>
        </row>
        <row r="61">
          <cell r="R61">
            <v>0</v>
          </cell>
        </row>
        <row r="62">
          <cell r="R62">
            <v>0</v>
          </cell>
        </row>
        <row r="63">
          <cell r="R63">
            <v>0</v>
          </cell>
        </row>
        <row r="64">
          <cell r="R64">
            <v>135600.05687792457</v>
          </cell>
        </row>
        <row r="65">
          <cell r="R65">
            <v>13132.437940880081</v>
          </cell>
        </row>
        <row r="66">
          <cell r="R66">
            <v>24491.719704088591</v>
          </cell>
        </row>
        <row r="67">
          <cell r="R67">
            <v>317689.12371687841</v>
          </cell>
        </row>
        <row r="72">
          <cell r="R72">
            <v>14007.93380360542</v>
          </cell>
        </row>
        <row r="73">
          <cell r="R73">
            <v>27988.82526396064</v>
          </cell>
        </row>
        <row r="74">
          <cell r="R74">
            <v>10952.149016332425</v>
          </cell>
        </row>
        <row r="75">
          <cell r="R75">
            <v>20466.137050722205</v>
          </cell>
        </row>
        <row r="76">
          <cell r="R76">
            <v>27454.574092432227</v>
          </cell>
        </row>
        <row r="77">
          <cell r="R77">
            <v>0</v>
          </cell>
        </row>
        <row r="78">
          <cell r="R78">
            <v>0</v>
          </cell>
        </row>
        <row r="79">
          <cell r="R79">
            <v>0</v>
          </cell>
        </row>
        <row r="80">
          <cell r="R80">
            <v>4958.1653450261538</v>
          </cell>
        </row>
        <row r="81">
          <cell r="R81">
            <v>0</v>
          </cell>
        </row>
        <row r="82">
          <cell r="R82">
            <v>0</v>
          </cell>
        </row>
        <row r="83">
          <cell r="R83">
            <v>0</v>
          </cell>
        </row>
        <row r="84">
          <cell r="R84">
            <v>0</v>
          </cell>
        </row>
        <row r="85">
          <cell r="R85">
            <v>0</v>
          </cell>
        </row>
        <row r="86">
          <cell r="R86">
            <v>25130.512471584472</v>
          </cell>
        </row>
        <row r="87">
          <cell r="R87">
            <v>0</v>
          </cell>
        </row>
        <row r="88">
          <cell r="R88">
            <v>2026.4642030532252</v>
          </cell>
        </row>
        <row r="89">
          <cell r="R89">
            <v>166086.71513465984</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row r="51">
          <cell r="R51">
            <v>2</v>
          </cell>
        </row>
        <row r="52">
          <cell r="R52">
            <v>-2</v>
          </cell>
        </row>
        <row r="53">
          <cell r="R53">
            <v>1</v>
          </cell>
        </row>
        <row r="54">
          <cell r="R54">
            <v>0</v>
          </cell>
        </row>
        <row r="55">
          <cell r="R55">
            <v>-2</v>
          </cell>
        </row>
        <row r="56">
          <cell r="R56">
            <v>0</v>
          </cell>
        </row>
        <row r="57">
          <cell r="R57">
            <v>0</v>
          </cell>
        </row>
        <row r="58">
          <cell r="R58">
            <v>0</v>
          </cell>
        </row>
        <row r="59">
          <cell r="R59">
            <v>0</v>
          </cell>
        </row>
        <row r="60">
          <cell r="R60">
            <v>1</v>
          </cell>
        </row>
        <row r="61">
          <cell r="R61">
            <v>0</v>
          </cell>
        </row>
        <row r="62">
          <cell r="R62">
            <v>0</v>
          </cell>
        </row>
        <row r="63">
          <cell r="R63">
            <v>0</v>
          </cell>
        </row>
        <row r="64">
          <cell r="R64">
            <v>0</v>
          </cell>
        </row>
        <row r="65">
          <cell r="R65">
            <v>0</v>
          </cell>
        </row>
        <row r="66">
          <cell r="R66">
            <v>1</v>
          </cell>
        </row>
        <row r="67">
          <cell r="R67">
            <v>1</v>
          </cell>
        </row>
        <row r="68">
          <cell r="R68">
            <v>-1</v>
          </cell>
        </row>
      </sheetData>
      <sheetData sheetId="53" refreshError="1"/>
      <sheetData sheetId="54" refreshError="1"/>
      <sheetData sheetId="55" refreshError="1">
        <row r="4">
          <cell r="A4">
            <v>9257010</v>
          </cell>
          <cell r="B4" t="str">
            <v>John Fielding School</v>
          </cell>
          <cell r="C4" t="str">
            <v>School Size 5</v>
          </cell>
          <cell r="D4">
            <v>420000</v>
          </cell>
          <cell r="E4">
            <v>120000</v>
          </cell>
          <cell r="H4">
            <v>1158838.1764308882</v>
          </cell>
          <cell r="I4">
            <v>21498.253968253968</v>
          </cell>
          <cell r="J4">
            <v>7630.4500000000007</v>
          </cell>
          <cell r="K4">
            <v>1727966.8803991422</v>
          </cell>
          <cell r="L4">
            <v>1727966.8803991422</v>
          </cell>
          <cell r="M4">
            <v>85.666666666666671</v>
          </cell>
          <cell r="N4">
            <v>279960.97400187148</v>
          </cell>
          <cell r="O4">
            <v>73.428571428571431</v>
          </cell>
          <cell r="P4">
            <v>12261.922557939484</v>
          </cell>
          <cell r="Q4">
            <v>9139.18596024607</v>
          </cell>
          <cell r="R4">
            <v>1737106.0663593882</v>
          </cell>
          <cell r="S4">
            <v>856666.66666666674</v>
          </cell>
          <cell r="T4">
            <v>0</v>
          </cell>
          <cell r="U4">
            <v>20277.502720148499</v>
          </cell>
          <cell r="V4">
            <v>856666.66666666674</v>
          </cell>
          <cell r="W4">
            <v>10277.502720148499</v>
          </cell>
          <cell r="X4">
            <v>880439.39969272143</v>
          </cell>
          <cell r="Y4">
            <v>1737106.0663593882</v>
          </cell>
        </row>
        <row r="5">
          <cell r="A5">
            <v>9257005</v>
          </cell>
          <cell r="B5" t="str">
            <v>Sandon School</v>
          </cell>
          <cell r="C5" t="str">
            <v>School Size 4</v>
          </cell>
          <cell r="D5">
            <v>360000</v>
          </cell>
          <cell r="E5">
            <v>110000</v>
          </cell>
          <cell r="H5">
            <v>1001409.0586673757</v>
          </cell>
          <cell r="I5">
            <v>13710.234375</v>
          </cell>
          <cell r="J5">
            <v>10323.550000000001</v>
          </cell>
          <cell r="K5">
            <v>1495442.8430423758</v>
          </cell>
          <cell r="L5">
            <v>1495442.8430423758</v>
          </cell>
          <cell r="M5">
            <v>83.25</v>
          </cell>
          <cell r="N5">
            <v>119027.6684821916</v>
          </cell>
          <cell r="O5">
            <v>78.046875</v>
          </cell>
          <cell r="P5">
            <v>11481.454248618975</v>
          </cell>
          <cell r="Q5">
            <v>1106.2590793901277</v>
          </cell>
          <cell r="R5">
            <v>1496549.102121766</v>
          </cell>
          <cell r="S5">
            <v>832500</v>
          </cell>
          <cell r="T5">
            <v>0</v>
          </cell>
          <cell r="U5">
            <v>17976.565791252444</v>
          </cell>
          <cell r="V5">
            <v>832500</v>
          </cell>
          <cell r="W5">
            <v>7976.5657912524439</v>
          </cell>
          <cell r="X5">
            <v>664049.10212176596</v>
          </cell>
          <cell r="Y5">
            <v>1496549.102121766</v>
          </cell>
        </row>
        <row r="6">
          <cell r="A6">
            <v>9257025</v>
          </cell>
          <cell r="B6" t="str">
            <v>St Bernard's School</v>
          </cell>
          <cell r="C6" t="str">
            <v>School Size 4</v>
          </cell>
          <cell r="D6">
            <v>360000</v>
          </cell>
          <cell r="E6">
            <v>110000</v>
          </cell>
          <cell r="H6">
            <v>857582.99105446076</v>
          </cell>
          <cell r="I6">
            <v>7956.3311688311687</v>
          </cell>
          <cell r="J6">
            <v>9425.85</v>
          </cell>
          <cell r="K6">
            <v>1344965.1722232921</v>
          </cell>
          <cell r="L6">
            <v>1344965.1722232921</v>
          </cell>
          <cell r="M6">
            <v>77.5</v>
          </cell>
          <cell r="N6">
            <v>92098.940863721436</v>
          </cell>
          <cell r="O6">
            <v>73.474025974025977</v>
          </cell>
          <cell r="P6">
            <v>10526.718402949524</v>
          </cell>
          <cell r="Q6">
            <v>20124.481605575605</v>
          </cell>
          <cell r="R6">
            <v>1365089.6538288677</v>
          </cell>
          <cell r="S6">
            <v>775000</v>
          </cell>
          <cell r="T6">
            <v>0</v>
          </cell>
          <cell r="U6">
            <v>17614.060049404743</v>
          </cell>
          <cell r="V6">
            <v>775000</v>
          </cell>
          <cell r="W6">
            <v>7614.060049404743</v>
          </cell>
          <cell r="X6">
            <v>590089.65382886771</v>
          </cell>
          <cell r="Y6">
            <v>1365089.6538288677</v>
          </cell>
        </row>
        <row r="7">
          <cell r="A7">
            <v>9257011</v>
          </cell>
          <cell r="B7" t="str">
            <v>Spalding The Garth</v>
          </cell>
          <cell r="C7" t="str">
            <v>School Size 3 Transition Point</v>
          </cell>
          <cell r="D7">
            <v>332500</v>
          </cell>
          <cell r="E7">
            <v>105000</v>
          </cell>
          <cell r="H7">
            <v>743100.46710014949</v>
          </cell>
          <cell r="I7">
            <v>2883.5849056603774</v>
          </cell>
          <cell r="J7">
            <v>10772.400000000001</v>
          </cell>
          <cell r="K7">
            <v>1194256.4520058099</v>
          </cell>
          <cell r="L7">
            <v>1194256.4520058099</v>
          </cell>
          <cell r="M7">
            <v>58</v>
          </cell>
          <cell r="N7">
            <v>150205.91718711381</v>
          </cell>
          <cell r="O7">
            <v>51.433962264150942</v>
          </cell>
          <cell r="P7">
            <v>11583.36065494897</v>
          </cell>
          <cell r="Q7">
            <v>0</v>
          </cell>
          <cell r="R7">
            <v>1194256.4520058099</v>
          </cell>
          <cell r="S7">
            <v>580000</v>
          </cell>
          <cell r="T7">
            <v>0</v>
          </cell>
          <cell r="U7">
            <v>20590.628482858792</v>
          </cell>
          <cell r="V7">
            <v>580000</v>
          </cell>
          <cell r="W7">
            <v>10590.628482858792</v>
          </cell>
          <cell r="X7">
            <v>614256.45200580987</v>
          </cell>
          <cell r="Y7">
            <v>1194256.4520058099</v>
          </cell>
        </row>
        <row r="8">
          <cell r="A8">
            <v>9257024</v>
          </cell>
          <cell r="B8" t="str">
            <v>Eresby Special School</v>
          </cell>
          <cell r="C8" t="str">
            <v>School Size 4</v>
          </cell>
          <cell r="D8">
            <v>360000</v>
          </cell>
          <cell r="E8">
            <v>110000</v>
          </cell>
          <cell r="H8">
            <v>983575.69878823857</v>
          </cell>
          <cell r="I8">
            <v>2664.1014056224903</v>
          </cell>
          <cell r="J8">
            <v>9874.7000000000007</v>
          </cell>
          <cell r="K8">
            <v>1466114.5001938611</v>
          </cell>
          <cell r="L8">
            <v>1466114.5001938611</v>
          </cell>
          <cell r="M8">
            <v>83.916666666666686</v>
          </cell>
          <cell r="N8">
            <v>208159.53485130478</v>
          </cell>
          <cell r="O8">
            <v>74.817269076305237</v>
          </cell>
          <cell r="P8">
            <v>10399.74159640873</v>
          </cell>
          <cell r="Q8">
            <v>21452.798486354863</v>
          </cell>
          <cell r="R8">
            <v>1487567.2986802158</v>
          </cell>
          <cell r="S8">
            <v>839166.66666666686</v>
          </cell>
          <cell r="T8">
            <v>0</v>
          </cell>
          <cell r="U8">
            <v>17726.720540379927</v>
          </cell>
          <cell r="V8">
            <v>839166.66666666686</v>
          </cell>
          <cell r="W8">
            <v>7726.7205403799271</v>
          </cell>
          <cell r="X8">
            <v>648400.63201354898</v>
          </cell>
          <cell r="Y8">
            <v>1487567.2986802158</v>
          </cell>
        </row>
        <row r="9">
          <cell r="A9">
            <v>9257031</v>
          </cell>
          <cell r="B9" t="str">
            <v>Fortuna School</v>
          </cell>
          <cell r="C9" t="str">
            <v>School Size 5</v>
          </cell>
          <cell r="D9">
            <v>360000</v>
          </cell>
          <cell r="E9">
            <v>85000</v>
          </cell>
          <cell r="F9">
            <v>187683</v>
          </cell>
          <cell r="H9">
            <v>971767.43493117648</v>
          </cell>
          <cell r="I9">
            <v>212337.08333333337</v>
          </cell>
          <cell r="J9">
            <v>21095.95</v>
          </cell>
          <cell r="K9">
            <v>1837883.4682645097</v>
          </cell>
          <cell r="L9">
            <v>1650200.4682645097</v>
          </cell>
          <cell r="M9">
            <v>80.583333333333343</v>
          </cell>
          <cell r="N9">
            <v>0</v>
          </cell>
          <cell r="O9">
            <v>80.583333333333343</v>
          </cell>
          <cell r="P9">
            <v>14694.161550335177</v>
          </cell>
          <cell r="Q9">
            <v>17799.737007142194</v>
          </cell>
          <cell r="R9">
            <v>1668000.205271652</v>
          </cell>
          <cell r="S9">
            <v>805833.33333333337</v>
          </cell>
          <cell r="T9">
            <v>0</v>
          </cell>
          <cell r="U9">
            <v>20699.071833774375</v>
          </cell>
          <cell r="V9">
            <v>805833.33333333337</v>
          </cell>
          <cell r="W9">
            <v>10699.071833774375</v>
          </cell>
          <cell r="X9">
            <v>862166.8719383186</v>
          </cell>
          <cell r="Y9">
            <v>1668000.205271652</v>
          </cell>
        </row>
        <row r="10">
          <cell r="A10">
            <v>9257033</v>
          </cell>
          <cell r="B10" t="str">
            <v>Warren Wood Specialist Academy</v>
          </cell>
          <cell r="C10" t="str">
            <v>School Size 4</v>
          </cell>
          <cell r="D10">
            <v>360000</v>
          </cell>
          <cell r="E10">
            <v>110000</v>
          </cell>
          <cell r="H10">
            <v>920915.78688585176</v>
          </cell>
          <cell r="I10">
            <v>16378.605263157897</v>
          </cell>
          <cell r="J10">
            <v>21993.65</v>
          </cell>
          <cell r="K10">
            <v>1429288.0421490096</v>
          </cell>
          <cell r="L10">
            <v>1429288.0421490096</v>
          </cell>
          <cell r="M10">
            <v>98.416666666666671</v>
          </cell>
          <cell r="N10">
            <v>0</v>
          </cell>
          <cell r="O10">
            <v>98.416666666666671</v>
          </cell>
          <cell r="P10">
            <v>9523.7364147232129</v>
          </cell>
          <cell r="Q10">
            <v>0</v>
          </cell>
          <cell r="R10">
            <v>1429288.0421490096</v>
          </cell>
          <cell r="S10">
            <v>984166.66666666674</v>
          </cell>
          <cell r="T10">
            <v>0</v>
          </cell>
          <cell r="U10">
            <v>14522.825153080537</v>
          </cell>
          <cell r="V10">
            <v>984166.66666666674</v>
          </cell>
          <cell r="W10">
            <v>4522.8251530805373</v>
          </cell>
          <cell r="X10">
            <v>445121.3754823429</v>
          </cell>
          <cell r="Y10">
            <v>1429288.0421490096</v>
          </cell>
        </row>
        <row r="11">
          <cell r="A11">
            <v>9257008</v>
          </cell>
          <cell r="B11" t="str">
            <v>Gosberton House School</v>
          </cell>
          <cell r="C11" t="str">
            <v>School Size 4</v>
          </cell>
          <cell r="D11">
            <v>360000</v>
          </cell>
          <cell r="E11">
            <v>110000</v>
          </cell>
          <cell r="H11">
            <v>955264.96067784482</v>
          </cell>
          <cell r="I11">
            <v>20991.279461279461</v>
          </cell>
          <cell r="J11">
            <v>14363.2</v>
          </cell>
          <cell r="K11">
            <v>1460619.4401391244</v>
          </cell>
          <cell r="L11">
            <v>1460619.4401391244</v>
          </cell>
          <cell r="M11">
            <v>98.583333333333343</v>
          </cell>
          <cell r="N11">
            <v>22779.908282332057</v>
          </cell>
          <cell r="O11">
            <v>97.58754208754209</v>
          </cell>
          <cell r="P11">
            <v>9770.4718395455111</v>
          </cell>
          <cell r="Q11">
            <v>0</v>
          </cell>
          <cell r="R11">
            <v>1460619.4401391244</v>
          </cell>
          <cell r="S11">
            <v>985833.33333333337</v>
          </cell>
          <cell r="T11">
            <v>0</v>
          </cell>
          <cell r="U11">
            <v>14816.088995494076</v>
          </cell>
          <cell r="V11">
            <v>985833.33333333337</v>
          </cell>
          <cell r="W11">
            <v>4816.0889954940758</v>
          </cell>
          <cell r="X11">
            <v>474786.10680579103</v>
          </cell>
          <cell r="Y11">
            <v>1460619.4401391244</v>
          </cell>
        </row>
        <row r="12">
          <cell r="A12">
            <v>9257034</v>
          </cell>
          <cell r="B12" t="str">
            <v>Aegir Specialist Academy</v>
          </cell>
          <cell r="C12" t="str">
            <v>School Size 4 Transition Point</v>
          </cell>
          <cell r="D12">
            <v>390000</v>
          </cell>
          <cell r="E12">
            <v>115000</v>
          </cell>
          <cell r="H12">
            <v>1087703.2634701165</v>
          </cell>
          <cell r="I12">
            <v>45895.134680134681</v>
          </cell>
          <cell r="J12">
            <v>21095.95</v>
          </cell>
          <cell r="K12">
            <v>1659694.3481502512</v>
          </cell>
          <cell r="L12">
            <v>1659694.3481502512</v>
          </cell>
          <cell r="M12">
            <v>123.16666666666666</v>
          </cell>
          <cell r="N12">
            <v>28460.443314697197</v>
          </cell>
          <cell r="O12">
            <v>121.92255892255891</v>
          </cell>
          <cell r="P12">
            <v>9064.261483697208</v>
          </cell>
          <cell r="Q12">
            <v>59535.284511571168</v>
          </cell>
          <cell r="R12">
            <v>1719229.6326618223</v>
          </cell>
          <cell r="S12">
            <v>1231666.6666666665</v>
          </cell>
          <cell r="T12">
            <v>0</v>
          </cell>
          <cell r="U12">
            <v>13958.562646780696</v>
          </cell>
          <cell r="V12">
            <v>1231666.6666666665</v>
          </cell>
          <cell r="W12">
            <v>3958.562646780696</v>
          </cell>
          <cell r="X12">
            <v>487562.96599515574</v>
          </cell>
          <cell r="Y12">
            <v>1719229.6326618223</v>
          </cell>
        </row>
        <row r="13">
          <cell r="A13">
            <v>9257002</v>
          </cell>
          <cell r="B13" t="str">
            <v>Ambergate Sports College</v>
          </cell>
          <cell r="C13" t="str">
            <v>School Size 5</v>
          </cell>
          <cell r="D13">
            <v>420000</v>
          </cell>
          <cell r="E13">
            <v>120000</v>
          </cell>
          <cell r="H13">
            <v>1324642.7827644676</v>
          </cell>
          <cell r="I13">
            <v>50653.670212765952</v>
          </cell>
          <cell r="J13">
            <v>18851.7</v>
          </cell>
          <cell r="K13">
            <v>1934148.1529772335</v>
          </cell>
          <cell r="L13">
            <v>1934148.1529772335</v>
          </cell>
          <cell r="M13">
            <v>150.58333333333334</v>
          </cell>
          <cell r="N13">
            <v>24431.012226106413</v>
          </cell>
          <cell r="O13">
            <v>149.51536643026006</v>
          </cell>
          <cell r="P13">
            <v>9034.9605729737814</v>
          </cell>
          <cell r="Q13">
            <v>0</v>
          </cell>
          <cell r="R13">
            <v>1934148.1529772335</v>
          </cell>
          <cell r="S13">
            <v>1505833.3333333335</v>
          </cell>
          <cell r="T13">
            <v>0</v>
          </cell>
          <cell r="U13">
            <v>12844.370689389485</v>
          </cell>
          <cell r="V13">
            <v>1505833.3333333335</v>
          </cell>
          <cell r="W13">
            <v>2844.3706893894851</v>
          </cell>
          <cell r="X13">
            <v>428314.81964390003</v>
          </cell>
          <cell r="Y13">
            <v>1934148.1529772335</v>
          </cell>
        </row>
        <row r="14">
          <cell r="A14">
            <v>9257009</v>
          </cell>
          <cell r="B14" t="str">
            <v>The Priory School</v>
          </cell>
          <cell r="C14" t="str">
            <v>School Size 4 Transition Point</v>
          </cell>
          <cell r="D14">
            <v>390000</v>
          </cell>
          <cell r="E14">
            <v>115000</v>
          </cell>
          <cell r="H14">
            <v>1156108.9567382953</v>
          </cell>
          <cell r="I14">
            <v>28668.800000000007</v>
          </cell>
          <cell r="J14">
            <v>22442.5</v>
          </cell>
          <cell r="K14">
            <v>1712220.2567382953</v>
          </cell>
          <cell r="L14">
            <v>1712220.2567382953</v>
          </cell>
          <cell r="M14">
            <v>136</v>
          </cell>
          <cell r="N14">
            <v>0</v>
          </cell>
          <cell r="O14">
            <v>136</v>
          </cell>
          <cell r="P14">
            <v>8711.6011524874648</v>
          </cell>
          <cell r="Q14">
            <v>60152.544594865052</v>
          </cell>
          <cell r="R14">
            <v>1772372.8013331604</v>
          </cell>
          <cell r="S14">
            <v>1360000</v>
          </cell>
          <cell r="T14">
            <v>0</v>
          </cell>
          <cell r="U14">
            <v>13032.15295097912</v>
          </cell>
          <cell r="V14">
            <v>1360000</v>
          </cell>
          <cell r="W14">
            <v>3032.1529509791199</v>
          </cell>
          <cell r="X14">
            <v>412372.80133316037</v>
          </cell>
          <cell r="Y14">
            <v>1772372.8013331604</v>
          </cell>
        </row>
        <row r="15">
          <cell r="A15">
            <v>9257029</v>
          </cell>
          <cell r="B15" t="str">
            <v>Greenfields Academy</v>
          </cell>
          <cell r="C15" t="str">
            <v>School Size 4 Transition Point</v>
          </cell>
          <cell r="D15">
            <v>350000</v>
          </cell>
          <cell r="E15">
            <v>85000</v>
          </cell>
          <cell r="F15">
            <v>265481</v>
          </cell>
          <cell r="H15">
            <v>900417.39575836004</v>
          </cell>
          <cell r="I15">
            <v>196746.66666666669</v>
          </cell>
          <cell r="J15">
            <v>10323.550000000001</v>
          </cell>
          <cell r="K15">
            <v>1807968.6124250269</v>
          </cell>
          <cell r="L15">
            <v>1542487.6124250269</v>
          </cell>
          <cell r="M15">
            <v>74.666666666666671</v>
          </cell>
          <cell r="N15">
            <v>0</v>
          </cell>
          <cell r="O15">
            <v>74.666666666666671</v>
          </cell>
          <cell r="P15">
            <v>14694.161550335177</v>
          </cell>
          <cell r="Q15">
            <v>4968.7663456613536</v>
          </cell>
          <cell r="R15">
            <v>1547456.3787706883</v>
          </cell>
          <cell r="S15">
            <v>746666.66666666674</v>
          </cell>
          <cell r="T15">
            <v>0</v>
          </cell>
          <cell r="U15">
            <v>20724.862215678859</v>
          </cell>
          <cell r="V15">
            <v>746666.66666666674</v>
          </cell>
          <cell r="W15">
            <v>10724.862215678859</v>
          </cell>
          <cell r="X15">
            <v>800789.71210402157</v>
          </cell>
          <cell r="Y15">
            <v>1547456.3787706883</v>
          </cell>
        </row>
        <row r="16">
          <cell r="A16">
            <v>9257032</v>
          </cell>
          <cell r="B16" t="str">
            <v>Athena School</v>
          </cell>
          <cell r="C16" t="str">
            <v>School Size 4 Transition Point</v>
          </cell>
          <cell r="D16">
            <v>350000</v>
          </cell>
          <cell r="E16">
            <v>85000</v>
          </cell>
          <cell r="F16">
            <v>235661</v>
          </cell>
          <cell r="G16">
            <v>168000</v>
          </cell>
          <cell r="H16">
            <v>1143610.4870234528</v>
          </cell>
          <cell r="I16">
            <v>249885.83333333337</v>
          </cell>
          <cell r="J16">
            <v>19300.55</v>
          </cell>
          <cell r="K16">
            <v>2251457.8703567861</v>
          </cell>
          <cell r="L16">
            <v>1847796.8703567861</v>
          </cell>
          <cell r="M16">
            <v>94.833333333333343</v>
          </cell>
          <cell r="N16">
            <v>0</v>
          </cell>
          <cell r="O16">
            <v>94.833333333333343</v>
          </cell>
          <cell r="P16">
            <v>14694.161550335179</v>
          </cell>
          <cell r="Q16">
            <v>26861.708477914828</v>
          </cell>
          <cell r="R16">
            <v>1874658.5788347009</v>
          </cell>
          <cell r="S16">
            <v>948333.33333333337</v>
          </cell>
          <cell r="T16">
            <v>0</v>
          </cell>
          <cell r="U16">
            <v>19767.928775058353</v>
          </cell>
          <cell r="V16">
            <v>948333.33333333337</v>
          </cell>
          <cell r="W16">
            <v>9767.9287750583535</v>
          </cell>
          <cell r="X16">
            <v>926325.24550136749</v>
          </cell>
          <cell r="Y16">
            <v>1874658.5788347009</v>
          </cell>
        </row>
        <row r="17">
          <cell r="A17">
            <v>9257030</v>
          </cell>
          <cell r="B17" t="str">
            <v>Woodlands Academy</v>
          </cell>
          <cell r="C17" t="str">
            <v>School Size 4 Transition Point</v>
          </cell>
          <cell r="D17">
            <v>350000</v>
          </cell>
          <cell r="E17">
            <v>85000</v>
          </cell>
          <cell r="F17">
            <v>289365</v>
          </cell>
          <cell r="H17">
            <v>883333.58356205188</v>
          </cell>
          <cell r="I17">
            <v>193013.75</v>
          </cell>
          <cell r="J17">
            <v>8977</v>
          </cell>
          <cell r="K17">
            <v>1809689.3335620519</v>
          </cell>
          <cell r="L17">
            <v>1520324.3335620519</v>
          </cell>
          <cell r="M17">
            <v>73.25</v>
          </cell>
          <cell r="N17">
            <v>0</v>
          </cell>
          <cell r="O17">
            <v>73.25</v>
          </cell>
          <cell r="P17">
            <v>14694.161550335179</v>
          </cell>
          <cell r="Q17">
            <v>33252.755302644044</v>
          </cell>
          <cell r="R17">
            <v>1553577.088864696</v>
          </cell>
          <cell r="S17">
            <v>732500</v>
          </cell>
          <cell r="T17">
            <v>0</v>
          </cell>
          <cell r="U17">
            <v>21209.243533989025</v>
          </cell>
          <cell r="V17">
            <v>732500</v>
          </cell>
          <cell r="W17">
            <v>11209.243533989025</v>
          </cell>
          <cell r="X17">
            <v>821077.08886469598</v>
          </cell>
          <cell r="Y17">
            <v>1553577.088864696</v>
          </cell>
        </row>
        <row r="18">
          <cell r="A18">
            <v>9257028</v>
          </cell>
          <cell r="B18" t="str">
            <v>Bourne Willoughby</v>
          </cell>
          <cell r="C18" t="str">
            <v>School Size 5</v>
          </cell>
          <cell r="D18">
            <v>420000</v>
          </cell>
          <cell r="E18">
            <v>120000</v>
          </cell>
          <cell r="H18">
            <v>1335301.3034477031</v>
          </cell>
          <cell r="I18">
            <v>23410.627062706269</v>
          </cell>
          <cell r="J18">
            <v>14363.2</v>
          </cell>
          <cell r="K18">
            <v>1913075.1305104094</v>
          </cell>
          <cell r="L18">
            <v>1913075.1305104094</v>
          </cell>
          <cell r="M18">
            <v>112.16666666666667</v>
          </cell>
          <cell r="N18">
            <v>279459.44511597994</v>
          </cell>
          <cell r="O18">
            <v>99.950495049504951</v>
          </cell>
          <cell r="P18">
            <v>10797.870334307812</v>
          </cell>
          <cell r="Q18">
            <v>0</v>
          </cell>
          <cell r="R18">
            <v>1913075.1305104094</v>
          </cell>
          <cell r="S18">
            <v>1121666.6666666667</v>
          </cell>
          <cell r="T18">
            <v>0</v>
          </cell>
          <cell r="U18">
            <v>17055.647523124004</v>
          </cell>
          <cell r="V18">
            <v>1121666.6666666667</v>
          </cell>
          <cell r="W18">
            <v>7055.6475231240038</v>
          </cell>
          <cell r="X18">
            <v>791408.46384374262</v>
          </cell>
          <cell r="Y18">
            <v>1913075.1305104094</v>
          </cell>
        </row>
        <row r="19">
          <cell r="A19">
            <v>9257021</v>
          </cell>
          <cell r="B19" t="str">
            <v>St Lawrence School</v>
          </cell>
          <cell r="C19" t="str">
            <v>School Size 5 Transition Point</v>
          </cell>
          <cell r="D19">
            <v>455000</v>
          </cell>
          <cell r="E19">
            <v>130000</v>
          </cell>
          <cell r="H19">
            <v>1579584.5197189793</v>
          </cell>
          <cell r="I19">
            <v>35038.269817073175</v>
          </cell>
          <cell r="J19">
            <v>25584.45</v>
          </cell>
          <cell r="K19">
            <v>2225207.239536053</v>
          </cell>
          <cell r="L19">
            <v>2225207.239536053</v>
          </cell>
          <cell r="M19">
            <v>167.75</v>
          </cell>
          <cell r="N19">
            <v>46798.544232945467</v>
          </cell>
          <cell r="O19">
            <v>165.70426829268294</v>
          </cell>
          <cell r="P19">
            <v>9461.5803289620999</v>
          </cell>
          <cell r="Q19">
            <v>12937.523007891316</v>
          </cell>
          <cell r="R19">
            <v>2238144.7625439442</v>
          </cell>
          <cell r="S19">
            <v>1677500</v>
          </cell>
          <cell r="T19">
            <v>0</v>
          </cell>
          <cell r="U19">
            <v>13342.144635135286</v>
          </cell>
          <cell r="V19">
            <v>1677500</v>
          </cell>
          <cell r="W19">
            <v>3342.1446351352861</v>
          </cell>
          <cell r="X19">
            <v>560644.76254394418</v>
          </cell>
          <cell r="Y19">
            <v>2238144.7625439442</v>
          </cell>
        </row>
        <row r="20">
          <cell r="A20">
            <v>9257015</v>
          </cell>
          <cell r="B20" t="str">
            <v>Lincoln St Christopher's</v>
          </cell>
          <cell r="C20" t="str">
            <v>School Size 6 Transition Point</v>
          </cell>
          <cell r="D20">
            <v>525000</v>
          </cell>
          <cell r="E20">
            <v>145000</v>
          </cell>
          <cell r="H20">
            <v>2148810.2146396968</v>
          </cell>
          <cell r="I20">
            <v>10637.160766961651</v>
          </cell>
          <cell r="J20">
            <v>21544.800000000003</v>
          </cell>
          <cell r="K20">
            <v>2850992.1754066581</v>
          </cell>
          <cell r="L20">
            <v>2850992.1754066581</v>
          </cell>
          <cell r="M20">
            <v>228.08333333333334</v>
          </cell>
          <cell r="N20">
            <v>69261.203568685509</v>
          </cell>
          <cell r="O20">
            <v>225.0556784660767</v>
          </cell>
          <cell r="P20">
            <v>9287.4180562079564</v>
          </cell>
          <cell r="Q20">
            <v>0</v>
          </cell>
          <cell r="R20">
            <v>2850992.1754066581</v>
          </cell>
          <cell r="S20">
            <v>2280833.3333333335</v>
          </cell>
          <cell r="T20">
            <v>0</v>
          </cell>
          <cell r="U20">
            <v>12499.783012378479</v>
          </cell>
          <cell r="V20">
            <v>2280833.3333333335</v>
          </cell>
          <cell r="W20">
            <v>2499.7830123784788</v>
          </cell>
          <cell r="X20">
            <v>570158.8420733246</v>
          </cell>
          <cell r="Y20">
            <v>2850992.1754066581</v>
          </cell>
        </row>
        <row r="21">
          <cell r="A21">
            <v>9257016</v>
          </cell>
          <cell r="B21" t="str">
            <v xml:space="preserve">Lincoln St Francis </v>
          </cell>
          <cell r="C21" t="str">
            <v>School Size 6 Transition Point</v>
          </cell>
          <cell r="D21">
            <v>525000</v>
          </cell>
          <cell r="E21">
            <v>145000</v>
          </cell>
          <cell r="H21">
            <v>2256437.5442380505</v>
          </cell>
          <cell r="I21">
            <v>2652.7303312629401</v>
          </cell>
          <cell r="J21">
            <v>21544.800000000003</v>
          </cell>
          <cell r="K21">
            <v>2950635.0745693133</v>
          </cell>
          <cell r="L21">
            <v>2950635.0745693133</v>
          </cell>
          <cell r="M21">
            <v>162.08333333333334</v>
          </cell>
          <cell r="N21">
            <v>783023.98962712591</v>
          </cell>
          <cell r="O21">
            <v>127.85455486542443</v>
          </cell>
          <cell r="P21">
            <v>11544.886191155623</v>
          </cell>
          <cell r="Q21">
            <v>0</v>
          </cell>
          <cell r="R21">
            <v>2950635.0745693133</v>
          </cell>
          <cell r="S21">
            <v>1620833.3333333335</v>
          </cell>
          <cell r="T21">
            <v>0</v>
          </cell>
          <cell r="U21">
            <v>18204.432336674425</v>
          </cell>
          <cell r="V21">
            <v>1620833.3333333335</v>
          </cell>
          <cell r="W21">
            <v>8204.4323366744247</v>
          </cell>
          <cell r="X21">
            <v>1329801.7412359798</v>
          </cell>
          <cell r="Y21">
            <v>2950635.0745693133</v>
          </cell>
        </row>
      </sheetData>
      <sheetData sheetId="56" refreshError="1">
        <row r="6">
          <cell r="A6">
            <v>9257010</v>
          </cell>
          <cell r="B6" t="str">
            <v>Boston John Fielding</v>
          </cell>
          <cell r="C6">
            <v>5</v>
          </cell>
          <cell r="D6">
            <v>1.5873015873015872E-2</v>
          </cell>
          <cell r="E6">
            <v>0.31746031746031744</v>
          </cell>
          <cell r="F6">
            <v>9.5238095238095233E-2</v>
          </cell>
          <cell r="G6">
            <v>0.17460317460317459</v>
          </cell>
          <cell r="H6">
            <v>6.3492063492063489E-2</v>
          </cell>
          <cell r="I6">
            <v>0.19047619047619047</v>
          </cell>
          <cell r="J6">
            <v>0.14285714285714285</v>
          </cell>
        </row>
        <row r="7">
          <cell r="A7">
            <v>9257005</v>
          </cell>
          <cell r="B7" t="str">
            <v>Grantham Sandon</v>
          </cell>
          <cell r="C7">
            <v>4</v>
          </cell>
          <cell r="D7">
            <v>0.05</v>
          </cell>
          <cell r="E7">
            <v>0.4</v>
          </cell>
          <cell r="F7">
            <v>6.25E-2</v>
          </cell>
          <cell r="G7">
            <v>0.15</v>
          </cell>
          <cell r="H7">
            <v>0.125</v>
          </cell>
          <cell r="I7">
            <v>0.15</v>
          </cell>
          <cell r="J7">
            <v>6.25E-2</v>
          </cell>
        </row>
        <row r="8">
          <cell r="A8">
            <v>9257025</v>
          </cell>
          <cell r="B8" t="str">
            <v>Louth St Bernard's</v>
          </cell>
          <cell r="C8">
            <v>4</v>
          </cell>
          <cell r="D8">
            <v>0.15584415584415584</v>
          </cell>
          <cell r="E8">
            <v>0.40259740259740262</v>
          </cell>
          <cell r="F8">
            <v>3.896103896103896E-2</v>
          </cell>
          <cell r="G8">
            <v>0.15584415584415584</v>
          </cell>
          <cell r="H8">
            <v>5.1948051948051951E-2</v>
          </cell>
          <cell r="I8">
            <v>0.14285714285714285</v>
          </cell>
          <cell r="J8">
            <v>5.1948051948051951E-2</v>
          </cell>
        </row>
        <row r="9">
          <cell r="A9">
            <v>9257011</v>
          </cell>
          <cell r="B9" t="str">
            <v>Spalding The Garth</v>
          </cell>
          <cell r="C9" t="str">
            <v>3 (TP)</v>
          </cell>
          <cell r="D9">
            <v>5.6603773584905662E-2</v>
          </cell>
          <cell r="E9">
            <v>0.35849056603773582</v>
          </cell>
          <cell r="F9">
            <v>1.8867924528301886E-2</v>
          </cell>
          <cell r="G9">
            <v>0.16981132075471697</v>
          </cell>
          <cell r="H9">
            <v>0.13207547169811321</v>
          </cell>
          <cell r="I9">
            <v>0.15094339622641509</v>
          </cell>
          <cell r="J9">
            <v>0.11320754716981132</v>
          </cell>
        </row>
        <row r="10">
          <cell r="A10">
            <v>9257024</v>
          </cell>
          <cell r="B10" t="str">
            <v>Spilsby The Eresby</v>
          </cell>
          <cell r="C10">
            <v>4</v>
          </cell>
          <cell r="D10">
            <v>8.4337349397590355E-2</v>
          </cell>
          <cell r="E10">
            <v>0.45783132530120479</v>
          </cell>
          <cell r="F10">
            <v>1.2048192771084338E-2</v>
          </cell>
          <cell r="G10">
            <v>0.18072289156626506</v>
          </cell>
          <cell r="H10">
            <v>8.4337349397590355E-2</v>
          </cell>
          <cell r="I10">
            <v>7.2289156626506021E-2</v>
          </cell>
          <cell r="J10">
            <v>0.10843373493975904</v>
          </cell>
        </row>
        <row r="11">
          <cell r="A11">
            <v>9257031</v>
          </cell>
          <cell r="B11" t="str">
            <v>Lincoln Fortuna</v>
          </cell>
          <cell r="C11">
            <v>5</v>
          </cell>
          <cell r="D11">
            <v>0</v>
          </cell>
          <cell r="E11">
            <v>0</v>
          </cell>
          <cell r="F11">
            <v>1</v>
          </cell>
          <cell r="G11">
            <v>0</v>
          </cell>
          <cell r="H11">
            <v>0</v>
          </cell>
          <cell r="I11">
            <v>0</v>
          </cell>
          <cell r="J11">
            <v>0</v>
          </cell>
        </row>
        <row r="12">
          <cell r="A12">
            <v>9257033</v>
          </cell>
          <cell r="B12" t="str">
            <v xml:space="preserve">Gainsborough Warren Wood </v>
          </cell>
          <cell r="C12" t="str">
            <v>4 (TP)</v>
          </cell>
          <cell r="D12">
            <v>0.16842105263157894</v>
          </cell>
          <cell r="E12">
            <v>0.5368421052631579</v>
          </cell>
          <cell r="F12">
            <v>6.3157894736842107E-2</v>
          </cell>
          <cell r="G12">
            <v>0.14736842105263157</v>
          </cell>
          <cell r="H12">
            <v>4.2105263157894736E-2</v>
          </cell>
          <cell r="I12">
            <v>4.2105263157894736E-2</v>
          </cell>
          <cell r="J12">
            <v>0</v>
          </cell>
        </row>
        <row r="13">
          <cell r="A13">
            <v>9257008</v>
          </cell>
          <cell r="B13" t="str">
            <v>Gosberton House</v>
          </cell>
          <cell r="C13">
            <v>4</v>
          </cell>
          <cell r="D13">
            <v>0.10101010101010101</v>
          </cell>
          <cell r="E13">
            <v>0.58585858585858586</v>
          </cell>
          <cell r="F13">
            <v>8.0808080808080815E-2</v>
          </cell>
          <cell r="G13">
            <v>9.0909090909090912E-2</v>
          </cell>
          <cell r="H13">
            <v>1.0101010101010102E-2</v>
          </cell>
          <cell r="I13">
            <v>0.12121212121212122</v>
          </cell>
          <cell r="J13">
            <v>1.0101010101010102E-2</v>
          </cell>
        </row>
        <row r="14">
          <cell r="A14">
            <v>9257034</v>
          </cell>
          <cell r="B14" t="str">
            <v>Gainsborough Aegir</v>
          </cell>
          <cell r="C14" t="str">
            <v>4 (TP)</v>
          </cell>
          <cell r="D14">
            <v>0.42424242424242425</v>
          </cell>
          <cell r="E14">
            <v>0.29292929292929293</v>
          </cell>
          <cell r="F14">
            <v>0.14141414141414141</v>
          </cell>
          <cell r="G14">
            <v>3.0303030303030304E-2</v>
          </cell>
          <cell r="H14">
            <v>4.0404040404040407E-2</v>
          </cell>
          <cell r="I14">
            <v>6.0606060606060608E-2</v>
          </cell>
          <cell r="J14">
            <v>1.0101010101010102E-2</v>
          </cell>
        </row>
        <row r="15">
          <cell r="A15">
            <v>9257002</v>
          </cell>
          <cell r="B15" t="str">
            <v>Grantham Ambergate</v>
          </cell>
          <cell r="C15">
            <v>5</v>
          </cell>
          <cell r="D15">
            <v>0.3546099290780142</v>
          </cell>
          <cell r="E15">
            <v>0.38297872340425532</v>
          </cell>
          <cell r="F15">
            <v>0.1276595744680851</v>
          </cell>
          <cell r="G15">
            <v>2.8368794326241134E-2</v>
          </cell>
          <cell r="H15">
            <v>2.1276595744680851E-2</v>
          </cell>
          <cell r="I15">
            <v>7.8014184397163122E-2</v>
          </cell>
          <cell r="J15">
            <v>7.0921985815602835E-3</v>
          </cell>
        </row>
        <row r="16">
          <cell r="A16">
            <v>9257009</v>
          </cell>
          <cell r="B16" t="str">
            <v>Spalding The Priory</v>
          </cell>
          <cell r="C16" t="str">
            <v>4 (TP)</v>
          </cell>
          <cell r="D16">
            <v>0.23200000000000001</v>
          </cell>
          <cell r="E16">
            <v>0.57599999999999996</v>
          </cell>
          <cell r="F16">
            <v>0.08</v>
          </cell>
          <cell r="G16">
            <v>2.4E-2</v>
          </cell>
          <cell r="H16">
            <v>8.0000000000000002E-3</v>
          </cell>
          <cell r="I16">
            <v>0.08</v>
          </cell>
          <cell r="J16">
            <v>0</v>
          </cell>
        </row>
        <row r="17">
          <cell r="A17">
            <v>9257029</v>
          </cell>
          <cell r="B17" t="str">
            <v>Greenfields Academy</v>
          </cell>
          <cell r="C17" t="str">
            <v>PFI 4 (TP)</v>
          </cell>
          <cell r="D17">
            <v>0</v>
          </cell>
          <cell r="E17">
            <v>0</v>
          </cell>
          <cell r="F17">
            <v>1</v>
          </cell>
          <cell r="G17">
            <v>0</v>
          </cell>
          <cell r="H17">
            <v>0</v>
          </cell>
          <cell r="I17">
            <v>0</v>
          </cell>
          <cell r="J17">
            <v>0</v>
          </cell>
        </row>
        <row r="18">
          <cell r="A18">
            <v>9257032</v>
          </cell>
          <cell r="B18" t="str">
            <v>Lincoln Athena School</v>
          </cell>
          <cell r="C18" t="str">
            <v>PFI 4 (TP)</v>
          </cell>
          <cell r="D18">
            <v>0</v>
          </cell>
          <cell r="E18">
            <v>0</v>
          </cell>
          <cell r="F18">
            <v>1</v>
          </cell>
          <cell r="G18">
            <v>0</v>
          </cell>
          <cell r="H18">
            <v>0</v>
          </cell>
          <cell r="I18">
            <v>0</v>
          </cell>
          <cell r="J18">
            <v>0</v>
          </cell>
        </row>
        <row r="19">
          <cell r="A19">
            <v>9257030</v>
          </cell>
          <cell r="B19" t="str">
            <v>Spilsby The Woodlands</v>
          </cell>
          <cell r="C19" t="str">
            <v>PFI 4 (TP)</v>
          </cell>
          <cell r="D19">
            <v>0</v>
          </cell>
          <cell r="E19">
            <v>0</v>
          </cell>
          <cell r="F19">
            <v>1</v>
          </cell>
          <cell r="G19">
            <v>0</v>
          </cell>
          <cell r="H19">
            <v>0</v>
          </cell>
          <cell r="I19">
            <v>0</v>
          </cell>
          <cell r="J19">
            <v>0</v>
          </cell>
        </row>
        <row r="20">
          <cell r="A20">
            <v>9257028</v>
          </cell>
          <cell r="B20" t="str">
            <v>Bourne Willoughby</v>
          </cell>
          <cell r="C20">
            <v>5</v>
          </cell>
          <cell r="D20">
            <v>8.9108910891089105E-2</v>
          </cell>
          <cell r="E20">
            <v>0.40594059405940597</v>
          </cell>
          <cell r="F20">
            <v>7.9207920792079209E-2</v>
          </cell>
          <cell r="G20">
            <v>8.9108910891089105E-2</v>
          </cell>
          <cell r="H20">
            <v>0.12871287128712872</v>
          </cell>
          <cell r="I20">
            <v>9.9009900990099015E-2</v>
          </cell>
          <cell r="J20">
            <v>0.10891089108910891</v>
          </cell>
        </row>
        <row r="21">
          <cell r="A21">
            <v>9257021</v>
          </cell>
          <cell r="B21" t="str">
            <v>Horncastle St Lawrence</v>
          </cell>
          <cell r="C21" t="str">
            <v>5 (TP)</v>
          </cell>
          <cell r="D21">
            <v>0.26829268292682928</v>
          </cell>
          <cell r="E21">
            <v>0.42682926829268292</v>
          </cell>
          <cell r="F21">
            <v>7.926829268292683E-2</v>
          </cell>
          <cell r="G21">
            <v>6.7073170731707321E-2</v>
          </cell>
          <cell r="H21">
            <v>5.4878048780487805E-2</v>
          </cell>
          <cell r="I21">
            <v>9.1463414634146339E-2</v>
          </cell>
          <cell r="J21">
            <v>1.2195121951219513E-2</v>
          </cell>
        </row>
        <row r="22">
          <cell r="A22">
            <v>9257015</v>
          </cell>
          <cell r="B22" t="str">
            <v>Lincoln St Christopher's</v>
          </cell>
          <cell r="C22" t="str">
            <v>6 (TP)</v>
          </cell>
          <cell r="D22">
            <v>0.33185840707964603</v>
          </cell>
          <cell r="E22">
            <v>0.38495575221238937</v>
          </cell>
          <cell r="F22">
            <v>1.7699115044247787E-2</v>
          </cell>
          <cell r="G22">
            <v>8.8495575221238937E-2</v>
          </cell>
          <cell r="H22">
            <v>2.2123893805309734E-2</v>
          </cell>
          <cell r="I22">
            <v>0.1415929203539823</v>
          </cell>
          <cell r="J22">
            <v>1.3274336283185841E-2</v>
          </cell>
        </row>
        <row r="23">
          <cell r="A23">
            <v>9257016</v>
          </cell>
          <cell r="B23" t="str">
            <v xml:space="preserve">Lincoln St Francis </v>
          </cell>
          <cell r="C23" t="str">
            <v>6 (TP)</v>
          </cell>
          <cell r="D23">
            <v>0.18012422360248448</v>
          </cell>
          <cell r="E23">
            <v>0.15527950310559005</v>
          </cell>
          <cell r="F23">
            <v>6.2111801242236021E-3</v>
          </cell>
          <cell r="G23">
            <v>0.2236024844720497</v>
          </cell>
          <cell r="H23">
            <v>0.21118012422360249</v>
          </cell>
          <cell r="I23">
            <v>1.2422360248447204E-2</v>
          </cell>
          <cell r="J23">
            <v>0.21118012422360249</v>
          </cell>
        </row>
        <row r="110">
          <cell r="D110" t="str">
            <v>Pre-16</v>
          </cell>
          <cell r="G110" t="str">
            <v>Post-16</v>
          </cell>
          <cell r="J110" t="str">
            <v>Summary</v>
          </cell>
          <cell r="K110" t="str">
            <v>Pre-16</v>
          </cell>
          <cell r="N110" t="str">
            <v>Post-16</v>
          </cell>
          <cell r="Q110" t="str">
            <v>Summary</v>
          </cell>
          <cell r="R110" t="str">
            <v>Summary</v>
          </cell>
          <cell r="AI110" t="str">
            <v>Final Place &amp; Top up Funding</v>
          </cell>
        </row>
        <row r="111">
          <cell r="A111" t="str">
            <v>DfE Number</v>
          </cell>
          <cell r="B111" t="str">
            <v>School</v>
          </cell>
          <cell r="C111" t="str">
            <v>Group</v>
          </cell>
          <cell r="D111" t="str">
            <v>Pre-16 Funding (Apr-Aug)</v>
          </cell>
          <cell r="E111" t="str">
            <v>Pre-16 Funding (Sept-Mar)</v>
          </cell>
          <cell r="F111" t="str">
            <v>Total Pre-16 Funding</v>
          </cell>
          <cell r="G111" t="str">
            <v>Post-16 Funding (Apr-Jul)</v>
          </cell>
          <cell r="H111" t="str">
            <v>Post-16 Funding (Aug-Mar)</v>
          </cell>
          <cell r="I111" t="str">
            <v>Total Post-16 Funding</v>
          </cell>
          <cell r="J111" t="str">
            <v>Total Pre &amp; Post-16 Funding</v>
          </cell>
          <cell r="K111" t="str">
            <v>Additionality Funding (Apr-Aug)</v>
          </cell>
          <cell r="L111" t="str">
            <v>Additionality Funding (Sept-Mar)</v>
          </cell>
          <cell r="M111" t="str">
            <v>Total Additionality Funding</v>
          </cell>
          <cell r="N111" t="str">
            <v>Additionality Funding (Apr-Jul)</v>
          </cell>
          <cell r="O111" t="str">
            <v>Additionality Funding (Aug-Mar)</v>
          </cell>
          <cell r="P111" t="str">
            <v>Total Additionality Funding</v>
          </cell>
          <cell r="Q111" t="str">
            <v>Total Pre &amp; Post-16 Additionality</v>
          </cell>
          <cell r="R111" t="str">
            <v>Total Funding</v>
          </cell>
          <cell r="S111" t="str">
            <v>Average Places</v>
          </cell>
          <cell r="T111" t="str">
            <v>Ave. Band Value</v>
          </cell>
          <cell r="U111" t="str">
            <v>Ave. Band Value (Excl. Band G)</v>
          </cell>
          <cell r="V111" t="str">
            <v>Pre-16 Place Funding</v>
          </cell>
          <cell r="W111" t="str">
            <v>Post-16 Place Funding</v>
          </cell>
          <cell r="X111" t="str">
            <v>Total Place Funding</v>
          </cell>
          <cell r="Y111" t="str">
            <v>Total Funding</v>
          </cell>
          <cell r="Z111" t="str">
            <v>Top up Funding</v>
          </cell>
          <cell r="AA111" t="str">
            <v>Pre-16 Top up Apr-Aug</v>
          </cell>
          <cell r="AB111" t="str">
            <v>Pre-16 Top up Sept-Mar</v>
          </cell>
          <cell r="AC111" t="str">
            <v>Total Pre-16 Top up Funding</v>
          </cell>
          <cell r="AD111" t="str">
            <v>Post-16 Top up Apr-Jul</v>
          </cell>
          <cell r="AE111" t="str">
            <v>Post-16 Top up Aug-Mar</v>
          </cell>
          <cell r="AF111" t="str">
            <v>Total Post-16 Top up Funding</v>
          </cell>
          <cell r="AG111" t="str">
            <v>Total Top up Funding</v>
          </cell>
          <cell r="AL111" t="str">
            <v>Band G 21/22</v>
          </cell>
        </row>
        <row r="112">
          <cell r="A112">
            <v>9257010</v>
          </cell>
          <cell r="B112" t="str">
            <v>Boston John Fielding</v>
          </cell>
          <cell r="C112">
            <v>4</v>
          </cell>
          <cell r="D112">
            <v>326909.60230054241</v>
          </cell>
          <cell r="E112">
            <v>710182.92913566111</v>
          </cell>
          <cell r="F112">
            <v>1037092.5314362035</v>
          </cell>
          <cell r="G112">
            <v>31563.685739362718</v>
          </cell>
          <cell r="H112">
            <v>90181.959255322028</v>
          </cell>
          <cell r="I112">
            <v>121745.64499468474</v>
          </cell>
          <cell r="J112">
            <v>1158838.1764308882</v>
          </cell>
          <cell r="K112">
            <v>6064.6825396825398</v>
          </cell>
          <cell r="L112">
            <v>13175.000000000002</v>
          </cell>
          <cell r="M112">
            <v>19239.682539682541</v>
          </cell>
          <cell r="N112">
            <v>585.55555555555543</v>
          </cell>
          <cell r="O112">
            <v>1673.0158730158728</v>
          </cell>
          <cell r="P112">
            <v>2258.5714285714284</v>
          </cell>
          <cell r="Q112">
            <v>21498.253968253968</v>
          </cell>
          <cell r="R112">
            <v>1180336.4303991422</v>
          </cell>
          <cell r="S112">
            <v>85.666666666666671</v>
          </cell>
          <cell r="T112">
            <v>13778.246269250687</v>
          </cell>
          <cell r="V112">
            <v>766666.66666666674</v>
          </cell>
          <cell r="W112">
            <v>89999.999999999985</v>
          </cell>
          <cell r="X112">
            <v>856666.66666666674</v>
          </cell>
          <cell r="Y112">
            <v>1737106.0663593882</v>
          </cell>
          <cell r="Z112">
            <v>880439.39969272143</v>
          </cell>
          <cell r="AA112">
            <v>248372.98240358874</v>
          </cell>
          <cell r="AB112">
            <v>539568.89280779613</v>
          </cell>
          <cell r="AC112">
            <v>787941.87521138485</v>
          </cell>
          <cell r="AD112">
            <v>23980.8396803465</v>
          </cell>
          <cell r="AE112">
            <v>68516.684800989999</v>
          </cell>
          <cell r="AF112">
            <v>92497.524481336499</v>
          </cell>
          <cell r="AG112">
            <v>880439.39969272132</v>
          </cell>
          <cell r="AI112">
            <v>1737106.0663593882</v>
          </cell>
          <cell r="AJ112" t="str">
            <v>A</v>
          </cell>
          <cell r="AL112">
            <v>279960.97400187148</v>
          </cell>
        </row>
        <row r="113">
          <cell r="A113">
            <v>9257005</v>
          </cell>
          <cell r="B113" t="str">
            <v>Grantham Sandon</v>
          </cell>
          <cell r="C113">
            <v>4</v>
          </cell>
          <cell r="D113">
            <v>265639.03958644101</v>
          </cell>
          <cell r="E113">
            <v>406979.0568758304</v>
          </cell>
          <cell r="F113">
            <v>672618.09646227141</v>
          </cell>
          <cell r="G113">
            <v>104250.79289430138</v>
          </cell>
          <cell r="H113">
            <v>224540.16931080297</v>
          </cell>
          <cell r="I113">
            <v>328790.96220510436</v>
          </cell>
          <cell r="J113">
            <v>1001409.0586673757</v>
          </cell>
          <cell r="K113">
            <v>3636.8489583333335</v>
          </cell>
          <cell r="L113">
            <v>5571.9270833333339</v>
          </cell>
          <cell r="M113">
            <v>9208.7760416666679</v>
          </cell>
          <cell r="N113">
            <v>1427.2916666666665</v>
          </cell>
          <cell r="O113">
            <v>3074.1666666666665</v>
          </cell>
          <cell r="P113">
            <v>4501.458333333333</v>
          </cell>
          <cell r="Q113">
            <v>13710.234375</v>
          </cell>
          <cell r="R113">
            <v>1015119.2930423757</v>
          </cell>
          <cell r="S113">
            <v>83.25</v>
          </cell>
          <cell r="T113">
            <v>12193.625141650158</v>
          </cell>
          <cell r="V113">
            <v>559166.66666666674</v>
          </cell>
          <cell r="W113">
            <v>273333.33333333331</v>
          </cell>
          <cell r="X113">
            <v>832500</v>
          </cell>
          <cell r="Y113">
            <v>1496549.102121766</v>
          </cell>
          <cell r="Z113">
            <v>664049.10212176596</v>
          </cell>
          <cell r="AA113">
            <v>176149.16122349148</v>
          </cell>
          <cell r="AB113">
            <v>269873.80927070766</v>
          </cell>
          <cell r="AC113">
            <v>446022.97049419914</v>
          </cell>
          <cell r="AD113">
            <v>69130.236857521173</v>
          </cell>
          <cell r="AE113">
            <v>148895.89477004562</v>
          </cell>
          <cell r="AF113">
            <v>218026.13162756679</v>
          </cell>
          <cell r="AG113">
            <v>664049.10212176596</v>
          </cell>
          <cell r="AI113">
            <v>1496549.102121766</v>
          </cell>
          <cell r="AJ113" t="str">
            <v>A</v>
          </cell>
          <cell r="AL113">
            <v>119027.6684821916</v>
          </cell>
        </row>
        <row r="114">
          <cell r="A114">
            <v>9257025</v>
          </cell>
          <cell r="B114" t="str">
            <v>Louth St Bernard's</v>
          </cell>
          <cell r="C114">
            <v>4</v>
          </cell>
          <cell r="D114">
            <v>258197.02956478385</v>
          </cell>
          <cell r="E114">
            <v>348565.98991245835</v>
          </cell>
          <cell r="F114">
            <v>606763.01947724214</v>
          </cell>
          <cell r="G114">
            <v>73770.579875652533</v>
          </cell>
          <cell r="H114">
            <v>177049.39170156608</v>
          </cell>
          <cell r="I114">
            <v>250819.97157721862</v>
          </cell>
          <cell r="J114">
            <v>857582.99105446076</v>
          </cell>
          <cell r="K114">
            <v>2395.4545454545455</v>
          </cell>
          <cell r="L114">
            <v>3233.8636363636369</v>
          </cell>
          <cell r="M114">
            <v>5629.318181818182</v>
          </cell>
          <cell r="N114">
            <v>684.41558441558448</v>
          </cell>
          <cell r="O114">
            <v>1642.5974025974024</v>
          </cell>
          <cell r="P114">
            <v>2327.0129870129867</v>
          </cell>
          <cell r="Q114">
            <v>7956.3311688311687</v>
          </cell>
          <cell r="R114">
            <v>865539.32222329197</v>
          </cell>
          <cell r="S114">
            <v>77.5</v>
          </cell>
          <cell r="T114">
            <v>11168.24931901022</v>
          </cell>
          <cell r="V114">
            <v>548333.33333333337</v>
          </cell>
          <cell r="W114">
            <v>226666.66666666666</v>
          </cell>
          <cell r="X114">
            <v>775000</v>
          </cell>
          <cell r="Y114">
            <v>1365089.6538288677</v>
          </cell>
          <cell r="Z114">
            <v>590089.65382886771</v>
          </cell>
          <cell r="AA114">
            <v>177661.40115277734</v>
          </cell>
          <cell r="AB114">
            <v>239842.89155624944</v>
          </cell>
          <cell r="AC114">
            <v>417504.29270902678</v>
          </cell>
          <cell r="AD114">
            <v>50760.400329364958</v>
          </cell>
          <cell r="AE114">
            <v>121824.96079047589</v>
          </cell>
          <cell r="AF114">
            <v>172585.36111984085</v>
          </cell>
          <cell r="AG114">
            <v>590089.65382886759</v>
          </cell>
          <cell r="AI114">
            <v>1365089.6538288675</v>
          </cell>
          <cell r="AJ114" t="str">
            <v>A</v>
          </cell>
          <cell r="AL114">
            <v>92098.940863721436</v>
          </cell>
        </row>
        <row r="115">
          <cell r="A115">
            <v>9257011</v>
          </cell>
          <cell r="B115" t="str">
            <v>Spalding The Garth</v>
          </cell>
          <cell r="C115">
            <v>4</v>
          </cell>
          <cell r="D115">
            <v>266918.27122850198</v>
          </cell>
          <cell r="E115">
            <v>373685.57971990277</v>
          </cell>
          <cell r="F115">
            <v>640603.85094840475</v>
          </cell>
          <cell r="G115">
            <v>34165.538717248251</v>
          </cell>
          <cell r="H115">
            <v>68331.077434496503</v>
          </cell>
          <cell r="I115">
            <v>102496.61615174476</v>
          </cell>
          <cell r="J115">
            <v>743100.46710014949</v>
          </cell>
          <cell r="K115">
            <v>1035.7704402515724</v>
          </cell>
          <cell r="L115">
            <v>1450.0786163522014</v>
          </cell>
          <cell r="M115">
            <v>2485.8490566037735</v>
          </cell>
          <cell r="N115">
            <v>132.57861635220124</v>
          </cell>
          <cell r="O115">
            <v>265.15723270440247</v>
          </cell>
          <cell r="P115">
            <v>397.73584905660368</v>
          </cell>
          <cell r="Q115">
            <v>2883.5849056603774</v>
          </cell>
          <cell r="R115">
            <v>745984.05200580985</v>
          </cell>
          <cell r="S115">
            <v>58</v>
          </cell>
          <cell r="T115">
            <v>12861.79400010017</v>
          </cell>
          <cell r="V115">
            <v>500000</v>
          </cell>
          <cell r="W115">
            <v>80000</v>
          </cell>
          <cell r="X115">
            <v>580000</v>
          </cell>
          <cell r="Y115">
            <v>1194256.4520058099</v>
          </cell>
          <cell r="Z115">
            <v>614256.45200580987</v>
          </cell>
          <cell r="AA115">
            <v>220638.09339289152</v>
          </cell>
          <cell r="AB115">
            <v>308893.3307500481</v>
          </cell>
          <cell r="AC115">
            <v>529531.42414293962</v>
          </cell>
          <cell r="AD115">
            <v>28241.675954290113</v>
          </cell>
          <cell r="AE115">
            <v>56483.351908580225</v>
          </cell>
          <cell r="AF115">
            <v>84725.027862870338</v>
          </cell>
          <cell r="AG115">
            <v>614256.45200580999</v>
          </cell>
          <cell r="AI115">
            <v>1194256.4520058099</v>
          </cell>
          <cell r="AJ115" t="str">
            <v>A</v>
          </cell>
          <cell r="AL115">
            <v>150205.91718711381</v>
          </cell>
        </row>
        <row r="116">
          <cell r="A116">
            <v>9257024</v>
          </cell>
          <cell r="B116" t="str">
            <v>Spilsby The Eresby</v>
          </cell>
          <cell r="C116">
            <v>3</v>
          </cell>
          <cell r="D116">
            <v>341858.48517962609</v>
          </cell>
          <cell r="E116">
            <v>485439.0489550691</v>
          </cell>
          <cell r="F116">
            <v>827297.53413469519</v>
          </cell>
          <cell r="G116">
            <v>54697.357628740181</v>
          </cell>
          <cell r="H116">
            <v>101580.80702480319</v>
          </cell>
          <cell r="I116">
            <v>156278.16465354338</v>
          </cell>
          <cell r="J116">
            <v>983575.69878823857</v>
          </cell>
          <cell r="K116">
            <v>925.95381526104427</v>
          </cell>
          <cell r="L116">
            <v>1314.8544176706828</v>
          </cell>
          <cell r="M116">
            <v>2240.8082329317272</v>
          </cell>
          <cell r="N116">
            <v>148.15261044176708</v>
          </cell>
          <cell r="O116">
            <v>275.14056224899599</v>
          </cell>
          <cell r="P116">
            <v>423.29317269076307</v>
          </cell>
          <cell r="Q116">
            <v>2664.1014056224903</v>
          </cell>
          <cell r="R116">
            <v>986239.80019386113</v>
          </cell>
          <cell r="S116">
            <v>83.916666666666686</v>
          </cell>
          <cell r="T116">
            <v>11752.609336967558</v>
          </cell>
          <cell r="V116">
            <v>705833.33333333337</v>
          </cell>
          <cell r="W116">
            <v>133333.33333333331</v>
          </cell>
          <cell r="X116">
            <v>839166.66666666674</v>
          </cell>
          <cell r="Y116">
            <v>1487567.2986802158</v>
          </cell>
          <cell r="Z116">
            <v>648400.6320135491</v>
          </cell>
          <cell r="AA116">
            <v>225362.6824277479</v>
          </cell>
          <cell r="AB116">
            <v>320015.00904740195</v>
          </cell>
          <cell r="AC116">
            <v>545377.69147514983</v>
          </cell>
          <cell r="AD116">
            <v>36058.029188439665</v>
          </cell>
          <cell r="AE116">
            <v>66964.911349959366</v>
          </cell>
          <cell r="AF116">
            <v>103022.94053839904</v>
          </cell>
          <cell r="AG116">
            <v>648400.63201354886</v>
          </cell>
          <cell r="AI116">
            <v>1487567.2986802156</v>
          </cell>
          <cell r="AJ116" t="str">
            <v>A</v>
          </cell>
          <cell r="AL116">
            <v>208159.53485130478</v>
          </cell>
        </row>
        <row r="117">
          <cell r="A117">
            <v>9257031</v>
          </cell>
          <cell r="B117" t="str">
            <v>Lincoln Fortuna</v>
          </cell>
          <cell r="C117">
            <v>4</v>
          </cell>
          <cell r="D117">
            <v>401972.05167783931</v>
          </cell>
          <cell r="E117">
            <v>569795.38325333723</v>
          </cell>
          <cell r="F117">
            <v>971767.43493117648</v>
          </cell>
          <cell r="G117">
            <v>0</v>
          </cell>
          <cell r="H117">
            <v>0</v>
          </cell>
          <cell r="I117">
            <v>0</v>
          </cell>
          <cell r="J117">
            <v>971767.43493117648</v>
          </cell>
          <cell r="K117">
            <v>87833.333333333343</v>
          </cell>
          <cell r="L117">
            <v>124503.75000000001</v>
          </cell>
          <cell r="M117">
            <v>212337.08333333337</v>
          </cell>
          <cell r="N117">
            <v>0</v>
          </cell>
          <cell r="O117">
            <v>0</v>
          </cell>
          <cell r="P117">
            <v>0</v>
          </cell>
          <cell r="Q117">
            <v>212337.08333333337</v>
          </cell>
          <cell r="R117">
            <v>1184104.5182645097</v>
          </cell>
          <cell r="S117">
            <v>80.583333333333343</v>
          </cell>
          <cell r="T117">
            <v>14694.161550335177</v>
          </cell>
          <cell r="V117">
            <v>805833.33333333337</v>
          </cell>
          <cell r="W117">
            <v>0</v>
          </cell>
          <cell r="X117">
            <v>805833.33333333337</v>
          </cell>
          <cell r="Y117">
            <v>1668000.205271652</v>
          </cell>
          <cell r="Z117">
            <v>862166.8719383186</v>
          </cell>
          <cell r="AA117">
            <v>356635.72779247916</v>
          </cell>
          <cell r="AB117">
            <v>505531.14414583921</v>
          </cell>
          <cell r="AC117">
            <v>862166.87193831836</v>
          </cell>
          <cell r="AD117">
            <v>0</v>
          </cell>
          <cell r="AE117">
            <v>0</v>
          </cell>
          <cell r="AF117">
            <v>0</v>
          </cell>
          <cell r="AG117">
            <v>862166.87193831836</v>
          </cell>
          <cell r="AI117">
            <v>1668000.2052716517</v>
          </cell>
          <cell r="AJ117" t="str">
            <v>A</v>
          </cell>
          <cell r="AL117">
            <v>0</v>
          </cell>
        </row>
        <row r="118">
          <cell r="A118">
            <v>9257033</v>
          </cell>
          <cell r="B118" t="str">
            <v xml:space="preserve">Gainsborough Warren Wood </v>
          </cell>
          <cell r="C118">
            <v>3</v>
          </cell>
          <cell r="D118">
            <v>385989.25868627999</v>
          </cell>
          <cell r="E118">
            <v>534926.52819957177</v>
          </cell>
          <cell r="F118">
            <v>920915.78688585176</v>
          </cell>
          <cell r="G118">
            <v>0</v>
          </cell>
          <cell r="H118">
            <v>0</v>
          </cell>
          <cell r="I118">
            <v>0</v>
          </cell>
          <cell r="J118">
            <v>920915.78688585176</v>
          </cell>
          <cell r="K118">
            <v>6864.8684210526326</v>
          </cell>
          <cell r="L118">
            <v>9513.7368421052652</v>
          </cell>
          <cell r="M118">
            <v>16378.605263157897</v>
          </cell>
          <cell r="N118">
            <v>0</v>
          </cell>
          <cell r="O118">
            <v>0</v>
          </cell>
          <cell r="P118">
            <v>0</v>
          </cell>
          <cell r="Q118">
            <v>16378.605263157897</v>
          </cell>
          <cell r="R118">
            <v>937294.39214900963</v>
          </cell>
          <cell r="S118">
            <v>98.416666666666671</v>
          </cell>
          <cell r="T118">
            <v>9523.7364147232129</v>
          </cell>
          <cell r="V118">
            <v>984166.66666666674</v>
          </cell>
          <cell r="W118">
            <v>0</v>
          </cell>
          <cell r="X118">
            <v>984166.66666666674</v>
          </cell>
          <cell r="Y118">
            <v>1429288.0421490096</v>
          </cell>
          <cell r="Z118">
            <v>445121.3754823429</v>
          </cell>
          <cell r="AA118">
            <v>186566.53756457215</v>
          </cell>
          <cell r="AB118">
            <v>258554.83791777072</v>
          </cell>
          <cell r="AC118">
            <v>445121.3754823429</v>
          </cell>
          <cell r="AD118">
            <v>0</v>
          </cell>
          <cell r="AE118">
            <v>0</v>
          </cell>
          <cell r="AF118">
            <v>0</v>
          </cell>
          <cell r="AG118">
            <v>445121.3754823429</v>
          </cell>
          <cell r="AI118">
            <v>1429288.0421490096</v>
          </cell>
          <cell r="AJ118" t="str">
            <v>A</v>
          </cell>
          <cell r="AL118">
            <v>0</v>
          </cell>
        </row>
        <row r="119">
          <cell r="A119">
            <v>9257008</v>
          </cell>
          <cell r="B119" t="str">
            <v>Gosberton House</v>
          </cell>
          <cell r="C119">
            <v>4</v>
          </cell>
          <cell r="D119">
            <v>395671.877203841</v>
          </cell>
          <cell r="E119">
            <v>559593.08347400383</v>
          </cell>
          <cell r="F119">
            <v>955264.96067784482</v>
          </cell>
          <cell r="G119">
            <v>0</v>
          </cell>
          <cell r="H119">
            <v>0</v>
          </cell>
          <cell r="I119">
            <v>0</v>
          </cell>
          <cell r="J119">
            <v>955264.96067784482</v>
          </cell>
          <cell r="K119">
            <v>8694.6127946127945</v>
          </cell>
          <cell r="L119">
            <v>12296.666666666668</v>
          </cell>
          <cell r="M119">
            <v>20991.279461279461</v>
          </cell>
          <cell r="N119">
            <v>0</v>
          </cell>
          <cell r="O119">
            <v>0</v>
          </cell>
          <cell r="P119">
            <v>0</v>
          </cell>
          <cell r="Q119">
            <v>20991.279461279461</v>
          </cell>
          <cell r="R119">
            <v>976256.24013912433</v>
          </cell>
          <cell r="S119">
            <v>98.583333333333343</v>
          </cell>
          <cell r="T119">
            <v>9902.8528162886651</v>
          </cell>
          <cell r="V119">
            <v>985833.33333333349</v>
          </cell>
          <cell r="W119">
            <v>0</v>
          </cell>
          <cell r="X119">
            <v>985833.33333333349</v>
          </cell>
          <cell r="Y119">
            <v>1460619.4401391244</v>
          </cell>
          <cell r="Z119">
            <v>474786.10680579091</v>
          </cell>
          <cell r="AA119">
            <v>196656.96731600809</v>
          </cell>
          <cell r="AB119">
            <v>278129.13948978286</v>
          </cell>
          <cell r="AC119">
            <v>474786.10680579091</v>
          </cell>
          <cell r="AD119">
            <v>0</v>
          </cell>
          <cell r="AE119">
            <v>0</v>
          </cell>
          <cell r="AF119">
            <v>0</v>
          </cell>
          <cell r="AG119">
            <v>474786.10680579091</v>
          </cell>
          <cell r="AI119">
            <v>1460619.4401391244</v>
          </cell>
          <cell r="AJ119" t="str">
            <v>A</v>
          </cell>
          <cell r="AL119">
            <v>22779.908282332057</v>
          </cell>
        </row>
        <row r="120">
          <cell r="A120">
            <v>9257034</v>
          </cell>
          <cell r="B120" t="str">
            <v>Gainsborough Aegir</v>
          </cell>
          <cell r="C120">
            <v>5</v>
          </cell>
          <cell r="D120">
            <v>345886.69406695175</v>
          </cell>
          <cell r="E120">
            <v>453332.34796860069</v>
          </cell>
          <cell r="F120">
            <v>799219.04203555244</v>
          </cell>
          <cell r="G120">
            <v>100086.3625385222</v>
          </cell>
          <cell r="H120">
            <v>188397.85889604181</v>
          </cell>
          <cell r="I120">
            <v>288484.22143456398</v>
          </cell>
          <cell r="J120">
            <v>1087703.2634701165</v>
          </cell>
          <cell r="K120">
            <v>14594.528619528619</v>
          </cell>
          <cell r="L120">
            <v>19128.14814814815</v>
          </cell>
          <cell r="M120">
            <v>33722.67676767677</v>
          </cell>
          <cell r="N120">
            <v>4223.0976430976425</v>
          </cell>
          <cell r="O120">
            <v>7949.3602693602679</v>
          </cell>
          <cell r="P120">
            <v>12172.45791245791</v>
          </cell>
          <cell r="Q120">
            <v>45895.134680134681</v>
          </cell>
          <cell r="R120">
            <v>1133598.3981502512</v>
          </cell>
          <cell r="S120">
            <v>123.16666666666666</v>
          </cell>
          <cell r="T120">
            <v>9203.7758983782242</v>
          </cell>
          <cell r="V120">
            <v>905000</v>
          </cell>
          <cell r="W120">
            <v>326666.66666666663</v>
          </cell>
          <cell r="X120">
            <v>1231666.6666666665</v>
          </cell>
          <cell r="Y120">
            <v>1719229.6326618223</v>
          </cell>
          <cell r="Z120">
            <v>487562.96599515574</v>
          </cell>
          <cell r="AA120">
            <v>155043.70366557725</v>
          </cell>
          <cell r="AB120">
            <v>203206.21586807573</v>
          </cell>
          <cell r="AC120">
            <v>358249.91953365295</v>
          </cell>
          <cell r="AD120">
            <v>44863.709996847887</v>
          </cell>
          <cell r="AE120">
            <v>84449.336464654843</v>
          </cell>
          <cell r="AF120">
            <v>129313.04646150273</v>
          </cell>
          <cell r="AG120">
            <v>487562.96599515568</v>
          </cell>
          <cell r="AI120">
            <v>1719229.6326618223</v>
          </cell>
          <cell r="AJ120" t="str">
            <v>A</v>
          </cell>
          <cell r="AL120">
            <v>28460.443314697197</v>
          </cell>
        </row>
        <row r="121">
          <cell r="A121">
            <v>9257002</v>
          </cell>
          <cell r="B121" t="str">
            <v>Grantham Ambergate</v>
          </cell>
          <cell r="C121">
            <v>5</v>
          </cell>
          <cell r="D121">
            <v>549796.39572404581</v>
          </cell>
          <cell r="E121">
            <v>774846.38704042183</v>
          </cell>
          <cell r="F121">
            <v>1324642.7827644676</v>
          </cell>
          <cell r="G121">
            <v>0</v>
          </cell>
          <cell r="H121">
            <v>0</v>
          </cell>
          <cell r="I121">
            <v>0</v>
          </cell>
          <cell r="J121">
            <v>1324642.7827644676</v>
          </cell>
          <cell r="K121">
            <v>21023.936170212764</v>
          </cell>
          <cell r="L121">
            <v>29629.734042553191</v>
          </cell>
          <cell r="M121">
            <v>50653.670212765952</v>
          </cell>
          <cell r="N121">
            <v>0</v>
          </cell>
          <cell r="O121">
            <v>0</v>
          </cell>
          <cell r="P121">
            <v>0</v>
          </cell>
          <cell r="Q121">
            <v>50653.670212765952</v>
          </cell>
          <cell r="R121">
            <v>1375296.4529772336</v>
          </cell>
          <cell r="S121">
            <v>150.58333333333334</v>
          </cell>
          <cell r="T121">
            <v>9133.1253103081362</v>
          </cell>
          <cell r="V121">
            <v>1505833.3333333335</v>
          </cell>
          <cell r="W121">
            <v>0</v>
          </cell>
          <cell r="X121">
            <v>1505833.3333333335</v>
          </cell>
          <cell r="Y121">
            <v>1934148.1529772335</v>
          </cell>
          <cell r="Z121">
            <v>428314.81964390003</v>
          </cell>
          <cell r="AA121">
            <v>177773.16808684281</v>
          </cell>
          <cell r="AB121">
            <v>250541.65155705716</v>
          </cell>
          <cell r="AC121">
            <v>428314.81964389997</v>
          </cell>
          <cell r="AD121">
            <v>0</v>
          </cell>
          <cell r="AE121">
            <v>0</v>
          </cell>
          <cell r="AF121">
            <v>0</v>
          </cell>
          <cell r="AG121">
            <v>428314.81964389997</v>
          </cell>
          <cell r="AI121">
            <v>1934148.1529772335</v>
          </cell>
          <cell r="AJ121" t="str">
            <v>A</v>
          </cell>
          <cell r="AL121">
            <v>24431.012226106413</v>
          </cell>
        </row>
        <row r="122">
          <cell r="A122">
            <v>9257009</v>
          </cell>
          <cell r="B122" t="str">
            <v>Spalding The Priory</v>
          </cell>
          <cell r="C122">
            <v>4</v>
          </cell>
          <cell r="D122">
            <v>481712.06530762307</v>
          </cell>
          <cell r="E122">
            <v>674396.89143067226</v>
          </cell>
          <cell r="F122">
            <v>1156108.9567382953</v>
          </cell>
          <cell r="G122">
            <v>0</v>
          </cell>
          <cell r="H122">
            <v>0</v>
          </cell>
          <cell r="I122">
            <v>0</v>
          </cell>
          <cell r="J122">
            <v>1156108.9567382953</v>
          </cell>
          <cell r="K122">
            <v>11945.333333333336</v>
          </cell>
          <cell r="L122">
            <v>16723.466666666671</v>
          </cell>
          <cell r="M122">
            <v>28668.800000000007</v>
          </cell>
          <cell r="N122">
            <v>0</v>
          </cell>
          <cell r="O122">
            <v>0</v>
          </cell>
          <cell r="P122">
            <v>0</v>
          </cell>
          <cell r="Q122">
            <v>28668.800000000007</v>
          </cell>
          <cell r="R122">
            <v>1184777.7567382953</v>
          </cell>
          <cell r="S122">
            <v>136</v>
          </cell>
          <cell r="T122">
            <v>8711.6011524874648</v>
          </cell>
          <cell r="V122">
            <v>1360000</v>
          </cell>
          <cell r="W122">
            <v>0</v>
          </cell>
          <cell r="X122">
            <v>1360000</v>
          </cell>
          <cell r="Y122">
            <v>1772372.8013331604</v>
          </cell>
          <cell r="Z122">
            <v>412372.80133316037</v>
          </cell>
          <cell r="AA122">
            <v>171822.00055548345</v>
          </cell>
          <cell r="AB122">
            <v>240550.80077767681</v>
          </cell>
          <cell r="AC122">
            <v>412372.80133316026</v>
          </cell>
          <cell r="AD122">
            <v>0</v>
          </cell>
          <cell r="AE122">
            <v>0</v>
          </cell>
          <cell r="AF122">
            <v>0</v>
          </cell>
          <cell r="AG122">
            <v>412372.80133316026</v>
          </cell>
          <cell r="AI122">
            <v>1772372.8013331601</v>
          </cell>
          <cell r="AJ122" t="str">
            <v>A</v>
          </cell>
          <cell r="AL122">
            <v>0</v>
          </cell>
        </row>
        <row r="123">
          <cell r="A123">
            <v>9257029</v>
          </cell>
          <cell r="B123" t="str">
            <v>Greenfields Academy</v>
          </cell>
          <cell r="C123">
            <v>3</v>
          </cell>
          <cell r="D123">
            <v>351725.54521810939</v>
          </cell>
          <cell r="E123">
            <v>548691.85054025066</v>
          </cell>
          <cell r="F123">
            <v>900417.39575836004</v>
          </cell>
          <cell r="G123">
            <v>0</v>
          </cell>
          <cell r="H123">
            <v>0</v>
          </cell>
          <cell r="I123">
            <v>0</v>
          </cell>
          <cell r="J123">
            <v>900417.39575836004</v>
          </cell>
          <cell r="K123">
            <v>76854.166666666672</v>
          </cell>
          <cell r="L123">
            <v>119892.50000000001</v>
          </cell>
          <cell r="M123">
            <v>196746.66666666669</v>
          </cell>
          <cell r="N123">
            <v>0</v>
          </cell>
          <cell r="O123">
            <v>0</v>
          </cell>
          <cell r="P123">
            <v>0</v>
          </cell>
          <cell r="Q123">
            <v>196746.66666666669</v>
          </cell>
          <cell r="R123">
            <v>1097164.0624250267</v>
          </cell>
          <cell r="S123">
            <v>74.666666666666671</v>
          </cell>
          <cell r="T123">
            <v>14694.161550335177</v>
          </cell>
          <cell r="V123">
            <v>746666.66666666674</v>
          </cell>
          <cell r="W123">
            <v>0</v>
          </cell>
          <cell r="X123">
            <v>746666.66666666674</v>
          </cell>
          <cell r="Y123">
            <v>1547456.3787706883</v>
          </cell>
          <cell r="Z123">
            <v>800789.71210402157</v>
          </cell>
          <cell r="AA123">
            <v>312808.48129063338</v>
          </cell>
          <cell r="AB123">
            <v>487981.23081338807</v>
          </cell>
          <cell r="AC123">
            <v>800789.71210402146</v>
          </cell>
          <cell r="AD123">
            <v>0</v>
          </cell>
          <cell r="AE123">
            <v>0</v>
          </cell>
          <cell r="AF123">
            <v>0</v>
          </cell>
          <cell r="AG123">
            <v>800789.71210402146</v>
          </cell>
          <cell r="AI123">
            <v>1547456.3787706881</v>
          </cell>
          <cell r="AJ123" t="str">
            <v>A</v>
          </cell>
          <cell r="AL123">
            <v>0</v>
          </cell>
        </row>
        <row r="124">
          <cell r="A124">
            <v>9257032</v>
          </cell>
          <cell r="B124" t="str">
            <v>Lincoln Athena School</v>
          </cell>
          <cell r="C124">
            <v>4</v>
          </cell>
          <cell r="D124">
            <v>412021.35296978528</v>
          </cell>
          <cell r="E124">
            <v>731589.13405366754</v>
          </cell>
          <cell r="F124">
            <v>1143610.4870234528</v>
          </cell>
          <cell r="G124">
            <v>0</v>
          </cell>
          <cell r="H124">
            <v>0</v>
          </cell>
          <cell r="I124">
            <v>0</v>
          </cell>
          <cell r="J124">
            <v>1143610.4870234528</v>
          </cell>
          <cell r="K124">
            <v>90029.166666666672</v>
          </cell>
          <cell r="L124">
            <v>159856.66666666669</v>
          </cell>
          <cell r="M124">
            <v>249885.83333333337</v>
          </cell>
          <cell r="N124">
            <v>0</v>
          </cell>
          <cell r="O124">
            <v>0</v>
          </cell>
          <cell r="P124">
            <v>0</v>
          </cell>
          <cell r="Q124">
            <v>249885.83333333337</v>
          </cell>
          <cell r="R124">
            <v>1393496.3203567863</v>
          </cell>
          <cell r="S124">
            <v>94.833333333333343</v>
          </cell>
          <cell r="T124">
            <v>14694.161550335179</v>
          </cell>
          <cell r="V124">
            <v>948333.33333333349</v>
          </cell>
          <cell r="W124">
            <v>0</v>
          </cell>
          <cell r="X124">
            <v>948333.33333333349</v>
          </cell>
          <cell r="Y124">
            <v>1874658.5788347009</v>
          </cell>
          <cell r="Z124">
            <v>926325.24550136738</v>
          </cell>
          <cell r="AA124">
            <v>333737.56648116041</v>
          </cell>
          <cell r="AB124">
            <v>592587.67902020668</v>
          </cell>
          <cell r="AC124">
            <v>926325.24550136714</v>
          </cell>
          <cell r="AD124">
            <v>0</v>
          </cell>
          <cell r="AE124">
            <v>0</v>
          </cell>
          <cell r="AF124">
            <v>0</v>
          </cell>
          <cell r="AG124">
            <v>926325.24550136714</v>
          </cell>
          <cell r="AI124">
            <v>1874658.5788347006</v>
          </cell>
          <cell r="AJ124" t="str">
            <v>A</v>
          </cell>
          <cell r="AL124">
            <v>0</v>
          </cell>
        </row>
        <row r="125">
          <cell r="A125">
            <v>9257030</v>
          </cell>
          <cell r="B125" t="str">
            <v>Spilsby The Woodlands</v>
          </cell>
          <cell r="C125">
            <v>4</v>
          </cell>
          <cell r="D125">
            <v>376848.79844797438</v>
          </cell>
          <cell r="E125">
            <v>506484.78511407756</v>
          </cell>
          <cell r="F125">
            <v>883333.58356205188</v>
          </cell>
          <cell r="G125">
            <v>0</v>
          </cell>
          <cell r="H125">
            <v>0</v>
          </cell>
          <cell r="I125">
            <v>0</v>
          </cell>
          <cell r="J125">
            <v>883333.58356205188</v>
          </cell>
          <cell r="K125">
            <v>82343.75</v>
          </cell>
          <cell r="L125">
            <v>110670</v>
          </cell>
          <cell r="M125">
            <v>193013.75</v>
          </cell>
          <cell r="N125">
            <v>0</v>
          </cell>
          <cell r="O125">
            <v>0</v>
          </cell>
          <cell r="P125">
            <v>0</v>
          </cell>
          <cell r="Q125">
            <v>193013.75</v>
          </cell>
          <cell r="R125">
            <v>1076347.3335620519</v>
          </cell>
          <cell r="S125">
            <v>73.25</v>
          </cell>
          <cell r="T125">
            <v>14694.161550335179</v>
          </cell>
          <cell r="V125">
            <v>732500</v>
          </cell>
          <cell r="W125">
            <v>0</v>
          </cell>
          <cell r="X125">
            <v>732500</v>
          </cell>
          <cell r="Y125">
            <v>1553577.088864696</v>
          </cell>
          <cell r="Z125">
            <v>821077.08886469598</v>
          </cell>
          <cell r="AA125">
            <v>350288.86043715704</v>
          </cell>
          <cell r="AB125">
            <v>470788.22842753911</v>
          </cell>
          <cell r="AC125">
            <v>821077.08886469621</v>
          </cell>
          <cell r="AD125">
            <v>0</v>
          </cell>
          <cell r="AE125">
            <v>0</v>
          </cell>
          <cell r="AF125">
            <v>0</v>
          </cell>
          <cell r="AG125">
            <v>821077.08886469621</v>
          </cell>
          <cell r="AI125">
            <v>1553577.0888646962</v>
          </cell>
          <cell r="AJ125" t="str">
            <v>A</v>
          </cell>
          <cell r="AL125">
            <v>0</v>
          </cell>
        </row>
        <row r="126">
          <cell r="A126">
            <v>9257028</v>
          </cell>
          <cell r="B126" t="str">
            <v>Bourne Willoughby</v>
          </cell>
          <cell r="C126">
            <v>5</v>
          </cell>
          <cell r="D126">
            <v>451383.42724272283</v>
          </cell>
          <cell r="E126">
            <v>812490.16903690109</v>
          </cell>
          <cell r="F126">
            <v>1263873.5962796239</v>
          </cell>
          <cell r="G126">
            <v>31745.647630257423</v>
          </cell>
          <cell r="H126">
            <v>39682.059537821784</v>
          </cell>
          <cell r="I126">
            <v>71427.707168079214</v>
          </cell>
          <cell r="J126">
            <v>1335301.3034477031</v>
          </cell>
          <cell r="K126">
            <v>7913.6963696369639</v>
          </cell>
          <cell r="L126">
            <v>14244.653465346533</v>
          </cell>
          <cell r="M126">
            <v>22158.349834983499</v>
          </cell>
          <cell r="N126">
            <v>556.56765676567647</v>
          </cell>
          <cell r="O126">
            <v>695.70957095709559</v>
          </cell>
          <cell r="P126">
            <v>1252.2772277227721</v>
          </cell>
          <cell r="Q126">
            <v>23410.627062706269</v>
          </cell>
          <cell r="R126">
            <v>1358711.9305104094</v>
          </cell>
          <cell r="S126">
            <v>112.16666666666667</v>
          </cell>
          <cell r="T126">
            <v>12113.330732633664</v>
          </cell>
          <cell r="V126">
            <v>1061666.6666666667</v>
          </cell>
          <cell r="W126">
            <v>59999.999999999993</v>
          </cell>
          <cell r="X126">
            <v>1121666.6666666667</v>
          </cell>
          <cell r="Y126">
            <v>1913075.1305104094</v>
          </cell>
          <cell r="Z126">
            <v>791408.46384374262</v>
          </cell>
          <cell r="AA126">
            <v>267526.6352517851</v>
          </cell>
          <cell r="AB126">
            <v>481547.9434532132</v>
          </cell>
          <cell r="AC126">
            <v>749074.57870499836</v>
          </cell>
          <cell r="AD126">
            <v>18815.060061664011</v>
          </cell>
          <cell r="AE126">
            <v>23518.825077080015</v>
          </cell>
          <cell r="AF126">
            <v>42333.885138744023</v>
          </cell>
          <cell r="AG126">
            <v>791408.46384374239</v>
          </cell>
          <cell r="AI126">
            <v>1913075.1305104091</v>
          </cell>
          <cell r="AJ126" t="str">
            <v>A</v>
          </cell>
          <cell r="AL126">
            <v>279459.44511597994</v>
          </cell>
        </row>
        <row r="127">
          <cell r="A127">
            <v>9257021</v>
          </cell>
          <cell r="B127" t="str">
            <v>Horncastle St Lawrence</v>
          </cell>
          <cell r="C127">
            <v>5</v>
          </cell>
          <cell r="D127">
            <v>651294.16361984739</v>
          </cell>
          <cell r="E127">
            <v>928290.35609913187</v>
          </cell>
          <cell r="F127">
            <v>1579584.5197189793</v>
          </cell>
          <cell r="G127">
            <v>0</v>
          </cell>
          <cell r="H127">
            <v>0</v>
          </cell>
          <cell r="I127">
            <v>0</v>
          </cell>
          <cell r="J127">
            <v>1579584.5197189793</v>
          </cell>
          <cell r="K127">
            <v>14446.976626016261</v>
          </cell>
          <cell r="L127">
            <v>20591.293191056913</v>
          </cell>
          <cell r="M127">
            <v>35038.269817073175</v>
          </cell>
          <cell r="N127">
            <v>0</v>
          </cell>
          <cell r="O127">
            <v>0</v>
          </cell>
          <cell r="P127">
            <v>0</v>
          </cell>
          <cell r="Q127">
            <v>35038.269817073175</v>
          </cell>
          <cell r="R127">
            <v>1614622.7895360524</v>
          </cell>
          <cell r="S127">
            <v>167.75</v>
          </cell>
          <cell r="T127">
            <v>9625.1731119883898</v>
          </cell>
          <cell r="V127">
            <v>1677500</v>
          </cell>
          <cell r="W127">
            <v>0</v>
          </cell>
          <cell r="X127">
            <v>1677500</v>
          </cell>
          <cell r="Y127">
            <v>2238144.7625439442</v>
          </cell>
          <cell r="Z127">
            <v>560644.76254394418</v>
          </cell>
          <cell r="AA127">
            <v>231165.00393019064</v>
          </cell>
          <cell r="AB127">
            <v>329479.7586137536</v>
          </cell>
          <cell r="AC127">
            <v>560644.76254394418</v>
          </cell>
          <cell r="AD127">
            <v>0</v>
          </cell>
          <cell r="AE127">
            <v>0</v>
          </cell>
          <cell r="AF127">
            <v>0</v>
          </cell>
          <cell r="AG127">
            <v>560644.76254394418</v>
          </cell>
          <cell r="AI127">
            <v>2238144.7625439442</v>
          </cell>
          <cell r="AJ127" t="str">
            <v>A</v>
          </cell>
          <cell r="AL127">
            <v>46798.544232945467</v>
          </cell>
        </row>
        <row r="128">
          <cell r="A128">
            <v>9257015</v>
          </cell>
          <cell r="B128" t="str">
            <v>Lincoln St Christopher's</v>
          </cell>
          <cell r="C128">
            <v>6</v>
          </cell>
          <cell r="D128">
            <v>879308.52772979927</v>
          </cell>
          <cell r="E128">
            <v>1225536.2605234075</v>
          </cell>
          <cell r="F128">
            <v>2104844.7882532068</v>
          </cell>
          <cell r="G128">
            <v>25123.100792279969</v>
          </cell>
          <cell r="H128">
            <v>18842.325594209979</v>
          </cell>
          <cell r="I128">
            <v>43965.426386489948</v>
          </cell>
          <cell r="J128">
            <v>2148810.2146396968</v>
          </cell>
          <cell r="K128">
            <v>4352.8023598820064</v>
          </cell>
          <cell r="L128">
            <v>6066.7182890855456</v>
          </cell>
          <cell r="M128">
            <v>10419.520648967551</v>
          </cell>
          <cell r="N128">
            <v>124.36578171091446</v>
          </cell>
          <cell r="O128">
            <v>93.274336283185846</v>
          </cell>
          <cell r="P128">
            <v>217.64011799410031</v>
          </cell>
          <cell r="Q128">
            <v>10637.160766961651</v>
          </cell>
          <cell r="R128">
            <v>2159447.3754066583</v>
          </cell>
          <cell r="S128">
            <v>228.08333333333334</v>
          </cell>
          <cell r="T128">
            <v>9467.7999652465824</v>
          </cell>
          <cell r="V128">
            <v>2234166.666666667</v>
          </cell>
          <cell r="W128">
            <v>46666.666666666664</v>
          </cell>
          <cell r="X128">
            <v>2280833.3333333335</v>
          </cell>
          <cell r="Y128">
            <v>2850992.1754066581</v>
          </cell>
          <cell r="Z128">
            <v>570158.8420733246</v>
          </cell>
          <cell r="AA128">
            <v>233313.0811553247</v>
          </cell>
          <cell r="AB128">
            <v>325180.10686023376</v>
          </cell>
          <cell r="AC128">
            <v>558493.18801555852</v>
          </cell>
          <cell r="AD128">
            <v>6666.0880330092768</v>
          </cell>
          <cell r="AE128">
            <v>4999.5660247569576</v>
          </cell>
          <cell r="AF128">
            <v>11665.654057766234</v>
          </cell>
          <cell r="AG128">
            <v>570158.84207332472</v>
          </cell>
          <cell r="AI128">
            <v>2850992.1754066581</v>
          </cell>
          <cell r="AJ128" t="str">
            <v>A</v>
          </cell>
          <cell r="AL128">
            <v>69261.203568685509</v>
          </cell>
        </row>
        <row r="129">
          <cell r="A129">
            <v>9257016</v>
          </cell>
          <cell r="B129" t="str">
            <v xml:space="preserve">Lincoln St Francis </v>
          </cell>
          <cell r="C129">
            <v>6</v>
          </cell>
          <cell r="D129">
            <v>638067.17189250793</v>
          </cell>
          <cell r="E129">
            <v>852689.76607453323</v>
          </cell>
          <cell r="F129">
            <v>1490756.937967041</v>
          </cell>
          <cell r="G129">
            <v>218102.9605741663</v>
          </cell>
          <cell r="H129">
            <v>547577.64569684304</v>
          </cell>
          <cell r="I129">
            <v>765680.60627100931</v>
          </cell>
          <cell r="J129">
            <v>2256437.5442380505</v>
          </cell>
          <cell r="K129">
            <v>750.12939958592131</v>
          </cell>
          <cell r="L129">
            <v>1002.4456521739131</v>
          </cell>
          <cell r="M129">
            <v>1752.5750517598344</v>
          </cell>
          <cell r="N129">
            <v>256.40786749482402</v>
          </cell>
          <cell r="O129">
            <v>643.74741200828146</v>
          </cell>
          <cell r="P129">
            <v>900.15527950310548</v>
          </cell>
          <cell r="Q129">
            <v>2652.7303312629401</v>
          </cell>
          <cell r="R129">
            <v>2259090.2745693135</v>
          </cell>
          <cell r="S129">
            <v>162.08333333333334</v>
          </cell>
          <cell r="T129">
            <v>13937.832028191136</v>
          </cell>
          <cell r="V129">
            <v>1070833.3333333335</v>
          </cell>
          <cell r="W129">
            <v>550000</v>
          </cell>
          <cell r="X129">
            <v>1620833.3333333335</v>
          </cell>
          <cell r="Y129">
            <v>2950635.0745693133</v>
          </cell>
          <cell r="Z129">
            <v>1329801.7412359798</v>
          </cell>
          <cell r="AA129">
            <v>376036.48209757777</v>
          </cell>
          <cell r="AB129">
            <v>502521.4806213085</v>
          </cell>
          <cell r="AC129">
            <v>878557.96271888632</v>
          </cell>
          <cell r="AD129">
            <v>128536.10660789932</v>
          </cell>
          <cell r="AE129">
            <v>322707.67190919403</v>
          </cell>
          <cell r="AF129">
            <v>451243.77851709333</v>
          </cell>
          <cell r="AG129">
            <v>1329801.7412359796</v>
          </cell>
          <cell r="AI129">
            <v>2950635.0745693133</v>
          </cell>
          <cell r="AJ129" t="str">
            <v>A</v>
          </cell>
          <cell r="AL129">
            <v>783023.98962712591</v>
          </cell>
        </row>
      </sheetData>
      <sheetData sheetId="57" refreshError="1">
        <row r="4">
          <cell r="M4">
            <v>62.833333333333329</v>
          </cell>
        </row>
        <row r="5">
          <cell r="M5">
            <v>77.583333333333329</v>
          </cell>
        </row>
        <row r="6">
          <cell r="M6">
            <v>75.333333333333343</v>
          </cell>
        </row>
        <row r="7">
          <cell r="M7">
            <v>57.833333333333336</v>
          </cell>
        </row>
        <row r="8">
          <cell r="M8">
            <v>83.083333333333329</v>
          </cell>
        </row>
        <row r="9">
          <cell r="M9">
            <v>96.75</v>
          </cell>
        </row>
        <row r="10">
          <cell r="M10">
            <v>147.91666666666669</v>
          </cell>
        </row>
        <row r="11">
          <cell r="M11">
            <v>135.58333333333334</v>
          </cell>
        </row>
        <row r="12">
          <cell r="M12">
            <v>93.25</v>
          </cell>
        </row>
        <row r="13">
          <cell r="M13">
            <v>164.33333333333334</v>
          </cell>
        </row>
        <row r="14">
          <cell r="M14">
            <v>233.41666666666671</v>
          </cell>
        </row>
        <row r="15">
          <cell r="M15">
            <v>149</v>
          </cell>
        </row>
        <row r="17">
          <cell r="M17">
            <v>77.916666666666671</v>
          </cell>
        </row>
        <row r="18">
          <cell r="M18">
            <v>69.166666666666671</v>
          </cell>
        </row>
        <row r="19">
          <cell r="M19">
            <v>77.416666666666671</v>
          </cell>
        </row>
        <row r="20">
          <cell r="M20">
            <v>74.583333333333343</v>
          </cell>
        </row>
        <row r="23">
          <cell r="M23">
            <v>124.41666666666666</v>
          </cell>
        </row>
        <row r="25">
          <cell r="M25">
            <v>1896.0833333333337</v>
          </cell>
          <cell r="X25">
            <v>29334218.614862774</v>
          </cell>
        </row>
      </sheetData>
      <sheetData sheetId="58" refreshError="1">
        <row r="9">
          <cell r="L9">
            <v>9139.18596024607</v>
          </cell>
        </row>
        <row r="17">
          <cell r="L17">
            <v>1106.2590793901277</v>
          </cell>
        </row>
        <row r="25">
          <cell r="L25">
            <v>20124.481605575605</v>
          </cell>
        </row>
        <row r="33">
          <cell r="L33">
            <v>0</v>
          </cell>
        </row>
        <row r="41">
          <cell r="L41">
            <v>21452.798486354863</v>
          </cell>
        </row>
        <row r="49">
          <cell r="L49">
            <v>17799.737007142194</v>
          </cell>
        </row>
        <row r="57">
          <cell r="L57">
            <v>0</v>
          </cell>
        </row>
        <row r="65">
          <cell r="L65">
            <v>0</v>
          </cell>
        </row>
        <row r="73">
          <cell r="L73">
            <v>59535.284511571168</v>
          </cell>
        </row>
        <row r="81">
          <cell r="L81">
            <v>0</v>
          </cell>
        </row>
        <row r="89">
          <cell r="L89">
            <v>60152.544594865052</v>
          </cell>
        </row>
        <row r="97">
          <cell r="L97">
            <v>4968.7663456613536</v>
          </cell>
        </row>
        <row r="105">
          <cell r="L105">
            <v>26861.708477914828</v>
          </cell>
        </row>
        <row r="113">
          <cell r="L113">
            <v>33252.755302644044</v>
          </cell>
        </row>
        <row r="121">
          <cell r="L121">
            <v>0</v>
          </cell>
        </row>
        <row r="129">
          <cell r="L129">
            <v>12937.523007891316</v>
          </cell>
        </row>
        <row r="137">
          <cell r="L137">
            <v>0</v>
          </cell>
        </row>
        <row r="145">
          <cell r="L145">
            <v>0</v>
          </cell>
        </row>
      </sheetData>
      <sheetData sheetId="59" refreshError="1"/>
      <sheetData sheetId="60" refreshError="1">
        <row r="46">
          <cell r="B46">
            <v>600000</v>
          </cell>
          <cell r="C46" t="str">
            <v>School Size 3</v>
          </cell>
          <cell r="D46">
            <v>305000</v>
          </cell>
          <cell r="E46">
            <v>100000</v>
          </cell>
        </row>
        <row r="47">
          <cell r="B47">
            <v>700000</v>
          </cell>
          <cell r="C47" t="str">
            <v>School Size 3 Transition Point</v>
          </cell>
          <cell r="D47">
            <v>332500</v>
          </cell>
          <cell r="E47">
            <v>105000</v>
          </cell>
        </row>
        <row r="48">
          <cell r="B48">
            <v>950000</v>
          </cell>
          <cell r="C48" t="str">
            <v>School Size 4</v>
          </cell>
          <cell r="D48">
            <v>360000</v>
          </cell>
          <cell r="E48">
            <v>110000</v>
          </cell>
        </row>
        <row r="49">
          <cell r="B49">
            <v>1100000</v>
          </cell>
          <cell r="C49" t="str">
            <v>School Size 4 Transition Point</v>
          </cell>
          <cell r="D49">
            <v>390000</v>
          </cell>
          <cell r="E49">
            <v>115000</v>
          </cell>
        </row>
        <row r="50">
          <cell r="B50">
            <v>1400000</v>
          </cell>
          <cell r="C50" t="str">
            <v>School Size 5</v>
          </cell>
          <cell r="D50">
            <v>420000</v>
          </cell>
          <cell r="E50">
            <v>120000</v>
          </cell>
        </row>
        <row r="51">
          <cell r="B51">
            <v>1600000</v>
          </cell>
          <cell r="C51" t="str">
            <v>School Size 5 Transition Point</v>
          </cell>
          <cell r="D51">
            <v>455000</v>
          </cell>
          <cell r="E51">
            <v>130000</v>
          </cell>
        </row>
        <row r="52">
          <cell r="B52">
            <v>1950000</v>
          </cell>
          <cell r="C52" t="str">
            <v>School Size 6</v>
          </cell>
          <cell r="D52">
            <v>490000</v>
          </cell>
          <cell r="E52">
            <v>140000</v>
          </cell>
        </row>
        <row r="53">
          <cell r="B53">
            <v>2200000</v>
          </cell>
          <cell r="C53" t="str">
            <v>School Size 6 Transition Point</v>
          </cell>
          <cell r="D53">
            <v>525000</v>
          </cell>
          <cell r="E53">
            <v>145000</v>
          </cell>
        </row>
        <row r="54">
          <cell r="B54">
            <v>2600000</v>
          </cell>
          <cell r="C54" t="str">
            <v>School Size 7</v>
          </cell>
          <cell r="D54">
            <v>560000</v>
          </cell>
          <cell r="E54">
            <v>150000</v>
          </cell>
        </row>
        <row r="55">
          <cell r="B55">
            <v>2900000</v>
          </cell>
          <cell r="C55" t="str">
            <v>School Size 7 Transition Point</v>
          </cell>
          <cell r="D55">
            <v>595000</v>
          </cell>
          <cell r="E55">
            <v>155000</v>
          </cell>
        </row>
        <row r="56">
          <cell r="B56">
            <v>3350000</v>
          </cell>
          <cell r="C56" t="str">
            <v>School Size 8</v>
          </cell>
          <cell r="D56">
            <v>630000</v>
          </cell>
          <cell r="E56">
            <v>160000</v>
          </cell>
        </row>
        <row r="61">
          <cell r="B61">
            <v>600000</v>
          </cell>
          <cell r="D61">
            <v>270000</v>
          </cell>
          <cell r="E61">
            <v>85000</v>
          </cell>
        </row>
        <row r="62">
          <cell r="B62">
            <v>700000</v>
          </cell>
          <cell r="D62">
            <v>305000</v>
          </cell>
          <cell r="E62">
            <v>85000</v>
          </cell>
        </row>
        <row r="63">
          <cell r="B63">
            <v>950000</v>
          </cell>
          <cell r="D63">
            <v>340000</v>
          </cell>
          <cell r="E63">
            <v>85000</v>
          </cell>
        </row>
        <row r="64">
          <cell r="B64">
            <v>1100000</v>
          </cell>
          <cell r="D64">
            <v>350000</v>
          </cell>
          <cell r="E64">
            <v>85000</v>
          </cell>
        </row>
        <row r="65">
          <cell r="B65">
            <v>1400000</v>
          </cell>
          <cell r="D65">
            <v>360000</v>
          </cell>
          <cell r="E65">
            <v>85000</v>
          </cell>
        </row>
      </sheetData>
      <sheetData sheetId="61" refreshError="1">
        <row r="4">
          <cell r="A4">
            <v>9257002</v>
          </cell>
          <cell r="B4" t="str">
            <v>The Grantham Ambergate School</v>
          </cell>
          <cell r="C4">
            <v>42</v>
          </cell>
          <cell r="D4">
            <v>18851.7</v>
          </cell>
        </row>
        <row r="5">
          <cell r="A5">
            <v>9257005</v>
          </cell>
          <cell r="B5" t="str">
            <v>The Grantham Sandon School</v>
          </cell>
          <cell r="C5">
            <v>23</v>
          </cell>
          <cell r="D5">
            <v>10323.550000000001</v>
          </cell>
        </row>
        <row r="6">
          <cell r="A6">
            <v>9257008</v>
          </cell>
          <cell r="B6" t="str">
            <v>Gosberton House School</v>
          </cell>
          <cell r="C6">
            <v>32</v>
          </cell>
          <cell r="D6">
            <v>14363.2</v>
          </cell>
        </row>
        <row r="7">
          <cell r="A7">
            <v>9257009</v>
          </cell>
          <cell r="B7" t="str">
            <v>The Priory School</v>
          </cell>
          <cell r="C7">
            <v>50</v>
          </cell>
          <cell r="D7">
            <v>22442.5</v>
          </cell>
        </row>
        <row r="8">
          <cell r="A8">
            <v>9257010</v>
          </cell>
          <cell r="B8" t="str">
            <v>The John Fielding Community Special School</v>
          </cell>
          <cell r="C8">
            <v>17</v>
          </cell>
          <cell r="D8">
            <v>7630.4500000000007</v>
          </cell>
        </row>
        <row r="9">
          <cell r="A9">
            <v>9257011</v>
          </cell>
          <cell r="B9" t="str">
            <v>The Garth School</v>
          </cell>
          <cell r="C9">
            <v>24</v>
          </cell>
          <cell r="D9">
            <v>10772.400000000001</v>
          </cell>
        </row>
        <row r="10">
          <cell r="A10">
            <v>9257015</v>
          </cell>
          <cell r="B10" t="str">
            <v>The Lincoln St Christopher's School</v>
          </cell>
          <cell r="C10">
            <v>48</v>
          </cell>
          <cell r="D10">
            <v>21544.800000000003</v>
          </cell>
        </row>
        <row r="11">
          <cell r="A11">
            <v>9257016</v>
          </cell>
          <cell r="B11" t="str">
            <v>The St Francis Special School, Lincoln</v>
          </cell>
          <cell r="C11">
            <v>48</v>
          </cell>
          <cell r="D11">
            <v>21544.800000000003</v>
          </cell>
        </row>
        <row r="12">
          <cell r="A12">
            <v>9257021</v>
          </cell>
          <cell r="B12" t="str">
            <v>The Horncastle St Lawrence School</v>
          </cell>
          <cell r="C12">
            <v>57</v>
          </cell>
          <cell r="D12">
            <v>25584.45</v>
          </cell>
        </row>
        <row r="13">
          <cell r="A13">
            <v>9257024</v>
          </cell>
          <cell r="B13" t="str">
            <v>The Eresby School</v>
          </cell>
          <cell r="C13">
            <v>22</v>
          </cell>
          <cell r="D13">
            <v>9874.7000000000007</v>
          </cell>
        </row>
        <row r="14">
          <cell r="A14">
            <v>9257025</v>
          </cell>
          <cell r="B14" t="str">
            <v>St Bernard's School, Louth</v>
          </cell>
          <cell r="C14">
            <v>21</v>
          </cell>
          <cell r="D14">
            <v>9425.85</v>
          </cell>
        </row>
        <row r="15">
          <cell r="A15">
            <v>9257028</v>
          </cell>
          <cell r="B15" t="str">
            <v>The Willoughby School</v>
          </cell>
          <cell r="C15">
            <v>32</v>
          </cell>
          <cell r="D15">
            <v>14363.2</v>
          </cell>
        </row>
        <row r="16">
          <cell r="A16">
            <v>9257029</v>
          </cell>
          <cell r="B16" t="str">
            <v>Greenfields Academy</v>
          </cell>
          <cell r="C16">
            <v>23</v>
          </cell>
          <cell r="D16">
            <v>10323.550000000001</v>
          </cell>
        </row>
        <row r="17">
          <cell r="A17">
            <v>9257030</v>
          </cell>
          <cell r="B17" t="str">
            <v>Woodlands Academy</v>
          </cell>
          <cell r="C17">
            <v>20</v>
          </cell>
          <cell r="D17">
            <v>8977</v>
          </cell>
        </row>
        <row r="18">
          <cell r="A18">
            <v>9257031</v>
          </cell>
          <cell r="B18" t="str">
            <v>Fortuna School</v>
          </cell>
          <cell r="C18">
            <v>47</v>
          </cell>
          <cell r="D18">
            <v>21095.95</v>
          </cell>
        </row>
        <row r="19">
          <cell r="A19">
            <v>9257032</v>
          </cell>
          <cell r="B19" t="str">
            <v>Lincoln The Athena School</v>
          </cell>
          <cell r="C19">
            <v>43</v>
          </cell>
          <cell r="D19">
            <v>19300.55</v>
          </cell>
        </row>
        <row r="20">
          <cell r="A20">
            <v>9257033</v>
          </cell>
          <cell r="B20" t="str">
            <v>Warren Wood Community School</v>
          </cell>
          <cell r="C20">
            <v>49</v>
          </cell>
          <cell r="D20">
            <v>21993.65</v>
          </cell>
        </row>
        <row r="21">
          <cell r="A21">
            <v>9257034</v>
          </cell>
          <cell r="B21" t="str">
            <v>Aegir Community School</v>
          </cell>
          <cell r="C21">
            <v>47</v>
          </cell>
          <cell r="D21">
            <v>21095.95</v>
          </cell>
        </row>
      </sheetData>
      <sheetData sheetId="62" refreshError="1"/>
      <sheetData sheetId="63" refreshError="1"/>
      <sheetData sheetId="64" refreshError="1"/>
      <sheetData sheetId="65" refreshError="1"/>
      <sheetData sheetId="66" refreshError="1"/>
      <sheetData sheetId="67" refreshError="1">
        <row r="95">
          <cell r="A95">
            <v>1400520</v>
          </cell>
        </row>
      </sheetData>
      <sheetData sheetId="68" refreshError="1">
        <row r="112">
          <cell r="H112">
            <v>52115.332193693306</v>
          </cell>
        </row>
        <row r="113">
          <cell r="H113">
            <v>53413.904418921054</v>
          </cell>
        </row>
        <row r="114">
          <cell r="H114">
            <v>48426.979369799752</v>
          </cell>
        </row>
        <row r="115">
          <cell r="H115">
            <v>35706.426283977962</v>
          </cell>
        </row>
        <row r="116">
          <cell r="H116">
            <v>48645.932806774224</v>
          </cell>
        </row>
        <row r="117">
          <cell r="H117">
            <v>47091.869621208272</v>
          </cell>
        </row>
        <row r="118">
          <cell r="H118">
            <v>60237.762512963323</v>
          </cell>
        </row>
        <row r="119">
          <cell r="H119">
            <v>62169.272889827458</v>
          </cell>
        </row>
        <row r="120">
          <cell r="H120">
            <v>70341.183649202605</v>
          </cell>
        </row>
        <row r="121">
          <cell r="H121">
            <v>87842.94801555897</v>
          </cell>
        </row>
        <row r="122">
          <cell r="H122">
            <v>81278.132019482611</v>
          </cell>
        </row>
        <row r="123">
          <cell r="H123">
            <v>43634.245274666609</v>
          </cell>
        </row>
        <row r="125">
          <cell r="H125">
            <v>42806.363388874946</v>
          </cell>
        </row>
        <row r="126">
          <cell r="H126">
            <v>65332.433220583553</v>
          </cell>
        </row>
        <row r="127">
          <cell r="H127">
            <v>101418.20351197985</v>
          </cell>
        </row>
        <row r="128">
          <cell r="H128">
            <v>140415.42263303587</v>
          </cell>
        </row>
        <row r="129">
          <cell r="H129">
            <v>82953.039009475891</v>
          </cell>
        </row>
      </sheetData>
      <sheetData sheetId="69" refreshError="1">
        <row r="112">
          <cell r="J112">
            <v>17389.11235679705</v>
          </cell>
        </row>
        <row r="113">
          <cell r="J113">
            <v>14562.495537161163</v>
          </cell>
        </row>
        <row r="114">
          <cell r="J114">
            <v>11863.544415555301</v>
          </cell>
        </row>
        <row r="115">
          <cell r="J115">
            <v>10957.364103160889</v>
          </cell>
        </row>
        <row r="116">
          <cell r="J116">
            <v>13944.393753495071</v>
          </cell>
        </row>
        <row r="117">
          <cell r="J117">
            <v>17032.25608351524</v>
          </cell>
        </row>
        <row r="118">
          <cell r="J118">
            <v>11909.188877098786</v>
          </cell>
        </row>
        <row r="119">
          <cell r="J119">
            <v>12136.672383415342</v>
          </cell>
        </row>
        <row r="120">
          <cell r="J120">
            <v>13797.229875220728</v>
          </cell>
        </row>
        <row r="121">
          <cell r="J121">
            <v>16383.451010760318</v>
          </cell>
        </row>
        <row r="122">
          <cell r="J122">
            <v>13376.115867598233</v>
          </cell>
        </row>
        <row r="123">
          <cell r="J123">
            <v>15781.697467248869</v>
          </cell>
        </row>
        <row r="125">
          <cell r="J125">
            <v>15482.267939410442</v>
          </cell>
        </row>
        <row r="126">
          <cell r="J126">
            <v>19175.672940649529</v>
          </cell>
        </row>
        <row r="127">
          <cell r="J127">
            <v>20249.088864079171</v>
          </cell>
        </row>
        <row r="128">
          <cell r="J128">
            <v>26833.89572407939</v>
          </cell>
        </row>
        <row r="129">
          <cell r="J129">
            <v>35231.586376517051</v>
          </cell>
        </row>
      </sheetData>
      <sheetData sheetId="70" refreshError="1">
        <row r="5">
          <cell r="B5">
            <v>9257010</v>
          </cell>
          <cell r="C5" t="str">
            <v>Boston John Fielding</v>
          </cell>
          <cell r="D5">
            <v>4</v>
          </cell>
          <cell r="E5">
            <v>63</v>
          </cell>
          <cell r="F5">
            <v>1</v>
          </cell>
          <cell r="G5">
            <v>1.5873015873015872E-2</v>
          </cell>
          <cell r="H5">
            <v>20</v>
          </cell>
          <cell r="I5">
            <v>0.31746031746031744</v>
          </cell>
          <cell r="J5">
            <v>6</v>
          </cell>
          <cell r="K5">
            <v>9.5238095238095233E-2</v>
          </cell>
          <cell r="L5">
            <v>11</v>
          </cell>
          <cell r="M5">
            <v>0.17460317460317459</v>
          </cell>
          <cell r="N5">
            <v>4</v>
          </cell>
          <cell r="O5">
            <v>6.3492063492063489E-2</v>
          </cell>
          <cell r="P5">
            <v>12</v>
          </cell>
          <cell r="Q5">
            <v>0.19047619047619047</v>
          </cell>
          <cell r="R5">
            <v>9</v>
          </cell>
          <cell r="S5">
            <v>0.14285714285714285</v>
          </cell>
        </row>
        <row r="6">
          <cell r="B6">
            <v>9257005</v>
          </cell>
          <cell r="C6" t="str">
            <v>Grantham Sandon</v>
          </cell>
          <cell r="D6" t="str">
            <v>4 (TP)</v>
          </cell>
          <cell r="E6">
            <v>80</v>
          </cell>
          <cell r="F6">
            <v>4</v>
          </cell>
          <cell r="G6">
            <v>0.05</v>
          </cell>
          <cell r="H6">
            <v>32</v>
          </cell>
          <cell r="I6">
            <v>0.4</v>
          </cell>
          <cell r="J6">
            <v>5</v>
          </cell>
          <cell r="K6">
            <v>6.25E-2</v>
          </cell>
          <cell r="L6">
            <v>12</v>
          </cell>
          <cell r="M6">
            <v>0.15</v>
          </cell>
          <cell r="N6">
            <v>10</v>
          </cell>
          <cell r="O6">
            <v>0.125</v>
          </cell>
          <cell r="P6">
            <v>12</v>
          </cell>
          <cell r="Q6">
            <v>0.15</v>
          </cell>
          <cell r="R6">
            <v>5</v>
          </cell>
          <cell r="S6">
            <v>6.25E-2</v>
          </cell>
        </row>
        <row r="7">
          <cell r="B7">
            <v>9257025</v>
          </cell>
          <cell r="C7" t="str">
            <v>Louth St Bernard's</v>
          </cell>
          <cell r="D7">
            <v>4</v>
          </cell>
          <cell r="E7">
            <v>77</v>
          </cell>
          <cell r="F7">
            <v>12</v>
          </cell>
          <cell r="G7">
            <v>0.15584415584415584</v>
          </cell>
          <cell r="H7">
            <v>31</v>
          </cell>
          <cell r="I7">
            <v>0.40259740259740262</v>
          </cell>
          <cell r="J7">
            <v>3</v>
          </cell>
          <cell r="K7">
            <v>3.896103896103896E-2</v>
          </cell>
          <cell r="L7">
            <v>12</v>
          </cell>
          <cell r="M7">
            <v>0.15584415584415584</v>
          </cell>
          <cell r="N7">
            <v>4</v>
          </cell>
          <cell r="O7">
            <v>5.1948051948051951E-2</v>
          </cell>
          <cell r="P7">
            <v>11</v>
          </cell>
          <cell r="Q7">
            <v>0.14285714285714285</v>
          </cell>
          <cell r="R7">
            <v>4</v>
          </cell>
          <cell r="S7">
            <v>5.1948051948051951E-2</v>
          </cell>
        </row>
        <row r="8">
          <cell r="B8">
            <v>9257011</v>
          </cell>
          <cell r="C8" t="str">
            <v>Spalding The Garth</v>
          </cell>
          <cell r="D8">
            <v>4</v>
          </cell>
          <cell r="E8">
            <v>53</v>
          </cell>
          <cell r="F8">
            <v>3</v>
          </cell>
          <cell r="G8">
            <v>5.6603773584905662E-2</v>
          </cell>
          <cell r="H8">
            <v>19</v>
          </cell>
          <cell r="I8">
            <v>0.35849056603773582</v>
          </cell>
          <cell r="J8">
            <v>1</v>
          </cell>
          <cell r="K8">
            <v>1.8867924528301886E-2</v>
          </cell>
          <cell r="L8">
            <v>9</v>
          </cell>
          <cell r="M8">
            <v>0.16981132075471697</v>
          </cell>
          <cell r="N8">
            <v>7</v>
          </cell>
          <cell r="O8">
            <v>0.13207547169811321</v>
          </cell>
          <cell r="P8">
            <v>8</v>
          </cell>
          <cell r="Q8">
            <v>0.15094339622641509</v>
          </cell>
          <cell r="R8">
            <v>6</v>
          </cell>
          <cell r="S8">
            <v>0.11320754716981132</v>
          </cell>
        </row>
        <row r="9">
          <cell r="B9">
            <v>9257024</v>
          </cell>
          <cell r="C9" t="str">
            <v>Spilsby The Eresby</v>
          </cell>
          <cell r="D9">
            <v>4</v>
          </cell>
          <cell r="E9">
            <v>83</v>
          </cell>
          <cell r="F9">
            <v>7</v>
          </cell>
          <cell r="G9">
            <v>8.4337349397590355E-2</v>
          </cell>
          <cell r="H9">
            <v>38</v>
          </cell>
          <cell r="I9">
            <v>0.45783132530120479</v>
          </cell>
          <cell r="J9">
            <v>1</v>
          </cell>
          <cell r="K9">
            <v>1.2048192771084338E-2</v>
          </cell>
          <cell r="L9">
            <v>15</v>
          </cell>
          <cell r="M9">
            <v>0.18072289156626506</v>
          </cell>
          <cell r="N9">
            <v>7</v>
          </cell>
          <cell r="O9">
            <v>8.4337349397590355E-2</v>
          </cell>
          <cell r="P9">
            <v>6</v>
          </cell>
          <cell r="Q9">
            <v>7.2289156626506021E-2</v>
          </cell>
          <cell r="R9">
            <v>9</v>
          </cell>
          <cell r="S9">
            <v>0.10843373493975904</v>
          </cell>
        </row>
        <row r="10">
          <cell r="B10">
            <v>9257031</v>
          </cell>
          <cell r="C10" t="str">
            <v>Lincoln Fortuna</v>
          </cell>
          <cell r="D10" t="str">
            <v>PFI 4 (TP)</v>
          </cell>
          <cell r="E10">
            <v>0</v>
          </cell>
          <cell r="F10">
            <v>0</v>
          </cell>
          <cell r="G10">
            <v>0</v>
          </cell>
          <cell r="H10">
            <v>0</v>
          </cell>
          <cell r="I10">
            <v>0</v>
          </cell>
          <cell r="J10">
            <v>0</v>
          </cell>
          <cell r="K10">
            <v>1</v>
          </cell>
          <cell r="L10">
            <v>0</v>
          </cell>
          <cell r="M10">
            <v>0</v>
          </cell>
          <cell r="N10">
            <v>0</v>
          </cell>
          <cell r="O10">
            <v>0</v>
          </cell>
          <cell r="P10">
            <v>0</v>
          </cell>
          <cell r="Q10">
            <v>0</v>
          </cell>
          <cell r="R10">
            <v>0</v>
          </cell>
          <cell r="S10">
            <v>0</v>
          </cell>
        </row>
        <row r="11">
          <cell r="B11">
            <v>9257033</v>
          </cell>
          <cell r="C11" t="str">
            <v xml:space="preserve">Gainsborough Warren Wood </v>
          </cell>
          <cell r="D11" t="str">
            <v>4 (TP)</v>
          </cell>
          <cell r="E11">
            <v>95</v>
          </cell>
          <cell r="F11">
            <v>16</v>
          </cell>
          <cell r="G11">
            <v>0.16842105263157894</v>
          </cell>
          <cell r="H11">
            <v>51</v>
          </cell>
          <cell r="I11">
            <v>0.5368421052631579</v>
          </cell>
          <cell r="J11">
            <v>6</v>
          </cell>
          <cell r="K11">
            <v>6.3157894736842107E-2</v>
          </cell>
          <cell r="L11">
            <v>14</v>
          </cell>
          <cell r="M11">
            <v>0.14736842105263157</v>
          </cell>
          <cell r="N11">
            <v>4</v>
          </cell>
          <cell r="O11">
            <v>4.2105263157894736E-2</v>
          </cell>
          <cell r="P11">
            <v>4</v>
          </cell>
          <cell r="Q11">
            <v>4.2105263157894736E-2</v>
          </cell>
          <cell r="R11">
            <v>0</v>
          </cell>
          <cell r="S11">
            <v>0</v>
          </cell>
        </row>
        <row r="12">
          <cell r="B12">
            <v>9257008</v>
          </cell>
          <cell r="C12" t="str">
            <v>Gosberton House</v>
          </cell>
          <cell r="D12">
            <v>4</v>
          </cell>
          <cell r="E12">
            <v>99</v>
          </cell>
          <cell r="F12">
            <v>10</v>
          </cell>
          <cell r="G12">
            <v>0.10101010101010101</v>
          </cell>
          <cell r="H12">
            <v>58</v>
          </cell>
          <cell r="I12">
            <v>0.58585858585858586</v>
          </cell>
          <cell r="J12">
            <v>8</v>
          </cell>
          <cell r="K12">
            <v>8.0808080808080815E-2</v>
          </cell>
          <cell r="L12">
            <v>9</v>
          </cell>
          <cell r="M12">
            <v>9.0909090909090912E-2</v>
          </cell>
          <cell r="N12">
            <v>1</v>
          </cell>
          <cell r="O12">
            <v>1.0101010101010102E-2</v>
          </cell>
          <cell r="P12">
            <v>12</v>
          </cell>
          <cell r="Q12">
            <v>0.12121212121212122</v>
          </cell>
          <cell r="R12">
            <v>1</v>
          </cell>
          <cell r="S12">
            <v>1.0101010101010102E-2</v>
          </cell>
        </row>
        <row r="13">
          <cell r="B13">
            <v>9257034</v>
          </cell>
          <cell r="C13" t="str">
            <v>Gainsborough Aegir</v>
          </cell>
          <cell r="D13" t="str">
            <v>4 (TP)</v>
          </cell>
          <cell r="E13">
            <v>99</v>
          </cell>
          <cell r="F13">
            <v>42</v>
          </cell>
          <cell r="G13">
            <v>0.42424242424242425</v>
          </cell>
          <cell r="H13">
            <v>29</v>
          </cell>
          <cell r="I13">
            <v>0.29292929292929293</v>
          </cell>
          <cell r="J13">
            <v>14</v>
          </cell>
          <cell r="K13">
            <v>0.14141414141414141</v>
          </cell>
          <cell r="L13">
            <v>3</v>
          </cell>
          <cell r="M13">
            <v>3.0303030303030304E-2</v>
          </cell>
          <cell r="N13">
            <v>4</v>
          </cell>
          <cell r="O13">
            <v>4.0404040404040407E-2</v>
          </cell>
          <cell r="P13">
            <v>6</v>
          </cell>
          <cell r="Q13">
            <v>6.0606060606060608E-2</v>
          </cell>
          <cell r="R13">
            <v>1</v>
          </cell>
          <cell r="S13">
            <v>1.0101010101010102E-2</v>
          </cell>
        </row>
        <row r="14">
          <cell r="B14">
            <v>9257002</v>
          </cell>
          <cell r="C14" t="str">
            <v>Grantham Ambergate</v>
          </cell>
          <cell r="D14">
            <v>4</v>
          </cell>
          <cell r="E14">
            <v>141</v>
          </cell>
          <cell r="F14">
            <v>50</v>
          </cell>
          <cell r="G14">
            <v>0.3546099290780142</v>
          </cell>
          <cell r="H14">
            <v>54</v>
          </cell>
          <cell r="I14">
            <v>0.38297872340425532</v>
          </cell>
          <cell r="J14">
            <v>18</v>
          </cell>
          <cell r="K14">
            <v>0.1276595744680851</v>
          </cell>
          <cell r="L14">
            <v>4</v>
          </cell>
          <cell r="M14">
            <v>2.8368794326241134E-2</v>
          </cell>
          <cell r="N14">
            <v>3</v>
          </cell>
          <cell r="O14">
            <v>2.1276595744680851E-2</v>
          </cell>
          <cell r="P14">
            <v>11</v>
          </cell>
          <cell r="Q14">
            <v>7.8014184397163122E-2</v>
          </cell>
          <cell r="R14">
            <v>1</v>
          </cell>
          <cell r="S14">
            <v>7.0921985815602835E-3</v>
          </cell>
        </row>
        <row r="15">
          <cell r="B15">
            <v>9257009</v>
          </cell>
          <cell r="C15" t="str">
            <v>Spalding The Priory</v>
          </cell>
          <cell r="D15">
            <v>4</v>
          </cell>
          <cell r="E15">
            <v>125</v>
          </cell>
          <cell r="F15">
            <v>29</v>
          </cell>
          <cell r="G15">
            <v>0.23200000000000001</v>
          </cell>
          <cell r="H15">
            <v>72</v>
          </cell>
          <cell r="I15">
            <v>0.57599999999999996</v>
          </cell>
          <cell r="J15">
            <v>10</v>
          </cell>
          <cell r="K15">
            <v>0.08</v>
          </cell>
          <cell r="L15">
            <v>3</v>
          </cell>
          <cell r="M15">
            <v>2.4E-2</v>
          </cell>
          <cell r="N15">
            <v>1</v>
          </cell>
          <cell r="O15">
            <v>8.0000000000000002E-3</v>
          </cell>
          <cell r="P15">
            <v>10</v>
          </cell>
          <cell r="Q15">
            <v>0.08</v>
          </cell>
          <cell r="R15">
            <v>0</v>
          </cell>
          <cell r="S15">
            <v>0</v>
          </cell>
        </row>
        <row r="16">
          <cell r="B16">
            <v>9257029</v>
          </cell>
          <cell r="C16" t="str">
            <v>Greenfields Academy</v>
          </cell>
          <cell r="D16" t="str">
            <v>PFI 4 (TP)</v>
          </cell>
          <cell r="E16">
            <v>0</v>
          </cell>
          <cell r="F16">
            <v>0</v>
          </cell>
          <cell r="G16">
            <v>0</v>
          </cell>
          <cell r="H16">
            <v>0</v>
          </cell>
          <cell r="I16">
            <v>0</v>
          </cell>
          <cell r="J16">
            <v>0</v>
          </cell>
          <cell r="K16">
            <v>1</v>
          </cell>
          <cell r="L16">
            <v>0</v>
          </cell>
          <cell r="M16">
            <v>0</v>
          </cell>
          <cell r="N16">
            <v>0</v>
          </cell>
          <cell r="O16">
            <v>0</v>
          </cell>
          <cell r="P16">
            <v>0</v>
          </cell>
          <cell r="Q16">
            <v>0</v>
          </cell>
          <cell r="R16">
            <v>0</v>
          </cell>
          <cell r="S16">
            <v>0</v>
          </cell>
        </row>
        <row r="17">
          <cell r="B17">
            <v>9257032</v>
          </cell>
          <cell r="C17" t="str">
            <v>Athena School</v>
          </cell>
          <cell r="D17" t="str">
            <v>PFI 4 (TP)</v>
          </cell>
          <cell r="E17">
            <v>0</v>
          </cell>
          <cell r="F17">
            <v>0</v>
          </cell>
          <cell r="G17">
            <v>0</v>
          </cell>
          <cell r="H17">
            <v>0</v>
          </cell>
          <cell r="I17">
            <v>0</v>
          </cell>
          <cell r="J17">
            <v>0</v>
          </cell>
          <cell r="K17">
            <v>1</v>
          </cell>
          <cell r="L17">
            <v>0</v>
          </cell>
          <cell r="M17">
            <v>0</v>
          </cell>
          <cell r="N17">
            <v>0</v>
          </cell>
          <cell r="O17">
            <v>0</v>
          </cell>
          <cell r="P17">
            <v>0</v>
          </cell>
          <cell r="Q17">
            <v>0</v>
          </cell>
          <cell r="R17">
            <v>0</v>
          </cell>
          <cell r="S17">
            <v>0</v>
          </cell>
        </row>
        <row r="18">
          <cell r="B18">
            <v>9257030</v>
          </cell>
          <cell r="C18" t="str">
            <v>Woodlands Academy</v>
          </cell>
          <cell r="D18" t="str">
            <v>PFI 4 (TP)</v>
          </cell>
          <cell r="E18">
            <v>0</v>
          </cell>
          <cell r="F18">
            <v>0</v>
          </cell>
          <cell r="G18">
            <v>0</v>
          </cell>
          <cell r="H18">
            <v>0</v>
          </cell>
          <cell r="I18">
            <v>0</v>
          </cell>
          <cell r="J18">
            <v>0</v>
          </cell>
          <cell r="K18">
            <v>1</v>
          </cell>
          <cell r="L18">
            <v>0</v>
          </cell>
          <cell r="M18">
            <v>0</v>
          </cell>
          <cell r="N18">
            <v>0</v>
          </cell>
          <cell r="O18">
            <v>0</v>
          </cell>
          <cell r="P18">
            <v>0</v>
          </cell>
          <cell r="Q18">
            <v>0</v>
          </cell>
          <cell r="R18">
            <v>0</v>
          </cell>
          <cell r="S18">
            <v>0</v>
          </cell>
        </row>
        <row r="19">
          <cell r="B19">
            <v>9257028</v>
          </cell>
          <cell r="C19" t="str">
            <v>Bourne Willoughby</v>
          </cell>
          <cell r="D19">
            <v>4</v>
          </cell>
          <cell r="E19">
            <v>101</v>
          </cell>
          <cell r="F19">
            <v>9</v>
          </cell>
          <cell r="G19">
            <v>8.9108910891089105E-2</v>
          </cell>
          <cell r="H19">
            <v>41</v>
          </cell>
          <cell r="I19">
            <v>0.40594059405940597</v>
          </cell>
          <cell r="J19">
            <v>8</v>
          </cell>
          <cell r="K19">
            <v>7.9207920792079209E-2</v>
          </cell>
          <cell r="L19">
            <v>9</v>
          </cell>
          <cell r="M19">
            <v>8.9108910891089105E-2</v>
          </cell>
          <cell r="N19">
            <v>13</v>
          </cell>
          <cell r="O19">
            <v>0.12871287128712872</v>
          </cell>
          <cell r="P19">
            <v>10</v>
          </cell>
          <cell r="Q19">
            <v>9.9009900990099015E-2</v>
          </cell>
          <cell r="R19">
            <v>11</v>
          </cell>
          <cell r="S19">
            <v>0.10891089108910891</v>
          </cell>
        </row>
        <row r="20">
          <cell r="B20">
            <v>9257021</v>
          </cell>
          <cell r="C20" t="str">
            <v>Horncastle St Lawrence</v>
          </cell>
          <cell r="D20" t="str">
            <v>5 (TP)</v>
          </cell>
          <cell r="E20">
            <v>164</v>
          </cell>
          <cell r="F20">
            <v>44</v>
          </cell>
          <cell r="G20">
            <v>0.26829268292682928</v>
          </cell>
          <cell r="H20">
            <v>70</v>
          </cell>
          <cell r="I20">
            <v>0.42682926829268292</v>
          </cell>
          <cell r="J20">
            <v>13</v>
          </cell>
          <cell r="K20">
            <v>7.926829268292683E-2</v>
          </cell>
          <cell r="L20">
            <v>11</v>
          </cell>
          <cell r="M20">
            <v>6.7073170731707321E-2</v>
          </cell>
          <cell r="N20">
            <v>9</v>
          </cell>
          <cell r="O20">
            <v>5.4878048780487805E-2</v>
          </cell>
          <cell r="P20">
            <v>15</v>
          </cell>
          <cell r="Q20">
            <v>9.1463414634146339E-2</v>
          </cell>
          <cell r="R20">
            <v>2</v>
          </cell>
          <cell r="S20">
            <v>1.2195121951219513E-2</v>
          </cell>
        </row>
        <row r="21">
          <cell r="B21">
            <v>9257015</v>
          </cell>
          <cell r="C21" t="str">
            <v>Lincoln St Christopher's</v>
          </cell>
          <cell r="D21" t="str">
            <v>6 (TP)</v>
          </cell>
          <cell r="E21">
            <v>226</v>
          </cell>
          <cell r="F21">
            <v>75</v>
          </cell>
          <cell r="G21">
            <v>0.33185840707964603</v>
          </cell>
          <cell r="H21">
            <v>87</v>
          </cell>
          <cell r="I21">
            <v>0.38495575221238937</v>
          </cell>
          <cell r="J21">
            <v>4</v>
          </cell>
          <cell r="K21">
            <v>1.7699115044247787E-2</v>
          </cell>
          <cell r="L21">
            <v>20</v>
          </cell>
          <cell r="M21">
            <v>8.8495575221238937E-2</v>
          </cell>
          <cell r="N21">
            <v>5</v>
          </cell>
          <cell r="O21">
            <v>2.2123893805309734E-2</v>
          </cell>
          <cell r="P21">
            <v>32</v>
          </cell>
          <cell r="Q21">
            <v>0.1415929203539823</v>
          </cell>
          <cell r="R21">
            <v>3</v>
          </cell>
          <cell r="S21">
            <v>1.3274336283185841E-2</v>
          </cell>
        </row>
        <row r="22">
          <cell r="B22">
            <v>9257016</v>
          </cell>
          <cell r="C22" t="str">
            <v xml:space="preserve">Lincoln St Francis </v>
          </cell>
          <cell r="D22" t="str">
            <v>6 (TP)</v>
          </cell>
          <cell r="E22">
            <v>161</v>
          </cell>
          <cell r="F22">
            <v>29</v>
          </cell>
          <cell r="G22">
            <v>0.18012422360248448</v>
          </cell>
          <cell r="H22">
            <v>25</v>
          </cell>
          <cell r="I22">
            <v>0.15527950310559005</v>
          </cell>
          <cell r="J22">
            <v>1</v>
          </cell>
          <cell r="K22">
            <v>6.2111801242236021E-3</v>
          </cell>
          <cell r="L22">
            <v>36</v>
          </cell>
          <cell r="M22">
            <v>0.2236024844720497</v>
          </cell>
          <cell r="N22">
            <v>34</v>
          </cell>
          <cell r="O22">
            <v>0.21118012422360249</v>
          </cell>
          <cell r="P22">
            <v>2</v>
          </cell>
          <cell r="Q22">
            <v>1.2422360248447204E-2</v>
          </cell>
          <cell r="R22">
            <v>34</v>
          </cell>
          <cell r="S22">
            <v>0.21118012422360249</v>
          </cell>
        </row>
      </sheetData>
      <sheetData sheetId="7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H-GSegFQaEeZ5ADnpO91NsNsGWbDqYJKkye5f_3aeloHHapOs_odQ6qR8ipZUbZD" itemId="01Z2BWXUIDJBLVFN7M7RCZONV3LNKLXWHT">
      <xxl21:absoluteUrl r:id="rId2"/>
    </xxl21:alternateUrls>
    <sheetNames>
      <sheetName val="Budget Req 1516"/>
      <sheetName val="Budget Req 1617"/>
      <sheetName val="Funding Model"/>
      <sheetName val="2016-17 Funding Summary"/>
      <sheetName val="2016-17 Funding Detail"/>
      <sheetName val="Band Calculations 1617"/>
      <sheetName val="2016-17 Other Funding"/>
      <sheetName val="2015-16 Funding Summary"/>
      <sheetName val="2015-16 Funding Detail"/>
      <sheetName val="Band Calculations 1516"/>
      <sheetName val="2014-15 Funding Detail"/>
      <sheetName val="2013-14 Funding (4)"/>
      <sheetName val="2012-13 Top-ups"/>
      <sheetName val="Band Calculations 1415"/>
      <sheetName val="Band Calculations"/>
      <sheetName val="2015-16 Other Funding"/>
      <sheetName val="Revised Band Returns"/>
      <sheetName val="FSM Calculation 1516"/>
      <sheetName val="DSG US 1415"/>
      <sheetName val="DSG US 1516"/>
      <sheetName val="Front Sheet - Please Read First"/>
      <sheetName val="ISB Weightings"/>
      <sheetName val="Budget Shares"/>
      <sheetName val="2017-18 Funding Summary"/>
      <sheetName val="2017-18 Funding Detail"/>
      <sheetName val="Band Calculations 1718"/>
      <sheetName val="2017-18 Other Funding"/>
      <sheetName val="FSM Calculation 1718"/>
      <sheetName val="Budget Requirement 1718"/>
      <sheetName val="Funding Summary"/>
      <sheetName val="Funding Detail - Rebase"/>
      <sheetName val="Band Calculations - Rebase"/>
      <sheetName val="Revised Bands - Rebase"/>
      <sheetName val="1819 Funding Detail"/>
      <sheetName val="1819 Band Calculations"/>
      <sheetName val="1819 Revised Bands"/>
      <sheetName val="FSM Calculation 1819"/>
      <sheetName val="2018-19 Other Funding"/>
      <sheetName val="1819 DSG 1718 Underspend"/>
      <sheetName val="1819 Budget Requirement"/>
      <sheetName val="1920 Budget Requirement"/>
      <sheetName val="1920 Funding Detail"/>
      <sheetName val="1920 Band Calculations"/>
      <sheetName val="1920 Band Moderations"/>
      <sheetName val="1920 Other Funding"/>
      <sheetName val="1920 FSM Calculation"/>
      <sheetName val="Band Values"/>
      <sheetName val="2021 Budget Requirement"/>
      <sheetName val="2223 Budget Requirement"/>
      <sheetName val="2223 Funding Detail"/>
      <sheetName val="2223 MFG Protection"/>
      <sheetName val="2122 MFG Protection"/>
      <sheetName val="MFG"/>
      <sheetName val="2021 Band Calculations"/>
      <sheetName val="2021 FSM Calculation"/>
      <sheetName val="2021 Other Funding"/>
      <sheetName val="2021 Band Moderations"/>
      <sheetName val="MFG Tab"/>
      <sheetName val="2122 Budget Requirement"/>
      <sheetName val="2122 Funding Detail"/>
      <sheetName val="School Size Ranges"/>
      <sheetName val="2122 Band Calculations"/>
      <sheetName val="2021 Funding Detail"/>
      <sheetName val="202021 MFG Protection"/>
      <sheetName val="2122 Group Sizes"/>
      <sheetName val="2223 Group Sizes"/>
      <sheetName val="2122 FSM Calculation"/>
      <sheetName val="2223 FSM Calculation"/>
      <sheetName val="2122 Other Funding"/>
      <sheetName val="2223 Other Funding"/>
      <sheetName val="2122 Band Values"/>
      <sheetName val="2223 Band Values"/>
      <sheetName val="2122 Teachers Pay Scales"/>
      <sheetName val="2223 Teachers Pay Scales"/>
      <sheetName val="2122 TA Pay Scales"/>
      <sheetName val="2223 TA Pay Scales"/>
      <sheetName val="2122 GLEA Pay Scales"/>
      <sheetName val="2122 Pay &amp; Pension Allocations"/>
      <sheetName val="Pay &amp; Pension Workings"/>
      <sheetName val="TA Workings"/>
      <sheetName val="2122 Band Moderations"/>
      <sheetName val="2223 Band Calculations"/>
      <sheetName val="2223 Band Moderations"/>
      <sheetName val="2122 OLEA Placements"/>
      <sheetName val="2223 OLEA Plac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ow r="5">
          <cell r="BL5">
            <v>3.0676153688162025E-2</v>
          </cell>
        </row>
        <row r="8">
          <cell r="BL8">
            <v>2.6360805877731167E-2</v>
          </cell>
        </row>
        <row r="11">
          <cell r="BL11">
            <v>2.6131128871127795E-2</v>
          </cell>
        </row>
        <row r="14">
          <cell r="BL14">
            <v>3.0676153688162025E-2</v>
          </cell>
        </row>
        <row r="22">
          <cell r="BL22">
            <v>2.9334821969648105E-2</v>
          </cell>
        </row>
        <row r="24">
          <cell r="BL24">
            <v>3.6347569411603046E-2</v>
          </cell>
        </row>
        <row r="30">
          <cell r="BL30">
            <v>2.6594926315760596E-2</v>
          </cell>
        </row>
      </sheetData>
      <sheetData sheetId="72"/>
      <sheetData sheetId="73"/>
      <sheetData sheetId="74"/>
      <sheetData sheetId="75"/>
      <sheetData sheetId="76"/>
      <sheetData sheetId="77"/>
      <sheetData sheetId="78">
        <row r="92">
          <cell r="P92">
            <v>8.4827726326253489E-2</v>
          </cell>
        </row>
        <row r="94">
          <cell r="P94">
            <v>8.5573311346926056E-2</v>
          </cell>
        </row>
        <row r="96">
          <cell r="P96">
            <v>5.1883674062824015E-2</v>
          </cell>
        </row>
        <row r="98">
          <cell r="P98">
            <v>5.216164732940607E-2</v>
          </cell>
        </row>
        <row r="100">
          <cell r="P100">
            <v>5.216164732940607E-2</v>
          </cell>
        </row>
        <row r="102">
          <cell r="P102">
            <v>6.5468753775186753E-2</v>
          </cell>
        </row>
        <row r="104">
          <cell r="P104"/>
        </row>
      </sheetData>
      <sheetData sheetId="79">
        <row r="92">
          <cell r="M92">
            <v>1.0226871923558922E-2</v>
          </cell>
        </row>
        <row r="94">
          <cell r="M94">
            <v>1.0316760016105668E-2</v>
          </cell>
        </row>
        <row r="96">
          <cell r="M96">
            <v>1.8765362902340054E-2</v>
          </cell>
        </row>
        <row r="98">
          <cell r="M98">
            <v>1.8865900678794404E-2</v>
          </cell>
        </row>
        <row r="100">
          <cell r="M100">
            <v>1.8865900678794404E-2</v>
          </cell>
        </row>
        <row r="102">
          <cell r="M102">
            <v>1.5785889563484205E-2</v>
          </cell>
        </row>
        <row r="104">
          <cell r="M104">
            <v>1.6143641675148718E-2</v>
          </cell>
        </row>
      </sheetData>
      <sheetData sheetId="80"/>
      <sheetData sheetId="81"/>
      <sheetData sheetId="82"/>
      <sheetData sheetId="83"/>
      <sheetData sheetId="84"/>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ACHING ASSISTANT 202021"/>
      <sheetName val="Sheet2"/>
    </sheetNames>
    <sheetDataSet>
      <sheetData sheetId="0" refreshError="1"/>
      <sheetData sheetId="1" refreshError="1">
        <row r="21">
          <cell r="E21">
            <v>18430.267500000002</v>
          </cell>
        </row>
        <row r="22">
          <cell r="E22">
            <v>18561.787500000002</v>
          </cell>
        </row>
        <row r="23">
          <cell r="E23">
            <v>18925.522500000003</v>
          </cell>
        </row>
        <row r="24">
          <cell r="E24">
            <v>19333.440000000002</v>
          </cell>
        </row>
        <row r="27">
          <cell r="E27">
            <v>20412.315000000002</v>
          </cell>
        </row>
        <row r="28">
          <cell r="E28">
            <v>20903.460000000003</v>
          </cell>
        </row>
        <row r="29">
          <cell r="E29">
            <v>21730.597500000003</v>
          </cell>
        </row>
        <row r="30">
          <cell r="E30">
            <v>22637.88</v>
          </cell>
        </row>
        <row r="31">
          <cell r="E31">
            <v>23541.052500000002</v>
          </cell>
        </row>
        <row r="32">
          <cell r="E32">
            <v>24333.255000000001</v>
          </cell>
        </row>
        <row r="33">
          <cell r="E33">
            <v>25123.4025</v>
          </cell>
        </row>
        <row r="34">
          <cell r="E34">
            <v>25990.612500000003</v>
          </cell>
        </row>
        <row r="35">
          <cell r="E35">
            <v>26784.870000000003</v>
          </cell>
        </row>
        <row r="36">
          <cell r="E36">
            <v>27729.142500000002</v>
          </cell>
        </row>
        <row r="37">
          <cell r="E37">
            <v>28672.387500000001</v>
          </cell>
        </row>
        <row r="38">
          <cell r="E38">
            <v>29919.772500000003</v>
          </cell>
        </row>
        <row r="39">
          <cell r="E39">
            <v>31053.105000000003</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ACHING ASSISTANT 2022-23"/>
      <sheetName val="Sheet2"/>
    </sheetNames>
    <sheetDataSet>
      <sheetData sheetId="0"/>
      <sheetData sheetId="1">
        <row r="22">
          <cell r="E22">
            <v>20812</v>
          </cell>
        </row>
        <row r="23">
          <cell r="E23">
            <v>21182</v>
          </cell>
        </row>
        <row r="24">
          <cell r="E24">
            <v>21596</v>
          </cell>
        </row>
        <row r="25">
          <cell r="E25">
            <v>21968</v>
          </cell>
        </row>
        <row r="28">
          <cell r="E28">
            <v>23194</v>
          </cell>
        </row>
        <row r="29">
          <cell r="E29">
            <v>24036</v>
          </cell>
        </row>
        <row r="30">
          <cell r="E30">
            <v>24959</v>
          </cell>
        </row>
        <row r="31">
          <cell r="E31">
            <v>25878</v>
          </cell>
        </row>
        <row r="32">
          <cell r="E32">
            <v>26684</v>
          </cell>
        </row>
        <row r="33">
          <cell r="E33">
            <v>27488</v>
          </cell>
        </row>
        <row r="34">
          <cell r="E34">
            <v>28371</v>
          </cell>
        </row>
        <row r="35">
          <cell r="E35">
            <v>29179</v>
          </cell>
        </row>
        <row r="36">
          <cell r="E36">
            <v>30139</v>
          </cell>
        </row>
        <row r="37">
          <cell r="E37">
            <v>31099</v>
          </cell>
        </row>
        <row r="38">
          <cell r="E38">
            <v>32369</v>
          </cell>
        </row>
        <row r="39">
          <cell r="E39">
            <v>33521</v>
          </cell>
        </row>
        <row r="40">
          <cell r="E40">
            <v>34723</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_Ge_M2v8WE-FLT4waiIJ8v3vyY3kdpROubYoNsS7YN6C1OxHo8sVSoo2DQZt0ykd" itemId="017CWL5FYHOFYHATEK2VBLVGBKEDITFZGU">
      <xxl21:absoluteUrl r:id="rId2"/>
    </xxl21:alternateUrls>
    <sheetNames>
      <sheetName val="1920"/>
      <sheetName val="2021"/>
      <sheetName val="2122"/>
      <sheetName val="2223"/>
      <sheetName val="2324"/>
    </sheetNames>
    <sheetDataSet>
      <sheetData sheetId="0"/>
      <sheetData sheetId="1"/>
      <sheetData sheetId="2"/>
      <sheetData sheetId="3">
        <row r="2">
          <cell r="N2"/>
        </row>
        <row r="4">
          <cell r="N4"/>
        </row>
        <row r="5">
          <cell r="N5"/>
        </row>
        <row r="7">
          <cell r="N7"/>
        </row>
        <row r="9">
          <cell r="N9"/>
        </row>
        <row r="10">
          <cell r="N10"/>
        </row>
        <row r="12">
          <cell r="N12"/>
        </row>
        <row r="14">
          <cell r="N14"/>
        </row>
        <row r="16">
          <cell r="N16"/>
        </row>
        <row r="18">
          <cell r="N18"/>
        </row>
        <row r="20">
          <cell r="N20"/>
        </row>
        <row r="22">
          <cell r="N22"/>
        </row>
        <row r="23">
          <cell r="N23"/>
        </row>
        <row r="25">
          <cell r="N25"/>
        </row>
        <row r="27">
          <cell r="N27"/>
        </row>
        <row r="29">
          <cell r="N29"/>
        </row>
        <row r="31">
          <cell r="N31"/>
        </row>
        <row r="32">
          <cell r="N32"/>
        </row>
      </sheetData>
      <sheetData sheetId="4"/>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20"/>
      <sheetName val="2021"/>
      <sheetName val="2122"/>
      <sheetName val="2223"/>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taffing Costs"/>
      <sheetName val="0910 - Payscales"/>
      <sheetName val="Rateable Value"/>
      <sheetName val="Funding"/>
      <sheetName val="Not Funding"/>
      <sheetName val="Staffing Est."/>
    </sheetNames>
    <sheetDataSet>
      <sheetData sheetId="0"/>
      <sheetData sheetId="1"/>
      <sheetData sheetId="2"/>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LS info"/>
      <sheetName val="Holdback- all LEAs"/>
      <sheetName val="LEA Summary"/>
      <sheetName val="FTEall"/>
      <sheetName val="SEN"/>
      <sheetName val="S52 Gross"/>
      <sheetName val="S52 Sec"/>
      <sheetName val="Section52"/>
    </sheetNames>
    <sheetDataSet>
      <sheetData sheetId="0"/>
      <sheetData sheetId="1"/>
      <sheetData sheetId="2"/>
      <sheetData sheetId="3">
        <row r="11">
          <cell r="B11">
            <v>201</v>
          </cell>
          <cell r="C11" t="str">
            <v>City of London</v>
          </cell>
          <cell r="D11">
            <v>221</v>
          </cell>
          <cell r="E11">
            <v>0</v>
          </cell>
          <cell r="F11">
            <v>0</v>
          </cell>
          <cell r="H11">
            <v>0</v>
          </cell>
          <cell r="I11">
            <v>0</v>
          </cell>
          <cell r="J11">
            <v>0</v>
          </cell>
          <cell r="L11">
            <v>221</v>
          </cell>
          <cell r="M11">
            <v>0</v>
          </cell>
          <cell r="N11">
            <v>0</v>
          </cell>
          <cell r="O11">
            <v>221</v>
          </cell>
          <cell r="Q11">
            <v>1</v>
          </cell>
          <cell r="R11">
            <v>0</v>
          </cell>
          <cell r="S11">
            <v>0</v>
          </cell>
        </row>
        <row r="12">
          <cell r="B12">
            <v>202</v>
          </cell>
          <cell r="C12" t="str">
            <v>Camden</v>
          </cell>
          <cell r="D12">
            <v>11340</v>
          </cell>
          <cell r="E12">
            <v>9774.5</v>
          </cell>
          <cell r="F12">
            <v>303</v>
          </cell>
          <cell r="H12">
            <v>2</v>
          </cell>
          <cell r="I12">
            <v>0</v>
          </cell>
          <cell r="J12">
            <v>152</v>
          </cell>
          <cell r="L12">
            <v>11342</v>
          </cell>
          <cell r="M12">
            <v>9774.5</v>
          </cell>
          <cell r="N12">
            <v>455</v>
          </cell>
          <cell r="O12">
            <v>21571.5</v>
          </cell>
          <cell r="Q12">
            <v>0.52578633845583289</v>
          </cell>
          <cell r="R12">
            <v>0.45312101615557565</v>
          </cell>
          <cell r="S12">
            <v>2.109264538859143E-2</v>
          </cell>
        </row>
        <row r="13">
          <cell r="B13">
            <v>203</v>
          </cell>
          <cell r="C13" t="str">
            <v>Greenwich</v>
          </cell>
          <cell r="D13">
            <v>19542.5</v>
          </cell>
          <cell r="E13">
            <v>15161.5</v>
          </cell>
          <cell r="F13">
            <v>394</v>
          </cell>
          <cell r="H13">
            <v>18.5</v>
          </cell>
          <cell r="I13">
            <v>1</v>
          </cell>
          <cell r="J13">
            <v>0</v>
          </cell>
          <cell r="L13">
            <v>19561</v>
          </cell>
          <cell r="M13">
            <v>15162.5</v>
          </cell>
          <cell r="N13">
            <v>394</v>
          </cell>
          <cell r="O13">
            <v>35117.5</v>
          </cell>
          <cell r="Q13">
            <v>0.55701573289670392</v>
          </cell>
          <cell r="R13">
            <v>0.43176478963479747</v>
          </cell>
          <cell r="S13">
            <v>1.1219477468498612E-2</v>
          </cell>
        </row>
        <row r="14">
          <cell r="B14">
            <v>204</v>
          </cell>
          <cell r="C14" t="str">
            <v>Hackney</v>
          </cell>
          <cell r="D14">
            <v>17387.5</v>
          </cell>
          <cell r="E14">
            <v>7222</v>
          </cell>
          <cell r="F14">
            <v>373</v>
          </cell>
          <cell r="H14">
            <v>3</v>
          </cell>
          <cell r="I14">
            <v>2</v>
          </cell>
          <cell r="J14">
            <v>0</v>
          </cell>
          <cell r="L14">
            <v>17390.5</v>
          </cell>
          <cell r="M14">
            <v>7224</v>
          </cell>
          <cell r="N14">
            <v>373</v>
          </cell>
          <cell r="O14">
            <v>24987.5</v>
          </cell>
          <cell r="Q14">
            <v>0.695967983991996</v>
          </cell>
          <cell r="R14">
            <v>0.28910455227613807</v>
          </cell>
          <cell r="S14">
            <v>1.4927463731865933E-2</v>
          </cell>
        </row>
        <row r="15">
          <cell r="B15">
            <v>205</v>
          </cell>
          <cell r="C15" t="str">
            <v>Hammersmith and Fulham</v>
          </cell>
          <cell r="D15">
            <v>9553.5</v>
          </cell>
          <cell r="E15">
            <v>7049</v>
          </cell>
          <cell r="F15">
            <v>269.5</v>
          </cell>
          <cell r="H15">
            <v>1</v>
          </cell>
          <cell r="I15">
            <v>0</v>
          </cell>
          <cell r="J15">
            <v>0</v>
          </cell>
          <cell r="L15">
            <v>9554.5</v>
          </cell>
          <cell r="M15">
            <v>7049</v>
          </cell>
          <cell r="N15">
            <v>269.5</v>
          </cell>
          <cell r="O15">
            <v>16873</v>
          </cell>
          <cell r="Q15">
            <v>0.56625970485390864</v>
          </cell>
          <cell r="R15">
            <v>0.41776803176672789</v>
          </cell>
          <cell r="S15">
            <v>1.5972263379363479E-2</v>
          </cell>
        </row>
        <row r="16">
          <cell r="B16">
            <v>206</v>
          </cell>
          <cell r="C16" t="str">
            <v>Islington</v>
          </cell>
          <cell r="D16">
            <v>14266.5</v>
          </cell>
          <cell r="E16">
            <v>7971</v>
          </cell>
          <cell r="F16">
            <v>265</v>
          </cell>
          <cell r="H16">
            <v>3.5</v>
          </cell>
          <cell r="I16">
            <v>1</v>
          </cell>
          <cell r="J16">
            <v>0</v>
          </cell>
          <cell r="L16">
            <v>14270</v>
          </cell>
          <cell r="M16">
            <v>7972</v>
          </cell>
          <cell r="N16">
            <v>265</v>
          </cell>
          <cell r="O16">
            <v>22507</v>
          </cell>
          <cell r="Q16">
            <v>0.63402497000933045</v>
          </cell>
          <cell r="R16">
            <v>0.35420091527080466</v>
          </cell>
          <cell r="S16">
            <v>1.177411471986493E-2</v>
          </cell>
        </row>
        <row r="17">
          <cell r="B17">
            <v>207</v>
          </cell>
          <cell r="C17" t="str">
            <v>Kensington and Chelsea</v>
          </cell>
          <cell r="D17">
            <v>7068</v>
          </cell>
          <cell r="E17">
            <v>3503</v>
          </cell>
          <cell r="F17">
            <v>78</v>
          </cell>
          <cell r="H17">
            <v>0</v>
          </cell>
          <cell r="I17">
            <v>2</v>
          </cell>
          <cell r="J17">
            <v>42</v>
          </cell>
          <cell r="L17">
            <v>7068</v>
          </cell>
          <cell r="M17">
            <v>3505</v>
          </cell>
          <cell r="N17">
            <v>120</v>
          </cell>
          <cell r="O17">
            <v>10693</v>
          </cell>
          <cell r="Q17">
            <v>0.66099317310389971</v>
          </cell>
          <cell r="R17">
            <v>0.32778453193678109</v>
          </cell>
          <cell r="S17">
            <v>1.122229495931918E-2</v>
          </cell>
        </row>
        <row r="18">
          <cell r="B18">
            <v>208</v>
          </cell>
          <cell r="C18" t="str">
            <v>Lambeth</v>
          </cell>
          <cell r="D18">
            <v>19076.5</v>
          </cell>
          <cell r="E18">
            <v>7907</v>
          </cell>
          <cell r="F18">
            <v>492</v>
          </cell>
          <cell r="H18">
            <v>9</v>
          </cell>
          <cell r="I18">
            <v>0</v>
          </cell>
          <cell r="J18">
            <v>1</v>
          </cell>
          <cell r="L18">
            <v>19085.5</v>
          </cell>
          <cell r="M18">
            <v>7907</v>
          </cell>
          <cell r="N18">
            <v>493</v>
          </cell>
          <cell r="O18">
            <v>27485.5</v>
          </cell>
          <cell r="Q18">
            <v>0.69438431172800208</v>
          </cell>
          <cell r="R18">
            <v>0.28767895799603427</v>
          </cell>
          <cell r="S18">
            <v>1.7936730275963691E-2</v>
          </cell>
        </row>
        <row r="19">
          <cell r="B19">
            <v>209</v>
          </cell>
          <cell r="C19" t="str">
            <v>Lewisham</v>
          </cell>
          <cell r="D19">
            <v>21000.5</v>
          </cell>
          <cell r="E19">
            <v>11708</v>
          </cell>
          <cell r="F19">
            <v>500.5</v>
          </cell>
          <cell r="H19">
            <v>7</v>
          </cell>
          <cell r="I19">
            <v>14</v>
          </cell>
          <cell r="J19">
            <v>10</v>
          </cell>
          <cell r="L19">
            <v>21007.5</v>
          </cell>
          <cell r="M19">
            <v>11722</v>
          </cell>
          <cell r="N19">
            <v>510.5</v>
          </cell>
          <cell r="O19">
            <v>33240</v>
          </cell>
          <cell r="Q19">
            <v>0.63199458483754511</v>
          </cell>
          <cell r="R19">
            <v>0.35264741275571598</v>
          </cell>
          <cell r="S19">
            <v>1.5358002406738869E-2</v>
          </cell>
        </row>
        <row r="20">
          <cell r="B20">
            <v>210</v>
          </cell>
          <cell r="C20" t="str">
            <v>Southwark</v>
          </cell>
          <cell r="D20">
            <v>22327.5</v>
          </cell>
          <cell r="E20">
            <v>10242</v>
          </cell>
          <cell r="F20">
            <v>498</v>
          </cell>
          <cell r="H20">
            <v>7</v>
          </cell>
          <cell r="I20">
            <v>0</v>
          </cell>
          <cell r="J20">
            <v>38</v>
          </cell>
          <cell r="L20">
            <v>22334.5</v>
          </cell>
          <cell r="M20">
            <v>10242</v>
          </cell>
          <cell r="N20">
            <v>536</v>
          </cell>
          <cell r="O20">
            <v>33112.5</v>
          </cell>
          <cell r="Q20">
            <v>0.67450358625896567</v>
          </cell>
          <cell r="R20">
            <v>0.30930917327293317</v>
          </cell>
          <cell r="S20">
            <v>1.6187240468101171E-2</v>
          </cell>
        </row>
        <row r="21">
          <cell r="B21">
            <v>211</v>
          </cell>
          <cell r="C21" t="str">
            <v>Tower Hamlets</v>
          </cell>
          <cell r="D21">
            <v>21620.5</v>
          </cell>
          <cell r="E21">
            <v>14178.5</v>
          </cell>
          <cell r="F21">
            <v>315.5</v>
          </cell>
          <cell r="H21">
            <v>3</v>
          </cell>
          <cell r="I21">
            <v>13</v>
          </cell>
          <cell r="J21">
            <v>21</v>
          </cell>
          <cell r="L21">
            <v>21623.5</v>
          </cell>
          <cell r="M21">
            <v>14191.5</v>
          </cell>
          <cell r="N21">
            <v>336.5</v>
          </cell>
          <cell r="O21">
            <v>36151.5</v>
          </cell>
          <cell r="Q21">
            <v>0.59813562369472917</v>
          </cell>
          <cell r="R21">
            <v>0.39255632546367369</v>
          </cell>
          <cell r="S21">
            <v>9.308050841597167E-3</v>
          </cell>
        </row>
        <row r="22">
          <cell r="B22">
            <v>212</v>
          </cell>
          <cell r="C22" t="str">
            <v>Wandsworth</v>
          </cell>
          <cell r="D22">
            <v>16845</v>
          </cell>
          <cell r="E22">
            <v>10252.5</v>
          </cell>
          <cell r="F22">
            <v>714</v>
          </cell>
          <cell r="H22">
            <v>0</v>
          </cell>
          <cell r="I22">
            <v>1</v>
          </cell>
          <cell r="J22">
            <v>0</v>
          </cell>
          <cell r="L22">
            <v>16845</v>
          </cell>
          <cell r="M22">
            <v>10253.5</v>
          </cell>
          <cell r="N22">
            <v>714</v>
          </cell>
          <cell r="O22">
            <v>27812.5</v>
          </cell>
          <cell r="Q22">
            <v>0.60566292134831456</v>
          </cell>
          <cell r="R22">
            <v>0.36866516853932585</v>
          </cell>
          <cell r="S22">
            <v>2.5671910112359551E-2</v>
          </cell>
        </row>
        <row r="23">
          <cell r="B23">
            <v>213</v>
          </cell>
          <cell r="C23" t="str">
            <v>Westminster</v>
          </cell>
          <cell r="D23">
            <v>10687</v>
          </cell>
          <cell r="E23">
            <v>8563</v>
          </cell>
          <cell r="F23">
            <v>143</v>
          </cell>
          <cell r="H23">
            <v>1</v>
          </cell>
          <cell r="I23">
            <v>1</v>
          </cell>
          <cell r="J23">
            <v>0</v>
          </cell>
          <cell r="L23">
            <v>10688</v>
          </cell>
          <cell r="M23">
            <v>8564</v>
          </cell>
          <cell r="N23">
            <v>143</v>
          </cell>
          <cell r="O23">
            <v>19395</v>
          </cell>
          <cell r="Q23">
            <v>0.55106986336684716</v>
          </cell>
          <cell r="R23">
            <v>0.44155710234596546</v>
          </cell>
          <cell r="S23">
            <v>7.3730342871874193E-3</v>
          </cell>
        </row>
        <row r="24">
          <cell r="B24">
            <v>301</v>
          </cell>
          <cell r="C24" t="str">
            <v>Barking and Dagenham</v>
          </cell>
          <cell r="D24">
            <v>17447</v>
          </cell>
          <cell r="E24">
            <v>12293</v>
          </cell>
          <cell r="F24">
            <v>224.5</v>
          </cell>
          <cell r="H24">
            <v>0</v>
          </cell>
          <cell r="I24">
            <v>0</v>
          </cell>
          <cell r="J24">
            <v>0</v>
          </cell>
          <cell r="L24">
            <v>17447</v>
          </cell>
          <cell r="M24">
            <v>12293</v>
          </cell>
          <cell r="N24">
            <v>224.5</v>
          </cell>
          <cell r="O24">
            <v>29964.5</v>
          </cell>
          <cell r="Q24">
            <v>0.58225566920856342</v>
          </cell>
          <cell r="R24">
            <v>0.41025213168916552</v>
          </cell>
          <cell r="S24">
            <v>7.4921991022710204E-3</v>
          </cell>
        </row>
        <row r="25">
          <cell r="B25">
            <v>302</v>
          </cell>
          <cell r="C25" t="str">
            <v>Barnet</v>
          </cell>
          <cell r="D25">
            <v>24971</v>
          </cell>
          <cell r="E25">
            <v>19625</v>
          </cell>
          <cell r="F25">
            <v>342.5</v>
          </cell>
          <cell r="H25">
            <v>0</v>
          </cell>
          <cell r="I25">
            <v>1</v>
          </cell>
          <cell r="J25">
            <v>1.5</v>
          </cell>
          <cell r="L25">
            <v>24971</v>
          </cell>
          <cell r="M25">
            <v>19626</v>
          </cell>
          <cell r="N25">
            <v>344</v>
          </cell>
          <cell r="O25">
            <v>44941</v>
          </cell>
          <cell r="Q25">
            <v>0.55563961638592818</v>
          </cell>
          <cell r="R25">
            <v>0.4367059032954318</v>
          </cell>
          <cell r="S25">
            <v>7.6544803186399946E-3</v>
          </cell>
        </row>
        <row r="26">
          <cell r="B26">
            <v>303</v>
          </cell>
          <cell r="C26" t="str">
            <v>Bexley</v>
          </cell>
          <cell r="D26">
            <v>19925</v>
          </cell>
          <cell r="E26">
            <v>18288</v>
          </cell>
          <cell r="F26">
            <v>441.5</v>
          </cell>
          <cell r="H26">
            <v>0</v>
          </cell>
          <cell r="I26">
            <v>0</v>
          </cell>
          <cell r="J26">
            <v>0</v>
          </cell>
          <cell r="L26">
            <v>19925</v>
          </cell>
          <cell r="M26">
            <v>18288</v>
          </cell>
          <cell r="N26">
            <v>441.5</v>
          </cell>
          <cell r="O26">
            <v>38654.5</v>
          </cell>
          <cell r="Q26">
            <v>0.51546391752577314</v>
          </cell>
          <cell r="R26">
            <v>0.47311438512980375</v>
          </cell>
          <cell r="S26">
            <v>1.142169734442303E-2</v>
          </cell>
        </row>
        <row r="27">
          <cell r="B27">
            <v>304</v>
          </cell>
          <cell r="C27" t="str">
            <v>Brent</v>
          </cell>
          <cell r="D27">
            <v>22140.5</v>
          </cell>
          <cell r="E27">
            <v>16131</v>
          </cell>
          <cell r="F27">
            <v>422</v>
          </cell>
          <cell r="H27">
            <v>1</v>
          </cell>
          <cell r="I27">
            <v>17</v>
          </cell>
          <cell r="J27">
            <v>0</v>
          </cell>
          <cell r="L27">
            <v>22141.5</v>
          </cell>
          <cell r="M27">
            <v>16148</v>
          </cell>
          <cell r="N27">
            <v>422</v>
          </cell>
          <cell r="O27">
            <v>38711.5</v>
          </cell>
          <cell r="Q27">
            <v>0.57196182013096886</v>
          </cell>
          <cell r="R27">
            <v>0.41713702646500395</v>
          </cell>
          <cell r="S27">
            <v>1.0901153404027227E-2</v>
          </cell>
        </row>
        <row r="28">
          <cell r="B28">
            <v>305</v>
          </cell>
          <cell r="C28" t="str">
            <v>Bromley</v>
          </cell>
          <cell r="D28">
            <v>23913.5</v>
          </cell>
          <cell r="E28">
            <v>22324</v>
          </cell>
          <cell r="F28">
            <v>467</v>
          </cell>
          <cell r="H28">
            <v>5</v>
          </cell>
          <cell r="I28">
            <v>5</v>
          </cell>
          <cell r="J28">
            <v>1</v>
          </cell>
          <cell r="L28">
            <v>23918.5</v>
          </cell>
          <cell r="M28">
            <v>22329</v>
          </cell>
          <cell r="N28">
            <v>468</v>
          </cell>
          <cell r="O28">
            <v>46715.5</v>
          </cell>
          <cell r="Q28">
            <v>0.51200351061210947</v>
          </cell>
          <cell r="R28">
            <v>0.47797840117305818</v>
          </cell>
          <cell r="S28">
            <v>1.0018088214832336E-2</v>
          </cell>
        </row>
        <row r="29">
          <cell r="B29">
            <v>306</v>
          </cell>
          <cell r="C29" t="str">
            <v>Croydon</v>
          </cell>
          <cell r="D29">
            <v>28723.5</v>
          </cell>
          <cell r="E29">
            <v>18743</v>
          </cell>
          <cell r="F29">
            <v>553</v>
          </cell>
          <cell r="H29">
            <v>15</v>
          </cell>
          <cell r="I29">
            <v>6</v>
          </cell>
          <cell r="J29">
            <v>6</v>
          </cell>
          <cell r="L29">
            <v>28738.5</v>
          </cell>
          <cell r="M29">
            <v>18749</v>
          </cell>
          <cell r="N29">
            <v>559</v>
          </cell>
          <cell r="O29">
            <v>48046.5</v>
          </cell>
          <cell r="Q29">
            <v>0.59813930255065406</v>
          </cell>
          <cell r="R29">
            <v>0.39022613509829018</v>
          </cell>
          <cell r="S29">
            <v>1.1634562351055748E-2</v>
          </cell>
        </row>
        <row r="30">
          <cell r="B30">
            <v>307</v>
          </cell>
          <cell r="C30" t="str">
            <v>Ealing</v>
          </cell>
          <cell r="D30">
            <v>24582.5</v>
          </cell>
          <cell r="E30">
            <v>15014</v>
          </cell>
          <cell r="F30">
            <v>486</v>
          </cell>
          <cell r="H30">
            <v>1</v>
          </cell>
          <cell r="I30">
            <v>3</v>
          </cell>
          <cell r="J30">
            <v>1</v>
          </cell>
          <cell r="L30">
            <v>24583.5</v>
          </cell>
          <cell r="M30">
            <v>15017</v>
          </cell>
          <cell r="N30">
            <v>487</v>
          </cell>
          <cell r="O30">
            <v>40087.5</v>
          </cell>
          <cell r="Q30">
            <v>0.61324602432179609</v>
          </cell>
          <cell r="R30">
            <v>0.37460555035859056</v>
          </cell>
          <cell r="S30">
            <v>1.2148425319613345E-2</v>
          </cell>
        </row>
        <row r="31">
          <cell r="B31">
            <v>308</v>
          </cell>
          <cell r="C31" t="str">
            <v>Enfield</v>
          </cell>
          <cell r="D31">
            <v>26102</v>
          </cell>
          <cell r="E31">
            <v>22061</v>
          </cell>
          <cell r="F31">
            <v>470</v>
          </cell>
          <cell r="H31">
            <v>2</v>
          </cell>
          <cell r="I31">
            <v>1</v>
          </cell>
          <cell r="J31">
            <v>3</v>
          </cell>
          <cell r="L31">
            <v>26104</v>
          </cell>
          <cell r="M31">
            <v>22062</v>
          </cell>
          <cell r="N31">
            <v>473</v>
          </cell>
          <cell r="O31">
            <v>48639</v>
          </cell>
          <cell r="Q31">
            <v>0.5366886654742079</v>
          </cell>
          <cell r="R31">
            <v>0.45358662801455624</v>
          </cell>
          <cell r="S31">
            <v>9.7247065112358397E-3</v>
          </cell>
        </row>
        <row r="32">
          <cell r="B32">
            <v>309</v>
          </cell>
          <cell r="C32" t="str">
            <v>Haringey</v>
          </cell>
          <cell r="D32">
            <v>20873</v>
          </cell>
          <cell r="E32">
            <v>11431</v>
          </cell>
          <cell r="F32">
            <v>310.5</v>
          </cell>
          <cell r="H32">
            <v>3</v>
          </cell>
          <cell r="I32">
            <v>0</v>
          </cell>
          <cell r="J32">
            <v>16</v>
          </cell>
          <cell r="L32">
            <v>20876</v>
          </cell>
          <cell r="M32">
            <v>11431</v>
          </cell>
          <cell r="N32">
            <v>326.5</v>
          </cell>
          <cell r="O32">
            <v>32633.5</v>
          </cell>
          <cell r="Q32">
            <v>0.63971072670721807</v>
          </cell>
          <cell r="R32">
            <v>0.35028421713882973</v>
          </cell>
          <cell r="S32">
            <v>1.0005056153952228E-2</v>
          </cell>
        </row>
        <row r="33">
          <cell r="B33">
            <v>310</v>
          </cell>
          <cell r="C33" t="str">
            <v>Harrow</v>
          </cell>
          <cell r="D33">
            <v>18996.5</v>
          </cell>
          <cell r="E33">
            <v>9017</v>
          </cell>
          <cell r="F33">
            <v>260</v>
          </cell>
          <cell r="H33">
            <v>3</v>
          </cell>
          <cell r="I33">
            <v>3</v>
          </cell>
          <cell r="J33">
            <v>2</v>
          </cell>
          <cell r="L33">
            <v>18999.5</v>
          </cell>
          <cell r="M33">
            <v>9020</v>
          </cell>
          <cell r="N33">
            <v>262</v>
          </cell>
          <cell r="O33">
            <v>28281.5</v>
          </cell>
          <cell r="Q33">
            <v>0.67179958630199954</v>
          </cell>
          <cell r="R33">
            <v>0.31893640719198063</v>
          </cell>
          <cell r="S33">
            <v>9.2640065060198371E-3</v>
          </cell>
        </row>
        <row r="34">
          <cell r="B34">
            <v>311</v>
          </cell>
          <cell r="C34" t="str">
            <v>Havering</v>
          </cell>
          <cell r="D34">
            <v>19370.5</v>
          </cell>
          <cell r="E34">
            <v>16513</v>
          </cell>
          <cell r="F34">
            <v>258</v>
          </cell>
          <cell r="H34">
            <v>3</v>
          </cell>
          <cell r="I34">
            <v>11</v>
          </cell>
          <cell r="J34">
            <v>1</v>
          </cell>
          <cell r="L34">
            <v>19373.5</v>
          </cell>
          <cell r="M34">
            <v>16524</v>
          </cell>
          <cell r="N34">
            <v>259</v>
          </cell>
          <cell r="O34">
            <v>36156.5</v>
          </cell>
          <cell r="Q34">
            <v>0.53582343423727408</v>
          </cell>
          <cell r="R34">
            <v>0.45701326179248547</v>
          </cell>
          <cell r="S34">
            <v>7.1633039702404828E-3</v>
          </cell>
        </row>
        <row r="35">
          <cell r="B35">
            <v>312</v>
          </cell>
          <cell r="C35" t="str">
            <v>Hillingdon</v>
          </cell>
          <cell r="D35">
            <v>22712</v>
          </cell>
          <cell r="E35">
            <v>17418</v>
          </cell>
          <cell r="F35">
            <v>467</v>
          </cell>
          <cell r="H35">
            <v>0</v>
          </cell>
          <cell r="I35">
            <v>1</v>
          </cell>
          <cell r="J35">
            <v>0</v>
          </cell>
          <cell r="L35">
            <v>22712</v>
          </cell>
          <cell r="M35">
            <v>17419</v>
          </cell>
          <cell r="N35">
            <v>467</v>
          </cell>
          <cell r="O35">
            <v>40598</v>
          </cell>
          <cell r="Q35">
            <v>0.55943642543967687</v>
          </cell>
          <cell r="R35">
            <v>0.42906054485442635</v>
          </cell>
          <cell r="S35">
            <v>1.1503029705896842E-2</v>
          </cell>
        </row>
        <row r="36">
          <cell r="B36">
            <v>313</v>
          </cell>
          <cell r="C36" t="str">
            <v>Hounslow</v>
          </cell>
          <cell r="D36">
            <v>17814.5</v>
          </cell>
          <cell r="E36">
            <v>16597</v>
          </cell>
          <cell r="F36">
            <v>384.5</v>
          </cell>
          <cell r="H36">
            <v>0</v>
          </cell>
          <cell r="I36">
            <v>1</v>
          </cell>
          <cell r="J36">
            <v>1</v>
          </cell>
          <cell r="L36">
            <v>17814.5</v>
          </cell>
          <cell r="M36">
            <v>16598</v>
          </cell>
          <cell r="N36">
            <v>385.5</v>
          </cell>
          <cell r="O36">
            <v>34798</v>
          </cell>
          <cell r="Q36">
            <v>0.51194034139893096</v>
          </cell>
          <cell r="R36">
            <v>0.47698143571469626</v>
          </cell>
          <cell r="S36">
            <v>1.1078222886372779E-2</v>
          </cell>
        </row>
        <row r="37">
          <cell r="B37">
            <v>314</v>
          </cell>
          <cell r="C37" t="str">
            <v>Kingston upon Thames</v>
          </cell>
          <cell r="D37">
            <v>10988.5</v>
          </cell>
          <cell r="E37">
            <v>9588</v>
          </cell>
          <cell r="F37">
            <v>227.5</v>
          </cell>
          <cell r="H37">
            <v>0</v>
          </cell>
          <cell r="I37">
            <v>0</v>
          </cell>
          <cell r="J37">
            <v>2</v>
          </cell>
          <cell r="L37">
            <v>10988.5</v>
          </cell>
          <cell r="M37">
            <v>9588</v>
          </cell>
          <cell r="N37">
            <v>229.5</v>
          </cell>
          <cell r="O37">
            <v>20806</v>
          </cell>
          <cell r="Q37">
            <v>0.5281409208882053</v>
          </cell>
          <cell r="R37">
            <v>0.46082860713255791</v>
          </cell>
          <cell r="S37">
            <v>1.1030471979236759E-2</v>
          </cell>
        </row>
        <row r="38">
          <cell r="B38">
            <v>315</v>
          </cell>
          <cell r="C38" t="str">
            <v>Merton</v>
          </cell>
          <cell r="D38">
            <v>13625.5</v>
          </cell>
          <cell r="E38">
            <v>8537</v>
          </cell>
          <cell r="F38">
            <v>235.5</v>
          </cell>
          <cell r="H38">
            <v>2</v>
          </cell>
          <cell r="I38">
            <v>3</v>
          </cell>
          <cell r="J38">
            <v>0</v>
          </cell>
          <cell r="L38">
            <v>13627.5</v>
          </cell>
          <cell r="M38">
            <v>8540</v>
          </cell>
          <cell r="N38">
            <v>235.5</v>
          </cell>
          <cell r="O38">
            <v>22403</v>
          </cell>
          <cell r="Q38">
            <v>0.60828906842833552</v>
          </cell>
          <cell r="R38">
            <v>0.38119894656965586</v>
          </cell>
          <cell r="S38">
            <v>1.051198500200866E-2</v>
          </cell>
        </row>
        <row r="39">
          <cell r="B39">
            <v>316</v>
          </cell>
          <cell r="C39" t="str">
            <v>Newham</v>
          </cell>
          <cell r="D39">
            <v>28746</v>
          </cell>
          <cell r="E39">
            <v>18036</v>
          </cell>
          <cell r="F39">
            <v>57</v>
          </cell>
          <cell r="H39">
            <v>38</v>
          </cell>
          <cell r="I39">
            <v>31</v>
          </cell>
          <cell r="J39">
            <v>0</v>
          </cell>
          <cell r="L39">
            <v>28784</v>
          </cell>
          <cell r="M39">
            <v>18067</v>
          </cell>
          <cell r="N39">
            <v>57</v>
          </cell>
          <cell r="O39">
            <v>46908</v>
          </cell>
          <cell r="Q39">
            <v>0.61362667348853073</v>
          </cell>
          <cell r="R39">
            <v>0.38515818197322416</v>
          </cell>
          <cell r="S39">
            <v>1.2151445382450755E-3</v>
          </cell>
        </row>
        <row r="40">
          <cell r="B40">
            <v>317</v>
          </cell>
          <cell r="C40" t="str">
            <v>Redbridge</v>
          </cell>
          <cell r="D40">
            <v>22681</v>
          </cell>
          <cell r="E40">
            <v>20313</v>
          </cell>
          <cell r="F40">
            <v>424</v>
          </cell>
          <cell r="H40">
            <v>7</v>
          </cell>
          <cell r="I40">
            <v>0</v>
          </cell>
          <cell r="J40">
            <v>2</v>
          </cell>
          <cell r="L40">
            <v>22688</v>
          </cell>
          <cell r="M40">
            <v>20313</v>
          </cell>
          <cell r="N40">
            <v>426</v>
          </cell>
          <cell r="O40">
            <v>43427</v>
          </cell>
          <cell r="Q40">
            <v>0.52243995670895982</v>
          </cell>
          <cell r="R40">
            <v>0.46775047781334195</v>
          </cell>
          <cell r="S40">
            <v>9.8095654776982066E-3</v>
          </cell>
        </row>
        <row r="41">
          <cell r="B41">
            <v>318</v>
          </cell>
          <cell r="C41" t="str">
            <v>Richmond upon Thames</v>
          </cell>
          <cell r="D41">
            <v>11938.5</v>
          </cell>
          <cell r="E41">
            <v>7287</v>
          </cell>
          <cell r="F41">
            <v>146</v>
          </cell>
          <cell r="H41">
            <v>11</v>
          </cell>
          <cell r="I41">
            <v>0</v>
          </cell>
          <cell r="J41">
            <v>0</v>
          </cell>
          <cell r="L41">
            <v>11949.5</v>
          </cell>
          <cell r="M41">
            <v>7287</v>
          </cell>
          <cell r="N41">
            <v>146</v>
          </cell>
          <cell r="O41">
            <v>19382.5</v>
          </cell>
          <cell r="Q41">
            <v>0.61650973816587129</v>
          </cell>
          <cell r="R41">
            <v>0.37595769379594995</v>
          </cell>
          <cell r="S41">
            <v>7.5325680381787691E-3</v>
          </cell>
        </row>
        <row r="42">
          <cell r="B42">
            <v>319</v>
          </cell>
          <cell r="C42" t="str">
            <v>Sutton</v>
          </cell>
          <cell r="D42">
            <v>14365.5</v>
          </cell>
          <cell r="E42">
            <v>15958</v>
          </cell>
          <cell r="F42">
            <v>272</v>
          </cell>
          <cell r="H42">
            <v>0</v>
          </cell>
          <cell r="I42">
            <v>9</v>
          </cell>
          <cell r="J42">
            <v>0</v>
          </cell>
          <cell r="L42">
            <v>14365.5</v>
          </cell>
          <cell r="M42">
            <v>15967</v>
          </cell>
          <cell r="N42">
            <v>272</v>
          </cell>
          <cell r="O42">
            <v>30604.5</v>
          </cell>
          <cell r="Q42">
            <v>0.4693917561142969</v>
          </cell>
          <cell r="R42">
            <v>0.52172066199415124</v>
          </cell>
          <cell r="S42">
            <v>8.8875818915518951E-3</v>
          </cell>
        </row>
        <row r="43">
          <cell r="B43">
            <v>320</v>
          </cell>
          <cell r="C43" t="str">
            <v>Waltham Forest</v>
          </cell>
          <cell r="D43">
            <v>19851</v>
          </cell>
          <cell r="E43">
            <v>14010</v>
          </cell>
          <cell r="F43">
            <v>633</v>
          </cell>
          <cell r="H43">
            <v>1</v>
          </cell>
          <cell r="I43">
            <v>2</v>
          </cell>
          <cell r="J43">
            <v>1</v>
          </cell>
          <cell r="L43">
            <v>19852</v>
          </cell>
          <cell r="M43">
            <v>14012</v>
          </cell>
          <cell r="N43">
            <v>634</v>
          </cell>
          <cell r="O43">
            <v>34498</v>
          </cell>
          <cell r="Q43">
            <v>0.57545364948692679</v>
          </cell>
          <cell r="R43">
            <v>0.40616847353469765</v>
          </cell>
          <cell r="S43">
            <v>1.8377876978375559E-2</v>
          </cell>
        </row>
        <row r="44">
          <cell r="B44">
            <v>330</v>
          </cell>
          <cell r="C44" t="str">
            <v>Birmingham</v>
          </cell>
          <cell r="D44">
            <v>99450.5</v>
          </cell>
          <cell r="E44">
            <v>70402.5</v>
          </cell>
          <cell r="F44">
            <v>2997</v>
          </cell>
          <cell r="H44">
            <v>75.5</v>
          </cell>
          <cell r="I44">
            <v>168</v>
          </cell>
          <cell r="J44">
            <v>184.5</v>
          </cell>
          <cell r="L44">
            <v>99526</v>
          </cell>
          <cell r="M44">
            <v>70570.5</v>
          </cell>
          <cell r="N44">
            <v>3181.5</v>
          </cell>
          <cell r="O44">
            <v>173278</v>
          </cell>
          <cell r="Q44">
            <v>0.57437181869596832</v>
          </cell>
          <cell r="R44">
            <v>0.40726751232124103</v>
          </cell>
          <cell r="S44">
            <v>1.8360668982790661E-2</v>
          </cell>
        </row>
        <row r="45">
          <cell r="B45">
            <v>331</v>
          </cell>
          <cell r="C45" t="str">
            <v>Coventry</v>
          </cell>
          <cell r="D45">
            <v>26034</v>
          </cell>
          <cell r="E45">
            <v>21291</v>
          </cell>
          <cell r="F45">
            <v>806</v>
          </cell>
          <cell r="H45">
            <v>6.5</v>
          </cell>
          <cell r="I45">
            <v>1</v>
          </cell>
          <cell r="J45">
            <v>8.5</v>
          </cell>
          <cell r="L45">
            <v>26040.5</v>
          </cell>
          <cell r="M45">
            <v>21292</v>
          </cell>
          <cell r="N45">
            <v>814.5</v>
          </cell>
          <cell r="O45">
            <v>48147</v>
          </cell>
          <cell r="Q45">
            <v>0.54085405113506557</v>
          </cell>
          <cell r="R45">
            <v>0.44222900699939766</v>
          </cell>
          <cell r="S45">
            <v>1.6916941865536793E-2</v>
          </cell>
        </row>
        <row r="46">
          <cell r="B46">
            <v>332</v>
          </cell>
          <cell r="C46" t="str">
            <v>Dudley</v>
          </cell>
          <cell r="D46">
            <v>27515</v>
          </cell>
          <cell r="E46">
            <v>20866</v>
          </cell>
          <cell r="F46">
            <v>642</v>
          </cell>
          <cell r="H46">
            <v>9</v>
          </cell>
          <cell r="I46">
            <v>4</v>
          </cell>
          <cell r="J46">
            <v>2</v>
          </cell>
          <cell r="L46">
            <v>27524</v>
          </cell>
          <cell r="M46">
            <v>20870</v>
          </cell>
          <cell r="N46">
            <v>644</v>
          </cell>
          <cell r="O46">
            <v>49038</v>
          </cell>
          <cell r="Q46">
            <v>0.56127900811615483</v>
          </cell>
          <cell r="R46">
            <v>0.42558831926261265</v>
          </cell>
          <cell r="S46">
            <v>1.3132672621232513E-2</v>
          </cell>
        </row>
        <row r="47">
          <cell r="B47">
            <v>333</v>
          </cell>
          <cell r="C47" t="str">
            <v>Sandwell</v>
          </cell>
          <cell r="D47">
            <v>28358.5</v>
          </cell>
          <cell r="E47">
            <v>19972</v>
          </cell>
          <cell r="F47">
            <v>386</v>
          </cell>
          <cell r="H47">
            <v>5</v>
          </cell>
          <cell r="I47">
            <v>7</v>
          </cell>
          <cell r="J47">
            <v>25</v>
          </cell>
          <cell r="L47">
            <v>28363.5</v>
          </cell>
          <cell r="M47">
            <v>19979</v>
          </cell>
          <cell r="N47">
            <v>411</v>
          </cell>
          <cell r="O47">
            <v>48753.5</v>
          </cell>
          <cell r="Q47">
            <v>0.58177361625319213</v>
          </cell>
          <cell r="R47">
            <v>0.40979621975858144</v>
          </cell>
          <cell r="S47">
            <v>8.430163988226486E-3</v>
          </cell>
        </row>
        <row r="48">
          <cell r="B48">
            <v>334</v>
          </cell>
          <cell r="C48" t="str">
            <v>Solihull</v>
          </cell>
          <cell r="D48">
            <v>19322.5</v>
          </cell>
          <cell r="E48">
            <v>15619</v>
          </cell>
          <cell r="F48">
            <v>367.5</v>
          </cell>
          <cell r="H48">
            <v>21</v>
          </cell>
          <cell r="I48">
            <v>77</v>
          </cell>
          <cell r="J48">
            <v>3</v>
          </cell>
          <cell r="L48">
            <v>19343.5</v>
          </cell>
          <cell r="M48">
            <v>15696</v>
          </cell>
          <cell r="N48">
            <v>370.5</v>
          </cell>
          <cell r="O48">
            <v>35410</v>
          </cell>
          <cell r="Q48">
            <v>0.54627223948037273</v>
          </cell>
          <cell r="R48">
            <v>0.44326461451567356</v>
          </cell>
          <cell r="S48">
            <v>1.0463146003953686E-2</v>
          </cell>
        </row>
        <row r="49">
          <cell r="B49">
            <v>335</v>
          </cell>
          <cell r="C49" t="str">
            <v>Walsall</v>
          </cell>
          <cell r="D49">
            <v>24841</v>
          </cell>
          <cell r="E49">
            <v>21201</v>
          </cell>
          <cell r="F49">
            <v>495.5</v>
          </cell>
          <cell r="H49">
            <v>13</v>
          </cell>
          <cell r="I49">
            <v>148</v>
          </cell>
          <cell r="J49">
            <v>3</v>
          </cell>
          <cell r="L49">
            <v>24854</v>
          </cell>
          <cell r="M49">
            <v>21349</v>
          </cell>
          <cell r="N49">
            <v>498.5</v>
          </cell>
          <cell r="O49">
            <v>46701.5</v>
          </cell>
          <cell r="Q49">
            <v>0.53218847360363153</v>
          </cell>
          <cell r="R49">
            <v>0.45713735104868153</v>
          </cell>
          <cell r="S49">
            <v>1.0674175347686905E-2</v>
          </cell>
        </row>
        <row r="50">
          <cell r="B50">
            <v>336</v>
          </cell>
          <cell r="C50" t="str">
            <v>Wolverhampton</v>
          </cell>
          <cell r="D50">
            <v>21738</v>
          </cell>
          <cell r="E50">
            <v>16896.5</v>
          </cell>
          <cell r="F50">
            <v>634</v>
          </cell>
          <cell r="H50">
            <v>10</v>
          </cell>
          <cell r="I50">
            <v>0</v>
          </cell>
          <cell r="J50">
            <v>0</v>
          </cell>
          <cell r="L50">
            <v>21748</v>
          </cell>
          <cell r="M50">
            <v>16896.5</v>
          </cell>
          <cell r="N50">
            <v>634</v>
          </cell>
          <cell r="O50">
            <v>39278.5</v>
          </cell>
          <cell r="Q50">
            <v>0.55368713163690064</v>
          </cell>
          <cell r="R50">
            <v>0.43017172244357599</v>
          </cell>
          <cell r="S50">
            <v>1.6141145919523404E-2</v>
          </cell>
        </row>
        <row r="51">
          <cell r="B51">
            <v>340</v>
          </cell>
          <cell r="C51" t="str">
            <v>Knowsley</v>
          </cell>
          <cell r="D51">
            <v>14969.5</v>
          </cell>
          <cell r="E51">
            <v>9833.5</v>
          </cell>
          <cell r="F51">
            <v>514</v>
          </cell>
          <cell r="H51">
            <v>0</v>
          </cell>
          <cell r="I51">
            <v>2</v>
          </cell>
          <cell r="J51">
            <v>1</v>
          </cell>
          <cell r="L51">
            <v>14969.5</v>
          </cell>
          <cell r="M51">
            <v>9835.5</v>
          </cell>
          <cell r="N51">
            <v>515</v>
          </cell>
          <cell r="O51">
            <v>25320</v>
          </cell>
          <cell r="Q51">
            <v>0.59121248025276463</v>
          </cell>
          <cell r="R51">
            <v>0.38844786729857822</v>
          </cell>
          <cell r="S51">
            <v>2.0339652448657188E-2</v>
          </cell>
        </row>
        <row r="52">
          <cell r="B52">
            <v>341</v>
          </cell>
          <cell r="C52" t="str">
            <v>Liverpool</v>
          </cell>
          <cell r="D52">
            <v>37234.5</v>
          </cell>
          <cell r="E52">
            <v>33088</v>
          </cell>
          <cell r="F52">
            <v>1081.5</v>
          </cell>
          <cell r="H52">
            <v>5.5</v>
          </cell>
          <cell r="I52">
            <v>36</v>
          </cell>
          <cell r="J52">
            <v>2</v>
          </cell>
          <cell r="L52">
            <v>37240</v>
          </cell>
          <cell r="M52">
            <v>33124</v>
          </cell>
          <cell r="N52">
            <v>1083.5</v>
          </cell>
          <cell r="O52">
            <v>71447.5</v>
          </cell>
          <cell r="Q52">
            <v>0.52122187620280624</v>
          </cell>
          <cell r="R52">
            <v>0.46361314251723296</v>
          </cell>
          <cell r="S52">
            <v>1.5164981279960811E-2</v>
          </cell>
        </row>
        <row r="53">
          <cell r="B53">
            <v>342</v>
          </cell>
          <cell r="C53" t="str">
            <v>St Helens</v>
          </cell>
          <cell r="D53">
            <v>15274</v>
          </cell>
          <cell r="E53">
            <v>12081</v>
          </cell>
          <cell r="F53">
            <v>326</v>
          </cell>
          <cell r="H53">
            <v>0</v>
          </cell>
          <cell r="I53">
            <v>0</v>
          </cell>
          <cell r="J53">
            <v>1</v>
          </cell>
          <cell r="L53">
            <v>15274</v>
          </cell>
          <cell r="M53">
            <v>12081</v>
          </cell>
          <cell r="N53">
            <v>327</v>
          </cell>
          <cell r="O53">
            <v>27682</v>
          </cell>
          <cell r="Q53">
            <v>0.55176649086048701</v>
          </cell>
          <cell r="R53">
            <v>0.43642077884545916</v>
          </cell>
          <cell r="S53">
            <v>1.1812730294053898E-2</v>
          </cell>
        </row>
        <row r="54">
          <cell r="B54">
            <v>343</v>
          </cell>
          <cell r="C54" t="str">
            <v>Sefton</v>
          </cell>
          <cell r="D54">
            <v>22878.5</v>
          </cell>
          <cell r="E54">
            <v>20918</v>
          </cell>
          <cell r="F54">
            <v>401</v>
          </cell>
          <cell r="H54">
            <v>0</v>
          </cell>
          <cell r="I54">
            <v>0</v>
          </cell>
          <cell r="J54">
            <v>5</v>
          </cell>
          <cell r="L54">
            <v>22878.5</v>
          </cell>
          <cell r="M54">
            <v>20918</v>
          </cell>
          <cell r="N54">
            <v>406</v>
          </cell>
          <cell r="O54">
            <v>44202.5</v>
          </cell>
          <cell r="Q54">
            <v>0.51758384706747351</v>
          </cell>
          <cell r="R54">
            <v>0.47323115208415811</v>
          </cell>
          <cell r="S54">
            <v>9.1850008483683049E-3</v>
          </cell>
        </row>
        <row r="55">
          <cell r="B55">
            <v>344</v>
          </cell>
          <cell r="C55" t="str">
            <v>Wirral</v>
          </cell>
          <cell r="D55">
            <v>26189.5</v>
          </cell>
          <cell r="E55">
            <v>24339</v>
          </cell>
          <cell r="F55">
            <v>887</v>
          </cell>
          <cell r="H55">
            <v>30</v>
          </cell>
          <cell r="I55">
            <v>26</v>
          </cell>
          <cell r="J55">
            <v>89</v>
          </cell>
          <cell r="L55">
            <v>26219.5</v>
          </cell>
          <cell r="M55">
            <v>24365</v>
          </cell>
          <cell r="N55">
            <v>976</v>
          </cell>
          <cell r="O55">
            <v>51560.5</v>
          </cell>
          <cell r="Q55">
            <v>0.50851911831731655</v>
          </cell>
          <cell r="R55">
            <v>0.47255166260994363</v>
          </cell>
          <cell r="S55">
            <v>1.892921907273979E-2</v>
          </cell>
        </row>
        <row r="56">
          <cell r="B56">
            <v>350</v>
          </cell>
          <cell r="C56" t="str">
            <v>Bolton</v>
          </cell>
          <cell r="D56">
            <v>24518.5</v>
          </cell>
          <cell r="E56">
            <v>19811</v>
          </cell>
          <cell r="F56">
            <v>441.5</v>
          </cell>
          <cell r="H56">
            <v>23.5</v>
          </cell>
          <cell r="I56">
            <v>1</v>
          </cell>
          <cell r="J56">
            <v>0</v>
          </cell>
          <cell r="L56">
            <v>24542</v>
          </cell>
          <cell r="M56">
            <v>19812</v>
          </cell>
          <cell r="N56">
            <v>441.5</v>
          </cell>
          <cell r="O56">
            <v>44795.5</v>
          </cell>
          <cell r="Q56">
            <v>0.54786753133685306</v>
          </cell>
          <cell r="R56">
            <v>0.44227656795883513</v>
          </cell>
          <cell r="S56">
            <v>9.8559007043118162E-3</v>
          </cell>
        </row>
        <row r="57">
          <cell r="B57">
            <v>351</v>
          </cell>
          <cell r="C57" t="str">
            <v>Bury</v>
          </cell>
          <cell r="D57">
            <v>15542.5</v>
          </cell>
          <cell r="E57">
            <v>11910</v>
          </cell>
          <cell r="F57">
            <v>205</v>
          </cell>
          <cell r="H57">
            <v>5</v>
          </cell>
          <cell r="I57">
            <v>1</v>
          </cell>
          <cell r="J57">
            <v>26</v>
          </cell>
          <cell r="L57">
            <v>15547.5</v>
          </cell>
          <cell r="M57">
            <v>11911</v>
          </cell>
          <cell r="N57">
            <v>231</v>
          </cell>
          <cell r="O57">
            <v>27689.5</v>
          </cell>
          <cell r="Q57">
            <v>0.56149442929630367</v>
          </cell>
          <cell r="R57">
            <v>0.43016305819895628</v>
          </cell>
          <cell r="S57">
            <v>8.3425125047400638E-3</v>
          </cell>
        </row>
        <row r="58">
          <cell r="B58">
            <v>352</v>
          </cell>
          <cell r="C58" t="str">
            <v>Manchester</v>
          </cell>
          <cell r="D58">
            <v>40429.5</v>
          </cell>
          <cell r="E58">
            <v>23761</v>
          </cell>
          <cell r="F58">
            <v>1065</v>
          </cell>
          <cell r="H58">
            <v>6</v>
          </cell>
          <cell r="I58">
            <v>0</v>
          </cell>
          <cell r="J58">
            <v>122</v>
          </cell>
          <cell r="L58">
            <v>40435.5</v>
          </cell>
          <cell r="M58">
            <v>23761</v>
          </cell>
          <cell r="N58">
            <v>1187</v>
          </cell>
          <cell r="O58">
            <v>65383.5</v>
          </cell>
          <cell r="Q58">
            <v>0.61843584390557249</v>
          </cell>
          <cell r="R58">
            <v>0.36340972875419641</v>
          </cell>
          <cell r="S58">
            <v>1.8154427340231098E-2</v>
          </cell>
        </row>
        <row r="59">
          <cell r="B59">
            <v>353</v>
          </cell>
          <cell r="C59" t="str">
            <v>Oldham</v>
          </cell>
          <cell r="D59">
            <v>22840</v>
          </cell>
          <cell r="E59">
            <v>16735.5</v>
          </cell>
          <cell r="F59">
            <v>415.5</v>
          </cell>
          <cell r="H59">
            <v>3</v>
          </cell>
          <cell r="I59">
            <v>1.5</v>
          </cell>
          <cell r="J59">
            <v>0</v>
          </cell>
          <cell r="L59">
            <v>22843</v>
          </cell>
          <cell r="M59">
            <v>16737</v>
          </cell>
          <cell r="N59">
            <v>415.5</v>
          </cell>
          <cell r="O59">
            <v>39995.5</v>
          </cell>
          <cell r="Q59">
            <v>0.57113925316598113</v>
          </cell>
          <cell r="R59">
            <v>0.41847207810878723</v>
          </cell>
          <cell r="S59">
            <v>1.0388668725231589E-2</v>
          </cell>
        </row>
        <row r="60">
          <cell r="B60">
            <v>354</v>
          </cell>
          <cell r="C60" t="str">
            <v>Rochdale</v>
          </cell>
          <cell r="D60">
            <v>19424</v>
          </cell>
          <cell r="E60">
            <v>14232.5</v>
          </cell>
          <cell r="F60">
            <v>482</v>
          </cell>
          <cell r="H60">
            <v>3.5</v>
          </cell>
          <cell r="I60">
            <v>5</v>
          </cell>
          <cell r="J60">
            <v>0</v>
          </cell>
          <cell r="L60">
            <v>19427.5</v>
          </cell>
          <cell r="M60">
            <v>14237.5</v>
          </cell>
          <cell r="N60">
            <v>482</v>
          </cell>
          <cell r="O60">
            <v>34147</v>
          </cell>
          <cell r="Q60">
            <v>0.56893724192462003</v>
          </cell>
          <cell r="R60">
            <v>0.41694731601604829</v>
          </cell>
          <cell r="S60">
            <v>1.4115442059331712E-2</v>
          </cell>
        </row>
        <row r="61">
          <cell r="B61">
            <v>355</v>
          </cell>
          <cell r="C61" t="str">
            <v>Salford</v>
          </cell>
          <cell r="D61">
            <v>19778</v>
          </cell>
          <cell r="E61">
            <v>12632</v>
          </cell>
          <cell r="F61">
            <v>465</v>
          </cell>
          <cell r="H61">
            <v>4</v>
          </cell>
          <cell r="I61">
            <v>1</v>
          </cell>
          <cell r="J61">
            <v>139</v>
          </cell>
          <cell r="L61">
            <v>19782</v>
          </cell>
          <cell r="M61">
            <v>12633</v>
          </cell>
          <cell r="N61">
            <v>604</v>
          </cell>
          <cell r="O61">
            <v>33019</v>
          </cell>
          <cell r="Q61">
            <v>0.59910960356158571</v>
          </cell>
          <cell r="R61">
            <v>0.38259789817983586</v>
          </cell>
          <cell r="S61">
            <v>1.8292498258578396E-2</v>
          </cell>
        </row>
        <row r="62">
          <cell r="B62">
            <v>356</v>
          </cell>
          <cell r="C62" t="str">
            <v>Stockport</v>
          </cell>
          <cell r="D62">
            <v>23138</v>
          </cell>
          <cell r="E62">
            <v>16643</v>
          </cell>
          <cell r="F62">
            <v>389.5</v>
          </cell>
          <cell r="H62">
            <v>5</v>
          </cell>
          <cell r="I62">
            <v>16</v>
          </cell>
          <cell r="J62">
            <v>0</v>
          </cell>
          <cell r="L62">
            <v>23143</v>
          </cell>
          <cell r="M62">
            <v>16659</v>
          </cell>
          <cell r="N62">
            <v>389.5</v>
          </cell>
          <cell r="O62">
            <v>40191.5</v>
          </cell>
          <cell r="Q62">
            <v>0.57581827003222075</v>
          </cell>
          <cell r="R62">
            <v>0.414490626127415</v>
          </cell>
          <cell r="S62">
            <v>9.6911038403642569E-3</v>
          </cell>
        </row>
        <row r="63">
          <cell r="B63">
            <v>357</v>
          </cell>
          <cell r="C63" t="str">
            <v>Tameside</v>
          </cell>
          <cell r="D63">
            <v>19447.5</v>
          </cell>
          <cell r="E63">
            <v>15856.5</v>
          </cell>
          <cell r="F63">
            <v>380</v>
          </cell>
          <cell r="H63">
            <v>6</v>
          </cell>
          <cell r="I63">
            <v>1</v>
          </cell>
          <cell r="J63">
            <v>5</v>
          </cell>
          <cell r="L63">
            <v>19453.5</v>
          </cell>
          <cell r="M63">
            <v>15857.5</v>
          </cell>
          <cell r="N63">
            <v>385</v>
          </cell>
          <cell r="O63">
            <v>35696</v>
          </cell>
          <cell r="Q63">
            <v>0.54497702823845806</v>
          </cell>
          <cell r="R63">
            <v>0.44423744957418199</v>
          </cell>
          <cell r="S63">
            <v>1.0785522187359928E-2</v>
          </cell>
        </row>
        <row r="64">
          <cell r="B64">
            <v>358</v>
          </cell>
          <cell r="C64" t="str">
            <v>Trafford</v>
          </cell>
          <cell r="D64">
            <v>18612.5</v>
          </cell>
          <cell r="E64">
            <v>16076</v>
          </cell>
          <cell r="F64">
            <v>432</v>
          </cell>
          <cell r="H64">
            <v>2</v>
          </cell>
          <cell r="I64">
            <v>3</v>
          </cell>
          <cell r="J64">
            <v>4</v>
          </cell>
          <cell r="L64">
            <v>18614.5</v>
          </cell>
          <cell r="M64">
            <v>16079</v>
          </cell>
          <cell r="N64">
            <v>436</v>
          </cell>
          <cell r="O64">
            <v>35129.5</v>
          </cell>
          <cell r="Q64">
            <v>0.52988229266001508</v>
          </cell>
          <cell r="R64">
            <v>0.45770648600179337</v>
          </cell>
          <cell r="S64">
            <v>1.2411221338191548E-2</v>
          </cell>
        </row>
        <row r="65">
          <cell r="B65">
            <v>359</v>
          </cell>
          <cell r="C65" t="str">
            <v>Wigan</v>
          </cell>
          <cell r="D65">
            <v>25862</v>
          </cell>
          <cell r="E65">
            <v>21207</v>
          </cell>
          <cell r="F65">
            <v>774</v>
          </cell>
          <cell r="H65">
            <v>5</v>
          </cell>
          <cell r="I65">
            <v>2</v>
          </cell>
          <cell r="J65">
            <v>1</v>
          </cell>
          <cell r="L65">
            <v>25867</v>
          </cell>
          <cell r="M65">
            <v>21209</v>
          </cell>
          <cell r="N65">
            <v>775</v>
          </cell>
          <cell r="O65">
            <v>47851</v>
          </cell>
          <cell r="Q65">
            <v>0.54057386470502189</v>
          </cell>
          <cell r="R65">
            <v>0.44323002654072013</v>
          </cell>
          <cell r="S65">
            <v>1.6196108754258011E-2</v>
          </cell>
        </row>
        <row r="66">
          <cell r="B66">
            <v>370</v>
          </cell>
          <cell r="C66" t="str">
            <v>Barnsley</v>
          </cell>
          <cell r="D66">
            <v>19623</v>
          </cell>
          <cell r="E66">
            <v>13652</v>
          </cell>
          <cell r="F66">
            <v>154.5</v>
          </cell>
          <cell r="H66">
            <v>1</v>
          </cell>
          <cell r="I66">
            <v>3</v>
          </cell>
          <cell r="J66">
            <v>0</v>
          </cell>
          <cell r="L66">
            <v>19624</v>
          </cell>
          <cell r="M66">
            <v>13655</v>
          </cell>
          <cell r="N66">
            <v>154.5</v>
          </cell>
          <cell r="O66">
            <v>33433.5</v>
          </cell>
          <cell r="Q66">
            <v>0.58695619662912946</v>
          </cell>
          <cell r="R66">
            <v>0.40842268981709962</v>
          </cell>
          <cell r="S66">
            <v>4.6211135537709185E-3</v>
          </cell>
        </row>
        <row r="67">
          <cell r="B67">
            <v>371</v>
          </cell>
          <cell r="C67" t="str">
            <v>Doncaster</v>
          </cell>
          <cell r="D67">
            <v>26004.5</v>
          </cell>
          <cell r="E67">
            <v>21952.5</v>
          </cell>
          <cell r="F67">
            <v>568</v>
          </cell>
          <cell r="H67">
            <v>19</v>
          </cell>
          <cell r="I67">
            <v>7</v>
          </cell>
          <cell r="J67">
            <v>1.5</v>
          </cell>
          <cell r="L67">
            <v>26023.5</v>
          </cell>
          <cell r="M67">
            <v>21959.5</v>
          </cell>
          <cell r="N67">
            <v>569.5</v>
          </cell>
          <cell r="O67">
            <v>48552.5</v>
          </cell>
          <cell r="Q67">
            <v>0.53598681839246176</v>
          </cell>
          <cell r="R67">
            <v>0.45228361052468979</v>
          </cell>
          <cell r="S67">
            <v>1.1729571082848464E-2</v>
          </cell>
        </row>
        <row r="68">
          <cell r="B68">
            <v>372</v>
          </cell>
          <cell r="C68" t="str">
            <v>Rotherham</v>
          </cell>
          <cell r="D68">
            <v>23142.5</v>
          </cell>
          <cell r="E68">
            <v>20338</v>
          </cell>
          <cell r="F68">
            <v>642</v>
          </cell>
          <cell r="H68">
            <v>17.5</v>
          </cell>
          <cell r="I68">
            <v>4</v>
          </cell>
          <cell r="J68">
            <v>1</v>
          </cell>
          <cell r="L68">
            <v>23160</v>
          </cell>
          <cell r="M68">
            <v>20342</v>
          </cell>
          <cell r="N68">
            <v>643</v>
          </cell>
          <cell r="O68">
            <v>44145</v>
          </cell>
          <cell r="Q68">
            <v>0.52463472646958886</v>
          </cell>
          <cell r="R68">
            <v>0.46079963755804737</v>
          </cell>
          <cell r="S68">
            <v>1.4565635972363801E-2</v>
          </cell>
        </row>
        <row r="69">
          <cell r="B69">
            <v>373</v>
          </cell>
          <cell r="C69" t="str">
            <v>Sheffield</v>
          </cell>
          <cell r="D69">
            <v>41550.5</v>
          </cell>
          <cell r="E69">
            <v>31582</v>
          </cell>
          <cell r="F69">
            <v>820.5</v>
          </cell>
          <cell r="H69">
            <v>2</v>
          </cell>
          <cell r="I69">
            <v>16</v>
          </cell>
          <cell r="J69">
            <v>34</v>
          </cell>
          <cell r="L69">
            <v>41552.5</v>
          </cell>
          <cell r="M69">
            <v>31598</v>
          </cell>
          <cell r="N69">
            <v>854.5</v>
          </cell>
          <cell r="O69">
            <v>74005</v>
          </cell>
          <cell r="Q69">
            <v>0.56148233227484634</v>
          </cell>
          <cell r="R69">
            <v>0.42697115059793256</v>
          </cell>
          <cell r="S69">
            <v>1.1546517127221134E-2</v>
          </cell>
        </row>
        <row r="70">
          <cell r="B70">
            <v>380</v>
          </cell>
          <cell r="C70" t="str">
            <v>Bradford</v>
          </cell>
          <cell r="D70">
            <v>48387</v>
          </cell>
          <cell r="E70">
            <v>34467</v>
          </cell>
          <cell r="F70">
            <v>879.5</v>
          </cell>
          <cell r="H70">
            <v>8</v>
          </cell>
          <cell r="I70">
            <v>23</v>
          </cell>
          <cell r="J70">
            <v>0</v>
          </cell>
          <cell r="L70">
            <v>48395</v>
          </cell>
          <cell r="M70">
            <v>34490</v>
          </cell>
          <cell r="N70">
            <v>879.5</v>
          </cell>
          <cell r="O70">
            <v>83764.5</v>
          </cell>
          <cell r="Q70">
            <v>0.57775071778617437</v>
          </cell>
          <cell r="R70">
            <v>0.4117496075306365</v>
          </cell>
          <cell r="S70">
            <v>1.0499674683189179E-2</v>
          </cell>
        </row>
        <row r="71">
          <cell r="B71">
            <v>381</v>
          </cell>
          <cell r="C71" t="str">
            <v>Calderdale</v>
          </cell>
          <cell r="D71">
            <v>18437</v>
          </cell>
          <cell r="E71">
            <v>15594</v>
          </cell>
          <cell r="F71">
            <v>195</v>
          </cell>
          <cell r="H71">
            <v>3</v>
          </cell>
          <cell r="I71">
            <v>5</v>
          </cell>
          <cell r="J71">
            <v>0</v>
          </cell>
          <cell r="L71">
            <v>18440</v>
          </cell>
          <cell r="M71">
            <v>15599</v>
          </cell>
          <cell r="N71">
            <v>195</v>
          </cell>
          <cell r="O71">
            <v>34234</v>
          </cell>
          <cell r="Q71">
            <v>0.5386457907343577</v>
          </cell>
          <cell r="R71">
            <v>0.45565811766080505</v>
          </cell>
          <cell r="S71">
            <v>5.696091604837296E-3</v>
          </cell>
        </row>
        <row r="72">
          <cell r="B72">
            <v>382</v>
          </cell>
          <cell r="C72" t="str">
            <v>Kirklees</v>
          </cell>
          <cell r="D72">
            <v>34528.5</v>
          </cell>
          <cell r="E72">
            <v>26508</v>
          </cell>
          <cell r="F72">
            <v>646.5</v>
          </cell>
          <cell r="H72">
            <v>8</v>
          </cell>
          <cell r="I72">
            <v>69</v>
          </cell>
          <cell r="J72">
            <v>0</v>
          </cell>
          <cell r="L72">
            <v>34536.5</v>
          </cell>
          <cell r="M72">
            <v>26577</v>
          </cell>
          <cell r="N72">
            <v>646.5</v>
          </cell>
          <cell r="O72">
            <v>61760</v>
          </cell>
          <cell r="Q72">
            <v>0.55920498704663213</v>
          </cell>
          <cell r="R72">
            <v>0.4303270725388601</v>
          </cell>
          <cell r="S72">
            <v>1.0467940414507772E-2</v>
          </cell>
        </row>
        <row r="73">
          <cell r="B73">
            <v>383</v>
          </cell>
          <cell r="C73" t="str">
            <v>Leeds</v>
          </cell>
          <cell r="D73">
            <v>59227.5</v>
          </cell>
          <cell r="E73">
            <v>48059.5</v>
          </cell>
          <cell r="F73">
            <v>879.5</v>
          </cell>
          <cell r="H73">
            <v>3.5</v>
          </cell>
          <cell r="I73">
            <v>30</v>
          </cell>
          <cell r="J73">
            <v>7</v>
          </cell>
          <cell r="L73">
            <v>59231</v>
          </cell>
          <cell r="M73">
            <v>48089.5</v>
          </cell>
          <cell r="N73">
            <v>886.5</v>
          </cell>
          <cell r="O73">
            <v>108207</v>
          </cell>
          <cell r="Q73">
            <v>0.54738602863031038</v>
          </cell>
          <cell r="R73">
            <v>0.44442134057870564</v>
          </cell>
          <cell r="S73">
            <v>8.1926307909839478E-3</v>
          </cell>
        </row>
        <row r="74">
          <cell r="B74">
            <v>384</v>
          </cell>
          <cell r="C74" t="str">
            <v>Wakefield</v>
          </cell>
          <cell r="D74">
            <v>27264</v>
          </cell>
          <cell r="E74">
            <v>22347</v>
          </cell>
          <cell r="F74">
            <v>396</v>
          </cell>
          <cell r="H74">
            <v>0.5</v>
          </cell>
          <cell r="I74">
            <v>15</v>
          </cell>
          <cell r="J74">
            <v>20.5</v>
          </cell>
          <cell r="L74">
            <v>27264.5</v>
          </cell>
          <cell r="M74">
            <v>22362</v>
          </cell>
          <cell r="N74">
            <v>416.5</v>
          </cell>
          <cell r="O74">
            <v>50043</v>
          </cell>
          <cell r="Q74">
            <v>0.54482145354994704</v>
          </cell>
          <cell r="R74">
            <v>0.44685570409447872</v>
          </cell>
          <cell r="S74">
            <v>8.3228423555742059E-3</v>
          </cell>
        </row>
        <row r="75">
          <cell r="B75">
            <v>390</v>
          </cell>
          <cell r="C75" t="str">
            <v>Gateshead</v>
          </cell>
          <cell r="D75">
            <v>15702.5</v>
          </cell>
          <cell r="E75">
            <v>11982.5</v>
          </cell>
          <cell r="F75">
            <v>369.5</v>
          </cell>
          <cell r="H75">
            <v>0</v>
          </cell>
          <cell r="I75">
            <v>0</v>
          </cell>
          <cell r="J75">
            <v>1.5</v>
          </cell>
          <cell r="L75">
            <v>15702.5</v>
          </cell>
          <cell r="M75">
            <v>11982.5</v>
          </cell>
          <cell r="N75">
            <v>371</v>
          </cell>
          <cell r="O75">
            <v>28056</v>
          </cell>
          <cell r="Q75">
            <v>0.55968420302252642</v>
          </cell>
          <cell r="R75">
            <v>0.42709224408326207</v>
          </cell>
          <cell r="S75">
            <v>1.3223552894211578E-2</v>
          </cell>
        </row>
        <row r="76">
          <cell r="B76">
            <v>391</v>
          </cell>
          <cell r="C76" t="str">
            <v>Newcastle upon Tyne</v>
          </cell>
          <cell r="D76">
            <v>19379.5</v>
          </cell>
          <cell r="E76">
            <v>17059</v>
          </cell>
          <cell r="F76">
            <v>448</v>
          </cell>
          <cell r="H76">
            <v>4.5</v>
          </cell>
          <cell r="I76">
            <v>23</v>
          </cell>
          <cell r="J76">
            <v>118</v>
          </cell>
          <cell r="L76">
            <v>19384</v>
          </cell>
          <cell r="M76">
            <v>17082</v>
          </cell>
          <cell r="N76">
            <v>566</v>
          </cell>
          <cell r="O76">
            <v>37032</v>
          </cell>
          <cell r="Q76">
            <v>0.52343918772953124</v>
          </cell>
          <cell r="R76">
            <v>0.46127673363577448</v>
          </cell>
          <cell r="S76">
            <v>1.5284078634694319E-2</v>
          </cell>
        </row>
        <row r="77">
          <cell r="B77">
            <v>392</v>
          </cell>
          <cell r="C77" t="str">
            <v>North Tyneside</v>
          </cell>
          <cell r="D77">
            <v>15313.5</v>
          </cell>
          <cell r="E77">
            <v>13819</v>
          </cell>
          <cell r="F77">
            <v>415.5</v>
          </cell>
          <cell r="H77">
            <v>4</v>
          </cell>
          <cell r="I77">
            <v>8</v>
          </cell>
          <cell r="J77">
            <v>22</v>
          </cell>
          <cell r="L77">
            <v>15317.5</v>
          </cell>
          <cell r="M77">
            <v>13827</v>
          </cell>
          <cell r="N77">
            <v>437.5</v>
          </cell>
          <cell r="O77">
            <v>29582</v>
          </cell>
          <cell r="Q77">
            <v>0.5177979852613076</v>
          </cell>
          <cell r="R77">
            <v>0.46741261577986615</v>
          </cell>
          <cell r="S77">
            <v>1.4789398958826314E-2</v>
          </cell>
        </row>
        <row r="78">
          <cell r="B78">
            <v>393</v>
          </cell>
          <cell r="C78" t="str">
            <v>South Tyneside</v>
          </cell>
          <cell r="D78">
            <v>12460</v>
          </cell>
          <cell r="E78">
            <v>10108</v>
          </cell>
          <cell r="F78">
            <v>505.5</v>
          </cell>
          <cell r="H78">
            <v>9</v>
          </cell>
          <cell r="I78">
            <v>1</v>
          </cell>
          <cell r="J78">
            <v>0</v>
          </cell>
          <cell r="L78">
            <v>12469</v>
          </cell>
          <cell r="M78">
            <v>10109</v>
          </cell>
          <cell r="N78">
            <v>505.5</v>
          </cell>
          <cell r="O78">
            <v>23083.5</v>
          </cell>
          <cell r="Q78">
            <v>0.54016938505859169</v>
          </cell>
          <cell r="R78">
            <v>0.4379318560876817</v>
          </cell>
          <cell r="S78">
            <v>2.1898758853726687E-2</v>
          </cell>
        </row>
        <row r="79">
          <cell r="B79">
            <v>394</v>
          </cell>
          <cell r="C79" t="str">
            <v>Sunderland</v>
          </cell>
          <cell r="D79">
            <v>23807</v>
          </cell>
          <cell r="E79">
            <v>19544.5</v>
          </cell>
          <cell r="F79">
            <v>669</v>
          </cell>
          <cell r="H79">
            <v>2</v>
          </cell>
          <cell r="I79">
            <v>1</v>
          </cell>
          <cell r="J79">
            <v>1</v>
          </cell>
          <cell r="L79">
            <v>23809</v>
          </cell>
          <cell r="M79">
            <v>19545.5</v>
          </cell>
          <cell r="N79">
            <v>670</v>
          </cell>
          <cell r="O79">
            <v>44024.5</v>
          </cell>
          <cell r="Q79">
            <v>0.54081250212949605</v>
          </cell>
          <cell r="R79">
            <v>0.44396869924701021</v>
          </cell>
          <cell r="S79">
            <v>1.5218798623493736E-2</v>
          </cell>
        </row>
        <row r="80">
          <cell r="B80">
            <v>420</v>
          </cell>
          <cell r="C80" t="str">
            <v>Isles of Scilly</v>
          </cell>
          <cell r="D80">
            <v>244</v>
          </cell>
          <cell r="E80">
            <v>0</v>
          </cell>
          <cell r="F80">
            <v>0</v>
          </cell>
          <cell r="H80">
            <v>0</v>
          </cell>
          <cell r="I80">
            <v>0</v>
          </cell>
          <cell r="J80">
            <v>0</v>
          </cell>
          <cell r="L80">
            <v>244</v>
          </cell>
          <cell r="M80">
            <v>0</v>
          </cell>
          <cell r="N80">
            <v>0</v>
          </cell>
          <cell r="O80">
            <v>244</v>
          </cell>
          <cell r="Q80">
            <v>1</v>
          </cell>
          <cell r="R80">
            <v>0</v>
          </cell>
          <cell r="S80">
            <v>0</v>
          </cell>
        </row>
        <row r="81">
          <cell r="B81">
            <v>800</v>
          </cell>
          <cell r="C81" t="str">
            <v>Bath and North East Somerset</v>
          </cell>
          <cell r="D81">
            <v>12142.5</v>
          </cell>
          <cell r="E81">
            <v>12583</v>
          </cell>
          <cell r="F81">
            <v>278.5</v>
          </cell>
          <cell r="H81">
            <v>2</v>
          </cell>
          <cell r="I81">
            <v>0</v>
          </cell>
          <cell r="J81">
            <v>0</v>
          </cell>
          <cell r="L81">
            <v>12144.5</v>
          </cell>
          <cell r="M81">
            <v>12583</v>
          </cell>
          <cell r="N81">
            <v>278.5</v>
          </cell>
          <cell r="O81">
            <v>25006</v>
          </cell>
          <cell r="Q81">
            <v>0.48566344077421419</v>
          </cell>
          <cell r="R81">
            <v>0.50319923218427576</v>
          </cell>
          <cell r="S81">
            <v>1.1137327041510037E-2</v>
          </cell>
        </row>
        <row r="82">
          <cell r="B82">
            <v>801</v>
          </cell>
          <cell r="C82" t="str">
            <v>Bristol, City of</v>
          </cell>
          <cell r="D82">
            <v>29069.5</v>
          </cell>
          <cell r="E82">
            <v>16235.5</v>
          </cell>
          <cell r="F82">
            <v>658.5</v>
          </cell>
          <cell r="H82">
            <v>5</v>
          </cell>
          <cell r="I82">
            <v>0</v>
          </cell>
          <cell r="J82">
            <v>62</v>
          </cell>
          <cell r="L82">
            <v>29074.5</v>
          </cell>
          <cell r="M82">
            <v>16235.5</v>
          </cell>
          <cell r="N82">
            <v>720.5</v>
          </cell>
          <cell r="O82">
            <v>46030.5</v>
          </cell>
          <cell r="Q82">
            <v>0.63163554599667615</v>
          </cell>
          <cell r="R82">
            <v>0.35271178892256222</v>
          </cell>
          <cell r="S82">
            <v>1.5652665080761668E-2</v>
          </cell>
        </row>
        <row r="83">
          <cell r="B83">
            <v>802</v>
          </cell>
          <cell r="C83" t="str">
            <v>North Somerset</v>
          </cell>
          <cell r="D83">
            <v>14816.5</v>
          </cell>
          <cell r="E83">
            <v>12937</v>
          </cell>
          <cell r="F83">
            <v>239</v>
          </cell>
          <cell r="H83">
            <v>3</v>
          </cell>
          <cell r="I83">
            <v>3</v>
          </cell>
          <cell r="J83">
            <v>0</v>
          </cell>
          <cell r="L83">
            <v>14819.5</v>
          </cell>
          <cell r="M83">
            <v>12940</v>
          </cell>
          <cell r="N83">
            <v>239</v>
          </cell>
          <cell r="O83">
            <v>27998.5</v>
          </cell>
          <cell r="Q83">
            <v>0.52929621229708734</v>
          </cell>
          <cell r="R83">
            <v>0.46216761612229229</v>
          </cell>
          <cell r="S83">
            <v>8.5361715806203907E-3</v>
          </cell>
        </row>
        <row r="84">
          <cell r="B84">
            <v>803</v>
          </cell>
          <cell r="C84" t="str">
            <v>South Gloucestershire</v>
          </cell>
          <cell r="D84">
            <v>22497</v>
          </cell>
          <cell r="E84">
            <v>16985.5</v>
          </cell>
          <cell r="F84">
            <v>288.5</v>
          </cell>
          <cell r="H84">
            <v>1</v>
          </cell>
          <cell r="I84">
            <v>0</v>
          </cell>
          <cell r="J84">
            <v>0</v>
          </cell>
          <cell r="L84">
            <v>22498</v>
          </cell>
          <cell r="M84">
            <v>16985.5</v>
          </cell>
          <cell r="N84">
            <v>288.5</v>
          </cell>
          <cell r="O84">
            <v>39772</v>
          </cell>
          <cell r="Q84">
            <v>0.56567434375942871</v>
          </cell>
          <cell r="R84">
            <v>0.42707180931308458</v>
          </cell>
          <cell r="S84">
            <v>7.2538469274866738E-3</v>
          </cell>
        </row>
        <row r="85">
          <cell r="B85">
            <v>805</v>
          </cell>
          <cell r="C85" t="str">
            <v>Hartlepool</v>
          </cell>
          <cell r="D85">
            <v>8732.5</v>
          </cell>
          <cell r="E85">
            <v>6524</v>
          </cell>
          <cell r="F85">
            <v>138</v>
          </cell>
          <cell r="H85">
            <v>2</v>
          </cell>
          <cell r="I85">
            <v>0</v>
          </cell>
          <cell r="J85">
            <v>3</v>
          </cell>
          <cell r="L85">
            <v>8734.5</v>
          </cell>
          <cell r="M85">
            <v>6524</v>
          </cell>
          <cell r="N85">
            <v>141</v>
          </cell>
          <cell r="O85">
            <v>15399.5</v>
          </cell>
          <cell r="Q85">
            <v>0.56719374005649537</v>
          </cell>
          <cell r="R85">
            <v>0.42365011851034123</v>
          </cell>
          <cell r="S85">
            <v>9.1561414331634144E-3</v>
          </cell>
        </row>
        <row r="86">
          <cell r="B86">
            <v>806</v>
          </cell>
          <cell r="C86" t="str">
            <v>Middlesbrough</v>
          </cell>
          <cell r="D86">
            <v>13102.5</v>
          </cell>
          <cell r="E86">
            <v>5649</v>
          </cell>
          <cell r="F86">
            <v>425</v>
          </cell>
          <cell r="H86">
            <v>33</v>
          </cell>
          <cell r="I86">
            <v>1</v>
          </cell>
          <cell r="J86">
            <v>1</v>
          </cell>
          <cell r="L86">
            <v>13135.5</v>
          </cell>
          <cell r="M86">
            <v>5650</v>
          </cell>
          <cell r="N86">
            <v>426</v>
          </cell>
          <cell r="O86">
            <v>19211.5</v>
          </cell>
          <cell r="Q86">
            <v>0.68373109856075787</v>
          </cell>
          <cell r="R86">
            <v>0.294094682872238</v>
          </cell>
          <cell r="S86">
            <v>2.2174218567004137E-2</v>
          </cell>
        </row>
        <row r="87">
          <cell r="B87">
            <v>807</v>
          </cell>
          <cell r="C87" t="str">
            <v>Redcar and Cleveland</v>
          </cell>
          <cell r="D87">
            <v>12690</v>
          </cell>
          <cell r="E87">
            <v>10122</v>
          </cell>
          <cell r="F87">
            <v>228</v>
          </cell>
          <cell r="H87">
            <v>4</v>
          </cell>
          <cell r="I87">
            <v>0</v>
          </cell>
          <cell r="J87">
            <v>0</v>
          </cell>
          <cell r="L87">
            <v>12694</v>
          </cell>
          <cell r="M87">
            <v>10122</v>
          </cell>
          <cell r="N87">
            <v>228</v>
          </cell>
          <cell r="O87">
            <v>23044</v>
          </cell>
          <cell r="Q87">
            <v>0.55085922582884916</v>
          </cell>
          <cell r="R87">
            <v>0.43924665856622114</v>
          </cell>
          <cell r="S87">
            <v>9.8941156049297003E-3</v>
          </cell>
        </row>
        <row r="88">
          <cell r="B88">
            <v>808</v>
          </cell>
          <cell r="C88" t="str">
            <v>Stockton-on-Tees</v>
          </cell>
          <cell r="D88">
            <v>16457.5</v>
          </cell>
          <cell r="E88">
            <v>12743</v>
          </cell>
          <cell r="F88">
            <v>513</v>
          </cell>
          <cell r="H88">
            <v>4</v>
          </cell>
          <cell r="I88">
            <v>4</v>
          </cell>
          <cell r="J88">
            <v>1</v>
          </cell>
          <cell r="L88">
            <v>16461.5</v>
          </cell>
          <cell r="M88">
            <v>12747</v>
          </cell>
          <cell r="N88">
            <v>514</v>
          </cell>
          <cell r="O88">
            <v>29722.5</v>
          </cell>
          <cell r="Q88">
            <v>0.55383968374127346</v>
          </cell>
          <cell r="R88">
            <v>0.42886701993439313</v>
          </cell>
          <cell r="S88">
            <v>1.7293296324333417E-2</v>
          </cell>
        </row>
        <row r="89">
          <cell r="B89">
            <v>810</v>
          </cell>
          <cell r="C89" t="str">
            <v>Kingston Upon Hull, City of</v>
          </cell>
          <cell r="D89">
            <v>21691</v>
          </cell>
          <cell r="E89">
            <v>15941</v>
          </cell>
          <cell r="F89">
            <v>564.5</v>
          </cell>
          <cell r="H89">
            <v>0</v>
          </cell>
          <cell r="I89">
            <v>1</v>
          </cell>
          <cell r="J89">
            <v>1</v>
          </cell>
          <cell r="L89">
            <v>21691</v>
          </cell>
          <cell r="M89">
            <v>15942</v>
          </cell>
          <cell r="N89">
            <v>565.5</v>
          </cell>
          <cell r="O89">
            <v>38198.5</v>
          </cell>
          <cell r="Q89">
            <v>0.56784952288702439</v>
          </cell>
          <cell r="R89">
            <v>0.41734623087294004</v>
          </cell>
          <cell r="S89">
            <v>1.4804246240035604E-2</v>
          </cell>
        </row>
        <row r="90">
          <cell r="B90">
            <v>811</v>
          </cell>
          <cell r="C90" t="str">
            <v>East Riding of Yorkshire</v>
          </cell>
          <cell r="D90">
            <v>25614</v>
          </cell>
          <cell r="E90">
            <v>23581</v>
          </cell>
          <cell r="F90">
            <v>215.5</v>
          </cell>
          <cell r="H90">
            <v>5.5</v>
          </cell>
          <cell r="I90">
            <v>0</v>
          </cell>
          <cell r="J90">
            <v>1</v>
          </cell>
          <cell r="L90">
            <v>25619.5</v>
          </cell>
          <cell r="M90">
            <v>23581</v>
          </cell>
          <cell r="N90">
            <v>216.5</v>
          </cell>
          <cell r="O90">
            <v>49417</v>
          </cell>
          <cell r="Q90">
            <v>0.51843495153489694</v>
          </cell>
          <cell r="R90">
            <v>0.47718396503227634</v>
          </cell>
          <cell r="S90">
            <v>4.3810834328267597E-3</v>
          </cell>
        </row>
        <row r="91">
          <cell r="B91">
            <v>812</v>
          </cell>
          <cell r="C91" t="str">
            <v>North East Lincolnshire</v>
          </cell>
          <cell r="D91">
            <v>14049</v>
          </cell>
          <cell r="E91">
            <v>11263</v>
          </cell>
          <cell r="F91">
            <v>245</v>
          </cell>
          <cell r="H91">
            <v>0</v>
          </cell>
          <cell r="I91">
            <v>0</v>
          </cell>
          <cell r="J91">
            <v>0</v>
          </cell>
          <cell r="L91">
            <v>14049</v>
          </cell>
          <cell r="M91">
            <v>11263</v>
          </cell>
          <cell r="N91">
            <v>245</v>
          </cell>
          <cell r="O91">
            <v>25557</v>
          </cell>
          <cell r="Q91">
            <v>0.54971240755957274</v>
          </cell>
          <cell r="R91">
            <v>0.44070117775951795</v>
          </cell>
          <cell r="S91">
            <v>9.5864146809093408E-3</v>
          </cell>
        </row>
        <row r="92">
          <cell r="B92">
            <v>813</v>
          </cell>
          <cell r="C92" t="str">
            <v>North Lincolnshire</v>
          </cell>
          <cell r="D92">
            <v>13561</v>
          </cell>
          <cell r="E92">
            <v>10784.5</v>
          </cell>
          <cell r="F92">
            <v>199</v>
          </cell>
          <cell r="H92">
            <v>0</v>
          </cell>
          <cell r="I92">
            <v>1</v>
          </cell>
          <cell r="J92">
            <v>0</v>
          </cell>
          <cell r="L92">
            <v>13561</v>
          </cell>
          <cell r="M92">
            <v>10785.5</v>
          </cell>
          <cell r="N92">
            <v>199</v>
          </cell>
          <cell r="O92">
            <v>24545.5</v>
          </cell>
          <cell r="Q92">
            <v>0.55248416206636652</v>
          </cell>
          <cell r="R92">
            <v>0.43940844553991565</v>
          </cell>
          <cell r="S92">
            <v>8.107392393717789E-3</v>
          </cell>
        </row>
        <row r="93">
          <cell r="B93">
            <v>815</v>
          </cell>
          <cell r="C93" t="str">
            <v>North Yorkshire</v>
          </cell>
          <cell r="D93">
            <v>44228.5</v>
          </cell>
          <cell r="E93">
            <v>42074.5</v>
          </cell>
          <cell r="F93">
            <v>665</v>
          </cell>
          <cell r="H93">
            <v>6.5</v>
          </cell>
          <cell r="I93">
            <v>2</v>
          </cell>
          <cell r="J93">
            <v>46</v>
          </cell>
          <cell r="L93">
            <v>44235</v>
          </cell>
          <cell r="M93">
            <v>42076.5</v>
          </cell>
          <cell r="N93">
            <v>711</v>
          </cell>
          <cell r="O93">
            <v>87022.5</v>
          </cell>
          <cell r="Q93">
            <v>0.50831681461690947</v>
          </cell>
          <cell r="R93">
            <v>0.48351288459881064</v>
          </cell>
          <cell r="S93">
            <v>8.1703007842799276E-3</v>
          </cell>
        </row>
        <row r="94">
          <cell r="B94">
            <v>816</v>
          </cell>
          <cell r="C94" t="str">
            <v>York</v>
          </cell>
          <cell r="D94">
            <v>13193</v>
          </cell>
          <cell r="E94">
            <v>10328</v>
          </cell>
          <cell r="F94">
            <v>202.5</v>
          </cell>
          <cell r="H94">
            <v>25</v>
          </cell>
          <cell r="I94">
            <v>2</v>
          </cell>
          <cell r="J94">
            <v>18</v>
          </cell>
          <cell r="L94">
            <v>13218</v>
          </cell>
          <cell r="M94">
            <v>10330</v>
          </cell>
          <cell r="N94">
            <v>220.5</v>
          </cell>
          <cell r="O94">
            <v>23768.5</v>
          </cell>
          <cell r="Q94">
            <v>0.5561141847403076</v>
          </cell>
          <cell r="R94">
            <v>0.4346088310158403</v>
          </cell>
          <cell r="S94">
            <v>9.2769842438521575E-3</v>
          </cell>
        </row>
        <row r="95">
          <cell r="B95">
            <v>820</v>
          </cell>
          <cell r="C95" t="str">
            <v>Bedfordshire</v>
          </cell>
          <cell r="D95">
            <v>23852.5</v>
          </cell>
          <cell r="E95">
            <v>37759.5</v>
          </cell>
          <cell r="F95">
            <v>921.5</v>
          </cell>
          <cell r="H95">
            <v>5</v>
          </cell>
          <cell r="I95">
            <v>16</v>
          </cell>
          <cell r="J95">
            <v>1</v>
          </cell>
          <cell r="L95">
            <v>23857.5</v>
          </cell>
          <cell r="M95">
            <v>37775.5</v>
          </cell>
          <cell r="N95">
            <v>922.5</v>
          </cell>
          <cell r="O95">
            <v>62555.5</v>
          </cell>
          <cell r="Q95">
            <v>0.38138133337596214</v>
          </cell>
          <cell r="R95">
            <v>0.60387176187545455</v>
          </cell>
          <cell r="S95">
            <v>1.4746904748583258E-2</v>
          </cell>
        </row>
        <row r="96">
          <cell r="B96">
            <v>821</v>
          </cell>
          <cell r="C96" t="str">
            <v>Luton</v>
          </cell>
          <cell r="D96">
            <v>18176.5</v>
          </cell>
          <cell r="E96">
            <v>12284</v>
          </cell>
          <cell r="F96">
            <v>256.5</v>
          </cell>
          <cell r="H96">
            <v>2</v>
          </cell>
          <cell r="I96">
            <v>1</v>
          </cell>
          <cell r="J96">
            <v>0</v>
          </cell>
          <cell r="L96">
            <v>18178.5</v>
          </cell>
          <cell r="M96">
            <v>12285</v>
          </cell>
          <cell r="N96">
            <v>256.5</v>
          </cell>
          <cell r="O96">
            <v>30720</v>
          </cell>
          <cell r="Q96">
            <v>0.59174804687500004</v>
          </cell>
          <cell r="R96">
            <v>0.39990234375</v>
          </cell>
          <cell r="S96">
            <v>8.3496093750000007E-3</v>
          </cell>
        </row>
        <row r="97">
          <cell r="B97">
            <v>825</v>
          </cell>
          <cell r="C97" t="str">
            <v>Buckinghamshire</v>
          </cell>
          <cell r="D97">
            <v>38622.5</v>
          </cell>
          <cell r="E97">
            <v>34810</v>
          </cell>
          <cell r="F97">
            <v>1001</v>
          </cell>
          <cell r="H97">
            <v>1</v>
          </cell>
          <cell r="I97">
            <v>7</v>
          </cell>
          <cell r="J97">
            <v>0</v>
          </cell>
          <cell r="L97">
            <v>38623.5</v>
          </cell>
          <cell r="M97">
            <v>34817</v>
          </cell>
          <cell r="N97">
            <v>1001</v>
          </cell>
          <cell r="O97">
            <v>74441.5</v>
          </cell>
          <cell r="Q97">
            <v>0.51884365575653368</v>
          </cell>
          <cell r="R97">
            <v>0.46770954373568507</v>
          </cell>
          <cell r="S97">
            <v>1.3446800507781277E-2</v>
          </cell>
        </row>
        <row r="98">
          <cell r="B98">
            <v>826</v>
          </cell>
          <cell r="C98" t="str">
            <v>Milton Keynes</v>
          </cell>
          <cell r="D98">
            <v>22146.5</v>
          </cell>
          <cell r="E98">
            <v>13115</v>
          </cell>
          <cell r="F98">
            <v>529</v>
          </cell>
          <cell r="H98">
            <v>0</v>
          </cell>
          <cell r="I98">
            <v>2</v>
          </cell>
          <cell r="J98">
            <v>2</v>
          </cell>
          <cell r="L98">
            <v>22146.5</v>
          </cell>
          <cell r="M98">
            <v>13117</v>
          </cell>
          <cell r="N98">
            <v>531</v>
          </cell>
          <cell r="O98">
            <v>35794.5</v>
          </cell>
          <cell r="Q98">
            <v>0.61871237201245999</v>
          </cell>
          <cell r="R98">
            <v>0.36645294668175277</v>
          </cell>
          <cell r="S98">
            <v>1.4834681305787202E-2</v>
          </cell>
        </row>
        <row r="99">
          <cell r="B99">
            <v>830</v>
          </cell>
          <cell r="C99" t="str">
            <v>Derbyshire</v>
          </cell>
          <cell r="D99">
            <v>61680</v>
          </cell>
          <cell r="E99">
            <v>50862.5</v>
          </cell>
          <cell r="F99">
            <v>729</v>
          </cell>
          <cell r="H99">
            <v>17</v>
          </cell>
          <cell r="I99">
            <v>1</v>
          </cell>
          <cell r="J99">
            <v>0</v>
          </cell>
          <cell r="L99">
            <v>61697</v>
          </cell>
          <cell r="M99">
            <v>50863.5</v>
          </cell>
          <cell r="N99">
            <v>729</v>
          </cell>
          <cell r="O99">
            <v>113289.5</v>
          </cell>
          <cell r="Q99">
            <v>0.54459592460024975</v>
          </cell>
          <cell r="R99">
            <v>0.44896923368891206</v>
          </cell>
          <cell r="S99">
            <v>6.4348417108381628E-3</v>
          </cell>
        </row>
        <row r="100">
          <cell r="B100">
            <v>831</v>
          </cell>
          <cell r="C100" t="str">
            <v>Derby</v>
          </cell>
          <cell r="D100">
            <v>20855</v>
          </cell>
          <cell r="E100">
            <v>15629.5</v>
          </cell>
          <cell r="F100">
            <v>361.5</v>
          </cell>
          <cell r="H100">
            <v>0.5</v>
          </cell>
          <cell r="I100">
            <v>8</v>
          </cell>
          <cell r="J100">
            <v>0</v>
          </cell>
          <cell r="L100">
            <v>20855.5</v>
          </cell>
          <cell r="M100">
            <v>15637.5</v>
          </cell>
          <cell r="N100">
            <v>361.5</v>
          </cell>
          <cell r="O100">
            <v>36854.5</v>
          </cell>
          <cell r="Q100">
            <v>0.56588747642757331</v>
          </cell>
          <cell r="R100">
            <v>0.42430368069028207</v>
          </cell>
          <cell r="S100">
            <v>9.8088428821446506E-3</v>
          </cell>
        </row>
        <row r="101">
          <cell r="B101">
            <v>835</v>
          </cell>
          <cell r="C101" t="str">
            <v>Dorset</v>
          </cell>
          <cell r="D101">
            <v>24475.5</v>
          </cell>
          <cell r="E101">
            <v>30626</v>
          </cell>
          <cell r="F101">
            <v>550.5</v>
          </cell>
          <cell r="H101">
            <v>4</v>
          </cell>
          <cell r="I101">
            <v>20</v>
          </cell>
          <cell r="J101">
            <v>0</v>
          </cell>
          <cell r="L101">
            <v>24479.5</v>
          </cell>
          <cell r="M101">
            <v>30646</v>
          </cell>
          <cell r="N101">
            <v>550.5</v>
          </cell>
          <cell r="O101">
            <v>55676</v>
          </cell>
          <cell r="Q101">
            <v>0.43967777857604712</v>
          </cell>
          <cell r="R101">
            <v>0.55043465766218835</v>
          </cell>
          <cell r="S101">
            <v>9.8875637617644938E-3</v>
          </cell>
        </row>
        <row r="102">
          <cell r="B102">
            <v>836</v>
          </cell>
          <cell r="C102" t="str">
            <v>Poole</v>
          </cell>
          <cell r="D102">
            <v>10477.5</v>
          </cell>
          <cell r="E102">
            <v>8558</v>
          </cell>
          <cell r="F102">
            <v>198</v>
          </cell>
          <cell r="H102">
            <v>0</v>
          </cell>
          <cell r="I102">
            <v>1</v>
          </cell>
          <cell r="J102">
            <v>0</v>
          </cell>
          <cell r="L102">
            <v>10477.5</v>
          </cell>
          <cell r="M102">
            <v>8559</v>
          </cell>
          <cell r="N102">
            <v>198</v>
          </cell>
          <cell r="O102">
            <v>19234.5</v>
          </cell>
          <cell r="Q102">
            <v>0.54472432348124467</v>
          </cell>
          <cell r="R102">
            <v>0.44498167355533025</v>
          </cell>
          <cell r="S102">
            <v>1.0294002963425095E-2</v>
          </cell>
        </row>
        <row r="103">
          <cell r="B103">
            <v>837</v>
          </cell>
          <cell r="C103" t="str">
            <v>Bournemouth</v>
          </cell>
          <cell r="D103">
            <v>10579</v>
          </cell>
          <cell r="E103">
            <v>9908</v>
          </cell>
          <cell r="F103">
            <v>217</v>
          </cell>
          <cell r="H103">
            <v>2.5</v>
          </cell>
          <cell r="I103">
            <v>0</v>
          </cell>
          <cell r="J103">
            <v>0.5</v>
          </cell>
          <cell r="L103">
            <v>10581.5</v>
          </cell>
          <cell r="M103">
            <v>9908</v>
          </cell>
          <cell r="N103">
            <v>217.5</v>
          </cell>
          <cell r="O103">
            <v>20707</v>
          </cell>
          <cell r="Q103">
            <v>0.51101076930506595</v>
          </cell>
          <cell r="R103">
            <v>0.47848553629207513</v>
          </cell>
          <cell r="S103">
            <v>1.0503694402858936E-2</v>
          </cell>
        </row>
        <row r="104">
          <cell r="B104">
            <v>840</v>
          </cell>
          <cell r="C104" t="str">
            <v>Durham</v>
          </cell>
          <cell r="D104">
            <v>40339</v>
          </cell>
          <cell r="E104">
            <v>32693</v>
          </cell>
          <cell r="F104">
            <v>1071</v>
          </cell>
          <cell r="H104">
            <v>1</v>
          </cell>
          <cell r="I104">
            <v>1</v>
          </cell>
          <cell r="J104">
            <v>0</v>
          </cell>
          <cell r="L104">
            <v>40340</v>
          </cell>
          <cell r="M104">
            <v>32694</v>
          </cell>
          <cell r="N104">
            <v>1071</v>
          </cell>
          <cell r="O104">
            <v>74105</v>
          </cell>
          <cell r="Q104">
            <v>0.5443627285608259</v>
          </cell>
          <cell r="R104">
            <v>0.44118480534376897</v>
          </cell>
          <cell r="S104">
            <v>1.4452466095405169E-2</v>
          </cell>
        </row>
        <row r="105">
          <cell r="B105">
            <v>841</v>
          </cell>
          <cell r="C105" t="str">
            <v>Darlington</v>
          </cell>
          <cell r="D105">
            <v>8561.5</v>
          </cell>
          <cell r="E105">
            <v>6293</v>
          </cell>
          <cell r="F105">
            <v>209.5</v>
          </cell>
          <cell r="H105">
            <v>0</v>
          </cell>
          <cell r="I105">
            <v>0</v>
          </cell>
          <cell r="J105">
            <v>0</v>
          </cell>
          <cell r="L105">
            <v>8561.5</v>
          </cell>
          <cell r="M105">
            <v>6293</v>
          </cell>
          <cell r="N105">
            <v>209.5</v>
          </cell>
          <cell r="O105">
            <v>15064</v>
          </cell>
          <cell r="Q105">
            <v>0.56834174190122144</v>
          </cell>
          <cell r="R105">
            <v>0.41775092936802977</v>
          </cell>
          <cell r="S105">
            <v>1.3907328730748805E-2</v>
          </cell>
        </row>
        <row r="106">
          <cell r="B106">
            <v>845</v>
          </cell>
          <cell r="C106" t="str">
            <v>East Sussex</v>
          </cell>
          <cell r="D106">
            <v>35882</v>
          </cell>
          <cell r="E106">
            <v>28811</v>
          </cell>
          <cell r="F106">
            <v>819</v>
          </cell>
          <cell r="H106">
            <v>13</v>
          </cell>
          <cell r="I106">
            <v>4</v>
          </cell>
          <cell r="J106">
            <v>1</v>
          </cell>
          <cell r="L106">
            <v>35895</v>
          </cell>
          <cell r="M106">
            <v>28815</v>
          </cell>
          <cell r="N106">
            <v>820</v>
          </cell>
          <cell r="O106">
            <v>65530</v>
          </cell>
          <cell r="Q106">
            <v>0.54776438272546923</v>
          </cell>
          <cell r="R106">
            <v>0.43972226461162828</v>
          </cell>
          <cell r="S106">
            <v>1.2513352662902488E-2</v>
          </cell>
        </row>
        <row r="107">
          <cell r="B107">
            <v>846</v>
          </cell>
          <cell r="C107" t="str">
            <v>Brighton and Hove</v>
          </cell>
          <cell r="D107">
            <v>16407</v>
          </cell>
          <cell r="E107">
            <v>12184</v>
          </cell>
          <cell r="F107">
            <v>523.5</v>
          </cell>
          <cell r="H107">
            <v>12</v>
          </cell>
          <cell r="I107">
            <v>30</v>
          </cell>
          <cell r="J107">
            <v>65.5</v>
          </cell>
          <cell r="L107">
            <v>16419</v>
          </cell>
          <cell r="M107">
            <v>12214</v>
          </cell>
          <cell r="N107">
            <v>589</v>
          </cell>
          <cell r="O107">
            <v>29222</v>
          </cell>
          <cell r="Q107">
            <v>0.56187119293682841</v>
          </cell>
          <cell r="R107">
            <v>0.41797276024912738</v>
          </cell>
          <cell r="S107">
            <v>2.0156046814044214E-2</v>
          </cell>
        </row>
        <row r="108">
          <cell r="B108">
            <v>850</v>
          </cell>
          <cell r="C108" t="str">
            <v>Hampshire</v>
          </cell>
          <cell r="D108">
            <v>97962.5</v>
          </cell>
          <cell r="E108">
            <v>72637.5</v>
          </cell>
          <cell r="F108">
            <v>2242.5</v>
          </cell>
          <cell r="H108">
            <v>3</v>
          </cell>
          <cell r="I108">
            <v>8</v>
          </cell>
          <cell r="J108">
            <v>2</v>
          </cell>
          <cell r="L108">
            <v>97965.5</v>
          </cell>
          <cell r="M108">
            <v>72645.5</v>
          </cell>
          <cell r="N108">
            <v>2244.5</v>
          </cell>
          <cell r="O108">
            <v>172855.5</v>
          </cell>
          <cell r="Q108">
            <v>0.56674794843091481</v>
          </cell>
          <cell r="R108">
            <v>0.42026721741570272</v>
          </cell>
          <cell r="S108">
            <v>1.298483415338245E-2</v>
          </cell>
        </row>
        <row r="109">
          <cell r="B109">
            <v>851</v>
          </cell>
          <cell r="C109" t="str">
            <v>Portsmouth</v>
          </cell>
          <cell r="D109">
            <v>14149.5</v>
          </cell>
          <cell r="E109">
            <v>9861.5</v>
          </cell>
          <cell r="F109">
            <v>433.5</v>
          </cell>
          <cell r="H109">
            <v>9</v>
          </cell>
          <cell r="I109">
            <v>80</v>
          </cell>
          <cell r="J109">
            <v>0</v>
          </cell>
          <cell r="L109">
            <v>14158.5</v>
          </cell>
          <cell r="M109">
            <v>9941.5</v>
          </cell>
          <cell r="N109">
            <v>433.5</v>
          </cell>
          <cell r="O109">
            <v>24533.5</v>
          </cell>
          <cell r="Q109">
            <v>0.57710885116269595</v>
          </cell>
          <cell r="R109">
            <v>0.40522143191962012</v>
          </cell>
          <cell r="S109">
            <v>1.7669716917683983E-2</v>
          </cell>
        </row>
        <row r="110">
          <cell r="B110">
            <v>852</v>
          </cell>
          <cell r="C110" t="str">
            <v>Southampton</v>
          </cell>
          <cell r="D110">
            <v>16072.5</v>
          </cell>
          <cell r="E110">
            <v>11921.5</v>
          </cell>
          <cell r="F110">
            <v>336.5</v>
          </cell>
          <cell r="H110">
            <v>3.5</v>
          </cell>
          <cell r="I110">
            <v>40.5</v>
          </cell>
          <cell r="J110">
            <v>0</v>
          </cell>
          <cell r="L110">
            <v>16076</v>
          </cell>
          <cell r="M110">
            <v>11962</v>
          </cell>
          <cell r="N110">
            <v>336.5</v>
          </cell>
          <cell r="O110">
            <v>28374.5</v>
          </cell>
          <cell r="Q110">
            <v>0.56656504960439835</v>
          </cell>
          <cell r="R110">
            <v>0.42157571058520854</v>
          </cell>
          <cell r="S110">
            <v>1.1859239810393135E-2</v>
          </cell>
        </row>
        <row r="111">
          <cell r="B111">
            <v>855</v>
          </cell>
          <cell r="C111" t="str">
            <v>Leicestershire</v>
          </cell>
          <cell r="D111">
            <v>48943</v>
          </cell>
          <cell r="E111">
            <v>46988</v>
          </cell>
          <cell r="F111">
            <v>542</v>
          </cell>
          <cell r="H111">
            <v>1</v>
          </cell>
          <cell r="I111">
            <v>6</v>
          </cell>
          <cell r="J111">
            <v>1</v>
          </cell>
          <cell r="L111">
            <v>48944</v>
          </cell>
          <cell r="M111">
            <v>46994</v>
          </cell>
          <cell r="N111">
            <v>543</v>
          </cell>
          <cell r="O111">
            <v>96481</v>
          </cell>
          <cell r="Q111">
            <v>0.50729159109047373</v>
          </cell>
          <cell r="R111">
            <v>0.48708035779065306</v>
          </cell>
          <cell r="S111">
            <v>5.6280511188731459E-3</v>
          </cell>
        </row>
        <row r="112">
          <cell r="B112">
            <v>856</v>
          </cell>
          <cell r="C112" t="str">
            <v>Leicester</v>
          </cell>
          <cell r="D112">
            <v>27129</v>
          </cell>
          <cell r="E112">
            <v>17879.5</v>
          </cell>
          <cell r="F112">
            <v>754</v>
          </cell>
          <cell r="H112">
            <v>4.5</v>
          </cell>
          <cell r="I112">
            <v>2</v>
          </cell>
          <cell r="J112">
            <v>125</v>
          </cell>
          <cell r="L112">
            <v>27133.5</v>
          </cell>
          <cell r="M112">
            <v>17881.5</v>
          </cell>
          <cell r="N112">
            <v>879</v>
          </cell>
          <cell r="O112">
            <v>45894</v>
          </cell>
          <cell r="Q112">
            <v>0.59122107465028106</v>
          </cell>
          <cell r="R112">
            <v>0.38962609491436789</v>
          </cell>
          <cell r="S112">
            <v>1.9152830435351025E-2</v>
          </cell>
        </row>
        <row r="113">
          <cell r="B113">
            <v>857</v>
          </cell>
          <cell r="C113" t="str">
            <v>Rutland</v>
          </cell>
          <cell r="D113">
            <v>2482</v>
          </cell>
          <cell r="E113">
            <v>2357</v>
          </cell>
          <cell r="F113">
            <v>17</v>
          </cell>
          <cell r="H113">
            <v>0</v>
          </cell>
          <cell r="I113">
            <v>0</v>
          </cell>
          <cell r="J113">
            <v>1</v>
          </cell>
          <cell r="L113">
            <v>2482</v>
          </cell>
          <cell r="M113">
            <v>2357</v>
          </cell>
          <cell r="N113">
            <v>18</v>
          </cell>
          <cell r="O113">
            <v>4857</v>
          </cell>
          <cell r="Q113">
            <v>0.51101502985381919</v>
          </cell>
          <cell r="R113">
            <v>0.48527897879349391</v>
          </cell>
          <cell r="S113">
            <v>3.7059913526868438E-3</v>
          </cell>
        </row>
        <row r="114">
          <cell r="B114">
            <v>860</v>
          </cell>
          <cell r="C114" t="str">
            <v>Staffordshire</v>
          </cell>
          <cell r="D114">
            <v>63497.5</v>
          </cell>
          <cell r="E114">
            <v>61376.5</v>
          </cell>
          <cell r="F114">
            <v>1977.5</v>
          </cell>
          <cell r="H114">
            <v>21</v>
          </cell>
          <cell r="I114">
            <v>5</v>
          </cell>
          <cell r="J114">
            <v>18.5</v>
          </cell>
          <cell r="L114">
            <v>63518.5</v>
          </cell>
          <cell r="M114">
            <v>61381.5</v>
          </cell>
          <cell r="N114">
            <v>1996</v>
          </cell>
          <cell r="O114">
            <v>126896</v>
          </cell>
          <cell r="Q114">
            <v>0.50055557306770904</v>
          </cell>
          <cell r="R114">
            <v>0.48371501071743789</v>
          </cell>
          <cell r="S114">
            <v>1.5729416214853107E-2</v>
          </cell>
        </row>
        <row r="115">
          <cell r="B115">
            <v>861</v>
          </cell>
          <cell r="C115" t="str">
            <v>Stoke-on-Trent</v>
          </cell>
          <cell r="D115">
            <v>21053</v>
          </cell>
          <cell r="E115">
            <v>14950</v>
          </cell>
          <cell r="F115">
            <v>522</v>
          </cell>
          <cell r="H115">
            <v>0</v>
          </cell>
          <cell r="I115">
            <v>14</v>
          </cell>
          <cell r="J115">
            <v>1</v>
          </cell>
          <cell r="L115">
            <v>21053</v>
          </cell>
          <cell r="M115">
            <v>14964</v>
          </cell>
          <cell r="N115">
            <v>523</v>
          </cell>
          <cell r="O115">
            <v>36540</v>
          </cell>
          <cell r="Q115">
            <v>0.57616310892172962</v>
          </cell>
          <cell r="R115">
            <v>0.40952380952380951</v>
          </cell>
          <cell r="S115">
            <v>1.4313081554460864E-2</v>
          </cell>
        </row>
        <row r="116">
          <cell r="B116">
            <v>865</v>
          </cell>
          <cell r="C116" t="str">
            <v>Wiltshire</v>
          </cell>
          <cell r="D116">
            <v>35695.5</v>
          </cell>
          <cell r="E116">
            <v>29178.5</v>
          </cell>
          <cell r="F116">
            <v>459.5</v>
          </cell>
          <cell r="H116">
            <v>2</v>
          </cell>
          <cell r="I116">
            <v>1</v>
          </cell>
          <cell r="J116">
            <v>1</v>
          </cell>
          <cell r="L116">
            <v>35697.5</v>
          </cell>
          <cell r="M116">
            <v>29179.5</v>
          </cell>
          <cell r="N116">
            <v>460.5</v>
          </cell>
          <cell r="O116">
            <v>65337.5</v>
          </cell>
          <cell r="Q116">
            <v>0.54635546202410556</v>
          </cell>
          <cell r="R116">
            <v>0.44659651807920414</v>
          </cell>
          <cell r="S116">
            <v>7.048019896690262E-3</v>
          </cell>
        </row>
        <row r="117">
          <cell r="B117">
            <v>866</v>
          </cell>
          <cell r="C117" t="str">
            <v>Swindon</v>
          </cell>
          <cell r="D117">
            <v>16556</v>
          </cell>
          <cell r="E117">
            <v>11477</v>
          </cell>
          <cell r="F117">
            <v>397</v>
          </cell>
          <cell r="H117">
            <v>2.5</v>
          </cell>
          <cell r="I117">
            <v>0</v>
          </cell>
          <cell r="J117">
            <v>0</v>
          </cell>
          <cell r="L117">
            <v>16558.5</v>
          </cell>
          <cell r="M117">
            <v>11477</v>
          </cell>
          <cell r="N117">
            <v>397</v>
          </cell>
          <cell r="O117">
            <v>28432.5</v>
          </cell>
          <cell r="Q117">
            <v>0.58237931944078081</v>
          </cell>
          <cell r="R117">
            <v>0.40365778598434887</v>
          </cell>
          <cell r="S117">
            <v>1.3962894574870308E-2</v>
          </cell>
        </row>
        <row r="118">
          <cell r="B118">
            <v>867</v>
          </cell>
          <cell r="C118" t="str">
            <v>Bracknell Forest</v>
          </cell>
          <cell r="D118">
            <v>8425.5</v>
          </cell>
          <cell r="E118">
            <v>6099</v>
          </cell>
          <cell r="F118">
            <v>179.5</v>
          </cell>
          <cell r="H118">
            <v>0</v>
          </cell>
          <cell r="I118">
            <v>6</v>
          </cell>
          <cell r="J118">
            <v>0</v>
          </cell>
          <cell r="L118">
            <v>8425.5</v>
          </cell>
          <cell r="M118">
            <v>6105</v>
          </cell>
          <cell r="N118">
            <v>179.5</v>
          </cell>
          <cell r="O118">
            <v>14710</v>
          </cell>
          <cell r="Q118">
            <v>0.57277362338545212</v>
          </cell>
          <cell r="R118">
            <v>0.41502379333786538</v>
          </cell>
          <cell r="S118">
            <v>1.2202583276682529E-2</v>
          </cell>
        </row>
        <row r="119">
          <cell r="B119">
            <v>868</v>
          </cell>
          <cell r="C119" t="str">
            <v>Windsor and Maidenhead</v>
          </cell>
          <cell r="D119">
            <v>8110</v>
          </cell>
          <cell r="E119">
            <v>10475</v>
          </cell>
          <cell r="F119">
            <v>131.5</v>
          </cell>
          <cell r="H119">
            <v>2</v>
          </cell>
          <cell r="I119">
            <v>6</v>
          </cell>
          <cell r="J119">
            <v>1</v>
          </cell>
          <cell r="L119">
            <v>8112</v>
          </cell>
          <cell r="M119">
            <v>10481</v>
          </cell>
          <cell r="N119">
            <v>132.5</v>
          </cell>
          <cell r="O119">
            <v>18725.5</v>
          </cell>
          <cell r="Q119">
            <v>0.43320605591305972</v>
          </cell>
          <cell r="R119">
            <v>0.55971803156124</v>
          </cell>
          <cell r="S119">
            <v>7.0759125257002483E-3</v>
          </cell>
        </row>
        <row r="120">
          <cell r="B120">
            <v>869</v>
          </cell>
          <cell r="C120" t="str">
            <v>West Berkshire</v>
          </cell>
          <cell r="D120">
            <v>11712</v>
          </cell>
          <cell r="E120">
            <v>12218.5</v>
          </cell>
          <cell r="F120">
            <v>319</v>
          </cell>
          <cell r="H120">
            <v>5</v>
          </cell>
          <cell r="I120">
            <v>3</v>
          </cell>
          <cell r="J120">
            <v>1.5</v>
          </cell>
          <cell r="L120">
            <v>11717</v>
          </cell>
          <cell r="M120">
            <v>12221.5</v>
          </cell>
          <cell r="N120">
            <v>320.5</v>
          </cell>
          <cell r="O120">
            <v>24259</v>
          </cell>
          <cell r="Q120">
            <v>0.4829960014839853</v>
          </cell>
          <cell r="R120">
            <v>0.50379240694175353</v>
          </cell>
          <cell r="S120">
            <v>1.3211591574261099E-2</v>
          </cell>
        </row>
        <row r="121">
          <cell r="B121">
            <v>870</v>
          </cell>
          <cell r="C121" t="str">
            <v>Reading</v>
          </cell>
          <cell r="D121">
            <v>9725</v>
          </cell>
          <cell r="E121">
            <v>6067</v>
          </cell>
          <cell r="F121">
            <v>182.5</v>
          </cell>
          <cell r="H121">
            <v>0</v>
          </cell>
          <cell r="I121">
            <v>1</v>
          </cell>
          <cell r="J121">
            <v>1</v>
          </cell>
          <cell r="L121">
            <v>9725</v>
          </cell>
          <cell r="M121">
            <v>6068</v>
          </cell>
          <cell r="N121">
            <v>183.5</v>
          </cell>
          <cell r="O121">
            <v>15976.5</v>
          </cell>
          <cell r="Q121">
            <v>0.608706537727287</v>
          </cell>
          <cell r="R121">
            <v>0.37980784276906709</v>
          </cell>
          <cell r="S121">
            <v>1.148561950364598E-2</v>
          </cell>
        </row>
        <row r="122">
          <cell r="B122">
            <v>871</v>
          </cell>
          <cell r="C122" t="str">
            <v>Slough</v>
          </cell>
          <cell r="D122">
            <v>10919</v>
          </cell>
          <cell r="E122">
            <v>8526</v>
          </cell>
          <cell r="F122">
            <v>249</v>
          </cell>
          <cell r="H122">
            <v>2</v>
          </cell>
          <cell r="I122">
            <v>12</v>
          </cell>
          <cell r="J122">
            <v>0</v>
          </cell>
          <cell r="L122">
            <v>10921</v>
          </cell>
          <cell r="M122">
            <v>8538</v>
          </cell>
          <cell r="N122">
            <v>249</v>
          </cell>
          <cell r="O122">
            <v>19708</v>
          </cell>
          <cell r="Q122">
            <v>0.5541404505784453</v>
          </cell>
          <cell r="R122">
            <v>0.43322508625938705</v>
          </cell>
          <cell r="S122">
            <v>1.2634463162167648E-2</v>
          </cell>
        </row>
        <row r="123">
          <cell r="B123">
            <v>872</v>
          </cell>
          <cell r="C123" t="str">
            <v>Wokingham</v>
          </cell>
          <cell r="D123">
            <v>11900</v>
          </cell>
          <cell r="E123">
            <v>10885.5</v>
          </cell>
          <cell r="F123">
            <v>246.5</v>
          </cell>
          <cell r="H123">
            <v>0</v>
          </cell>
          <cell r="I123">
            <v>0</v>
          </cell>
          <cell r="J123">
            <v>0</v>
          </cell>
          <cell r="L123">
            <v>11900</v>
          </cell>
          <cell r="M123">
            <v>10885.5</v>
          </cell>
          <cell r="N123">
            <v>246.5</v>
          </cell>
          <cell r="O123">
            <v>23032</v>
          </cell>
          <cell r="Q123">
            <v>0.5166724557137895</v>
          </cell>
          <cell r="R123">
            <v>0.47262504341785344</v>
          </cell>
          <cell r="S123">
            <v>1.0702500868357069E-2</v>
          </cell>
        </row>
        <row r="124">
          <cell r="B124">
            <v>873</v>
          </cell>
          <cell r="C124" t="str">
            <v>Cambridgeshire</v>
          </cell>
          <cell r="D124">
            <v>43665.5</v>
          </cell>
          <cell r="E124">
            <v>32622.5</v>
          </cell>
          <cell r="F124">
            <v>788</v>
          </cell>
          <cell r="H124">
            <v>1</v>
          </cell>
          <cell r="I124">
            <v>1</v>
          </cell>
          <cell r="J124">
            <v>1</v>
          </cell>
          <cell r="L124">
            <v>43666.5</v>
          </cell>
          <cell r="M124">
            <v>32623.5</v>
          </cell>
          <cell r="N124">
            <v>789</v>
          </cell>
          <cell r="O124">
            <v>77079</v>
          </cell>
          <cell r="Q124">
            <v>0.56651617171992374</v>
          </cell>
          <cell r="R124">
            <v>0.42324757716109446</v>
          </cell>
          <cell r="S124">
            <v>1.0236251118981824E-2</v>
          </cell>
        </row>
        <row r="125">
          <cell r="B125">
            <v>874</v>
          </cell>
          <cell r="C125" t="str">
            <v>Peterborough</v>
          </cell>
          <cell r="D125">
            <v>15280.5</v>
          </cell>
          <cell r="E125">
            <v>12917.5</v>
          </cell>
          <cell r="F125">
            <v>363</v>
          </cell>
          <cell r="H125">
            <v>0</v>
          </cell>
          <cell r="I125">
            <v>0</v>
          </cell>
          <cell r="J125">
            <v>0</v>
          </cell>
          <cell r="L125">
            <v>15280.5</v>
          </cell>
          <cell r="M125">
            <v>12917.5</v>
          </cell>
          <cell r="N125">
            <v>363</v>
          </cell>
          <cell r="O125">
            <v>28561</v>
          </cell>
          <cell r="Q125">
            <v>0.53501277966457761</v>
          </cell>
          <cell r="R125">
            <v>0.45227758131718077</v>
          </cell>
          <cell r="S125">
            <v>1.2709639018241658E-2</v>
          </cell>
        </row>
        <row r="126">
          <cell r="B126">
            <v>875</v>
          </cell>
          <cell r="C126" t="str">
            <v>Cheshire</v>
          </cell>
          <cell r="D126">
            <v>54554</v>
          </cell>
          <cell r="E126">
            <v>47404</v>
          </cell>
          <cell r="F126">
            <v>971.5</v>
          </cell>
          <cell r="H126">
            <v>2</v>
          </cell>
          <cell r="I126">
            <v>0</v>
          </cell>
          <cell r="J126">
            <v>5</v>
          </cell>
          <cell r="L126">
            <v>54556</v>
          </cell>
          <cell r="M126">
            <v>47404</v>
          </cell>
          <cell r="N126">
            <v>976.5</v>
          </cell>
          <cell r="O126">
            <v>102936.5</v>
          </cell>
          <cell r="Q126">
            <v>0.52999664841917105</v>
          </cell>
          <cell r="R126">
            <v>0.46051692062582272</v>
          </cell>
          <cell r="S126">
            <v>9.4864309550062413E-3</v>
          </cell>
        </row>
        <row r="127">
          <cell r="B127">
            <v>876</v>
          </cell>
          <cell r="C127" t="str">
            <v>Halton</v>
          </cell>
          <cell r="D127">
            <v>10236.5</v>
          </cell>
          <cell r="E127">
            <v>8148</v>
          </cell>
          <cell r="F127">
            <v>351</v>
          </cell>
          <cell r="H127">
            <v>0</v>
          </cell>
          <cell r="I127">
            <v>0</v>
          </cell>
          <cell r="J127">
            <v>0</v>
          </cell>
          <cell r="L127">
            <v>10236.5</v>
          </cell>
          <cell r="M127">
            <v>8148</v>
          </cell>
          <cell r="N127">
            <v>351</v>
          </cell>
          <cell r="O127">
            <v>18735.5</v>
          </cell>
          <cell r="Q127">
            <v>0.54636919217528224</v>
          </cell>
          <cell r="R127">
            <v>0.43489631982066129</v>
          </cell>
          <cell r="S127">
            <v>1.8734488004056471E-2</v>
          </cell>
        </row>
        <row r="128">
          <cell r="B128">
            <v>877</v>
          </cell>
          <cell r="C128" t="str">
            <v>Warrington</v>
          </cell>
          <cell r="D128">
            <v>17227</v>
          </cell>
          <cell r="E128">
            <v>14084.5</v>
          </cell>
          <cell r="F128">
            <v>306</v>
          </cell>
          <cell r="H128">
            <v>0</v>
          </cell>
          <cell r="I128">
            <v>1</v>
          </cell>
          <cell r="J128">
            <v>0</v>
          </cell>
          <cell r="L128">
            <v>17227</v>
          </cell>
          <cell r="M128">
            <v>14085.5</v>
          </cell>
          <cell r="N128">
            <v>306</v>
          </cell>
          <cell r="O128">
            <v>31618.5</v>
          </cell>
          <cell r="Q128">
            <v>0.54483925549915402</v>
          </cell>
          <cell r="R128">
            <v>0.4454828660436137</v>
          </cell>
          <cell r="S128">
            <v>9.6778784572323171E-3</v>
          </cell>
        </row>
        <row r="129">
          <cell r="B129">
            <v>878</v>
          </cell>
          <cell r="C129" t="str">
            <v>Devon</v>
          </cell>
          <cell r="D129">
            <v>53982.5</v>
          </cell>
          <cell r="E129">
            <v>42226</v>
          </cell>
          <cell r="F129">
            <v>693</v>
          </cell>
          <cell r="H129">
            <v>4</v>
          </cell>
          <cell r="I129">
            <v>2</v>
          </cell>
          <cell r="J129">
            <v>18</v>
          </cell>
          <cell r="L129">
            <v>53986.5</v>
          </cell>
          <cell r="M129">
            <v>42228</v>
          </cell>
          <cell r="N129">
            <v>711</v>
          </cell>
          <cell r="O129">
            <v>96925.5</v>
          </cell>
          <cell r="Q129">
            <v>0.55698964668740425</v>
          </cell>
          <cell r="R129">
            <v>0.43567482241515393</v>
          </cell>
          <cell r="S129">
            <v>7.3355308974418498E-3</v>
          </cell>
        </row>
        <row r="130">
          <cell r="B130">
            <v>879</v>
          </cell>
          <cell r="C130" t="str">
            <v>Plymouth</v>
          </cell>
          <cell r="D130">
            <v>19382</v>
          </cell>
          <cell r="E130">
            <v>18876</v>
          </cell>
          <cell r="F130">
            <v>593.5</v>
          </cell>
          <cell r="H130">
            <v>12.5</v>
          </cell>
          <cell r="I130">
            <v>45</v>
          </cell>
          <cell r="J130">
            <v>50</v>
          </cell>
          <cell r="L130">
            <v>19394.5</v>
          </cell>
          <cell r="M130">
            <v>18921</v>
          </cell>
          <cell r="N130">
            <v>643.5</v>
          </cell>
          <cell r="O130">
            <v>38959</v>
          </cell>
          <cell r="Q130">
            <v>0.49781821915346902</v>
          </cell>
          <cell r="R130">
            <v>0.48566441643779357</v>
          </cell>
          <cell r="S130">
            <v>1.6517364408737391E-2</v>
          </cell>
        </row>
        <row r="131">
          <cell r="B131">
            <v>880</v>
          </cell>
          <cell r="C131" t="str">
            <v>Torbay</v>
          </cell>
          <cell r="D131">
            <v>9820</v>
          </cell>
          <cell r="E131">
            <v>9178</v>
          </cell>
          <cell r="F131">
            <v>316</v>
          </cell>
          <cell r="H131">
            <v>0</v>
          </cell>
          <cell r="I131">
            <v>5</v>
          </cell>
          <cell r="J131">
            <v>1</v>
          </cell>
          <cell r="L131">
            <v>9820</v>
          </cell>
          <cell r="M131">
            <v>9183</v>
          </cell>
          <cell r="N131">
            <v>317</v>
          </cell>
          <cell r="O131">
            <v>19320</v>
          </cell>
          <cell r="Q131">
            <v>0.50828157349896486</v>
          </cell>
          <cell r="R131">
            <v>0.47531055900621116</v>
          </cell>
          <cell r="S131">
            <v>1.6407867494824018E-2</v>
          </cell>
        </row>
        <row r="132">
          <cell r="B132">
            <v>881</v>
          </cell>
          <cell r="C132" t="str">
            <v>Essex</v>
          </cell>
          <cell r="D132">
            <v>106207.5</v>
          </cell>
          <cell r="E132">
            <v>90894.5</v>
          </cell>
          <cell r="F132">
            <v>1771</v>
          </cell>
          <cell r="H132">
            <v>2</v>
          </cell>
          <cell r="I132">
            <v>0</v>
          </cell>
          <cell r="J132">
            <v>2</v>
          </cell>
          <cell r="L132">
            <v>106209.5</v>
          </cell>
          <cell r="M132">
            <v>90894.5</v>
          </cell>
          <cell r="N132">
            <v>1773</v>
          </cell>
          <cell r="O132">
            <v>198877</v>
          </cell>
          <cell r="Q132">
            <v>0.53404616924028414</v>
          </cell>
          <cell r="R132">
            <v>0.4570387727087597</v>
          </cell>
          <cell r="S132">
            <v>8.9150580509561178E-3</v>
          </cell>
        </row>
        <row r="133">
          <cell r="B133">
            <v>882</v>
          </cell>
          <cell r="C133" t="str">
            <v>Southend-on-Sea</v>
          </cell>
          <cell r="D133">
            <v>13988.5</v>
          </cell>
          <cell r="E133">
            <v>12403.5</v>
          </cell>
          <cell r="F133">
            <v>462.5</v>
          </cell>
          <cell r="H133">
            <v>0</v>
          </cell>
          <cell r="I133">
            <v>1</v>
          </cell>
          <cell r="J133">
            <v>1</v>
          </cell>
          <cell r="L133">
            <v>13988.5</v>
          </cell>
          <cell r="M133">
            <v>12404.5</v>
          </cell>
          <cell r="N133">
            <v>463.5</v>
          </cell>
          <cell r="O133">
            <v>26856.5</v>
          </cell>
          <cell r="Q133">
            <v>0.52086087166980066</v>
          </cell>
          <cell r="R133">
            <v>0.46188073650699085</v>
          </cell>
          <cell r="S133">
            <v>1.7258391823208534E-2</v>
          </cell>
        </row>
        <row r="134">
          <cell r="B134">
            <v>883</v>
          </cell>
          <cell r="C134" t="str">
            <v>Thurrock</v>
          </cell>
          <cell r="D134">
            <v>13387.5</v>
          </cell>
          <cell r="E134">
            <v>8748</v>
          </cell>
          <cell r="F134">
            <v>241</v>
          </cell>
          <cell r="H134">
            <v>1.5</v>
          </cell>
          <cell r="I134">
            <v>1</v>
          </cell>
          <cell r="J134">
            <v>2</v>
          </cell>
          <cell r="L134">
            <v>13389</v>
          </cell>
          <cell r="M134">
            <v>8749</v>
          </cell>
          <cell r="N134">
            <v>243</v>
          </cell>
          <cell r="O134">
            <v>22381</v>
          </cell>
          <cell r="Q134">
            <v>0.59823064206246368</v>
          </cell>
          <cell r="R134">
            <v>0.39091193422992715</v>
          </cell>
          <cell r="S134">
            <v>1.0857423707609132E-2</v>
          </cell>
        </row>
        <row r="135">
          <cell r="B135">
            <v>884</v>
          </cell>
          <cell r="C135" t="str">
            <v>Herefordshire</v>
          </cell>
          <cell r="D135">
            <v>13091</v>
          </cell>
          <cell r="E135">
            <v>10496.5</v>
          </cell>
          <cell r="F135">
            <v>183</v>
          </cell>
          <cell r="H135">
            <v>34</v>
          </cell>
          <cell r="I135">
            <v>4</v>
          </cell>
          <cell r="J135">
            <v>1</v>
          </cell>
          <cell r="L135">
            <v>13125</v>
          </cell>
          <cell r="M135">
            <v>10500.5</v>
          </cell>
          <cell r="N135">
            <v>184</v>
          </cell>
          <cell r="O135">
            <v>23809.5</v>
          </cell>
          <cell r="Q135">
            <v>0.55125055125055122</v>
          </cell>
          <cell r="R135">
            <v>0.44102144102144103</v>
          </cell>
          <cell r="S135">
            <v>7.7280077280077282E-3</v>
          </cell>
        </row>
        <row r="136">
          <cell r="B136">
            <v>885</v>
          </cell>
          <cell r="C136" t="str">
            <v>Worcestershire</v>
          </cell>
          <cell r="D136">
            <v>37663.5</v>
          </cell>
          <cell r="E136">
            <v>41179.5</v>
          </cell>
          <cell r="F136">
            <v>1065.5</v>
          </cell>
          <cell r="H136">
            <v>11</v>
          </cell>
          <cell r="I136">
            <v>12</v>
          </cell>
          <cell r="J136">
            <v>4</v>
          </cell>
          <cell r="L136">
            <v>37674.5</v>
          </cell>
          <cell r="M136">
            <v>41191.5</v>
          </cell>
          <cell r="N136">
            <v>1069.5</v>
          </cell>
          <cell r="O136">
            <v>79935.5</v>
          </cell>
          <cell r="Q136">
            <v>0.47131124469103214</v>
          </cell>
          <cell r="R136">
            <v>0.51530921805705854</v>
          </cell>
          <cell r="S136">
            <v>1.3379537251909351E-2</v>
          </cell>
        </row>
        <row r="137">
          <cell r="B137">
            <v>886</v>
          </cell>
          <cell r="C137" t="str">
            <v>Kent</v>
          </cell>
          <cell r="D137">
            <v>109964.5</v>
          </cell>
          <cell r="E137">
            <v>98821.5</v>
          </cell>
          <cell r="F137">
            <v>2602</v>
          </cell>
          <cell r="H137">
            <v>35.5</v>
          </cell>
          <cell r="I137">
            <v>95</v>
          </cell>
          <cell r="J137">
            <v>6.5</v>
          </cell>
          <cell r="L137">
            <v>110000</v>
          </cell>
          <cell r="M137">
            <v>98916.5</v>
          </cell>
          <cell r="N137">
            <v>2608.5</v>
          </cell>
          <cell r="O137">
            <v>211525</v>
          </cell>
          <cell r="Q137">
            <v>0.52003309301501</v>
          </cell>
          <cell r="R137">
            <v>0.46763503132017492</v>
          </cell>
          <cell r="S137">
            <v>1.2331875664815034E-2</v>
          </cell>
        </row>
        <row r="138">
          <cell r="B138">
            <v>887</v>
          </cell>
          <cell r="C138" t="str">
            <v>Medway</v>
          </cell>
          <cell r="D138">
            <v>22462</v>
          </cell>
          <cell r="E138">
            <v>20676</v>
          </cell>
          <cell r="F138">
            <v>460</v>
          </cell>
          <cell r="H138">
            <v>9</v>
          </cell>
          <cell r="I138">
            <v>50</v>
          </cell>
          <cell r="J138">
            <v>0</v>
          </cell>
          <cell r="L138">
            <v>22471</v>
          </cell>
          <cell r="M138">
            <v>20726</v>
          </cell>
          <cell r="N138">
            <v>460</v>
          </cell>
          <cell r="O138">
            <v>43657</v>
          </cell>
          <cell r="Q138">
            <v>0.51471699841949747</v>
          </cell>
          <cell r="R138">
            <v>0.47474631788716587</v>
          </cell>
          <cell r="S138">
            <v>1.0536683693336693E-2</v>
          </cell>
        </row>
        <row r="139">
          <cell r="B139">
            <v>888</v>
          </cell>
          <cell r="C139" t="str">
            <v>Lancashire</v>
          </cell>
          <cell r="D139">
            <v>93453.5</v>
          </cell>
          <cell r="E139">
            <v>75934.5</v>
          </cell>
          <cell r="F139">
            <v>2185.5</v>
          </cell>
          <cell r="H139">
            <v>33.5</v>
          </cell>
          <cell r="I139">
            <v>15</v>
          </cell>
          <cell r="J139">
            <v>8</v>
          </cell>
          <cell r="L139">
            <v>93487</v>
          </cell>
          <cell r="M139">
            <v>75949.5</v>
          </cell>
          <cell r="N139">
            <v>2193.5</v>
          </cell>
          <cell r="O139">
            <v>171630</v>
          </cell>
          <cell r="Q139">
            <v>0.54470080988172231</v>
          </cell>
          <cell r="R139">
            <v>0.44251879042125503</v>
          </cell>
          <cell r="S139">
            <v>1.2780399697022665E-2</v>
          </cell>
        </row>
        <row r="140">
          <cell r="B140">
            <v>889</v>
          </cell>
          <cell r="C140" t="str">
            <v>Blackburn with Darwen</v>
          </cell>
          <cell r="D140">
            <v>14469.5</v>
          </cell>
          <cell r="E140">
            <v>9538</v>
          </cell>
          <cell r="F140">
            <v>310</v>
          </cell>
          <cell r="H140">
            <v>2</v>
          </cell>
          <cell r="I140">
            <v>2</v>
          </cell>
          <cell r="J140">
            <v>2</v>
          </cell>
          <cell r="L140">
            <v>14471.5</v>
          </cell>
          <cell r="M140">
            <v>9540</v>
          </cell>
          <cell r="N140">
            <v>312</v>
          </cell>
          <cell r="O140">
            <v>24323.5</v>
          </cell>
          <cell r="Q140">
            <v>0.59495960696445827</v>
          </cell>
          <cell r="R140">
            <v>0.39221329167266222</v>
          </cell>
          <cell r="S140">
            <v>1.282710136287952E-2</v>
          </cell>
        </row>
        <row r="141">
          <cell r="B141">
            <v>890</v>
          </cell>
          <cell r="C141" t="str">
            <v>Blackpool</v>
          </cell>
          <cell r="D141">
            <v>11828.5</v>
          </cell>
          <cell r="E141">
            <v>8795</v>
          </cell>
          <cell r="F141">
            <v>288</v>
          </cell>
          <cell r="H141">
            <v>21</v>
          </cell>
          <cell r="I141">
            <v>2</v>
          </cell>
          <cell r="J141">
            <v>1</v>
          </cell>
          <cell r="L141">
            <v>11849.5</v>
          </cell>
          <cell r="M141">
            <v>8797</v>
          </cell>
          <cell r="N141">
            <v>289</v>
          </cell>
          <cell r="O141">
            <v>20935.5</v>
          </cell>
          <cell r="Q141">
            <v>0.56600033436029706</v>
          </cell>
          <cell r="R141">
            <v>0.42019536194502161</v>
          </cell>
          <cell r="S141">
            <v>1.3804303694681283E-2</v>
          </cell>
        </row>
        <row r="142">
          <cell r="B142">
            <v>891</v>
          </cell>
          <cell r="C142" t="str">
            <v>Nottinghamshire</v>
          </cell>
          <cell r="D142">
            <v>61382.5</v>
          </cell>
          <cell r="E142">
            <v>54829.5</v>
          </cell>
          <cell r="F142">
            <v>756.5</v>
          </cell>
          <cell r="H142">
            <v>13.5</v>
          </cell>
          <cell r="I142">
            <v>1</v>
          </cell>
          <cell r="J142">
            <v>34</v>
          </cell>
          <cell r="L142">
            <v>61396</v>
          </cell>
          <cell r="M142">
            <v>54830.5</v>
          </cell>
          <cell r="N142">
            <v>790.5</v>
          </cell>
          <cell r="O142">
            <v>117017</v>
          </cell>
          <cell r="Q142">
            <v>0.52467590179204726</v>
          </cell>
          <cell r="R142">
            <v>0.46856866950955844</v>
          </cell>
          <cell r="S142">
            <v>6.7554286983942504E-3</v>
          </cell>
        </row>
        <row r="143">
          <cell r="B143">
            <v>892</v>
          </cell>
          <cell r="C143" t="str">
            <v>Nottingham</v>
          </cell>
          <cell r="D143">
            <v>22260</v>
          </cell>
          <cell r="E143">
            <v>13816</v>
          </cell>
          <cell r="F143">
            <v>351.5</v>
          </cell>
          <cell r="H143">
            <v>3.5</v>
          </cell>
          <cell r="I143">
            <v>0</v>
          </cell>
          <cell r="J143">
            <v>7</v>
          </cell>
          <cell r="L143">
            <v>22263.5</v>
          </cell>
          <cell r="M143">
            <v>13816</v>
          </cell>
          <cell r="N143">
            <v>358.5</v>
          </cell>
          <cell r="O143">
            <v>36438</v>
          </cell>
          <cell r="Q143">
            <v>0.61099676162248207</v>
          </cell>
          <cell r="R143">
            <v>0.37916460837587135</v>
          </cell>
          <cell r="S143">
            <v>9.8386300016466335E-3</v>
          </cell>
        </row>
        <row r="144">
          <cell r="B144">
            <v>893</v>
          </cell>
          <cell r="C144" t="str">
            <v>Shropshire</v>
          </cell>
          <cell r="D144">
            <v>21735</v>
          </cell>
          <cell r="E144">
            <v>18183</v>
          </cell>
          <cell r="F144">
            <v>259.5</v>
          </cell>
          <cell r="H144">
            <v>13.5</v>
          </cell>
          <cell r="I144">
            <v>6.5</v>
          </cell>
          <cell r="J144">
            <v>0</v>
          </cell>
          <cell r="L144">
            <v>21748.5</v>
          </cell>
          <cell r="M144">
            <v>18189.5</v>
          </cell>
          <cell r="N144">
            <v>259.5</v>
          </cell>
          <cell r="O144">
            <v>40197.5</v>
          </cell>
          <cell r="Q144">
            <v>0.54104110952173645</v>
          </cell>
          <cell r="R144">
            <v>0.45250326512842837</v>
          </cell>
          <cell r="S144">
            <v>6.455625349835189E-3</v>
          </cell>
        </row>
        <row r="145">
          <cell r="B145">
            <v>894</v>
          </cell>
          <cell r="C145" t="str">
            <v>Telford and Wrekin</v>
          </cell>
          <cell r="D145">
            <v>14955.5</v>
          </cell>
          <cell r="E145">
            <v>10536.5</v>
          </cell>
          <cell r="F145">
            <v>434</v>
          </cell>
          <cell r="H145">
            <v>0</v>
          </cell>
          <cell r="I145">
            <v>0</v>
          </cell>
          <cell r="J145">
            <v>0</v>
          </cell>
          <cell r="L145">
            <v>14955.5</v>
          </cell>
          <cell r="M145">
            <v>10536.5</v>
          </cell>
          <cell r="N145">
            <v>434</v>
          </cell>
          <cell r="O145">
            <v>25926</v>
          </cell>
          <cell r="Q145">
            <v>0.57685335184756614</v>
          </cell>
          <cell r="R145">
            <v>0.40640669598086865</v>
          </cell>
          <cell r="S145">
            <v>1.6739952171565223E-2</v>
          </cell>
        </row>
        <row r="146">
          <cell r="B146">
            <v>908</v>
          </cell>
          <cell r="C146" t="str">
            <v>Cornwall</v>
          </cell>
          <cell r="D146">
            <v>38957</v>
          </cell>
          <cell r="E146">
            <v>33137</v>
          </cell>
          <cell r="F146">
            <v>413.5</v>
          </cell>
          <cell r="H146">
            <v>12</v>
          </cell>
          <cell r="I146">
            <v>8</v>
          </cell>
          <cell r="J146">
            <v>1</v>
          </cell>
          <cell r="L146">
            <v>38969</v>
          </cell>
          <cell r="M146">
            <v>33145</v>
          </cell>
          <cell r="N146">
            <v>414.5</v>
          </cell>
          <cell r="O146">
            <v>72528.5</v>
          </cell>
          <cell r="Q146">
            <v>0.53729223684482652</v>
          </cell>
          <cell r="R146">
            <v>0.456992768360024</v>
          </cell>
          <cell r="S146">
            <v>5.7149947951494933E-3</v>
          </cell>
        </row>
        <row r="147">
          <cell r="B147">
            <v>909</v>
          </cell>
          <cell r="C147" t="str">
            <v>Cumbria</v>
          </cell>
          <cell r="D147">
            <v>39249</v>
          </cell>
          <cell r="E147">
            <v>35455</v>
          </cell>
          <cell r="F147">
            <v>431</v>
          </cell>
          <cell r="H147">
            <v>9</v>
          </cell>
          <cell r="I147">
            <v>14</v>
          </cell>
          <cell r="J147">
            <v>12</v>
          </cell>
          <cell r="L147">
            <v>39258</v>
          </cell>
          <cell r="M147">
            <v>35469</v>
          </cell>
          <cell r="N147">
            <v>443</v>
          </cell>
          <cell r="O147">
            <v>75170</v>
          </cell>
          <cell r="Q147">
            <v>0.52225621923639753</v>
          </cell>
          <cell r="R147">
            <v>0.4718504722628708</v>
          </cell>
          <cell r="S147">
            <v>5.8933085007316748E-3</v>
          </cell>
        </row>
        <row r="148">
          <cell r="B148">
            <v>916</v>
          </cell>
          <cell r="C148" t="str">
            <v>Gloucestershire</v>
          </cell>
          <cell r="D148">
            <v>44388.5</v>
          </cell>
          <cell r="E148">
            <v>40588.5</v>
          </cell>
          <cell r="F148">
            <v>875</v>
          </cell>
          <cell r="H148">
            <v>1</v>
          </cell>
          <cell r="I148">
            <v>0</v>
          </cell>
          <cell r="J148">
            <v>4</v>
          </cell>
          <cell r="L148">
            <v>44389.5</v>
          </cell>
          <cell r="M148">
            <v>40588.5</v>
          </cell>
          <cell r="N148">
            <v>879</v>
          </cell>
          <cell r="O148">
            <v>85857</v>
          </cell>
          <cell r="Q148">
            <v>0.51701666724903039</v>
          </cell>
          <cell r="R148">
            <v>0.47274537894405816</v>
          </cell>
          <cell r="S148">
            <v>1.0237953806911492E-2</v>
          </cell>
        </row>
        <row r="149">
          <cell r="B149">
            <v>919</v>
          </cell>
          <cell r="C149" t="str">
            <v>Hertfordshire</v>
          </cell>
          <cell r="D149">
            <v>88757</v>
          </cell>
          <cell r="E149">
            <v>79623</v>
          </cell>
          <cell r="F149">
            <v>2145.5</v>
          </cell>
          <cell r="H149">
            <v>8</v>
          </cell>
          <cell r="I149">
            <v>10</v>
          </cell>
          <cell r="J149">
            <v>23</v>
          </cell>
          <cell r="L149">
            <v>88765</v>
          </cell>
          <cell r="M149">
            <v>79633</v>
          </cell>
          <cell r="N149">
            <v>2168.5</v>
          </cell>
          <cell r="O149">
            <v>170566.5</v>
          </cell>
          <cell r="Q149">
            <v>0.52041285950054672</v>
          </cell>
          <cell r="R149">
            <v>0.46687362407037725</v>
          </cell>
          <cell r="S149">
            <v>1.271351642907605E-2</v>
          </cell>
        </row>
        <row r="150">
          <cell r="B150">
            <v>921</v>
          </cell>
          <cell r="C150" t="str">
            <v>Isle of Wight</v>
          </cell>
          <cell r="D150">
            <v>7113.5</v>
          </cell>
          <cell r="E150">
            <v>12191</v>
          </cell>
          <cell r="F150">
            <v>212.5</v>
          </cell>
          <cell r="H150">
            <v>1</v>
          </cell>
          <cell r="I150">
            <v>3</v>
          </cell>
          <cell r="J150">
            <v>1</v>
          </cell>
          <cell r="L150">
            <v>7114.5</v>
          </cell>
          <cell r="M150">
            <v>12194</v>
          </cell>
          <cell r="N150">
            <v>213.5</v>
          </cell>
          <cell r="O150">
            <v>19522</v>
          </cell>
          <cell r="Q150">
            <v>0.36443499641430183</v>
          </cell>
          <cell r="R150">
            <v>0.62462862411638154</v>
          </cell>
          <cell r="S150">
            <v>1.0936379469316668E-2</v>
          </cell>
        </row>
        <row r="151">
          <cell r="B151">
            <v>925</v>
          </cell>
          <cell r="C151" t="str">
            <v>Lincolnshire</v>
          </cell>
          <cell r="D151">
            <v>52866.5</v>
          </cell>
          <cell r="E151">
            <v>47868.5</v>
          </cell>
          <cell r="F151">
            <v>1212</v>
          </cell>
          <cell r="H151">
            <v>8.5</v>
          </cell>
          <cell r="I151">
            <v>29</v>
          </cell>
          <cell r="J151">
            <v>12.5</v>
          </cell>
          <cell r="L151">
            <v>52875</v>
          </cell>
          <cell r="M151">
            <v>47897.5</v>
          </cell>
          <cell r="N151">
            <v>1224.5</v>
          </cell>
          <cell r="O151">
            <v>101997</v>
          </cell>
          <cell r="Q151">
            <v>0.5183975999294097</v>
          </cell>
          <cell r="R151">
            <v>0.46959714501406902</v>
          </cell>
          <cell r="S151">
            <v>1.200525505652127E-2</v>
          </cell>
        </row>
        <row r="152">
          <cell r="B152">
            <v>926</v>
          </cell>
          <cell r="C152" t="str">
            <v>Norfolk</v>
          </cell>
          <cell r="D152">
            <v>64506</v>
          </cell>
          <cell r="E152">
            <v>46513.5</v>
          </cell>
          <cell r="F152">
            <v>888.5</v>
          </cell>
          <cell r="H152">
            <v>91.5</v>
          </cell>
          <cell r="I152">
            <v>6</v>
          </cell>
          <cell r="J152">
            <v>40.5</v>
          </cell>
          <cell r="L152">
            <v>64597.5</v>
          </cell>
          <cell r="M152">
            <v>46519.5</v>
          </cell>
          <cell r="N152">
            <v>929</v>
          </cell>
          <cell r="O152">
            <v>112046</v>
          </cell>
          <cell r="Q152">
            <v>0.57652660514431575</v>
          </cell>
          <cell r="R152">
            <v>0.41518215732824021</v>
          </cell>
          <cell r="S152">
            <v>8.2912375274440848E-3</v>
          </cell>
        </row>
        <row r="153">
          <cell r="B153">
            <v>928</v>
          </cell>
          <cell r="C153" t="str">
            <v>Northamptonshire</v>
          </cell>
          <cell r="D153">
            <v>55594.5</v>
          </cell>
          <cell r="E153">
            <v>45536.5</v>
          </cell>
          <cell r="F153">
            <v>990.5</v>
          </cell>
          <cell r="H153">
            <v>5</v>
          </cell>
          <cell r="I153">
            <v>16</v>
          </cell>
          <cell r="J153">
            <v>4</v>
          </cell>
          <cell r="L153">
            <v>55599.5</v>
          </cell>
          <cell r="M153">
            <v>45552.5</v>
          </cell>
          <cell r="N153">
            <v>994.5</v>
          </cell>
          <cell r="O153">
            <v>102146.5</v>
          </cell>
          <cell r="Q153">
            <v>0.54431135672783693</v>
          </cell>
          <cell r="R153">
            <v>0.4459526268643566</v>
          </cell>
          <cell r="S153">
            <v>9.7360164078064346E-3</v>
          </cell>
        </row>
        <row r="154">
          <cell r="B154">
            <v>929</v>
          </cell>
          <cell r="C154" t="str">
            <v>Northumberland</v>
          </cell>
          <cell r="D154">
            <v>18315.5</v>
          </cell>
          <cell r="E154">
            <v>30382.5</v>
          </cell>
          <cell r="F154">
            <v>430.5</v>
          </cell>
          <cell r="H154">
            <v>4</v>
          </cell>
          <cell r="I154">
            <v>10</v>
          </cell>
          <cell r="J154">
            <v>2.5</v>
          </cell>
          <cell r="L154">
            <v>18319.5</v>
          </cell>
          <cell r="M154">
            <v>30392.5</v>
          </cell>
          <cell r="N154">
            <v>433</v>
          </cell>
          <cell r="O154">
            <v>49145</v>
          </cell>
          <cell r="Q154">
            <v>0.37276426899989829</v>
          </cell>
          <cell r="R154">
            <v>0.61842506867433111</v>
          </cell>
          <cell r="S154">
            <v>8.8106623257706781E-3</v>
          </cell>
        </row>
        <row r="155">
          <cell r="B155">
            <v>931</v>
          </cell>
          <cell r="C155" t="str">
            <v>Oxfordshire</v>
          </cell>
          <cell r="D155">
            <v>44602.5</v>
          </cell>
          <cell r="E155">
            <v>37916.5</v>
          </cell>
          <cell r="F155">
            <v>777</v>
          </cell>
          <cell r="H155">
            <v>29.5</v>
          </cell>
          <cell r="I155">
            <v>23</v>
          </cell>
          <cell r="J155">
            <v>78</v>
          </cell>
          <cell r="L155">
            <v>44632</v>
          </cell>
          <cell r="M155">
            <v>37939.5</v>
          </cell>
          <cell r="N155">
            <v>855</v>
          </cell>
          <cell r="O155">
            <v>83426.5</v>
          </cell>
          <cell r="Q155">
            <v>0.5349858857796983</v>
          </cell>
          <cell r="R155">
            <v>0.45476557209040291</v>
          </cell>
          <cell r="S155">
            <v>1.0248542129898773E-2</v>
          </cell>
        </row>
        <row r="156">
          <cell r="B156">
            <v>933</v>
          </cell>
          <cell r="C156" t="str">
            <v>Somerset</v>
          </cell>
          <cell r="D156">
            <v>37211</v>
          </cell>
          <cell r="E156">
            <v>33264</v>
          </cell>
          <cell r="F156">
            <v>454</v>
          </cell>
          <cell r="H156">
            <v>3</v>
          </cell>
          <cell r="I156">
            <v>3</v>
          </cell>
          <cell r="J156">
            <v>10</v>
          </cell>
          <cell r="L156">
            <v>37214</v>
          </cell>
          <cell r="M156">
            <v>33267</v>
          </cell>
          <cell r="N156">
            <v>464</v>
          </cell>
          <cell r="O156">
            <v>70945</v>
          </cell>
          <cell r="Q156">
            <v>0.52454718443864967</v>
          </cell>
          <cell r="R156">
            <v>0.46891253788145748</v>
          </cell>
          <cell r="S156">
            <v>6.5402776798928744E-3</v>
          </cell>
        </row>
        <row r="157">
          <cell r="B157">
            <v>935</v>
          </cell>
          <cell r="C157" t="str">
            <v>Suffolk</v>
          </cell>
          <cell r="D157">
            <v>43994.5</v>
          </cell>
          <cell r="E157">
            <v>54302</v>
          </cell>
          <cell r="F157">
            <v>841.5</v>
          </cell>
          <cell r="H157">
            <v>11.5</v>
          </cell>
          <cell r="I157">
            <v>5</v>
          </cell>
          <cell r="J157">
            <v>10</v>
          </cell>
          <cell r="L157">
            <v>44006</v>
          </cell>
          <cell r="M157">
            <v>54307</v>
          </cell>
          <cell r="N157">
            <v>851.5</v>
          </cell>
          <cell r="O157">
            <v>99164.5</v>
          </cell>
          <cell r="Q157">
            <v>0.44376767895769154</v>
          </cell>
          <cell r="R157">
            <v>0.54764557881096565</v>
          </cell>
          <cell r="S157">
            <v>8.5867422313428698E-3</v>
          </cell>
        </row>
        <row r="158">
          <cell r="B158">
            <v>936</v>
          </cell>
          <cell r="C158" t="str">
            <v>Surrey</v>
          </cell>
          <cell r="D158">
            <v>76893.5</v>
          </cell>
          <cell r="E158">
            <v>59360</v>
          </cell>
          <cell r="F158">
            <v>1896.5</v>
          </cell>
          <cell r="H158">
            <v>16</v>
          </cell>
          <cell r="I158">
            <v>20</v>
          </cell>
          <cell r="J158">
            <v>7</v>
          </cell>
          <cell r="L158">
            <v>76909.5</v>
          </cell>
          <cell r="M158">
            <v>59380</v>
          </cell>
          <cell r="N158">
            <v>1903.5</v>
          </cell>
          <cell r="O158">
            <v>138193</v>
          </cell>
          <cell r="Q158">
            <v>0.55653687234519833</v>
          </cell>
          <cell r="R158">
            <v>0.42968891333135545</v>
          </cell>
          <cell r="S158">
            <v>1.3774214323446195E-2</v>
          </cell>
        </row>
        <row r="159">
          <cell r="B159">
            <v>937</v>
          </cell>
          <cell r="C159" t="str">
            <v>Warwickshire</v>
          </cell>
          <cell r="D159">
            <v>40850.5</v>
          </cell>
          <cell r="E159">
            <v>34281.5</v>
          </cell>
          <cell r="F159">
            <v>942.5</v>
          </cell>
          <cell r="H159">
            <v>10</v>
          </cell>
          <cell r="I159">
            <v>11</v>
          </cell>
          <cell r="J159">
            <v>92.5</v>
          </cell>
          <cell r="L159">
            <v>40860.5</v>
          </cell>
          <cell r="M159">
            <v>34292.5</v>
          </cell>
          <cell r="N159">
            <v>1035</v>
          </cell>
          <cell r="O159">
            <v>76188</v>
          </cell>
          <cell r="Q159">
            <v>0.5363114926235103</v>
          </cell>
          <cell r="R159">
            <v>0.45010369086995328</v>
          </cell>
          <cell r="S159">
            <v>1.3584816506536462E-2</v>
          </cell>
        </row>
        <row r="160">
          <cell r="B160">
            <v>938</v>
          </cell>
          <cell r="C160" t="str">
            <v>West Sussex</v>
          </cell>
          <cell r="D160">
            <v>57500.5</v>
          </cell>
          <cell r="E160">
            <v>45793.5</v>
          </cell>
          <cell r="F160">
            <v>1414</v>
          </cell>
          <cell r="H160">
            <v>6.5</v>
          </cell>
          <cell r="I160">
            <v>9</v>
          </cell>
          <cell r="J160">
            <v>2.5</v>
          </cell>
          <cell r="L160">
            <v>57507</v>
          </cell>
          <cell r="M160">
            <v>45802.5</v>
          </cell>
          <cell r="N160">
            <v>1416.5</v>
          </cell>
          <cell r="O160">
            <v>104726</v>
          </cell>
          <cell r="Q160">
            <v>0.5491186524836239</v>
          </cell>
          <cell r="R160">
            <v>0.43735557550178561</v>
          </cell>
          <cell r="S160">
            <v>1.3525772014590456E-2</v>
          </cell>
        </row>
      </sheetData>
      <sheetData sheetId="4"/>
      <sheetData sheetId="5">
        <row r="11">
          <cell r="A11">
            <v>201</v>
          </cell>
          <cell r="B11">
            <v>880200</v>
          </cell>
          <cell r="C11">
            <v>33000</v>
          </cell>
          <cell r="D11">
            <v>216100</v>
          </cell>
          <cell r="E11">
            <v>13600</v>
          </cell>
          <cell r="F11">
            <v>31400</v>
          </cell>
          <cell r="G11">
            <v>13000</v>
          </cell>
          <cell r="H11">
            <v>0</v>
          </cell>
          <cell r="I11">
            <v>61400</v>
          </cell>
          <cell r="J11">
            <v>0</v>
          </cell>
          <cell r="K11">
            <v>0</v>
          </cell>
          <cell r="L11">
            <v>0</v>
          </cell>
          <cell r="M11">
            <v>0</v>
          </cell>
          <cell r="N11">
            <v>90400</v>
          </cell>
          <cell r="O11">
            <v>149600</v>
          </cell>
          <cell r="P11">
            <v>0</v>
          </cell>
          <cell r="Q11">
            <v>0</v>
          </cell>
          <cell r="R11">
            <v>0</v>
          </cell>
          <cell r="S11">
            <v>0</v>
          </cell>
          <cell r="T11">
            <v>121500</v>
          </cell>
          <cell r="U11">
            <v>159100</v>
          </cell>
          <cell r="V11">
            <v>8700</v>
          </cell>
          <cell r="W11">
            <v>0</v>
          </cell>
          <cell r="X11">
            <v>10000</v>
          </cell>
          <cell r="Y11">
            <v>31200</v>
          </cell>
          <cell r="Z11">
            <v>4400</v>
          </cell>
          <cell r="AA11">
            <v>0</v>
          </cell>
          <cell r="AB11">
            <v>0</v>
          </cell>
          <cell r="AC11">
            <v>0</v>
          </cell>
          <cell r="AD11">
            <v>11300</v>
          </cell>
          <cell r="AE11">
            <v>0</v>
          </cell>
          <cell r="AF11">
            <v>0</v>
          </cell>
          <cell r="AG11">
            <v>0</v>
          </cell>
          <cell r="AH11">
            <v>0</v>
          </cell>
          <cell r="AI11">
            <v>0</v>
          </cell>
          <cell r="AJ11">
            <v>80500</v>
          </cell>
          <cell r="AK11">
            <v>0</v>
          </cell>
          <cell r="AL11">
            <v>0</v>
          </cell>
          <cell r="AM11">
            <v>0</v>
          </cell>
          <cell r="AN11">
            <v>0</v>
          </cell>
          <cell r="AO11">
            <v>26500</v>
          </cell>
          <cell r="AP11">
            <v>0</v>
          </cell>
          <cell r="AQ11">
            <v>1941900</v>
          </cell>
          <cell r="AR11">
            <v>416500</v>
          </cell>
          <cell r="AS11">
            <v>8300</v>
          </cell>
          <cell r="AT11">
            <v>4700</v>
          </cell>
          <cell r="AU11">
            <v>0</v>
          </cell>
          <cell r="AV11">
            <v>0</v>
          </cell>
          <cell r="AW11">
            <v>8700</v>
          </cell>
          <cell r="AX11">
            <v>0</v>
          </cell>
          <cell r="AY11">
            <v>438200</v>
          </cell>
          <cell r="AZ11">
            <v>21400</v>
          </cell>
          <cell r="BA11">
            <v>0</v>
          </cell>
          <cell r="BB11">
            <v>0</v>
          </cell>
          <cell r="BC11">
            <v>0</v>
          </cell>
          <cell r="BD11">
            <v>21400</v>
          </cell>
          <cell r="BE11">
            <v>17400</v>
          </cell>
          <cell r="BF11">
            <v>9700</v>
          </cell>
          <cell r="BG11">
            <v>8800</v>
          </cell>
          <cell r="BH11">
            <v>0</v>
          </cell>
          <cell r="BI11">
            <v>5300</v>
          </cell>
          <cell r="BJ11">
            <v>9700</v>
          </cell>
          <cell r="BK11">
            <v>50900</v>
          </cell>
          <cell r="BL11">
            <v>23600</v>
          </cell>
          <cell r="BM11">
            <v>5600</v>
          </cell>
          <cell r="BN11">
            <v>13100</v>
          </cell>
          <cell r="BO11">
            <v>39900</v>
          </cell>
          <cell r="BP11">
            <v>0</v>
          </cell>
          <cell r="BQ11">
            <v>0</v>
          </cell>
          <cell r="BR11">
            <v>157800</v>
          </cell>
          <cell r="BS11">
            <v>5600</v>
          </cell>
          <cell r="BT11">
            <v>4300</v>
          </cell>
          <cell r="BU11">
            <v>4300</v>
          </cell>
          <cell r="BV11">
            <v>15200</v>
          </cell>
          <cell r="BW11">
            <v>47800</v>
          </cell>
          <cell r="BX11">
            <v>15400</v>
          </cell>
          <cell r="BY11">
            <v>0</v>
          </cell>
          <cell r="BZ11">
            <v>6600</v>
          </cell>
          <cell r="CA11">
            <v>0</v>
          </cell>
          <cell r="CB11">
            <v>691900</v>
          </cell>
          <cell r="CC11">
            <v>328800</v>
          </cell>
          <cell r="CD11">
            <v>686600</v>
          </cell>
          <cell r="CE11">
            <v>72000</v>
          </cell>
          <cell r="CF11">
            <v>2000</v>
          </cell>
          <cell r="CG11">
            <v>8200</v>
          </cell>
          <cell r="CH11">
            <v>0</v>
          </cell>
          <cell r="CI11">
            <v>1097600</v>
          </cell>
          <cell r="CJ11">
            <v>1789500</v>
          </cell>
          <cell r="CK11">
            <v>3731400</v>
          </cell>
          <cell r="CM11">
            <v>0</v>
          </cell>
          <cell r="CN11">
            <v>0</v>
          </cell>
          <cell r="CO11">
            <v>0</v>
          </cell>
          <cell r="CP11">
            <v>0</v>
          </cell>
          <cell r="CQ11">
            <v>0</v>
          </cell>
          <cell r="CR11">
            <v>0</v>
          </cell>
          <cell r="CS11">
            <v>5900</v>
          </cell>
          <cell r="CT11">
            <v>0</v>
          </cell>
          <cell r="CV11">
            <v>0</v>
          </cell>
          <cell r="CW11">
            <v>0</v>
          </cell>
          <cell r="CX11">
            <v>60400</v>
          </cell>
          <cell r="CY11">
            <v>0</v>
          </cell>
        </row>
        <row r="12">
          <cell r="A12">
            <v>202</v>
          </cell>
          <cell r="B12">
            <v>92229506</v>
          </cell>
          <cell r="C12">
            <v>2560919</v>
          </cell>
          <cell r="D12">
            <v>8225650</v>
          </cell>
          <cell r="E12">
            <v>2430233</v>
          </cell>
          <cell r="F12">
            <v>3368352</v>
          </cell>
          <cell r="G12">
            <v>1146000</v>
          </cell>
          <cell r="H12">
            <v>0</v>
          </cell>
          <cell r="I12">
            <v>2963760</v>
          </cell>
          <cell r="J12">
            <v>1334352</v>
          </cell>
          <cell r="K12">
            <v>397843</v>
          </cell>
          <cell r="L12">
            <v>1254236</v>
          </cell>
          <cell r="M12">
            <v>346904</v>
          </cell>
          <cell r="N12">
            <v>1632400</v>
          </cell>
          <cell r="O12">
            <v>2511400</v>
          </cell>
          <cell r="P12">
            <v>1285763</v>
          </cell>
          <cell r="Q12">
            <v>501227</v>
          </cell>
          <cell r="R12">
            <v>606310</v>
          </cell>
          <cell r="S12">
            <v>231755</v>
          </cell>
          <cell r="T12">
            <v>17935487</v>
          </cell>
          <cell r="U12">
            <v>197336</v>
          </cell>
          <cell r="V12">
            <v>50000</v>
          </cell>
          <cell r="W12">
            <v>10716</v>
          </cell>
          <cell r="X12">
            <v>0</v>
          </cell>
          <cell r="Y12">
            <v>0</v>
          </cell>
          <cell r="Z12">
            <v>0</v>
          </cell>
          <cell r="AA12">
            <v>0</v>
          </cell>
          <cell r="AB12">
            <v>0</v>
          </cell>
          <cell r="AC12">
            <v>0</v>
          </cell>
          <cell r="AD12">
            <v>163700</v>
          </cell>
          <cell r="AE12">
            <v>10000</v>
          </cell>
          <cell r="AF12">
            <v>44799</v>
          </cell>
          <cell r="AG12">
            <v>0</v>
          </cell>
          <cell r="AH12">
            <v>40000</v>
          </cell>
          <cell r="AI12">
            <v>92798</v>
          </cell>
          <cell r="AJ12">
            <v>3447978</v>
          </cell>
          <cell r="AK12">
            <v>197399</v>
          </cell>
          <cell r="AL12">
            <v>0</v>
          </cell>
          <cell r="AM12">
            <v>0</v>
          </cell>
          <cell r="AN12">
            <v>331148</v>
          </cell>
          <cell r="AO12">
            <v>1104614</v>
          </cell>
          <cell r="AP12">
            <v>0</v>
          </cell>
          <cell r="AQ12">
            <v>146652585</v>
          </cell>
          <cell r="AR12">
            <v>1112099</v>
          </cell>
          <cell r="AS12">
            <v>308186</v>
          </cell>
          <cell r="AT12">
            <v>160244</v>
          </cell>
          <cell r="AU12">
            <v>0</v>
          </cell>
          <cell r="AV12">
            <v>0</v>
          </cell>
          <cell r="AW12">
            <v>14529</v>
          </cell>
          <cell r="AX12">
            <v>30000</v>
          </cell>
          <cell r="AY12">
            <v>1625058</v>
          </cell>
          <cell r="AZ12">
            <v>50000</v>
          </cell>
          <cell r="BA12">
            <v>884165</v>
          </cell>
          <cell r="BB12">
            <v>0</v>
          </cell>
          <cell r="BC12">
            <v>0</v>
          </cell>
          <cell r="BD12">
            <v>934165</v>
          </cell>
          <cell r="BE12">
            <v>1592899</v>
          </cell>
          <cell r="BF12">
            <v>686663</v>
          </cell>
          <cell r="BG12">
            <v>144845</v>
          </cell>
          <cell r="BH12">
            <v>2440</v>
          </cell>
          <cell r="BI12">
            <v>43927</v>
          </cell>
          <cell r="BJ12">
            <v>70000</v>
          </cell>
          <cell r="BK12">
            <v>2540774</v>
          </cell>
          <cell r="BL12">
            <v>2663579</v>
          </cell>
          <cell r="BM12">
            <v>1234958</v>
          </cell>
          <cell r="BN12">
            <v>374080</v>
          </cell>
          <cell r="BO12">
            <v>450111</v>
          </cell>
          <cell r="BP12">
            <v>47300</v>
          </cell>
          <cell r="BQ12">
            <v>0</v>
          </cell>
          <cell r="BR12">
            <v>4191432</v>
          </cell>
          <cell r="BS12">
            <v>0</v>
          </cell>
          <cell r="BT12">
            <v>120000</v>
          </cell>
          <cell r="BU12">
            <v>0</v>
          </cell>
          <cell r="BV12">
            <v>0</v>
          </cell>
          <cell r="BW12">
            <v>1913183</v>
          </cell>
          <cell r="BX12">
            <v>30800</v>
          </cell>
          <cell r="BY12">
            <v>21000</v>
          </cell>
          <cell r="BZ12">
            <v>0</v>
          </cell>
          <cell r="CA12">
            <v>0</v>
          </cell>
          <cell r="CB12">
            <v>11955008</v>
          </cell>
          <cell r="CC12">
            <v>3810716</v>
          </cell>
          <cell r="CD12">
            <v>2400745</v>
          </cell>
          <cell r="CE12">
            <v>79581</v>
          </cell>
          <cell r="CF12">
            <v>594778</v>
          </cell>
          <cell r="CG12">
            <v>0</v>
          </cell>
          <cell r="CH12">
            <v>0</v>
          </cell>
          <cell r="CI12">
            <v>6885820</v>
          </cell>
          <cell r="CJ12">
            <v>18840828</v>
          </cell>
          <cell r="CK12">
            <v>165493413</v>
          </cell>
          <cell r="CM12">
            <v>12401624</v>
          </cell>
          <cell r="CN12">
            <v>182491</v>
          </cell>
          <cell r="CO12">
            <v>356846</v>
          </cell>
          <cell r="CP12">
            <v>0</v>
          </cell>
          <cell r="CQ12">
            <v>0</v>
          </cell>
          <cell r="CR12">
            <v>0</v>
          </cell>
          <cell r="CS12">
            <v>0</v>
          </cell>
          <cell r="CT12">
            <v>0</v>
          </cell>
          <cell r="CV12">
            <v>0</v>
          </cell>
          <cell r="CW12">
            <v>1199798</v>
          </cell>
          <cell r="CX12">
            <v>0</v>
          </cell>
          <cell r="CY12">
            <v>0</v>
          </cell>
        </row>
        <row r="13">
          <cell r="A13">
            <v>203</v>
          </cell>
          <cell r="B13">
            <v>141725760</v>
          </cell>
          <cell r="C13">
            <v>3849269.43</v>
          </cell>
          <cell r="D13">
            <v>13747494</v>
          </cell>
          <cell r="E13">
            <v>4800500</v>
          </cell>
          <cell r="F13">
            <v>5776810</v>
          </cell>
          <cell r="G13">
            <v>0</v>
          </cell>
          <cell r="H13">
            <v>0</v>
          </cell>
          <cell r="I13">
            <v>1215560</v>
          </cell>
          <cell r="J13">
            <v>0</v>
          </cell>
          <cell r="K13">
            <v>0</v>
          </cell>
          <cell r="L13">
            <v>0</v>
          </cell>
          <cell r="M13">
            <v>0</v>
          </cell>
          <cell r="N13">
            <v>1684880</v>
          </cell>
          <cell r="O13">
            <v>2661430</v>
          </cell>
          <cell r="P13">
            <v>2610570</v>
          </cell>
          <cell r="Q13">
            <v>1321470</v>
          </cell>
          <cell r="R13">
            <v>0</v>
          </cell>
          <cell r="S13">
            <v>0</v>
          </cell>
          <cell r="T13">
            <v>2634260</v>
          </cell>
          <cell r="U13">
            <v>0</v>
          </cell>
          <cell r="V13">
            <v>0</v>
          </cell>
          <cell r="W13">
            <v>174770</v>
          </cell>
          <cell r="X13">
            <v>0</v>
          </cell>
          <cell r="Y13">
            <v>0</v>
          </cell>
          <cell r="Z13">
            <v>0</v>
          </cell>
          <cell r="AA13">
            <v>0</v>
          </cell>
          <cell r="AB13">
            <v>0</v>
          </cell>
          <cell r="AC13">
            <v>0</v>
          </cell>
          <cell r="AD13">
            <v>326439</v>
          </cell>
          <cell r="AE13">
            <v>55590</v>
          </cell>
          <cell r="AF13">
            <v>483590</v>
          </cell>
          <cell r="AG13">
            <v>270000</v>
          </cell>
          <cell r="AH13">
            <v>22301</v>
          </cell>
          <cell r="AI13">
            <v>80740</v>
          </cell>
          <cell r="AJ13">
            <v>584635</v>
          </cell>
          <cell r="AK13">
            <v>655569</v>
          </cell>
          <cell r="AL13">
            <v>167440</v>
          </cell>
          <cell r="AM13">
            <v>0</v>
          </cell>
          <cell r="AN13">
            <v>0</v>
          </cell>
          <cell r="AO13">
            <v>1500000</v>
          </cell>
          <cell r="AP13">
            <v>0</v>
          </cell>
          <cell r="AQ13">
            <v>186349077.43000001</v>
          </cell>
          <cell r="AR13">
            <v>2281060</v>
          </cell>
          <cell r="AS13">
            <v>645950</v>
          </cell>
          <cell r="AT13">
            <v>1703280</v>
          </cell>
          <cell r="AU13">
            <v>0</v>
          </cell>
          <cell r="AV13">
            <v>0</v>
          </cell>
          <cell r="AW13">
            <v>0</v>
          </cell>
          <cell r="AX13">
            <v>25900</v>
          </cell>
          <cell r="AY13">
            <v>4656190</v>
          </cell>
          <cell r="AZ13">
            <v>2067170</v>
          </cell>
          <cell r="BA13">
            <v>0</v>
          </cell>
          <cell r="BB13">
            <v>0</v>
          </cell>
          <cell r="BC13">
            <v>0</v>
          </cell>
          <cell r="BD13">
            <v>2067170</v>
          </cell>
          <cell r="BE13">
            <v>1546820</v>
          </cell>
          <cell r="BF13">
            <v>747459</v>
          </cell>
          <cell r="BG13">
            <v>406130</v>
          </cell>
          <cell r="BH13">
            <v>266150</v>
          </cell>
          <cell r="BI13">
            <v>132557</v>
          </cell>
          <cell r="BJ13">
            <v>159334</v>
          </cell>
          <cell r="BK13">
            <v>3258450</v>
          </cell>
          <cell r="BL13">
            <v>2111300</v>
          </cell>
          <cell r="BM13">
            <v>1211490</v>
          </cell>
          <cell r="BN13">
            <v>1076410</v>
          </cell>
          <cell r="BO13">
            <v>66380</v>
          </cell>
          <cell r="BP13">
            <v>23440</v>
          </cell>
          <cell r="BQ13">
            <v>1041210</v>
          </cell>
          <cell r="BR13">
            <v>7671361</v>
          </cell>
          <cell r="BS13">
            <v>0</v>
          </cell>
          <cell r="BT13">
            <v>69570</v>
          </cell>
          <cell r="BU13">
            <v>10080</v>
          </cell>
          <cell r="BV13">
            <v>1069040</v>
          </cell>
          <cell r="BW13">
            <v>2977581</v>
          </cell>
          <cell r="BX13">
            <v>126160</v>
          </cell>
          <cell r="BY13">
            <v>0</v>
          </cell>
          <cell r="BZ13">
            <v>0</v>
          </cell>
          <cell r="CA13">
            <v>0</v>
          </cell>
          <cell r="CB13">
            <v>19764471</v>
          </cell>
          <cell r="CC13">
            <v>3480775</v>
          </cell>
          <cell r="CD13">
            <v>2248720</v>
          </cell>
          <cell r="CE13">
            <v>0</v>
          </cell>
          <cell r="CF13">
            <v>119200</v>
          </cell>
          <cell r="CG13">
            <v>22640</v>
          </cell>
          <cell r="CH13">
            <v>0</v>
          </cell>
          <cell r="CI13">
            <v>5871335</v>
          </cell>
          <cell r="CJ13">
            <v>25635806</v>
          </cell>
          <cell r="CK13">
            <v>211984883.43000001</v>
          </cell>
          <cell r="CM13">
            <v>12718870</v>
          </cell>
          <cell r="CN13">
            <v>400000</v>
          </cell>
          <cell r="CO13">
            <v>0</v>
          </cell>
          <cell r="CP13">
            <v>0</v>
          </cell>
          <cell r="CQ13">
            <v>0</v>
          </cell>
          <cell r="CR13">
            <v>0</v>
          </cell>
          <cell r="CS13">
            <v>500000</v>
          </cell>
          <cell r="CT13">
            <v>0</v>
          </cell>
          <cell r="CV13">
            <v>0</v>
          </cell>
          <cell r="CW13">
            <v>21832225</v>
          </cell>
          <cell r="CX13">
            <v>2536389</v>
          </cell>
          <cell r="CY13">
            <v>0</v>
          </cell>
        </row>
        <row r="14">
          <cell r="A14">
            <v>204</v>
          </cell>
          <cell r="B14">
            <v>105524283</v>
          </cell>
          <cell r="C14">
            <v>3152389</v>
          </cell>
          <cell r="D14">
            <v>13416691</v>
          </cell>
          <cell r="E14">
            <v>3859626</v>
          </cell>
          <cell r="F14">
            <v>3753091</v>
          </cell>
          <cell r="G14">
            <v>0</v>
          </cell>
          <cell r="H14">
            <v>304101</v>
          </cell>
          <cell r="I14">
            <v>1996696</v>
          </cell>
          <cell r="J14">
            <v>0</v>
          </cell>
          <cell r="K14">
            <v>63972</v>
          </cell>
          <cell r="L14">
            <v>0</v>
          </cell>
          <cell r="M14">
            <v>116333</v>
          </cell>
          <cell r="N14">
            <v>3388165</v>
          </cell>
          <cell r="O14">
            <v>2485503</v>
          </cell>
          <cell r="P14">
            <v>2028868</v>
          </cell>
          <cell r="Q14">
            <v>142125</v>
          </cell>
          <cell r="R14">
            <v>988274</v>
          </cell>
          <cell r="S14">
            <v>0</v>
          </cell>
          <cell r="T14">
            <v>19003848</v>
          </cell>
          <cell r="U14">
            <v>0</v>
          </cell>
          <cell r="V14">
            <v>115954</v>
          </cell>
          <cell r="W14">
            <v>108320</v>
          </cell>
          <cell r="X14">
            <v>0</v>
          </cell>
          <cell r="Y14">
            <v>0</v>
          </cell>
          <cell r="Z14">
            <v>0</v>
          </cell>
          <cell r="AA14">
            <v>7280</v>
          </cell>
          <cell r="AB14">
            <v>0</v>
          </cell>
          <cell r="AC14">
            <v>0</v>
          </cell>
          <cell r="AD14">
            <v>409600</v>
          </cell>
          <cell r="AE14">
            <v>65149</v>
          </cell>
          <cell r="AF14">
            <v>158080</v>
          </cell>
          <cell r="AG14">
            <v>0</v>
          </cell>
          <cell r="AH14">
            <v>48000</v>
          </cell>
          <cell r="AI14">
            <v>809572</v>
          </cell>
          <cell r="AJ14">
            <v>2135761</v>
          </cell>
          <cell r="AK14">
            <v>3928688</v>
          </cell>
          <cell r="AL14">
            <v>203138</v>
          </cell>
          <cell r="AM14">
            <v>0</v>
          </cell>
          <cell r="AN14">
            <v>11292</v>
          </cell>
          <cell r="AO14">
            <v>1257859</v>
          </cell>
          <cell r="AP14">
            <v>0</v>
          </cell>
          <cell r="AQ14">
            <v>169482658</v>
          </cell>
          <cell r="AR14">
            <v>2171542</v>
          </cell>
          <cell r="AS14">
            <v>694181</v>
          </cell>
          <cell r="AT14">
            <v>0</v>
          </cell>
          <cell r="AU14">
            <v>0</v>
          </cell>
          <cell r="AV14">
            <v>30000</v>
          </cell>
          <cell r="AW14">
            <v>563535</v>
          </cell>
          <cell r="AX14">
            <v>117154</v>
          </cell>
          <cell r="AY14">
            <v>3576412</v>
          </cell>
          <cell r="AZ14">
            <v>911560</v>
          </cell>
          <cell r="BA14">
            <v>1816238</v>
          </cell>
          <cell r="BB14">
            <v>0</v>
          </cell>
          <cell r="BC14">
            <v>36400</v>
          </cell>
          <cell r="BD14">
            <v>2764198</v>
          </cell>
          <cell r="BE14">
            <v>859864</v>
          </cell>
          <cell r="BF14">
            <v>109313</v>
          </cell>
          <cell r="BG14">
            <v>100412</v>
          </cell>
          <cell r="BH14">
            <v>34185</v>
          </cell>
          <cell r="BI14">
            <v>215233</v>
          </cell>
          <cell r="BJ14">
            <v>450345</v>
          </cell>
          <cell r="BK14">
            <v>1769352</v>
          </cell>
          <cell r="BL14">
            <v>2851659</v>
          </cell>
          <cell r="BM14">
            <v>343933</v>
          </cell>
          <cell r="BN14">
            <v>499950</v>
          </cell>
          <cell r="BO14">
            <v>0</v>
          </cell>
          <cell r="BP14">
            <v>36311</v>
          </cell>
          <cell r="BQ14">
            <v>245722</v>
          </cell>
          <cell r="BR14">
            <v>5088548</v>
          </cell>
          <cell r="BS14">
            <v>114644</v>
          </cell>
          <cell r="BT14">
            <v>52518</v>
          </cell>
          <cell r="BU14">
            <v>61739</v>
          </cell>
          <cell r="BV14">
            <v>174439</v>
          </cell>
          <cell r="BW14">
            <v>3559292</v>
          </cell>
          <cell r="BX14">
            <v>0</v>
          </cell>
          <cell r="BY14">
            <v>0</v>
          </cell>
          <cell r="BZ14">
            <v>0</v>
          </cell>
          <cell r="CA14">
            <v>114644</v>
          </cell>
          <cell r="CB14">
            <v>16164813</v>
          </cell>
          <cell r="CC14">
            <v>1502948</v>
          </cell>
          <cell r="CD14">
            <v>1989759</v>
          </cell>
          <cell r="CE14">
            <v>65427</v>
          </cell>
          <cell r="CF14">
            <v>288119</v>
          </cell>
          <cell r="CG14">
            <v>5000</v>
          </cell>
          <cell r="CH14">
            <v>0</v>
          </cell>
          <cell r="CI14">
            <v>3851253</v>
          </cell>
          <cell r="CJ14">
            <v>20016066</v>
          </cell>
          <cell r="CK14">
            <v>189498724</v>
          </cell>
          <cell r="CM14">
            <v>2508183</v>
          </cell>
          <cell r="CN14">
            <v>263124</v>
          </cell>
          <cell r="CO14">
            <v>0</v>
          </cell>
          <cell r="CP14">
            <v>0</v>
          </cell>
          <cell r="CQ14">
            <v>0</v>
          </cell>
          <cell r="CR14">
            <v>0</v>
          </cell>
          <cell r="CS14">
            <v>290822</v>
          </cell>
          <cell r="CT14">
            <v>0</v>
          </cell>
          <cell r="CV14">
            <v>0</v>
          </cell>
          <cell r="CW14">
            <v>6905717</v>
          </cell>
          <cell r="CX14">
            <v>1526190</v>
          </cell>
          <cell r="CY14">
            <v>382717</v>
          </cell>
        </row>
        <row r="15">
          <cell r="A15">
            <v>205</v>
          </cell>
          <cell r="B15">
            <v>70304333</v>
          </cell>
          <cell r="C15">
            <v>2315400</v>
          </cell>
          <cell r="D15">
            <v>6178670</v>
          </cell>
          <cell r="E15">
            <v>1575952</v>
          </cell>
          <cell r="F15">
            <v>2344933</v>
          </cell>
          <cell r="G15">
            <v>872000</v>
          </cell>
          <cell r="H15">
            <v>200000</v>
          </cell>
          <cell r="I15">
            <v>543548</v>
          </cell>
          <cell r="J15">
            <v>87144</v>
          </cell>
          <cell r="K15">
            <v>0</v>
          </cell>
          <cell r="L15">
            <v>0</v>
          </cell>
          <cell r="M15">
            <v>202901</v>
          </cell>
          <cell r="N15">
            <v>2278260</v>
          </cell>
          <cell r="O15">
            <v>3432998</v>
          </cell>
          <cell r="P15">
            <v>2381267</v>
          </cell>
          <cell r="Q15">
            <v>36287</v>
          </cell>
          <cell r="R15">
            <v>0</v>
          </cell>
          <cell r="S15">
            <v>0</v>
          </cell>
          <cell r="T15">
            <v>4437275</v>
          </cell>
          <cell r="U15">
            <v>0</v>
          </cell>
          <cell r="V15">
            <v>43092</v>
          </cell>
          <cell r="W15">
            <v>35300</v>
          </cell>
          <cell r="X15">
            <v>0</v>
          </cell>
          <cell r="Y15">
            <v>0</v>
          </cell>
          <cell r="Z15">
            <v>0</v>
          </cell>
          <cell r="AA15">
            <v>50000</v>
          </cell>
          <cell r="AB15">
            <v>0</v>
          </cell>
          <cell r="AC15">
            <v>0</v>
          </cell>
          <cell r="AD15">
            <v>198122</v>
          </cell>
          <cell r="AE15">
            <v>15430</v>
          </cell>
          <cell r="AF15">
            <v>185900</v>
          </cell>
          <cell r="AG15">
            <v>0</v>
          </cell>
          <cell r="AH15">
            <v>50000</v>
          </cell>
          <cell r="AI15">
            <v>533400</v>
          </cell>
          <cell r="AJ15">
            <v>2771880</v>
          </cell>
          <cell r="AK15">
            <v>314000</v>
          </cell>
          <cell r="AL15">
            <v>642748</v>
          </cell>
          <cell r="AM15">
            <v>0</v>
          </cell>
          <cell r="AN15">
            <v>94360</v>
          </cell>
          <cell r="AO15">
            <v>1779062</v>
          </cell>
          <cell r="AP15">
            <v>0</v>
          </cell>
          <cell r="AQ15">
            <v>103904262</v>
          </cell>
          <cell r="AR15">
            <v>1500722</v>
          </cell>
          <cell r="AS15">
            <v>200000</v>
          </cell>
          <cell r="AT15">
            <v>0</v>
          </cell>
          <cell r="AU15">
            <v>0</v>
          </cell>
          <cell r="AV15">
            <v>0</v>
          </cell>
          <cell r="AW15">
            <v>0</v>
          </cell>
          <cell r="AX15">
            <v>0</v>
          </cell>
          <cell r="AY15">
            <v>1700722</v>
          </cell>
          <cell r="AZ15">
            <v>488619</v>
          </cell>
          <cell r="BA15">
            <v>1839555</v>
          </cell>
          <cell r="BB15">
            <v>173396</v>
          </cell>
          <cell r="BC15">
            <v>0</v>
          </cell>
          <cell r="BD15">
            <v>2501570</v>
          </cell>
          <cell r="BE15">
            <v>544797</v>
          </cell>
          <cell r="BF15">
            <v>345438</v>
          </cell>
          <cell r="BG15">
            <v>180159</v>
          </cell>
          <cell r="BH15">
            <v>30800</v>
          </cell>
          <cell r="BI15">
            <v>25359</v>
          </cell>
          <cell r="BJ15">
            <v>177336</v>
          </cell>
          <cell r="BK15">
            <v>1303889</v>
          </cell>
          <cell r="BL15">
            <v>1108549</v>
          </cell>
          <cell r="BM15">
            <v>291190</v>
          </cell>
          <cell r="BN15">
            <v>650235</v>
          </cell>
          <cell r="BO15">
            <v>0</v>
          </cell>
          <cell r="BP15">
            <v>0</v>
          </cell>
          <cell r="BQ15">
            <v>0</v>
          </cell>
          <cell r="BR15">
            <v>3514499</v>
          </cell>
          <cell r="BS15">
            <v>49365</v>
          </cell>
          <cell r="BT15">
            <v>19287</v>
          </cell>
          <cell r="BU15">
            <v>0</v>
          </cell>
          <cell r="BV15">
            <v>457924</v>
          </cell>
          <cell r="BW15">
            <v>2046498</v>
          </cell>
          <cell r="BX15">
            <v>0</v>
          </cell>
          <cell r="BY15">
            <v>0</v>
          </cell>
          <cell r="BZ15">
            <v>0</v>
          </cell>
          <cell r="CA15">
            <v>0</v>
          </cell>
          <cell r="CB15">
            <v>10129229</v>
          </cell>
          <cell r="CC15">
            <v>1644754</v>
          </cell>
          <cell r="CD15">
            <v>6601324</v>
          </cell>
          <cell r="CE15">
            <v>6102</v>
          </cell>
          <cell r="CF15">
            <v>240965</v>
          </cell>
          <cell r="CG15">
            <v>31002</v>
          </cell>
          <cell r="CH15">
            <v>260600</v>
          </cell>
          <cell r="CI15">
            <v>8784747</v>
          </cell>
          <cell r="CJ15">
            <v>18913976</v>
          </cell>
          <cell r="CK15">
            <v>122818238</v>
          </cell>
          <cell r="CM15">
            <v>6648664</v>
          </cell>
          <cell r="CN15">
            <v>273223</v>
          </cell>
          <cell r="CO15">
            <v>0</v>
          </cell>
          <cell r="CP15">
            <v>0</v>
          </cell>
          <cell r="CQ15">
            <v>0</v>
          </cell>
          <cell r="CR15">
            <v>0</v>
          </cell>
          <cell r="CS15">
            <v>468517</v>
          </cell>
          <cell r="CT15">
            <v>0</v>
          </cell>
          <cell r="CV15">
            <v>0</v>
          </cell>
          <cell r="CW15">
            <v>6775366</v>
          </cell>
          <cell r="CX15">
            <v>1328805</v>
          </cell>
          <cell r="CY15">
            <v>0</v>
          </cell>
        </row>
        <row r="16">
          <cell r="A16">
            <v>206</v>
          </cell>
          <cell r="B16">
            <v>93867407.590000004</v>
          </cell>
          <cell r="C16">
            <v>2664913</v>
          </cell>
          <cell r="D16">
            <v>7654455</v>
          </cell>
          <cell r="E16">
            <v>2016900</v>
          </cell>
          <cell r="F16">
            <v>0</v>
          </cell>
          <cell r="G16">
            <v>0</v>
          </cell>
          <cell r="H16">
            <v>488596</v>
          </cell>
          <cell r="I16">
            <v>1637871</v>
          </cell>
          <cell r="J16">
            <v>184054</v>
          </cell>
          <cell r="K16">
            <v>0</v>
          </cell>
          <cell r="L16">
            <v>0</v>
          </cell>
          <cell r="M16">
            <v>122940</v>
          </cell>
          <cell r="N16">
            <v>2776932</v>
          </cell>
          <cell r="O16">
            <v>2321717</v>
          </cell>
          <cell r="P16">
            <v>2043509</v>
          </cell>
          <cell r="Q16">
            <v>81618</v>
          </cell>
          <cell r="R16">
            <v>187711</v>
          </cell>
          <cell r="S16">
            <v>96850</v>
          </cell>
          <cell r="T16">
            <v>8716300</v>
          </cell>
          <cell r="U16">
            <v>0</v>
          </cell>
          <cell r="V16">
            <v>53181</v>
          </cell>
          <cell r="W16">
            <v>0</v>
          </cell>
          <cell r="X16">
            <v>0</v>
          </cell>
          <cell r="Y16">
            <v>0</v>
          </cell>
          <cell r="Z16">
            <v>0</v>
          </cell>
          <cell r="AA16">
            <v>0</v>
          </cell>
          <cell r="AB16">
            <v>0</v>
          </cell>
          <cell r="AC16">
            <v>70816</v>
          </cell>
          <cell r="AD16">
            <v>387054</v>
          </cell>
          <cell r="AE16">
            <v>70500</v>
          </cell>
          <cell r="AF16">
            <v>0</v>
          </cell>
          <cell r="AG16">
            <v>6152</v>
          </cell>
          <cell r="AH16">
            <v>14999</v>
          </cell>
          <cell r="AI16">
            <v>118116</v>
          </cell>
          <cell r="AJ16">
            <v>1122239.55</v>
          </cell>
          <cell r="AK16">
            <v>0</v>
          </cell>
          <cell r="AL16">
            <v>1824267</v>
          </cell>
          <cell r="AM16">
            <v>0</v>
          </cell>
          <cell r="AN16">
            <v>2929052</v>
          </cell>
          <cell r="AO16">
            <v>1227199</v>
          </cell>
          <cell r="AP16">
            <v>0</v>
          </cell>
          <cell r="AQ16">
            <v>132685349.15000001</v>
          </cell>
          <cell r="AR16">
            <v>4185649</v>
          </cell>
          <cell r="AS16">
            <v>657004</v>
          </cell>
          <cell r="AT16">
            <v>0</v>
          </cell>
          <cell r="AU16">
            <v>354890</v>
          </cell>
          <cell r="AV16">
            <v>0</v>
          </cell>
          <cell r="AW16">
            <v>52694</v>
          </cell>
          <cell r="AX16">
            <v>84706</v>
          </cell>
          <cell r="AY16">
            <v>5334943</v>
          </cell>
          <cell r="AZ16">
            <v>3548224.45</v>
          </cell>
          <cell r="BA16">
            <v>1736122</v>
          </cell>
          <cell r="BB16">
            <v>363500</v>
          </cell>
          <cell r="BC16">
            <v>0</v>
          </cell>
          <cell r="BD16">
            <v>5647846.4500000002</v>
          </cell>
          <cell r="BE16">
            <v>1185086</v>
          </cell>
          <cell r="BF16">
            <v>215065</v>
          </cell>
          <cell r="BG16">
            <v>43789</v>
          </cell>
          <cell r="BH16">
            <v>29313</v>
          </cell>
          <cell r="BI16">
            <v>108935</v>
          </cell>
          <cell r="BJ16">
            <v>0</v>
          </cell>
          <cell r="BK16">
            <v>1582188</v>
          </cell>
          <cell r="BL16">
            <v>2223124</v>
          </cell>
          <cell r="BM16">
            <v>560486</v>
          </cell>
          <cell r="BN16">
            <v>1354868</v>
          </cell>
          <cell r="BO16">
            <v>0</v>
          </cell>
          <cell r="BP16">
            <v>0</v>
          </cell>
          <cell r="BQ16">
            <v>199824</v>
          </cell>
          <cell r="BR16">
            <v>4336628</v>
          </cell>
          <cell r="BS16">
            <v>102089</v>
          </cell>
          <cell r="BT16">
            <v>0</v>
          </cell>
          <cell r="BU16">
            <v>8169</v>
          </cell>
          <cell r="BV16">
            <v>5000</v>
          </cell>
          <cell r="BW16">
            <v>2106192</v>
          </cell>
          <cell r="BX16">
            <v>0</v>
          </cell>
          <cell r="BY16">
            <v>0</v>
          </cell>
          <cell r="BZ16">
            <v>0</v>
          </cell>
          <cell r="CA16">
            <v>83643</v>
          </cell>
          <cell r="CB16">
            <v>19208372.449999999</v>
          </cell>
          <cell r="CC16">
            <v>5690840</v>
          </cell>
          <cell r="CD16">
            <v>3892100</v>
          </cell>
          <cell r="CE16">
            <v>24480</v>
          </cell>
          <cell r="CF16">
            <v>463460</v>
          </cell>
          <cell r="CG16">
            <v>46490</v>
          </cell>
          <cell r="CH16">
            <v>0</v>
          </cell>
          <cell r="CI16">
            <v>10117370</v>
          </cell>
          <cell r="CJ16">
            <v>29325742.449999999</v>
          </cell>
          <cell r="CK16">
            <v>162011091.59</v>
          </cell>
          <cell r="CM16">
            <v>1514742</v>
          </cell>
          <cell r="CN16">
            <v>0</v>
          </cell>
          <cell r="CO16">
            <v>0</v>
          </cell>
          <cell r="CP16">
            <v>0</v>
          </cell>
          <cell r="CQ16">
            <v>0</v>
          </cell>
          <cell r="CR16">
            <v>0</v>
          </cell>
          <cell r="CS16">
            <v>806057</v>
          </cell>
          <cell r="CT16">
            <v>0</v>
          </cell>
          <cell r="CV16">
            <v>0</v>
          </cell>
          <cell r="CW16">
            <v>34636000</v>
          </cell>
          <cell r="CX16">
            <v>1375867</v>
          </cell>
          <cell r="CY16">
            <v>354832</v>
          </cell>
        </row>
        <row r="17">
          <cell r="A17">
            <v>207</v>
          </cell>
          <cell r="B17">
            <v>48502750</v>
          </cell>
          <cell r="C17">
            <v>1387650</v>
          </cell>
          <cell r="D17">
            <v>3769020</v>
          </cell>
          <cell r="E17">
            <v>822560</v>
          </cell>
          <cell r="F17">
            <v>1463163</v>
          </cell>
          <cell r="G17">
            <v>572000</v>
          </cell>
          <cell r="H17">
            <v>0</v>
          </cell>
          <cell r="I17">
            <v>127174</v>
          </cell>
          <cell r="J17">
            <v>156824</v>
          </cell>
          <cell r="K17">
            <v>0</v>
          </cell>
          <cell r="L17">
            <v>0</v>
          </cell>
          <cell r="M17">
            <v>224714</v>
          </cell>
          <cell r="N17">
            <v>2134311</v>
          </cell>
          <cell r="O17">
            <v>2219536</v>
          </cell>
          <cell r="P17">
            <v>1771032</v>
          </cell>
          <cell r="Q17">
            <v>110527</v>
          </cell>
          <cell r="R17">
            <v>25789</v>
          </cell>
          <cell r="S17">
            <v>124082</v>
          </cell>
          <cell r="T17">
            <v>3487162</v>
          </cell>
          <cell r="U17">
            <v>0</v>
          </cell>
          <cell r="V17">
            <v>751</v>
          </cell>
          <cell r="W17">
            <v>0</v>
          </cell>
          <cell r="X17">
            <v>1976</v>
          </cell>
          <cell r="Y17">
            <v>0</v>
          </cell>
          <cell r="Z17">
            <v>0</v>
          </cell>
          <cell r="AA17">
            <v>0</v>
          </cell>
          <cell r="AB17">
            <v>0</v>
          </cell>
          <cell r="AC17">
            <v>0</v>
          </cell>
          <cell r="AD17">
            <v>0</v>
          </cell>
          <cell r="AE17">
            <v>0</v>
          </cell>
          <cell r="AF17">
            <v>483840</v>
          </cell>
          <cell r="AG17">
            <v>59650</v>
          </cell>
          <cell r="AH17">
            <v>10000</v>
          </cell>
          <cell r="AI17">
            <v>44560</v>
          </cell>
          <cell r="AJ17">
            <v>2285790</v>
          </cell>
          <cell r="AK17">
            <v>19670</v>
          </cell>
          <cell r="AL17">
            <v>1156600</v>
          </cell>
          <cell r="AM17">
            <v>0</v>
          </cell>
          <cell r="AN17">
            <v>0</v>
          </cell>
          <cell r="AO17">
            <v>922524</v>
          </cell>
          <cell r="AP17">
            <v>0</v>
          </cell>
          <cell r="AQ17">
            <v>71883655</v>
          </cell>
          <cell r="AR17">
            <v>622212</v>
          </cell>
          <cell r="AS17">
            <v>294870</v>
          </cell>
          <cell r="AT17">
            <v>0</v>
          </cell>
          <cell r="AU17">
            <v>0</v>
          </cell>
          <cell r="AV17">
            <v>0</v>
          </cell>
          <cell r="AW17">
            <v>0</v>
          </cell>
          <cell r="AX17">
            <v>0</v>
          </cell>
          <cell r="AY17">
            <v>917082</v>
          </cell>
          <cell r="AZ17">
            <v>69880</v>
          </cell>
          <cell r="BA17">
            <v>21233</v>
          </cell>
          <cell r="BB17">
            <v>115887</v>
          </cell>
          <cell r="BC17">
            <v>0</v>
          </cell>
          <cell r="BD17">
            <v>207000</v>
          </cell>
          <cell r="BE17">
            <v>792320</v>
          </cell>
          <cell r="BF17">
            <v>0</v>
          </cell>
          <cell r="BG17">
            <v>15750</v>
          </cell>
          <cell r="BH17">
            <v>14117</v>
          </cell>
          <cell r="BI17">
            <v>41700</v>
          </cell>
          <cell r="BJ17">
            <v>0</v>
          </cell>
          <cell r="BK17">
            <v>863887</v>
          </cell>
          <cell r="BL17">
            <v>1147416</v>
          </cell>
          <cell r="BM17">
            <v>74818</v>
          </cell>
          <cell r="BN17">
            <v>593564</v>
          </cell>
          <cell r="BO17">
            <v>29760</v>
          </cell>
          <cell r="BP17">
            <v>3672</v>
          </cell>
          <cell r="BQ17">
            <v>1183</v>
          </cell>
          <cell r="BR17">
            <v>2223785</v>
          </cell>
          <cell r="BS17">
            <v>194540</v>
          </cell>
          <cell r="BT17">
            <v>100241</v>
          </cell>
          <cell r="BU17">
            <v>0</v>
          </cell>
          <cell r="BV17">
            <v>5837</v>
          </cell>
          <cell r="BW17">
            <v>1213493</v>
          </cell>
          <cell r="BX17">
            <v>0</v>
          </cell>
          <cell r="BY17">
            <v>6677</v>
          </cell>
          <cell r="BZ17">
            <v>0</v>
          </cell>
          <cell r="CA17">
            <v>119592</v>
          </cell>
          <cell r="CB17">
            <v>5478762</v>
          </cell>
          <cell r="CC17">
            <v>1924650</v>
          </cell>
          <cell r="CD17">
            <v>6071276</v>
          </cell>
          <cell r="CE17">
            <v>28562</v>
          </cell>
          <cell r="CF17">
            <v>501054</v>
          </cell>
          <cell r="CG17">
            <v>51873</v>
          </cell>
          <cell r="CH17">
            <v>0</v>
          </cell>
          <cell r="CI17">
            <v>8577415</v>
          </cell>
          <cell r="CJ17">
            <v>14056177</v>
          </cell>
          <cell r="CK17">
            <v>85939832</v>
          </cell>
          <cell r="CM17">
            <v>2670322</v>
          </cell>
          <cell r="CN17">
            <v>840010</v>
          </cell>
          <cell r="CO17">
            <v>0</v>
          </cell>
          <cell r="CP17">
            <v>0</v>
          </cell>
          <cell r="CQ17">
            <v>0</v>
          </cell>
          <cell r="CR17">
            <v>0</v>
          </cell>
          <cell r="CS17">
            <v>291986</v>
          </cell>
          <cell r="CT17">
            <v>0</v>
          </cell>
          <cell r="CV17">
            <v>0</v>
          </cell>
          <cell r="CW17">
            <v>1493260</v>
          </cell>
          <cell r="CX17">
            <v>872550</v>
          </cell>
          <cell r="CY17">
            <v>0</v>
          </cell>
        </row>
        <row r="18">
          <cell r="A18">
            <v>208</v>
          </cell>
          <cell r="B18">
            <v>117994542</v>
          </cell>
          <cell r="C18">
            <v>3522689</v>
          </cell>
          <cell r="D18">
            <v>10682605</v>
          </cell>
          <cell r="E18">
            <v>2148061</v>
          </cell>
          <cell r="F18">
            <v>3937613</v>
          </cell>
          <cell r="G18">
            <v>1757000</v>
          </cell>
          <cell r="H18">
            <v>0</v>
          </cell>
          <cell r="I18">
            <v>538000</v>
          </cell>
          <cell r="J18">
            <v>239980</v>
          </cell>
          <cell r="K18">
            <v>0</v>
          </cell>
          <cell r="L18">
            <v>0</v>
          </cell>
          <cell r="M18">
            <v>314922</v>
          </cell>
          <cell r="N18">
            <v>3650000</v>
          </cell>
          <cell r="O18">
            <v>3010331</v>
          </cell>
          <cell r="P18">
            <v>2574988</v>
          </cell>
          <cell r="Q18">
            <v>128995</v>
          </cell>
          <cell r="R18">
            <v>0</v>
          </cell>
          <cell r="S18">
            <v>0</v>
          </cell>
          <cell r="T18">
            <v>11796825</v>
          </cell>
          <cell r="U18">
            <v>4017033</v>
          </cell>
          <cell r="V18">
            <v>0</v>
          </cell>
          <cell r="W18">
            <v>78795</v>
          </cell>
          <cell r="X18">
            <v>0</v>
          </cell>
          <cell r="Y18">
            <v>0</v>
          </cell>
          <cell r="Z18">
            <v>0</v>
          </cell>
          <cell r="AA18">
            <v>0</v>
          </cell>
          <cell r="AB18">
            <v>0</v>
          </cell>
          <cell r="AC18">
            <v>0</v>
          </cell>
          <cell r="AD18">
            <v>194351</v>
          </cell>
          <cell r="AE18">
            <v>0</v>
          </cell>
          <cell r="AF18">
            <v>500000</v>
          </cell>
          <cell r="AG18">
            <v>0</v>
          </cell>
          <cell r="AH18">
            <v>0</v>
          </cell>
          <cell r="AI18">
            <v>500000</v>
          </cell>
          <cell r="AJ18">
            <v>3937062</v>
          </cell>
          <cell r="AK18">
            <v>0</v>
          </cell>
          <cell r="AL18">
            <v>1275943</v>
          </cell>
          <cell r="AM18">
            <v>0</v>
          </cell>
          <cell r="AN18">
            <v>0</v>
          </cell>
          <cell r="AO18">
            <v>692084</v>
          </cell>
          <cell r="AP18">
            <v>0</v>
          </cell>
          <cell r="AQ18">
            <v>173491819</v>
          </cell>
          <cell r="AR18">
            <v>2621250</v>
          </cell>
          <cell r="AS18">
            <v>472309</v>
          </cell>
          <cell r="AT18">
            <v>1150825</v>
          </cell>
          <cell r="AU18">
            <v>0</v>
          </cell>
          <cell r="AV18">
            <v>0</v>
          </cell>
          <cell r="AW18">
            <v>0</v>
          </cell>
          <cell r="AX18">
            <v>0</v>
          </cell>
          <cell r="AY18">
            <v>4244384</v>
          </cell>
          <cell r="AZ18">
            <v>945000</v>
          </cell>
          <cell r="BA18">
            <v>1746327</v>
          </cell>
          <cell r="BB18">
            <v>0</v>
          </cell>
          <cell r="BC18">
            <v>0</v>
          </cell>
          <cell r="BD18">
            <v>2691327</v>
          </cell>
          <cell r="BE18">
            <v>1228000</v>
          </cell>
          <cell r="BF18">
            <v>250395</v>
          </cell>
          <cell r="BG18">
            <v>0</v>
          </cell>
          <cell r="BH18">
            <v>37023</v>
          </cell>
          <cell r="BI18">
            <v>43621</v>
          </cell>
          <cell r="BJ18">
            <v>146694</v>
          </cell>
          <cell r="BK18">
            <v>1705733</v>
          </cell>
          <cell r="BL18">
            <v>2937000</v>
          </cell>
          <cell r="BM18">
            <v>1372530</v>
          </cell>
          <cell r="BN18">
            <v>573433</v>
          </cell>
          <cell r="BO18">
            <v>0</v>
          </cell>
          <cell r="BP18">
            <v>0</v>
          </cell>
          <cell r="BQ18">
            <v>0</v>
          </cell>
          <cell r="BR18">
            <v>5741165</v>
          </cell>
          <cell r="BS18">
            <v>7202</v>
          </cell>
          <cell r="BT18">
            <v>0</v>
          </cell>
          <cell r="BU18">
            <v>0</v>
          </cell>
          <cell r="BV18">
            <v>0</v>
          </cell>
          <cell r="BW18">
            <v>3788000</v>
          </cell>
          <cell r="BX18">
            <v>0</v>
          </cell>
          <cell r="BY18">
            <v>0</v>
          </cell>
          <cell r="BZ18">
            <v>0</v>
          </cell>
          <cell r="CA18">
            <v>0</v>
          </cell>
          <cell r="CB18">
            <v>17319609</v>
          </cell>
          <cell r="CC18">
            <v>1941865</v>
          </cell>
          <cell r="CD18">
            <v>4025000</v>
          </cell>
          <cell r="CE18">
            <v>784500</v>
          </cell>
          <cell r="CF18">
            <v>0</v>
          </cell>
          <cell r="CG18">
            <v>0</v>
          </cell>
          <cell r="CH18">
            <v>0</v>
          </cell>
          <cell r="CI18">
            <v>6751365</v>
          </cell>
          <cell r="CJ18">
            <v>24070974</v>
          </cell>
          <cell r="CK18">
            <v>197562793</v>
          </cell>
          <cell r="CM18">
            <v>0</v>
          </cell>
          <cell r="CN18">
            <v>0</v>
          </cell>
          <cell r="CO18">
            <v>76512</v>
          </cell>
          <cell r="CP18">
            <v>0</v>
          </cell>
          <cell r="CQ18">
            <v>0</v>
          </cell>
          <cell r="CR18">
            <v>0</v>
          </cell>
          <cell r="CS18">
            <v>561088</v>
          </cell>
          <cell r="CT18">
            <v>0</v>
          </cell>
          <cell r="CV18">
            <v>0</v>
          </cell>
          <cell r="CW18">
            <v>11481000</v>
          </cell>
          <cell r="CX18">
            <v>692084</v>
          </cell>
          <cell r="CY18">
            <v>623000</v>
          </cell>
        </row>
        <row r="19">
          <cell r="A19">
            <v>209</v>
          </cell>
          <cell r="B19">
            <v>131571058</v>
          </cell>
          <cell r="C19">
            <v>3932134</v>
          </cell>
          <cell r="D19">
            <v>11483418</v>
          </cell>
          <cell r="E19">
            <v>3050995</v>
          </cell>
          <cell r="F19">
            <v>5533429</v>
          </cell>
          <cell r="G19">
            <v>52000</v>
          </cell>
          <cell r="H19">
            <v>0</v>
          </cell>
          <cell r="I19">
            <v>617124</v>
          </cell>
          <cell r="J19">
            <v>0</v>
          </cell>
          <cell r="K19">
            <v>1005920</v>
          </cell>
          <cell r="L19">
            <v>362133</v>
          </cell>
          <cell r="M19">
            <v>339202</v>
          </cell>
          <cell r="N19">
            <v>3213834</v>
          </cell>
          <cell r="O19">
            <v>4374391</v>
          </cell>
          <cell r="P19">
            <v>2754006</v>
          </cell>
          <cell r="Q19">
            <v>348859</v>
          </cell>
          <cell r="R19">
            <v>410151</v>
          </cell>
          <cell r="S19">
            <v>818784</v>
          </cell>
          <cell r="T19">
            <v>5243886</v>
          </cell>
          <cell r="U19">
            <v>0</v>
          </cell>
          <cell r="V19">
            <v>48483</v>
          </cell>
          <cell r="W19">
            <v>0</v>
          </cell>
          <cell r="X19">
            <v>0</v>
          </cell>
          <cell r="Y19">
            <v>441146</v>
          </cell>
          <cell r="Z19">
            <v>0</v>
          </cell>
          <cell r="AA19">
            <v>0</v>
          </cell>
          <cell r="AB19">
            <v>0</v>
          </cell>
          <cell r="AC19">
            <v>0</v>
          </cell>
          <cell r="AD19">
            <v>313209</v>
          </cell>
          <cell r="AE19">
            <v>71805</v>
          </cell>
          <cell r="AF19">
            <v>506638</v>
          </cell>
          <cell r="AG19">
            <v>114147</v>
          </cell>
          <cell r="AH19">
            <v>34913</v>
          </cell>
          <cell r="AI19">
            <v>393515</v>
          </cell>
          <cell r="AJ19">
            <v>1606253</v>
          </cell>
          <cell r="AK19">
            <v>0</v>
          </cell>
          <cell r="AL19">
            <v>976005</v>
          </cell>
          <cell r="AM19">
            <v>0</v>
          </cell>
          <cell r="AN19">
            <v>327572</v>
          </cell>
          <cell r="AO19">
            <v>4248758</v>
          </cell>
          <cell r="AP19">
            <v>0</v>
          </cell>
          <cell r="AQ19">
            <v>184193768</v>
          </cell>
          <cell r="AR19">
            <v>3403918</v>
          </cell>
          <cell r="AS19">
            <v>1267147</v>
          </cell>
          <cell r="AT19">
            <v>215000</v>
          </cell>
          <cell r="AU19">
            <v>1494200</v>
          </cell>
          <cell r="AV19">
            <v>0</v>
          </cell>
          <cell r="AW19">
            <v>0</v>
          </cell>
          <cell r="AX19">
            <v>34405</v>
          </cell>
          <cell r="AY19">
            <v>6414670</v>
          </cell>
          <cell r="AZ19">
            <v>2221727</v>
          </cell>
          <cell r="BA19">
            <v>92359</v>
          </cell>
          <cell r="BB19">
            <v>0</v>
          </cell>
          <cell r="BC19">
            <v>0</v>
          </cell>
          <cell r="BD19">
            <v>2314086</v>
          </cell>
          <cell r="BE19">
            <v>779753</v>
          </cell>
          <cell r="BF19">
            <v>0</v>
          </cell>
          <cell r="BG19">
            <v>501204</v>
          </cell>
          <cell r="BH19">
            <v>0</v>
          </cell>
          <cell r="BI19">
            <v>86453</v>
          </cell>
          <cell r="BJ19">
            <v>0</v>
          </cell>
          <cell r="BK19">
            <v>1367410</v>
          </cell>
          <cell r="BL19">
            <v>2770549</v>
          </cell>
          <cell r="BM19">
            <v>1168116</v>
          </cell>
          <cell r="BN19">
            <v>926316</v>
          </cell>
          <cell r="BO19">
            <v>42536</v>
          </cell>
          <cell r="BP19">
            <v>0</v>
          </cell>
          <cell r="BQ19">
            <v>173953</v>
          </cell>
          <cell r="BR19">
            <v>7155561</v>
          </cell>
          <cell r="BS19">
            <v>274090</v>
          </cell>
          <cell r="BT19">
            <v>126916</v>
          </cell>
          <cell r="BU19">
            <v>0</v>
          </cell>
          <cell r="BV19">
            <v>731581</v>
          </cell>
          <cell r="BW19">
            <v>3360652</v>
          </cell>
          <cell r="BX19">
            <v>96772</v>
          </cell>
          <cell r="BY19">
            <v>201629</v>
          </cell>
          <cell r="BZ19">
            <v>53000</v>
          </cell>
          <cell r="CA19">
            <v>0</v>
          </cell>
          <cell r="CB19">
            <v>20022276</v>
          </cell>
          <cell r="CC19">
            <v>3657887</v>
          </cell>
          <cell r="CD19">
            <v>5585425</v>
          </cell>
          <cell r="CE19">
            <v>0</v>
          </cell>
          <cell r="CF19">
            <v>0</v>
          </cell>
          <cell r="CG19">
            <v>11856</v>
          </cell>
          <cell r="CH19">
            <v>0</v>
          </cell>
          <cell r="CI19">
            <v>9255168</v>
          </cell>
          <cell r="CJ19">
            <v>29277444</v>
          </cell>
          <cell r="CK19">
            <v>213471212</v>
          </cell>
          <cell r="CM19">
            <v>6638256</v>
          </cell>
          <cell r="CN19">
            <v>378023</v>
          </cell>
          <cell r="CO19">
            <v>21286</v>
          </cell>
          <cell r="CP19">
            <v>0</v>
          </cell>
          <cell r="CQ19">
            <v>0</v>
          </cell>
          <cell r="CR19">
            <v>0</v>
          </cell>
          <cell r="CS19">
            <v>537760</v>
          </cell>
          <cell r="CT19">
            <v>127784</v>
          </cell>
          <cell r="CV19">
            <v>0</v>
          </cell>
          <cell r="CW19">
            <v>5553237</v>
          </cell>
          <cell r="CX19">
            <v>2085460</v>
          </cell>
          <cell r="CY19">
            <v>465362</v>
          </cell>
        </row>
        <row r="20">
          <cell r="A20">
            <v>210</v>
          </cell>
          <cell r="B20">
            <v>143409070</v>
          </cell>
          <cell r="C20">
            <v>4092224</v>
          </cell>
          <cell r="D20">
            <v>12712337</v>
          </cell>
          <cell r="E20">
            <v>3559147</v>
          </cell>
          <cell r="F20">
            <v>4501906</v>
          </cell>
          <cell r="G20">
            <v>0</v>
          </cell>
          <cell r="H20">
            <v>330000</v>
          </cell>
          <cell r="I20">
            <v>1087000</v>
          </cell>
          <cell r="J20">
            <v>100000</v>
          </cell>
          <cell r="K20">
            <v>361007</v>
          </cell>
          <cell r="L20">
            <v>215922</v>
          </cell>
          <cell r="M20">
            <v>304960</v>
          </cell>
          <cell r="N20">
            <v>2435000</v>
          </cell>
          <cell r="O20">
            <v>3125000</v>
          </cell>
          <cell r="P20">
            <v>2143030</v>
          </cell>
          <cell r="Q20">
            <v>1692050</v>
          </cell>
          <cell r="R20">
            <v>1366409</v>
          </cell>
          <cell r="S20">
            <v>307500</v>
          </cell>
          <cell r="T20">
            <v>3872190</v>
          </cell>
          <cell r="U20">
            <v>240000</v>
          </cell>
          <cell r="V20">
            <v>148724</v>
          </cell>
          <cell r="W20">
            <v>84200</v>
          </cell>
          <cell r="X20">
            <v>10000</v>
          </cell>
          <cell r="Y20">
            <v>0</v>
          </cell>
          <cell r="Z20">
            <v>0</v>
          </cell>
          <cell r="AA20">
            <v>0</v>
          </cell>
          <cell r="AB20">
            <v>0</v>
          </cell>
          <cell r="AC20">
            <v>418382</v>
          </cell>
          <cell r="AD20">
            <v>233940</v>
          </cell>
          <cell r="AE20">
            <v>52000</v>
          </cell>
          <cell r="AF20">
            <v>200000</v>
          </cell>
          <cell r="AG20">
            <v>0</v>
          </cell>
          <cell r="AH20">
            <v>28000</v>
          </cell>
          <cell r="AI20">
            <v>555000</v>
          </cell>
          <cell r="AJ20">
            <v>1229446</v>
          </cell>
          <cell r="AK20">
            <v>0</v>
          </cell>
          <cell r="AL20">
            <v>1319310</v>
          </cell>
          <cell r="AM20">
            <v>0</v>
          </cell>
          <cell r="AN20">
            <v>212132</v>
          </cell>
          <cell r="AO20">
            <v>850452</v>
          </cell>
          <cell r="AP20">
            <v>0</v>
          </cell>
          <cell r="AQ20">
            <v>191196338</v>
          </cell>
          <cell r="AR20">
            <v>3282927</v>
          </cell>
          <cell r="AS20">
            <v>400000</v>
          </cell>
          <cell r="AT20">
            <v>545233</v>
          </cell>
          <cell r="AU20">
            <v>1242686</v>
          </cell>
          <cell r="AV20">
            <v>0</v>
          </cell>
          <cell r="AW20">
            <v>58320</v>
          </cell>
          <cell r="AX20">
            <v>30000</v>
          </cell>
          <cell r="AY20">
            <v>5559166</v>
          </cell>
          <cell r="AZ20">
            <v>2178868</v>
          </cell>
          <cell r="BA20">
            <v>0</v>
          </cell>
          <cell r="BB20">
            <v>212131</v>
          </cell>
          <cell r="BC20">
            <v>0</v>
          </cell>
          <cell r="BD20">
            <v>2390999</v>
          </cell>
          <cell r="BE20">
            <v>969130</v>
          </cell>
          <cell r="BF20">
            <v>1127009</v>
          </cell>
          <cell r="BG20">
            <v>171160</v>
          </cell>
          <cell r="BH20">
            <v>141600</v>
          </cell>
          <cell r="BI20">
            <v>82052</v>
          </cell>
          <cell r="BJ20">
            <v>158074</v>
          </cell>
          <cell r="BK20">
            <v>2649025</v>
          </cell>
          <cell r="BL20">
            <v>1908179</v>
          </cell>
          <cell r="BM20">
            <v>755668</v>
          </cell>
          <cell r="BN20">
            <v>1330635</v>
          </cell>
          <cell r="BO20">
            <v>0</v>
          </cell>
          <cell r="BP20">
            <v>0</v>
          </cell>
          <cell r="BQ20">
            <v>0</v>
          </cell>
          <cell r="BR20">
            <v>6131658</v>
          </cell>
          <cell r="BS20">
            <v>93840</v>
          </cell>
          <cell r="BT20">
            <v>27000</v>
          </cell>
          <cell r="BU20">
            <v>67680</v>
          </cell>
          <cell r="BV20">
            <v>274724</v>
          </cell>
          <cell r="BW20">
            <v>3192300</v>
          </cell>
          <cell r="BX20">
            <v>309811</v>
          </cell>
          <cell r="BY20">
            <v>80000</v>
          </cell>
          <cell r="BZ20">
            <v>0</v>
          </cell>
          <cell r="CA20">
            <v>0</v>
          </cell>
          <cell r="CB20">
            <v>18639027</v>
          </cell>
          <cell r="CC20">
            <v>3733916</v>
          </cell>
          <cell r="CD20">
            <v>3556654</v>
          </cell>
          <cell r="CE20">
            <v>60000</v>
          </cell>
          <cell r="CF20">
            <v>476390</v>
          </cell>
          <cell r="CG20">
            <v>97500</v>
          </cell>
          <cell r="CH20">
            <v>0</v>
          </cell>
          <cell r="CI20">
            <v>7924460</v>
          </cell>
          <cell r="CJ20">
            <v>26563487</v>
          </cell>
          <cell r="CK20">
            <v>217759825</v>
          </cell>
          <cell r="CM20">
            <v>2160347</v>
          </cell>
          <cell r="CN20">
            <v>130000</v>
          </cell>
          <cell r="CO20">
            <v>0</v>
          </cell>
          <cell r="CP20">
            <v>0</v>
          </cell>
          <cell r="CQ20">
            <v>0</v>
          </cell>
          <cell r="CR20">
            <v>0</v>
          </cell>
          <cell r="CS20">
            <v>797881</v>
          </cell>
          <cell r="CT20">
            <v>0</v>
          </cell>
          <cell r="CV20">
            <v>0</v>
          </cell>
          <cell r="CW20">
            <v>42371375</v>
          </cell>
          <cell r="CX20">
            <v>1990060</v>
          </cell>
          <cell r="CY20">
            <v>538811</v>
          </cell>
        </row>
        <row r="21">
          <cell r="A21">
            <v>211</v>
          </cell>
          <cell r="B21">
            <v>171228738</v>
          </cell>
          <cell r="C21">
            <v>4393153</v>
          </cell>
          <cell r="D21">
            <v>19500464</v>
          </cell>
          <cell r="E21">
            <v>5559538</v>
          </cell>
          <cell r="F21">
            <v>5836989</v>
          </cell>
          <cell r="G21">
            <v>434000</v>
          </cell>
          <cell r="H21">
            <v>250000</v>
          </cell>
          <cell r="I21">
            <v>2012496</v>
          </cell>
          <cell r="J21">
            <v>682956</v>
          </cell>
          <cell r="K21">
            <v>39502</v>
          </cell>
          <cell r="L21">
            <v>200829</v>
          </cell>
          <cell r="M21">
            <v>205395</v>
          </cell>
          <cell r="N21">
            <v>1587489</v>
          </cell>
          <cell r="O21">
            <v>2690447</v>
          </cell>
          <cell r="P21">
            <v>2888894</v>
          </cell>
          <cell r="Q21">
            <v>219459</v>
          </cell>
          <cell r="R21">
            <v>631334</v>
          </cell>
          <cell r="S21">
            <v>0</v>
          </cell>
          <cell r="T21">
            <v>1503843</v>
          </cell>
          <cell r="U21">
            <v>104831</v>
          </cell>
          <cell r="V21">
            <v>185400</v>
          </cell>
          <cell r="W21">
            <v>184017</v>
          </cell>
          <cell r="X21">
            <v>0</v>
          </cell>
          <cell r="Y21">
            <v>37082</v>
          </cell>
          <cell r="Z21">
            <v>0</v>
          </cell>
          <cell r="AA21">
            <v>0</v>
          </cell>
          <cell r="AB21">
            <v>0</v>
          </cell>
          <cell r="AC21">
            <v>306140</v>
          </cell>
          <cell r="AD21">
            <v>240079</v>
          </cell>
          <cell r="AE21">
            <v>0</v>
          </cell>
          <cell r="AF21">
            <v>336009</v>
          </cell>
          <cell r="AG21">
            <v>20000</v>
          </cell>
          <cell r="AH21">
            <v>0</v>
          </cell>
          <cell r="AI21">
            <v>139327</v>
          </cell>
          <cell r="AJ21">
            <v>1686655</v>
          </cell>
          <cell r="AK21">
            <v>4250993</v>
          </cell>
          <cell r="AL21">
            <v>542185</v>
          </cell>
          <cell r="AM21">
            <v>0</v>
          </cell>
          <cell r="AN21">
            <v>129878</v>
          </cell>
          <cell r="AO21">
            <v>1736151</v>
          </cell>
          <cell r="AP21">
            <v>0</v>
          </cell>
          <cell r="AQ21">
            <v>229764273</v>
          </cell>
          <cell r="AR21">
            <v>2160042</v>
          </cell>
          <cell r="AS21">
            <v>661260</v>
          </cell>
          <cell r="AT21">
            <v>778052</v>
          </cell>
          <cell r="AU21">
            <v>236017</v>
          </cell>
          <cell r="AV21">
            <v>0</v>
          </cell>
          <cell r="AW21">
            <v>0</v>
          </cell>
          <cell r="AX21">
            <v>56365</v>
          </cell>
          <cell r="AY21">
            <v>3891736</v>
          </cell>
          <cell r="AZ21">
            <v>1552319</v>
          </cell>
          <cell r="BA21">
            <v>2197211</v>
          </cell>
          <cell r="BB21">
            <v>0</v>
          </cell>
          <cell r="BC21">
            <v>0</v>
          </cell>
          <cell r="BD21">
            <v>3749530</v>
          </cell>
          <cell r="BE21">
            <v>1055091</v>
          </cell>
          <cell r="BF21">
            <v>416818</v>
          </cell>
          <cell r="BG21">
            <v>39622</v>
          </cell>
          <cell r="BH21">
            <v>50462</v>
          </cell>
          <cell r="BI21">
            <v>275448</v>
          </cell>
          <cell r="BJ21">
            <v>169214</v>
          </cell>
          <cell r="BK21">
            <v>2006655</v>
          </cell>
          <cell r="BL21">
            <v>3931798</v>
          </cell>
          <cell r="BM21">
            <v>372911</v>
          </cell>
          <cell r="BN21">
            <v>1291627</v>
          </cell>
          <cell r="BO21">
            <v>0</v>
          </cell>
          <cell r="BP21">
            <v>0</v>
          </cell>
          <cell r="BQ21">
            <v>10274</v>
          </cell>
          <cell r="BR21">
            <v>5410972</v>
          </cell>
          <cell r="BS21">
            <v>35316</v>
          </cell>
          <cell r="BT21">
            <v>31894</v>
          </cell>
          <cell r="BU21">
            <v>14418</v>
          </cell>
          <cell r="BV21">
            <v>206000</v>
          </cell>
          <cell r="BW21">
            <v>3159918</v>
          </cell>
          <cell r="BX21">
            <v>50268</v>
          </cell>
          <cell r="BY21">
            <v>223013</v>
          </cell>
          <cell r="BZ21">
            <v>15333</v>
          </cell>
          <cell r="CA21">
            <v>0</v>
          </cell>
          <cell r="CB21">
            <v>18990691</v>
          </cell>
          <cell r="CC21">
            <v>4625266</v>
          </cell>
          <cell r="CD21">
            <v>7001825</v>
          </cell>
          <cell r="CE21">
            <v>68997</v>
          </cell>
          <cell r="CF21">
            <v>221427</v>
          </cell>
          <cell r="CG21">
            <v>419688</v>
          </cell>
          <cell r="CH21">
            <v>0</v>
          </cell>
          <cell r="CI21">
            <v>12337203</v>
          </cell>
          <cell r="CJ21">
            <v>31327894</v>
          </cell>
          <cell r="CK21">
            <v>261092167</v>
          </cell>
          <cell r="CM21">
            <v>7201128</v>
          </cell>
          <cell r="CN21">
            <v>631918</v>
          </cell>
          <cell r="CO21">
            <v>92624</v>
          </cell>
          <cell r="CP21">
            <v>0</v>
          </cell>
          <cell r="CQ21">
            <v>0</v>
          </cell>
          <cell r="CR21">
            <v>0</v>
          </cell>
          <cell r="CS21">
            <v>189797</v>
          </cell>
          <cell r="CT21">
            <v>0</v>
          </cell>
          <cell r="CV21">
            <v>0</v>
          </cell>
          <cell r="CW21">
            <v>16504888</v>
          </cell>
          <cell r="CX21">
            <v>2675020</v>
          </cell>
          <cell r="CY21">
            <v>0</v>
          </cell>
        </row>
        <row r="22">
          <cell r="A22">
            <v>212</v>
          </cell>
          <cell r="B22">
            <v>114591269</v>
          </cell>
          <cell r="C22">
            <v>3334757</v>
          </cell>
          <cell r="D22">
            <v>11695360</v>
          </cell>
          <cell r="E22">
            <v>2728160</v>
          </cell>
          <cell r="F22">
            <v>4300748</v>
          </cell>
          <cell r="G22">
            <v>0</v>
          </cell>
          <cell r="H22">
            <v>350000</v>
          </cell>
          <cell r="I22">
            <v>279091</v>
          </cell>
          <cell r="J22">
            <v>0</v>
          </cell>
          <cell r="K22">
            <v>0</v>
          </cell>
          <cell r="L22">
            <v>199599</v>
          </cell>
          <cell r="M22">
            <v>213265</v>
          </cell>
          <cell r="N22">
            <v>2268553</v>
          </cell>
          <cell r="O22">
            <v>4088224</v>
          </cell>
          <cell r="P22">
            <v>1326865</v>
          </cell>
          <cell r="Q22">
            <v>25567</v>
          </cell>
          <cell r="R22">
            <v>647567</v>
          </cell>
          <cell r="S22">
            <v>138541</v>
          </cell>
          <cell r="T22">
            <v>4601613</v>
          </cell>
          <cell r="U22">
            <v>29561</v>
          </cell>
          <cell r="V22">
            <v>0</v>
          </cell>
          <cell r="W22">
            <v>34040</v>
          </cell>
          <cell r="X22">
            <v>0</v>
          </cell>
          <cell r="Y22">
            <v>0</v>
          </cell>
          <cell r="Z22">
            <v>12501</v>
          </cell>
          <cell r="AA22">
            <v>0</v>
          </cell>
          <cell r="AB22">
            <v>0</v>
          </cell>
          <cell r="AC22">
            <v>0</v>
          </cell>
          <cell r="AD22">
            <v>372531</v>
          </cell>
          <cell r="AE22">
            <v>0</v>
          </cell>
          <cell r="AF22">
            <v>230618</v>
          </cell>
          <cell r="AG22">
            <v>62999</v>
          </cell>
          <cell r="AH22">
            <v>1569</v>
          </cell>
          <cell r="AI22">
            <v>389389</v>
          </cell>
          <cell r="AJ22">
            <v>585851</v>
          </cell>
          <cell r="AK22">
            <v>1367402</v>
          </cell>
          <cell r="AL22">
            <v>260267</v>
          </cell>
          <cell r="AM22">
            <v>0</v>
          </cell>
          <cell r="AN22">
            <v>301917</v>
          </cell>
          <cell r="AO22">
            <v>0</v>
          </cell>
          <cell r="AP22">
            <v>0</v>
          </cell>
          <cell r="AQ22">
            <v>154437824</v>
          </cell>
          <cell r="AR22">
            <v>1542863</v>
          </cell>
          <cell r="AS22">
            <v>334577</v>
          </cell>
          <cell r="AT22">
            <v>0</v>
          </cell>
          <cell r="AU22">
            <v>1595943</v>
          </cell>
          <cell r="AV22">
            <v>0</v>
          </cell>
          <cell r="AW22">
            <v>0</v>
          </cell>
          <cell r="AX22">
            <v>18599</v>
          </cell>
          <cell r="AY22">
            <v>3491982</v>
          </cell>
          <cell r="AZ22">
            <v>1553693</v>
          </cell>
          <cell r="BA22">
            <v>474510</v>
          </cell>
          <cell r="BB22">
            <v>8264</v>
          </cell>
          <cell r="BC22">
            <v>0</v>
          </cell>
          <cell r="BD22">
            <v>2036467</v>
          </cell>
          <cell r="BE22">
            <v>690374</v>
          </cell>
          <cell r="BF22">
            <v>602734</v>
          </cell>
          <cell r="BG22">
            <v>303491</v>
          </cell>
          <cell r="BH22">
            <v>121797</v>
          </cell>
          <cell r="BI22">
            <v>10177</v>
          </cell>
          <cell r="BJ22">
            <v>52656</v>
          </cell>
          <cell r="BK22">
            <v>1781229</v>
          </cell>
          <cell r="BL22">
            <v>1221973</v>
          </cell>
          <cell r="BM22">
            <v>354393</v>
          </cell>
          <cell r="BN22">
            <v>671309</v>
          </cell>
          <cell r="BO22">
            <v>0</v>
          </cell>
          <cell r="BP22">
            <v>0</v>
          </cell>
          <cell r="BQ22">
            <v>0</v>
          </cell>
          <cell r="BR22">
            <v>3984352</v>
          </cell>
          <cell r="BS22">
            <v>188786</v>
          </cell>
          <cell r="BT22">
            <v>136482</v>
          </cell>
          <cell r="BU22">
            <v>5394</v>
          </cell>
          <cell r="BV22">
            <v>11415</v>
          </cell>
          <cell r="BW22">
            <v>2424653</v>
          </cell>
          <cell r="BX22">
            <v>150337</v>
          </cell>
          <cell r="BY22">
            <v>41583</v>
          </cell>
          <cell r="BZ22">
            <v>0</v>
          </cell>
          <cell r="CA22">
            <v>205582</v>
          </cell>
          <cell r="CB22">
            <v>12721585</v>
          </cell>
          <cell r="CC22">
            <v>2946640</v>
          </cell>
          <cell r="CD22">
            <v>2275071</v>
          </cell>
          <cell r="CE22">
            <v>167656</v>
          </cell>
          <cell r="CF22">
            <v>302938</v>
          </cell>
          <cell r="CG22">
            <v>1003654</v>
          </cell>
          <cell r="CH22">
            <v>0</v>
          </cell>
          <cell r="CI22">
            <v>6695959</v>
          </cell>
          <cell r="CJ22">
            <v>19417544</v>
          </cell>
          <cell r="CK22">
            <v>173855368</v>
          </cell>
          <cell r="CM22">
            <v>8333580</v>
          </cell>
          <cell r="CN22">
            <v>1975567</v>
          </cell>
          <cell r="CO22">
            <v>0</v>
          </cell>
          <cell r="CP22">
            <v>0</v>
          </cell>
          <cell r="CQ22">
            <v>0</v>
          </cell>
          <cell r="CR22">
            <v>0</v>
          </cell>
          <cell r="CS22">
            <v>510361</v>
          </cell>
          <cell r="CT22">
            <v>0</v>
          </cell>
          <cell r="CV22">
            <v>0</v>
          </cell>
          <cell r="CW22">
            <v>18158032</v>
          </cell>
          <cell r="CX22">
            <v>1919204</v>
          </cell>
          <cell r="CY22">
            <v>240964</v>
          </cell>
        </row>
        <row r="23">
          <cell r="A23">
            <v>213</v>
          </cell>
          <cell r="B23">
            <v>78793000</v>
          </cell>
          <cell r="C23">
            <v>2267037</v>
          </cell>
          <cell r="D23">
            <v>8076985</v>
          </cell>
          <cell r="E23">
            <v>977400</v>
          </cell>
          <cell r="F23">
            <v>2554600</v>
          </cell>
          <cell r="G23">
            <v>0</v>
          </cell>
          <cell r="H23">
            <v>1000000</v>
          </cell>
          <cell r="I23">
            <v>0</v>
          </cell>
          <cell r="J23">
            <v>0</v>
          </cell>
          <cell r="K23">
            <v>116600</v>
          </cell>
          <cell r="L23">
            <v>116500</v>
          </cell>
          <cell r="M23">
            <v>0</v>
          </cell>
          <cell r="N23">
            <v>3382700</v>
          </cell>
          <cell r="O23">
            <v>2921700</v>
          </cell>
          <cell r="P23">
            <v>535100</v>
          </cell>
          <cell r="Q23">
            <v>0</v>
          </cell>
          <cell r="R23">
            <v>1568300</v>
          </cell>
          <cell r="S23">
            <v>0</v>
          </cell>
          <cell r="T23">
            <v>6282900</v>
          </cell>
          <cell r="U23">
            <v>963600</v>
          </cell>
          <cell r="V23">
            <v>0</v>
          </cell>
          <cell r="W23">
            <v>0</v>
          </cell>
          <cell r="X23">
            <v>0</v>
          </cell>
          <cell r="Y23">
            <v>0</v>
          </cell>
          <cell r="Z23">
            <v>0</v>
          </cell>
          <cell r="AA23">
            <v>0</v>
          </cell>
          <cell r="AB23">
            <v>0</v>
          </cell>
          <cell r="AC23">
            <v>0</v>
          </cell>
          <cell r="AD23">
            <v>545200</v>
          </cell>
          <cell r="AE23">
            <v>0</v>
          </cell>
          <cell r="AF23">
            <v>0</v>
          </cell>
          <cell r="AG23">
            <v>0</v>
          </cell>
          <cell r="AH23">
            <v>53000</v>
          </cell>
          <cell r="AI23">
            <v>82700</v>
          </cell>
          <cell r="AJ23">
            <v>0</v>
          </cell>
          <cell r="AK23">
            <v>0</v>
          </cell>
          <cell r="AL23">
            <v>413600</v>
          </cell>
          <cell r="AM23">
            <v>0</v>
          </cell>
          <cell r="AN23">
            <v>49500</v>
          </cell>
          <cell r="AO23">
            <v>0</v>
          </cell>
          <cell r="AP23">
            <v>0</v>
          </cell>
          <cell r="AQ23">
            <v>110700422</v>
          </cell>
          <cell r="AR23">
            <v>1315500</v>
          </cell>
          <cell r="AS23">
            <v>0</v>
          </cell>
          <cell r="AT23">
            <v>206700</v>
          </cell>
          <cell r="AU23">
            <v>0</v>
          </cell>
          <cell r="AV23">
            <v>0</v>
          </cell>
          <cell r="AW23">
            <v>0</v>
          </cell>
          <cell r="AX23">
            <v>0</v>
          </cell>
          <cell r="AY23">
            <v>1522200</v>
          </cell>
          <cell r="AZ23">
            <v>2318200</v>
          </cell>
          <cell r="BA23">
            <v>1330100</v>
          </cell>
          <cell r="BB23">
            <v>19900</v>
          </cell>
          <cell r="BC23">
            <v>0</v>
          </cell>
          <cell r="BD23">
            <v>3668200</v>
          </cell>
          <cell r="BE23">
            <v>666200</v>
          </cell>
          <cell r="BF23">
            <v>872700</v>
          </cell>
          <cell r="BG23">
            <v>0</v>
          </cell>
          <cell r="BH23">
            <v>0</v>
          </cell>
          <cell r="BI23">
            <v>37200</v>
          </cell>
          <cell r="BJ23">
            <v>40900</v>
          </cell>
          <cell r="BK23">
            <v>1617000</v>
          </cell>
          <cell r="BL23">
            <v>1873300</v>
          </cell>
          <cell r="BM23">
            <v>300900</v>
          </cell>
          <cell r="BN23">
            <v>740800</v>
          </cell>
          <cell r="BO23">
            <v>0</v>
          </cell>
          <cell r="BP23">
            <v>0</v>
          </cell>
          <cell r="BQ23">
            <v>1298600</v>
          </cell>
          <cell r="BR23">
            <v>5196600</v>
          </cell>
          <cell r="BS23">
            <v>86300</v>
          </cell>
          <cell r="BT23">
            <v>44900</v>
          </cell>
          <cell r="BU23">
            <v>0</v>
          </cell>
          <cell r="BV23">
            <v>265200</v>
          </cell>
          <cell r="BW23">
            <v>2459900</v>
          </cell>
          <cell r="BX23">
            <v>0</v>
          </cell>
          <cell r="BY23">
            <v>0</v>
          </cell>
          <cell r="BZ23">
            <v>0</v>
          </cell>
          <cell r="CA23">
            <v>0</v>
          </cell>
          <cell r="CB23">
            <v>13877300</v>
          </cell>
          <cell r="CC23">
            <v>4667600</v>
          </cell>
          <cell r="CD23">
            <v>10615700</v>
          </cell>
          <cell r="CE23">
            <v>81100</v>
          </cell>
          <cell r="CF23">
            <v>344400</v>
          </cell>
          <cell r="CG23">
            <v>0</v>
          </cell>
          <cell r="CH23">
            <v>0</v>
          </cell>
          <cell r="CI23">
            <v>15708800</v>
          </cell>
          <cell r="CJ23">
            <v>29586100</v>
          </cell>
          <cell r="CK23">
            <v>140286522</v>
          </cell>
          <cell r="CM23">
            <v>7493000</v>
          </cell>
          <cell r="CN23">
            <v>200000</v>
          </cell>
          <cell r="CO23">
            <v>0</v>
          </cell>
          <cell r="CP23">
            <v>0</v>
          </cell>
          <cell r="CQ23">
            <v>0</v>
          </cell>
          <cell r="CR23">
            <v>0</v>
          </cell>
          <cell r="CS23">
            <v>643100</v>
          </cell>
          <cell r="CT23">
            <v>0</v>
          </cell>
          <cell r="CV23">
            <v>0</v>
          </cell>
          <cell r="CW23">
            <v>12445</v>
          </cell>
          <cell r="CX23">
            <v>638800</v>
          </cell>
          <cell r="CY23">
            <v>284200</v>
          </cell>
        </row>
        <row r="24">
          <cell r="A24">
            <v>301</v>
          </cell>
          <cell r="B24">
            <v>104094583</v>
          </cell>
          <cell r="C24">
            <v>2899259</v>
          </cell>
          <cell r="D24">
            <v>7083089</v>
          </cell>
          <cell r="E24">
            <v>1332229</v>
          </cell>
          <cell r="F24">
            <v>4071025</v>
          </cell>
          <cell r="G24">
            <v>773000</v>
          </cell>
          <cell r="H24">
            <v>0</v>
          </cell>
          <cell r="I24">
            <v>0</v>
          </cell>
          <cell r="J24">
            <v>0</v>
          </cell>
          <cell r="K24">
            <v>1123800</v>
          </cell>
          <cell r="L24">
            <v>287600</v>
          </cell>
          <cell r="M24">
            <v>245200</v>
          </cell>
          <cell r="N24">
            <v>1700000</v>
          </cell>
          <cell r="O24">
            <v>2200000</v>
          </cell>
          <cell r="P24">
            <v>1005080</v>
          </cell>
          <cell r="Q24">
            <v>350400</v>
          </cell>
          <cell r="R24">
            <v>1401000</v>
          </cell>
          <cell r="S24">
            <v>0</v>
          </cell>
          <cell r="T24">
            <v>1895000</v>
          </cell>
          <cell r="U24">
            <v>0</v>
          </cell>
          <cell r="V24">
            <v>89000</v>
          </cell>
          <cell r="W24">
            <v>0</v>
          </cell>
          <cell r="X24">
            <v>0</v>
          </cell>
          <cell r="Y24">
            <v>0</v>
          </cell>
          <cell r="Z24">
            <v>0</v>
          </cell>
          <cell r="AA24">
            <v>0</v>
          </cell>
          <cell r="AB24">
            <v>0</v>
          </cell>
          <cell r="AC24">
            <v>0</v>
          </cell>
          <cell r="AD24">
            <v>559000</v>
          </cell>
          <cell r="AE24">
            <v>0</v>
          </cell>
          <cell r="AF24">
            <v>700000</v>
          </cell>
          <cell r="AG24">
            <v>93000</v>
          </cell>
          <cell r="AH24">
            <v>0</v>
          </cell>
          <cell r="AI24">
            <v>0</v>
          </cell>
          <cell r="AJ24">
            <v>1862891</v>
          </cell>
          <cell r="AK24">
            <v>0</v>
          </cell>
          <cell r="AL24">
            <v>1233068</v>
          </cell>
          <cell r="AM24">
            <v>0</v>
          </cell>
          <cell r="AN24">
            <v>504117</v>
          </cell>
          <cell r="AO24">
            <v>7177570</v>
          </cell>
          <cell r="AP24">
            <v>0</v>
          </cell>
          <cell r="AQ24">
            <v>142679911</v>
          </cell>
          <cell r="AR24">
            <v>2981366</v>
          </cell>
          <cell r="AS24">
            <v>618000</v>
          </cell>
          <cell r="AT24">
            <v>0</v>
          </cell>
          <cell r="AU24">
            <v>105440</v>
          </cell>
          <cell r="AV24">
            <v>0</v>
          </cell>
          <cell r="AW24">
            <v>0</v>
          </cell>
          <cell r="AX24">
            <v>143250</v>
          </cell>
          <cell r="AY24">
            <v>3848056</v>
          </cell>
          <cell r="AZ24">
            <v>760320</v>
          </cell>
          <cell r="BA24">
            <v>2319952</v>
          </cell>
          <cell r="BB24">
            <v>140417</v>
          </cell>
          <cell r="BC24">
            <v>0</v>
          </cell>
          <cell r="BD24">
            <v>3220689</v>
          </cell>
          <cell r="BE24">
            <v>720000</v>
          </cell>
          <cell r="BF24">
            <v>43350</v>
          </cell>
          <cell r="BG24">
            <v>104010</v>
          </cell>
          <cell r="BH24">
            <v>35700</v>
          </cell>
          <cell r="BI24">
            <v>139530</v>
          </cell>
          <cell r="BJ24">
            <v>115240</v>
          </cell>
          <cell r="BK24">
            <v>1157830</v>
          </cell>
          <cell r="BL24">
            <v>1874000</v>
          </cell>
          <cell r="BM24">
            <v>578970</v>
          </cell>
          <cell r="BN24">
            <v>579540</v>
          </cell>
          <cell r="BO24">
            <v>762200</v>
          </cell>
          <cell r="BP24">
            <v>0</v>
          </cell>
          <cell r="BQ24">
            <v>424000</v>
          </cell>
          <cell r="BR24">
            <v>5142492</v>
          </cell>
          <cell r="BS24">
            <v>20000</v>
          </cell>
          <cell r="BT24">
            <v>58870</v>
          </cell>
          <cell r="BU24">
            <v>0</v>
          </cell>
          <cell r="BV24">
            <v>376900</v>
          </cell>
          <cell r="BW24">
            <v>2212012</v>
          </cell>
          <cell r="BX24">
            <v>100000</v>
          </cell>
          <cell r="BY24">
            <v>30000</v>
          </cell>
          <cell r="BZ24">
            <v>0</v>
          </cell>
          <cell r="CA24">
            <v>0</v>
          </cell>
          <cell r="CB24">
            <v>15243067</v>
          </cell>
          <cell r="CC24">
            <v>1402262</v>
          </cell>
          <cell r="CD24">
            <v>3032560</v>
          </cell>
          <cell r="CE24">
            <v>0</v>
          </cell>
          <cell r="CF24">
            <v>0</v>
          </cell>
          <cell r="CG24">
            <v>0</v>
          </cell>
          <cell r="CH24">
            <v>0</v>
          </cell>
          <cell r="CI24">
            <v>4434822</v>
          </cell>
          <cell r="CJ24">
            <v>19677889</v>
          </cell>
          <cell r="CK24">
            <v>162357800</v>
          </cell>
          <cell r="CM24">
            <v>7817113</v>
          </cell>
          <cell r="CN24">
            <v>696724</v>
          </cell>
          <cell r="CO24">
            <v>0</v>
          </cell>
          <cell r="CP24">
            <v>0</v>
          </cell>
          <cell r="CQ24">
            <v>166340</v>
          </cell>
          <cell r="CR24">
            <v>0</v>
          </cell>
          <cell r="CS24">
            <v>0</v>
          </cell>
          <cell r="CT24">
            <v>0</v>
          </cell>
          <cell r="CV24">
            <v>0</v>
          </cell>
          <cell r="CW24">
            <v>12317310</v>
          </cell>
          <cell r="CX24">
            <v>1225904</v>
          </cell>
          <cell r="CY24">
            <v>338265</v>
          </cell>
        </row>
        <row r="25">
          <cell r="A25">
            <v>302</v>
          </cell>
          <cell r="B25">
            <v>160187407</v>
          </cell>
          <cell r="C25">
            <v>5236145</v>
          </cell>
          <cell r="D25">
            <v>11127306</v>
          </cell>
          <cell r="E25">
            <v>1447122</v>
          </cell>
          <cell r="F25">
            <v>4824039</v>
          </cell>
          <cell r="G25">
            <v>0</v>
          </cell>
          <cell r="H25">
            <v>300000</v>
          </cell>
          <cell r="I25">
            <v>2633340</v>
          </cell>
          <cell r="J25">
            <v>0</v>
          </cell>
          <cell r="K25">
            <v>0</v>
          </cell>
          <cell r="L25">
            <v>0</v>
          </cell>
          <cell r="M25">
            <v>500350</v>
          </cell>
          <cell r="N25">
            <v>2874300</v>
          </cell>
          <cell r="O25">
            <v>6488050</v>
          </cell>
          <cell r="P25">
            <v>1062551</v>
          </cell>
          <cell r="Q25">
            <v>0</v>
          </cell>
          <cell r="R25">
            <v>197350</v>
          </cell>
          <cell r="S25">
            <v>240</v>
          </cell>
          <cell r="T25">
            <v>7261742</v>
          </cell>
          <cell r="U25">
            <v>0</v>
          </cell>
          <cell r="V25">
            <v>0</v>
          </cell>
          <cell r="W25">
            <v>176200</v>
          </cell>
          <cell r="X25">
            <v>0</v>
          </cell>
          <cell r="Y25">
            <v>0</v>
          </cell>
          <cell r="Z25">
            <v>0</v>
          </cell>
          <cell r="AA25">
            <v>0</v>
          </cell>
          <cell r="AB25">
            <v>0</v>
          </cell>
          <cell r="AC25">
            <v>38990</v>
          </cell>
          <cell r="AD25">
            <v>182840</v>
          </cell>
          <cell r="AE25">
            <v>0</v>
          </cell>
          <cell r="AF25">
            <v>107850</v>
          </cell>
          <cell r="AG25">
            <v>0</v>
          </cell>
          <cell r="AH25">
            <v>10610</v>
          </cell>
          <cell r="AI25">
            <v>0</v>
          </cell>
          <cell r="AJ25">
            <v>2502211</v>
          </cell>
          <cell r="AK25">
            <v>0</v>
          </cell>
          <cell r="AL25">
            <v>206104</v>
          </cell>
          <cell r="AM25">
            <v>0</v>
          </cell>
          <cell r="AN25">
            <v>118055</v>
          </cell>
          <cell r="AO25">
            <v>1202317</v>
          </cell>
          <cell r="AP25">
            <v>0</v>
          </cell>
          <cell r="AQ25">
            <v>208685119</v>
          </cell>
          <cell r="AR25">
            <v>2965290</v>
          </cell>
          <cell r="AS25">
            <v>481570</v>
          </cell>
          <cell r="AT25">
            <v>603270</v>
          </cell>
          <cell r="AU25">
            <v>76880</v>
          </cell>
          <cell r="AV25">
            <v>0</v>
          </cell>
          <cell r="AW25">
            <v>0</v>
          </cell>
          <cell r="AX25">
            <v>0</v>
          </cell>
          <cell r="AY25">
            <v>4127010</v>
          </cell>
          <cell r="AZ25">
            <v>10</v>
          </cell>
          <cell r="BA25">
            <v>0</v>
          </cell>
          <cell r="BB25">
            <v>50906</v>
          </cell>
          <cell r="BC25">
            <v>0</v>
          </cell>
          <cell r="BD25">
            <v>50916</v>
          </cell>
          <cell r="BE25">
            <v>973535</v>
          </cell>
          <cell r="BF25">
            <v>1000838</v>
          </cell>
          <cell r="BG25">
            <v>52730</v>
          </cell>
          <cell r="BH25">
            <v>0</v>
          </cell>
          <cell r="BI25">
            <v>78940</v>
          </cell>
          <cell r="BJ25">
            <v>0</v>
          </cell>
          <cell r="BK25">
            <v>2106043</v>
          </cell>
          <cell r="BL25">
            <v>1804570</v>
          </cell>
          <cell r="BM25">
            <v>528937</v>
          </cell>
          <cell r="BN25">
            <v>512335</v>
          </cell>
          <cell r="BO25">
            <v>1117640</v>
          </cell>
          <cell r="BP25">
            <v>0</v>
          </cell>
          <cell r="BQ25">
            <v>0</v>
          </cell>
          <cell r="BR25">
            <v>7407360</v>
          </cell>
          <cell r="BS25">
            <v>60950</v>
          </cell>
          <cell r="BT25">
            <v>0</v>
          </cell>
          <cell r="BU25">
            <v>0</v>
          </cell>
          <cell r="BV25">
            <v>0</v>
          </cell>
          <cell r="BW25">
            <v>4718068</v>
          </cell>
          <cell r="BX25">
            <v>354573</v>
          </cell>
          <cell r="BY25">
            <v>75460</v>
          </cell>
          <cell r="BZ25">
            <v>39397</v>
          </cell>
          <cell r="CA25">
            <v>0</v>
          </cell>
          <cell r="CB25">
            <v>15495899</v>
          </cell>
          <cell r="CC25">
            <v>1553663</v>
          </cell>
          <cell r="CD25">
            <v>433610</v>
          </cell>
          <cell r="CE25">
            <v>54620</v>
          </cell>
          <cell r="CF25">
            <v>226460</v>
          </cell>
          <cell r="CG25">
            <v>0</v>
          </cell>
          <cell r="CH25">
            <v>0</v>
          </cell>
          <cell r="CI25">
            <v>2268353</v>
          </cell>
          <cell r="CJ25">
            <v>17764252</v>
          </cell>
          <cell r="CK25">
            <v>226449371</v>
          </cell>
          <cell r="CM25">
            <v>17688484</v>
          </cell>
          <cell r="CN25">
            <v>680103</v>
          </cell>
          <cell r="CO25">
            <v>157128</v>
          </cell>
          <cell r="CP25">
            <v>0</v>
          </cell>
          <cell r="CQ25">
            <v>0</v>
          </cell>
          <cell r="CR25">
            <v>0</v>
          </cell>
          <cell r="CS25">
            <v>1607146</v>
          </cell>
          <cell r="CT25">
            <v>0</v>
          </cell>
          <cell r="CV25">
            <v>0</v>
          </cell>
          <cell r="CW25">
            <v>20314000</v>
          </cell>
          <cell r="CX25">
            <v>3394594</v>
          </cell>
          <cell r="CY25">
            <v>0</v>
          </cell>
        </row>
        <row r="26">
          <cell r="A26">
            <v>303</v>
          </cell>
          <cell r="B26">
            <v>122681493</v>
          </cell>
          <cell r="C26">
            <v>4165147</v>
          </cell>
          <cell r="D26">
            <v>6637129</v>
          </cell>
          <cell r="E26">
            <v>1558521</v>
          </cell>
          <cell r="F26">
            <v>3729000</v>
          </cell>
          <cell r="G26">
            <v>700000</v>
          </cell>
          <cell r="H26">
            <v>918507</v>
          </cell>
          <cell r="I26">
            <v>3426000</v>
          </cell>
          <cell r="J26">
            <v>0</v>
          </cell>
          <cell r="K26">
            <v>0</v>
          </cell>
          <cell r="L26">
            <v>826000</v>
          </cell>
          <cell r="M26">
            <v>9000</v>
          </cell>
          <cell r="N26">
            <v>2251000</v>
          </cell>
          <cell r="O26">
            <v>4195000</v>
          </cell>
          <cell r="P26">
            <v>1555000</v>
          </cell>
          <cell r="Q26">
            <v>364000</v>
          </cell>
          <cell r="R26">
            <v>267000</v>
          </cell>
          <cell r="S26">
            <v>0</v>
          </cell>
          <cell r="T26">
            <v>2884000</v>
          </cell>
          <cell r="U26">
            <v>0</v>
          </cell>
          <cell r="V26">
            <v>39000</v>
          </cell>
          <cell r="W26">
            <v>234000</v>
          </cell>
          <cell r="X26">
            <v>0</v>
          </cell>
          <cell r="Y26">
            <v>0</v>
          </cell>
          <cell r="Z26">
            <v>0</v>
          </cell>
          <cell r="AA26">
            <v>0</v>
          </cell>
          <cell r="AB26">
            <v>0</v>
          </cell>
          <cell r="AC26">
            <v>0</v>
          </cell>
          <cell r="AD26">
            <v>356000</v>
          </cell>
          <cell r="AE26">
            <v>12000</v>
          </cell>
          <cell r="AF26">
            <v>519000</v>
          </cell>
          <cell r="AG26">
            <v>0</v>
          </cell>
          <cell r="AH26">
            <v>32000</v>
          </cell>
          <cell r="AI26">
            <v>274000</v>
          </cell>
          <cell r="AJ26">
            <v>1468479</v>
          </cell>
          <cell r="AK26">
            <v>0</v>
          </cell>
          <cell r="AL26">
            <v>0</v>
          </cell>
          <cell r="AM26">
            <v>0</v>
          </cell>
          <cell r="AN26">
            <v>0</v>
          </cell>
          <cell r="AO26">
            <v>1200000</v>
          </cell>
          <cell r="AP26">
            <v>0</v>
          </cell>
          <cell r="AQ26">
            <v>160301276</v>
          </cell>
          <cell r="AR26">
            <v>2179000</v>
          </cell>
          <cell r="AS26">
            <v>70000</v>
          </cell>
          <cell r="AT26">
            <v>195000</v>
          </cell>
          <cell r="AU26">
            <v>16000</v>
          </cell>
          <cell r="AV26">
            <v>0</v>
          </cell>
          <cell r="AW26">
            <v>0</v>
          </cell>
          <cell r="AX26">
            <v>0</v>
          </cell>
          <cell r="AY26">
            <v>2460000</v>
          </cell>
          <cell r="AZ26">
            <v>1520000</v>
          </cell>
          <cell r="BA26">
            <v>0</v>
          </cell>
          <cell r="BB26">
            <v>0</v>
          </cell>
          <cell r="BC26">
            <v>0</v>
          </cell>
          <cell r="BD26">
            <v>1520000</v>
          </cell>
          <cell r="BE26">
            <v>522000</v>
          </cell>
          <cell r="BF26">
            <v>450000</v>
          </cell>
          <cell r="BG26">
            <v>0</v>
          </cell>
          <cell r="BH26">
            <v>68000</v>
          </cell>
          <cell r="BI26">
            <v>72000</v>
          </cell>
          <cell r="BJ26">
            <v>94000</v>
          </cell>
          <cell r="BK26">
            <v>1206000</v>
          </cell>
          <cell r="BL26">
            <v>2355000</v>
          </cell>
          <cell r="BM26">
            <v>705000</v>
          </cell>
          <cell r="BN26">
            <v>506000</v>
          </cell>
          <cell r="BO26">
            <v>0</v>
          </cell>
          <cell r="BP26">
            <v>0</v>
          </cell>
          <cell r="BQ26">
            <v>0</v>
          </cell>
          <cell r="BR26">
            <v>4959000</v>
          </cell>
          <cell r="BS26">
            <v>147000</v>
          </cell>
          <cell r="BT26">
            <v>11000</v>
          </cell>
          <cell r="BU26">
            <v>92000</v>
          </cell>
          <cell r="BV26">
            <v>235000</v>
          </cell>
          <cell r="BW26">
            <v>3150000</v>
          </cell>
          <cell r="BX26">
            <v>52000</v>
          </cell>
          <cell r="BY26">
            <v>61000</v>
          </cell>
          <cell r="BZ26">
            <v>0</v>
          </cell>
          <cell r="CA26">
            <v>0</v>
          </cell>
          <cell r="CB26">
            <v>12500000</v>
          </cell>
          <cell r="CC26">
            <v>2501000</v>
          </cell>
          <cell r="CD26">
            <v>4887000</v>
          </cell>
          <cell r="CE26">
            <v>129000</v>
          </cell>
          <cell r="CF26">
            <v>0</v>
          </cell>
          <cell r="CG26">
            <v>0</v>
          </cell>
          <cell r="CH26">
            <v>0</v>
          </cell>
          <cell r="CI26">
            <v>7517000</v>
          </cell>
          <cell r="CJ26">
            <v>20017000</v>
          </cell>
          <cell r="CK26">
            <v>180318276</v>
          </cell>
          <cell r="CM26">
            <v>11770000</v>
          </cell>
          <cell r="CN26">
            <v>197000</v>
          </cell>
          <cell r="CO26">
            <v>100000</v>
          </cell>
          <cell r="CP26">
            <v>0</v>
          </cell>
          <cell r="CQ26">
            <v>0</v>
          </cell>
          <cell r="CR26">
            <v>0</v>
          </cell>
          <cell r="CS26">
            <v>422000</v>
          </cell>
          <cell r="CT26">
            <v>0</v>
          </cell>
          <cell r="CV26">
            <v>0</v>
          </cell>
          <cell r="CW26">
            <v>21425000</v>
          </cell>
          <cell r="CX26">
            <v>2606000</v>
          </cell>
          <cell r="CY26">
            <v>0</v>
          </cell>
        </row>
        <row r="27">
          <cell r="A27">
            <v>304</v>
          </cell>
          <cell r="B27">
            <v>142993000</v>
          </cell>
          <cell r="C27">
            <v>4080000</v>
          </cell>
          <cell r="D27">
            <v>16056000</v>
          </cell>
          <cell r="E27">
            <v>3204000</v>
          </cell>
          <cell r="F27">
            <v>6472000</v>
          </cell>
          <cell r="G27">
            <v>0</v>
          </cell>
          <cell r="H27">
            <v>0</v>
          </cell>
          <cell r="I27">
            <v>1797000</v>
          </cell>
          <cell r="J27">
            <v>84000</v>
          </cell>
          <cell r="K27">
            <v>0</v>
          </cell>
          <cell r="L27">
            <v>0</v>
          </cell>
          <cell r="M27">
            <v>74000</v>
          </cell>
          <cell r="N27">
            <v>1441000</v>
          </cell>
          <cell r="O27">
            <v>3774000</v>
          </cell>
          <cell r="P27">
            <v>1477000</v>
          </cell>
          <cell r="Q27">
            <v>63000</v>
          </cell>
          <cell r="R27">
            <v>900000</v>
          </cell>
          <cell r="S27">
            <v>0</v>
          </cell>
          <cell r="T27">
            <v>4542900</v>
          </cell>
          <cell r="U27">
            <v>0</v>
          </cell>
          <cell r="V27">
            <v>43000</v>
          </cell>
          <cell r="W27">
            <v>50000</v>
          </cell>
          <cell r="X27">
            <v>0</v>
          </cell>
          <cell r="Y27">
            <v>0</v>
          </cell>
          <cell r="Z27">
            <v>0</v>
          </cell>
          <cell r="AA27">
            <v>0</v>
          </cell>
          <cell r="AB27">
            <v>0</v>
          </cell>
          <cell r="AC27">
            <v>0</v>
          </cell>
          <cell r="AD27">
            <v>199000</v>
          </cell>
          <cell r="AE27">
            <v>56000</v>
          </cell>
          <cell r="AF27">
            <v>160000</v>
          </cell>
          <cell r="AG27">
            <v>0</v>
          </cell>
          <cell r="AH27">
            <v>1000</v>
          </cell>
          <cell r="AI27">
            <v>310000</v>
          </cell>
          <cell r="AJ27">
            <v>247000</v>
          </cell>
          <cell r="AK27">
            <v>0</v>
          </cell>
          <cell r="AL27">
            <v>355000</v>
          </cell>
          <cell r="AM27">
            <v>0</v>
          </cell>
          <cell r="AN27">
            <v>214000</v>
          </cell>
          <cell r="AO27">
            <v>0</v>
          </cell>
          <cell r="AP27">
            <v>0</v>
          </cell>
          <cell r="AQ27">
            <v>188592900</v>
          </cell>
          <cell r="AR27">
            <v>3120000</v>
          </cell>
          <cell r="AS27">
            <v>67000</v>
          </cell>
          <cell r="AT27">
            <v>2888000</v>
          </cell>
          <cell r="AU27">
            <v>497000</v>
          </cell>
          <cell r="AV27">
            <v>0</v>
          </cell>
          <cell r="AW27">
            <v>0</v>
          </cell>
          <cell r="AX27">
            <v>20000</v>
          </cell>
          <cell r="AY27">
            <v>6592000</v>
          </cell>
          <cell r="AZ27">
            <v>3312000</v>
          </cell>
          <cell r="BA27">
            <v>0</v>
          </cell>
          <cell r="BB27">
            <v>0</v>
          </cell>
          <cell r="BC27">
            <v>0</v>
          </cell>
          <cell r="BD27">
            <v>3312000</v>
          </cell>
          <cell r="BE27">
            <v>751000</v>
          </cell>
          <cell r="BF27">
            <v>790000</v>
          </cell>
          <cell r="BG27">
            <v>34000</v>
          </cell>
          <cell r="BH27">
            <v>71000</v>
          </cell>
          <cell r="BI27">
            <v>258000</v>
          </cell>
          <cell r="BJ27">
            <v>175000</v>
          </cell>
          <cell r="BK27">
            <v>2079000</v>
          </cell>
          <cell r="BL27">
            <v>2187000</v>
          </cell>
          <cell r="BM27">
            <v>513000</v>
          </cell>
          <cell r="BN27">
            <v>579000</v>
          </cell>
          <cell r="BO27">
            <v>398000</v>
          </cell>
          <cell r="BP27">
            <v>0</v>
          </cell>
          <cell r="BQ27">
            <v>275000</v>
          </cell>
          <cell r="BR27">
            <v>5819000</v>
          </cell>
          <cell r="BS27">
            <v>177000</v>
          </cell>
          <cell r="BT27">
            <v>256000</v>
          </cell>
          <cell r="BU27">
            <v>116000</v>
          </cell>
          <cell r="BV27">
            <v>0</v>
          </cell>
          <cell r="BW27">
            <v>35000</v>
          </cell>
          <cell r="BX27">
            <v>3277000</v>
          </cell>
          <cell r="BY27">
            <v>193000</v>
          </cell>
          <cell r="BZ27">
            <v>0</v>
          </cell>
          <cell r="CA27">
            <v>0</v>
          </cell>
          <cell r="CB27">
            <v>19989000</v>
          </cell>
          <cell r="CC27">
            <v>6230000</v>
          </cell>
          <cell r="CD27">
            <v>6259000</v>
          </cell>
          <cell r="CE27">
            <v>8000</v>
          </cell>
          <cell r="CF27">
            <v>431000</v>
          </cell>
          <cell r="CG27">
            <v>0</v>
          </cell>
          <cell r="CH27">
            <v>0</v>
          </cell>
          <cell r="CI27">
            <v>12928000</v>
          </cell>
          <cell r="CJ27">
            <v>32917000</v>
          </cell>
          <cell r="CK27">
            <v>221509900</v>
          </cell>
          <cell r="CM27">
            <v>16473000</v>
          </cell>
          <cell r="CN27">
            <v>584000</v>
          </cell>
          <cell r="CO27">
            <v>62000</v>
          </cell>
          <cell r="CP27">
            <v>0</v>
          </cell>
          <cell r="CQ27">
            <v>0</v>
          </cell>
          <cell r="CR27">
            <v>0</v>
          </cell>
          <cell r="CS27">
            <v>420000</v>
          </cell>
          <cell r="CT27">
            <v>0</v>
          </cell>
          <cell r="CV27">
            <v>0</v>
          </cell>
          <cell r="CW27">
            <v>11739000</v>
          </cell>
          <cell r="CX27">
            <v>1764000</v>
          </cell>
          <cell r="CY27">
            <v>430000</v>
          </cell>
        </row>
        <row r="28">
          <cell r="A28">
            <v>305</v>
          </cell>
          <cell r="B28">
            <v>145122419</v>
          </cell>
          <cell r="C28">
            <v>4940125</v>
          </cell>
          <cell r="D28">
            <v>8567431</v>
          </cell>
          <cell r="E28">
            <v>1050818</v>
          </cell>
          <cell r="F28">
            <v>4753434</v>
          </cell>
          <cell r="G28">
            <v>1230000</v>
          </cell>
          <cell r="H28">
            <v>0</v>
          </cell>
          <cell r="I28">
            <v>0</v>
          </cell>
          <cell r="J28">
            <v>0</v>
          </cell>
          <cell r="K28">
            <v>1839873</v>
          </cell>
          <cell r="L28">
            <v>773291</v>
          </cell>
          <cell r="M28">
            <v>94311</v>
          </cell>
          <cell r="N28">
            <v>2209170</v>
          </cell>
          <cell r="O28">
            <v>5702080</v>
          </cell>
          <cell r="P28">
            <v>840221</v>
          </cell>
          <cell r="Q28">
            <v>286945</v>
          </cell>
          <cell r="R28">
            <v>498577</v>
          </cell>
          <cell r="S28">
            <v>0</v>
          </cell>
          <cell r="T28">
            <v>5653628</v>
          </cell>
          <cell r="U28">
            <v>93350</v>
          </cell>
          <cell r="V28">
            <v>19090</v>
          </cell>
          <cell r="W28">
            <v>0</v>
          </cell>
          <cell r="X28">
            <v>0</v>
          </cell>
          <cell r="Y28">
            <v>0</v>
          </cell>
          <cell r="Z28">
            <v>7090</v>
          </cell>
          <cell r="AA28">
            <v>0</v>
          </cell>
          <cell r="AB28">
            <v>0</v>
          </cell>
          <cell r="AC28">
            <v>0</v>
          </cell>
          <cell r="AD28">
            <v>289346</v>
          </cell>
          <cell r="AE28">
            <v>0</v>
          </cell>
          <cell r="AF28">
            <v>102200</v>
          </cell>
          <cell r="AG28">
            <v>33970</v>
          </cell>
          <cell r="AH28">
            <v>51582</v>
          </cell>
          <cell r="AI28">
            <v>349380</v>
          </cell>
          <cell r="AJ28">
            <v>1676585</v>
          </cell>
          <cell r="AK28">
            <v>2183030</v>
          </cell>
          <cell r="AL28">
            <v>25000</v>
          </cell>
          <cell r="AM28">
            <v>0</v>
          </cell>
          <cell r="AN28">
            <v>286423</v>
          </cell>
          <cell r="AO28">
            <v>2228000</v>
          </cell>
          <cell r="AP28">
            <v>0</v>
          </cell>
          <cell r="AQ28">
            <v>190907369</v>
          </cell>
          <cell r="AR28">
            <v>2276359</v>
          </cell>
          <cell r="AS28">
            <v>0</v>
          </cell>
          <cell r="AT28">
            <v>0</v>
          </cell>
          <cell r="AU28">
            <v>260000</v>
          </cell>
          <cell r="AV28">
            <v>0</v>
          </cell>
          <cell r="AW28">
            <v>0</v>
          </cell>
          <cell r="AX28">
            <v>47566</v>
          </cell>
          <cell r="AY28">
            <v>2583925</v>
          </cell>
          <cell r="AZ28">
            <v>1179148</v>
          </cell>
          <cell r="BA28">
            <v>717640</v>
          </cell>
          <cell r="BB28">
            <v>48600</v>
          </cell>
          <cell r="BC28">
            <v>0</v>
          </cell>
          <cell r="BD28">
            <v>1945388</v>
          </cell>
          <cell r="BE28">
            <v>747577</v>
          </cell>
          <cell r="BF28">
            <v>656628</v>
          </cell>
          <cell r="BG28">
            <v>37784</v>
          </cell>
          <cell r="BH28">
            <v>34000</v>
          </cell>
          <cell r="BI28">
            <v>81272</v>
          </cell>
          <cell r="BJ28">
            <v>73450</v>
          </cell>
          <cell r="BK28">
            <v>1630711</v>
          </cell>
          <cell r="BL28">
            <v>976589</v>
          </cell>
          <cell r="BM28">
            <v>1090842</v>
          </cell>
          <cell r="BN28">
            <v>446165</v>
          </cell>
          <cell r="BO28">
            <v>410928</v>
          </cell>
          <cell r="BP28">
            <v>0</v>
          </cell>
          <cell r="BQ28">
            <v>0</v>
          </cell>
          <cell r="BR28">
            <v>5828704</v>
          </cell>
          <cell r="BS28">
            <v>116015</v>
          </cell>
          <cell r="BT28">
            <v>49156</v>
          </cell>
          <cell r="BU28">
            <v>3500</v>
          </cell>
          <cell r="BV28">
            <v>364392</v>
          </cell>
          <cell r="BW28">
            <v>3077848</v>
          </cell>
          <cell r="BX28">
            <v>73547</v>
          </cell>
          <cell r="BY28">
            <v>169948</v>
          </cell>
          <cell r="BZ28">
            <v>26363</v>
          </cell>
          <cell r="CA28">
            <v>0</v>
          </cell>
          <cell r="CB28">
            <v>12965317</v>
          </cell>
          <cell r="CC28">
            <v>1178995</v>
          </cell>
          <cell r="CD28">
            <v>1878958</v>
          </cell>
          <cell r="CE28">
            <v>0</v>
          </cell>
          <cell r="CF28">
            <v>224922</v>
          </cell>
          <cell r="CG28">
            <v>0</v>
          </cell>
          <cell r="CH28">
            <v>0</v>
          </cell>
          <cell r="CI28">
            <v>3282875</v>
          </cell>
          <cell r="CJ28">
            <v>16248192</v>
          </cell>
          <cell r="CK28">
            <v>207155561</v>
          </cell>
          <cell r="CM28">
            <v>21039492</v>
          </cell>
          <cell r="CN28">
            <v>618430</v>
          </cell>
          <cell r="CO28">
            <v>0</v>
          </cell>
          <cell r="CP28">
            <v>0</v>
          </cell>
          <cell r="CQ28">
            <v>33850</v>
          </cell>
          <cell r="CR28">
            <v>0</v>
          </cell>
          <cell r="CS28">
            <v>515940</v>
          </cell>
          <cell r="CT28">
            <v>0</v>
          </cell>
          <cell r="CV28">
            <v>0</v>
          </cell>
          <cell r="CW28">
            <v>14078616</v>
          </cell>
          <cell r="CX28">
            <v>908751</v>
          </cell>
          <cell r="CY28">
            <v>116500</v>
          </cell>
        </row>
        <row r="29">
          <cell r="A29">
            <v>306</v>
          </cell>
          <cell r="B29">
            <v>152222382</v>
          </cell>
          <cell r="C29">
            <v>5716320</v>
          </cell>
          <cell r="D29">
            <v>13077077</v>
          </cell>
          <cell r="E29">
            <v>1518634</v>
          </cell>
          <cell r="F29">
            <v>4398426</v>
          </cell>
          <cell r="G29">
            <v>1313000</v>
          </cell>
          <cell r="H29">
            <v>0</v>
          </cell>
          <cell r="I29">
            <v>3344985</v>
          </cell>
          <cell r="J29">
            <v>964582</v>
          </cell>
          <cell r="K29">
            <v>0</v>
          </cell>
          <cell r="L29">
            <v>0</v>
          </cell>
          <cell r="M29">
            <v>0</v>
          </cell>
          <cell r="N29">
            <v>2415071</v>
          </cell>
          <cell r="O29">
            <v>8080557</v>
          </cell>
          <cell r="P29">
            <v>3949650</v>
          </cell>
          <cell r="Q29">
            <v>0</v>
          </cell>
          <cell r="R29">
            <v>1217945</v>
          </cell>
          <cell r="S29">
            <v>461272</v>
          </cell>
          <cell r="T29">
            <v>7727276</v>
          </cell>
          <cell r="U29">
            <v>0</v>
          </cell>
          <cell r="V29">
            <v>0</v>
          </cell>
          <cell r="W29">
            <v>0</v>
          </cell>
          <cell r="X29">
            <v>0</v>
          </cell>
          <cell r="Y29">
            <v>0</v>
          </cell>
          <cell r="Z29">
            <v>0</v>
          </cell>
          <cell r="AA29">
            <v>0</v>
          </cell>
          <cell r="AB29">
            <v>0</v>
          </cell>
          <cell r="AC29">
            <v>0</v>
          </cell>
          <cell r="AD29">
            <v>199226</v>
          </cell>
          <cell r="AE29">
            <v>0</v>
          </cell>
          <cell r="AF29">
            <v>0</v>
          </cell>
          <cell r="AG29">
            <v>0</v>
          </cell>
          <cell r="AH29">
            <v>0</v>
          </cell>
          <cell r="AI29">
            <v>0</v>
          </cell>
          <cell r="AJ29">
            <v>548770</v>
          </cell>
          <cell r="AK29">
            <v>0</v>
          </cell>
          <cell r="AL29">
            <v>173637</v>
          </cell>
          <cell r="AM29">
            <v>0</v>
          </cell>
          <cell r="AN29">
            <v>208706</v>
          </cell>
          <cell r="AO29">
            <v>1910725</v>
          </cell>
          <cell r="AP29">
            <v>0</v>
          </cell>
          <cell r="AQ29">
            <v>209448241</v>
          </cell>
          <cell r="AR29">
            <v>9554464</v>
          </cell>
          <cell r="AS29">
            <v>578412</v>
          </cell>
          <cell r="AT29">
            <v>254805</v>
          </cell>
          <cell r="AU29">
            <v>103181</v>
          </cell>
          <cell r="AV29">
            <v>0</v>
          </cell>
          <cell r="AW29">
            <v>0</v>
          </cell>
          <cell r="AX29">
            <v>123939</v>
          </cell>
          <cell r="AY29">
            <v>10614801</v>
          </cell>
          <cell r="AZ29">
            <v>2387541</v>
          </cell>
          <cell r="BA29">
            <v>0</v>
          </cell>
          <cell r="BB29">
            <v>27628</v>
          </cell>
          <cell r="BC29">
            <v>0</v>
          </cell>
          <cell r="BD29">
            <v>2415169</v>
          </cell>
          <cell r="BE29">
            <v>862154</v>
          </cell>
          <cell r="BF29">
            <v>177024</v>
          </cell>
          <cell r="BG29">
            <v>0</v>
          </cell>
          <cell r="BH29">
            <v>430275</v>
          </cell>
          <cell r="BI29">
            <v>163392</v>
          </cell>
          <cell r="BJ29">
            <v>177023</v>
          </cell>
          <cell r="BK29">
            <v>1809868</v>
          </cell>
          <cell r="BL29">
            <v>3086525</v>
          </cell>
          <cell r="BM29">
            <v>398861</v>
          </cell>
          <cell r="BN29">
            <v>772851</v>
          </cell>
          <cell r="BO29">
            <v>888337</v>
          </cell>
          <cell r="BP29">
            <v>0</v>
          </cell>
          <cell r="BQ29">
            <v>0</v>
          </cell>
          <cell r="BR29">
            <v>6724120</v>
          </cell>
          <cell r="BS29">
            <v>66171</v>
          </cell>
          <cell r="BT29">
            <v>133527</v>
          </cell>
          <cell r="BU29">
            <v>25544</v>
          </cell>
          <cell r="BV29">
            <v>44146</v>
          </cell>
          <cell r="BW29">
            <v>4227370</v>
          </cell>
          <cell r="BX29">
            <v>0</v>
          </cell>
          <cell r="BY29">
            <v>167313</v>
          </cell>
          <cell r="BZ29">
            <v>0</v>
          </cell>
          <cell r="CA29">
            <v>142272</v>
          </cell>
          <cell r="CB29">
            <v>24792755</v>
          </cell>
          <cell r="CC29">
            <v>3446129</v>
          </cell>
          <cell r="CD29">
            <v>10480387</v>
          </cell>
          <cell r="CE29">
            <v>70570</v>
          </cell>
          <cell r="CF29">
            <v>292367</v>
          </cell>
          <cell r="CG29">
            <v>18571</v>
          </cell>
          <cell r="CH29">
            <v>0</v>
          </cell>
          <cell r="CI29">
            <v>14308024</v>
          </cell>
          <cell r="CJ29">
            <v>39100779</v>
          </cell>
          <cell r="CK29">
            <v>248549020</v>
          </cell>
          <cell r="CM29">
            <v>4229415</v>
          </cell>
          <cell r="CN29">
            <v>540982</v>
          </cell>
          <cell r="CO29">
            <v>0</v>
          </cell>
          <cell r="CP29">
            <v>0</v>
          </cell>
          <cell r="CQ29">
            <v>0</v>
          </cell>
          <cell r="CR29">
            <v>0</v>
          </cell>
          <cell r="CS29">
            <v>684858</v>
          </cell>
          <cell r="CT29">
            <v>0</v>
          </cell>
          <cell r="CV29">
            <v>0</v>
          </cell>
          <cell r="CW29">
            <v>10572</v>
          </cell>
          <cell r="CX29">
            <v>3475005</v>
          </cell>
          <cell r="CY29">
            <v>56685</v>
          </cell>
        </row>
        <row r="30">
          <cell r="A30">
            <v>307</v>
          </cell>
          <cell r="B30">
            <v>147561700</v>
          </cell>
          <cell r="C30">
            <v>4307600</v>
          </cell>
          <cell r="D30">
            <v>10682900</v>
          </cell>
          <cell r="E30">
            <v>2974700</v>
          </cell>
          <cell r="F30">
            <v>6054900</v>
          </cell>
          <cell r="G30">
            <v>0</v>
          </cell>
          <cell r="H30">
            <v>160500</v>
          </cell>
          <cell r="I30">
            <v>1374100</v>
          </cell>
          <cell r="J30">
            <v>272800</v>
          </cell>
          <cell r="K30">
            <v>409200</v>
          </cell>
          <cell r="L30">
            <v>0</v>
          </cell>
          <cell r="M30">
            <v>0</v>
          </cell>
          <cell r="N30">
            <v>1534700</v>
          </cell>
          <cell r="O30">
            <v>3738100</v>
          </cell>
          <cell r="P30">
            <v>2369400</v>
          </cell>
          <cell r="Q30">
            <v>689100</v>
          </cell>
          <cell r="R30">
            <v>2645200</v>
          </cell>
          <cell r="S30">
            <v>50600</v>
          </cell>
          <cell r="T30">
            <v>3093300</v>
          </cell>
          <cell r="U30">
            <v>0</v>
          </cell>
          <cell r="V30">
            <v>0</v>
          </cell>
          <cell r="W30">
            <v>0</v>
          </cell>
          <cell r="X30">
            <v>0</v>
          </cell>
          <cell r="Y30">
            <v>0</v>
          </cell>
          <cell r="Z30">
            <v>0</v>
          </cell>
          <cell r="AA30">
            <v>0</v>
          </cell>
          <cell r="AB30">
            <v>119700</v>
          </cell>
          <cell r="AC30">
            <v>6300</v>
          </cell>
          <cell r="AD30">
            <v>266600</v>
          </cell>
          <cell r="AE30">
            <v>58600</v>
          </cell>
          <cell r="AF30">
            <v>581100</v>
          </cell>
          <cell r="AG30">
            <v>23900</v>
          </cell>
          <cell r="AH30">
            <v>0</v>
          </cell>
          <cell r="AI30">
            <v>123300</v>
          </cell>
          <cell r="AJ30">
            <v>642900</v>
          </cell>
          <cell r="AK30">
            <v>0</v>
          </cell>
          <cell r="AL30">
            <v>389600</v>
          </cell>
          <cell r="AM30">
            <v>0</v>
          </cell>
          <cell r="AN30">
            <v>147100</v>
          </cell>
          <cell r="AO30">
            <v>2177900</v>
          </cell>
          <cell r="AP30">
            <v>0</v>
          </cell>
          <cell r="AQ30">
            <v>192455800</v>
          </cell>
          <cell r="AR30">
            <v>2584700</v>
          </cell>
          <cell r="AS30">
            <v>0</v>
          </cell>
          <cell r="AT30">
            <v>1450300</v>
          </cell>
          <cell r="AU30">
            <v>269200</v>
          </cell>
          <cell r="AV30">
            <v>0</v>
          </cell>
          <cell r="AW30">
            <v>0</v>
          </cell>
          <cell r="AX30">
            <v>0</v>
          </cell>
          <cell r="AY30">
            <v>4304200</v>
          </cell>
          <cell r="AZ30">
            <v>1840400</v>
          </cell>
          <cell r="BA30">
            <v>0</v>
          </cell>
          <cell r="BB30">
            <v>0</v>
          </cell>
          <cell r="BC30">
            <v>0</v>
          </cell>
          <cell r="BD30">
            <v>1840400</v>
          </cell>
          <cell r="BE30">
            <v>884700</v>
          </cell>
          <cell r="BF30">
            <v>576900</v>
          </cell>
          <cell r="BG30">
            <v>19600</v>
          </cell>
          <cell r="BH30">
            <v>0</v>
          </cell>
          <cell r="BI30">
            <v>168100</v>
          </cell>
          <cell r="BJ30">
            <v>0</v>
          </cell>
          <cell r="BK30">
            <v>1649300</v>
          </cell>
          <cell r="BL30">
            <v>1805400</v>
          </cell>
          <cell r="BM30">
            <v>1747200</v>
          </cell>
          <cell r="BN30">
            <v>471500</v>
          </cell>
          <cell r="BO30">
            <v>0</v>
          </cell>
          <cell r="BP30">
            <v>0</v>
          </cell>
          <cell r="BQ30">
            <v>0</v>
          </cell>
          <cell r="BR30">
            <v>8299100</v>
          </cell>
          <cell r="BS30">
            <v>298000</v>
          </cell>
          <cell r="BT30">
            <v>165400</v>
          </cell>
          <cell r="BU30">
            <v>51900</v>
          </cell>
          <cell r="BV30">
            <v>560100</v>
          </cell>
          <cell r="BW30">
            <v>5005000</v>
          </cell>
          <cell r="BX30">
            <v>0</v>
          </cell>
          <cell r="BY30">
            <v>0</v>
          </cell>
          <cell r="BZ30">
            <v>0</v>
          </cell>
          <cell r="CA30">
            <v>0</v>
          </cell>
          <cell r="CB30">
            <v>17898400</v>
          </cell>
          <cell r="CC30">
            <v>4085800</v>
          </cell>
          <cell r="CD30">
            <v>1659700</v>
          </cell>
          <cell r="CE30">
            <v>0</v>
          </cell>
          <cell r="CF30">
            <v>542600</v>
          </cell>
          <cell r="CG30">
            <v>0</v>
          </cell>
          <cell r="CH30">
            <v>0</v>
          </cell>
          <cell r="CI30">
            <v>6288100</v>
          </cell>
          <cell r="CJ30">
            <v>24186500</v>
          </cell>
          <cell r="CK30">
            <v>216642300</v>
          </cell>
          <cell r="CM30">
            <v>11011400</v>
          </cell>
          <cell r="CN30">
            <v>894100</v>
          </cell>
          <cell r="CO30">
            <v>109600</v>
          </cell>
          <cell r="CP30">
            <v>0</v>
          </cell>
          <cell r="CQ30">
            <v>0</v>
          </cell>
          <cell r="CR30">
            <v>0</v>
          </cell>
          <cell r="CS30">
            <v>672100</v>
          </cell>
          <cell r="CT30">
            <v>0</v>
          </cell>
          <cell r="CV30">
            <v>0</v>
          </cell>
          <cell r="CW30">
            <v>9758170</v>
          </cell>
          <cell r="CX30">
            <v>2660900</v>
          </cell>
          <cell r="CY30">
            <v>44300</v>
          </cell>
        </row>
        <row r="31">
          <cell r="A31">
            <v>308</v>
          </cell>
          <cell r="B31">
            <v>169348896</v>
          </cell>
          <cell r="C31">
            <v>4980635</v>
          </cell>
          <cell r="D31">
            <v>13237338</v>
          </cell>
          <cell r="E31">
            <v>3773077</v>
          </cell>
          <cell r="F31">
            <v>4872346</v>
          </cell>
          <cell r="G31">
            <v>1300000</v>
          </cell>
          <cell r="H31">
            <v>0</v>
          </cell>
          <cell r="I31">
            <v>2438960</v>
          </cell>
          <cell r="J31">
            <v>152352</v>
          </cell>
          <cell r="K31">
            <v>0</v>
          </cell>
          <cell r="L31">
            <v>260009</v>
          </cell>
          <cell r="M31">
            <v>437786</v>
          </cell>
          <cell r="N31">
            <v>2388306</v>
          </cell>
          <cell r="O31">
            <v>3742978</v>
          </cell>
          <cell r="P31">
            <v>1105869</v>
          </cell>
          <cell r="Q31">
            <v>484661</v>
          </cell>
          <cell r="R31">
            <v>359603</v>
          </cell>
          <cell r="S31">
            <v>0</v>
          </cell>
          <cell r="T31">
            <v>6572008</v>
          </cell>
          <cell r="U31">
            <v>0</v>
          </cell>
          <cell r="V31">
            <v>54371</v>
          </cell>
          <cell r="W31">
            <v>0</v>
          </cell>
          <cell r="X31">
            <v>0</v>
          </cell>
          <cell r="Y31">
            <v>0</v>
          </cell>
          <cell r="Z31">
            <v>0</v>
          </cell>
          <cell r="AA31">
            <v>0</v>
          </cell>
          <cell r="AB31">
            <v>12088</v>
          </cell>
          <cell r="AC31">
            <v>0</v>
          </cell>
          <cell r="AD31">
            <v>868952</v>
          </cell>
          <cell r="AE31">
            <v>45748</v>
          </cell>
          <cell r="AF31">
            <v>247722</v>
          </cell>
          <cell r="AG31">
            <v>187210</v>
          </cell>
          <cell r="AH31">
            <v>7514</v>
          </cell>
          <cell r="AI31">
            <v>374624</v>
          </cell>
          <cell r="AJ31">
            <v>3780059</v>
          </cell>
          <cell r="AK31">
            <v>294810</v>
          </cell>
          <cell r="AL31">
            <v>241511</v>
          </cell>
          <cell r="AM31">
            <v>0</v>
          </cell>
          <cell r="AN31">
            <v>128000</v>
          </cell>
          <cell r="AO31">
            <v>1391283</v>
          </cell>
          <cell r="AP31">
            <v>0</v>
          </cell>
          <cell r="AQ31">
            <v>223088716</v>
          </cell>
          <cell r="AR31">
            <v>3044629</v>
          </cell>
          <cell r="AS31">
            <v>594310</v>
          </cell>
          <cell r="AT31">
            <v>969770</v>
          </cell>
          <cell r="AU31">
            <v>72000</v>
          </cell>
          <cell r="AV31">
            <v>0</v>
          </cell>
          <cell r="AW31">
            <v>0</v>
          </cell>
          <cell r="AX31">
            <v>0</v>
          </cell>
          <cell r="AY31">
            <v>4680709</v>
          </cell>
          <cell r="AZ31">
            <v>291192</v>
          </cell>
          <cell r="BA31">
            <v>237952</v>
          </cell>
          <cell r="BB31">
            <v>31730</v>
          </cell>
          <cell r="BC31">
            <v>0</v>
          </cell>
          <cell r="BD31">
            <v>560874</v>
          </cell>
          <cell r="BE31">
            <v>2596127</v>
          </cell>
          <cell r="BF31">
            <v>654808</v>
          </cell>
          <cell r="BG31">
            <v>8700</v>
          </cell>
          <cell r="BH31">
            <v>0</v>
          </cell>
          <cell r="BI31">
            <v>169287</v>
          </cell>
          <cell r="BJ31">
            <v>98000</v>
          </cell>
          <cell r="BK31">
            <v>3526922</v>
          </cell>
          <cell r="BL31">
            <v>2187067</v>
          </cell>
          <cell r="BM31">
            <v>872869</v>
          </cell>
          <cell r="BN31">
            <v>776970</v>
          </cell>
          <cell r="BO31">
            <v>1057270</v>
          </cell>
          <cell r="BP31">
            <v>0</v>
          </cell>
          <cell r="BQ31">
            <v>0</v>
          </cell>
          <cell r="BR31">
            <v>7813166</v>
          </cell>
          <cell r="BS31">
            <v>92244</v>
          </cell>
          <cell r="BT31">
            <v>87689</v>
          </cell>
          <cell r="BU31">
            <v>12603</v>
          </cell>
          <cell r="BV31">
            <v>258690</v>
          </cell>
          <cell r="BW31">
            <v>4293782</v>
          </cell>
          <cell r="BX31">
            <v>203370</v>
          </cell>
          <cell r="BY31">
            <v>157679</v>
          </cell>
          <cell r="BZ31">
            <v>0</v>
          </cell>
          <cell r="CA31">
            <v>0</v>
          </cell>
          <cell r="CB31">
            <v>18768738</v>
          </cell>
          <cell r="CC31">
            <v>1543560</v>
          </cell>
          <cell r="CD31">
            <v>505102</v>
          </cell>
          <cell r="CE31">
            <v>240524</v>
          </cell>
          <cell r="CF31">
            <v>458072</v>
          </cell>
          <cell r="CG31">
            <v>0</v>
          </cell>
          <cell r="CH31">
            <v>0</v>
          </cell>
          <cell r="CI31">
            <v>2747258</v>
          </cell>
          <cell r="CJ31">
            <v>21515996</v>
          </cell>
          <cell r="CK31">
            <v>244604712</v>
          </cell>
          <cell r="CM31">
            <v>16210471</v>
          </cell>
          <cell r="CN31">
            <v>559782</v>
          </cell>
          <cell r="CO31">
            <v>272952</v>
          </cell>
          <cell r="CP31">
            <v>0</v>
          </cell>
          <cell r="CQ31">
            <v>0</v>
          </cell>
          <cell r="CR31">
            <v>0</v>
          </cell>
          <cell r="CS31">
            <v>548211</v>
          </cell>
          <cell r="CT31">
            <v>0</v>
          </cell>
          <cell r="CV31">
            <v>0</v>
          </cell>
          <cell r="CW31">
            <v>23584000</v>
          </cell>
          <cell r="CX31">
            <v>3090920</v>
          </cell>
          <cell r="CY31">
            <v>14910</v>
          </cell>
        </row>
        <row r="32">
          <cell r="A32">
            <v>309</v>
          </cell>
          <cell r="B32">
            <v>121246500</v>
          </cell>
          <cell r="C32">
            <v>3661359</v>
          </cell>
          <cell r="D32">
            <v>12991923</v>
          </cell>
          <cell r="E32">
            <v>3071644</v>
          </cell>
          <cell r="F32">
            <v>5244883</v>
          </cell>
          <cell r="G32">
            <v>1637000</v>
          </cell>
          <cell r="H32">
            <v>29571</v>
          </cell>
          <cell r="I32">
            <v>1418837</v>
          </cell>
          <cell r="J32">
            <v>601849</v>
          </cell>
          <cell r="K32">
            <v>0</v>
          </cell>
          <cell r="L32">
            <v>0</v>
          </cell>
          <cell r="M32">
            <v>57258</v>
          </cell>
          <cell r="N32">
            <v>1607398</v>
          </cell>
          <cell r="O32">
            <v>4090299</v>
          </cell>
          <cell r="P32">
            <v>2299366</v>
          </cell>
          <cell r="Q32">
            <v>1377828</v>
          </cell>
          <cell r="R32">
            <v>1171893</v>
          </cell>
          <cell r="S32">
            <v>840</v>
          </cell>
          <cell r="T32">
            <v>4943547</v>
          </cell>
          <cell r="U32">
            <v>0</v>
          </cell>
          <cell r="V32">
            <v>101686</v>
          </cell>
          <cell r="W32">
            <v>110000</v>
          </cell>
          <cell r="X32">
            <v>63550</v>
          </cell>
          <cell r="Y32">
            <v>0</v>
          </cell>
          <cell r="Z32">
            <v>0</v>
          </cell>
          <cell r="AA32">
            <v>0</v>
          </cell>
          <cell r="AB32">
            <v>0</v>
          </cell>
          <cell r="AC32">
            <v>0</v>
          </cell>
          <cell r="AD32">
            <v>422943</v>
          </cell>
          <cell r="AE32">
            <v>0</v>
          </cell>
          <cell r="AF32">
            <v>200782</v>
          </cell>
          <cell r="AG32">
            <v>57841</v>
          </cell>
          <cell r="AH32">
            <v>24720</v>
          </cell>
          <cell r="AI32">
            <v>632744</v>
          </cell>
          <cell r="AJ32">
            <v>2078746</v>
          </cell>
          <cell r="AK32">
            <v>0</v>
          </cell>
          <cell r="AL32">
            <v>683869</v>
          </cell>
          <cell r="AM32">
            <v>0</v>
          </cell>
          <cell r="AN32">
            <v>258456</v>
          </cell>
          <cell r="AO32">
            <v>766030</v>
          </cell>
          <cell r="AP32">
            <v>0</v>
          </cell>
          <cell r="AQ32">
            <v>170853362</v>
          </cell>
          <cell r="AR32">
            <v>4629376</v>
          </cell>
          <cell r="AS32">
            <v>104700</v>
          </cell>
          <cell r="AT32">
            <v>1063600</v>
          </cell>
          <cell r="AU32">
            <v>125000</v>
          </cell>
          <cell r="AV32">
            <v>0</v>
          </cell>
          <cell r="AW32">
            <v>0</v>
          </cell>
          <cell r="AX32">
            <v>30703</v>
          </cell>
          <cell r="AY32">
            <v>5953379</v>
          </cell>
          <cell r="AZ32">
            <v>2437540</v>
          </cell>
          <cell r="BA32">
            <v>1776630</v>
          </cell>
          <cell r="BB32">
            <v>126745</v>
          </cell>
          <cell r="BC32">
            <v>30000</v>
          </cell>
          <cell r="BD32">
            <v>4370915</v>
          </cell>
          <cell r="BE32">
            <v>1141609</v>
          </cell>
          <cell r="BF32">
            <v>626173</v>
          </cell>
          <cell r="BG32">
            <v>621210</v>
          </cell>
          <cell r="BH32">
            <v>505500</v>
          </cell>
          <cell r="BI32">
            <v>100700</v>
          </cell>
          <cell r="BJ32">
            <v>0</v>
          </cell>
          <cell r="BK32">
            <v>2995192</v>
          </cell>
          <cell r="BL32">
            <v>4899657</v>
          </cell>
          <cell r="BM32">
            <v>787506</v>
          </cell>
          <cell r="BN32">
            <v>862818</v>
          </cell>
          <cell r="BO32">
            <v>1297240</v>
          </cell>
          <cell r="BP32">
            <v>0</v>
          </cell>
          <cell r="BQ32">
            <v>537905</v>
          </cell>
          <cell r="BR32">
            <v>8527774</v>
          </cell>
          <cell r="BS32">
            <v>33675</v>
          </cell>
          <cell r="BT32">
            <v>42483</v>
          </cell>
          <cell r="BU32">
            <v>164909</v>
          </cell>
          <cell r="BV32">
            <v>45610</v>
          </cell>
          <cell r="BW32">
            <v>4656645</v>
          </cell>
          <cell r="BX32">
            <v>0</v>
          </cell>
          <cell r="BY32">
            <v>98983</v>
          </cell>
          <cell r="BZ32">
            <v>0</v>
          </cell>
          <cell r="CA32">
            <v>0</v>
          </cell>
          <cell r="CB32">
            <v>26746917</v>
          </cell>
          <cell r="CC32">
            <v>2342245</v>
          </cell>
          <cell r="CD32">
            <v>4118516</v>
          </cell>
          <cell r="CE32">
            <v>5000</v>
          </cell>
          <cell r="CF32">
            <v>365342</v>
          </cell>
          <cell r="CG32">
            <v>5067</v>
          </cell>
          <cell r="CH32">
            <v>0</v>
          </cell>
          <cell r="CI32">
            <v>6836170</v>
          </cell>
          <cell r="CJ32">
            <v>33583087</v>
          </cell>
          <cell r="CK32">
            <v>204436449</v>
          </cell>
          <cell r="CM32">
            <v>6746798</v>
          </cell>
          <cell r="CN32">
            <v>966272</v>
          </cell>
          <cell r="CO32">
            <v>0</v>
          </cell>
          <cell r="CP32">
            <v>0</v>
          </cell>
          <cell r="CQ32">
            <v>0</v>
          </cell>
          <cell r="CR32">
            <v>0</v>
          </cell>
          <cell r="CS32">
            <v>384800</v>
          </cell>
          <cell r="CT32">
            <v>0</v>
          </cell>
          <cell r="CV32">
            <v>0</v>
          </cell>
          <cell r="CW32">
            <v>34330001</v>
          </cell>
          <cell r="CX32">
            <v>1297508</v>
          </cell>
          <cell r="CY32">
            <v>1047845</v>
          </cell>
        </row>
        <row r="33">
          <cell r="A33">
            <v>310</v>
          </cell>
          <cell r="B33">
            <v>98241860</v>
          </cell>
          <cell r="C33">
            <v>3178107</v>
          </cell>
          <cell r="D33">
            <v>5473082</v>
          </cell>
          <cell r="E33">
            <v>0</v>
          </cell>
          <cell r="F33">
            <v>2730857</v>
          </cell>
          <cell r="G33">
            <v>0</v>
          </cell>
          <cell r="H33">
            <v>0</v>
          </cell>
          <cell r="I33">
            <v>941908</v>
          </cell>
          <cell r="J33">
            <v>1302965</v>
          </cell>
          <cell r="K33">
            <v>50877</v>
          </cell>
          <cell r="L33">
            <v>0</v>
          </cell>
          <cell r="M33">
            <v>263760</v>
          </cell>
          <cell r="N33">
            <v>1289668</v>
          </cell>
          <cell r="O33">
            <v>3653600</v>
          </cell>
          <cell r="P33">
            <v>765232</v>
          </cell>
          <cell r="Q33">
            <v>131320</v>
          </cell>
          <cell r="R33">
            <v>551004</v>
          </cell>
          <cell r="S33">
            <v>538984</v>
          </cell>
          <cell r="T33">
            <v>3496217</v>
          </cell>
          <cell r="U33">
            <v>0</v>
          </cell>
          <cell r="V33">
            <v>1386</v>
          </cell>
          <cell r="W33">
            <v>0</v>
          </cell>
          <cell r="X33">
            <v>0</v>
          </cell>
          <cell r="Y33">
            <v>0</v>
          </cell>
          <cell r="Z33">
            <v>0</v>
          </cell>
          <cell r="AA33">
            <v>0</v>
          </cell>
          <cell r="AB33">
            <v>0</v>
          </cell>
          <cell r="AC33">
            <v>0</v>
          </cell>
          <cell r="AD33">
            <v>512295</v>
          </cell>
          <cell r="AE33">
            <v>0</v>
          </cell>
          <cell r="AF33">
            <v>40000</v>
          </cell>
          <cell r="AG33">
            <v>0</v>
          </cell>
          <cell r="AH33">
            <v>2140</v>
          </cell>
          <cell r="AI33">
            <v>0</v>
          </cell>
          <cell r="AJ33">
            <v>860070</v>
          </cell>
          <cell r="AK33">
            <v>0</v>
          </cell>
          <cell r="AL33">
            <v>0</v>
          </cell>
          <cell r="AM33">
            <v>0</v>
          </cell>
          <cell r="AN33">
            <v>188760</v>
          </cell>
          <cell r="AO33">
            <v>855898</v>
          </cell>
          <cell r="AP33">
            <v>0</v>
          </cell>
          <cell r="AQ33">
            <v>125069990</v>
          </cell>
          <cell r="AR33">
            <v>7085680</v>
          </cell>
          <cell r="AS33">
            <v>208740</v>
          </cell>
          <cell r="AT33">
            <v>624940</v>
          </cell>
          <cell r="AU33">
            <v>287940</v>
          </cell>
          <cell r="AV33">
            <v>0</v>
          </cell>
          <cell r="AW33">
            <v>0</v>
          </cell>
          <cell r="AX33">
            <v>11486</v>
          </cell>
          <cell r="AY33">
            <v>8218786</v>
          </cell>
          <cell r="AZ33">
            <v>2287520</v>
          </cell>
          <cell r="BA33">
            <v>544060</v>
          </cell>
          <cell r="BB33">
            <v>0</v>
          </cell>
          <cell r="BC33">
            <v>0</v>
          </cell>
          <cell r="BD33">
            <v>2831580</v>
          </cell>
          <cell r="BE33">
            <v>1154697</v>
          </cell>
          <cell r="BF33">
            <v>0</v>
          </cell>
          <cell r="BG33">
            <v>26104</v>
          </cell>
          <cell r="BH33">
            <v>206388</v>
          </cell>
          <cell r="BI33">
            <v>88131</v>
          </cell>
          <cell r="BJ33">
            <v>448200</v>
          </cell>
          <cell r="BK33">
            <v>1923520</v>
          </cell>
          <cell r="BL33">
            <v>1421149</v>
          </cell>
          <cell r="BM33">
            <v>1010546</v>
          </cell>
          <cell r="BN33">
            <v>241226</v>
          </cell>
          <cell r="BO33">
            <v>1181330</v>
          </cell>
          <cell r="BP33">
            <v>0</v>
          </cell>
          <cell r="BQ33">
            <v>0</v>
          </cell>
          <cell r="BR33">
            <v>5406908</v>
          </cell>
          <cell r="BS33">
            <v>0</v>
          </cell>
          <cell r="BT33">
            <v>12970</v>
          </cell>
          <cell r="BU33">
            <v>0</v>
          </cell>
          <cell r="BV33">
            <v>164487</v>
          </cell>
          <cell r="BW33">
            <v>2766931</v>
          </cell>
          <cell r="BX33">
            <v>0</v>
          </cell>
          <cell r="BY33">
            <v>29418</v>
          </cell>
          <cell r="BZ33">
            <v>0</v>
          </cell>
          <cell r="CA33">
            <v>371830</v>
          </cell>
          <cell r="CB33">
            <v>20173773</v>
          </cell>
          <cell r="CC33">
            <v>2650494</v>
          </cell>
          <cell r="CD33">
            <v>757137</v>
          </cell>
          <cell r="CE33">
            <v>743414</v>
          </cell>
          <cell r="CF33">
            <v>249634</v>
          </cell>
          <cell r="CG33">
            <v>64541</v>
          </cell>
          <cell r="CH33">
            <v>0</v>
          </cell>
          <cell r="CI33">
            <v>4465220</v>
          </cell>
          <cell r="CJ33">
            <v>24638993</v>
          </cell>
          <cell r="CK33">
            <v>149708983</v>
          </cell>
          <cell r="CM33">
            <v>0</v>
          </cell>
          <cell r="CN33">
            <v>342020</v>
          </cell>
          <cell r="CO33">
            <v>0</v>
          </cell>
          <cell r="CP33">
            <v>0</v>
          </cell>
          <cell r="CQ33">
            <v>0</v>
          </cell>
          <cell r="CR33">
            <v>0</v>
          </cell>
          <cell r="CS33">
            <v>329110</v>
          </cell>
          <cell r="CT33">
            <v>0</v>
          </cell>
          <cell r="CV33">
            <v>0</v>
          </cell>
          <cell r="CW33">
            <v>3442200</v>
          </cell>
          <cell r="CX33">
            <v>1603484</v>
          </cell>
          <cell r="CY33">
            <v>0</v>
          </cell>
        </row>
        <row r="34">
          <cell r="A34">
            <v>311</v>
          </cell>
          <cell r="B34">
            <v>119431365</v>
          </cell>
          <cell r="C34">
            <v>4126609</v>
          </cell>
          <cell r="D34">
            <v>7874667</v>
          </cell>
          <cell r="E34">
            <v>1030718</v>
          </cell>
          <cell r="F34">
            <v>3794452</v>
          </cell>
          <cell r="G34">
            <v>811000</v>
          </cell>
          <cell r="H34">
            <v>0</v>
          </cell>
          <cell r="I34">
            <v>304920</v>
          </cell>
          <cell r="J34">
            <v>0</v>
          </cell>
          <cell r="K34">
            <v>193525</v>
          </cell>
          <cell r="L34">
            <v>308715</v>
          </cell>
          <cell r="M34">
            <v>98220</v>
          </cell>
          <cell r="N34">
            <v>495650</v>
          </cell>
          <cell r="O34">
            <v>1136740</v>
          </cell>
          <cell r="P34">
            <v>949380</v>
          </cell>
          <cell r="Q34">
            <v>787300</v>
          </cell>
          <cell r="R34">
            <v>70400</v>
          </cell>
          <cell r="S34">
            <v>0</v>
          </cell>
          <cell r="T34">
            <v>6250550</v>
          </cell>
          <cell r="U34">
            <v>636630</v>
          </cell>
          <cell r="V34">
            <v>31090</v>
          </cell>
          <cell r="W34">
            <v>155510</v>
          </cell>
          <cell r="X34">
            <v>0</v>
          </cell>
          <cell r="Y34">
            <v>0</v>
          </cell>
          <cell r="Z34">
            <v>938240</v>
          </cell>
          <cell r="AA34">
            <v>0</v>
          </cell>
          <cell r="AB34">
            <v>0</v>
          </cell>
          <cell r="AC34">
            <v>49290</v>
          </cell>
          <cell r="AD34">
            <v>163900</v>
          </cell>
          <cell r="AE34">
            <v>54900</v>
          </cell>
          <cell r="AF34">
            <v>25000</v>
          </cell>
          <cell r="AG34">
            <v>82890</v>
          </cell>
          <cell r="AH34">
            <v>21070</v>
          </cell>
          <cell r="AI34">
            <v>289570</v>
          </cell>
          <cell r="AJ34">
            <v>476321</v>
          </cell>
          <cell r="AK34">
            <v>36125</v>
          </cell>
          <cell r="AL34">
            <v>49000</v>
          </cell>
          <cell r="AM34">
            <v>0</v>
          </cell>
          <cell r="AN34">
            <v>54859</v>
          </cell>
          <cell r="AO34">
            <v>698510</v>
          </cell>
          <cell r="AP34">
            <v>0</v>
          </cell>
          <cell r="AQ34">
            <v>151427116</v>
          </cell>
          <cell r="AR34">
            <v>2445337</v>
          </cell>
          <cell r="AS34">
            <v>146710</v>
          </cell>
          <cell r="AT34">
            <v>331590</v>
          </cell>
          <cell r="AU34">
            <v>15040</v>
          </cell>
          <cell r="AV34">
            <v>0</v>
          </cell>
          <cell r="AW34">
            <v>0</v>
          </cell>
          <cell r="AX34">
            <v>31000</v>
          </cell>
          <cell r="AY34">
            <v>2969677</v>
          </cell>
          <cell r="AZ34">
            <v>1293540</v>
          </cell>
          <cell r="BA34">
            <v>0</v>
          </cell>
          <cell r="BB34">
            <v>24814</v>
          </cell>
          <cell r="BC34">
            <v>0</v>
          </cell>
          <cell r="BD34">
            <v>1318354</v>
          </cell>
          <cell r="BE34">
            <v>806160</v>
          </cell>
          <cell r="BF34">
            <v>348170</v>
          </cell>
          <cell r="BG34">
            <v>51480</v>
          </cell>
          <cell r="BH34">
            <v>0</v>
          </cell>
          <cell r="BI34">
            <v>63350</v>
          </cell>
          <cell r="BJ34">
            <v>0</v>
          </cell>
          <cell r="BK34">
            <v>1269160</v>
          </cell>
          <cell r="BL34">
            <v>1487590</v>
          </cell>
          <cell r="BM34">
            <v>573545</v>
          </cell>
          <cell r="BN34">
            <v>424650</v>
          </cell>
          <cell r="BO34">
            <v>396190</v>
          </cell>
          <cell r="BP34">
            <v>0</v>
          </cell>
          <cell r="BQ34">
            <v>0</v>
          </cell>
          <cell r="BR34">
            <v>3180433</v>
          </cell>
          <cell r="BS34">
            <v>171815</v>
          </cell>
          <cell r="BT34">
            <v>30893</v>
          </cell>
          <cell r="BU34">
            <v>6240</v>
          </cell>
          <cell r="BV34">
            <v>112760</v>
          </cell>
          <cell r="BW34">
            <v>1151500</v>
          </cell>
          <cell r="BX34">
            <v>137700</v>
          </cell>
          <cell r="BY34">
            <v>175140</v>
          </cell>
          <cell r="BZ34">
            <v>0</v>
          </cell>
          <cell r="CA34">
            <v>227568</v>
          </cell>
          <cell r="CB34">
            <v>10452782</v>
          </cell>
          <cell r="CC34">
            <v>2067850</v>
          </cell>
          <cell r="CD34">
            <v>2879540</v>
          </cell>
          <cell r="CE34">
            <v>3640</v>
          </cell>
          <cell r="CF34">
            <v>275290</v>
          </cell>
          <cell r="CG34">
            <v>0</v>
          </cell>
          <cell r="CH34">
            <v>0</v>
          </cell>
          <cell r="CI34">
            <v>5226320</v>
          </cell>
          <cell r="CJ34">
            <v>15679102</v>
          </cell>
          <cell r="CK34">
            <v>167106218</v>
          </cell>
          <cell r="CM34">
            <v>5469140</v>
          </cell>
          <cell r="CN34">
            <v>230320</v>
          </cell>
          <cell r="CO34">
            <v>0</v>
          </cell>
          <cell r="CP34">
            <v>0</v>
          </cell>
          <cell r="CQ34">
            <v>0</v>
          </cell>
          <cell r="CR34">
            <v>0</v>
          </cell>
          <cell r="CS34">
            <v>269540</v>
          </cell>
          <cell r="CT34">
            <v>0</v>
          </cell>
          <cell r="CV34">
            <v>0</v>
          </cell>
          <cell r="CW34">
            <v>11599439</v>
          </cell>
          <cell r="CX34">
            <v>2573519</v>
          </cell>
          <cell r="CY34">
            <v>0</v>
          </cell>
        </row>
        <row r="35">
          <cell r="A35">
            <v>312</v>
          </cell>
          <cell r="B35">
            <v>142545725</v>
          </cell>
          <cell r="C35">
            <v>4361378</v>
          </cell>
          <cell r="D35">
            <v>8725617</v>
          </cell>
          <cell r="E35">
            <v>1605094</v>
          </cell>
          <cell r="F35">
            <v>3081691</v>
          </cell>
          <cell r="G35">
            <v>0</v>
          </cell>
          <cell r="H35">
            <v>0</v>
          </cell>
          <cell r="I35">
            <v>1110200</v>
          </cell>
          <cell r="J35">
            <v>516360</v>
          </cell>
          <cell r="K35">
            <v>0</v>
          </cell>
          <cell r="L35">
            <v>0</v>
          </cell>
          <cell r="M35">
            <v>0</v>
          </cell>
          <cell r="N35">
            <v>1247150</v>
          </cell>
          <cell r="O35">
            <v>4229210</v>
          </cell>
          <cell r="P35">
            <v>73323</v>
          </cell>
          <cell r="Q35">
            <v>195071</v>
          </cell>
          <cell r="R35">
            <v>137475</v>
          </cell>
          <cell r="S35">
            <v>21798</v>
          </cell>
          <cell r="T35">
            <v>3267624</v>
          </cell>
          <cell r="U35">
            <v>0</v>
          </cell>
          <cell r="V35">
            <v>0</v>
          </cell>
          <cell r="W35">
            <v>0</v>
          </cell>
          <cell r="X35">
            <v>0</v>
          </cell>
          <cell r="Y35">
            <v>0</v>
          </cell>
          <cell r="Z35">
            <v>0</v>
          </cell>
          <cell r="AA35">
            <v>481279</v>
          </cell>
          <cell r="AB35">
            <v>0</v>
          </cell>
          <cell r="AC35">
            <v>156706</v>
          </cell>
          <cell r="AD35">
            <v>187443</v>
          </cell>
          <cell r="AE35">
            <v>50000</v>
          </cell>
          <cell r="AF35">
            <v>0</v>
          </cell>
          <cell r="AG35">
            <v>199760</v>
          </cell>
          <cell r="AH35">
            <v>5000</v>
          </cell>
          <cell r="AI35">
            <v>243990</v>
          </cell>
          <cell r="AJ35">
            <v>1717761</v>
          </cell>
          <cell r="AK35">
            <v>1845555</v>
          </cell>
          <cell r="AL35">
            <v>0</v>
          </cell>
          <cell r="AM35">
            <v>0</v>
          </cell>
          <cell r="AN35">
            <v>85673</v>
          </cell>
          <cell r="AO35">
            <v>5006588</v>
          </cell>
          <cell r="AP35">
            <v>0</v>
          </cell>
          <cell r="AQ35">
            <v>181097471</v>
          </cell>
          <cell r="AR35">
            <v>1788266</v>
          </cell>
          <cell r="AS35">
            <v>1280080</v>
          </cell>
          <cell r="AT35">
            <v>0</v>
          </cell>
          <cell r="AU35">
            <v>23270</v>
          </cell>
          <cell r="AV35">
            <v>0</v>
          </cell>
          <cell r="AW35">
            <v>0</v>
          </cell>
          <cell r="AX35">
            <v>0</v>
          </cell>
          <cell r="AY35">
            <v>3091616</v>
          </cell>
          <cell r="AZ35">
            <v>1630067</v>
          </cell>
          <cell r="BA35">
            <v>2982895</v>
          </cell>
          <cell r="BB35">
            <v>83621</v>
          </cell>
          <cell r="BC35">
            <v>0</v>
          </cell>
          <cell r="BD35">
            <v>4696583</v>
          </cell>
          <cell r="BE35">
            <v>686090</v>
          </cell>
          <cell r="BF35">
            <v>478575</v>
          </cell>
          <cell r="BG35">
            <v>13100</v>
          </cell>
          <cell r="BH35">
            <v>150980</v>
          </cell>
          <cell r="BI35">
            <v>97270</v>
          </cell>
          <cell r="BJ35">
            <v>0</v>
          </cell>
          <cell r="BK35">
            <v>1426015</v>
          </cell>
          <cell r="BL35">
            <v>2994630</v>
          </cell>
          <cell r="BM35">
            <v>495490</v>
          </cell>
          <cell r="BN35">
            <v>409360</v>
          </cell>
          <cell r="BO35">
            <v>370010</v>
          </cell>
          <cell r="BP35">
            <v>0</v>
          </cell>
          <cell r="BQ35">
            <v>0</v>
          </cell>
          <cell r="BR35">
            <v>5604620</v>
          </cell>
          <cell r="BS35">
            <v>65000</v>
          </cell>
          <cell r="BT35">
            <v>100050</v>
          </cell>
          <cell r="BU35">
            <v>0</v>
          </cell>
          <cell r="BV35">
            <v>119585</v>
          </cell>
          <cell r="BW35">
            <v>3431740</v>
          </cell>
          <cell r="BX35">
            <v>548385</v>
          </cell>
          <cell r="BY35">
            <v>65000</v>
          </cell>
          <cell r="BZ35">
            <v>0</v>
          </cell>
          <cell r="CA35">
            <v>504067</v>
          </cell>
          <cell r="CB35">
            <v>18317531</v>
          </cell>
          <cell r="CC35">
            <v>7561769</v>
          </cell>
          <cell r="CD35">
            <v>2526165</v>
          </cell>
          <cell r="CE35">
            <v>0</v>
          </cell>
          <cell r="CF35">
            <v>227652</v>
          </cell>
          <cell r="CG35">
            <v>0</v>
          </cell>
          <cell r="CH35">
            <v>0</v>
          </cell>
          <cell r="CI35">
            <v>10315586</v>
          </cell>
          <cell r="CJ35">
            <v>28633117</v>
          </cell>
          <cell r="CK35">
            <v>209730588</v>
          </cell>
          <cell r="CM35">
            <v>14521590</v>
          </cell>
          <cell r="CN35">
            <v>860520</v>
          </cell>
          <cell r="CO35">
            <v>0</v>
          </cell>
          <cell r="CP35">
            <v>0</v>
          </cell>
          <cell r="CQ35">
            <v>0</v>
          </cell>
          <cell r="CR35">
            <v>0</v>
          </cell>
          <cell r="CS35">
            <v>609674</v>
          </cell>
          <cell r="CT35">
            <v>0</v>
          </cell>
          <cell r="CV35">
            <v>0</v>
          </cell>
          <cell r="CW35">
            <v>0</v>
          </cell>
          <cell r="CX35">
            <v>1768102</v>
          </cell>
          <cell r="CY35">
            <v>504067</v>
          </cell>
        </row>
        <row r="36">
          <cell r="A36">
            <v>313</v>
          </cell>
          <cell r="B36">
            <v>124454142</v>
          </cell>
          <cell r="C36">
            <v>3742837</v>
          </cell>
          <cell r="D36">
            <v>9686460</v>
          </cell>
          <cell r="E36">
            <v>2798208</v>
          </cell>
          <cell r="F36">
            <v>3064056</v>
          </cell>
          <cell r="G36">
            <v>0</v>
          </cell>
          <cell r="H36">
            <v>0</v>
          </cell>
          <cell r="I36">
            <v>375444</v>
          </cell>
          <cell r="J36">
            <v>0</v>
          </cell>
          <cell r="K36">
            <v>337192</v>
          </cell>
          <cell r="L36">
            <v>386020</v>
          </cell>
          <cell r="M36">
            <v>56129</v>
          </cell>
          <cell r="N36">
            <v>1707769</v>
          </cell>
          <cell r="O36">
            <v>3853900</v>
          </cell>
          <cell r="P36">
            <v>1061435</v>
          </cell>
          <cell r="Q36">
            <v>288424</v>
          </cell>
          <cell r="R36">
            <v>314376</v>
          </cell>
          <cell r="S36">
            <v>0</v>
          </cell>
          <cell r="T36">
            <v>1511284</v>
          </cell>
          <cell r="U36">
            <v>3412535</v>
          </cell>
          <cell r="V36">
            <v>50255</v>
          </cell>
          <cell r="W36">
            <v>189300</v>
          </cell>
          <cell r="X36">
            <v>98400</v>
          </cell>
          <cell r="Y36">
            <v>0</v>
          </cell>
          <cell r="Z36">
            <v>0</v>
          </cell>
          <cell r="AA36">
            <v>0</v>
          </cell>
          <cell r="AB36">
            <v>0</v>
          </cell>
          <cell r="AC36">
            <v>2300</v>
          </cell>
          <cell r="AD36">
            <v>241399</v>
          </cell>
          <cell r="AE36">
            <v>0</v>
          </cell>
          <cell r="AF36">
            <v>109500</v>
          </cell>
          <cell r="AG36">
            <v>65600</v>
          </cell>
          <cell r="AH36">
            <v>41950</v>
          </cell>
          <cell r="AI36">
            <v>459800</v>
          </cell>
          <cell r="AJ36">
            <v>4338619</v>
          </cell>
          <cell r="AK36">
            <v>0</v>
          </cell>
          <cell r="AL36">
            <v>457921</v>
          </cell>
          <cell r="AM36">
            <v>0</v>
          </cell>
          <cell r="AN36">
            <v>346735</v>
          </cell>
          <cell r="AO36">
            <v>794237</v>
          </cell>
          <cell r="AP36">
            <v>0</v>
          </cell>
          <cell r="AQ36">
            <v>164246227</v>
          </cell>
          <cell r="AR36">
            <v>2744224</v>
          </cell>
          <cell r="AS36">
            <v>100200</v>
          </cell>
          <cell r="AT36">
            <v>447200</v>
          </cell>
          <cell r="AU36">
            <v>265100</v>
          </cell>
          <cell r="AV36">
            <v>0</v>
          </cell>
          <cell r="AW36">
            <v>0</v>
          </cell>
          <cell r="AX36">
            <v>13077</v>
          </cell>
          <cell r="AY36">
            <v>3569801</v>
          </cell>
          <cell r="AZ36">
            <v>813207</v>
          </cell>
          <cell r="BA36">
            <v>0</v>
          </cell>
          <cell r="BB36">
            <v>159765</v>
          </cell>
          <cell r="BC36">
            <v>0</v>
          </cell>
          <cell r="BD36">
            <v>972972</v>
          </cell>
          <cell r="BE36">
            <v>712171</v>
          </cell>
          <cell r="BF36">
            <v>527122</v>
          </cell>
          <cell r="BG36">
            <v>89317</v>
          </cell>
          <cell r="BH36">
            <v>59400</v>
          </cell>
          <cell r="BI36">
            <v>69625</v>
          </cell>
          <cell r="BJ36">
            <v>63480</v>
          </cell>
          <cell r="BK36">
            <v>1521115</v>
          </cell>
          <cell r="BL36">
            <v>3452546</v>
          </cell>
          <cell r="BM36">
            <v>889621</v>
          </cell>
          <cell r="BN36">
            <v>428243</v>
          </cell>
          <cell r="BO36">
            <v>420923</v>
          </cell>
          <cell r="BP36">
            <v>11273</v>
          </cell>
          <cell r="BQ36">
            <v>7215</v>
          </cell>
          <cell r="BR36">
            <v>4805241</v>
          </cell>
          <cell r="BS36">
            <v>118542</v>
          </cell>
          <cell r="BT36">
            <v>75036</v>
          </cell>
          <cell r="BU36">
            <v>80934</v>
          </cell>
          <cell r="BV36">
            <v>208226</v>
          </cell>
          <cell r="BW36">
            <v>2376941</v>
          </cell>
          <cell r="BX36">
            <v>75587</v>
          </cell>
          <cell r="BY36">
            <v>112700</v>
          </cell>
          <cell r="BZ36">
            <v>0</v>
          </cell>
          <cell r="CA36">
            <v>0</v>
          </cell>
          <cell r="CB36">
            <v>14321675</v>
          </cell>
          <cell r="CC36">
            <v>2624474</v>
          </cell>
          <cell r="CD36">
            <v>5567750</v>
          </cell>
          <cell r="CE36">
            <v>178742</v>
          </cell>
          <cell r="CF36">
            <v>355360</v>
          </cell>
          <cell r="CG36">
            <v>172042</v>
          </cell>
          <cell r="CH36">
            <v>0</v>
          </cell>
          <cell r="CI36">
            <v>8898368</v>
          </cell>
          <cell r="CJ36">
            <v>23220043</v>
          </cell>
          <cell r="CK36">
            <v>187466270</v>
          </cell>
          <cell r="CM36">
            <v>15236553</v>
          </cell>
          <cell r="CN36">
            <v>313000</v>
          </cell>
          <cell r="CO36">
            <v>0</v>
          </cell>
          <cell r="CP36">
            <v>0</v>
          </cell>
          <cell r="CQ36">
            <v>0</v>
          </cell>
          <cell r="CR36">
            <v>0</v>
          </cell>
          <cell r="CS36">
            <v>556700</v>
          </cell>
          <cell r="CT36">
            <v>0</v>
          </cell>
          <cell r="CV36">
            <v>0</v>
          </cell>
          <cell r="CW36">
            <v>4614808</v>
          </cell>
          <cell r="CX36">
            <v>1903837</v>
          </cell>
          <cell r="CY36">
            <v>514909</v>
          </cell>
        </row>
        <row r="37">
          <cell r="A37">
            <v>314</v>
          </cell>
          <cell r="B37">
            <v>71982143</v>
          </cell>
          <cell r="C37">
            <v>2459677</v>
          </cell>
          <cell r="D37">
            <v>4336908</v>
          </cell>
          <cell r="E37">
            <v>0</v>
          </cell>
          <cell r="F37">
            <v>1894519</v>
          </cell>
          <cell r="G37">
            <v>0</v>
          </cell>
          <cell r="H37">
            <v>178300</v>
          </cell>
          <cell r="I37">
            <v>653676</v>
          </cell>
          <cell r="J37">
            <v>277066</v>
          </cell>
          <cell r="K37">
            <v>0</v>
          </cell>
          <cell r="L37">
            <v>44172</v>
          </cell>
          <cell r="M37">
            <v>17783</v>
          </cell>
          <cell r="N37">
            <v>1042000</v>
          </cell>
          <cell r="O37">
            <v>3211700</v>
          </cell>
          <cell r="P37">
            <v>410130</v>
          </cell>
          <cell r="Q37">
            <v>158682</v>
          </cell>
          <cell r="R37">
            <v>145371</v>
          </cell>
          <cell r="S37">
            <v>0</v>
          </cell>
          <cell r="T37">
            <v>1176065</v>
          </cell>
          <cell r="U37">
            <v>85398</v>
          </cell>
          <cell r="V37">
            <v>21724</v>
          </cell>
          <cell r="W37">
            <v>731</v>
          </cell>
          <cell r="X37">
            <v>5560</v>
          </cell>
          <cell r="Y37">
            <v>0</v>
          </cell>
          <cell r="Z37">
            <v>0</v>
          </cell>
          <cell r="AA37">
            <v>0</v>
          </cell>
          <cell r="AB37">
            <v>0</v>
          </cell>
          <cell r="AC37">
            <v>0</v>
          </cell>
          <cell r="AD37">
            <v>201480</v>
          </cell>
          <cell r="AE37">
            <v>0</v>
          </cell>
          <cell r="AF37">
            <v>353600</v>
          </cell>
          <cell r="AG37">
            <v>0</v>
          </cell>
          <cell r="AH37">
            <v>34206</v>
          </cell>
          <cell r="AI37">
            <v>0</v>
          </cell>
          <cell r="AJ37">
            <v>318779</v>
          </cell>
          <cell r="AK37">
            <v>0</v>
          </cell>
          <cell r="AL37">
            <v>0</v>
          </cell>
          <cell r="AM37">
            <v>0</v>
          </cell>
          <cell r="AN37">
            <v>55883</v>
          </cell>
          <cell r="AO37">
            <v>869550</v>
          </cell>
          <cell r="AP37">
            <v>0</v>
          </cell>
          <cell r="AQ37">
            <v>89935103</v>
          </cell>
          <cell r="AR37">
            <v>1733811</v>
          </cell>
          <cell r="AS37">
            <v>82946</v>
          </cell>
          <cell r="AT37">
            <v>526600</v>
          </cell>
          <cell r="AU37">
            <v>52780</v>
          </cell>
          <cell r="AV37">
            <v>0</v>
          </cell>
          <cell r="AW37">
            <v>0</v>
          </cell>
          <cell r="AX37">
            <v>17238</v>
          </cell>
          <cell r="AY37">
            <v>2413375</v>
          </cell>
          <cell r="AZ37">
            <v>1110251</v>
          </cell>
          <cell r="BA37">
            <v>53916</v>
          </cell>
          <cell r="BB37">
            <v>3650</v>
          </cell>
          <cell r="BC37">
            <v>0</v>
          </cell>
          <cell r="BD37">
            <v>1167817</v>
          </cell>
          <cell r="BE37">
            <v>591681</v>
          </cell>
          <cell r="BF37">
            <v>129253</v>
          </cell>
          <cell r="BG37">
            <v>62299</v>
          </cell>
          <cell r="BH37">
            <v>381490</v>
          </cell>
          <cell r="BI37">
            <v>45966</v>
          </cell>
          <cell r="BJ37">
            <v>191179</v>
          </cell>
          <cell r="BK37">
            <v>1401868</v>
          </cell>
          <cell r="BL37">
            <v>835656</v>
          </cell>
          <cell r="BM37">
            <v>156400</v>
          </cell>
          <cell r="BN37">
            <v>232404</v>
          </cell>
          <cell r="BO37">
            <v>459592</v>
          </cell>
          <cell r="BP37">
            <v>0</v>
          </cell>
          <cell r="BQ37">
            <v>862</v>
          </cell>
          <cell r="BR37">
            <v>3292448</v>
          </cell>
          <cell r="BS37">
            <v>264518</v>
          </cell>
          <cell r="BT37">
            <v>60423</v>
          </cell>
          <cell r="BU37">
            <v>42616</v>
          </cell>
          <cell r="BV37">
            <v>14424</v>
          </cell>
          <cell r="BW37">
            <v>2008057</v>
          </cell>
          <cell r="BX37">
            <v>41911</v>
          </cell>
          <cell r="BY37">
            <v>4480</v>
          </cell>
          <cell r="BZ37">
            <v>6761</v>
          </cell>
          <cell r="CA37">
            <v>0</v>
          </cell>
          <cell r="CB37">
            <v>9111164</v>
          </cell>
          <cell r="CC37">
            <v>1454486</v>
          </cell>
          <cell r="CD37">
            <v>3193795</v>
          </cell>
          <cell r="CE37">
            <v>0</v>
          </cell>
          <cell r="CF37">
            <v>200429</v>
          </cell>
          <cell r="CG37">
            <v>0</v>
          </cell>
          <cell r="CH37">
            <v>0</v>
          </cell>
          <cell r="CI37">
            <v>4848710</v>
          </cell>
          <cell r="CJ37">
            <v>13959874</v>
          </cell>
          <cell r="CK37">
            <v>103894977</v>
          </cell>
          <cell r="CM37">
            <v>10624800</v>
          </cell>
          <cell r="CN37">
            <v>195474</v>
          </cell>
          <cell r="CO37">
            <v>128756</v>
          </cell>
          <cell r="CP37">
            <v>0</v>
          </cell>
          <cell r="CQ37">
            <v>0</v>
          </cell>
          <cell r="CR37">
            <v>0</v>
          </cell>
          <cell r="CS37">
            <v>382870</v>
          </cell>
          <cell r="CT37">
            <v>0</v>
          </cell>
          <cell r="CV37">
            <v>0</v>
          </cell>
          <cell r="CW37">
            <v>11705000</v>
          </cell>
          <cell r="CX37">
            <v>1156222</v>
          </cell>
          <cell r="CY37">
            <v>308523</v>
          </cell>
        </row>
        <row r="38">
          <cell r="A38">
            <v>315</v>
          </cell>
          <cell r="B38">
            <v>75420690</v>
          </cell>
          <cell r="C38">
            <v>2902407</v>
          </cell>
          <cell r="D38">
            <v>4764240</v>
          </cell>
          <cell r="E38">
            <v>0</v>
          </cell>
          <cell r="F38">
            <v>2730215</v>
          </cell>
          <cell r="G38">
            <v>0</v>
          </cell>
          <cell r="H38">
            <v>0</v>
          </cell>
          <cell r="I38">
            <v>281424</v>
          </cell>
          <cell r="J38">
            <v>0</v>
          </cell>
          <cell r="K38">
            <v>0</v>
          </cell>
          <cell r="L38">
            <v>173580</v>
          </cell>
          <cell r="M38">
            <v>438690</v>
          </cell>
          <cell r="N38">
            <v>1582999</v>
          </cell>
          <cell r="O38">
            <v>3833440</v>
          </cell>
          <cell r="P38">
            <v>1040457</v>
          </cell>
          <cell r="Q38">
            <v>114137</v>
          </cell>
          <cell r="R38">
            <v>177250</v>
          </cell>
          <cell r="S38">
            <v>0</v>
          </cell>
          <cell r="T38">
            <v>2803298</v>
          </cell>
          <cell r="U38">
            <v>0</v>
          </cell>
          <cell r="V38">
            <v>8608</v>
          </cell>
          <cell r="W38">
            <v>104770</v>
          </cell>
          <cell r="X38">
            <v>20000</v>
          </cell>
          <cell r="Y38">
            <v>0</v>
          </cell>
          <cell r="Z38">
            <v>0</v>
          </cell>
          <cell r="AA38">
            <v>0</v>
          </cell>
          <cell r="AB38">
            <v>0</v>
          </cell>
          <cell r="AC38">
            <v>0</v>
          </cell>
          <cell r="AD38">
            <v>350242</v>
          </cell>
          <cell r="AE38">
            <v>34900</v>
          </cell>
          <cell r="AF38">
            <v>381000</v>
          </cell>
          <cell r="AG38">
            <v>0</v>
          </cell>
          <cell r="AH38">
            <v>12200</v>
          </cell>
          <cell r="AI38">
            <v>502350</v>
          </cell>
          <cell r="AJ38">
            <v>0</v>
          </cell>
          <cell r="AK38">
            <v>0</v>
          </cell>
          <cell r="AL38">
            <v>0</v>
          </cell>
          <cell r="AM38">
            <v>0</v>
          </cell>
          <cell r="AN38">
            <v>142492</v>
          </cell>
          <cell r="AO38">
            <v>1528590</v>
          </cell>
          <cell r="AP38">
            <v>0</v>
          </cell>
          <cell r="AQ38">
            <v>99347979</v>
          </cell>
          <cell r="AR38">
            <v>1573630</v>
          </cell>
          <cell r="AS38">
            <v>738383</v>
          </cell>
          <cell r="AT38">
            <v>1402577</v>
          </cell>
          <cell r="AU38">
            <v>0</v>
          </cell>
          <cell r="AV38">
            <v>0</v>
          </cell>
          <cell r="AW38">
            <v>0</v>
          </cell>
          <cell r="AX38">
            <v>10139</v>
          </cell>
          <cell r="AY38">
            <v>3724729</v>
          </cell>
          <cell r="AZ38">
            <v>2112150</v>
          </cell>
          <cell r="BA38">
            <v>0</v>
          </cell>
          <cell r="BB38">
            <v>57890</v>
          </cell>
          <cell r="BC38">
            <v>0</v>
          </cell>
          <cell r="BD38">
            <v>2170040</v>
          </cell>
          <cell r="BE38">
            <v>597200</v>
          </cell>
          <cell r="BF38">
            <v>370482</v>
          </cell>
          <cell r="BG38">
            <v>26188</v>
          </cell>
          <cell r="BH38">
            <v>0</v>
          </cell>
          <cell r="BI38">
            <v>111690</v>
          </cell>
          <cell r="BJ38">
            <v>218172</v>
          </cell>
          <cell r="BK38">
            <v>1323732</v>
          </cell>
          <cell r="BL38">
            <v>589635</v>
          </cell>
          <cell r="BM38">
            <v>1483850</v>
          </cell>
          <cell r="BN38">
            <v>370540</v>
          </cell>
          <cell r="BO38">
            <v>66000</v>
          </cell>
          <cell r="BP38">
            <v>0</v>
          </cell>
          <cell r="BQ38">
            <v>0</v>
          </cell>
          <cell r="BR38">
            <v>3626008</v>
          </cell>
          <cell r="BS38">
            <v>30416</v>
          </cell>
          <cell r="BT38">
            <v>26188</v>
          </cell>
          <cell r="BU38">
            <v>28182</v>
          </cell>
          <cell r="BV38">
            <v>32942</v>
          </cell>
          <cell r="BW38">
            <v>1471510</v>
          </cell>
          <cell r="BX38">
            <v>29400</v>
          </cell>
          <cell r="BY38">
            <v>86980</v>
          </cell>
          <cell r="BZ38">
            <v>0</v>
          </cell>
          <cell r="CA38">
            <v>32080</v>
          </cell>
          <cell r="CB38">
            <v>11466224</v>
          </cell>
          <cell r="CC38">
            <v>859468</v>
          </cell>
          <cell r="CD38">
            <v>2690940</v>
          </cell>
          <cell r="CE38">
            <v>10000</v>
          </cell>
          <cell r="CF38">
            <v>159060</v>
          </cell>
          <cell r="CG38">
            <v>0</v>
          </cell>
          <cell r="CH38">
            <v>0</v>
          </cell>
          <cell r="CI38">
            <v>3719468</v>
          </cell>
          <cell r="CJ38">
            <v>15185692</v>
          </cell>
          <cell r="CK38">
            <v>114533671</v>
          </cell>
          <cell r="CM38">
            <v>3149740</v>
          </cell>
          <cell r="CN38">
            <v>241280</v>
          </cell>
          <cell r="CO38">
            <v>0</v>
          </cell>
          <cell r="CP38">
            <v>0</v>
          </cell>
          <cell r="CQ38">
            <v>0</v>
          </cell>
          <cell r="CR38">
            <v>0</v>
          </cell>
          <cell r="CS38">
            <v>376240</v>
          </cell>
          <cell r="CT38">
            <v>0</v>
          </cell>
          <cell r="CV38">
            <v>0</v>
          </cell>
          <cell r="CW38">
            <v>0</v>
          </cell>
          <cell r="CX38">
            <v>1528590</v>
          </cell>
          <cell r="CY38">
            <v>32080</v>
          </cell>
        </row>
        <row r="39">
          <cell r="A39">
            <v>316</v>
          </cell>
          <cell r="B39">
            <v>179007775</v>
          </cell>
          <cell r="C39">
            <v>4948452</v>
          </cell>
          <cell r="D39">
            <v>18592474</v>
          </cell>
          <cell r="E39">
            <v>4924805</v>
          </cell>
          <cell r="F39">
            <v>5208635</v>
          </cell>
          <cell r="G39">
            <v>863000</v>
          </cell>
          <cell r="H39">
            <v>0</v>
          </cell>
          <cell r="I39">
            <v>510933</v>
          </cell>
          <cell r="J39">
            <v>3161984</v>
          </cell>
          <cell r="K39">
            <v>0</v>
          </cell>
          <cell r="L39">
            <v>0</v>
          </cell>
          <cell r="M39">
            <v>176710</v>
          </cell>
          <cell r="N39">
            <v>2239180</v>
          </cell>
          <cell r="O39">
            <v>2575907</v>
          </cell>
          <cell r="P39">
            <v>3304968</v>
          </cell>
          <cell r="Q39">
            <v>466116</v>
          </cell>
          <cell r="R39">
            <v>435000</v>
          </cell>
          <cell r="S39">
            <v>643555</v>
          </cell>
          <cell r="T39">
            <v>3154815</v>
          </cell>
          <cell r="U39">
            <v>78000</v>
          </cell>
          <cell r="V39">
            <v>100000</v>
          </cell>
          <cell r="W39">
            <v>146400</v>
          </cell>
          <cell r="X39">
            <v>139400</v>
          </cell>
          <cell r="Y39">
            <v>0</v>
          </cell>
          <cell r="Z39">
            <v>0</v>
          </cell>
          <cell r="AA39">
            <v>0</v>
          </cell>
          <cell r="AB39">
            <v>0</v>
          </cell>
          <cell r="AC39">
            <v>0</v>
          </cell>
          <cell r="AD39">
            <v>376200</v>
          </cell>
          <cell r="AE39">
            <v>0</v>
          </cell>
          <cell r="AF39">
            <v>1251614</v>
          </cell>
          <cell r="AG39">
            <v>155664</v>
          </cell>
          <cell r="AH39">
            <v>60000</v>
          </cell>
          <cell r="AI39">
            <v>162000</v>
          </cell>
          <cell r="AJ39">
            <v>5324576</v>
          </cell>
          <cell r="AK39">
            <v>8121100</v>
          </cell>
          <cell r="AL39">
            <v>1040361</v>
          </cell>
          <cell r="AM39">
            <v>0</v>
          </cell>
          <cell r="AN39">
            <v>475511</v>
          </cell>
          <cell r="AO39">
            <v>1953019</v>
          </cell>
          <cell r="AP39">
            <v>0</v>
          </cell>
          <cell r="AQ39">
            <v>249598154</v>
          </cell>
          <cell r="AR39">
            <v>3128600</v>
          </cell>
          <cell r="AS39">
            <v>406000</v>
          </cell>
          <cell r="AT39">
            <v>1375000</v>
          </cell>
          <cell r="AU39">
            <v>292200</v>
          </cell>
          <cell r="AV39">
            <v>0</v>
          </cell>
          <cell r="AW39">
            <v>0</v>
          </cell>
          <cell r="AX39">
            <v>0</v>
          </cell>
          <cell r="AY39">
            <v>5201800</v>
          </cell>
          <cell r="AZ39">
            <v>23000</v>
          </cell>
          <cell r="BA39">
            <v>822000</v>
          </cell>
          <cell r="BB39">
            <v>10371</v>
          </cell>
          <cell r="BC39">
            <v>25000</v>
          </cell>
          <cell r="BD39">
            <v>880371</v>
          </cell>
          <cell r="BE39">
            <v>999200</v>
          </cell>
          <cell r="BF39">
            <v>829809</v>
          </cell>
          <cell r="BG39">
            <v>90100</v>
          </cell>
          <cell r="BH39">
            <v>52700</v>
          </cell>
          <cell r="BI39">
            <v>50000</v>
          </cell>
          <cell r="BJ39">
            <v>27033</v>
          </cell>
          <cell r="BK39">
            <v>2048842</v>
          </cell>
          <cell r="BL39">
            <v>3117208</v>
          </cell>
          <cell r="BM39">
            <v>537050</v>
          </cell>
          <cell r="BN39">
            <v>771400</v>
          </cell>
          <cell r="BO39">
            <v>86100</v>
          </cell>
          <cell r="BP39">
            <v>0</v>
          </cell>
          <cell r="BQ39">
            <v>286600</v>
          </cell>
          <cell r="BR39">
            <v>5742765</v>
          </cell>
          <cell r="BS39">
            <v>711221</v>
          </cell>
          <cell r="BT39">
            <v>0</v>
          </cell>
          <cell r="BU39">
            <v>0</v>
          </cell>
          <cell r="BV39">
            <v>0</v>
          </cell>
          <cell r="BW39">
            <v>2808200</v>
          </cell>
          <cell r="BX39">
            <v>287900</v>
          </cell>
          <cell r="BY39">
            <v>254294</v>
          </cell>
          <cell r="BZ39">
            <v>0</v>
          </cell>
          <cell r="CA39">
            <v>551595</v>
          </cell>
          <cell r="CB39">
            <v>17542581</v>
          </cell>
          <cell r="CC39">
            <v>4379997</v>
          </cell>
          <cell r="CD39">
            <v>3176397</v>
          </cell>
          <cell r="CE39">
            <v>100704</v>
          </cell>
          <cell r="CF39">
            <v>422436</v>
          </cell>
          <cell r="CG39">
            <v>49960</v>
          </cell>
          <cell r="CH39">
            <v>0</v>
          </cell>
          <cell r="CI39">
            <v>8129494</v>
          </cell>
          <cell r="CJ39">
            <v>25672075</v>
          </cell>
          <cell r="CK39">
            <v>275270229</v>
          </cell>
          <cell r="CM39">
            <v>3253935</v>
          </cell>
          <cell r="CN39">
            <v>415900</v>
          </cell>
          <cell r="CO39">
            <v>0</v>
          </cell>
          <cell r="CP39">
            <v>0</v>
          </cell>
          <cell r="CQ39">
            <v>0</v>
          </cell>
          <cell r="CR39">
            <v>0</v>
          </cell>
          <cell r="CS39">
            <v>251600</v>
          </cell>
          <cell r="CT39">
            <v>0</v>
          </cell>
          <cell r="CV39">
            <v>0</v>
          </cell>
          <cell r="CW39">
            <v>12723853</v>
          </cell>
          <cell r="CX39">
            <v>2496329</v>
          </cell>
          <cell r="CY39">
            <v>479044</v>
          </cell>
        </row>
        <row r="40">
          <cell r="A40">
            <v>317</v>
          </cell>
          <cell r="B40">
            <v>144952759</v>
          </cell>
          <cell r="C40">
            <v>4492634</v>
          </cell>
          <cell r="D40">
            <v>10661917</v>
          </cell>
          <cell r="E40">
            <v>0</v>
          </cell>
          <cell r="F40">
            <v>4006186</v>
          </cell>
          <cell r="G40">
            <v>813000</v>
          </cell>
          <cell r="H40">
            <v>0</v>
          </cell>
          <cell r="I40">
            <v>61137</v>
          </cell>
          <cell r="J40">
            <v>497286</v>
          </cell>
          <cell r="K40">
            <v>0</v>
          </cell>
          <cell r="L40">
            <v>14470</v>
          </cell>
          <cell r="M40">
            <v>74479</v>
          </cell>
          <cell r="N40">
            <v>795903</v>
          </cell>
          <cell r="O40">
            <v>3027370</v>
          </cell>
          <cell r="P40">
            <v>791080</v>
          </cell>
          <cell r="Q40">
            <v>283435</v>
          </cell>
          <cell r="R40">
            <v>637037</v>
          </cell>
          <cell r="S40">
            <v>0</v>
          </cell>
          <cell r="T40">
            <v>5667708</v>
          </cell>
          <cell r="U40">
            <v>652240</v>
          </cell>
          <cell r="V40">
            <v>75760</v>
          </cell>
          <cell r="W40">
            <v>0</v>
          </cell>
          <cell r="X40">
            <v>87272</v>
          </cell>
          <cell r="Y40">
            <v>0</v>
          </cell>
          <cell r="Z40">
            <v>24001</v>
          </cell>
          <cell r="AA40">
            <v>0</v>
          </cell>
          <cell r="AB40">
            <v>0</v>
          </cell>
          <cell r="AC40">
            <v>40468</v>
          </cell>
          <cell r="AD40">
            <v>510432</v>
          </cell>
          <cell r="AE40">
            <v>0</v>
          </cell>
          <cell r="AF40">
            <v>142416</v>
          </cell>
          <cell r="AG40">
            <v>11727</v>
          </cell>
          <cell r="AH40">
            <v>0</v>
          </cell>
          <cell r="AI40">
            <v>49469</v>
          </cell>
          <cell r="AJ40">
            <v>1345934</v>
          </cell>
          <cell r="AK40">
            <v>0</v>
          </cell>
          <cell r="AL40">
            <v>0</v>
          </cell>
          <cell r="AM40">
            <v>0</v>
          </cell>
          <cell r="AN40">
            <v>64048</v>
          </cell>
          <cell r="AO40">
            <v>10609156</v>
          </cell>
          <cell r="AP40">
            <v>0</v>
          </cell>
          <cell r="AQ40">
            <v>190389324</v>
          </cell>
          <cell r="AR40">
            <v>3058824</v>
          </cell>
          <cell r="AS40">
            <v>1165437</v>
          </cell>
          <cell r="AT40">
            <v>790509</v>
          </cell>
          <cell r="AU40">
            <v>0</v>
          </cell>
          <cell r="AV40">
            <v>0</v>
          </cell>
          <cell r="AW40">
            <v>0</v>
          </cell>
          <cell r="AX40">
            <v>0</v>
          </cell>
          <cell r="AY40">
            <v>5014770</v>
          </cell>
          <cell r="AZ40">
            <v>1258999</v>
          </cell>
          <cell r="BA40">
            <v>0</v>
          </cell>
          <cell r="BB40">
            <v>114022</v>
          </cell>
          <cell r="BC40">
            <v>0</v>
          </cell>
          <cell r="BD40">
            <v>1373021</v>
          </cell>
          <cell r="BE40">
            <v>981217</v>
          </cell>
          <cell r="BF40">
            <v>518515</v>
          </cell>
          <cell r="BG40">
            <v>203611</v>
          </cell>
          <cell r="BH40">
            <v>0</v>
          </cell>
          <cell r="BI40">
            <v>36953</v>
          </cell>
          <cell r="BJ40">
            <v>173788</v>
          </cell>
          <cell r="BK40">
            <v>1914084</v>
          </cell>
          <cell r="BL40">
            <v>1698586</v>
          </cell>
          <cell r="BM40">
            <v>1153150</v>
          </cell>
          <cell r="BN40">
            <v>625460</v>
          </cell>
          <cell r="BO40">
            <v>1686778</v>
          </cell>
          <cell r="BP40">
            <v>309894</v>
          </cell>
          <cell r="BQ40">
            <v>498255</v>
          </cell>
          <cell r="BR40">
            <v>8514188</v>
          </cell>
          <cell r="BS40">
            <v>170144</v>
          </cell>
          <cell r="BT40">
            <v>60665</v>
          </cell>
          <cell r="BU40">
            <v>79645</v>
          </cell>
          <cell r="BV40">
            <v>386342</v>
          </cell>
          <cell r="BW40">
            <v>2922291</v>
          </cell>
          <cell r="BX40">
            <v>428564</v>
          </cell>
          <cell r="BY40">
            <v>193000</v>
          </cell>
          <cell r="BZ40">
            <v>0</v>
          </cell>
          <cell r="CA40">
            <v>0</v>
          </cell>
          <cell r="CB40">
            <v>18514649</v>
          </cell>
          <cell r="CC40">
            <v>2183597</v>
          </cell>
          <cell r="CD40">
            <v>2989810</v>
          </cell>
          <cell r="CE40">
            <v>112970</v>
          </cell>
          <cell r="CF40">
            <v>207940</v>
          </cell>
          <cell r="CG40">
            <v>34657</v>
          </cell>
          <cell r="CH40">
            <v>0</v>
          </cell>
          <cell r="CI40">
            <v>5528974</v>
          </cell>
          <cell r="CJ40">
            <v>24043623</v>
          </cell>
          <cell r="CK40">
            <v>214432947</v>
          </cell>
          <cell r="CM40">
            <v>20516593</v>
          </cell>
          <cell r="CN40">
            <v>422435</v>
          </cell>
          <cell r="CO40">
            <v>5000</v>
          </cell>
          <cell r="CP40">
            <v>321831</v>
          </cell>
          <cell r="CQ40">
            <v>0</v>
          </cell>
          <cell r="CR40">
            <v>0</v>
          </cell>
          <cell r="CS40">
            <v>0</v>
          </cell>
          <cell r="CT40">
            <v>0</v>
          </cell>
          <cell r="CV40">
            <v>0</v>
          </cell>
          <cell r="CW40">
            <v>17448025</v>
          </cell>
          <cell r="CX40">
            <v>2007910</v>
          </cell>
          <cell r="CY40">
            <v>670712</v>
          </cell>
        </row>
        <row r="41">
          <cell r="A41">
            <v>318</v>
          </cell>
          <cell r="B41">
            <v>65234300</v>
          </cell>
          <cell r="C41">
            <v>2352000</v>
          </cell>
          <cell r="D41">
            <v>4045200</v>
          </cell>
          <cell r="E41">
            <v>0</v>
          </cell>
          <cell r="F41">
            <v>2195700</v>
          </cell>
          <cell r="G41">
            <v>369000</v>
          </cell>
          <cell r="H41">
            <v>0</v>
          </cell>
          <cell r="I41">
            <v>385400</v>
          </cell>
          <cell r="J41">
            <v>0</v>
          </cell>
          <cell r="K41">
            <v>297800</v>
          </cell>
          <cell r="L41">
            <v>441700</v>
          </cell>
          <cell r="M41">
            <v>30600</v>
          </cell>
          <cell r="N41">
            <v>735600</v>
          </cell>
          <cell r="O41">
            <v>2759900</v>
          </cell>
          <cell r="P41">
            <v>680200</v>
          </cell>
          <cell r="Q41">
            <v>146800</v>
          </cell>
          <cell r="R41">
            <v>52900</v>
          </cell>
          <cell r="S41">
            <v>499700</v>
          </cell>
          <cell r="T41">
            <v>2322000</v>
          </cell>
          <cell r="U41">
            <v>0</v>
          </cell>
          <cell r="V41">
            <v>31700</v>
          </cell>
          <cell r="W41">
            <v>3700</v>
          </cell>
          <cell r="X41">
            <v>0</v>
          </cell>
          <cell r="Y41">
            <v>0</v>
          </cell>
          <cell r="Z41">
            <v>0</v>
          </cell>
          <cell r="AA41">
            <v>0</v>
          </cell>
          <cell r="AB41">
            <v>0</v>
          </cell>
          <cell r="AC41">
            <v>0</v>
          </cell>
          <cell r="AD41">
            <v>222700</v>
          </cell>
          <cell r="AE41">
            <v>35600</v>
          </cell>
          <cell r="AF41">
            <v>500000</v>
          </cell>
          <cell r="AG41">
            <v>36700</v>
          </cell>
          <cell r="AH41">
            <v>14000</v>
          </cell>
          <cell r="AI41">
            <v>0</v>
          </cell>
          <cell r="AJ41">
            <v>309800</v>
          </cell>
          <cell r="AK41">
            <v>0</v>
          </cell>
          <cell r="AL41">
            <v>0</v>
          </cell>
          <cell r="AM41">
            <v>0</v>
          </cell>
          <cell r="AN41">
            <v>0</v>
          </cell>
          <cell r="AO41">
            <v>367600</v>
          </cell>
          <cell r="AP41">
            <v>0</v>
          </cell>
          <cell r="AQ41">
            <v>84070600</v>
          </cell>
          <cell r="AR41">
            <v>1224200</v>
          </cell>
          <cell r="AS41">
            <v>107000</v>
          </cell>
          <cell r="AT41">
            <v>258000</v>
          </cell>
          <cell r="AU41">
            <v>258700</v>
          </cell>
          <cell r="AV41">
            <v>55500</v>
          </cell>
          <cell r="AW41">
            <v>0</v>
          </cell>
          <cell r="AX41">
            <v>145400</v>
          </cell>
          <cell r="AY41">
            <v>2048800</v>
          </cell>
          <cell r="AZ41">
            <v>1770000</v>
          </cell>
          <cell r="BA41">
            <v>426100</v>
          </cell>
          <cell r="BB41">
            <v>75000</v>
          </cell>
          <cell r="BC41">
            <v>25000</v>
          </cell>
          <cell r="BD41">
            <v>2296100</v>
          </cell>
          <cell r="BE41">
            <v>534000</v>
          </cell>
          <cell r="BF41">
            <v>290800</v>
          </cell>
          <cell r="BG41">
            <v>72700</v>
          </cell>
          <cell r="BH41">
            <v>54700</v>
          </cell>
          <cell r="BI41">
            <v>60800</v>
          </cell>
          <cell r="BJ41">
            <v>65500</v>
          </cell>
          <cell r="BK41">
            <v>1078500</v>
          </cell>
          <cell r="BL41">
            <v>1065000</v>
          </cell>
          <cell r="BM41">
            <v>586400</v>
          </cell>
          <cell r="BN41">
            <v>350600</v>
          </cell>
          <cell r="BO41">
            <v>93300</v>
          </cell>
          <cell r="BP41">
            <v>0</v>
          </cell>
          <cell r="BQ41">
            <v>0</v>
          </cell>
          <cell r="BR41">
            <v>2960600</v>
          </cell>
          <cell r="BS41">
            <v>127000</v>
          </cell>
          <cell r="BT41">
            <v>53300</v>
          </cell>
          <cell r="BU41">
            <v>27100</v>
          </cell>
          <cell r="BV41">
            <v>35300</v>
          </cell>
          <cell r="BW41">
            <v>1612000</v>
          </cell>
          <cell r="BX41">
            <v>75600</v>
          </cell>
          <cell r="BY41">
            <v>0</v>
          </cell>
          <cell r="BZ41">
            <v>0</v>
          </cell>
          <cell r="CA41">
            <v>0</v>
          </cell>
          <cell r="CB41">
            <v>9449000</v>
          </cell>
          <cell r="CC41">
            <v>1239400</v>
          </cell>
          <cell r="CD41">
            <v>1149200</v>
          </cell>
          <cell r="CE41">
            <v>15900</v>
          </cell>
          <cell r="CF41">
            <v>184800</v>
          </cell>
          <cell r="CG41">
            <v>27100</v>
          </cell>
          <cell r="CH41">
            <v>21800</v>
          </cell>
          <cell r="CI41">
            <v>2638200</v>
          </cell>
          <cell r="CJ41">
            <v>12087200</v>
          </cell>
          <cell r="CK41">
            <v>96157800</v>
          </cell>
          <cell r="CM41">
            <v>0</v>
          </cell>
          <cell r="CN41">
            <v>0</v>
          </cell>
          <cell r="CO41">
            <v>0</v>
          </cell>
          <cell r="CP41">
            <v>0</v>
          </cell>
          <cell r="CQ41">
            <v>0</v>
          </cell>
          <cell r="CR41">
            <v>0</v>
          </cell>
          <cell r="CS41">
            <v>352600</v>
          </cell>
          <cell r="CT41">
            <v>0</v>
          </cell>
          <cell r="CV41">
            <v>0</v>
          </cell>
          <cell r="CW41">
            <v>7376000</v>
          </cell>
          <cell r="CX41">
            <v>614000</v>
          </cell>
          <cell r="CY41">
            <v>285900</v>
          </cell>
        </row>
        <row r="42">
          <cell r="A42">
            <v>319</v>
          </cell>
          <cell r="B42">
            <v>101662475</v>
          </cell>
          <cell r="C42">
            <v>3195766</v>
          </cell>
          <cell r="D42">
            <v>5338156</v>
          </cell>
          <cell r="E42">
            <v>0</v>
          </cell>
          <cell r="F42">
            <v>2879100</v>
          </cell>
          <cell r="G42">
            <v>789000</v>
          </cell>
          <cell r="H42">
            <v>75000</v>
          </cell>
          <cell r="I42">
            <v>1111092</v>
          </cell>
          <cell r="J42">
            <v>0</v>
          </cell>
          <cell r="K42">
            <v>656856</v>
          </cell>
          <cell r="L42">
            <v>0</v>
          </cell>
          <cell r="M42">
            <v>20000</v>
          </cell>
          <cell r="N42">
            <v>1097100</v>
          </cell>
          <cell r="O42">
            <v>4313033</v>
          </cell>
          <cell r="P42">
            <v>815499</v>
          </cell>
          <cell r="Q42">
            <v>399458</v>
          </cell>
          <cell r="R42">
            <v>475677</v>
          </cell>
          <cell r="S42">
            <v>40107</v>
          </cell>
          <cell r="T42">
            <v>2191152</v>
          </cell>
          <cell r="U42">
            <v>2002760</v>
          </cell>
          <cell r="V42">
            <v>12574</v>
          </cell>
          <cell r="W42">
            <v>179269</v>
          </cell>
          <cell r="X42">
            <v>36244</v>
          </cell>
          <cell r="Y42">
            <v>0</v>
          </cell>
          <cell r="Z42">
            <v>948520</v>
          </cell>
          <cell r="AA42">
            <v>0</v>
          </cell>
          <cell r="AB42">
            <v>0</v>
          </cell>
          <cell r="AC42">
            <v>0</v>
          </cell>
          <cell r="AD42">
            <v>297512</v>
          </cell>
          <cell r="AE42">
            <v>54295</v>
          </cell>
          <cell r="AF42">
            <v>374967</v>
          </cell>
          <cell r="AG42">
            <v>14352</v>
          </cell>
          <cell r="AH42">
            <v>57568</v>
          </cell>
          <cell r="AI42">
            <v>38350</v>
          </cell>
          <cell r="AJ42">
            <v>483729</v>
          </cell>
          <cell r="AK42">
            <v>0</v>
          </cell>
          <cell r="AL42">
            <v>0</v>
          </cell>
          <cell r="AM42">
            <v>0</v>
          </cell>
          <cell r="AN42">
            <v>142245</v>
          </cell>
          <cell r="AO42">
            <v>0</v>
          </cell>
          <cell r="AP42">
            <v>0</v>
          </cell>
          <cell r="AQ42">
            <v>129701856</v>
          </cell>
          <cell r="AR42">
            <v>2189532</v>
          </cell>
          <cell r="AS42">
            <v>286810</v>
          </cell>
          <cell r="AT42">
            <v>336689</v>
          </cell>
          <cell r="AU42">
            <v>59200</v>
          </cell>
          <cell r="AV42">
            <v>0</v>
          </cell>
          <cell r="AW42">
            <v>43514</v>
          </cell>
          <cell r="AX42">
            <v>18771</v>
          </cell>
          <cell r="AY42">
            <v>2934516</v>
          </cell>
          <cell r="AZ42">
            <v>1218504</v>
          </cell>
          <cell r="BA42">
            <v>0</v>
          </cell>
          <cell r="BB42">
            <v>0</v>
          </cell>
          <cell r="BC42">
            <v>0</v>
          </cell>
          <cell r="BD42">
            <v>1218504</v>
          </cell>
          <cell r="BE42">
            <v>533678</v>
          </cell>
          <cell r="BF42">
            <v>557044</v>
          </cell>
          <cell r="BG42">
            <v>58318</v>
          </cell>
          <cell r="BH42">
            <v>0</v>
          </cell>
          <cell r="BI42">
            <v>44288</v>
          </cell>
          <cell r="BJ42">
            <v>62552</v>
          </cell>
          <cell r="BK42">
            <v>1255880</v>
          </cell>
          <cell r="BL42">
            <v>1418963</v>
          </cell>
          <cell r="BM42">
            <v>360001</v>
          </cell>
          <cell r="BN42">
            <v>433245</v>
          </cell>
          <cell r="BO42">
            <v>66720</v>
          </cell>
          <cell r="BP42">
            <v>0</v>
          </cell>
          <cell r="BQ42">
            <v>0</v>
          </cell>
          <cell r="BR42">
            <v>3425062</v>
          </cell>
          <cell r="BS42">
            <v>64063</v>
          </cell>
          <cell r="BT42">
            <v>19614</v>
          </cell>
          <cell r="BU42">
            <v>12189</v>
          </cell>
          <cell r="BV42">
            <v>20000</v>
          </cell>
          <cell r="BW42">
            <v>2422590</v>
          </cell>
          <cell r="BX42">
            <v>0</v>
          </cell>
          <cell r="BY42">
            <v>26640</v>
          </cell>
          <cell r="BZ42">
            <v>0</v>
          </cell>
          <cell r="CA42">
            <v>0</v>
          </cell>
          <cell r="CB42">
            <v>10252925</v>
          </cell>
          <cell r="CC42">
            <v>1607152</v>
          </cell>
          <cell r="CD42">
            <v>6356280</v>
          </cell>
          <cell r="CE42">
            <v>11175</v>
          </cell>
          <cell r="CF42">
            <v>229915</v>
          </cell>
          <cell r="CG42">
            <v>0</v>
          </cell>
          <cell r="CH42">
            <v>0</v>
          </cell>
          <cell r="CI42">
            <v>8204522</v>
          </cell>
          <cell r="CJ42">
            <v>18457447</v>
          </cell>
          <cell r="CK42">
            <v>148159303</v>
          </cell>
          <cell r="CM42">
            <v>15213198</v>
          </cell>
          <cell r="CN42">
            <v>213024</v>
          </cell>
          <cell r="CO42">
            <v>0</v>
          </cell>
          <cell r="CP42">
            <v>0</v>
          </cell>
          <cell r="CQ42">
            <v>0</v>
          </cell>
          <cell r="CR42">
            <v>0</v>
          </cell>
          <cell r="CS42">
            <v>294080</v>
          </cell>
          <cell r="CT42">
            <v>0</v>
          </cell>
          <cell r="CV42">
            <v>0</v>
          </cell>
          <cell r="CW42">
            <v>11127864</v>
          </cell>
          <cell r="CX42">
            <v>1638779</v>
          </cell>
          <cell r="CY42">
            <v>357006</v>
          </cell>
        </row>
        <row r="43">
          <cell r="A43">
            <v>320</v>
          </cell>
          <cell r="B43">
            <v>126483717</v>
          </cell>
          <cell r="C43">
            <v>4167044</v>
          </cell>
          <cell r="D43">
            <v>11606727</v>
          </cell>
          <cell r="E43">
            <v>3597190</v>
          </cell>
          <cell r="F43">
            <v>3364000</v>
          </cell>
          <cell r="G43">
            <v>1292000</v>
          </cell>
          <cell r="H43">
            <v>0</v>
          </cell>
          <cell r="I43">
            <v>1082674</v>
          </cell>
          <cell r="J43">
            <v>420023</v>
          </cell>
          <cell r="K43">
            <v>0</v>
          </cell>
          <cell r="L43">
            <v>0</v>
          </cell>
          <cell r="M43">
            <v>31507</v>
          </cell>
          <cell r="N43">
            <v>644479</v>
          </cell>
          <cell r="O43">
            <v>3820764</v>
          </cell>
          <cell r="P43">
            <v>678533</v>
          </cell>
          <cell r="Q43">
            <v>520424</v>
          </cell>
          <cell r="R43">
            <v>861642</v>
          </cell>
          <cell r="S43">
            <v>0</v>
          </cell>
          <cell r="T43">
            <v>3518030</v>
          </cell>
          <cell r="U43">
            <v>0</v>
          </cell>
          <cell r="V43">
            <v>64999</v>
          </cell>
          <cell r="W43">
            <v>0</v>
          </cell>
          <cell r="X43">
            <v>0</v>
          </cell>
          <cell r="Y43">
            <v>0</v>
          </cell>
          <cell r="Z43">
            <v>0</v>
          </cell>
          <cell r="AA43">
            <v>0</v>
          </cell>
          <cell r="AB43">
            <v>0</v>
          </cell>
          <cell r="AC43">
            <v>0</v>
          </cell>
          <cell r="AD43">
            <v>307751</v>
          </cell>
          <cell r="AE43">
            <v>100940</v>
          </cell>
          <cell r="AF43">
            <v>645970</v>
          </cell>
          <cell r="AG43">
            <v>0</v>
          </cell>
          <cell r="AH43">
            <v>45123</v>
          </cell>
          <cell r="AI43">
            <v>323440</v>
          </cell>
          <cell r="AJ43">
            <v>3336379</v>
          </cell>
          <cell r="AK43">
            <v>0</v>
          </cell>
          <cell r="AL43">
            <v>374202</v>
          </cell>
          <cell r="AM43">
            <v>0</v>
          </cell>
          <cell r="AN43">
            <v>112482</v>
          </cell>
          <cell r="AO43">
            <v>2837843</v>
          </cell>
          <cell r="AP43">
            <v>0</v>
          </cell>
          <cell r="AQ43">
            <v>170237883</v>
          </cell>
          <cell r="AR43">
            <v>2520531</v>
          </cell>
          <cell r="AS43">
            <v>0</v>
          </cell>
          <cell r="AT43">
            <v>1093500</v>
          </cell>
          <cell r="AU43">
            <v>0</v>
          </cell>
          <cell r="AV43">
            <v>0</v>
          </cell>
          <cell r="AW43">
            <v>0</v>
          </cell>
          <cell r="AX43">
            <v>0</v>
          </cell>
          <cell r="AY43">
            <v>3614031</v>
          </cell>
          <cell r="AZ43">
            <v>766392</v>
          </cell>
          <cell r="BA43">
            <v>0</v>
          </cell>
          <cell r="BB43">
            <v>134970</v>
          </cell>
          <cell r="BC43">
            <v>21487</v>
          </cell>
          <cell r="BD43">
            <v>922849</v>
          </cell>
          <cell r="BE43">
            <v>1026021</v>
          </cell>
          <cell r="BF43">
            <v>0</v>
          </cell>
          <cell r="BG43">
            <v>83534</v>
          </cell>
          <cell r="BH43">
            <v>0</v>
          </cell>
          <cell r="BI43">
            <v>73575</v>
          </cell>
          <cell r="BJ43">
            <v>0</v>
          </cell>
          <cell r="BK43">
            <v>1183130</v>
          </cell>
          <cell r="BL43">
            <v>1237339</v>
          </cell>
          <cell r="BM43">
            <v>1314133</v>
          </cell>
          <cell r="BN43">
            <v>584954</v>
          </cell>
          <cell r="BO43">
            <v>630375</v>
          </cell>
          <cell r="BP43">
            <v>0</v>
          </cell>
          <cell r="BQ43">
            <v>539800</v>
          </cell>
          <cell r="BR43">
            <v>6355313</v>
          </cell>
          <cell r="BS43">
            <v>91410</v>
          </cell>
          <cell r="BT43">
            <v>183367</v>
          </cell>
          <cell r="BU43">
            <v>0</v>
          </cell>
          <cell r="BV43">
            <v>0</v>
          </cell>
          <cell r="BW43">
            <v>2978994</v>
          </cell>
          <cell r="BX43">
            <v>32280</v>
          </cell>
          <cell r="BY43">
            <v>0</v>
          </cell>
          <cell r="BZ43">
            <v>0</v>
          </cell>
          <cell r="CA43">
            <v>546145</v>
          </cell>
          <cell r="CB43">
            <v>13858807</v>
          </cell>
          <cell r="CC43">
            <v>2850000</v>
          </cell>
          <cell r="CD43">
            <v>7998200</v>
          </cell>
          <cell r="CE43">
            <v>31142</v>
          </cell>
          <cell r="CF43">
            <v>124562</v>
          </cell>
          <cell r="CG43">
            <v>0</v>
          </cell>
          <cell r="CH43">
            <v>0</v>
          </cell>
          <cell r="CI43">
            <v>11003904</v>
          </cell>
          <cell r="CJ43">
            <v>24862711</v>
          </cell>
          <cell r="CK43">
            <v>195100594</v>
          </cell>
          <cell r="CM43">
            <v>4652262</v>
          </cell>
          <cell r="CN43">
            <v>0</v>
          </cell>
          <cell r="CO43">
            <v>0</v>
          </cell>
          <cell r="CP43">
            <v>0</v>
          </cell>
          <cell r="CQ43">
            <v>0</v>
          </cell>
          <cell r="CR43">
            <v>0</v>
          </cell>
          <cell r="CS43">
            <v>110000</v>
          </cell>
          <cell r="CT43">
            <v>0</v>
          </cell>
          <cell r="CV43">
            <v>0</v>
          </cell>
          <cell r="CW43">
            <v>4616640</v>
          </cell>
          <cell r="CX43">
            <v>1879934</v>
          </cell>
          <cell r="CY43">
            <v>515675</v>
          </cell>
        </row>
        <row r="44">
          <cell r="A44">
            <v>330</v>
          </cell>
          <cell r="B44">
            <v>607225027</v>
          </cell>
          <cell r="C44">
            <v>20364256</v>
          </cell>
          <cell r="D44">
            <v>63191581</v>
          </cell>
          <cell r="E44">
            <v>19043728</v>
          </cell>
          <cell r="F44">
            <v>21299768</v>
          </cell>
          <cell r="G44">
            <v>0</v>
          </cell>
          <cell r="H44">
            <v>562999</v>
          </cell>
          <cell r="I44">
            <v>4974977</v>
          </cell>
          <cell r="J44">
            <v>0</v>
          </cell>
          <cell r="K44">
            <v>3051130</v>
          </cell>
          <cell r="L44">
            <v>2417783</v>
          </cell>
          <cell r="M44">
            <v>1117334</v>
          </cell>
          <cell r="N44">
            <v>1121262</v>
          </cell>
          <cell r="O44">
            <v>3628105</v>
          </cell>
          <cell r="P44">
            <v>5975725</v>
          </cell>
          <cell r="Q44">
            <v>690633</v>
          </cell>
          <cell r="R44">
            <v>1228456</v>
          </cell>
          <cell r="S44">
            <v>0</v>
          </cell>
          <cell r="T44">
            <v>10952298</v>
          </cell>
          <cell r="U44">
            <v>137914</v>
          </cell>
          <cell r="V44">
            <v>0</v>
          </cell>
          <cell r="W44">
            <v>53800</v>
          </cell>
          <cell r="X44">
            <v>7705</v>
          </cell>
          <cell r="Y44">
            <v>0</v>
          </cell>
          <cell r="Z44">
            <v>2185592</v>
          </cell>
          <cell r="AA44">
            <v>0</v>
          </cell>
          <cell r="AB44">
            <v>924838</v>
          </cell>
          <cell r="AC44">
            <v>254124</v>
          </cell>
          <cell r="AD44">
            <v>657829</v>
          </cell>
          <cell r="AE44">
            <v>195866</v>
          </cell>
          <cell r="AF44">
            <v>2228341</v>
          </cell>
          <cell r="AG44">
            <v>100000</v>
          </cell>
          <cell r="AH44">
            <v>12484</v>
          </cell>
          <cell r="AI44">
            <v>2604258</v>
          </cell>
          <cell r="AJ44">
            <v>4477295</v>
          </cell>
          <cell r="AK44">
            <v>0</v>
          </cell>
          <cell r="AL44">
            <v>395200</v>
          </cell>
          <cell r="AM44">
            <v>0</v>
          </cell>
          <cell r="AN44">
            <v>1121040</v>
          </cell>
          <cell r="AO44">
            <v>2664371</v>
          </cell>
          <cell r="AP44">
            <v>0</v>
          </cell>
          <cell r="AQ44">
            <v>784865719</v>
          </cell>
          <cell r="AR44">
            <v>10744310</v>
          </cell>
          <cell r="AS44">
            <v>1356716</v>
          </cell>
          <cell r="AT44">
            <v>5228128</v>
          </cell>
          <cell r="AU44">
            <v>762800</v>
          </cell>
          <cell r="AV44">
            <v>0</v>
          </cell>
          <cell r="AW44">
            <v>79520</v>
          </cell>
          <cell r="AX44">
            <v>332830</v>
          </cell>
          <cell r="AY44">
            <v>18504304</v>
          </cell>
          <cell r="AZ44">
            <v>7839599</v>
          </cell>
          <cell r="BA44">
            <v>536654</v>
          </cell>
          <cell r="BB44">
            <v>0</v>
          </cell>
          <cell r="BC44">
            <v>0</v>
          </cell>
          <cell r="BD44">
            <v>8376253</v>
          </cell>
          <cell r="BE44">
            <v>3085198</v>
          </cell>
          <cell r="BF44">
            <v>1416193</v>
          </cell>
          <cell r="BG44">
            <v>197075</v>
          </cell>
          <cell r="BH44">
            <v>14006</v>
          </cell>
          <cell r="BI44">
            <v>402687</v>
          </cell>
          <cell r="BJ44">
            <v>473202</v>
          </cell>
          <cell r="BK44">
            <v>5588361</v>
          </cell>
          <cell r="BL44">
            <v>5155140</v>
          </cell>
          <cell r="BM44">
            <v>1374555</v>
          </cell>
          <cell r="BN44">
            <v>3551361</v>
          </cell>
          <cell r="BO44">
            <v>169377</v>
          </cell>
          <cell r="BP44">
            <v>0</v>
          </cell>
          <cell r="BQ44">
            <v>3727895</v>
          </cell>
          <cell r="BR44">
            <v>23157286</v>
          </cell>
          <cell r="BS44">
            <v>276968</v>
          </cell>
          <cell r="BT44">
            <v>256560</v>
          </cell>
          <cell r="BU44">
            <v>0</v>
          </cell>
          <cell r="BV44">
            <v>0</v>
          </cell>
          <cell r="BW44">
            <v>13265930</v>
          </cell>
          <cell r="BX44">
            <v>390012</v>
          </cell>
          <cell r="BY44">
            <v>144628</v>
          </cell>
          <cell r="BZ44">
            <v>0</v>
          </cell>
          <cell r="CA44">
            <v>996883</v>
          </cell>
          <cell r="CB44">
            <v>61778227</v>
          </cell>
          <cell r="CC44">
            <v>8251903</v>
          </cell>
          <cell r="CD44">
            <v>29990417</v>
          </cell>
          <cell r="CE44">
            <v>57647</v>
          </cell>
          <cell r="CF44">
            <v>592271</v>
          </cell>
          <cell r="CG44">
            <v>10935</v>
          </cell>
          <cell r="CH44">
            <v>0</v>
          </cell>
          <cell r="CI44">
            <v>38903173</v>
          </cell>
          <cell r="CJ44">
            <v>100681400</v>
          </cell>
          <cell r="CK44">
            <v>885547119</v>
          </cell>
          <cell r="CM44">
            <v>32057370</v>
          </cell>
          <cell r="CN44">
            <v>4124851</v>
          </cell>
          <cell r="CO44">
            <v>276110</v>
          </cell>
          <cell r="CP44">
            <v>0</v>
          </cell>
          <cell r="CQ44">
            <v>0</v>
          </cell>
          <cell r="CR44">
            <v>0</v>
          </cell>
          <cell r="CS44">
            <v>763696</v>
          </cell>
          <cell r="CT44">
            <v>0</v>
          </cell>
          <cell r="CV44">
            <v>0</v>
          </cell>
          <cell r="CW44">
            <v>62607171</v>
          </cell>
          <cell r="CX44">
            <v>10206271</v>
          </cell>
          <cell r="CY44">
            <v>2342623</v>
          </cell>
        </row>
        <row r="45">
          <cell r="A45">
            <v>331</v>
          </cell>
          <cell r="B45">
            <v>153873211</v>
          </cell>
          <cell r="C45">
            <v>5311124</v>
          </cell>
          <cell r="D45">
            <v>11959444</v>
          </cell>
          <cell r="E45">
            <v>1845278</v>
          </cell>
          <cell r="F45">
            <v>5967502</v>
          </cell>
          <cell r="G45">
            <v>0</v>
          </cell>
          <cell r="H45">
            <v>350000</v>
          </cell>
          <cell r="I45">
            <v>188998</v>
          </cell>
          <cell r="J45">
            <v>0</v>
          </cell>
          <cell r="K45">
            <v>1888282</v>
          </cell>
          <cell r="L45">
            <v>1602219</v>
          </cell>
          <cell r="M45">
            <v>143463</v>
          </cell>
          <cell r="N45">
            <v>610600</v>
          </cell>
          <cell r="O45">
            <v>4005550</v>
          </cell>
          <cell r="P45">
            <v>886948</v>
          </cell>
          <cell r="Q45">
            <v>292127</v>
          </cell>
          <cell r="R45">
            <v>507240</v>
          </cell>
          <cell r="S45">
            <v>28791</v>
          </cell>
          <cell r="T45">
            <v>3723665</v>
          </cell>
          <cell r="U45">
            <v>0</v>
          </cell>
          <cell r="V45">
            <v>45491</v>
          </cell>
          <cell r="W45">
            <v>58503</v>
          </cell>
          <cell r="X45">
            <v>0</v>
          </cell>
          <cell r="Y45">
            <v>0</v>
          </cell>
          <cell r="Z45">
            <v>568139</v>
          </cell>
          <cell r="AA45">
            <v>0</v>
          </cell>
          <cell r="AB45">
            <v>0</v>
          </cell>
          <cell r="AC45">
            <v>0</v>
          </cell>
          <cell r="AD45">
            <v>422464</v>
          </cell>
          <cell r="AE45">
            <v>74054</v>
          </cell>
          <cell r="AF45">
            <v>66706</v>
          </cell>
          <cell r="AG45">
            <v>340693</v>
          </cell>
          <cell r="AH45">
            <v>2794</v>
          </cell>
          <cell r="AI45">
            <v>556518</v>
          </cell>
          <cell r="AJ45">
            <v>4848551</v>
          </cell>
          <cell r="AK45">
            <v>1229167</v>
          </cell>
          <cell r="AL45">
            <v>1377316</v>
          </cell>
          <cell r="AM45">
            <v>0</v>
          </cell>
          <cell r="AN45">
            <v>445951</v>
          </cell>
          <cell r="AO45">
            <v>845733</v>
          </cell>
          <cell r="AP45">
            <v>0</v>
          </cell>
          <cell r="AQ45">
            <v>204066522</v>
          </cell>
          <cell r="AR45">
            <v>3497375</v>
          </cell>
          <cell r="AS45">
            <v>776120</v>
          </cell>
          <cell r="AT45">
            <v>1588419</v>
          </cell>
          <cell r="AU45">
            <v>794802</v>
          </cell>
          <cell r="AV45">
            <v>0</v>
          </cell>
          <cell r="AW45">
            <v>228541</v>
          </cell>
          <cell r="AX45">
            <v>0</v>
          </cell>
          <cell r="AY45">
            <v>6885257</v>
          </cell>
          <cell r="AZ45">
            <v>380989</v>
          </cell>
          <cell r="BA45">
            <v>763938</v>
          </cell>
          <cell r="BB45">
            <v>204053</v>
          </cell>
          <cell r="BC45">
            <v>0</v>
          </cell>
          <cell r="BD45">
            <v>1348980</v>
          </cell>
          <cell r="BE45">
            <v>617458</v>
          </cell>
          <cell r="BF45">
            <v>574989</v>
          </cell>
          <cell r="BG45">
            <v>213524</v>
          </cell>
          <cell r="BH45">
            <v>15491</v>
          </cell>
          <cell r="BI45">
            <v>205557</v>
          </cell>
          <cell r="BJ45">
            <v>279564</v>
          </cell>
          <cell r="BK45">
            <v>1906583</v>
          </cell>
          <cell r="BL45">
            <v>2196951</v>
          </cell>
          <cell r="BM45">
            <v>600205</v>
          </cell>
          <cell r="BN45">
            <v>640760</v>
          </cell>
          <cell r="BO45">
            <v>761147</v>
          </cell>
          <cell r="BP45">
            <v>84572</v>
          </cell>
          <cell r="BQ45">
            <v>727522</v>
          </cell>
          <cell r="BR45">
            <v>6275667</v>
          </cell>
          <cell r="BS45">
            <v>321148</v>
          </cell>
          <cell r="BT45">
            <v>61322</v>
          </cell>
          <cell r="BU45">
            <v>40420</v>
          </cell>
          <cell r="BV45">
            <v>0</v>
          </cell>
          <cell r="BW45">
            <v>2644204</v>
          </cell>
          <cell r="BX45">
            <v>358445</v>
          </cell>
          <cell r="BY45">
            <v>35922</v>
          </cell>
          <cell r="BZ45">
            <v>0</v>
          </cell>
          <cell r="CA45">
            <v>306832</v>
          </cell>
          <cell r="CB45">
            <v>18920270</v>
          </cell>
          <cell r="CC45">
            <v>4320691</v>
          </cell>
          <cell r="CD45">
            <v>12237690</v>
          </cell>
          <cell r="CE45">
            <v>0</v>
          </cell>
          <cell r="CF45">
            <v>310400</v>
          </cell>
          <cell r="CG45">
            <v>33229</v>
          </cell>
          <cell r="CH45">
            <v>0</v>
          </cell>
          <cell r="CI45">
            <v>16902010</v>
          </cell>
          <cell r="CJ45">
            <v>35822280</v>
          </cell>
          <cell r="CK45">
            <v>239888802</v>
          </cell>
          <cell r="CM45">
            <v>13065502</v>
          </cell>
          <cell r="CN45">
            <v>939534</v>
          </cell>
          <cell r="CO45">
            <v>0</v>
          </cell>
          <cell r="CP45">
            <v>0</v>
          </cell>
          <cell r="CQ45">
            <v>0</v>
          </cell>
          <cell r="CR45">
            <v>0</v>
          </cell>
          <cell r="CS45">
            <v>49761</v>
          </cell>
          <cell r="CT45">
            <v>0</v>
          </cell>
          <cell r="CV45">
            <v>0</v>
          </cell>
          <cell r="CW45">
            <v>31482183</v>
          </cell>
          <cell r="CX45">
            <v>2921549</v>
          </cell>
          <cell r="CY45">
            <v>613666</v>
          </cell>
        </row>
        <row r="46">
          <cell r="A46">
            <v>332</v>
          </cell>
          <cell r="B46">
            <v>146499557</v>
          </cell>
          <cell r="C46">
            <v>5464321</v>
          </cell>
          <cell r="D46">
            <v>13297095</v>
          </cell>
          <cell r="E46">
            <v>1446624</v>
          </cell>
          <cell r="F46">
            <v>6085738</v>
          </cell>
          <cell r="G46">
            <v>0</v>
          </cell>
          <cell r="H46">
            <v>0</v>
          </cell>
          <cell r="I46">
            <v>3314100</v>
          </cell>
          <cell r="J46">
            <v>0</v>
          </cell>
          <cell r="K46">
            <v>629869</v>
          </cell>
          <cell r="L46">
            <v>1261195</v>
          </cell>
          <cell r="M46">
            <v>93864</v>
          </cell>
          <cell r="N46">
            <v>750300</v>
          </cell>
          <cell r="O46">
            <v>1530300</v>
          </cell>
          <cell r="P46">
            <v>2393398</v>
          </cell>
          <cell r="Q46">
            <v>148478</v>
          </cell>
          <cell r="R46">
            <v>1192061</v>
          </cell>
          <cell r="S46">
            <v>0</v>
          </cell>
          <cell r="T46">
            <v>3200622</v>
          </cell>
          <cell r="U46">
            <v>0</v>
          </cell>
          <cell r="V46">
            <v>59569</v>
          </cell>
          <cell r="W46">
            <v>44100</v>
          </cell>
          <cell r="X46">
            <v>0</v>
          </cell>
          <cell r="Y46">
            <v>0</v>
          </cell>
          <cell r="Z46">
            <v>0</v>
          </cell>
          <cell r="AA46">
            <v>0</v>
          </cell>
          <cell r="AB46">
            <v>0</v>
          </cell>
          <cell r="AC46">
            <v>247700</v>
          </cell>
          <cell r="AD46">
            <v>137814</v>
          </cell>
          <cell r="AE46">
            <v>0</v>
          </cell>
          <cell r="AF46">
            <v>169300</v>
          </cell>
          <cell r="AG46">
            <v>100000</v>
          </cell>
          <cell r="AH46">
            <v>45100</v>
          </cell>
          <cell r="AI46">
            <v>494200</v>
          </cell>
          <cell r="AJ46">
            <v>1280378</v>
          </cell>
          <cell r="AK46">
            <v>2298275</v>
          </cell>
          <cell r="AL46">
            <v>82672</v>
          </cell>
          <cell r="AM46">
            <v>0</v>
          </cell>
          <cell r="AN46">
            <v>309102</v>
          </cell>
          <cell r="AO46">
            <v>60100</v>
          </cell>
          <cell r="AP46">
            <v>0</v>
          </cell>
          <cell r="AQ46">
            <v>192635832</v>
          </cell>
          <cell r="AR46">
            <v>5889919</v>
          </cell>
          <cell r="AS46">
            <v>295000</v>
          </cell>
          <cell r="AT46">
            <v>1110200</v>
          </cell>
          <cell r="AU46">
            <v>296000</v>
          </cell>
          <cell r="AV46">
            <v>0</v>
          </cell>
          <cell r="AW46">
            <v>0</v>
          </cell>
          <cell r="AX46">
            <v>99500</v>
          </cell>
          <cell r="AY46">
            <v>7690619</v>
          </cell>
          <cell r="AZ46">
            <v>2861077</v>
          </cell>
          <cell r="BA46">
            <v>288200</v>
          </cell>
          <cell r="BB46">
            <v>129842</v>
          </cell>
          <cell r="BC46">
            <v>0</v>
          </cell>
          <cell r="BD46">
            <v>3279119</v>
          </cell>
          <cell r="BE46">
            <v>868311</v>
          </cell>
          <cell r="BF46">
            <v>457712</v>
          </cell>
          <cell r="BG46">
            <v>77936</v>
          </cell>
          <cell r="BH46">
            <v>179948</v>
          </cell>
          <cell r="BI46">
            <v>96043</v>
          </cell>
          <cell r="BJ46">
            <v>20435</v>
          </cell>
          <cell r="BK46">
            <v>1700385</v>
          </cell>
          <cell r="BL46">
            <v>1374576</v>
          </cell>
          <cell r="BM46">
            <v>1561526</v>
          </cell>
          <cell r="BN46">
            <v>722248</v>
          </cell>
          <cell r="BO46">
            <v>1185306</v>
          </cell>
          <cell r="BP46">
            <v>0</v>
          </cell>
          <cell r="BQ46">
            <v>104939</v>
          </cell>
          <cell r="BR46">
            <v>5923290</v>
          </cell>
          <cell r="BS46">
            <v>84915</v>
          </cell>
          <cell r="BT46">
            <v>239346</v>
          </cell>
          <cell r="BU46">
            <v>3050</v>
          </cell>
          <cell r="BV46">
            <v>0</v>
          </cell>
          <cell r="BW46">
            <v>1944460</v>
          </cell>
          <cell r="BX46">
            <v>0</v>
          </cell>
          <cell r="BY46">
            <v>77500</v>
          </cell>
          <cell r="BZ46">
            <v>0</v>
          </cell>
          <cell r="CA46">
            <v>0</v>
          </cell>
          <cell r="CB46">
            <v>19967989</v>
          </cell>
          <cell r="CC46">
            <v>3004681</v>
          </cell>
          <cell r="CD46">
            <v>4828448</v>
          </cell>
          <cell r="CE46">
            <v>2092</v>
          </cell>
          <cell r="CF46">
            <v>232821</v>
          </cell>
          <cell r="CG46">
            <v>0</v>
          </cell>
          <cell r="CH46">
            <v>0</v>
          </cell>
          <cell r="CI46">
            <v>8068042</v>
          </cell>
          <cell r="CJ46">
            <v>28036031</v>
          </cell>
          <cell r="CK46">
            <v>220671863</v>
          </cell>
          <cell r="CM46">
            <v>1984690</v>
          </cell>
          <cell r="CN46">
            <v>342635</v>
          </cell>
          <cell r="CO46">
            <v>0</v>
          </cell>
          <cell r="CP46">
            <v>0</v>
          </cell>
          <cell r="CQ46">
            <v>0</v>
          </cell>
          <cell r="CR46">
            <v>0</v>
          </cell>
          <cell r="CS46">
            <v>290131</v>
          </cell>
          <cell r="CT46">
            <v>0</v>
          </cell>
          <cell r="CV46">
            <v>0</v>
          </cell>
          <cell r="CW46">
            <v>28258000</v>
          </cell>
          <cell r="CX46">
            <v>2779811</v>
          </cell>
          <cell r="CY46">
            <v>638661</v>
          </cell>
        </row>
        <row r="47">
          <cell r="A47">
            <v>333</v>
          </cell>
          <cell r="B47">
            <v>159825000</v>
          </cell>
          <cell r="C47">
            <v>5348000</v>
          </cell>
          <cell r="D47">
            <v>12520900</v>
          </cell>
          <cell r="E47">
            <v>3722200</v>
          </cell>
          <cell r="F47">
            <v>5334299</v>
          </cell>
          <cell r="G47">
            <v>0</v>
          </cell>
          <cell r="H47">
            <v>0</v>
          </cell>
          <cell r="I47">
            <v>1249000</v>
          </cell>
          <cell r="J47">
            <v>0</v>
          </cell>
          <cell r="K47">
            <v>231900</v>
          </cell>
          <cell r="L47">
            <v>1021100</v>
          </cell>
          <cell r="M47">
            <v>0</v>
          </cell>
          <cell r="N47">
            <v>1101600</v>
          </cell>
          <cell r="O47">
            <v>2517600</v>
          </cell>
          <cell r="P47">
            <v>3593500</v>
          </cell>
          <cell r="Q47">
            <v>431800</v>
          </cell>
          <cell r="R47">
            <v>0</v>
          </cell>
          <cell r="S47">
            <v>0</v>
          </cell>
          <cell r="T47">
            <v>845100</v>
          </cell>
          <cell r="U47">
            <v>0</v>
          </cell>
          <cell r="V47">
            <v>80700</v>
          </cell>
          <cell r="W47">
            <v>227300</v>
          </cell>
          <cell r="X47">
            <v>0</v>
          </cell>
          <cell r="Y47">
            <v>0</v>
          </cell>
          <cell r="Z47">
            <v>0</v>
          </cell>
          <cell r="AA47">
            <v>0</v>
          </cell>
          <cell r="AB47">
            <v>0</v>
          </cell>
          <cell r="AC47">
            <v>123000</v>
          </cell>
          <cell r="AD47">
            <v>273900</v>
          </cell>
          <cell r="AE47">
            <v>36900</v>
          </cell>
          <cell r="AF47">
            <v>0</v>
          </cell>
          <cell r="AG47">
            <v>430600</v>
          </cell>
          <cell r="AH47">
            <v>0</v>
          </cell>
          <cell r="AI47">
            <v>178400</v>
          </cell>
          <cell r="AJ47">
            <v>0</v>
          </cell>
          <cell r="AK47">
            <v>0</v>
          </cell>
          <cell r="AL47">
            <v>922400</v>
          </cell>
          <cell r="AM47">
            <v>0</v>
          </cell>
          <cell r="AN47">
            <v>0</v>
          </cell>
          <cell r="AO47">
            <v>7520800</v>
          </cell>
          <cell r="AP47">
            <v>0</v>
          </cell>
          <cell r="AQ47">
            <v>207535999</v>
          </cell>
          <cell r="AR47">
            <v>4181050</v>
          </cell>
          <cell r="AS47">
            <v>691500</v>
          </cell>
          <cell r="AT47">
            <v>2319900</v>
          </cell>
          <cell r="AU47">
            <v>318100</v>
          </cell>
          <cell r="AV47">
            <v>0</v>
          </cell>
          <cell r="AW47">
            <v>0</v>
          </cell>
          <cell r="AX47">
            <v>0</v>
          </cell>
          <cell r="AY47">
            <v>7510550</v>
          </cell>
          <cell r="AZ47">
            <v>5259600</v>
          </cell>
          <cell r="BA47">
            <v>3002300</v>
          </cell>
          <cell r="BB47">
            <v>241601</v>
          </cell>
          <cell r="BC47">
            <v>0</v>
          </cell>
          <cell r="BD47">
            <v>8503501</v>
          </cell>
          <cell r="BE47">
            <v>1012300</v>
          </cell>
          <cell r="BF47">
            <v>56700</v>
          </cell>
          <cell r="BG47">
            <v>0</v>
          </cell>
          <cell r="BH47">
            <v>0</v>
          </cell>
          <cell r="BI47">
            <v>64000</v>
          </cell>
          <cell r="BJ47">
            <v>32100</v>
          </cell>
          <cell r="BK47">
            <v>1165100</v>
          </cell>
          <cell r="BL47">
            <v>4733400</v>
          </cell>
          <cell r="BM47">
            <v>481000</v>
          </cell>
          <cell r="BN47">
            <v>1275000</v>
          </cell>
          <cell r="BO47">
            <v>665500</v>
          </cell>
          <cell r="BP47">
            <v>509050</v>
          </cell>
          <cell r="BQ47">
            <v>1365950</v>
          </cell>
          <cell r="BR47">
            <v>7290500</v>
          </cell>
          <cell r="BS47">
            <v>167500</v>
          </cell>
          <cell r="BT47">
            <v>0</v>
          </cell>
          <cell r="BU47">
            <v>0</v>
          </cell>
          <cell r="BV47">
            <v>208900</v>
          </cell>
          <cell r="BW47">
            <v>2185800</v>
          </cell>
          <cell r="BX47">
            <v>325700</v>
          </cell>
          <cell r="BY47">
            <v>0</v>
          </cell>
          <cell r="BZ47">
            <v>106100</v>
          </cell>
          <cell r="CA47">
            <v>0</v>
          </cell>
          <cell r="CB47">
            <v>29203051</v>
          </cell>
          <cell r="CC47">
            <v>2055200</v>
          </cell>
          <cell r="CD47">
            <v>2379100</v>
          </cell>
          <cell r="CE47">
            <v>275100</v>
          </cell>
          <cell r="CF47">
            <v>0</v>
          </cell>
          <cell r="CG47">
            <v>0</v>
          </cell>
          <cell r="CH47">
            <v>0</v>
          </cell>
          <cell r="CI47">
            <v>4709400</v>
          </cell>
          <cell r="CJ47">
            <v>33912451</v>
          </cell>
          <cell r="CK47">
            <v>241448450</v>
          </cell>
          <cell r="CM47">
            <v>6276000</v>
          </cell>
          <cell r="CN47">
            <v>819000</v>
          </cell>
          <cell r="CO47">
            <v>0</v>
          </cell>
          <cell r="CP47">
            <v>0</v>
          </cell>
          <cell r="CQ47">
            <v>0</v>
          </cell>
          <cell r="CR47">
            <v>0</v>
          </cell>
          <cell r="CS47">
            <v>359800</v>
          </cell>
          <cell r="CT47">
            <v>0</v>
          </cell>
          <cell r="CV47">
            <v>0</v>
          </cell>
          <cell r="CW47">
            <v>13981100</v>
          </cell>
          <cell r="CX47">
            <v>3099300</v>
          </cell>
          <cell r="CY47">
            <v>464300</v>
          </cell>
        </row>
        <row r="48">
          <cell r="A48">
            <v>334</v>
          </cell>
          <cell r="B48">
            <v>98761308</v>
          </cell>
          <cell r="C48">
            <v>3931271</v>
          </cell>
          <cell r="D48">
            <v>6894510</v>
          </cell>
          <cell r="E48">
            <v>1585069</v>
          </cell>
          <cell r="F48">
            <v>3937460</v>
          </cell>
          <cell r="G48">
            <v>0</v>
          </cell>
          <cell r="H48">
            <v>0</v>
          </cell>
          <cell r="I48">
            <v>2323854</v>
          </cell>
          <cell r="J48">
            <v>0</v>
          </cell>
          <cell r="K48">
            <v>0</v>
          </cell>
          <cell r="L48">
            <v>2250973</v>
          </cell>
          <cell r="M48">
            <v>37420</v>
          </cell>
          <cell r="N48">
            <v>495100</v>
          </cell>
          <cell r="O48">
            <v>1076320</v>
          </cell>
          <cell r="P48">
            <v>841376</v>
          </cell>
          <cell r="Q48">
            <v>0</v>
          </cell>
          <cell r="R48">
            <v>105303</v>
          </cell>
          <cell r="S48">
            <v>0</v>
          </cell>
          <cell r="T48">
            <v>1272236</v>
          </cell>
          <cell r="U48">
            <v>2542550</v>
          </cell>
          <cell r="V48">
            <v>33421</v>
          </cell>
          <cell r="W48">
            <v>68200</v>
          </cell>
          <cell r="X48">
            <v>51065</v>
          </cell>
          <cell r="Y48">
            <v>0</v>
          </cell>
          <cell r="Z48">
            <v>575270</v>
          </cell>
          <cell r="AA48">
            <v>0</v>
          </cell>
          <cell r="AB48">
            <v>0</v>
          </cell>
          <cell r="AC48">
            <v>0</v>
          </cell>
          <cell r="AD48">
            <v>193559</v>
          </cell>
          <cell r="AE48">
            <v>67832</v>
          </cell>
          <cell r="AF48">
            <v>0</v>
          </cell>
          <cell r="AG48">
            <v>111550</v>
          </cell>
          <cell r="AH48">
            <v>63000</v>
          </cell>
          <cell r="AI48">
            <v>92457</v>
          </cell>
          <cell r="AJ48">
            <v>1195636</v>
          </cell>
          <cell r="AK48">
            <v>284300</v>
          </cell>
          <cell r="AL48">
            <v>10510</v>
          </cell>
          <cell r="AM48">
            <v>120369</v>
          </cell>
          <cell r="AN48">
            <v>367520</v>
          </cell>
          <cell r="AO48">
            <v>2020050</v>
          </cell>
          <cell r="AP48">
            <v>0</v>
          </cell>
          <cell r="AQ48">
            <v>131309489</v>
          </cell>
          <cell r="AR48">
            <v>3507673</v>
          </cell>
          <cell r="AS48">
            <v>156968</v>
          </cell>
          <cell r="AT48">
            <v>807972</v>
          </cell>
          <cell r="AU48">
            <v>91830</v>
          </cell>
          <cell r="AV48">
            <v>0</v>
          </cell>
          <cell r="AW48">
            <v>0</v>
          </cell>
          <cell r="AX48">
            <v>152185</v>
          </cell>
          <cell r="AY48">
            <v>4716628</v>
          </cell>
          <cell r="AZ48">
            <v>1279235</v>
          </cell>
          <cell r="BA48">
            <v>51500</v>
          </cell>
          <cell r="BB48">
            <v>105000</v>
          </cell>
          <cell r="BC48">
            <v>0</v>
          </cell>
          <cell r="BD48">
            <v>1435735</v>
          </cell>
          <cell r="BE48">
            <v>680902</v>
          </cell>
          <cell r="BF48">
            <v>177678</v>
          </cell>
          <cell r="BG48">
            <v>61173</v>
          </cell>
          <cell r="BH48">
            <v>0</v>
          </cell>
          <cell r="BI48">
            <v>49244</v>
          </cell>
          <cell r="BJ48">
            <v>86551</v>
          </cell>
          <cell r="BK48">
            <v>1055548</v>
          </cell>
          <cell r="BL48">
            <v>1423681</v>
          </cell>
          <cell r="BM48">
            <v>319450</v>
          </cell>
          <cell r="BN48">
            <v>551469</v>
          </cell>
          <cell r="BO48">
            <v>736184</v>
          </cell>
          <cell r="BP48">
            <v>0</v>
          </cell>
          <cell r="BQ48">
            <v>43940</v>
          </cell>
          <cell r="BR48">
            <v>4362748</v>
          </cell>
          <cell r="BS48">
            <v>103301</v>
          </cell>
          <cell r="BT48">
            <v>53024</v>
          </cell>
          <cell r="BU48">
            <v>0</v>
          </cell>
          <cell r="BV48">
            <v>0</v>
          </cell>
          <cell r="BW48">
            <v>2001677</v>
          </cell>
          <cell r="BX48">
            <v>464051</v>
          </cell>
          <cell r="BY48">
            <v>46408</v>
          </cell>
          <cell r="BZ48">
            <v>43244</v>
          </cell>
          <cell r="CA48">
            <v>0</v>
          </cell>
          <cell r="CB48">
            <v>12994340</v>
          </cell>
          <cell r="CC48">
            <v>1290472</v>
          </cell>
          <cell r="CD48">
            <v>904950</v>
          </cell>
          <cell r="CE48">
            <v>721</v>
          </cell>
          <cell r="CF48">
            <v>135143</v>
          </cell>
          <cell r="CG48">
            <v>0</v>
          </cell>
          <cell r="CH48">
            <v>18160</v>
          </cell>
          <cell r="CI48">
            <v>2349446</v>
          </cell>
          <cell r="CJ48">
            <v>15343786</v>
          </cell>
          <cell r="CK48">
            <v>146653275</v>
          </cell>
          <cell r="CM48">
            <v>3031430</v>
          </cell>
          <cell r="CN48">
            <v>255527</v>
          </cell>
          <cell r="CO48">
            <v>0</v>
          </cell>
          <cell r="CP48">
            <v>0</v>
          </cell>
          <cell r="CQ48">
            <v>0</v>
          </cell>
          <cell r="CR48">
            <v>0</v>
          </cell>
          <cell r="CS48">
            <v>115400</v>
          </cell>
          <cell r="CT48">
            <v>0</v>
          </cell>
          <cell r="CV48">
            <v>0</v>
          </cell>
          <cell r="CW48">
            <v>27044500</v>
          </cell>
          <cell r="CX48">
            <v>2601996</v>
          </cell>
          <cell r="CY48">
            <v>0</v>
          </cell>
        </row>
        <row r="49">
          <cell r="A49">
            <v>335</v>
          </cell>
          <cell r="B49">
            <v>143343043</v>
          </cell>
          <cell r="C49">
            <v>5302060</v>
          </cell>
          <cell r="D49">
            <v>13513497</v>
          </cell>
          <cell r="E49">
            <v>3565026</v>
          </cell>
          <cell r="F49">
            <v>5555676</v>
          </cell>
          <cell r="G49">
            <v>0</v>
          </cell>
          <cell r="H49">
            <v>0</v>
          </cell>
          <cell r="I49">
            <v>1485172</v>
          </cell>
          <cell r="J49">
            <v>296676</v>
          </cell>
          <cell r="K49">
            <v>296676</v>
          </cell>
          <cell r="L49">
            <v>0</v>
          </cell>
          <cell r="M49">
            <v>0</v>
          </cell>
          <cell r="N49">
            <v>368670</v>
          </cell>
          <cell r="O49">
            <v>2294735</v>
          </cell>
          <cell r="P49">
            <v>955015</v>
          </cell>
          <cell r="Q49">
            <v>797709</v>
          </cell>
          <cell r="R49">
            <v>539805</v>
          </cell>
          <cell r="S49">
            <v>2557888</v>
          </cell>
          <cell r="T49">
            <v>467375</v>
          </cell>
          <cell r="U49">
            <v>184558</v>
          </cell>
          <cell r="V49">
            <v>0</v>
          </cell>
          <cell r="W49">
            <v>0</v>
          </cell>
          <cell r="X49">
            <v>0</v>
          </cell>
          <cell r="Y49">
            <v>945469</v>
          </cell>
          <cell r="Z49">
            <v>1005091</v>
          </cell>
          <cell r="AA49">
            <v>0</v>
          </cell>
          <cell r="AB49">
            <v>10476</v>
          </cell>
          <cell r="AC49">
            <v>214695</v>
          </cell>
          <cell r="AD49">
            <v>164249</v>
          </cell>
          <cell r="AE49">
            <v>68350</v>
          </cell>
          <cell r="AF49">
            <v>78635</v>
          </cell>
          <cell r="AG49">
            <v>0</v>
          </cell>
          <cell r="AH49">
            <v>0</v>
          </cell>
          <cell r="AI49">
            <v>301202</v>
          </cell>
          <cell r="AJ49">
            <v>3272583</v>
          </cell>
          <cell r="AK49">
            <v>32712</v>
          </cell>
          <cell r="AL49">
            <v>434306</v>
          </cell>
          <cell r="AM49">
            <v>0</v>
          </cell>
          <cell r="AN49">
            <v>231630</v>
          </cell>
          <cell r="AO49">
            <v>2628</v>
          </cell>
          <cell r="AP49">
            <v>97000</v>
          </cell>
          <cell r="AQ49">
            <v>188382607</v>
          </cell>
          <cell r="AR49">
            <v>2813232</v>
          </cell>
          <cell r="AS49">
            <v>406564</v>
          </cell>
          <cell r="AT49">
            <v>1361481</v>
          </cell>
          <cell r="AU49">
            <v>15872</v>
          </cell>
          <cell r="AV49">
            <v>45253</v>
          </cell>
          <cell r="AW49">
            <v>90000</v>
          </cell>
          <cell r="AX49">
            <v>0</v>
          </cell>
          <cell r="AY49">
            <v>4732402</v>
          </cell>
          <cell r="AZ49">
            <v>2001604</v>
          </cell>
          <cell r="BA49">
            <v>0</v>
          </cell>
          <cell r="BB49">
            <v>0</v>
          </cell>
          <cell r="BC49">
            <v>0</v>
          </cell>
          <cell r="BD49">
            <v>2001604</v>
          </cell>
          <cell r="BE49">
            <v>762590</v>
          </cell>
          <cell r="BF49">
            <v>423121</v>
          </cell>
          <cell r="BG49">
            <v>37539</v>
          </cell>
          <cell r="BH49">
            <v>47751</v>
          </cell>
          <cell r="BI49">
            <v>103369</v>
          </cell>
          <cell r="BJ49">
            <v>0</v>
          </cell>
          <cell r="BK49">
            <v>1374370</v>
          </cell>
          <cell r="BL49">
            <v>1457752</v>
          </cell>
          <cell r="BM49">
            <v>301451</v>
          </cell>
          <cell r="BN49">
            <v>778913</v>
          </cell>
          <cell r="BO49">
            <v>420965</v>
          </cell>
          <cell r="BP49">
            <v>0</v>
          </cell>
          <cell r="BQ49">
            <v>407108</v>
          </cell>
          <cell r="BR49">
            <v>4553902</v>
          </cell>
          <cell r="BS49">
            <v>80475</v>
          </cell>
          <cell r="BT49">
            <v>0</v>
          </cell>
          <cell r="BU49">
            <v>18418</v>
          </cell>
          <cell r="BV49">
            <v>224802</v>
          </cell>
          <cell r="BW49">
            <v>2321770</v>
          </cell>
          <cell r="BX49">
            <v>0</v>
          </cell>
          <cell r="BY49">
            <v>0</v>
          </cell>
          <cell r="BZ49">
            <v>0</v>
          </cell>
          <cell r="CA49">
            <v>0</v>
          </cell>
          <cell r="CB49">
            <v>14120030</v>
          </cell>
          <cell r="CC49">
            <v>3049277</v>
          </cell>
          <cell r="CD49">
            <v>1010901</v>
          </cell>
          <cell r="CE49">
            <v>0</v>
          </cell>
          <cell r="CF49">
            <v>255792</v>
          </cell>
          <cell r="CG49">
            <v>2300000</v>
          </cell>
          <cell r="CH49">
            <v>0</v>
          </cell>
          <cell r="CI49">
            <v>6615970</v>
          </cell>
          <cell r="CJ49">
            <v>20736000</v>
          </cell>
          <cell r="CK49">
            <v>209118607</v>
          </cell>
          <cell r="CM49">
            <v>12135064</v>
          </cell>
          <cell r="CN49">
            <v>756361</v>
          </cell>
          <cell r="CO49">
            <v>71518</v>
          </cell>
          <cell r="CP49">
            <v>0</v>
          </cell>
          <cell r="CQ49">
            <v>0</v>
          </cell>
          <cell r="CR49">
            <v>0</v>
          </cell>
          <cell r="CS49">
            <v>205606</v>
          </cell>
          <cell r="CT49">
            <v>182919</v>
          </cell>
          <cell r="CV49">
            <v>0</v>
          </cell>
          <cell r="CW49">
            <v>0</v>
          </cell>
          <cell r="CX49">
            <v>2610250</v>
          </cell>
          <cell r="CY49">
            <v>733455</v>
          </cell>
        </row>
        <row r="50">
          <cell r="A50">
            <v>336</v>
          </cell>
          <cell r="B50">
            <v>126624400</v>
          </cell>
          <cell r="C50">
            <v>4728400</v>
          </cell>
          <cell r="D50">
            <v>11213300</v>
          </cell>
          <cell r="E50">
            <v>3237000</v>
          </cell>
          <cell r="F50">
            <v>5041000</v>
          </cell>
          <cell r="G50">
            <v>0</v>
          </cell>
          <cell r="H50">
            <v>0</v>
          </cell>
          <cell r="I50">
            <v>897300</v>
          </cell>
          <cell r="J50">
            <v>0</v>
          </cell>
          <cell r="K50">
            <v>0</v>
          </cell>
          <cell r="L50">
            <v>655300</v>
          </cell>
          <cell r="M50">
            <v>33500</v>
          </cell>
          <cell r="N50">
            <v>623700</v>
          </cell>
          <cell r="O50">
            <v>794000</v>
          </cell>
          <cell r="P50">
            <v>3127400</v>
          </cell>
          <cell r="Q50">
            <v>1460700</v>
          </cell>
          <cell r="R50">
            <v>1000</v>
          </cell>
          <cell r="S50">
            <v>130800</v>
          </cell>
          <cell r="T50">
            <v>738500</v>
          </cell>
          <cell r="U50">
            <v>0</v>
          </cell>
          <cell r="V50">
            <v>52400</v>
          </cell>
          <cell r="W50">
            <v>336500</v>
          </cell>
          <cell r="X50">
            <v>0</v>
          </cell>
          <cell r="Y50">
            <v>6600</v>
          </cell>
          <cell r="Z50">
            <v>0</v>
          </cell>
          <cell r="AA50">
            <v>575000</v>
          </cell>
          <cell r="AB50">
            <v>0</v>
          </cell>
          <cell r="AC50">
            <v>47900</v>
          </cell>
          <cell r="AD50">
            <v>233800</v>
          </cell>
          <cell r="AE50">
            <v>145000</v>
          </cell>
          <cell r="AF50">
            <v>0</v>
          </cell>
          <cell r="AG50">
            <v>101300</v>
          </cell>
          <cell r="AH50">
            <v>12000</v>
          </cell>
          <cell r="AI50">
            <v>0</v>
          </cell>
          <cell r="AJ50">
            <v>2213700</v>
          </cell>
          <cell r="AK50">
            <v>0</v>
          </cell>
          <cell r="AL50">
            <v>482000</v>
          </cell>
          <cell r="AM50">
            <v>0</v>
          </cell>
          <cell r="AN50">
            <v>255000</v>
          </cell>
          <cell r="AO50">
            <v>689300</v>
          </cell>
          <cell r="AP50">
            <v>0</v>
          </cell>
          <cell r="AQ50">
            <v>164456800</v>
          </cell>
          <cell r="AR50">
            <v>2888300</v>
          </cell>
          <cell r="AS50">
            <v>765100</v>
          </cell>
          <cell r="AT50">
            <v>2386400</v>
          </cell>
          <cell r="AU50">
            <v>383500</v>
          </cell>
          <cell r="AV50">
            <v>0</v>
          </cell>
          <cell r="AW50">
            <v>0</v>
          </cell>
          <cell r="AX50">
            <v>37600</v>
          </cell>
          <cell r="AY50">
            <v>6460900</v>
          </cell>
          <cell r="AZ50">
            <v>2234600</v>
          </cell>
          <cell r="BA50">
            <v>5183500</v>
          </cell>
          <cell r="BB50">
            <v>0</v>
          </cell>
          <cell r="BC50">
            <v>0</v>
          </cell>
          <cell r="BD50">
            <v>7418100</v>
          </cell>
          <cell r="BE50">
            <v>972700</v>
          </cell>
          <cell r="BF50">
            <v>314600</v>
          </cell>
          <cell r="BG50">
            <v>3300</v>
          </cell>
          <cell r="BH50">
            <v>37500</v>
          </cell>
          <cell r="BI50">
            <v>80500</v>
          </cell>
          <cell r="BJ50">
            <v>78000</v>
          </cell>
          <cell r="BK50">
            <v>1486600</v>
          </cell>
          <cell r="BL50">
            <v>2814300</v>
          </cell>
          <cell r="BM50">
            <v>562900</v>
          </cell>
          <cell r="BN50">
            <v>796000</v>
          </cell>
          <cell r="BO50">
            <v>28300</v>
          </cell>
          <cell r="BP50">
            <v>0</v>
          </cell>
          <cell r="BQ50">
            <v>667900</v>
          </cell>
          <cell r="BR50">
            <v>4971200</v>
          </cell>
          <cell r="BS50">
            <v>115200</v>
          </cell>
          <cell r="BT50">
            <v>80700</v>
          </cell>
          <cell r="BU50">
            <v>69000</v>
          </cell>
          <cell r="BV50">
            <v>0</v>
          </cell>
          <cell r="BW50">
            <v>2488800</v>
          </cell>
          <cell r="BX50">
            <v>117200</v>
          </cell>
          <cell r="BY50">
            <v>45200</v>
          </cell>
          <cell r="BZ50">
            <v>0</v>
          </cell>
          <cell r="CA50">
            <v>0</v>
          </cell>
          <cell r="CB50">
            <v>23151100</v>
          </cell>
          <cell r="CC50">
            <v>3836200</v>
          </cell>
          <cell r="CD50">
            <v>7557200</v>
          </cell>
          <cell r="CE50">
            <v>0</v>
          </cell>
          <cell r="CF50">
            <v>261300</v>
          </cell>
          <cell r="CG50">
            <v>16400</v>
          </cell>
          <cell r="CH50">
            <v>0</v>
          </cell>
          <cell r="CI50">
            <v>11671100</v>
          </cell>
          <cell r="CJ50">
            <v>34822200</v>
          </cell>
          <cell r="CK50">
            <v>199279000</v>
          </cell>
          <cell r="CM50">
            <v>10246500</v>
          </cell>
          <cell r="CN50">
            <v>609100</v>
          </cell>
          <cell r="CO50">
            <v>0</v>
          </cell>
          <cell r="CP50">
            <v>0</v>
          </cell>
          <cell r="CQ50">
            <v>0</v>
          </cell>
          <cell r="CR50">
            <v>0</v>
          </cell>
          <cell r="CS50">
            <v>98000</v>
          </cell>
          <cell r="CT50">
            <v>0</v>
          </cell>
          <cell r="CV50">
            <v>0</v>
          </cell>
          <cell r="CW50">
            <v>23169000</v>
          </cell>
          <cell r="CX50">
            <v>2370700</v>
          </cell>
          <cell r="CY50">
            <v>615200</v>
          </cell>
        </row>
        <row r="51">
          <cell r="A51">
            <v>340</v>
          </cell>
          <cell r="B51">
            <v>79359091</v>
          </cell>
          <cell r="C51">
            <v>3180174</v>
          </cell>
          <cell r="D51">
            <v>3051701</v>
          </cell>
          <cell r="E51">
            <v>2457741</v>
          </cell>
          <cell r="F51">
            <v>3169382</v>
          </cell>
          <cell r="G51">
            <v>503000</v>
          </cell>
          <cell r="H51">
            <v>0</v>
          </cell>
          <cell r="I51">
            <v>8721</v>
          </cell>
          <cell r="J51">
            <v>0</v>
          </cell>
          <cell r="K51">
            <v>558886</v>
          </cell>
          <cell r="L51">
            <v>295264</v>
          </cell>
          <cell r="M51">
            <v>1791601</v>
          </cell>
          <cell r="N51">
            <v>569058</v>
          </cell>
          <cell r="O51">
            <v>754439</v>
          </cell>
          <cell r="P51">
            <v>1583474</v>
          </cell>
          <cell r="Q51">
            <v>409943</v>
          </cell>
          <cell r="R51">
            <v>104932</v>
          </cell>
          <cell r="S51">
            <v>0</v>
          </cell>
          <cell r="T51">
            <v>384799</v>
          </cell>
          <cell r="U51">
            <v>0</v>
          </cell>
          <cell r="V51">
            <v>37264</v>
          </cell>
          <cell r="W51">
            <v>200666</v>
          </cell>
          <cell r="X51">
            <v>0</v>
          </cell>
          <cell r="Y51">
            <v>0</v>
          </cell>
          <cell r="Z51">
            <v>0</v>
          </cell>
          <cell r="AA51">
            <v>0</v>
          </cell>
          <cell r="AB51">
            <v>0</v>
          </cell>
          <cell r="AC51">
            <v>0</v>
          </cell>
          <cell r="AD51">
            <v>202100</v>
          </cell>
          <cell r="AE51">
            <v>37217</v>
          </cell>
          <cell r="AF51">
            <v>0</v>
          </cell>
          <cell r="AG51">
            <v>409201</v>
          </cell>
          <cell r="AH51">
            <v>35434</v>
          </cell>
          <cell r="AI51">
            <v>349441</v>
          </cell>
          <cell r="AJ51">
            <v>4324355</v>
          </cell>
          <cell r="AK51">
            <v>0</v>
          </cell>
          <cell r="AL51">
            <v>1575129</v>
          </cell>
          <cell r="AM51">
            <v>0</v>
          </cell>
          <cell r="AN51">
            <v>48328</v>
          </cell>
          <cell r="AO51">
            <v>1765833</v>
          </cell>
          <cell r="AP51">
            <v>0</v>
          </cell>
          <cell r="AQ51">
            <v>107167174</v>
          </cell>
          <cell r="AR51">
            <v>2291409</v>
          </cell>
          <cell r="AS51">
            <v>374371</v>
          </cell>
          <cell r="AT51">
            <v>951191</v>
          </cell>
          <cell r="AU51">
            <v>134161</v>
          </cell>
          <cell r="AV51">
            <v>0</v>
          </cell>
          <cell r="AW51">
            <v>52408</v>
          </cell>
          <cell r="AX51">
            <v>26598</v>
          </cell>
          <cell r="AY51">
            <v>3830138</v>
          </cell>
          <cell r="AZ51">
            <v>2196260</v>
          </cell>
          <cell r="BA51">
            <v>5597978</v>
          </cell>
          <cell r="BB51">
            <v>0</v>
          </cell>
          <cell r="BC51">
            <v>0</v>
          </cell>
          <cell r="BD51">
            <v>7794238</v>
          </cell>
          <cell r="BE51">
            <v>892119</v>
          </cell>
          <cell r="BF51">
            <v>202193</v>
          </cell>
          <cell r="BG51">
            <v>7615</v>
          </cell>
          <cell r="BH51">
            <v>0</v>
          </cell>
          <cell r="BI51">
            <v>98558</v>
          </cell>
          <cell r="BJ51">
            <v>0</v>
          </cell>
          <cell r="BK51">
            <v>1200485</v>
          </cell>
          <cell r="BL51">
            <v>1017381</v>
          </cell>
          <cell r="BM51">
            <v>783560</v>
          </cell>
          <cell r="BN51">
            <v>645895</v>
          </cell>
          <cell r="BO51">
            <v>19036</v>
          </cell>
          <cell r="BP51">
            <v>428902</v>
          </cell>
          <cell r="BQ51">
            <v>0</v>
          </cell>
          <cell r="BR51">
            <v>4372946</v>
          </cell>
          <cell r="BS51">
            <v>178961</v>
          </cell>
          <cell r="BT51">
            <v>5889</v>
          </cell>
          <cell r="BU51">
            <v>0</v>
          </cell>
          <cell r="BV51">
            <v>675453</v>
          </cell>
          <cell r="BW51">
            <v>1541520</v>
          </cell>
          <cell r="BX51">
            <v>93730</v>
          </cell>
          <cell r="BY51">
            <v>0</v>
          </cell>
          <cell r="BZ51">
            <v>0</v>
          </cell>
          <cell r="CA51">
            <v>0</v>
          </cell>
          <cell r="CB51">
            <v>18215188</v>
          </cell>
          <cell r="CC51">
            <v>1363792</v>
          </cell>
          <cell r="CD51">
            <v>1309000</v>
          </cell>
          <cell r="CE51">
            <v>276161</v>
          </cell>
          <cell r="CF51">
            <v>98896</v>
          </cell>
          <cell r="CG51">
            <v>123335</v>
          </cell>
          <cell r="CH51">
            <v>0</v>
          </cell>
          <cell r="CI51">
            <v>3171184</v>
          </cell>
          <cell r="CJ51">
            <v>21386372</v>
          </cell>
          <cell r="CK51">
            <v>128553546</v>
          </cell>
          <cell r="CM51">
            <v>1628661</v>
          </cell>
          <cell r="CN51">
            <v>457943</v>
          </cell>
          <cell r="CO51">
            <v>0</v>
          </cell>
          <cell r="CP51">
            <v>0</v>
          </cell>
          <cell r="CQ51">
            <v>0</v>
          </cell>
          <cell r="CR51">
            <v>0</v>
          </cell>
          <cell r="CS51">
            <v>105000</v>
          </cell>
          <cell r="CT51">
            <v>0</v>
          </cell>
          <cell r="CV51">
            <v>0</v>
          </cell>
          <cell r="CW51">
            <v>14440513</v>
          </cell>
          <cell r="CX51">
            <v>2059828</v>
          </cell>
          <cell r="CY51">
            <v>44146</v>
          </cell>
        </row>
        <row r="52">
          <cell r="A52">
            <v>341</v>
          </cell>
          <cell r="B52">
            <v>236722504</v>
          </cell>
          <cell r="C52">
            <v>8184579</v>
          </cell>
          <cell r="D52">
            <v>23005056</v>
          </cell>
          <cell r="E52">
            <v>9509886</v>
          </cell>
          <cell r="F52">
            <v>9681009</v>
          </cell>
          <cell r="G52">
            <v>324000</v>
          </cell>
          <cell r="H52">
            <v>400000</v>
          </cell>
          <cell r="I52">
            <v>4194919</v>
          </cell>
          <cell r="J52">
            <v>968246</v>
          </cell>
          <cell r="K52">
            <v>300015</v>
          </cell>
          <cell r="L52">
            <v>1246003</v>
          </cell>
          <cell r="M52">
            <v>155056</v>
          </cell>
          <cell r="N52">
            <v>357704</v>
          </cell>
          <cell r="O52">
            <v>3054406</v>
          </cell>
          <cell r="P52">
            <v>1589193</v>
          </cell>
          <cell r="Q52">
            <v>2257591</v>
          </cell>
          <cell r="R52">
            <v>738933</v>
          </cell>
          <cell r="S52">
            <v>0</v>
          </cell>
          <cell r="T52">
            <v>14356552</v>
          </cell>
          <cell r="U52">
            <v>0</v>
          </cell>
          <cell r="V52">
            <v>132703</v>
          </cell>
          <cell r="W52">
            <v>487638</v>
          </cell>
          <cell r="X52">
            <v>20871</v>
          </cell>
          <cell r="Y52">
            <v>0</v>
          </cell>
          <cell r="Z52">
            <v>0</v>
          </cell>
          <cell r="AA52">
            <v>0</v>
          </cell>
          <cell r="AB52">
            <v>0</v>
          </cell>
          <cell r="AC52">
            <v>0</v>
          </cell>
          <cell r="AD52">
            <v>610036</v>
          </cell>
          <cell r="AE52">
            <v>0</v>
          </cell>
          <cell r="AF52">
            <v>2427476</v>
          </cell>
          <cell r="AG52">
            <v>29904</v>
          </cell>
          <cell r="AH52">
            <v>21012</v>
          </cell>
          <cell r="AI52">
            <v>916467</v>
          </cell>
          <cell r="AJ52">
            <v>1394031</v>
          </cell>
          <cell r="AK52">
            <v>14492899</v>
          </cell>
          <cell r="AL52">
            <v>983370</v>
          </cell>
          <cell r="AM52">
            <v>0</v>
          </cell>
          <cell r="AN52">
            <v>214658</v>
          </cell>
          <cell r="AO52">
            <v>1896798</v>
          </cell>
          <cell r="AP52">
            <v>0</v>
          </cell>
          <cell r="AQ52">
            <v>340673515</v>
          </cell>
          <cell r="AR52">
            <v>5277092</v>
          </cell>
          <cell r="AS52">
            <v>893520</v>
          </cell>
          <cell r="AT52">
            <v>3193114</v>
          </cell>
          <cell r="AU52">
            <v>1823834</v>
          </cell>
          <cell r="AV52">
            <v>0</v>
          </cell>
          <cell r="AW52">
            <v>0</v>
          </cell>
          <cell r="AX52">
            <v>81932</v>
          </cell>
          <cell r="AY52">
            <v>11269492</v>
          </cell>
          <cell r="AZ52">
            <v>5689053</v>
          </cell>
          <cell r="BA52">
            <v>0</v>
          </cell>
          <cell r="BB52">
            <v>53999</v>
          </cell>
          <cell r="BC52">
            <v>50000</v>
          </cell>
          <cell r="BD52">
            <v>5793052</v>
          </cell>
          <cell r="BE52">
            <v>593441</v>
          </cell>
          <cell r="BF52">
            <v>70000</v>
          </cell>
          <cell r="BG52">
            <v>37841</v>
          </cell>
          <cell r="BH52">
            <v>0</v>
          </cell>
          <cell r="BI52">
            <v>412429</v>
          </cell>
          <cell r="BJ52">
            <v>50000</v>
          </cell>
          <cell r="BK52">
            <v>1163711</v>
          </cell>
          <cell r="BL52">
            <v>5447094</v>
          </cell>
          <cell r="BM52">
            <v>1844106</v>
          </cell>
          <cell r="BN52">
            <v>1810210</v>
          </cell>
          <cell r="BO52">
            <v>125053</v>
          </cell>
          <cell r="BP52">
            <v>0</v>
          </cell>
          <cell r="BQ52">
            <v>1354259</v>
          </cell>
          <cell r="BR52">
            <v>12891154</v>
          </cell>
          <cell r="BS52">
            <v>361033</v>
          </cell>
          <cell r="BT52">
            <v>735852</v>
          </cell>
          <cell r="BU52">
            <v>73129</v>
          </cell>
          <cell r="BV52">
            <v>1479548</v>
          </cell>
          <cell r="BW52">
            <v>3455334</v>
          </cell>
          <cell r="BX52">
            <v>847089</v>
          </cell>
          <cell r="BY52">
            <v>636937</v>
          </cell>
          <cell r="BZ52">
            <v>168604</v>
          </cell>
          <cell r="CA52">
            <v>0</v>
          </cell>
          <cell r="CB52">
            <v>36564503</v>
          </cell>
          <cell r="CC52">
            <v>7972897</v>
          </cell>
          <cell r="CD52">
            <v>6308048</v>
          </cell>
          <cell r="CE52">
            <v>15000</v>
          </cell>
          <cell r="CF52">
            <v>745123</v>
          </cell>
          <cell r="CG52">
            <v>21232</v>
          </cell>
          <cell r="CH52">
            <v>0</v>
          </cell>
          <cell r="CI52">
            <v>15062300</v>
          </cell>
          <cell r="CJ52">
            <v>51626803</v>
          </cell>
          <cell r="CK52">
            <v>392300318</v>
          </cell>
          <cell r="CM52">
            <v>22493361</v>
          </cell>
          <cell r="CN52">
            <v>929400</v>
          </cell>
          <cell r="CO52">
            <v>20000</v>
          </cell>
          <cell r="CP52">
            <v>0</v>
          </cell>
          <cell r="CQ52">
            <v>0</v>
          </cell>
          <cell r="CR52">
            <v>0</v>
          </cell>
          <cell r="CS52">
            <v>611000</v>
          </cell>
          <cell r="CT52">
            <v>0</v>
          </cell>
          <cell r="CV52">
            <v>0</v>
          </cell>
          <cell r="CW52">
            <v>30919000</v>
          </cell>
          <cell r="CX52">
            <v>4316126</v>
          </cell>
          <cell r="CY52">
            <v>1048433</v>
          </cell>
        </row>
        <row r="53">
          <cell r="A53">
            <v>342</v>
          </cell>
          <cell r="B53">
            <v>83958252</v>
          </cell>
          <cell r="C53">
            <v>3085988</v>
          </cell>
          <cell r="D53">
            <v>6496468</v>
          </cell>
          <cell r="E53">
            <v>3067571</v>
          </cell>
          <cell r="F53">
            <v>3703531</v>
          </cell>
          <cell r="G53">
            <v>0</v>
          </cell>
          <cell r="H53">
            <v>50000</v>
          </cell>
          <cell r="I53">
            <v>1339284</v>
          </cell>
          <cell r="J53">
            <v>83546</v>
          </cell>
          <cell r="K53">
            <v>0</v>
          </cell>
          <cell r="L53">
            <v>0</v>
          </cell>
          <cell r="M53">
            <v>0</v>
          </cell>
          <cell r="N53">
            <v>301876</v>
          </cell>
          <cell r="O53">
            <v>1474338</v>
          </cell>
          <cell r="P53">
            <v>1459118</v>
          </cell>
          <cell r="Q53">
            <v>49094</v>
          </cell>
          <cell r="R53">
            <v>130085</v>
          </cell>
          <cell r="S53">
            <v>534263</v>
          </cell>
          <cell r="T53">
            <v>4289844</v>
          </cell>
          <cell r="U53">
            <v>11970</v>
          </cell>
          <cell r="V53">
            <v>59287</v>
          </cell>
          <cell r="W53">
            <v>174250</v>
          </cell>
          <cell r="X53">
            <v>0</v>
          </cell>
          <cell r="Y53">
            <v>0</v>
          </cell>
          <cell r="Z53">
            <v>0</v>
          </cell>
          <cell r="AA53">
            <v>9337</v>
          </cell>
          <cell r="AB53">
            <v>0</v>
          </cell>
          <cell r="AC53">
            <v>174809</v>
          </cell>
          <cell r="AD53">
            <v>153172</v>
          </cell>
          <cell r="AE53">
            <v>64988</v>
          </cell>
          <cell r="AF53">
            <v>408401</v>
          </cell>
          <cell r="AG53">
            <v>91662</v>
          </cell>
          <cell r="AH53">
            <v>37861</v>
          </cell>
          <cell r="AI53">
            <v>0</v>
          </cell>
          <cell r="AJ53">
            <v>864269</v>
          </cell>
          <cell r="AK53">
            <v>474312</v>
          </cell>
          <cell r="AL53">
            <v>0</v>
          </cell>
          <cell r="AM53">
            <v>0</v>
          </cell>
          <cell r="AN53">
            <v>0</v>
          </cell>
          <cell r="AO53">
            <v>2438003</v>
          </cell>
          <cell r="AP53">
            <v>0</v>
          </cell>
          <cell r="AQ53">
            <v>114985579</v>
          </cell>
          <cell r="AR53">
            <v>2787684</v>
          </cell>
          <cell r="AS53">
            <v>224875</v>
          </cell>
          <cell r="AT53">
            <v>1621558</v>
          </cell>
          <cell r="AU53">
            <v>317419</v>
          </cell>
          <cell r="AV53">
            <v>0</v>
          </cell>
          <cell r="AW53">
            <v>0</v>
          </cell>
          <cell r="AX53">
            <v>6747</v>
          </cell>
          <cell r="AY53">
            <v>4958283</v>
          </cell>
          <cell r="AZ53">
            <v>1685339</v>
          </cell>
          <cell r="BA53">
            <v>326906</v>
          </cell>
          <cell r="BB53">
            <v>130494</v>
          </cell>
          <cell r="BC53">
            <v>0</v>
          </cell>
          <cell r="BD53">
            <v>2142739</v>
          </cell>
          <cell r="BE53">
            <v>476461</v>
          </cell>
          <cell r="BF53">
            <v>379078</v>
          </cell>
          <cell r="BG53">
            <v>18410</v>
          </cell>
          <cell r="BH53">
            <v>0</v>
          </cell>
          <cell r="BI53">
            <v>16577</v>
          </cell>
          <cell r="BJ53">
            <v>18410</v>
          </cell>
          <cell r="BK53">
            <v>908936</v>
          </cell>
          <cell r="BL53">
            <v>1704466</v>
          </cell>
          <cell r="BM53">
            <v>193275</v>
          </cell>
          <cell r="BN53">
            <v>451617</v>
          </cell>
          <cell r="BO53">
            <v>0</v>
          </cell>
          <cell r="BP53">
            <v>0</v>
          </cell>
          <cell r="BQ53">
            <v>0</v>
          </cell>
          <cell r="BR53">
            <v>3785645</v>
          </cell>
          <cell r="BS53">
            <v>110662</v>
          </cell>
          <cell r="BT53">
            <v>45198</v>
          </cell>
          <cell r="BU53">
            <v>0</v>
          </cell>
          <cell r="BV53">
            <v>494757</v>
          </cell>
          <cell r="BW53">
            <v>1749782</v>
          </cell>
          <cell r="BX53">
            <v>564054</v>
          </cell>
          <cell r="BY53">
            <v>176300</v>
          </cell>
          <cell r="BZ53">
            <v>0</v>
          </cell>
          <cell r="CA53">
            <v>33999</v>
          </cell>
          <cell r="CB53">
            <v>13534068</v>
          </cell>
          <cell r="CC53">
            <v>1740860</v>
          </cell>
          <cell r="CD53">
            <v>414637</v>
          </cell>
          <cell r="CE53">
            <v>17251</v>
          </cell>
          <cell r="CF53">
            <v>258095</v>
          </cell>
          <cell r="CG53">
            <v>4023</v>
          </cell>
          <cell r="CH53">
            <v>0</v>
          </cell>
          <cell r="CI53">
            <v>2434866</v>
          </cell>
          <cell r="CJ53">
            <v>15968934</v>
          </cell>
          <cell r="CK53">
            <v>130954513</v>
          </cell>
          <cell r="CM53">
            <v>4511519</v>
          </cell>
          <cell r="CN53">
            <v>345732</v>
          </cell>
          <cell r="CO53">
            <v>0</v>
          </cell>
          <cell r="CP53">
            <v>0</v>
          </cell>
          <cell r="CQ53">
            <v>0</v>
          </cell>
          <cell r="CR53">
            <v>0</v>
          </cell>
          <cell r="CS53">
            <v>123043</v>
          </cell>
          <cell r="CT53">
            <v>0</v>
          </cell>
          <cell r="CV53">
            <v>42690</v>
          </cell>
          <cell r="CW53">
            <v>10336207</v>
          </cell>
          <cell r="CX53">
            <v>2090613</v>
          </cell>
          <cell r="CY53">
            <v>33999</v>
          </cell>
        </row>
        <row r="54">
          <cell r="A54">
            <v>343</v>
          </cell>
          <cell r="B54">
            <v>135708838</v>
          </cell>
          <cell r="C54">
            <v>5168613</v>
          </cell>
          <cell r="D54">
            <v>11160584</v>
          </cell>
          <cell r="E54">
            <v>3113908</v>
          </cell>
          <cell r="F54">
            <v>5906940</v>
          </cell>
          <cell r="G54">
            <v>0</v>
          </cell>
          <cell r="H54">
            <v>0</v>
          </cell>
          <cell r="I54">
            <v>312382</v>
          </cell>
          <cell r="J54">
            <v>409468</v>
          </cell>
          <cell r="K54">
            <v>688065</v>
          </cell>
          <cell r="L54">
            <v>694331</v>
          </cell>
          <cell r="M54">
            <v>33950</v>
          </cell>
          <cell r="N54">
            <v>227750</v>
          </cell>
          <cell r="O54">
            <v>2922443</v>
          </cell>
          <cell r="P54">
            <v>592323</v>
          </cell>
          <cell r="Q54">
            <v>887420</v>
          </cell>
          <cell r="R54">
            <v>559010</v>
          </cell>
          <cell r="S54">
            <v>552160</v>
          </cell>
          <cell r="T54">
            <v>1879348</v>
          </cell>
          <cell r="U54">
            <v>607550</v>
          </cell>
          <cell r="V54">
            <v>20660</v>
          </cell>
          <cell r="W54">
            <v>111300</v>
          </cell>
          <cell r="X54">
            <v>0</v>
          </cell>
          <cell r="Y54">
            <v>0</v>
          </cell>
          <cell r="Z54">
            <v>791590</v>
          </cell>
          <cell r="AA54">
            <v>0</v>
          </cell>
          <cell r="AB54">
            <v>0</v>
          </cell>
          <cell r="AC54">
            <v>34100</v>
          </cell>
          <cell r="AD54">
            <v>8260</v>
          </cell>
          <cell r="AE54">
            <v>11030</v>
          </cell>
          <cell r="AF54">
            <v>818000</v>
          </cell>
          <cell r="AG54">
            <v>72380</v>
          </cell>
          <cell r="AH54">
            <v>13380</v>
          </cell>
          <cell r="AI54">
            <v>141110</v>
          </cell>
          <cell r="AJ54">
            <v>3474949</v>
          </cell>
          <cell r="AK54">
            <v>69744</v>
          </cell>
          <cell r="AL54">
            <v>1525289</v>
          </cell>
          <cell r="AM54">
            <v>0</v>
          </cell>
          <cell r="AN54">
            <v>75854</v>
          </cell>
          <cell r="AO54">
            <v>555901</v>
          </cell>
          <cell r="AP54">
            <v>0</v>
          </cell>
          <cell r="AQ54">
            <v>179148630</v>
          </cell>
          <cell r="AR54">
            <v>1385900</v>
          </cell>
          <cell r="AS54">
            <v>663540</v>
          </cell>
          <cell r="AT54">
            <v>1184950</v>
          </cell>
          <cell r="AU54">
            <v>274700</v>
          </cell>
          <cell r="AV54">
            <v>0</v>
          </cell>
          <cell r="AW54">
            <v>3550</v>
          </cell>
          <cell r="AX54">
            <v>23508</v>
          </cell>
          <cell r="AY54">
            <v>3536148</v>
          </cell>
          <cell r="AZ54">
            <v>230402</v>
          </cell>
          <cell r="BA54">
            <v>17436</v>
          </cell>
          <cell r="BB54">
            <v>201930</v>
          </cell>
          <cell r="BC54">
            <v>28000</v>
          </cell>
          <cell r="BD54">
            <v>477768</v>
          </cell>
          <cell r="BE54">
            <v>720584</v>
          </cell>
          <cell r="BF54">
            <v>70000</v>
          </cell>
          <cell r="BG54">
            <v>5040</v>
          </cell>
          <cell r="BH54">
            <v>1556786</v>
          </cell>
          <cell r="BI54">
            <v>91350</v>
          </cell>
          <cell r="BJ54">
            <v>0</v>
          </cell>
          <cell r="BK54">
            <v>2443760</v>
          </cell>
          <cell r="BL54">
            <v>1789394</v>
          </cell>
          <cell r="BM54">
            <v>83510</v>
          </cell>
          <cell r="BN54">
            <v>652930</v>
          </cell>
          <cell r="BO54">
            <v>159698</v>
          </cell>
          <cell r="BP54">
            <v>0</v>
          </cell>
          <cell r="BQ54">
            <v>0</v>
          </cell>
          <cell r="BR54">
            <v>4685258</v>
          </cell>
          <cell r="BS54">
            <v>156940</v>
          </cell>
          <cell r="BT54">
            <v>3670</v>
          </cell>
          <cell r="BU54">
            <v>251200</v>
          </cell>
          <cell r="BV54">
            <v>314800</v>
          </cell>
          <cell r="BW54">
            <v>2757050</v>
          </cell>
          <cell r="BX54">
            <v>0</v>
          </cell>
          <cell r="BY54">
            <v>305460</v>
          </cell>
          <cell r="BZ54">
            <v>0</v>
          </cell>
          <cell r="CA54">
            <v>3508576</v>
          </cell>
          <cell r="CB54">
            <v>16440904</v>
          </cell>
          <cell r="CC54">
            <v>1977260</v>
          </cell>
          <cell r="CD54">
            <v>954830</v>
          </cell>
          <cell r="CE54">
            <v>5621</v>
          </cell>
          <cell r="CF54">
            <v>797289</v>
          </cell>
          <cell r="CG54">
            <v>26150</v>
          </cell>
          <cell r="CH54">
            <v>0</v>
          </cell>
          <cell r="CI54">
            <v>3761150</v>
          </cell>
          <cell r="CJ54">
            <v>20202054</v>
          </cell>
          <cell r="CK54">
            <v>199350684</v>
          </cell>
          <cell r="CM54">
            <v>9588166</v>
          </cell>
          <cell r="CN54">
            <v>382824</v>
          </cell>
          <cell r="CO54">
            <v>0</v>
          </cell>
          <cell r="CP54">
            <v>0</v>
          </cell>
          <cell r="CQ54">
            <v>0</v>
          </cell>
          <cell r="CR54">
            <v>0</v>
          </cell>
          <cell r="CS54">
            <v>574475</v>
          </cell>
          <cell r="CT54">
            <v>0</v>
          </cell>
          <cell r="CV54">
            <v>0</v>
          </cell>
          <cell r="CW54">
            <v>9609313</v>
          </cell>
          <cell r="CX54">
            <v>2744376</v>
          </cell>
          <cell r="CY54">
            <v>669200</v>
          </cell>
        </row>
        <row r="55">
          <cell r="A55">
            <v>344</v>
          </cell>
          <cell r="B55">
            <v>157069700</v>
          </cell>
          <cell r="C55">
            <v>5841100</v>
          </cell>
          <cell r="D55">
            <v>12055800</v>
          </cell>
          <cell r="E55">
            <v>5220000</v>
          </cell>
          <cell r="F55">
            <v>7354200</v>
          </cell>
          <cell r="G55">
            <v>128000</v>
          </cell>
          <cell r="H55">
            <v>0</v>
          </cell>
          <cell r="I55">
            <v>3640175</v>
          </cell>
          <cell r="J55">
            <v>0</v>
          </cell>
          <cell r="K55">
            <v>0</v>
          </cell>
          <cell r="L55">
            <v>607625</v>
          </cell>
          <cell r="M55">
            <v>175000</v>
          </cell>
          <cell r="N55">
            <v>246700</v>
          </cell>
          <cell r="O55">
            <v>3643300</v>
          </cell>
          <cell r="P55">
            <v>917300</v>
          </cell>
          <cell r="Q55">
            <v>21700</v>
          </cell>
          <cell r="R55">
            <v>81300</v>
          </cell>
          <cell r="S55">
            <v>0</v>
          </cell>
          <cell r="T55">
            <v>6462900</v>
          </cell>
          <cell r="U55">
            <v>0</v>
          </cell>
          <cell r="V55">
            <v>17200</v>
          </cell>
          <cell r="W55">
            <v>437200</v>
          </cell>
          <cell r="X55">
            <v>0</v>
          </cell>
          <cell r="Y55">
            <v>0</v>
          </cell>
          <cell r="Z55">
            <v>31000</v>
          </cell>
          <cell r="AA55">
            <v>0</v>
          </cell>
          <cell r="AB55">
            <v>0</v>
          </cell>
          <cell r="AC55">
            <v>184000</v>
          </cell>
          <cell r="AD55">
            <v>375700</v>
          </cell>
          <cell r="AE55">
            <v>53900</v>
          </cell>
          <cell r="AF55">
            <v>253900</v>
          </cell>
          <cell r="AG55">
            <v>105800</v>
          </cell>
          <cell r="AH55">
            <v>10200</v>
          </cell>
          <cell r="AI55">
            <v>745100</v>
          </cell>
          <cell r="AJ55">
            <v>1881000</v>
          </cell>
          <cell r="AK55">
            <v>663200</v>
          </cell>
          <cell r="AL55">
            <v>409600</v>
          </cell>
          <cell r="AM55">
            <v>0</v>
          </cell>
          <cell r="AN55">
            <v>216800</v>
          </cell>
          <cell r="AO55">
            <v>3634100</v>
          </cell>
          <cell r="AP55">
            <v>0</v>
          </cell>
          <cell r="AQ55">
            <v>212483500</v>
          </cell>
          <cell r="AR55">
            <v>3061500</v>
          </cell>
          <cell r="AS55">
            <v>561000</v>
          </cell>
          <cell r="AT55">
            <v>2636900</v>
          </cell>
          <cell r="AU55">
            <v>459300</v>
          </cell>
          <cell r="AV55">
            <v>0</v>
          </cell>
          <cell r="AW55">
            <v>0</v>
          </cell>
          <cell r="AX55">
            <v>10100</v>
          </cell>
          <cell r="AY55">
            <v>6728800</v>
          </cell>
          <cell r="AZ55">
            <v>1530900</v>
          </cell>
          <cell r="BA55">
            <v>0</v>
          </cell>
          <cell r="BB55">
            <v>83300</v>
          </cell>
          <cell r="BC55">
            <v>7500</v>
          </cell>
          <cell r="BD55">
            <v>1621700</v>
          </cell>
          <cell r="BE55">
            <v>803800</v>
          </cell>
          <cell r="BF55">
            <v>356700</v>
          </cell>
          <cell r="BG55">
            <v>75300</v>
          </cell>
          <cell r="BH55">
            <v>89900</v>
          </cell>
          <cell r="BI55">
            <v>66400</v>
          </cell>
          <cell r="BJ55">
            <v>0</v>
          </cell>
          <cell r="BK55">
            <v>1392100</v>
          </cell>
          <cell r="BL55">
            <v>1377200</v>
          </cell>
          <cell r="BM55">
            <v>885600</v>
          </cell>
          <cell r="BN55">
            <v>1083200</v>
          </cell>
          <cell r="BO55">
            <v>672400</v>
          </cell>
          <cell r="BP55">
            <v>9500</v>
          </cell>
          <cell r="BQ55">
            <v>275600</v>
          </cell>
          <cell r="BR55">
            <v>7544400</v>
          </cell>
          <cell r="BS55">
            <v>0</v>
          </cell>
          <cell r="BT55">
            <v>10200</v>
          </cell>
          <cell r="BU55">
            <v>4000</v>
          </cell>
          <cell r="BV55">
            <v>63000</v>
          </cell>
          <cell r="BW55">
            <v>3784600</v>
          </cell>
          <cell r="BX55">
            <v>606600</v>
          </cell>
          <cell r="BY55">
            <v>68000</v>
          </cell>
          <cell r="BZ55">
            <v>81700</v>
          </cell>
          <cell r="CA55">
            <v>0</v>
          </cell>
          <cell r="CB55">
            <v>18664200</v>
          </cell>
          <cell r="CC55">
            <v>2886900</v>
          </cell>
          <cell r="CD55">
            <v>727600</v>
          </cell>
          <cell r="CE55">
            <v>5000</v>
          </cell>
          <cell r="CF55">
            <v>324900</v>
          </cell>
          <cell r="CG55">
            <v>13800</v>
          </cell>
          <cell r="CH55">
            <v>0</v>
          </cell>
          <cell r="CI55">
            <v>3958200</v>
          </cell>
          <cell r="CJ55">
            <v>22622400</v>
          </cell>
          <cell r="CK55">
            <v>235105900</v>
          </cell>
          <cell r="CM55">
            <v>14997500</v>
          </cell>
          <cell r="CN55">
            <v>529400</v>
          </cell>
          <cell r="CO55">
            <v>90000</v>
          </cell>
          <cell r="CP55">
            <v>0</v>
          </cell>
          <cell r="CQ55">
            <v>0</v>
          </cell>
          <cell r="CR55">
            <v>0</v>
          </cell>
          <cell r="CS55">
            <v>800000</v>
          </cell>
          <cell r="CT55">
            <v>0</v>
          </cell>
          <cell r="CV55">
            <v>0</v>
          </cell>
          <cell r="CW55">
            <v>15466000</v>
          </cell>
          <cell r="CX55">
            <v>3634100</v>
          </cell>
          <cell r="CY55">
            <v>266000</v>
          </cell>
        </row>
        <row r="56">
          <cell r="A56">
            <v>350</v>
          </cell>
          <cell r="B56">
            <v>135748719</v>
          </cell>
          <cell r="C56">
            <v>5096112</v>
          </cell>
          <cell r="D56">
            <v>13150506</v>
          </cell>
          <cell r="E56">
            <v>2184417</v>
          </cell>
          <cell r="F56">
            <v>5394843</v>
          </cell>
          <cell r="G56">
            <v>0</v>
          </cell>
          <cell r="H56">
            <v>0</v>
          </cell>
          <cell r="I56">
            <v>463175</v>
          </cell>
          <cell r="J56">
            <v>51422</v>
          </cell>
          <cell r="K56">
            <v>1746843</v>
          </cell>
          <cell r="L56">
            <v>4031</v>
          </cell>
          <cell r="M56">
            <v>290598</v>
          </cell>
          <cell r="N56">
            <v>-93920</v>
          </cell>
          <cell r="O56">
            <v>1615671</v>
          </cell>
          <cell r="P56">
            <v>1650672</v>
          </cell>
          <cell r="Q56">
            <v>689500</v>
          </cell>
          <cell r="R56">
            <v>536687</v>
          </cell>
          <cell r="S56">
            <v>434209</v>
          </cell>
          <cell r="T56">
            <v>2524225</v>
          </cell>
          <cell r="U56">
            <v>760780</v>
          </cell>
          <cell r="V56">
            <v>44798</v>
          </cell>
          <cell r="W56">
            <v>85100</v>
          </cell>
          <cell r="X56">
            <v>26617</v>
          </cell>
          <cell r="Y56">
            <v>5500</v>
          </cell>
          <cell r="Z56">
            <v>1059599</v>
          </cell>
          <cell r="AA56">
            <v>0</v>
          </cell>
          <cell r="AB56">
            <v>29700</v>
          </cell>
          <cell r="AC56">
            <v>268000</v>
          </cell>
          <cell r="AD56">
            <v>175552</v>
          </cell>
          <cell r="AE56">
            <v>74690</v>
          </cell>
          <cell r="AF56">
            <v>140500</v>
          </cell>
          <cell r="AG56">
            <v>57400</v>
          </cell>
          <cell r="AH56">
            <v>15700</v>
          </cell>
          <cell r="AI56">
            <v>702000</v>
          </cell>
          <cell r="AJ56">
            <v>1644885</v>
          </cell>
          <cell r="AK56">
            <v>0</v>
          </cell>
          <cell r="AL56">
            <v>0</v>
          </cell>
          <cell r="AM56">
            <v>0</v>
          </cell>
          <cell r="AN56">
            <v>498015</v>
          </cell>
          <cell r="AO56">
            <v>4530622</v>
          </cell>
          <cell r="AP56">
            <v>0</v>
          </cell>
          <cell r="AQ56">
            <v>181607168</v>
          </cell>
          <cell r="AR56">
            <v>2943700</v>
          </cell>
          <cell r="AS56">
            <v>489589</v>
          </cell>
          <cell r="AT56">
            <v>1220376</v>
          </cell>
          <cell r="AU56">
            <v>442700</v>
          </cell>
          <cell r="AV56">
            <v>0</v>
          </cell>
          <cell r="AW56">
            <v>108760</v>
          </cell>
          <cell r="AX56">
            <v>9562</v>
          </cell>
          <cell r="AY56">
            <v>5214687</v>
          </cell>
          <cell r="AZ56">
            <v>2501131</v>
          </cell>
          <cell r="BA56">
            <v>253700</v>
          </cell>
          <cell r="BB56">
            <v>0</v>
          </cell>
          <cell r="BC56">
            <v>0</v>
          </cell>
          <cell r="BD56">
            <v>2754831</v>
          </cell>
          <cell r="BE56">
            <v>371734</v>
          </cell>
          <cell r="BF56">
            <v>245135</v>
          </cell>
          <cell r="BG56">
            <v>48511</v>
          </cell>
          <cell r="BH56">
            <v>63600</v>
          </cell>
          <cell r="BI56">
            <v>64115</v>
          </cell>
          <cell r="BJ56">
            <v>0</v>
          </cell>
          <cell r="BK56">
            <v>793095</v>
          </cell>
          <cell r="BL56">
            <v>1940133</v>
          </cell>
          <cell r="BM56">
            <v>164938</v>
          </cell>
          <cell r="BN56">
            <v>811102</v>
          </cell>
          <cell r="BO56">
            <v>138364</v>
          </cell>
          <cell r="BP56">
            <v>101900</v>
          </cell>
          <cell r="BQ56">
            <v>0</v>
          </cell>
          <cell r="BR56">
            <v>4270325</v>
          </cell>
          <cell r="BS56">
            <v>26989</v>
          </cell>
          <cell r="BT56">
            <v>53763</v>
          </cell>
          <cell r="BU56">
            <v>10687</v>
          </cell>
          <cell r="BV56">
            <v>133451</v>
          </cell>
          <cell r="BW56">
            <v>2546218</v>
          </cell>
          <cell r="BX56">
            <v>282913</v>
          </cell>
          <cell r="BY56">
            <v>0</v>
          </cell>
          <cell r="BZ56">
            <v>0</v>
          </cell>
          <cell r="CA56">
            <v>189670</v>
          </cell>
          <cell r="CB56">
            <v>15162741</v>
          </cell>
          <cell r="CC56">
            <v>2008477</v>
          </cell>
          <cell r="CD56">
            <v>0</v>
          </cell>
          <cell r="CE56">
            <v>243592</v>
          </cell>
          <cell r="CF56">
            <v>253739</v>
          </cell>
          <cell r="CG56">
            <v>53201</v>
          </cell>
          <cell r="CH56">
            <v>0</v>
          </cell>
          <cell r="CI56">
            <v>2559009</v>
          </cell>
          <cell r="CJ56">
            <v>17721750</v>
          </cell>
          <cell r="CK56">
            <v>199328918</v>
          </cell>
          <cell r="CM56">
            <v>7101623</v>
          </cell>
          <cell r="CN56">
            <v>850660</v>
          </cell>
          <cell r="CO56">
            <v>0</v>
          </cell>
          <cell r="CP56">
            <v>0</v>
          </cell>
          <cell r="CQ56">
            <v>58050</v>
          </cell>
          <cell r="CR56">
            <v>0</v>
          </cell>
          <cell r="CS56">
            <v>161567</v>
          </cell>
          <cell r="CT56">
            <v>0</v>
          </cell>
          <cell r="CV56">
            <v>0</v>
          </cell>
          <cell r="CW56">
            <v>12877499</v>
          </cell>
          <cell r="CX56">
            <v>3443294</v>
          </cell>
          <cell r="CY56">
            <v>55643</v>
          </cell>
        </row>
        <row r="57">
          <cell r="A57">
            <v>351</v>
          </cell>
          <cell r="B57">
            <v>80821776.090000004</v>
          </cell>
          <cell r="C57">
            <v>3490199</v>
          </cell>
          <cell r="D57">
            <v>4349090</v>
          </cell>
          <cell r="E57">
            <v>781419</v>
          </cell>
          <cell r="F57">
            <v>3535016</v>
          </cell>
          <cell r="G57">
            <v>0</v>
          </cell>
          <cell r="H57">
            <v>0</v>
          </cell>
          <cell r="I57">
            <v>46600</v>
          </cell>
          <cell r="J57">
            <v>0</v>
          </cell>
          <cell r="K57">
            <v>0</v>
          </cell>
          <cell r="L57">
            <v>403300</v>
          </cell>
          <cell r="M57">
            <v>390548</v>
          </cell>
          <cell r="N57">
            <v>632124</v>
          </cell>
          <cell r="O57">
            <v>3548815</v>
          </cell>
          <cell r="P57">
            <v>1727100</v>
          </cell>
          <cell r="Q57">
            <v>75300</v>
          </cell>
          <cell r="R57">
            <v>157400</v>
          </cell>
          <cell r="S57">
            <v>0</v>
          </cell>
          <cell r="T57">
            <v>3036645</v>
          </cell>
          <cell r="U57">
            <v>3099700</v>
          </cell>
          <cell r="V57">
            <v>0</v>
          </cell>
          <cell r="W57">
            <v>0</v>
          </cell>
          <cell r="X57">
            <v>0</v>
          </cell>
          <cell r="Y57">
            <v>13600</v>
          </cell>
          <cell r="Z57">
            <v>0</v>
          </cell>
          <cell r="AA57">
            <v>0</v>
          </cell>
          <cell r="AB57">
            <v>0</v>
          </cell>
          <cell r="AC57">
            <v>59800</v>
          </cell>
          <cell r="AD57">
            <v>129700</v>
          </cell>
          <cell r="AE57">
            <v>0</v>
          </cell>
          <cell r="AF57">
            <v>534751</v>
          </cell>
          <cell r="AG57">
            <v>0</v>
          </cell>
          <cell r="AH57">
            <v>4200</v>
          </cell>
          <cell r="AI57">
            <v>460300</v>
          </cell>
          <cell r="AJ57">
            <v>2754991</v>
          </cell>
          <cell r="AK57">
            <v>0</v>
          </cell>
          <cell r="AL57">
            <v>50581</v>
          </cell>
          <cell r="AM57">
            <v>0</v>
          </cell>
          <cell r="AN57">
            <v>0</v>
          </cell>
          <cell r="AO57">
            <v>0</v>
          </cell>
          <cell r="AP57">
            <v>0</v>
          </cell>
          <cell r="AQ57">
            <v>110102955.09</v>
          </cell>
          <cell r="AR57">
            <v>2273900</v>
          </cell>
          <cell r="AS57">
            <v>139900</v>
          </cell>
          <cell r="AT57">
            <v>1109100</v>
          </cell>
          <cell r="AU57">
            <v>202200</v>
          </cell>
          <cell r="AV57">
            <v>0</v>
          </cell>
          <cell r="AW57">
            <v>79600</v>
          </cell>
          <cell r="AX57">
            <v>0</v>
          </cell>
          <cell r="AY57">
            <v>3804700</v>
          </cell>
          <cell r="AZ57">
            <v>1759243</v>
          </cell>
          <cell r="BA57">
            <v>0</v>
          </cell>
          <cell r="BB57">
            <v>0</v>
          </cell>
          <cell r="BC57">
            <v>0</v>
          </cell>
          <cell r="BD57">
            <v>1759243</v>
          </cell>
          <cell r="BE57">
            <v>579400</v>
          </cell>
          <cell r="BF57">
            <v>37900</v>
          </cell>
          <cell r="BG57">
            <v>90600</v>
          </cell>
          <cell r="BH57">
            <v>0</v>
          </cell>
          <cell r="BI57">
            <v>68400</v>
          </cell>
          <cell r="BJ57">
            <v>194800</v>
          </cell>
          <cell r="BK57">
            <v>971100</v>
          </cell>
          <cell r="BL57">
            <v>805650</v>
          </cell>
          <cell r="BM57">
            <v>165700</v>
          </cell>
          <cell r="BN57">
            <v>525800</v>
          </cell>
          <cell r="BO57">
            <v>43000</v>
          </cell>
          <cell r="BP57">
            <v>38000</v>
          </cell>
          <cell r="BQ57">
            <v>0</v>
          </cell>
          <cell r="BR57">
            <v>2160449</v>
          </cell>
          <cell r="BS57">
            <v>100100</v>
          </cell>
          <cell r="BT57">
            <v>0</v>
          </cell>
          <cell r="BU57">
            <v>0</v>
          </cell>
          <cell r="BV57">
            <v>0</v>
          </cell>
          <cell r="BW57">
            <v>1043900</v>
          </cell>
          <cell r="BX57">
            <v>142049</v>
          </cell>
          <cell r="BY57">
            <v>25900</v>
          </cell>
          <cell r="BZ57">
            <v>76000</v>
          </cell>
          <cell r="CA57">
            <v>0</v>
          </cell>
          <cell r="CB57">
            <v>9501142</v>
          </cell>
          <cell r="CC57">
            <v>3186268</v>
          </cell>
          <cell r="CD57">
            <v>3555457</v>
          </cell>
          <cell r="CE57">
            <v>0</v>
          </cell>
          <cell r="CF57">
            <v>278100</v>
          </cell>
          <cell r="CG57">
            <v>19100</v>
          </cell>
          <cell r="CH57">
            <v>0</v>
          </cell>
          <cell r="CI57">
            <v>7038925</v>
          </cell>
          <cell r="CJ57">
            <v>16540067</v>
          </cell>
          <cell r="CK57">
            <v>126643022.09</v>
          </cell>
          <cell r="CM57">
            <v>0</v>
          </cell>
          <cell r="CN57">
            <v>344700</v>
          </cell>
          <cell r="CO57">
            <v>0</v>
          </cell>
          <cell r="CP57">
            <v>0</v>
          </cell>
          <cell r="CQ57">
            <v>0</v>
          </cell>
          <cell r="CR57">
            <v>0</v>
          </cell>
          <cell r="CS57">
            <v>368000</v>
          </cell>
          <cell r="CT57">
            <v>0</v>
          </cell>
          <cell r="CV57">
            <v>0</v>
          </cell>
          <cell r="CW57">
            <v>7971400</v>
          </cell>
          <cell r="CX57">
            <v>2090400</v>
          </cell>
          <cell r="CY57">
            <v>45255</v>
          </cell>
        </row>
        <row r="58">
          <cell r="A58">
            <v>352</v>
          </cell>
          <cell r="B58">
            <v>213131727</v>
          </cell>
          <cell r="C58">
            <v>7472294</v>
          </cell>
          <cell r="D58">
            <v>22158714</v>
          </cell>
          <cell r="E58">
            <v>6918219</v>
          </cell>
          <cell r="F58">
            <v>6724204</v>
          </cell>
          <cell r="G58">
            <v>0</v>
          </cell>
          <cell r="H58">
            <v>0</v>
          </cell>
          <cell r="I58">
            <v>3645998</v>
          </cell>
          <cell r="J58">
            <v>2470211</v>
          </cell>
          <cell r="K58">
            <v>0</v>
          </cell>
          <cell r="L58">
            <v>0</v>
          </cell>
          <cell r="M58">
            <v>1575502</v>
          </cell>
          <cell r="N58">
            <v>891505</v>
          </cell>
          <cell r="O58">
            <v>10496812</v>
          </cell>
          <cell r="P58">
            <v>1127041</v>
          </cell>
          <cell r="Q58">
            <v>2472167</v>
          </cell>
          <cell r="R58">
            <v>1155989</v>
          </cell>
          <cell r="S58">
            <v>0</v>
          </cell>
          <cell r="T58">
            <v>1425582</v>
          </cell>
          <cell r="U58">
            <v>776397</v>
          </cell>
          <cell r="V58">
            <v>0</v>
          </cell>
          <cell r="W58">
            <v>0</v>
          </cell>
          <cell r="X58">
            <v>0</v>
          </cell>
          <cell r="Y58">
            <v>0</v>
          </cell>
          <cell r="Z58">
            <v>85585</v>
          </cell>
          <cell r="AA58">
            <v>0</v>
          </cell>
          <cell r="AB58">
            <v>0</v>
          </cell>
          <cell r="AC58">
            <v>0</v>
          </cell>
          <cell r="AD58">
            <v>1170637</v>
          </cell>
          <cell r="AE58">
            <v>95200</v>
          </cell>
          <cell r="AF58">
            <v>253830</v>
          </cell>
          <cell r="AG58">
            <v>0</v>
          </cell>
          <cell r="AH58">
            <v>15000</v>
          </cell>
          <cell r="AI58">
            <v>262674</v>
          </cell>
          <cell r="AJ58">
            <v>4914650</v>
          </cell>
          <cell r="AK58">
            <v>0</v>
          </cell>
          <cell r="AL58">
            <v>2162542</v>
          </cell>
          <cell r="AM58">
            <v>0</v>
          </cell>
          <cell r="AN58">
            <v>916938</v>
          </cell>
          <cell r="AO58">
            <v>2237677</v>
          </cell>
          <cell r="AP58">
            <v>0</v>
          </cell>
          <cell r="AQ58">
            <v>294557095</v>
          </cell>
          <cell r="AR58">
            <v>2754394</v>
          </cell>
          <cell r="AS58">
            <v>4163034</v>
          </cell>
          <cell r="AT58">
            <v>0</v>
          </cell>
          <cell r="AU58">
            <v>2303834</v>
          </cell>
          <cell r="AV58">
            <v>0</v>
          </cell>
          <cell r="AW58">
            <v>167360</v>
          </cell>
          <cell r="AX58">
            <v>0</v>
          </cell>
          <cell r="AY58">
            <v>9388622</v>
          </cell>
          <cell r="AZ58">
            <v>3294348</v>
          </cell>
          <cell r="BA58">
            <v>2633530</v>
          </cell>
          <cell r="BB58">
            <v>0</v>
          </cell>
          <cell r="BC58">
            <v>0</v>
          </cell>
          <cell r="BD58">
            <v>5927878</v>
          </cell>
          <cell r="BE58">
            <v>1092883</v>
          </cell>
          <cell r="BF58">
            <v>0</v>
          </cell>
          <cell r="BG58">
            <v>199710</v>
          </cell>
          <cell r="BH58">
            <v>0</v>
          </cell>
          <cell r="BI58">
            <v>273372</v>
          </cell>
          <cell r="BJ58">
            <v>0</v>
          </cell>
          <cell r="BK58">
            <v>1565965</v>
          </cell>
          <cell r="BL58">
            <v>3262622</v>
          </cell>
          <cell r="BM58">
            <v>819303</v>
          </cell>
          <cell r="BN58">
            <v>1677850</v>
          </cell>
          <cell r="BO58">
            <v>52068</v>
          </cell>
          <cell r="BP58">
            <v>132750</v>
          </cell>
          <cell r="BQ58">
            <v>513617</v>
          </cell>
          <cell r="BR58">
            <v>11078808</v>
          </cell>
          <cell r="BS58">
            <v>75675</v>
          </cell>
          <cell r="BT58">
            <v>711400</v>
          </cell>
          <cell r="BU58">
            <v>0</v>
          </cell>
          <cell r="BV58">
            <v>521178</v>
          </cell>
          <cell r="BW58">
            <v>6237247</v>
          </cell>
          <cell r="BX58">
            <v>0</v>
          </cell>
          <cell r="BY58">
            <v>337720</v>
          </cell>
          <cell r="BZ58">
            <v>0</v>
          </cell>
          <cell r="CA58">
            <v>0</v>
          </cell>
          <cell r="CB58">
            <v>31223895</v>
          </cell>
          <cell r="CC58">
            <v>5686732</v>
          </cell>
          <cell r="CD58">
            <v>11559210</v>
          </cell>
          <cell r="CE58">
            <v>44792</v>
          </cell>
          <cell r="CF58">
            <v>483621</v>
          </cell>
          <cell r="CG58">
            <v>1120493</v>
          </cell>
          <cell r="CH58">
            <v>0</v>
          </cell>
          <cell r="CI58">
            <v>18894848</v>
          </cell>
          <cell r="CJ58">
            <v>50118743</v>
          </cell>
          <cell r="CK58">
            <v>344675838</v>
          </cell>
          <cell r="CM58">
            <v>4055838</v>
          </cell>
          <cell r="CN58">
            <v>0</v>
          </cell>
          <cell r="CO58">
            <v>1738702</v>
          </cell>
          <cell r="CP58">
            <v>0</v>
          </cell>
          <cell r="CQ58">
            <v>0</v>
          </cell>
          <cell r="CR58">
            <v>0</v>
          </cell>
          <cell r="CS58">
            <v>0</v>
          </cell>
          <cell r="CT58">
            <v>0</v>
          </cell>
          <cell r="CV58">
            <v>0</v>
          </cell>
          <cell r="CW58">
            <v>40593000</v>
          </cell>
          <cell r="CX58">
            <v>4973736</v>
          </cell>
          <cell r="CY58">
            <v>0</v>
          </cell>
        </row>
        <row r="59">
          <cell r="A59">
            <v>353</v>
          </cell>
          <cell r="B59">
            <v>119183780</v>
          </cell>
          <cell r="C59">
            <v>4712235</v>
          </cell>
          <cell r="D59">
            <v>11960158</v>
          </cell>
          <cell r="E59">
            <v>3145802</v>
          </cell>
          <cell r="F59">
            <v>4636067</v>
          </cell>
          <cell r="G59">
            <v>0</v>
          </cell>
          <cell r="H59">
            <v>350000</v>
          </cell>
          <cell r="I59">
            <v>2245700</v>
          </cell>
          <cell r="J59">
            <v>80080</v>
          </cell>
          <cell r="K59">
            <v>486438</v>
          </cell>
          <cell r="L59">
            <v>456751</v>
          </cell>
          <cell r="M59">
            <v>385489</v>
          </cell>
          <cell r="N59">
            <v>322070</v>
          </cell>
          <cell r="O59">
            <v>1126720</v>
          </cell>
          <cell r="P59">
            <v>1016890</v>
          </cell>
          <cell r="Q59">
            <v>1239990</v>
          </cell>
          <cell r="R59">
            <v>200935</v>
          </cell>
          <cell r="S59">
            <v>0</v>
          </cell>
          <cell r="T59">
            <v>3439620</v>
          </cell>
          <cell r="U59">
            <v>2005000</v>
          </cell>
          <cell r="V59">
            <v>52950</v>
          </cell>
          <cell r="W59">
            <v>343510</v>
          </cell>
          <cell r="X59">
            <v>153490</v>
          </cell>
          <cell r="Y59">
            <v>0</v>
          </cell>
          <cell r="Z59">
            <v>1365120</v>
          </cell>
          <cell r="AA59">
            <v>53660</v>
          </cell>
          <cell r="AB59">
            <v>30000</v>
          </cell>
          <cell r="AC59">
            <v>0</v>
          </cell>
          <cell r="AD59">
            <v>190576</v>
          </cell>
          <cell r="AE59">
            <v>109600</v>
          </cell>
          <cell r="AF59">
            <v>478610</v>
          </cell>
          <cell r="AG59">
            <v>146440</v>
          </cell>
          <cell r="AH59">
            <v>26230</v>
          </cell>
          <cell r="AI59">
            <v>121670</v>
          </cell>
          <cell r="AJ59">
            <v>1433792</v>
          </cell>
          <cell r="AK59">
            <v>61990</v>
          </cell>
          <cell r="AL59">
            <v>249876</v>
          </cell>
          <cell r="AM59">
            <v>0</v>
          </cell>
          <cell r="AN59">
            <v>180640</v>
          </cell>
          <cell r="AO59">
            <v>3254167</v>
          </cell>
          <cell r="AP59">
            <v>0</v>
          </cell>
          <cell r="AQ59">
            <v>165246046</v>
          </cell>
          <cell r="AR59">
            <v>2964180</v>
          </cell>
          <cell r="AS59">
            <v>1042380</v>
          </cell>
          <cell r="AT59">
            <v>615500</v>
          </cell>
          <cell r="AU59">
            <v>0</v>
          </cell>
          <cell r="AV59">
            <v>0</v>
          </cell>
          <cell r="AW59">
            <v>0</v>
          </cell>
          <cell r="AX59">
            <v>0</v>
          </cell>
          <cell r="AY59">
            <v>4622060</v>
          </cell>
          <cell r="AZ59">
            <v>1590315</v>
          </cell>
          <cell r="BA59">
            <v>903612</v>
          </cell>
          <cell r="BB59">
            <v>64330</v>
          </cell>
          <cell r="BC59">
            <v>0</v>
          </cell>
          <cell r="BD59">
            <v>2558257</v>
          </cell>
          <cell r="BE59">
            <v>594016</v>
          </cell>
          <cell r="BF59">
            <v>386460</v>
          </cell>
          <cell r="BG59">
            <v>102840</v>
          </cell>
          <cell r="BH59">
            <v>51640</v>
          </cell>
          <cell r="BI59">
            <v>65080</v>
          </cell>
          <cell r="BJ59">
            <v>146883</v>
          </cell>
          <cell r="BK59">
            <v>1346919</v>
          </cell>
          <cell r="BL59">
            <v>1381530</v>
          </cell>
          <cell r="BM59">
            <v>669230</v>
          </cell>
          <cell r="BN59">
            <v>366980</v>
          </cell>
          <cell r="BO59">
            <v>206290</v>
          </cell>
          <cell r="BP59">
            <v>276510</v>
          </cell>
          <cell r="BQ59">
            <v>341760</v>
          </cell>
          <cell r="BR59">
            <v>3857185</v>
          </cell>
          <cell r="BS59">
            <v>0</v>
          </cell>
          <cell r="BT59">
            <v>11631</v>
          </cell>
          <cell r="BU59">
            <v>0</v>
          </cell>
          <cell r="BV59">
            <v>54810</v>
          </cell>
          <cell r="BW59">
            <v>1725693</v>
          </cell>
          <cell r="BX59">
            <v>137774</v>
          </cell>
          <cell r="BY59">
            <v>66507</v>
          </cell>
          <cell r="BZ59">
            <v>0</v>
          </cell>
          <cell r="CA59">
            <v>248150</v>
          </cell>
          <cell r="CB59">
            <v>14014101</v>
          </cell>
          <cell r="CC59">
            <v>2854130</v>
          </cell>
          <cell r="CD59">
            <v>4607430</v>
          </cell>
          <cell r="CE59">
            <v>323130</v>
          </cell>
          <cell r="CF59">
            <v>158880</v>
          </cell>
          <cell r="CG59">
            <v>0</v>
          </cell>
          <cell r="CH59">
            <v>502240</v>
          </cell>
          <cell r="CI59">
            <v>8445810</v>
          </cell>
          <cell r="CJ59">
            <v>22459911</v>
          </cell>
          <cell r="CK59">
            <v>187705957</v>
          </cell>
          <cell r="CM59">
            <v>3349915</v>
          </cell>
          <cell r="CN59">
            <v>1285053</v>
          </cell>
          <cell r="CO59">
            <v>0</v>
          </cell>
          <cell r="CP59">
            <v>0</v>
          </cell>
          <cell r="CQ59">
            <v>0</v>
          </cell>
          <cell r="CR59">
            <v>0</v>
          </cell>
          <cell r="CS59">
            <v>0</v>
          </cell>
          <cell r="CT59">
            <v>0</v>
          </cell>
          <cell r="CV59">
            <v>0</v>
          </cell>
          <cell r="CW59">
            <v>13649487</v>
          </cell>
          <cell r="CX59">
            <v>3098854</v>
          </cell>
          <cell r="CY59">
            <v>0</v>
          </cell>
        </row>
        <row r="60">
          <cell r="A60">
            <v>354</v>
          </cell>
          <cell r="B60">
            <v>107732900</v>
          </cell>
          <cell r="C60">
            <v>4012255</v>
          </cell>
          <cell r="D60">
            <v>9554476</v>
          </cell>
          <cell r="E60">
            <v>3319130</v>
          </cell>
          <cell r="F60">
            <v>4163026</v>
          </cell>
          <cell r="G60">
            <v>0</v>
          </cell>
          <cell r="H60">
            <v>0</v>
          </cell>
          <cell r="I60">
            <v>358670</v>
          </cell>
          <cell r="J60">
            <v>161597</v>
          </cell>
          <cell r="K60">
            <v>1708174</v>
          </cell>
          <cell r="L60">
            <v>232900</v>
          </cell>
          <cell r="M60">
            <v>57960</v>
          </cell>
          <cell r="N60">
            <v>569941</v>
          </cell>
          <cell r="O60">
            <v>1563144</v>
          </cell>
          <cell r="P60">
            <v>1694836</v>
          </cell>
          <cell r="Q60">
            <v>298981</v>
          </cell>
          <cell r="R60">
            <v>107076</v>
          </cell>
          <cell r="S60">
            <v>53000</v>
          </cell>
          <cell r="T60">
            <v>2822119</v>
          </cell>
          <cell r="U60">
            <v>29000</v>
          </cell>
          <cell r="V60">
            <v>121301</v>
          </cell>
          <cell r="W60">
            <v>205170</v>
          </cell>
          <cell r="X60">
            <v>0</v>
          </cell>
          <cell r="Y60">
            <v>0</v>
          </cell>
          <cell r="Z60">
            <v>866780</v>
          </cell>
          <cell r="AA60">
            <v>0</v>
          </cell>
          <cell r="AB60">
            <v>0</v>
          </cell>
          <cell r="AC60">
            <v>0</v>
          </cell>
          <cell r="AD60">
            <v>149081</v>
          </cell>
          <cell r="AE60">
            <v>197129</v>
          </cell>
          <cell r="AF60">
            <v>341539</v>
          </cell>
          <cell r="AG60">
            <v>0</v>
          </cell>
          <cell r="AH60">
            <v>18953</v>
          </cell>
          <cell r="AI60">
            <v>433902</v>
          </cell>
          <cell r="AJ60">
            <v>1261816</v>
          </cell>
          <cell r="AK60">
            <v>825300</v>
          </cell>
          <cell r="AL60">
            <v>350161</v>
          </cell>
          <cell r="AM60">
            <v>0</v>
          </cell>
          <cell r="AN60">
            <v>236772</v>
          </cell>
          <cell r="AO60">
            <v>1534707</v>
          </cell>
          <cell r="AP60">
            <v>0</v>
          </cell>
          <cell r="AQ60">
            <v>144981796</v>
          </cell>
          <cell r="AR60">
            <v>2603741</v>
          </cell>
          <cell r="AS60">
            <v>551019</v>
          </cell>
          <cell r="AT60">
            <v>1123697</v>
          </cell>
          <cell r="AU60">
            <v>163722</v>
          </cell>
          <cell r="AV60">
            <v>0</v>
          </cell>
          <cell r="AW60">
            <v>94620</v>
          </cell>
          <cell r="AX60">
            <v>56900</v>
          </cell>
          <cell r="AY60">
            <v>4593699</v>
          </cell>
          <cell r="AZ60">
            <v>2148923</v>
          </cell>
          <cell r="BA60">
            <v>8915775</v>
          </cell>
          <cell r="BB60">
            <v>29264</v>
          </cell>
          <cell r="BC60">
            <v>0</v>
          </cell>
          <cell r="BD60">
            <v>11093962</v>
          </cell>
          <cell r="BE60">
            <v>544380</v>
          </cell>
          <cell r="BF60">
            <v>308139</v>
          </cell>
          <cell r="BG60">
            <v>49404</v>
          </cell>
          <cell r="BH60">
            <v>48000</v>
          </cell>
          <cell r="BI60">
            <v>41600</v>
          </cell>
          <cell r="BJ60">
            <v>99114</v>
          </cell>
          <cell r="BK60">
            <v>1090637</v>
          </cell>
          <cell r="BL60">
            <v>1156088</v>
          </cell>
          <cell r="BM60">
            <v>435290</v>
          </cell>
          <cell r="BN60">
            <v>473581</v>
          </cell>
          <cell r="BO60">
            <v>254168</v>
          </cell>
          <cell r="BP60">
            <v>88233</v>
          </cell>
          <cell r="BQ60">
            <v>0</v>
          </cell>
          <cell r="BR60">
            <v>3838309</v>
          </cell>
          <cell r="BS60">
            <v>117090</v>
          </cell>
          <cell r="BT60">
            <v>29748</v>
          </cell>
          <cell r="BU60">
            <v>20357</v>
          </cell>
          <cell r="BV60">
            <v>212985</v>
          </cell>
          <cell r="BW60">
            <v>1786932</v>
          </cell>
          <cell r="BX60">
            <v>316322</v>
          </cell>
          <cell r="BY60">
            <v>103603</v>
          </cell>
          <cell r="BZ60">
            <v>0</v>
          </cell>
          <cell r="CA60">
            <v>21690</v>
          </cell>
          <cell r="CB60">
            <v>21794385</v>
          </cell>
          <cell r="CC60">
            <v>2292971</v>
          </cell>
          <cell r="CD60">
            <v>5343951</v>
          </cell>
          <cell r="CE60">
            <v>6061</v>
          </cell>
          <cell r="CF60">
            <v>164145</v>
          </cell>
          <cell r="CG60">
            <v>0</v>
          </cell>
          <cell r="CH60">
            <v>0</v>
          </cell>
          <cell r="CI60">
            <v>7807128</v>
          </cell>
          <cell r="CJ60">
            <v>29601513</v>
          </cell>
          <cell r="CK60">
            <v>174583309</v>
          </cell>
          <cell r="CM60">
            <v>3204429</v>
          </cell>
          <cell r="CN60">
            <v>538314</v>
          </cell>
          <cell r="CO60">
            <v>80967</v>
          </cell>
          <cell r="CP60">
            <v>0</v>
          </cell>
          <cell r="CQ60">
            <v>0</v>
          </cell>
          <cell r="CR60">
            <v>0</v>
          </cell>
          <cell r="CS60">
            <v>127651</v>
          </cell>
          <cell r="CT60">
            <v>0</v>
          </cell>
          <cell r="CV60">
            <v>0</v>
          </cell>
          <cell r="CW60">
            <v>11440000</v>
          </cell>
          <cell r="CX60">
            <v>2527246</v>
          </cell>
          <cell r="CY60">
            <v>56274</v>
          </cell>
        </row>
        <row r="61">
          <cell r="A61">
            <v>355</v>
          </cell>
          <cell r="B61">
            <v>99142998</v>
          </cell>
          <cell r="C61">
            <v>4079330</v>
          </cell>
          <cell r="D61">
            <v>7659165</v>
          </cell>
          <cell r="E61">
            <v>4711739</v>
          </cell>
          <cell r="F61">
            <v>3969611</v>
          </cell>
          <cell r="G61">
            <v>0</v>
          </cell>
          <cell r="H61">
            <v>646445</v>
          </cell>
          <cell r="I61">
            <v>189062</v>
          </cell>
          <cell r="J61">
            <v>244589</v>
          </cell>
          <cell r="K61">
            <v>1067514</v>
          </cell>
          <cell r="L61">
            <v>226974</v>
          </cell>
          <cell r="M61">
            <v>40258</v>
          </cell>
          <cell r="N61">
            <v>986340</v>
          </cell>
          <cell r="O61">
            <v>3285399</v>
          </cell>
          <cell r="P61">
            <v>2928506</v>
          </cell>
          <cell r="Q61">
            <v>184286</v>
          </cell>
          <cell r="R61">
            <v>475428</v>
          </cell>
          <cell r="S61">
            <v>0</v>
          </cell>
          <cell r="T61">
            <v>6485247</v>
          </cell>
          <cell r="U61">
            <v>0</v>
          </cell>
          <cell r="V61">
            <v>0</v>
          </cell>
          <cell r="W61">
            <v>2290</v>
          </cell>
          <cell r="X61">
            <v>0</v>
          </cell>
          <cell r="Y61">
            <v>0</v>
          </cell>
          <cell r="Z61">
            <v>0</v>
          </cell>
          <cell r="AA61">
            <v>0</v>
          </cell>
          <cell r="AB61">
            <v>58615</v>
          </cell>
          <cell r="AC61">
            <v>6822</v>
          </cell>
          <cell r="AD61">
            <v>157617</v>
          </cell>
          <cell r="AE61">
            <v>0</v>
          </cell>
          <cell r="AF61">
            <v>329472</v>
          </cell>
          <cell r="AG61">
            <v>109082</v>
          </cell>
          <cell r="AH61">
            <v>64413</v>
          </cell>
          <cell r="AI61">
            <v>415691</v>
          </cell>
          <cell r="AJ61">
            <v>3902099</v>
          </cell>
          <cell r="AK61">
            <v>0</v>
          </cell>
          <cell r="AL61">
            <v>0</v>
          </cell>
          <cell r="AM61">
            <v>0</v>
          </cell>
          <cell r="AN61">
            <v>187738</v>
          </cell>
          <cell r="AO61">
            <v>1044164</v>
          </cell>
          <cell r="AP61">
            <v>0</v>
          </cell>
          <cell r="AQ61">
            <v>142600894</v>
          </cell>
          <cell r="AR61">
            <v>1942824</v>
          </cell>
          <cell r="AS61">
            <v>2328848</v>
          </cell>
          <cell r="AT61">
            <v>0</v>
          </cell>
          <cell r="AU61">
            <v>12835</v>
          </cell>
          <cell r="AV61">
            <v>13360</v>
          </cell>
          <cell r="AW61">
            <v>22836</v>
          </cell>
          <cell r="AX61">
            <v>256332</v>
          </cell>
          <cell r="AY61">
            <v>4577035</v>
          </cell>
          <cell r="AZ61">
            <v>0</v>
          </cell>
          <cell r="BA61">
            <v>0</v>
          </cell>
          <cell r="BB61">
            <v>7102</v>
          </cell>
          <cell r="BC61">
            <v>3811</v>
          </cell>
          <cell r="BD61">
            <v>10913</v>
          </cell>
          <cell r="BE61">
            <v>669287</v>
          </cell>
          <cell r="BF61">
            <v>317596</v>
          </cell>
          <cell r="BG61">
            <v>12640</v>
          </cell>
          <cell r="BH61">
            <v>22583</v>
          </cell>
          <cell r="BI61">
            <v>74911</v>
          </cell>
          <cell r="BJ61">
            <v>95402</v>
          </cell>
          <cell r="BK61">
            <v>1192419</v>
          </cell>
          <cell r="BL61">
            <v>840453</v>
          </cell>
          <cell r="BM61">
            <v>602218</v>
          </cell>
          <cell r="BN61">
            <v>811153</v>
          </cell>
          <cell r="BO61">
            <v>817025</v>
          </cell>
          <cell r="BP61">
            <v>84888</v>
          </cell>
          <cell r="BQ61">
            <v>413199</v>
          </cell>
          <cell r="BR61">
            <v>5402644</v>
          </cell>
          <cell r="BS61">
            <v>0</v>
          </cell>
          <cell r="BT61">
            <v>89032</v>
          </cell>
          <cell r="BU61">
            <v>5127</v>
          </cell>
          <cell r="BV61">
            <v>14421</v>
          </cell>
          <cell r="BW61">
            <v>2306875</v>
          </cell>
          <cell r="BX61">
            <v>61036</v>
          </cell>
          <cell r="BY61">
            <v>197670</v>
          </cell>
          <cell r="BZ61">
            <v>0</v>
          </cell>
          <cell r="CA61">
            <v>0</v>
          </cell>
          <cell r="CB61">
            <v>12023464</v>
          </cell>
          <cell r="CC61">
            <v>2309309</v>
          </cell>
          <cell r="CD61">
            <v>1591473</v>
          </cell>
          <cell r="CE61">
            <v>22252</v>
          </cell>
          <cell r="CF61">
            <v>156133</v>
          </cell>
          <cell r="CG61">
            <v>0</v>
          </cell>
          <cell r="CH61">
            <v>0</v>
          </cell>
          <cell r="CI61">
            <v>4079167</v>
          </cell>
          <cell r="CJ61">
            <v>16102631</v>
          </cell>
          <cell r="CK61">
            <v>158703525</v>
          </cell>
          <cell r="CM61">
            <v>0</v>
          </cell>
          <cell r="CN61">
            <v>390623</v>
          </cell>
          <cell r="CO61">
            <v>0</v>
          </cell>
          <cell r="CP61">
            <v>0</v>
          </cell>
          <cell r="CQ61">
            <v>0</v>
          </cell>
          <cell r="CR61">
            <v>0</v>
          </cell>
          <cell r="CS61">
            <v>429559</v>
          </cell>
          <cell r="CT61">
            <v>0</v>
          </cell>
          <cell r="CV61">
            <v>0</v>
          </cell>
          <cell r="CW61">
            <v>14235579</v>
          </cell>
          <cell r="CX61">
            <v>2688345</v>
          </cell>
          <cell r="CY61">
            <v>0</v>
          </cell>
        </row>
        <row r="62">
          <cell r="A62">
            <v>356</v>
          </cell>
          <cell r="B62">
            <v>115340766.73999999</v>
          </cell>
          <cell r="C62">
            <v>4745888</v>
          </cell>
          <cell r="D62">
            <v>5506192.6399999997</v>
          </cell>
          <cell r="E62">
            <v>736051.23</v>
          </cell>
          <cell r="F62">
            <v>4698424</v>
          </cell>
          <cell r="G62">
            <v>0</v>
          </cell>
          <cell r="H62">
            <v>506193</v>
          </cell>
          <cell r="I62">
            <v>1473375</v>
          </cell>
          <cell r="J62">
            <v>0</v>
          </cell>
          <cell r="K62">
            <v>2011494</v>
          </cell>
          <cell r="L62">
            <v>1059735</v>
          </cell>
          <cell r="M62">
            <v>664217</v>
          </cell>
          <cell r="N62">
            <v>484106</v>
          </cell>
          <cell r="O62">
            <v>3339073</v>
          </cell>
          <cell r="P62">
            <v>2180329</v>
          </cell>
          <cell r="Q62">
            <v>750456</v>
          </cell>
          <cell r="R62">
            <v>181619</v>
          </cell>
          <cell r="S62">
            <v>0</v>
          </cell>
          <cell r="T62">
            <v>2097977</v>
          </cell>
          <cell r="U62">
            <v>0</v>
          </cell>
          <cell r="V62">
            <v>54804</v>
          </cell>
          <cell r="W62">
            <v>55000</v>
          </cell>
          <cell r="X62">
            <v>0</v>
          </cell>
          <cell r="Y62">
            <v>0</v>
          </cell>
          <cell r="Z62">
            <v>0</v>
          </cell>
          <cell r="AA62">
            <v>0</v>
          </cell>
          <cell r="AB62">
            <v>0</v>
          </cell>
          <cell r="AC62">
            <v>0</v>
          </cell>
          <cell r="AD62">
            <v>361285</v>
          </cell>
          <cell r="AE62">
            <v>68616</v>
          </cell>
          <cell r="AF62">
            <v>814770</v>
          </cell>
          <cell r="AG62">
            <v>118455</v>
          </cell>
          <cell r="AH62">
            <v>5204</v>
          </cell>
          <cell r="AI62">
            <v>617353</v>
          </cell>
          <cell r="AJ62">
            <v>3866933</v>
          </cell>
          <cell r="AK62">
            <v>0</v>
          </cell>
          <cell r="AL62">
            <v>323376</v>
          </cell>
          <cell r="AM62">
            <v>0</v>
          </cell>
          <cell r="AN62">
            <v>446576</v>
          </cell>
          <cell r="AO62">
            <v>3213329</v>
          </cell>
          <cell r="AP62">
            <v>0</v>
          </cell>
          <cell r="AQ62">
            <v>155721597.62</v>
          </cell>
          <cell r="AR62">
            <v>3520199</v>
          </cell>
          <cell r="AS62">
            <v>267365</v>
          </cell>
          <cell r="AT62">
            <v>701106</v>
          </cell>
          <cell r="AU62">
            <v>96582</v>
          </cell>
          <cell r="AV62">
            <v>0</v>
          </cell>
          <cell r="AW62">
            <v>0</v>
          </cell>
          <cell r="AX62">
            <v>195362</v>
          </cell>
          <cell r="AY62">
            <v>4780614</v>
          </cell>
          <cell r="AZ62">
            <v>1104068</v>
          </cell>
          <cell r="BA62">
            <v>0</v>
          </cell>
          <cell r="BB62">
            <v>0</v>
          </cell>
          <cell r="BC62">
            <v>0</v>
          </cell>
          <cell r="BD62">
            <v>1104068</v>
          </cell>
          <cell r="BE62">
            <v>515166</v>
          </cell>
          <cell r="BF62">
            <v>339082</v>
          </cell>
          <cell r="BG62">
            <v>37189</v>
          </cell>
          <cell r="BH62">
            <v>0</v>
          </cell>
          <cell r="BI62">
            <v>77379</v>
          </cell>
          <cell r="BJ62">
            <v>102201</v>
          </cell>
          <cell r="BK62">
            <v>1071017</v>
          </cell>
          <cell r="BL62">
            <v>922895</v>
          </cell>
          <cell r="BM62">
            <v>426979</v>
          </cell>
          <cell r="BN62">
            <v>575427</v>
          </cell>
          <cell r="BO62">
            <v>780921</v>
          </cell>
          <cell r="BP62">
            <v>0</v>
          </cell>
          <cell r="BQ62">
            <v>0</v>
          </cell>
          <cell r="BR62">
            <v>4641363</v>
          </cell>
          <cell r="BS62">
            <v>125169</v>
          </cell>
          <cell r="BT62">
            <v>54803</v>
          </cell>
          <cell r="BU62">
            <v>16717</v>
          </cell>
          <cell r="BV62">
            <v>45318</v>
          </cell>
          <cell r="BW62">
            <v>2507100</v>
          </cell>
          <cell r="BX62">
            <v>0</v>
          </cell>
          <cell r="BY62">
            <v>108929</v>
          </cell>
          <cell r="BZ62">
            <v>0</v>
          </cell>
          <cell r="CA62">
            <v>0</v>
          </cell>
          <cell r="CB62">
            <v>12519957</v>
          </cell>
          <cell r="CC62">
            <v>2394718</v>
          </cell>
          <cell r="CD62">
            <v>2785416</v>
          </cell>
          <cell r="CE62">
            <v>124183</v>
          </cell>
          <cell r="CF62">
            <v>125398</v>
          </cell>
          <cell r="CG62">
            <v>0</v>
          </cell>
          <cell r="CH62">
            <v>0</v>
          </cell>
          <cell r="CI62">
            <v>5429715</v>
          </cell>
          <cell r="CJ62">
            <v>17949672</v>
          </cell>
          <cell r="CK62">
            <v>173671269.62</v>
          </cell>
          <cell r="CM62">
            <v>0</v>
          </cell>
          <cell r="CN62">
            <v>367775</v>
          </cell>
          <cell r="CO62">
            <v>0</v>
          </cell>
          <cell r="CP62">
            <v>0</v>
          </cell>
          <cell r="CQ62">
            <v>0</v>
          </cell>
          <cell r="CR62">
            <v>0</v>
          </cell>
          <cell r="CS62">
            <v>244852</v>
          </cell>
          <cell r="CT62">
            <v>0</v>
          </cell>
          <cell r="CV62">
            <v>0</v>
          </cell>
          <cell r="CW62">
            <v>4586479</v>
          </cell>
          <cell r="CX62">
            <v>3213330</v>
          </cell>
          <cell r="CY62">
            <v>0</v>
          </cell>
        </row>
        <row r="63">
          <cell r="A63">
            <v>357</v>
          </cell>
          <cell r="B63">
            <v>104200000.28</v>
          </cell>
          <cell r="C63">
            <v>4385080</v>
          </cell>
          <cell r="D63">
            <v>7438110</v>
          </cell>
          <cell r="E63">
            <v>873490</v>
          </cell>
          <cell r="F63">
            <v>4088150</v>
          </cell>
          <cell r="G63">
            <v>0</v>
          </cell>
          <cell r="H63">
            <v>500000</v>
          </cell>
          <cell r="I63">
            <v>1021990</v>
          </cell>
          <cell r="J63">
            <v>200000</v>
          </cell>
          <cell r="K63">
            <v>50000</v>
          </cell>
          <cell r="L63">
            <v>450000</v>
          </cell>
          <cell r="M63">
            <v>500000</v>
          </cell>
          <cell r="N63">
            <v>833770</v>
          </cell>
          <cell r="O63">
            <v>939400</v>
          </cell>
          <cell r="P63">
            <v>1104380</v>
          </cell>
          <cell r="Q63">
            <v>287780</v>
          </cell>
          <cell r="R63">
            <v>467480</v>
          </cell>
          <cell r="S63">
            <v>0</v>
          </cell>
          <cell r="T63">
            <v>3604490</v>
          </cell>
          <cell r="U63">
            <v>3464900</v>
          </cell>
          <cell r="V63">
            <v>25000</v>
          </cell>
          <cell r="W63">
            <v>75000</v>
          </cell>
          <cell r="X63">
            <v>216000</v>
          </cell>
          <cell r="Y63">
            <v>0</v>
          </cell>
          <cell r="Z63">
            <v>770290</v>
          </cell>
          <cell r="AA63">
            <v>0</v>
          </cell>
          <cell r="AB63">
            <v>28050</v>
          </cell>
          <cell r="AC63">
            <v>232270</v>
          </cell>
          <cell r="AD63">
            <v>146430</v>
          </cell>
          <cell r="AE63">
            <v>34690</v>
          </cell>
          <cell r="AF63">
            <v>514900</v>
          </cell>
          <cell r="AG63">
            <v>124910</v>
          </cell>
          <cell r="AH63">
            <v>10000</v>
          </cell>
          <cell r="AI63">
            <v>758170</v>
          </cell>
          <cell r="AJ63">
            <v>4050020</v>
          </cell>
          <cell r="AK63">
            <v>0</v>
          </cell>
          <cell r="AL63">
            <v>118330</v>
          </cell>
          <cell r="AM63">
            <v>0</v>
          </cell>
          <cell r="AN63">
            <v>227790</v>
          </cell>
          <cell r="AO63">
            <v>1693350</v>
          </cell>
          <cell r="AP63">
            <v>0</v>
          </cell>
          <cell r="AQ63">
            <v>143434220.28</v>
          </cell>
          <cell r="AR63">
            <v>2818380</v>
          </cell>
          <cell r="AS63">
            <v>270600</v>
          </cell>
          <cell r="AT63">
            <v>1619210</v>
          </cell>
          <cell r="AU63">
            <v>187350</v>
          </cell>
          <cell r="AV63">
            <v>0</v>
          </cell>
          <cell r="AW63">
            <v>115400</v>
          </cell>
          <cell r="AX63">
            <v>10000</v>
          </cell>
          <cell r="AY63">
            <v>5020940</v>
          </cell>
          <cell r="AZ63">
            <v>1609170</v>
          </cell>
          <cell r="BA63">
            <v>0</v>
          </cell>
          <cell r="BB63">
            <v>0</v>
          </cell>
          <cell r="BC63">
            <v>0</v>
          </cell>
          <cell r="BD63">
            <v>1609170</v>
          </cell>
          <cell r="BE63">
            <v>551660</v>
          </cell>
          <cell r="BF63">
            <v>335090</v>
          </cell>
          <cell r="BG63">
            <v>0</v>
          </cell>
          <cell r="BH63">
            <v>0</v>
          </cell>
          <cell r="BI63">
            <v>62340</v>
          </cell>
          <cell r="BJ63">
            <v>30000</v>
          </cell>
          <cell r="BK63">
            <v>979090</v>
          </cell>
          <cell r="BL63">
            <v>3454420</v>
          </cell>
          <cell r="BM63">
            <v>302090</v>
          </cell>
          <cell r="BN63">
            <v>653030</v>
          </cell>
          <cell r="BO63">
            <v>0</v>
          </cell>
          <cell r="BP63">
            <v>0</v>
          </cell>
          <cell r="BQ63">
            <v>0</v>
          </cell>
          <cell r="BR63">
            <v>2802050</v>
          </cell>
          <cell r="BS63">
            <v>100020</v>
          </cell>
          <cell r="BT63">
            <v>0</v>
          </cell>
          <cell r="BU63">
            <v>30000</v>
          </cell>
          <cell r="BV63">
            <v>335520</v>
          </cell>
          <cell r="BW63">
            <v>1361390</v>
          </cell>
          <cell r="BX63">
            <v>0</v>
          </cell>
          <cell r="BY63">
            <v>20000</v>
          </cell>
          <cell r="BZ63">
            <v>0</v>
          </cell>
          <cell r="CA63">
            <v>0</v>
          </cell>
          <cell r="CB63">
            <v>13865670</v>
          </cell>
          <cell r="CC63">
            <v>2358960</v>
          </cell>
          <cell r="CD63">
            <v>1406810</v>
          </cell>
          <cell r="CE63">
            <v>134190</v>
          </cell>
          <cell r="CF63">
            <v>0</v>
          </cell>
          <cell r="CG63">
            <v>0</v>
          </cell>
          <cell r="CH63">
            <v>0</v>
          </cell>
          <cell r="CI63">
            <v>3899960</v>
          </cell>
          <cell r="CJ63">
            <v>17765630</v>
          </cell>
          <cell r="CK63">
            <v>161199850.28</v>
          </cell>
          <cell r="CM63">
            <v>1419144</v>
          </cell>
          <cell r="CN63">
            <v>0</v>
          </cell>
          <cell r="CO63">
            <v>405856</v>
          </cell>
          <cell r="CP63">
            <v>0</v>
          </cell>
          <cell r="CQ63">
            <v>0</v>
          </cell>
          <cell r="CR63">
            <v>0</v>
          </cell>
          <cell r="CS63">
            <v>0</v>
          </cell>
          <cell r="CT63">
            <v>0</v>
          </cell>
          <cell r="CV63">
            <v>0</v>
          </cell>
          <cell r="CW63">
            <v>16182000</v>
          </cell>
          <cell r="CX63">
            <v>1184800</v>
          </cell>
          <cell r="CY63">
            <v>1545590</v>
          </cell>
        </row>
        <row r="64">
          <cell r="A64">
            <v>358</v>
          </cell>
          <cell r="B64">
            <v>101576040</v>
          </cell>
          <cell r="C64">
            <v>4309971</v>
          </cell>
          <cell r="D64">
            <v>6576605</v>
          </cell>
          <cell r="E64">
            <v>613916</v>
          </cell>
          <cell r="F64">
            <v>4294294</v>
          </cell>
          <cell r="G64">
            <v>0</v>
          </cell>
          <cell r="H64">
            <v>0</v>
          </cell>
          <cell r="I64">
            <v>1658056</v>
          </cell>
          <cell r="J64">
            <v>979219</v>
          </cell>
          <cell r="K64">
            <v>2067932</v>
          </cell>
          <cell r="L64">
            <v>0</v>
          </cell>
          <cell r="M64">
            <v>0</v>
          </cell>
          <cell r="N64">
            <v>538297</v>
          </cell>
          <cell r="O64">
            <v>3461629</v>
          </cell>
          <cell r="P64">
            <v>550543</v>
          </cell>
          <cell r="Q64">
            <v>721065</v>
          </cell>
          <cell r="R64">
            <v>0</v>
          </cell>
          <cell r="S64">
            <v>0</v>
          </cell>
          <cell r="T64">
            <v>1624955</v>
          </cell>
          <cell r="U64">
            <v>0</v>
          </cell>
          <cell r="V64">
            <v>18199</v>
          </cell>
          <cell r="W64">
            <v>70000</v>
          </cell>
          <cell r="X64">
            <v>0</v>
          </cell>
          <cell r="Y64">
            <v>62855</v>
          </cell>
          <cell r="Z64">
            <v>0</v>
          </cell>
          <cell r="AA64">
            <v>0</v>
          </cell>
          <cell r="AB64">
            <v>0</v>
          </cell>
          <cell r="AC64">
            <v>0</v>
          </cell>
          <cell r="AD64">
            <v>368157</v>
          </cell>
          <cell r="AE64">
            <v>49907</v>
          </cell>
          <cell r="AF64">
            <v>315327</v>
          </cell>
          <cell r="AG64">
            <v>62611</v>
          </cell>
          <cell r="AH64">
            <v>816</v>
          </cell>
          <cell r="AI64">
            <v>297847</v>
          </cell>
          <cell r="AJ64">
            <v>3635682</v>
          </cell>
          <cell r="AK64">
            <v>3193000</v>
          </cell>
          <cell r="AL64">
            <v>99940</v>
          </cell>
          <cell r="AM64">
            <v>0</v>
          </cell>
          <cell r="AN64">
            <v>216594</v>
          </cell>
          <cell r="AO64">
            <v>0</v>
          </cell>
          <cell r="AP64">
            <v>0</v>
          </cell>
          <cell r="AQ64">
            <v>137363457</v>
          </cell>
          <cell r="AR64">
            <v>1330135</v>
          </cell>
          <cell r="AS64">
            <v>586915</v>
          </cell>
          <cell r="AT64">
            <v>892871</v>
          </cell>
          <cell r="AU64">
            <v>68911</v>
          </cell>
          <cell r="AV64">
            <v>0</v>
          </cell>
          <cell r="AW64">
            <v>0</v>
          </cell>
          <cell r="AX64">
            <v>79905</v>
          </cell>
          <cell r="AY64">
            <v>2958737</v>
          </cell>
          <cell r="AZ64">
            <v>168989</v>
          </cell>
          <cell r="BA64">
            <v>2517244</v>
          </cell>
          <cell r="BB64">
            <v>0</v>
          </cell>
          <cell r="BC64">
            <v>12000</v>
          </cell>
          <cell r="BD64">
            <v>2698233</v>
          </cell>
          <cell r="BE64">
            <v>441900</v>
          </cell>
          <cell r="BF64">
            <v>248356</v>
          </cell>
          <cell r="BG64">
            <v>62500</v>
          </cell>
          <cell r="BH64">
            <v>0</v>
          </cell>
          <cell r="BI64">
            <v>25000</v>
          </cell>
          <cell r="BJ64">
            <v>48600</v>
          </cell>
          <cell r="BK64">
            <v>826356</v>
          </cell>
          <cell r="BL64">
            <v>1518195</v>
          </cell>
          <cell r="BM64">
            <v>420628</v>
          </cell>
          <cell r="BN64">
            <v>436078</v>
          </cell>
          <cell r="BO64">
            <v>134634</v>
          </cell>
          <cell r="BP64">
            <v>39335</v>
          </cell>
          <cell r="BQ64">
            <v>0</v>
          </cell>
          <cell r="BR64">
            <v>4376848</v>
          </cell>
          <cell r="BS64">
            <v>54741</v>
          </cell>
          <cell r="BT64">
            <v>0</v>
          </cell>
          <cell r="BU64">
            <v>0</v>
          </cell>
          <cell r="BV64">
            <v>0</v>
          </cell>
          <cell r="BW64">
            <v>2874381</v>
          </cell>
          <cell r="BX64">
            <v>387006</v>
          </cell>
          <cell r="BY64">
            <v>30045</v>
          </cell>
          <cell r="BZ64">
            <v>0</v>
          </cell>
          <cell r="CA64">
            <v>0</v>
          </cell>
          <cell r="CB64">
            <v>12378369</v>
          </cell>
          <cell r="CC64">
            <v>1914537</v>
          </cell>
          <cell r="CD64">
            <v>871178</v>
          </cell>
          <cell r="CE64">
            <v>114195</v>
          </cell>
          <cell r="CF64">
            <v>36398</v>
          </cell>
          <cell r="CG64">
            <v>37452</v>
          </cell>
          <cell r="CH64">
            <v>0</v>
          </cell>
          <cell r="CI64">
            <v>2973760</v>
          </cell>
          <cell r="CJ64">
            <v>15352129</v>
          </cell>
          <cell r="CK64">
            <v>152715586</v>
          </cell>
          <cell r="CM64">
            <v>7531864</v>
          </cell>
          <cell r="CN64">
            <v>370575</v>
          </cell>
          <cell r="CO64">
            <v>0</v>
          </cell>
          <cell r="CP64">
            <v>0</v>
          </cell>
          <cell r="CQ64">
            <v>0</v>
          </cell>
          <cell r="CR64">
            <v>449322</v>
          </cell>
          <cell r="CS64">
            <v>0</v>
          </cell>
          <cell r="CT64">
            <v>0</v>
          </cell>
          <cell r="CV64">
            <v>0</v>
          </cell>
          <cell r="CW64">
            <v>13773063</v>
          </cell>
          <cell r="CX64">
            <v>2683312</v>
          </cell>
          <cell r="CY64">
            <v>0</v>
          </cell>
        </row>
        <row r="65">
          <cell r="A65">
            <v>359</v>
          </cell>
          <cell r="B65">
            <v>148405715</v>
          </cell>
          <cell r="C65">
            <v>5817175</v>
          </cell>
          <cell r="D65">
            <v>13661367</v>
          </cell>
          <cell r="E65">
            <v>1553718</v>
          </cell>
          <cell r="F65">
            <v>6693900.5300000003</v>
          </cell>
          <cell r="G65">
            <v>0</v>
          </cell>
          <cell r="H65">
            <v>0</v>
          </cell>
          <cell r="I65">
            <v>52053</v>
          </cell>
          <cell r="J65">
            <v>0</v>
          </cell>
          <cell r="K65">
            <v>1260599</v>
          </cell>
          <cell r="L65">
            <v>169777</v>
          </cell>
          <cell r="M65">
            <v>0</v>
          </cell>
          <cell r="N65">
            <v>310199</v>
          </cell>
          <cell r="O65">
            <v>1650913</v>
          </cell>
          <cell r="P65">
            <v>779793</v>
          </cell>
          <cell r="Q65">
            <v>562474</v>
          </cell>
          <cell r="R65">
            <v>885272</v>
          </cell>
          <cell r="S65">
            <v>0</v>
          </cell>
          <cell r="T65">
            <v>3117536</v>
          </cell>
          <cell r="U65">
            <v>0</v>
          </cell>
          <cell r="V65">
            <v>26394</v>
          </cell>
          <cell r="W65">
            <v>0</v>
          </cell>
          <cell r="X65">
            <v>0</v>
          </cell>
          <cell r="Y65">
            <v>0</v>
          </cell>
          <cell r="Z65">
            <v>7390</v>
          </cell>
          <cell r="AA65">
            <v>0</v>
          </cell>
          <cell r="AB65">
            <v>38546</v>
          </cell>
          <cell r="AC65">
            <v>96702</v>
          </cell>
          <cell r="AD65">
            <v>147763</v>
          </cell>
          <cell r="AE65">
            <v>69114</v>
          </cell>
          <cell r="AF65">
            <v>465286</v>
          </cell>
          <cell r="AG65">
            <v>63975</v>
          </cell>
          <cell r="AH65">
            <v>31891</v>
          </cell>
          <cell r="AI65">
            <v>233974</v>
          </cell>
          <cell r="AJ65">
            <v>3168463</v>
          </cell>
          <cell r="AK65">
            <v>410123</v>
          </cell>
          <cell r="AL65">
            <v>0</v>
          </cell>
          <cell r="AM65">
            <v>0</v>
          </cell>
          <cell r="AN65">
            <v>340100</v>
          </cell>
          <cell r="AO65">
            <v>0</v>
          </cell>
          <cell r="AP65">
            <v>0</v>
          </cell>
          <cell r="AQ65">
            <v>190020212.53</v>
          </cell>
          <cell r="AR65">
            <v>3163892</v>
          </cell>
          <cell r="AS65">
            <v>745667</v>
          </cell>
          <cell r="AT65">
            <v>2825738</v>
          </cell>
          <cell r="AU65">
            <v>607227</v>
          </cell>
          <cell r="AV65">
            <v>0</v>
          </cell>
          <cell r="AW65">
            <v>134022</v>
          </cell>
          <cell r="AX65">
            <v>154430</v>
          </cell>
          <cell r="AY65">
            <v>7630976</v>
          </cell>
          <cell r="AZ65">
            <v>697717</v>
          </cell>
          <cell r="BA65">
            <v>1551308</v>
          </cell>
          <cell r="BB65">
            <v>16000</v>
          </cell>
          <cell r="BC65">
            <v>0</v>
          </cell>
          <cell r="BD65">
            <v>2265025</v>
          </cell>
          <cell r="BE65">
            <v>771945</v>
          </cell>
          <cell r="BF65">
            <v>871699</v>
          </cell>
          <cell r="BG65">
            <v>13657</v>
          </cell>
          <cell r="BH65">
            <v>0</v>
          </cell>
          <cell r="BI65">
            <v>38832</v>
          </cell>
          <cell r="BJ65">
            <v>523034</v>
          </cell>
          <cell r="BK65">
            <v>2219167</v>
          </cell>
          <cell r="BL65">
            <v>2009155</v>
          </cell>
          <cell r="BM65">
            <v>739504</v>
          </cell>
          <cell r="BN65">
            <v>672060</v>
          </cell>
          <cell r="BO65">
            <v>507302</v>
          </cell>
          <cell r="BP65">
            <v>569995</v>
          </cell>
          <cell r="BQ65">
            <v>683200</v>
          </cell>
          <cell r="BR65">
            <v>7518654</v>
          </cell>
          <cell r="BS65">
            <v>267429</v>
          </cell>
          <cell r="BT65">
            <v>142738</v>
          </cell>
          <cell r="BU65">
            <v>155486</v>
          </cell>
          <cell r="BV65">
            <v>335637</v>
          </cell>
          <cell r="BW65">
            <v>2837417</v>
          </cell>
          <cell r="BX65">
            <v>534431</v>
          </cell>
          <cell r="BY65">
            <v>73455</v>
          </cell>
          <cell r="BZ65">
            <v>0</v>
          </cell>
          <cell r="CA65">
            <v>0</v>
          </cell>
          <cell r="CB65">
            <v>21642977</v>
          </cell>
          <cell r="CC65">
            <v>1748219</v>
          </cell>
          <cell r="CD65">
            <v>329214</v>
          </cell>
          <cell r="CE65">
            <v>309250</v>
          </cell>
          <cell r="CF65">
            <v>112027</v>
          </cell>
          <cell r="CG65">
            <v>0</v>
          </cell>
          <cell r="CH65">
            <v>0</v>
          </cell>
          <cell r="CI65">
            <v>2498710</v>
          </cell>
          <cell r="CJ65">
            <v>24141687</v>
          </cell>
          <cell r="CK65">
            <v>214161899.53</v>
          </cell>
          <cell r="CM65">
            <v>2322217</v>
          </cell>
          <cell r="CN65">
            <v>672774</v>
          </cell>
          <cell r="CO65">
            <v>0</v>
          </cell>
          <cell r="CP65">
            <v>0</v>
          </cell>
          <cell r="CQ65">
            <v>0</v>
          </cell>
          <cell r="CR65">
            <v>0</v>
          </cell>
          <cell r="CS65">
            <v>182475</v>
          </cell>
          <cell r="CT65">
            <v>0</v>
          </cell>
          <cell r="CV65">
            <v>0</v>
          </cell>
          <cell r="CW65">
            <v>22766377</v>
          </cell>
          <cell r="CX65">
            <v>3826386</v>
          </cell>
          <cell r="CY65">
            <v>0</v>
          </cell>
        </row>
        <row r="66">
          <cell r="A66">
            <v>370</v>
          </cell>
          <cell r="B66">
            <v>97649985</v>
          </cell>
          <cell r="C66">
            <v>3993194</v>
          </cell>
          <cell r="D66">
            <v>8835288</v>
          </cell>
          <cell r="E66">
            <v>2432826</v>
          </cell>
          <cell r="F66">
            <v>3602962</v>
          </cell>
          <cell r="G66">
            <v>0</v>
          </cell>
          <cell r="H66">
            <v>0</v>
          </cell>
          <cell r="I66">
            <v>0</v>
          </cell>
          <cell r="J66">
            <v>0</v>
          </cell>
          <cell r="K66">
            <v>952322</v>
          </cell>
          <cell r="L66">
            <v>494288</v>
          </cell>
          <cell r="M66">
            <v>909500</v>
          </cell>
          <cell r="N66">
            <v>432000</v>
          </cell>
          <cell r="O66">
            <v>2068400</v>
          </cell>
          <cell r="P66">
            <v>1360529</v>
          </cell>
          <cell r="Q66">
            <v>434790</v>
          </cell>
          <cell r="R66">
            <v>302480</v>
          </cell>
          <cell r="S66">
            <v>0</v>
          </cell>
          <cell r="T66">
            <v>1597050</v>
          </cell>
          <cell r="U66">
            <v>0</v>
          </cell>
          <cell r="V66">
            <v>35990</v>
          </cell>
          <cell r="W66">
            <v>290580</v>
          </cell>
          <cell r="X66">
            <v>0</v>
          </cell>
          <cell r="Y66">
            <v>0</v>
          </cell>
          <cell r="Z66">
            <v>0</v>
          </cell>
          <cell r="AA66">
            <v>0</v>
          </cell>
          <cell r="AB66">
            <v>0</v>
          </cell>
          <cell r="AC66">
            <v>0</v>
          </cell>
          <cell r="AD66">
            <v>217819</v>
          </cell>
          <cell r="AE66">
            <v>43000</v>
          </cell>
          <cell r="AF66">
            <v>0</v>
          </cell>
          <cell r="AG66">
            <v>105960</v>
          </cell>
          <cell r="AH66">
            <v>3279</v>
          </cell>
          <cell r="AI66">
            <v>344420</v>
          </cell>
          <cell r="AJ66">
            <v>685688</v>
          </cell>
          <cell r="AK66">
            <v>843660</v>
          </cell>
          <cell r="AL66">
            <v>1215190</v>
          </cell>
          <cell r="AM66">
            <v>0</v>
          </cell>
          <cell r="AN66">
            <v>85400</v>
          </cell>
          <cell r="AO66">
            <v>355000</v>
          </cell>
          <cell r="AP66">
            <v>0</v>
          </cell>
          <cell r="AQ66">
            <v>129291600</v>
          </cell>
          <cell r="AR66">
            <v>3020790</v>
          </cell>
          <cell r="AS66">
            <v>167000</v>
          </cell>
          <cell r="AT66">
            <v>1168590</v>
          </cell>
          <cell r="AU66">
            <v>356790</v>
          </cell>
          <cell r="AV66">
            <v>0</v>
          </cell>
          <cell r="AW66">
            <v>0</v>
          </cell>
          <cell r="AX66">
            <v>0</v>
          </cell>
          <cell r="AY66">
            <v>4713170</v>
          </cell>
          <cell r="AZ66">
            <v>1968764</v>
          </cell>
          <cell r="BA66">
            <v>0</v>
          </cell>
          <cell r="BB66">
            <v>47800</v>
          </cell>
          <cell r="BC66">
            <v>0</v>
          </cell>
          <cell r="BD66">
            <v>2016564</v>
          </cell>
          <cell r="BE66">
            <v>553030</v>
          </cell>
          <cell r="BF66">
            <v>309250</v>
          </cell>
          <cell r="BG66">
            <v>71350</v>
          </cell>
          <cell r="BH66">
            <v>0</v>
          </cell>
          <cell r="BI66">
            <v>73960</v>
          </cell>
          <cell r="BJ66">
            <v>0</v>
          </cell>
          <cell r="BK66">
            <v>1007590</v>
          </cell>
          <cell r="BL66">
            <v>1169980</v>
          </cell>
          <cell r="BM66">
            <v>992020</v>
          </cell>
          <cell r="BN66">
            <v>438020</v>
          </cell>
          <cell r="BO66">
            <v>401630</v>
          </cell>
          <cell r="BP66">
            <v>382050</v>
          </cell>
          <cell r="BQ66">
            <v>0</v>
          </cell>
          <cell r="BR66">
            <v>4100600</v>
          </cell>
          <cell r="BS66">
            <v>216970</v>
          </cell>
          <cell r="BT66">
            <v>55000</v>
          </cell>
          <cell r="BU66">
            <v>0</v>
          </cell>
          <cell r="BV66">
            <v>0</v>
          </cell>
          <cell r="BW66">
            <v>1314910</v>
          </cell>
          <cell r="BX66">
            <v>300000</v>
          </cell>
          <cell r="BY66">
            <v>0</v>
          </cell>
          <cell r="BZ66">
            <v>0</v>
          </cell>
          <cell r="CA66">
            <v>1000</v>
          </cell>
          <cell r="CB66">
            <v>13008904</v>
          </cell>
          <cell r="CC66">
            <v>3371410</v>
          </cell>
          <cell r="CD66">
            <v>5155479</v>
          </cell>
          <cell r="CE66">
            <v>0</v>
          </cell>
          <cell r="CF66">
            <v>112490</v>
          </cell>
          <cell r="CG66">
            <v>0</v>
          </cell>
          <cell r="CH66">
            <v>21000</v>
          </cell>
          <cell r="CI66">
            <v>8660379</v>
          </cell>
          <cell r="CJ66">
            <v>21669283</v>
          </cell>
          <cell r="CK66">
            <v>150960883</v>
          </cell>
          <cell r="CM66">
            <v>993267</v>
          </cell>
          <cell r="CN66">
            <v>250728</v>
          </cell>
          <cell r="CO66">
            <v>0</v>
          </cell>
          <cell r="CP66">
            <v>0</v>
          </cell>
          <cell r="CQ66">
            <v>0</v>
          </cell>
          <cell r="CR66">
            <v>0</v>
          </cell>
          <cell r="CS66">
            <v>210100</v>
          </cell>
          <cell r="CT66">
            <v>0</v>
          </cell>
          <cell r="CV66">
            <v>0</v>
          </cell>
          <cell r="CW66">
            <v>1690705</v>
          </cell>
          <cell r="CX66">
            <v>1884849</v>
          </cell>
          <cell r="CY66">
            <v>695783</v>
          </cell>
        </row>
        <row r="67">
          <cell r="A67">
            <v>371</v>
          </cell>
          <cell r="B67">
            <v>146719480</v>
          </cell>
          <cell r="C67">
            <v>5244058</v>
          </cell>
          <cell r="D67">
            <v>13066190</v>
          </cell>
          <cell r="E67">
            <v>3835880</v>
          </cell>
          <cell r="F67">
            <v>5956462</v>
          </cell>
          <cell r="G67">
            <v>0</v>
          </cell>
          <cell r="H67">
            <v>0</v>
          </cell>
          <cell r="I67">
            <v>1289730</v>
          </cell>
          <cell r="J67">
            <v>0</v>
          </cell>
          <cell r="K67">
            <v>0</v>
          </cell>
          <cell r="L67">
            <v>0</v>
          </cell>
          <cell r="M67">
            <v>76690</v>
          </cell>
          <cell r="N67">
            <v>700</v>
          </cell>
          <cell r="O67">
            <v>1515770</v>
          </cell>
          <cell r="P67">
            <v>2904390</v>
          </cell>
          <cell r="Q67">
            <v>1414440</v>
          </cell>
          <cell r="R67">
            <v>28970</v>
          </cell>
          <cell r="S67">
            <v>0</v>
          </cell>
          <cell r="T67">
            <v>1317360</v>
          </cell>
          <cell r="U67">
            <v>0</v>
          </cell>
          <cell r="V67">
            <v>164190</v>
          </cell>
          <cell r="W67">
            <v>270330</v>
          </cell>
          <cell r="X67">
            <v>0</v>
          </cell>
          <cell r="Y67">
            <v>0</v>
          </cell>
          <cell r="Z67">
            <v>47410</v>
          </cell>
          <cell r="AA67">
            <v>0</v>
          </cell>
          <cell r="AB67">
            <v>145720</v>
          </cell>
          <cell r="AC67">
            <v>0</v>
          </cell>
          <cell r="AD67">
            <v>373530</v>
          </cell>
          <cell r="AE67">
            <v>0</v>
          </cell>
          <cell r="AF67">
            <v>51170</v>
          </cell>
          <cell r="AG67">
            <v>155500</v>
          </cell>
          <cell r="AH67">
            <v>25010</v>
          </cell>
          <cell r="AI67">
            <v>590750</v>
          </cell>
          <cell r="AJ67">
            <v>2366160</v>
          </cell>
          <cell r="AK67">
            <v>8553995</v>
          </cell>
          <cell r="AL67">
            <v>270680</v>
          </cell>
          <cell r="AM67">
            <v>0</v>
          </cell>
          <cell r="AN67">
            <v>253174</v>
          </cell>
          <cell r="AO67">
            <v>2927720</v>
          </cell>
          <cell r="AP67">
            <v>0</v>
          </cell>
          <cell r="AQ67">
            <v>199565459</v>
          </cell>
          <cell r="AR67">
            <v>3302810</v>
          </cell>
          <cell r="AS67">
            <v>849850</v>
          </cell>
          <cell r="AT67">
            <v>2248230</v>
          </cell>
          <cell r="AU67">
            <v>600780</v>
          </cell>
          <cell r="AV67">
            <v>0</v>
          </cell>
          <cell r="AW67">
            <v>0</v>
          </cell>
          <cell r="AX67">
            <v>7470</v>
          </cell>
          <cell r="AY67">
            <v>7009140</v>
          </cell>
          <cell r="AZ67">
            <v>1358700</v>
          </cell>
          <cell r="BA67">
            <v>492720</v>
          </cell>
          <cell r="BB67">
            <v>160409</v>
          </cell>
          <cell r="BC67">
            <v>0</v>
          </cell>
          <cell r="BD67">
            <v>2011829</v>
          </cell>
          <cell r="BE67">
            <v>801390</v>
          </cell>
          <cell r="BF67">
            <v>444990</v>
          </cell>
          <cell r="BG67">
            <v>66980</v>
          </cell>
          <cell r="BH67">
            <v>0</v>
          </cell>
          <cell r="BI67">
            <v>106760</v>
          </cell>
          <cell r="BJ67">
            <v>302880</v>
          </cell>
          <cell r="BK67">
            <v>1723000</v>
          </cell>
          <cell r="BL67">
            <v>2980230</v>
          </cell>
          <cell r="BM67">
            <v>992860</v>
          </cell>
          <cell r="BN67">
            <v>1172350</v>
          </cell>
          <cell r="BO67">
            <v>593280</v>
          </cell>
          <cell r="BP67">
            <v>0</v>
          </cell>
          <cell r="BQ67">
            <v>36910</v>
          </cell>
          <cell r="BR67">
            <v>7179840</v>
          </cell>
          <cell r="BS67">
            <v>61040</v>
          </cell>
          <cell r="BT67">
            <v>107970</v>
          </cell>
          <cell r="BU67">
            <v>0</v>
          </cell>
          <cell r="BV67">
            <v>92860</v>
          </cell>
          <cell r="BW67">
            <v>2663076</v>
          </cell>
          <cell r="BX67">
            <v>1024374</v>
          </cell>
          <cell r="BY67">
            <v>126098</v>
          </cell>
          <cell r="BZ67">
            <v>309022</v>
          </cell>
          <cell r="CA67">
            <v>0</v>
          </cell>
          <cell r="CB67">
            <v>20904039</v>
          </cell>
          <cell r="CC67">
            <v>2369570</v>
          </cell>
          <cell r="CD67">
            <v>194250</v>
          </cell>
          <cell r="CE67">
            <v>8190</v>
          </cell>
          <cell r="CF67">
            <v>205740</v>
          </cell>
          <cell r="CG67">
            <v>0</v>
          </cell>
          <cell r="CH67">
            <v>0</v>
          </cell>
          <cell r="CI67">
            <v>2777750</v>
          </cell>
          <cell r="CJ67">
            <v>23681789</v>
          </cell>
          <cell r="CK67">
            <v>223247248</v>
          </cell>
          <cell r="CM67">
            <v>12465580</v>
          </cell>
          <cell r="CN67">
            <v>465710</v>
          </cell>
          <cell r="CO67">
            <v>199260</v>
          </cell>
          <cell r="CP67">
            <v>0</v>
          </cell>
          <cell r="CQ67">
            <v>0</v>
          </cell>
          <cell r="CR67">
            <v>0</v>
          </cell>
          <cell r="CS67">
            <v>465310</v>
          </cell>
          <cell r="CT67">
            <v>0</v>
          </cell>
          <cell r="CV67">
            <v>0</v>
          </cell>
          <cell r="CW67">
            <v>24761950</v>
          </cell>
          <cell r="CX67">
            <v>3764247</v>
          </cell>
          <cell r="CY67">
            <v>0</v>
          </cell>
        </row>
        <row r="68">
          <cell r="A68">
            <v>372</v>
          </cell>
          <cell r="B68">
            <v>134670183</v>
          </cell>
          <cell r="C68">
            <v>5075237</v>
          </cell>
          <cell r="D68">
            <v>11745399</v>
          </cell>
          <cell r="E68">
            <v>5064242</v>
          </cell>
          <cell r="F68">
            <v>0</v>
          </cell>
          <cell r="G68">
            <v>0</v>
          </cell>
          <cell r="H68">
            <v>500000</v>
          </cell>
          <cell r="I68">
            <v>78658</v>
          </cell>
          <cell r="J68">
            <v>351107</v>
          </cell>
          <cell r="K68">
            <v>2448719</v>
          </cell>
          <cell r="L68">
            <v>376007</v>
          </cell>
          <cell r="M68">
            <v>369743</v>
          </cell>
          <cell r="N68">
            <v>120545</v>
          </cell>
          <cell r="O68">
            <v>2271958</v>
          </cell>
          <cell r="P68">
            <v>1349890</v>
          </cell>
          <cell r="Q68">
            <v>1466365</v>
          </cell>
          <cell r="R68">
            <v>269490</v>
          </cell>
          <cell r="S68">
            <v>75689</v>
          </cell>
          <cell r="T68">
            <v>2673149</v>
          </cell>
          <cell r="U68">
            <v>0</v>
          </cell>
          <cell r="V68">
            <v>47977</v>
          </cell>
          <cell r="W68">
            <v>50000</v>
          </cell>
          <cell r="X68">
            <v>0</v>
          </cell>
          <cell r="Y68">
            <v>0</v>
          </cell>
          <cell r="Z68">
            <v>0</v>
          </cell>
          <cell r="AA68">
            <v>0</v>
          </cell>
          <cell r="AB68">
            <v>59122</v>
          </cell>
          <cell r="AC68">
            <v>0</v>
          </cell>
          <cell r="AD68">
            <v>196666</v>
          </cell>
          <cell r="AE68">
            <v>72096</v>
          </cell>
          <cell r="AF68">
            <v>494369</v>
          </cell>
          <cell r="AG68">
            <v>0</v>
          </cell>
          <cell r="AH68">
            <v>4765</v>
          </cell>
          <cell r="AI68">
            <v>22315</v>
          </cell>
          <cell r="AJ68">
            <v>1274209</v>
          </cell>
          <cell r="AK68">
            <v>0</v>
          </cell>
          <cell r="AL68">
            <v>0</v>
          </cell>
          <cell r="AM68">
            <v>0</v>
          </cell>
          <cell r="AN68">
            <v>5788450</v>
          </cell>
          <cell r="AO68">
            <v>5222980</v>
          </cell>
          <cell r="AP68">
            <v>0</v>
          </cell>
          <cell r="AQ68">
            <v>182139330</v>
          </cell>
          <cell r="AR68">
            <v>2122492</v>
          </cell>
          <cell r="AS68">
            <v>3549</v>
          </cell>
          <cell r="AT68">
            <v>1204387</v>
          </cell>
          <cell r="AU68">
            <v>158780</v>
          </cell>
          <cell r="AV68">
            <v>0</v>
          </cell>
          <cell r="AW68">
            <v>0</v>
          </cell>
          <cell r="AX68">
            <v>0</v>
          </cell>
          <cell r="AY68">
            <v>3489208</v>
          </cell>
          <cell r="AZ68">
            <v>2872020</v>
          </cell>
          <cell r="BA68">
            <v>0</v>
          </cell>
          <cell r="BB68">
            <v>0</v>
          </cell>
          <cell r="BC68">
            <v>0</v>
          </cell>
          <cell r="BD68">
            <v>2872020</v>
          </cell>
          <cell r="BE68">
            <v>735422</v>
          </cell>
          <cell r="BF68">
            <v>49621</v>
          </cell>
          <cell r="BG68">
            <v>44811</v>
          </cell>
          <cell r="BH68">
            <v>0</v>
          </cell>
          <cell r="BI68">
            <v>125439</v>
          </cell>
          <cell r="BJ68">
            <v>42500</v>
          </cell>
          <cell r="BK68">
            <v>997793</v>
          </cell>
          <cell r="BL68">
            <v>1525984</v>
          </cell>
          <cell r="BM68">
            <v>643091</v>
          </cell>
          <cell r="BN68">
            <v>700946</v>
          </cell>
          <cell r="BO68">
            <v>1040308</v>
          </cell>
          <cell r="BP68">
            <v>0</v>
          </cell>
          <cell r="BQ68">
            <v>97905</v>
          </cell>
          <cell r="BR68">
            <v>4938350</v>
          </cell>
          <cell r="BS68">
            <v>166389</v>
          </cell>
          <cell r="BT68">
            <v>32008</v>
          </cell>
          <cell r="BU68">
            <v>8370</v>
          </cell>
          <cell r="BV68">
            <v>13123</v>
          </cell>
          <cell r="BW68">
            <v>1846782</v>
          </cell>
          <cell r="BX68">
            <v>324548</v>
          </cell>
          <cell r="BY68">
            <v>64880</v>
          </cell>
          <cell r="BZ68">
            <v>0</v>
          </cell>
          <cell r="CA68">
            <v>0</v>
          </cell>
          <cell r="CB68">
            <v>13823355</v>
          </cell>
          <cell r="CC68">
            <v>2990775</v>
          </cell>
          <cell r="CD68">
            <v>236412</v>
          </cell>
          <cell r="CE68">
            <v>0</v>
          </cell>
          <cell r="CF68">
            <v>137432</v>
          </cell>
          <cell r="CG68">
            <v>0</v>
          </cell>
          <cell r="CH68">
            <v>0</v>
          </cell>
          <cell r="CI68">
            <v>3364619</v>
          </cell>
          <cell r="CJ68">
            <v>17187974</v>
          </cell>
          <cell r="CK68">
            <v>199327304</v>
          </cell>
          <cell r="CM68">
            <v>7701794</v>
          </cell>
          <cell r="CN68">
            <v>400538</v>
          </cell>
          <cell r="CO68">
            <v>0</v>
          </cell>
          <cell r="CP68">
            <v>0</v>
          </cell>
          <cell r="CQ68">
            <v>489545</v>
          </cell>
          <cell r="CR68">
            <v>0</v>
          </cell>
          <cell r="CS68">
            <v>0</v>
          </cell>
          <cell r="CT68">
            <v>0</v>
          </cell>
          <cell r="CV68">
            <v>0</v>
          </cell>
          <cell r="CW68">
            <v>18921000</v>
          </cell>
          <cell r="CX68">
            <v>0</v>
          </cell>
          <cell r="CY68">
            <v>0</v>
          </cell>
        </row>
        <row r="69">
          <cell r="A69">
            <v>373</v>
          </cell>
          <cell r="B69">
            <v>218356287</v>
          </cell>
          <cell r="C69">
            <v>8089389</v>
          </cell>
          <cell r="D69">
            <v>21662217</v>
          </cell>
          <cell r="E69">
            <v>6980561</v>
          </cell>
          <cell r="F69">
            <v>8866856</v>
          </cell>
          <cell r="G69">
            <v>0</v>
          </cell>
          <cell r="H69">
            <v>413680</v>
          </cell>
          <cell r="I69">
            <v>2926068</v>
          </cell>
          <cell r="J69">
            <v>31000</v>
          </cell>
          <cell r="K69">
            <v>1604368</v>
          </cell>
          <cell r="L69">
            <v>493864</v>
          </cell>
          <cell r="M69">
            <v>2295543</v>
          </cell>
          <cell r="N69">
            <v>602313</v>
          </cell>
          <cell r="O69">
            <v>2264476</v>
          </cell>
          <cell r="P69">
            <v>2621879</v>
          </cell>
          <cell r="Q69">
            <v>1079437</v>
          </cell>
          <cell r="R69">
            <v>3104915</v>
          </cell>
          <cell r="S69">
            <v>666024</v>
          </cell>
          <cell r="T69">
            <v>5522258</v>
          </cell>
          <cell r="U69">
            <v>5097205</v>
          </cell>
          <cell r="V69">
            <v>82043</v>
          </cell>
          <cell r="W69">
            <v>321817</v>
          </cell>
          <cell r="X69">
            <v>0</v>
          </cell>
          <cell r="Y69">
            <v>0</v>
          </cell>
          <cell r="Z69">
            <v>51856</v>
          </cell>
          <cell r="AA69">
            <v>0</v>
          </cell>
          <cell r="AB69">
            <v>23756</v>
          </cell>
          <cell r="AC69">
            <v>81150</v>
          </cell>
          <cell r="AD69">
            <v>400927</v>
          </cell>
          <cell r="AE69">
            <v>497748</v>
          </cell>
          <cell r="AF69">
            <v>59135</v>
          </cell>
          <cell r="AG69">
            <v>449705</v>
          </cell>
          <cell r="AH69">
            <v>87140</v>
          </cell>
          <cell r="AI69">
            <v>1830122</v>
          </cell>
          <cell r="AJ69">
            <v>5878120</v>
          </cell>
          <cell r="AK69">
            <v>32193771</v>
          </cell>
          <cell r="AL69">
            <v>1916863</v>
          </cell>
          <cell r="AM69">
            <v>0</v>
          </cell>
          <cell r="AN69">
            <v>560455</v>
          </cell>
          <cell r="AO69">
            <v>2025218</v>
          </cell>
          <cell r="AP69">
            <v>0</v>
          </cell>
          <cell r="AQ69">
            <v>339138166</v>
          </cell>
          <cell r="AR69">
            <v>5024666</v>
          </cell>
          <cell r="AS69">
            <v>175084</v>
          </cell>
          <cell r="AT69">
            <v>3628713</v>
          </cell>
          <cell r="AU69">
            <v>1665209</v>
          </cell>
          <cell r="AV69">
            <v>1211</v>
          </cell>
          <cell r="AW69">
            <v>18154</v>
          </cell>
          <cell r="AX69">
            <v>23857</v>
          </cell>
          <cell r="AY69">
            <v>10536894</v>
          </cell>
          <cell r="AZ69">
            <v>375022</v>
          </cell>
          <cell r="BA69">
            <v>4149733</v>
          </cell>
          <cell r="BB69">
            <v>0</v>
          </cell>
          <cell r="BC69">
            <v>15920</v>
          </cell>
          <cell r="BD69">
            <v>4540675</v>
          </cell>
          <cell r="BE69">
            <v>1501590</v>
          </cell>
          <cell r="BF69">
            <v>966254</v>
          </cell>
          <cell r="BG69">
            <v>277082</v>
          </cell>
          <cell r="BH69">
            <v>8357</v>
          </cell>
          <cell r="BI69">
            <v>15407</v>
          </cell>
          <cell r="BJ69">
            <v>132337</v>
          </cell>
          <cell r="BK69">
            <v>2901027</v>
          </cell>
          <cell r="BL69">
            <v>3637972</v>
          </cell>
          <cell r="BM69">
            <v>813043</v>
          </cell>
          <cell r="BN69">
            <v>1859584</v>
          </cell>
          <cell r="BO69">
            <v>940601</v>
          </cell>
          <cell r="BP69">
            <v>356191</v>
          </cell>
          <cell r="BQ69">
            <v>534036</v>
          </cell>
          <cell r="BR69">
            <v>10371845</v>
          </cell>
          <cell r="BS69">
            <v>520050</v>
          </cell>
          <cell r="BT69">
            <v>105226</v>
          </cell>
          <cell r="BU69">
            <v>1211</v>
          </cell>
          <cell r="BV69">
            <v>2422</v>
          </cell>
          <cell r="BW69">
            <v>4439820</v>
          </cell>
          <cell r="BX69">
            <v>700029</v>
          </cell>
          <cell r="BY69">
            <v>34632</v>
          </cell>
          <cell r="BZ69">
            <v>65000</v>
          </cell>
          <cell r="CA69">
            <v>302088</v>
          </cell>
          <cell r="CB69">
            <v>32290501</v>
          </cell>
          <cell r="CC69">
            <v>4258321</v>
          </cell>
          <cell r="CD69">
            <v>2836454</v>
          </cell>
          <cell r="CE69">
            <v>8422</v>
          </cell>
          <cell r="CF69">
            <v>3455972</v>
          </cell>
          <cell r="CG69">
            <v>182616</v>
          </cell>
          <cell r="CH69">
            <v>184416</v>
          </cell>
          <cell r="CI69">
            <v>10926201</v>
          </cell>
          <cell r="CJ69">
            <v>43216702</v>
          </cell>
          <cell r="CK69">
            <v>382354868</v>
          </cell>
          <cell r="CM69">
            <v>9800012</v>
          </cell>
          <cell r="CN69">
            <v>853815</v>
          </cell>
          <cell r="CO69">
            <v>56383</v>
          </cell>
          <cell r="CP69">
            <v>0</v>
          </cell>
          <cell r="CQ69">
            <v>0</v>
          </cell>
          <cell r="CR69">
            <v>0</v>
          </cell>
          <cell r="CS69">
            <v>366600</v>
          </cell>
          <cell r="CT69">
            <v>0</v>
          </cell>
          <cell r="CV69">
            <v>0</v>
          </cell>
          <cell r="CW69">
            <v>56913000</v>
          </cell>
          <cell r="CX69">
            <v>5378647</v>
          </cell>
          <cell r="CY69">
            <v>0</v>
          </cell>
        </row>
        <row r="70">
          <cell r="A70">
            <v>380</v>
          </cell>
          <cell r="B70">
            <v>266765155</v>
          </cell>
          <cell r="C70">
            <v>9206276</v>
          </cell>
          <cell r="D70">
            <v>30197178</v>
          </cell>
          <cell r="E70">
            <v>7176380</v>
          </cell>
          <cell r="F70">
            <v>10513862</v>
          </cell>
          <cell r="G70">
            <v>0</v>
          </cell>
          <cell r="H70">
            <v>500000</v>
          </cell>
          <cell r="I70">
            <v>0</v>
          </cell>
          <cell r="J70">
            <v>0</v>
          </cell>
          <cell r="K70">
            <v>1201211</v>
          </cell>
          <cell r="L70">
            <v>1219712</v>
          </cell>
          <cell r="M70">
            <v>56560</v>
          </cell>
          <cell r="N70">
            <v>1450721</v>
          </cell>
          <cell r="O70">
            <v>2564282</v>
          </cell>
          <cell r="P70">
            <v>2416356</v>
          </cell>
          <cell r="Q70">
            <v>550514</v>
          </cell>
          <cell r="R70">
            <v>1830265</v>
          </cell>
          <cell r="S70">
            <v>0</v>
          </cell>
          <cell r="T70">
            <v>2674400</v>
          </cell>
          <cell r="U70">
            <v>0</v>
          </cell>
          <cell r="V70">
            <v>133300</v>
          </cell>
          <cell r="W70">
            <v>96100</v>
          </cell>
          <cell r="X70">
            <v>0</v>
          </cell>
          <cell r="Y70">
            <v>0</v>
          </cell>
          <cell r="Z70">
            <v>0</v>
          </cell>
          <cell r="AA70">
            <v>0</v>
          </cell>
          <cell r="AB70">
            <v>0</v>
          </cell>
          <cell r="AC70">
            <v>0</v>
          </cell>
          <cell r="AD70">
            <v>318997</v>
          </cell>
          <cell r="AE70">
            <v>0</v>
          </cell>
          <cell r="AF70">
            <v>1770236</v>
          </cell>
          <cell r="AG70">
            <v>300000</v>
          </cell>
          <cell r="AH70">
            <v>10000</v>
          </cell>
          <cell r="AI70">
            <v>920000</v>
          </cell>
          <cell r="AJ70">
            <v>6190793</v>
          </cell>
          <cell r="AK70">
            <v>1510188</v>
          </cell>
          <cell r="AL70">
            <v>1807717</v>
          </cell>
          <cell r="AM70">
            <v>0</v>
          </cell>
          <cell r="AN70">
            <v>0</v>
          </cell>
          <cell r="AO70">
            <v>251500</v>
          </cell>
          <cell r="AP70">
            <v>0</v>
          </cell>
          <cell r="AQ70">
            <v>351631703</v>
          </cell>
          <cell r="AR70">
            <v>5179496</v>
          </cell>
          <cell r="AS70">
            <v>3915801</v>
          </cell>
          <cell r="AT70">
            <v>1004398</v>
          </cell>
          <cell r="AU70">
            <v>1014400</v>
          </cell>
          <cell r="AV70">
            <v>0</v>
          </cell>
          <cell r="AW70">
            <v>719265</v>
          </cell>
          <cell r="AX70">
            <v>132350</v>
          </cell>
          <cell r="AY70">
            <v>11965710</v>
          </cell>
          <cell r="AZ70">
            <v>1000</v>
          </cell>
          <cell r="BA70">
            <v>0</v>
          </cell>
          <cell r="BB70">
            <v>0</v>
          </cell>
          <cell r="BC70">
            <v>0</v>
          </cell>
          <cell r="BD70">
            <v>1000</v>
          </cell>
          <cell r="BE70">
            <v>1072785</v>
          </cell>
          <cell r="BF70">
            <v>650000</v>
          </cell>
          <cell r="BG70">
            <v>174748</v>
          </cell>
          <cell r="BH70">
            <v>0</v>
          </cell>
          <cell r="BI70">
            <v>367014</v>
          </cell>
          <cell r="BJ70">
            <v>68972</v>
          </cell>
          <cell r="BK70">
            <v>2333519</v>
          </cell>
          <cell r="BL70">
            <v>3430738</v>
          </cell>
          <cell r="BM70">
            <v>2763600</v>
          </cell>
          <cell r="BN70">
            <v>1416800</v>
          </cell>
          <cell r="BO70">
            <v>0</v>
          </cell>
          <cell r="BP70">
            <v>0</v>
          </cell>
          <cell r="BQ70">
            <v>83000</v>
          </cell>
          <cell r="BR70">
            <v>11904845</v>
          </cell>
          <cell r="BS70">
            <v>12443</v>
          </cell>
          <cell r="BT70">
            <v>83708</v>
          </cell>
          <cell r="BU70">
            <v>30542</v>
          </cell>
          <cell r="BV70">
            <v>461300</v>
          </cell>
          <cell r="BW70">
            <v>4487152</v>
          </cell>
          <cell r="BX70">
            <v>2217800</v>
          </cell>
          <cell r="BY70">
            <v>348500</v>
          </cell>
          <cell r="BZ70">
            <v>0</v>
          </cell>
          <cell r="CA70">
            <v>0</v>
          </cell>
          <cell r="CB70">
            <v>29635812</v>
          </cell>
          <cell r="CC70">
            <v>7379700</v>
          </cell>
          <cell r="CD70">
            <v>1295352</v>
          </cell>
          <cell r="CE70">
            <v>657400</v>
          </cell>
          <cell r="CF70">
            <v>503800</v>
          </cell>
          <cell r="CG70">
            <v>4353800</v>
          </cell>
          <cell r="CH70">
            <v>0</v>
          </cell>
          <cell r="CI70">
            <v>14190052</v>
          </cell>
          <cell r="CJ70">
            <v>43825864</v>
          </cell>
          <cell r="CK70">
            <v>395457567</v>
          </cell>
          <cell r="CM70">
            <v>21464146</v>
          </cell>
          <cell r="CN70">
            <v>1936271</v>
          </cell>
          <cell r="CO70">
            <v>0</v>
          </cell>
          <cell r="CP70">
            <v>0</v>
          </cell>
          <cell r="CQ70">
            <v>0</v>
          </cell>
          <cell r="CR70">
            <v>0</v>
          </cell>
          <cell r="CS70">
            <v>350721</v>
          </cell>
          <cell r="CT70">
            <v>0</v>
          </cell>
          <cell r="CV70">
            <v>0</v>
          </cell>
          <cell r="CW70">
            <v>37080000</v>
          </cell>
          <cell r="CX70">
            <v>4821407</v>
          </cell>
          <cell r="CY70">
            <v>1220039</v>
          </cell>
        </row>
        <row r="71">
          <cell r="A71">
            <v>381</v>
          </cell>
          <cell r="B71">
            <v>105050508</v>
          </cell>
          <cell r="C71">
            <v>4021538</v>
          </cell>
          <cell r="D71">
            <v>7792606</v>
          </cell>
          <cell r="E71">
            <v>1522439</v>
          </cell>
          <cell r="F71">
            <v>4422891</v>
          </cell>
          <cell r="G71">
            <v>0</v>
          </cell>
          <cell r="H71">
            <v>0</v>
          </cell>
          <cell r="I71">
            <v>2490033</v>
          </cell>
          <cell r="J71">
            <v>170950</v>
          </cell>
          <cell r="K71">
            <v>0</v>
          </cell>
          <cell r="L71">
            <v>360400</v>
          </cell>
          <cell r="M71">
            <v>0</v>
          </cell>
          <cell r="N71">
            <v>210775</v>
          </cell>
          <cell r="O71">
            <v>2522169</v>
          </cell>
          <cell r="P71">
            <v>0</v>
          </cell>
          <cell r="Q71">
            <v>516631</v>
          </cell>
          <cell r="R71">
            <v>1039568</v>
          </cell>
          <cell r="S71">
            <v>0</v>
          </cell>
          <cell r="T71">
            <v>3138954</v>
          </cell>
          <cell r="U71">
            <v>0</v>
          </cell>
          <cell r="V71">
            <v>0</v>
          </cell>
          <cell r="W71">
            <v>42550</v>
          </cell>
          <cell r="X71">
            <v>0</v>
          </cell>
          <cell r="Y71">
            <v>0</v>
          </cell>
          <cell r="Z71">
            <v>57407</v>
          </cell>
          <cell r="AA71">
            <v>0</v>
          </cell>
          <cell r="AB71">
            <v>0</v>
          </cell>
          <cell r="AC71">
            <v>0</v>
          </cell>
          <cell r="AD71">
            <v>90786</v>
          </cell>
          <cell r="AE71">
            <v>51746</v>
          </cell>
          <cell r="AF71">
            <v>611596</v>
          </cell>
          <cell r="AG71">
            <v>62938</v>
          </cell>
          <cell r="AH71">
            <v>32155</v>
          </cell>
          <cell r="AI71">
            <v>30178</v>
          </cell>
          <cell r="AJ71">
            <v>979150</v>
          </cell>
          <cell r="AK71">
            <v>0</v>
          </cell>
          <cell r="AL71">
            <v>0</v>
          </cell>
          <cell r="AM71">
            <v>0</v>
          </cell>
          <cell r="AN71">
            <v>0</v>
          </cell>
          <cell r="AO71">
            <v>1344595</v>
          </cell>
          <cell r="AP71">
            <v>0</v>
          </cell>
          <cell r="AQ71">
            <v>136562563</v>
          </cell>
          <cell r="AR71">
            <v>2612660</v>
          </cell>
          <cell r="AS71">
            <v>367497</v>
          </cell>
          <cell r="AT71">
            <v>663821</v>
          </cell>
          <cell r="AU71">
            <v>100220</v>
          </cell>
          <cell r="AV71">
            <v>0</v>
          </cell>
          <cell r="AW71">
            <v>32429</v>
          </cell>
          <cell r="AX71">
            <v>50000</v>
          </cell>
          <cell r="AY71">
            <v>3826627</v>
          </cell>
          <cell r="AZ71">
            <v>1624373</v>
          </cell>
          <cell r="BA71">
            <v>32690</v>
          </cell>
          <cell r="BB71">
            <v>0</v>
          </cell>
          <cell r="BC71">
            <v>0</v>
          </cell>
          <cell r="BD71">
            <v>1657063</v>
          </cell>
          <cell r="BE71">
            <v>402875</v>
          </cell>
          <cell r="BF71">
            <v>0</v>
          </cell>
          <cell r="BG71">
            <v>65168</v>
          </cell>
          <cell r="BH71">
            <v>0</v>
          </cell>
          <cell r="BI71">
            <v>67300</v>
          </cell>
          <cell r="BJ71">
            <v>0</v>
          </cell>
          <cell r="BK71">
            <v>535343</v>
          </cell>
          <cell r="BL71">
            <v>2068677</v>
          </cell>
          <cell r="BM71">
            <v>1650178</v>
          </cell>
          <cell r="BN71">
            <v>431054</v>
          </cell>
          <cell r="BO71">
            <v>0</v>
          </cell>
          <cell r="BP71">
            <v>0</v>
          </cell>
          <cell r="BQ71">
            <v>0</v>
          </cell>
          <cell r="BR71">
            <v>4945104</v>
          </cell>
          <cell r="BS71">
            <v>29109</v>
          </cell>
          <cell r="BT71">
            <v>9256</v>
          </cell>
          <cell r="BU71">
            <v>2892</v>
          </cell>
          <cell r="BV71">
            <v>195587</v>
          </cell>
          <cell r="BW71">
            <v>1666947</v>
          </cell>
          <cell r="BX71">
            <v>960081</v>
          </cell>
          <cell r="BY71">
            <v>0</v>
          </cell>
          <cell r="BZ71">
            <v>0</v>
          </cell>
          <cell r="CA71">
            <v>0</v>
          </cell>
          <cell r="CB71">
            <v>13032814</v>
          </cell>
          <cell r="CC71">
            <v>3877858</v>
          </cell>
          <cell r="CD71">
            <v>1604227</v>
          </cell>
          <cell r="CE71">
            <v>700</v>
          </cell>
          <cell r="CF71">
            <v>141590</v>
          </cell>
          <cell r="CG71">
            <v>0</v>
          </cell>
          <cell r="CH71">
            <v>0</v>
          </cell>
          <cell r="CI71">
            <v>5624375</v>
          </cell>
          <cell r="CJ71">
            <v>18657189</v>
          </cell>
          <cell r="CK71">
            <v>155219752</v>
          </cell>
          <cell r="CM71">
            <v>11052003</v>
          </cell>
          <cell r="CN71">
            <v>0</v>
          </cell>
          <cell r="CO71">
            <v>0</v>
          </cell>
          <cell r="CP71">
            <v>0</v>
          </cell>
          <cell r="CQ71">
            <v>0</v>
          </cell>
          <cell r="CR71">
            <v>0</v>
          </cell>
          <cell r="CS71">
            <v>94000</v>
          </cell>
          <cell r="CT71">
            <v>0</v>
          </cell>
          <cell r="CV71">
            <v>0</v>
          </cell>
          <cell r="CW71">
            <v>16250758</v>
          </cell>
          <cell r="CX71">
            <v>2067557</v>
          </cell>
          <cell r="CY71">
            <v>702653</v>
          </cell>
        </row>
        <row r="72">
          <cell r="A72">
            <v>382</v>
          </cell>
          <cell r="B72">
            <v>189962000</v>
          </cell>
          <cell r="C72">
            <v>7652150</v>
          </cell>
          <cell r="D72">
            <v>22087754</v>
          </cell>
          <cell r="E72">
            <v>2074966</v>
          </cell>
          <cell r="F72">
            <v>8115600</v>
          </cell>
          <cell r="G72">
            <v>0</v>
          </cell>
          <cell r="H72">
            <v>0</v>
          </cell>
          <cell r="I72">
            <v>1599600</v>
          </cell>
          <cell r="J72">
            <v>268100</v>
          </cell>
          <cell r="K72">
            <v>175300</v>
          </cell>
          <cell r="L72">
            <v>0</v>
          </cell>
          <cell r="M72">
            <v>27800</v>
          </cell>
          <cell r="N72">
            <v>124800</v>
          </cell>
          <cell r="O72">
            <v>2861408</v>
          </cell>
          <cell r="P72">
            <v>1544100</v>
          </cell>
          <cell r="Q72">
            <v>462500</v>
          </cell>
          <cell r="R72">
            <v>667400</v>
          </cell>
          <cell r="S72">
            <v>241500</v>
          </cell>
          <cell r="T72">
            <v>8932900</v>
          </cell>
          <cell r="U72">
            <v>0</v>
          </cell>
          <cell r="V72">
            <v>88000</v>
          </cell>
          <cell r="W72">
            <v>291300</v>
          </cell>
          <cell r="X72">
            <v>0</v>
          </cell>
          <cell r="Y72">
            <v>0</v>
          </cell>
          <cell r="Z72">
            <v>0</v>
          </cell>
          <cell r="AA72">
            <v>0</v>
          </cell>
          <cell r="AB72">
            <v>0</v>
          </cell>
          <cell r="AC72">
            <v>56000</v>
          </cell>
          <cell r="AD72">
            <v>751600</v>
          </cell>
          <cell r="AE72">
            <v>0</v>
          </cell>
          <cell r="AF72">
            <v>475700</v>
          </cell>
          <cell r="AG72">
            <v>12000</v>
          </cell>
          <cell r="AH72">
            <v>25000</v>
          </cell>
          <cell r="AI72">
            <v>890100</v>
          </cell>
          <cell r="AJ72">
            <v>2064962</v>
          </cell>
          <cell r="AK72">
            <v>16106000</v>
          </cell>
          <cell r="AL72">
            <v>566343</v>
          </cell>
          <cell r="AM72">
            <v>0</v>
          </cell>
          <cell r="AN72">
            <v>197900</v>
          </cell>
          <cell r="AO72">
            <v>0</v>
          </cell>
          <cell r="AP72">
            <v>0</v>
          </cell>
          <cell r="AQ72">
            <v>268322783</v>
          </cell>
          <cell r="AR72">
            <v>4248000</v>
          </cell>
          <cell r="AS72">
            <v>733400</v>
          </cell>
          <cell r="AT72">
            <v>1640700</v>
          </cell>
          <cell r="AU72">
            <v>597800</v>
          </cell>
          <cell r="AV72">
            <v>0</v>
          </cell>
          <cell r="AW72">
            <v>0</v>
          </cell>
          <cell r="AX72">
            <v>21100</v>
          </cell>
          <cell r="AY72">
            <v>7241000</v>
          </cell>
          <cell r="AZ72">
            <v>3614641</v>
          </cell>
          <cell r="BA72">
            <v>709100</v>
          </cell>
          <cell r="BB72">
            <v>99300</v>
          </cell>
          <cell r="BC72">
            <v>0</v>
          </cell>
          <cell r="BD72">
            <v>4423041</v>
          </cell>
          <cell r="BE72">
            <v>2253400</v>
          </cell>
          <cell r="BF72">
            <v>0</v>
          </cell>
          <cell r="BG72">
            <v>0</v>
          </cell>
          <cell r="BH72">
            <v>97000</v>
          </cell>
          <cell r="BI72">
            <v>74200</v>
          </cell>
          <cell r="BJ72">
            <v>0</v>
          </cell>
          <cell r="BK72">
            <v>2424600</v>
          </cell>
          <cell r="BL72">
            <v>2589800</v>
          </cell>
          <cell r="BM72">
            <v>1409200</v>
          </cell>
          <cell r="BN72">
            <v>1721200</v>
          </cell>
          <cell r="BO72">
            <v>0</v>
          </cell>
          <cell r="BP72">
            <v>0</v>
          </cell>
          <cell r="BQ72">
            <v>330800</v>
          </cell>
          <cell r="BR72">
            <v>7546900</v>
          </cell>
          <cell r="BS72">
            <v>152800</v>
          </cell>
          <cell r="BT72">
            <v>58200</v>
          </cell>
          <cell r="BU72">
            <v>0</v>
          </cell>
          <cell r="BV72">
            <v>596900</v>
          </cell>
          <cell r="BW72">
            <v>3177300</v>
          </cell>
          <cell r="BX72">
            <v>0</v>
          </cell>
          <cell r="BY72">
            <v>100500</v>
          </cell>
          <cell r="BZ72">
            <v>0</v>
          </cell>
          <cell r="CA72">
            <v>0</v>
          </cell>
          <cell r="CB72">
            <v>24225341</v>
          </cell>
          <cell r="CC72">
            <v>4693400</v>
          </cell>
          <cell r="CD72">
            <v>1477100</v>
          </cell>
          <cell r="CE72">
            <v>76300</v>
          </cell>
          <cell r="CF72">
            <v>570900</v>
          </cell>
          <cell r="CG72">
            <v>156800</v>
          </cell>
          <cell r="CH72">
            <v>0</v>
          </cell>
          <cell r="CI72">
            <v>6974500</v>
          </cell>
          <cell r="CJ72">
            <v>31199841</v>
          </cell>
          <cell r="CK72">
            <v>299522624</v>
          </cell>
          <cell r="CM72">
            <v>6587984</v>
          </cell>
          <cell r="CN72">
            <v>607267</v>
          </cell>
          <cell r="CO72">
            <v>0</v>
          </cell>
          <cell r="CP72">
            <v>0</v>
          </cell>
          <cell r="CQ72">
            <v>0</v>
          </cell>
          <cell r="CR72">
            <v>0</v>
          </cell>
          <cell r="CS72">
            <v>242208</v>
          </cell>
          <cell r="CT72">
            <v>0</v>
          </cell>
          <cell r="CV72">
            <v>0</v>
          </cell>
          <cell r="CW72">
            <v>34997700</v>
          </cell>
          <cell r="CX72">
            <v>3880170</v>
          </cell>
          <cell r="CY72">
            <v>1155290</v>
          </cell>
        </row>
        <row r="73">
          <cell r="A73">
            <v>383</v>
          </cell>
          <cell r="B73">
            <v>337098950</v>
          </cell>
          <cell r="C73">
            <v>11686830</v>
          </cell>
          <cell r="D73">
            <v>28140130</v>
          </cell>
          <cell r="E73">
            <v>8311910</v>
          </cell>
          <cell r="F73">
            <v>13730070</v>
          </cell>
          <cell r="G73">
            <v>0</v>
          </cell>
          <cell r="H73">
            <v>600000</v>
          </cell>
          <cell r="I73">
            <v>2425780</v>
          </cell>
          <cell r="J73">
            <v>0</v>
          </cell>
          <cell r="K73">
            <v>0</v>
          </cell>
          <cell r="L73">
            <v>552350</v>
          </cell>
          <cell r="M73">
            <v>389150</v>
          </cell>
          <cell r="N73">
            <v>745310</v>
          </cell>
          <cell r="O73">
            <v>2732610</v>
          </cell>
          <cell r="P73">
            <v>4184950</v>
          </cell>
          <cell r="Q73">
            <v>966050</v>
          </cell>
          <cell r="R73">
            <v>1689200</v>
          </cell>
          <cell r="S73">
            <v>0</v>
          </cell>
          <cell r="T73">
            <v>5187850</v>
          </cell>
          <cell r="U73">
            <v>0</v>
          </cell>
          <cell r="V73">
            <v>119300</v>
          </cell>
          <cell r="W73">
            <v>292550</v>
          </cell>
          <cell r="X73">
            <v>0</v>
          </cell>
          <cell r="Y73">
            <v>0</v>
          </cell>
          <cell r="Z73">
            <v>0</v>
          </cell>
          <cell r="AA73">
            <v>0</v>
          </cell>
          <cell r="AB73">
            <v>270040</v>
          </cell>
          <cell r="AC73">
            <v>274090</v>
          </cell>
          <cell r="AD73">
            <v>821350</v>
          </cell>
          <cell r="AE73">
            <v>422480</v>
          </cell>
          <cell r="AF73">
            <v>550000</v>
          </cell>
          <cell r="AG73">
            <v>55550</v>
          </cell>
          <cell r="AH73">
            <v>12300</v>
          </cell>
          <cell r="AI73">
            <v>1761310</v>
          </cell>
          <cell r="AJ73">
            <v>6489950</v>
          </cell>
          <cell r="AK73">
            <v>907840</v>
          </cell>
          <cell r="AL73">
            <v>2572960</v>
          </cell>
          <cell r="AM73">
            <v>0</v>
          </cell>
          <cell r="AN73">
            <v>208430</v>
          </cell>
          <cell r="AO73">
            <v>1034870</v>
          </cell>
          <cell r="AP73">
            <v>136000</v>
          </cell>
          <cell r="AQ73">
            <v>434370160</v>
          </cell>
          <cell r="AR73">
            <v>6681480</v>
          </cell>
          <cell r="AS73">
            <v>2179120</v>
          </cell>
          <cell r="AT73">
            <v>3263580</v>
          </cell>
          <cell r="AU73">
            <v>659600</v>
          </cell>
          <cell r="AV73">
            <v>0</v>
          </cell>
          <cell r="AW73">
            <v>0</v>
          </cell>
          <cell r="AX73">
            <v>79200</v>
          </cell>
          <cell r="AY73">
            <v>12862980</v>
          </cell>
          <cell r="AZ73">
            <v>2082930</v>
          </cell>
          <cell r="BA73">
            <v>852760</v>
          </cell>
          <cell r="BB73">
            <v>105690</v>
          </cell>
          <cell r="BC73">
            <v>5200</v>
          </cell>
          <cell r="BD73">
            <v>3046580</v>
          </cell>
          <cell r="BE73">
            <v>1752220</v>
          </cell>
          <cell r="BF73">
            <v>265570</v>
          </cell>
          <cell r="BG73">
            <v>109830</v>
          </cell>
          <cell r="BH73">
            <v>76320</v>
          </cell>
          <cell r="BI73">
            <v>273830</v>
          </cell>
          <cell r="BJ73">
            <v>285930</v>
          </cell>
          <cell r="BK73">
            <v>2763700</v>
          </cell>
          <cell r="BL73">
            <v>3701060</v>
          </cell>
          <cell r="BM73">
            <v>2040860</v>
          </cell>
          <cell r="BN73">
            <v>2602000</v>
          </cell>
          <cell r="BO73">
            <v>470820</v>
          </cell>
          <cell r="BP73">
            <v>238610</v>
          </cell>
          <cell r="BQ73">
            <v>161920</v>
          </cell>
          <cell r="BR73">
            <v>15678310</v>
          </cell>
          <cell r="BS73">
            <v>758300</v>
          </cell>
          <cell r="BT73">
            <v>53560</v>
          </cell>
          <cell r="BU73">
            <v>201650</v>
          </cell>
          <cell r="BV73">
            <v>703130</v>
          </cell>
          <cell r="BW73">
            <v>5480760</v>
          </cell>
          <cell r="BX73">
            <v>1908240</v>
          </cell>
          <cell r="BY73">
            <v>453410</v>
          </cell>
          <cell r="BZ73">
            <v>605050</v>
          </cell>
          <cell r="CA73">
            <v>0</v>
          </cell>
          <cell r="CB73">
            <v>38052630</v>
          </cell>
          <cell r="CC73">
            <v>9600370</v>
          </cell>
          <cell r="CD73">
            <v>4732460</v>
          </cell>
          <cell r="CE73">
            <v>610500</v>
          </cell>
          <cell r="CF73">
            <v>797190</v>
          </cell>
          <cell r="CG73">
            <v>16300</v>
          </cell>
          <cell r="CH73">
            <v>0</v>
          </cell>
          <cell r="CI73">
            <v>15756820</v>
          </cell>
          <cell r="CJ73">
            <v>53809450</v>
          </cell>
          <cell r="CK73">
            <v>488179610</v>
          </cell>
          <cell r="CM73">
            <v>25299980</v>
          </cell>
          <cell r="CN73">
            <v>1437900</v>
          </cell>
          <cell r="CO73">
            <v>0</v>
          </cell>
          <cell r="CP73">
            <v>0</v>
          </cell>
          <cell r="CQ73">
            <v>0</v>
          </cell>
          <cell r="CR73">
            <v>0</v>
          </cell>
          <cell r="CS73">
            <v>317980</v>
          </cell>
          <cell r="CT73">
            <v>0</v>
          </cell>
          <cell r="CV73">
            <v>95510</v>
          </cell>
          <cell r="CW73">
            <v>50820700</v>
          </cell>
          <cell r="CX73">
            <v>8121070</v>
          </cell>
          <cell r="CY73">
            <v>0</v>
          </cell>
        </row>
        <row r="74">
          <cell r="A74">
            <v>384</v>
          </cell>
          <cell r="B74">
            <v>150171822</v>
          </cell>
          <cell r="C74">
            <v>5662461</v>
          </cell>
          <cell r="D74">
            <v>12687913</v>
          </cell>
          <cell r="E74">
            <v>3911197</v>
          </cell>
          <cell r="F74">
            <v>5917036</v>
          </cell>
          <cell r="G74">
            <v>0</v>
          </cell>
          <cell r="H74">
            <v>0</v>
          </cell>
          <cell r="I74">
            <v>4563976</v>
          </cell>
          <cell r="J74">
            <v>0</v>
          </cell>
          <cell r="K74">
            <v>0</v>
          </cell>
          <cell r="L74">
            <v>0</v>
          </cell>
          <cell r="M74">
            <v>399074</v>
          </cell>
          <cell r="N74">
            <v>0</v>
          </cell>
          <cell r="O74">
            <v>1804413</v>
          </cell>
          <cell r="P74">
            <v>650961</v>
          </cell>
          <cell r="Q74">
            <v>904963</v>
          </cell>
          <cell r="R74">
            <v>286544</v>
          </cell>
          <cell r="S74">
            <v>0</v>
          </cell>
          <cell r="T74">
            <v>7495037</v>
          </cell>
          <cell r="U74">
            <v>24429</v>
          </cell>
          <cell r="V74">
            <v>0</v>
          </cell>
          <cell r="W74">
            <v>97659</v>
          </cell>
          <cell r="X74">
            <v>0</v>
          </cell>
          <cell r="Y74">
            <v>0</v>
          </cell>
          <cell r="Z74">
            <v>0</v>
          </cell>
          <cell r="AA74">
            <v>0</v>
          </cell>
          <cell r="AB74">
            <v>287501</v>
          </cell>
          <cell r="AC74">
            <v>0</v>
          </cell>
          <cell r="AD74">
            <v>190816</v>
          </cell>
          <cell r="AE74">
            <v>0</v>
          </cell>
          <cell r="AF74">
            <v>713986</v>
          </cell>
          <cell r="AG74">
            <v>125481</v>
          </cell>
          <cell r="AH74">
            <v>0</v>
          </cell>
          <cell r="AI74">
            <v>137120</v>
          </cell>
          <cell r="AJ74">
            <v>2819930</v>
          </cell>
          <cell r="AK74">
            <v>0</v>
          </cell>
          <cell r="AL74">
            <v>0</v>
          </cell>
          <cell r="AM74">
            <v>0</v>
          </cell>
          <cell r="AN74">
            <v>384494</v>
          </cell>
          <cell r="AO74">
            <v>0</v>
          </cell>
          <cell r="AP74">
            <v>100000</v>
          </cell>
          <cell r="AQ74">
            <v>199336813</v>
          </cell>
          <cell r="AR74">
            <v>4191402</v>
          </cell>
          <cell r="AS74">
            <v>809412</v>
          </cell>
          <cell r="AT74">
            <v>1528575</v>
          </cell>
          <cell r="AU74">
            <v>609690</v>
          </cell>
          <cell r="AV74">
            <v>0</v>
          </cell>
          <cell r="AW74">
            <v>0</v>
          </cell>
          <cell r="AX74">
            <v>0</v>
          </cell>
          <cell r="AY74">
            <v>7139079</v>
          </cell>
          <cell r="AZ74">
            <v>1874331</v>
          </cell>
          <cell r="BA74">
            <v>457530</v>
          </cell>
          <cell r="BB74">
            <v>109903</v>
          </cell>
          <cell r="BC74">
            <v>0</v>
          </cell>
          <cell r="BD74">
            <v>2441764</v>
          </cell>
          <cell r="BE74">
            <v>841323</v>
          </cell>
          <cell r="BF74">
            <v>206220</v>
          </cell>
          <cell r="BG74">
            <v>0</v>
          </cell>
          <cell r="BH74">
            <v>0</v>
          </cell>
          <cell r="BI74">
            <v>430490</v>
          </cell>
          <cell r="BJ74">
            <v>206220</v>
          </cell>
          <cell r="BK74">
            <v>1684253</v>
          </cell>
          <cell r="BL74">
            <v>2471655</v>
          </cell>
          <cell r="BM74">
            <v>346745</v>
          </cell>
          <cell r="BN74">
            <v>942488</v>
          </cell>
          <cell r="BO74">
            <v>472651</v>
          </cell>
          <cell r="BP74">
            <v>0</v>
          </cell>
          <cell r="BQ74">
            <v>229678</v>
          </cell>
          <cell r="BR74">
            <v>6020359</v>
          </cell>
          <cell r="BS74">
            <v>142017</v>
          </cell>
          <cell r="BT74">
            <v>0</v>
          </cell>
          <cell r="BU74">
            <v>0</v>
          </cell>
          <cell r="BV74">
            <v>273484</v>
          </cell>
          <cell r="BW74">
            <v>3613296</v>
          </cell>
          <cell r="BX74">
            <v>0</v>
          </cell>
          <cell r="BY74">
            <v>0</v>
          </cell>
          <cell r="BZ74">
            <v>0</v>
          </cell>
          <cell r="CA74">
            <v>0</v>
          </cell>
          <cell r="CB74">
            <v>19757110</v>
          </cell>
          <cell r="CC74">
            <v>3316513</v>
          </cell>
          <cell r="CD74">
            <v>4156558</v>
          </cell>
          <cell r="CE74">
            <v>193982</v>
          </cell>
          <cell r="CF74">
            <v>168687</v>
          </cell>
          <cell r="CG74">
            <v>0</v>
          </cell>
          <cell r="CH74">
            <v>0</v>
          </cell>
          <cell r="CI74">
            <v>7835740</v>
          </cell>
          <cell r="CJ74">
            <v>27592850</v>
          </cell>
          <cell r="CK74">
            <v>226929663</v>
          </cell>
          <cell r="CM74">
            <v>5989165</v>
          </cell>
          <cell r="CN74">
            <v>0</v>
          </cell>
          <cell r="CO74">
            <v>497270</v>
          </cell>
          <cell r="CP74">
            <v>0</v>
          </cell>
          <cell r="CQ74">
            <v>0</v>
          </cell>
          <cell r="CR74">
            <v>0</v>
          </cell>
          <cell r="CS74">
            <v>427024</v>
          </cell>
          <cell r="CT74">
            <v>0</v>
          </cell>
          <cell r="CV74">
            <v>0</v>
          </cell>
          <cell r="CW74">
            <v>0</v>
          </cell>
          <cell r="CX74">
            <v>3035011</v>
          </cell>
          <cell r="CY74">
            <v>872786</v>
          </cell>
        </row>
        <row r="75">
          <cell r="A75">
            <v>390</v>
          </cell>
          <cell r="B75">
            <v>84372634</v>
          </cell>
          <cell r="C75">
            <v>3296975</v>
          </cell>
          <cell r="D75">
            <v>9305487</v>
          </cell>
          <cell r="E75">
            <v>2830849</v>
          </cell>
          <cell r="F75">
            <v>3385681</v>
          </cell>
          <cell r="G75">
            <v>0</v>
          </cell>
          <cell r="H75">
            <v>228638</v>
          </cell>
          <cell r="I75">
            <v>0</v>
          </cell>
          <cell r="J75">
            <v>0</v>
          </cell>
          <cell r="K75">
            <v>1820352</v>
          </cell>
          <cell r="L75">
            <v>1138190</v>
          </cell>
          <cell r="M75">
            <v>69697</v>
          </cell>
          <cell r="N75">
            <v>458609</v>
          </cell>
          <cell r="O75">
            <v>2553323</v>
          </cell>
          <cell r="P75">
            <v>761574</v>
          </cell>
          <cell r="Q75">
            <v>440876</v>
          </cell>
          <cell r="R75">
            <v>615078</v>
          </cell>
          <cell r="S75">
            <v>0</v>
          </cell>
          <cell r="T75">
            <v>5728961</v>
          </cell>
          <cell r="U75">
            <v>59889</v>
          </cell>
          <cell r="V75">
            <v>0</v>
          </cell>
          <cell r="W75">
            <v>0</v>
          </cell>
          <cell r="X75">
            <v>32345</v>
          </cell>
          <cell r="Y75">
            <v>0</v>
          </cell>
          <cell r="Z75">
            <v>0</v>
          </cell>
          <cell r="AA75">
            <v>0</v>
          </cell>
          <cell r="AB75">
            <v>0</v>
          </cell>
          <cell r="AC75">
            <v>0</v>
          </cell>
          <cell r="AD75">
            <v>176866</v>
          </cell>
          <cell r="AE75">
            <v>0</v>
          </cell>
          <cell r="AF75">
            <v>839447</v>
          </cell>
          <cell r="AG75">
            <v>41344</v>
          </cell>
          <cell r="AH75">
            <v>20598</v>
          </cell>
          <cell r="AI75">
            <v>374472</v>
          </cell>
          <cell r="AJ75">
            <v>982226</v>
          </cell>
          <cell r="AK75">
            <v>250590</v>
          </cell>
          <cell r="AL75">
            <v>680212</v>
          </cell>
          <cell r="AM75">
            <v>0</v>
          </cell>
          <cell r="AN75">
            <v>369958</v>
          </cell>
          <cell r="AO75">
            <v>0</v>
          </cell>
          <cell r="AP75">
            <v>0</v>
          </cell>
          <cell r="AQ75">
            <v>120834871</v>
          </cell>
          <cell r="AR75">
            <v>1605215</v>
          </cell>
          <cell r="AS75">
            <v>1000068</v>
          </cell>
          <cell r="AT75">
            <v>1029000</v>
          </cell>
          <cell r="AU75">
            <v>44789</v>
          </cell>
          <cell r="AV75">
            <v>0</v>
          </cell>
          <cell r="AW75">
            <v>12359</v>
          </cell>
          <cell r="AX75">
            <v>0</v>
          </cell>
          <cell r="AY75">
            <v>3691431</v>
          </cell>
          <cell r="AZ75">
            <v>2617287</v>
          </cell>
          <cell r="BA75">
            <v>0</v>
          </cell>
          <cell r="BB75">
            <v>0</v>
          </cell>
          <cell r="BC75">
            <v>0</v>
          </cell>
          <cell r="BD75">
            <v>2617287</v>
          </cell>
          <cell r="BE75">
            <v>480761</v>
          </cell>
          <cell r="BF75">
            <v>70538</v>
          </cell>
          <cell r="BG75">
            <v>79656</v>
          </cell>
          <cell r="BH75">
            <v>0</v>
          </cell>
          <cell r="BI75">
            <v>41911</v>
          </cell>
          <cell r="BJ75">
            <v>20398</v>
          </cell>
          <cell r="BK75">
            <v>693264</v>
          </cell>
          <cell r="BL75">
            <v>1609444</v>
          </cell>
          <cell r="BM75">
            <v>587580</v>
          </cell>
          <cell r="BN75">
            <v>623653</v>
          </cell>
          <cell r="BO75">
            <v>70301</v>
          </cell>
          <cell r="BP75">
            <v>0</v>
          </cell>
          <cell r="BQ75">
            <v>0</v>
          </cell>
          <cell r="BR75">
            <v>2902293</v>
          </cell>
          <cell r="BS75">
            <v>61313</v>
          </cell>
          <cell r="BT75">
            <v>117820</v>
          </cell>
          <cell r="BU75">
            <v>103216</v>
          </cell>
          <cell r="BV75">
            <v>5886</v>
          </cell>
          <cell r="BW75">
            <v>972360</v>
          </cell>
          <cell r="BX75">
            <v>291001</v>
          </cell>
          <cell r="BY75">
            <v>69163</v>
          </cell>
          <cell r="BZ75">
            <v>0</v>
          </cell>
          <cell r="CA75">
            <v>0</v>
          </cell>
          <cell r="CB75">
            <v>11513719</v>
          </cell>
          <cell r="CC75">
            <v>1717669</v>
          </cell>
          <cell r="CD75">
            <v>2648120</v>
          </cell>
          <cell r="CE75">
            <v>1854</v>
          </cell>
          <cell r="CF75">
            <v>0</v>
          </cell>
          <cell r="CG75">
            <v>161886</v>
          </cell>
          <cell r="CH75">
            <v>0</v>
          </cell>
          <cell r="CI75">
            <v>4529529</v>
          </cell>
          <cell r="CJ75">
            <v>16043248</v>
          </cell>
          <cell r="CK75">
            <v>136878119</v>
          </cell>
          <cell r="CM75">
            <v>7138995</v>
          </cell>
          <cell r="CN75">
            <v>212192</v>
          </cell>
          <cell r="CO75">
            <v>0</v>
          </cell>
          <cell r="CP75">
            <v>0</v>
          </cell>
          <cell r="CQ75">
            <v>0</v>
          </cell>
          <cell r="CR75">
            <v>0</v>
          </cell>
          <cell r="CS75">
            <v>128271</v>
          </cell>
          <cell r="CT75">
            <v>0</v>
          </cell>
          <cell r="CV75">
            <v>0</v>
          </cell>
          <cell r="CW75">
            <v>0</v>
          </cell>
          <cell r="CX75">
            <v>2171121</v>
          </cell>
          <cell r="CY75">
            <v>165828</v>
          </cell>
        </row>
        <row r="76">
          <cell r="A76">
            <v>391</v>
          </cell>
          <cell r="B76">
            <v>116208712</v>
          </cell>
          <cell r="C76">
            <v>4163230</v>
          </cell>
          <cell r="D76">
            <v>10215645</v>
          </cell>
          <cell r="E76">
            <v>2777670</v>
          </cell>
          <cell r="F76">
            <v>4639540</v>
          </cell>
          <cell r="G76">
            <v>0</v>
          </cell>
          <cell r="H76">
            <v>0</v>
          </cell>
          <cell r="I76">
            <v>3333181</v>
          </cell>
          <cell r="J76">
            <v>0</v>
          </cell>
          <cell r="K76">
            <v>0</v>
          </cell>
          <cell r="L76">
            <v>0</v>
          </cell>
          <cell r="M76">
            <v>0</v>
          </cell>
          <cell r="N76">
            <v>556980</v>
          </cell>
          <cell r="O76">
            <v>1982070</v>
          </cell>
          <cell r="P76">
            <v>1181984</v>
          </cell>
          <cell r="Q76">
            <v>939660</v>
          </cell>
          <cell r="R76">
            <v>7380</v>
          </cell>
          <cell r="S76">
            <v>0</v>
          </cell>
          <cell r="T76">
            <v>1437440</v>
          </cell>
          <cell r="U76">
            <v>53640</v>
          </cell>
          <cell r="V76">
            <v>66001</v>
          </cell>
          <cell r="W76">
            <v>0</v>
          </cell>
          <cell r="X76">
            <v>0</v>
          </cell>
          <cell r="Y76">
            <v>0</v>
          </cell>
          <cell r="Z76">
            <v>0</v>
          </cell>
          <cell r="AA76">
            <v>0</v>
          </cell>
          <cell r="AB76">
            <v>0</v>
          </cell>
          <cell r="AC76">
            <v>0</v>
          </cell>
          <cell r="AD76">
            <v>189440</v>
          </cell>
          <cell r="AE76">
            <v>32980</v>
          </cell>
          <cell r="AF76">
            <v>671351</v>
          </cell>
          <cell r="AG76">
            <v>65260</v>
          </cell>
          <cell r="AH76">
            <v>41280</v>
          </cell>
          <cell r="AI76">
            <v>19610</v>
          </cell>
          <cell r="AJ76">
            <v>3908480</v>
          </cell>
          <cell r="AK76">
            <v>1897610</v>
          </cell>
          <cell r="AL76">
            <v>1532350</v>
          </cell>
          <cell r="AM76">
            <v>0</v>
          </cell>
          <cell r="AN76">
            <v>311420</v>
          </cell>
          <cell r="AO76">
            <v>731070</v>
          </cell>
          <cell r="AP76">
            <v>0</v>
          </cell>
          <cell r="AQ76">
            <v>156963984</v>
          </cell>
          <cell r="AR76">
            <v>2145590</v>
          </cell>
          <cell r="AS76">
            <v>740750</v>
          </cell>
          <cell r="AT76">
            <v>3764330</v>
          </cell>
          <cell r="AU76">
            <v>559160</v>
          </cell>
          <cell r="AV76">
            <v>0</v>
          </cell>
          <cell r="AW76">
            <v>424020</v>
          </cell>
          <cell r="AX76">
            <v>0</v>
          </cell>
          <cell r="AY76">
            <v>7633850</v>
          </cell>
          <cell r="AZ76">
            <v>57000</v>
          </cell>
          <cell r="BA76">
            <v>123410</v>
          </cell>
          <cell r="BB76">
            <v>0</v>
          </cell>
          <cell r="BC76">
            <v>0</v>
          </cell>
          <cell r="BD76">
            <v>180410</v>
          </cell>
          <cell r="BE76">
            <v>860070</v>
          </cell>
          <cell r="BF76">
            <v>73440</v>
          </cell>
          <cell r="BG76">
            <v>25610</v>
          </cell>
          <cell r="BH76">
            <v>0</v>
          </cell>
          <cell r="BI76">
            <v>72650</v>
          </cell>
          <cell r="BJ76">
            <v>31640</v>
          </cell>
          <cell r="BK76">
            <v>1063410</v>
          </cell>
          <cell r="BL76">
            <v>1977570</v>
          </cell>
          <cell r="BM76">
            <v>2052140</v>
          </cell>
          <cell r="BN76">
            <v>1383770</v>
          </cell>
          <cell r="BO76">
            <v>17880</v>
          </cell>
          <cell r="BP76">
            <v>0</v>
          </cell>
          <cell r="BQ76">
            <v>0</v>
          </cell>
          <cell r="BR76">
            <v>5756081</v>
          </cell>
          <cell r="BS76">
            <v>105020</v>
          </cell>
          <cell r="BT76">
            <v>81670</v>
          </cell>
          <cell r="BU76">
            <v>45200</v>
          </cell>
          <cell r="BV76">
            <v>0</v>
          </cell>
          <cell r="BW76">
            <v>1630551</v>
          </cell>
          <cell r="BX76">
            <v>319290</v>
          </cell>
          <cell r="BY76">
            <v>120560</v>
          </cell>
          <cell r="BZ76">
            <v>0</v>
          </cell>
          <cell r="CA76">
            <v>0</v>
          </cell>
          <cell r="CB76">
            <v>16611321</v>
          </cell>
          <cell r="CC76">
            <v>6673930</v>
          </cell>
          <cell r="CD76">
            <v>6735990</v>
          </cell>
          <cell r="CE76">
            <v>0</v>
          </cell>
          <cell r="CF76">
            <v>323120</v>
          </cell>
          <cell r="CG76">
            <v>263650</v>
          </cell>
          <cell r="CH76">
            <v>0</v>
          </cell>
          <cell r="CI76">
            <v>13996690</v>
          </cell>
          <cell r="CJ76">
            <v>30608011</v>
          </cell>
          <cell r="CK76">
            <v>187571995</v>
          </cell>
          <cell r="CM76">
            <v>10624476</v>
          </cell>
          <cell r="CN76">
            <v>488330</v>
          </cell>
          <cell r="CO76">
            <v>0</v>
          </cell>
          <cell r="CP76">
            <v>0</v>
          </cell>
          <cell r="CQ76">
            <v>0</v>
          </cell>
          <cell r="CR76">
            <v>0</v>
          </cell>
          <cell r="CS76">
            <v>262950</v>
          </cell>
          <cell r="CT76">
            <v>0</v>
          </cell>
          <cell r="CV76">
            <v>0</v>
          </cell>
          <cell r="CW76">
            <v>13923745</v>
          </cell>
          <cell r="CX76">
            <v>2768710</v>
          </cell>
          <cell r="CY76">
            <v>0</v>
          </cell>
        </row>
        <row r="77">
          <cell r="A77">
            <v>392</v>
          </cell>
          <cell r="B77">
            <v>88898352</v>
          </cell>
          <cell r="C77">
            <v>3431571</v>
          </cell>
          <cell r="D77">
            <v>7813403</v>
          </cell>
          <cell r="E77">
            <v>3111845</v>
          </cell>
          <cell r="F77">
            <v>3605130</v>
          </cell>
          <cell r="G77">
            <v>0</v>
          </cell>
          <cell r="H77">
            <v>599353</v>
          </cell>
          <cell r="I77">
            <v>0</v>
          </cell>
          <cell r="J77">
            <v>0</v>
          </cell>
          <cell r="K77">
            <v>626298</v>
          </cell>
          <cell r="L77">
            <v>582707</v>
          </cell>
          <cell r="M77">
            <v>124654</v>
          </cell>
          <cell r="N77">
            <v>187828</v>
          </cell>
          <cell r="O77">
            <v>1605132</v>
          </cell>
          <cell r="P77">
            <v>1101290</v>
          </cell>
          <cell r="Q77">
            <v>237090</v>
          </cell>
          <cell r="R77">
            <v>60236</v>
          </cell>
          <cell r="S77">
            <v>0</v>
          </cell>
          <cell r="T77">
            <v>5031584</v>
          </cell>
          <cell r="U77">
            <v>0</v>
          </cell>
          <cell r="V77">
            <v>0</v>
          </cell>
          <cell r="W77">
            <v>243950</v>
          </cell>
          <cell r="X77">
            <v>0</v>
          </cell>
          <cell r="Y77">
            <v>0</v>
          </cell>
          <cell r="Z77">
            <v>0</v>
          </cell>
          <cell r="AA77">
            <v>0</v>
          </cell>
          <cell r="AB77">
            <v>0</v>
          </cell>
          <cell r="AC77">
            <v>0</v>
          </cell>
          <cell r="AD77">
            <v>184404</v>
          </cell>
          <cell r="AE77">
            <v>22516</v>
          </cell>
          <cell r="AF77">
            <v>371250</v>
          </cell>
          <cell r="AG77">
            <v>100231</v>
          </cell>
          <cell r="AH77">
            <v>5125</v>
          </cell>
          <cell r="AI77">
            <v>283345</v>
          </cell>
          <cell r="AJ77">
            <v>0</v>
          </cell>
          <cell r="AK77">
            <v>0</v>
          </cell>
          <cell r="AL77">
            <v>0</v>
          </cell>
          <cell r="AM77">
            <v>0</v>
          </cell>
          <cell r="AN77">
            <v>0</v>
          </cell>
          <cell r="AO77">
            <v>517474</v>
          </cell>
          <cell r="AP77">
            <v>0</v>
          </cell>
          <cell r="AQ77">
            <v>118744768</v>
          </cell>
          <cell r="AR77">
            <v>1982579</v>
          </cell>
          <cell r="AS77">
            <v>495854</v>
          </cell>
          <cell r="AT77">
            <v>1658401</v>
          </cell>
          <cell r="AU77">
            <v>61257</v>
          </cell>
          <cell r="AV77">
            <v>0</v>
          </cell>
          <cell r="AW77">
            <v>0</v>
          </cell>
          <cell r="AX77">
            <v>19311</v>
          </cell>
          <cell r="AY77">
            <v>4217402</v>
          </cell>
          <cell r="AZ77">
            <v>2089744</v>
          </cell>
          <cell r="BA77">
            <v>0</v>
          </cell>
          <cell r="BB77">
            <v>134638</v>
          </cell>
          <cell r="BC77">
            <v>0</v>
          </cell>
          <cell r="BD77">
            <v>2224382</v>
          </cell>
          <cell r="BE77">
            <v>479527</v>
          </cell>
          <cell r="BF77">
            <v>250485</v>
          </cell>
          <cell r="BG77">
            <v>35454</v>
          </cell>
          <cell r="BH77">
            <v>52000</v>
          </cell>
          <cell r="BI77">
            <v>31716</v>
          </cell>
          <cell r="BJ77">
            <v>109755</v>
          </cell>
          <cell r="BK77">
            <v>958937</v>
          </cell>
          <cell r="BL77">
            <v>1228969</v>
          </cell>
          <cell r="BM77">
            <v>720870</v>
          </cell>
          <cell r="BN77">
            <v>329572</v>
          </cell>
          <cell r="BO77">
            <v>0</v>
          </cell>
          <cell r="BP77">
            <v>0</v>
          </cell>
          <cell r="BQ77">
            <v>395195</v>
          </cell>
          <cell r="BR77">
            <v>2952395</v>
          </cell>
          <cell r="BS77">
            <v>47531</v>
          </cell>
          <cell r="BT77">
            <v>56174</v>
          </cell>
          <cell r="BU77">
            <v>0</v>
          </cell>
          <cell r="BV77">
            <v>0</v>
          </cell>
          <cell r="BW77">
            <v>1170531</v>
          </cell>
          <cell r="BX77">
            <v>116620</v>
          </cell>
          <cell r="BY77">
            <v>115902</v>
          </cell>
          <cell r="BZ77">
            <v>0</v>
          </cell>
          <cell r="CA77">
            <v>220381</v>
          </cell>
          <cell r="CB77">
            <v>11802466</v>
          </cell>
          <cell r="CC77">
            <v>1366235</v>
          </cell>
          <cell r="CD77">
            <v>3650918</v>
          </cell>
          <cell r="CE77">
            <v>283305</v>
          </cell>
          <cell r="CF77">
            <v>146361</v>
          </cell>
          <cell r="CG77">
            <v>94089</v>
          </cell>
          <cell r="CH77">
            <v>0</v>
          </cell>
          <cell r="CI77">
            <v>5540908</v>
          </cell>
          <cell r="CJ77">
            <v>17343374</v>
          </cell>
          <cell r="CK77">
            <v>136088142</v>
          </cell>
          <cell r="CM77">
            <v>6429852</v>
          </cell>
          <cell r="CN77">
            <v>287237</v>
          </cell>
          <cell r="CO77">
            <v>0</v>
          </cell>
          <cell r="CP77">
            <v>0</v>
          </cell>
          <cell r="CQ77">
            <v>141539</v>
          </cell>
          <cell r="CR77">
            <v>0</v>
          </cell>
          <cell r="CS77">
            <v>253326</v>
          </cell>
          <cell r="CT77">
            <v>0</v>
          </cell>
          <cell r="CV77">
            <v>0</v>
          </cell>
          <cell r="CW77">
            <v>16783251</v>
          </cell>
          <cell r="CX77">
            <v>1759546</v>
          </cell>
          <cell r="CY77">
            <v>449644</v>
          </cell>
        </row>
        <row r="78">
          <cell r="A78">
            <v>393</v>
          </cell>
          <cell r="B78">
            <v>72649974</v>
          </cell>
          <cell r="C78">
            <v>2912587</v>
          </cell>
          <cell r="D78">
            <v>7538551</v>
          </cell>
          <cell r="E78">
            <v>1700506</v>
          </cell>
          <cell r="F78">
            <v>3339750</v>
          </cell>
          <cell r="G78">
            <v>0</v>
          </cell>
          <cell r="H78">
            <v>0</v>
          </cell>
          <cell r="I78">
            <v>441265</v>
          </cell>
          <cell r="J78">
            <v>484418</v>
          </cell>
          <cell r="K78">
            <v>0</v>
          </cell>
          <cell r="L78">
            <v>199613</v>
          </cell>
          <cell r="M78">
            <v>535234</v>
          </cell>
          <cell r="N78">
            <v>189763</v>
          </cell>
          <cell r="O78">
            <v>913777</v>
          </cell>
          <cell r="P78">
            <v>1571718</v>
          </cell>
          <cell r="Q78">
            <v>0</v>
          </cell>
          <cell r="R78">
            <v>45359</v>
          </cell>
          <cell r="S78">
            <v>877819</v>
          </cell>
          <cell r="T78">
            <v>184370</v>
          </cell>
          <cell r="U78">
            <v>26462</v>
          </cell>
          <cell r="V78">
            <v>22279</v>
          </cell>
          <cell r="W78">
            <v>0</v>
          </cell>
          <cell r="X78">
            <v>0</v>
          </cell>
          <cell r="Y78">
            <v>0</v>
          </cell>
          <cell r="Z78">
            <v>29612</v>
          </cell>
          <cell r="AA78">
            <v>0</v>
          </cell>
          <cell r="AB78">
            <v>0</v>
          </cell>
          <cell r="AC78">
            <v>27198</v>
          </cell>
          <cell r="AD78">
            <v>151089</v>
          </cell>
          <cell r="AE78">
            <v>27680</v>
          </cell>
          <cell r="AF78">
            <v>476997</v>
          </cell>
          <cell r="AG78">
            <v>20888</v>
          </cell>
          <cell r="AH78">
            <v>18031</v>
          </cell>
          <cell r="AI78">
            <v>35547</v>
          </cell>
          <cell r="AJ78">
            <v>2390041</v>
          </cell>
          <cell r="AK78">
            <v>734639</v>
          </cell>
          <cell r="AL78">
            <v>1507912</v>
          </cell>
          <cell r="AM78">
            <v>0</v>
          </cell>
          <cell r="AN78">
            <v>33058</v>
          </cell>
          <cell r="AO78">
            <v>0</v>
          </cell>
          <cell r="AP78">
            <v>0</v>
          </cell>
          <cell r="AQ78">
            <v>99086137</v>
          </cell>
          <cell r="AR78">
            <v>2295111</v>
          </cell>
          <cell r="AS78">
            <v>474224</v>
          </cell>
          <cell r="AT78">
            <v>1855253</v>
          </cell>
          <cell r="AU78">
            <v>106157</v>
          </cell>
          <cell r="AV78">
            <v>0</v>
          </cell>
          <cell r="AW78">
            <v>0</v>
          </cell>
          <cell r="AX78">
            <v>0</v>
          </cell>
          <cell r="AY78">
            <v>4730745</v>
          </cell>
          <cell r="AZ78">
            <v>81236</v>
          </cell>
          <cell r="BA78">
            <v>0</v>
          </cell>
          <cell r="BB78">
            <v>102713</v>
          </cell>
          <cell r="BC78">
            <v>0</v>
          </cell>
          <cell r="BD78">
            <v>183949</v>
          </cell>
          <cell r="BE78">
            <v>643039</v>
          </cell>
          <cell r="BF78">
            <v>380265</v>
          </cell>
          <cell r="BG78">
            <v>31466</v>
          </cell>
          <cell r="BH78">
            <v>0</v>
          </cell>
          <cell r="BI78">
            <v>42794</v>
          </cell>
          <cell r="BJ78">
            <v>0</v>
          </cell>
          <cell r="BK78">
            <v>1097564</v>
          </cell>
          <cell r="BL78">
            <v>1156132</v>
          </cell>
          <cell r="BM78">
            <v>534071</v>
          </cell>
          <cell r="BN78">
            <v>754219</v>
          </cell>
          <cell r="BO78">
            <v>108150</v>
          </cell>
          <cell r="BP78">
            <v>0</v>
          </cell>
          <cell r="BQ78">
            <v>552862</v>
          </cell>
          <cell r="BR78">
            <v>2892182</v>
          </cell>
          <cell r="BS78">
            <v>40653</v>
          </cell>
          <cell r="BT78">
            <v>0</v>
          </cell>
          <cell r="BU78">
            <v>0</v>
          </cell>
          <cell r="BV78">
            <v>44909</v>
          </cell>
          <cell r="BW78">
            <v>721946</v>
          </cell>
          <cell r="BX78">
            <v>46148</v>
          </cell>
          <cell r="BY78">
            <v>89224</v>
          </cell>
          <cell r="BZ78">
            <v>0</v>
          </cell>
          <cell r="CA78">
            <v>0</v>
          </cell>
          <cell r="CB78">
            <v>10060572</v>
          </cell>
          <cell r="CC78">
            <v>2329934</v>
          </cell>
          <cell r="CD78">
            <v>3841030</v>
          </cell>
          <cell r="CE78">
            <v>0</v>
          </cell>
          <cell r="CF78">
            <v>111772</v>
          </cell>
          <cell r="CG78">
            <v>140156</v>
          </cell>
          <cell r="CH78">
            <v>0</v>
          </cell>
          <cell r="CI78">
            <v>6422892</v>
          </cell>
          <cell r="CJ78">
            <v>16483464</v>
          </cell>
          <cell r="CK78">
            <v>115569601</v>
          </cell>
          <cell r="CM78">
            <v>1578261</v>
          </cell>
          <cell r="CN78">
            <v>0</v>
          </cell>
          <cell r="CO78">
            <v>0</v>
          </cell>
          <cell r="CP78">
            <v>0</v>
          </cell>
          <cell r="CQ78">
            <v>0</v>
          </cell>
          <cell r="CR78">
            <v>0</v>
          </cell>
          <cell r="CS78">
            <v>462719</v>
          </cell>
          <cell r="CT78">
            <v>0</v>
          </cell>
          <cell r="CV78">
            <v>0</v>
          </cell>
          <cell r="CW78">
            <v>16221000</v>
          </cell>
          <cell r="CX78">
            <v>1870019</v>
          </cell>
          <cell r="CY78">
            <v>626850</v>
          </cell>
        </row>
        <row r="79">
          <cell r="A79">
            <v>394</v>
          </cell>
          <cell r="B79">
            <v>137731810</v>
          </cell>
          <cell r="C79">
            <v>4942298</v>
          </cell>
          <cell r="D79">
            <v>10015560</v>
          </cell>
          <cell r="E79">
            <v>3217368</v>
          </cell>
          <cell r="F79">
            <v>6408279</v>
          </cell>
          <cell r="G79">
            <v>0</v>
          </cell>
          <cell r="H79">
            <v>600000</v>
          </cell>
          <cell r="I79">
            <v>13543</v>
          </cell>
          <cell r="J79">
            <v>57952</v>
          </cell>
          <cell r="K79">
            <v>287459</v>
          </cell>
          <cell r="L79">
            <v>365497</v>
          </cell>
          <cell r="M79">
            <v>375915</v>
          </cell>
          <cell r="N79">
            <v>300985</v>
          </cell>
          <cell r="O79">
            <v>1135501</v>
          </cell>
          <cell r="P79">
            <v>1262540</v>
          </cell>
          <cell r="Q79">
            <v>349555</v>
          </cell>
          <cell r="R79">
            <v>270095</v>
          </cell>
          <cell r="S79">
            <v>0</v>
          </cell>
          <cell r="T79">
            <v>6290701</v>
          </cell>
          <cell r="U79">
            <v>0</v>
          </cell>
          <cell r="V79">
            <v>57749</v>
          </cell>
          <cell r="W79">
            <v>0</v>
          </cell>
          <cell r="X79">
            <v>0</v>
          </cell>
          <cell r="Y79">
            <v>0</v>
          </cell>
          <cell r="Z79">
            <v>632246</v>
          </cell>
          <cell r="AA79">
            <v>0</v>
          </cell>
          <cell r="AB79">
            <v>0</v>
          </cell>
          <cell r="AC79">
            <v>0</v>
          </cell>
          <cell r="AD79">
            <v>178741</v>
          </cell>
          <cell r="AE79">
            <v>57001</v>
          </cell>
          <cell r="AF79">
            <v>1943</v>
          </cell>
          <cell r="AG79">
            <v>5000</v>
          </cell>
          <cell r="AH79">
            <v>7000</v>
          </cell>
          <cell r="AI79">
            <v>182014</v>
          </cell>
          <cell r="AJ79">
            <v>2010986</v>
          </cell>
          <cell r="AK79">
            <v>3002115</v>
          </cell>
          <cell r="AL79">
            <v>2305467</v>
          </cell>
          <cell r="AM79">
            <v>0</v>
          </cell>
          <cell r="AN79">
            <v>169535</v>
          </cell>
          <cell r="AO79">
            <v>1169206</v>
          </cell>
          <cell r="AP79">
            <v>0</v>
          </cell>
          <cell r="AQ79">
            <v>183404061</v>
          </cell>
          <cell r="AR79">
            <v>4394825</v>
          </cell>
          <cell r="AS79">
            <v>1654587</v>
          </cell>
          <cell r="AT79">
            <v>1180659</v>
          </cell>
          <cell r="AU79">
            <v>720600</v>
          </cell>
          <cell r="AV79">
            <v>0</v>
          </cell>
          <cell r="AW79">
            <v>0</v>
          </cell>
          <cell r="AX79">
            <v>90000</v>
          </cell>
          <cell r="AY79">
            <v>8040671</v>
          </cell>
          <cell r="AZ79">
            <v>1994036</v>
          </cell>
          <cell r="BA79">
            <v>699000</v>
          </cell>
          <cell r="BB79">
            <v>0</v>
          </cell>
          <cell r="BC79">
            <v>0</v>
          </cell>
          <cell r="BD79">
            <v>2693036</v>
          </cell>
          <cell r="BE79">
            <v>771504</v>
          </cell>
          <cell r="BF79">
            <v>260773</v>
          </cell>
          <cell r="BG79">
            <v>124259</v>
          </cell>
          <cell r="BH79">
            <v>38782</v>
          </cell>
          <cell r="BI79">
            <v>69539</v>
          </cell>
          <cell r="BJ79">
            <v>387638</v>
          </cell>
          <cell r="BK79">
            <v>1652495</v>
          </cell>
          <cell r="BL79">
            <v>1914748</v>
          </cell>
          <cell r="BM79">
            <v>839284</v>
          </cell>
          <cell r="BN79">
            <v>666699</v>
          </cell>
          <cell r="BO79">
            <v>57400</v>
          </cell>
          <cell r="BP79">
            <v>0</v>
          </cell>
          <cell r="BQ79">
            <v>1089368</v>
          </cell>
          <cell r="BR79">
            <v>5210394</v>
          </cell>
          <cell r="BS79">
            <v>105586</v>
          </cell>
          <cell r="BT79">
            <v>171296</v>
          </cell>
          <cell r="BU79">
            <v>0</v>
          </cell>
          <cell r="BV79">
            <v>0</v>
          </cell>
          <cell r="BW79">
            <v>2279971</v>
          </cell>
          <cell r="BX79">
            <v>790</v>
          </cell>
          <cell r="BY79">
            <v>0</v>
          </cell>
          <cell r="BZ79">
            <v>0</v>
          </cell>
          <cell r="CA79">
            <v>9575</v>
          </cell>
          <cell r="CB79">
            <v>19520919</v>
          </cell>
          <cell r="CC79">
            <v>2434962</v>
          </cell>
          <cell r="CD79">
            <v>2220966</v>
          </cell>
          <cell r="CE79">
            <v>8500</v>
          </cell>
          <cell r="CF79">
            <v>179321</v>
          </cell>
          <cell r="CG79">
            <v>167178</v>
          </cell>
          <cell r="CH79">
            <v>0</v>
          </cell>
          <cell r="CI79">
            <v>5010927</v>
          </cell>
          <cell r="CJ79">
            <v>24531846</v>
          </cell>
          <cell r="CK79">
            <v>207935907</v>
          </cell>
          <cell r="CM79">
            <v>4562913</v>
          </cell>
          <cell r="CN79">
            <v>1018282</v>
          </cell>
          <cell r="CO79">
            <v>0</v>
          </cell>
          <cell r="CP79">
            <v>0</v>
          </cell>
          <cell r="CQ79">
            <v>0</v>
          </cell>
          <cell r="CR79">
            <v>0</v>
          </cell>
          <cell r="CS79">
            <v>201529</v>
          </cell>
          <cell r="CT79">
            <v>0</v>
          </cell>
          <cell r="CV79">
            <v>0</v>
          </cell>
          <cell r="CW79">
            <v>24457000</v>
          </cell>
          <cell r="CX79">
            <v>3286090</v>
          </cell>
          <cell r="CY79">
            <v>54662</v>
          </cell>
        </row>
        <row r="80">
          <cell r="A80">
            <v>420</v>
          </cell>
          <cell r="B80">
            <v>1144390</v>
          </cell>
          <cell r="C80">
            <v>84553</v>
          </cell>
          <cell r="D80">
            <v>539646</v>
          </cell>
          <cell r="E80">
            <v>0</v>
          </cell>
          <cell r="F80">
            <v>20085</v>
          </cell>
          <cell r="G80">
            <v>13000</v>
          </cell>
          <cell r="H80">
            <v>0</v>
          </cell>
          <cell r="I80">
            <v>0</v>
          </cell>
          <cell r="J80">
            <v>10439</v>
          </cell>
          <cell r="K80">
            <v>95330</v>
          </cell>
          <cell r="L80">
            <v>0</v>
          </cell>
          <cell r="M80">
            <v>0</v>
          </cell>
          <cell r="N80">
            <v>0</v>
          </cell>
          <cell r="O80">
            <v>0</v>
          </cell>
          <cell r="P80">
            <v>0</v>
          </cell>
          <cell r="Q80">
            <v>5508</v>
          </cell>
          <cell r="R80">
            <v>22765</v>
          </cell>
          <cell r="S80">
            <v>0</v>
          </cell>
          <cell r="T80">
            <v>171070</v>
          </cell>
          <cell r="U80">
            <v>2200</v>
          </cell>
          <cell r="V80">
            <v>0</v>
          </cell>
          <cell r="W80">
            <v>0</v>
          </cell>
          <cell r="X80">
            <v>0</v>
          </cell>
          <cell r="Y80">
            <v>0</v>
          </cell>
          <cell r="Z80">
            <v>0</v>
          </cell>
          <cell r="AA80">
            <v>0</v>
          </cell>
          <cell r="AB80">
            <v>0</v>
          </cell>
          <cell r="AC80">
            <v>0</v>
          </cell>
          <cell r="AD80">
            <v>1836</v>
          </cell>
          <cell r="AE80">
            <v>0</v>
          </cell>
          <cell r="AF80">
            <v>20000</v>
          </cell>
          <cell r="AG80">
            <v>0</v>
          </cell>
          <cell r="AH80">
            <v>0</v>
          </cell>
          <cell r="AI80">
            <v>0</v>
          </cell>
          <cell r="AJ80">
            <v>67656</v>
          </cell>
          <cell r="AK80">
            <v>0</v>
          </cell>
          <cell r="AL80">
            <v>0</v>
          </cell>
          <cell r="AM80">
            <v>0</v>
          </cell>
          <cell r="AN80">
            <v>0</v>
          </cell>
          <cell r="AO80">
            <v>0</v>
          </cell>
          <cell r="AP80">
            <v>0</v>
          </cell>
          <cell r="AQ80">
            <v>2198478</v>
          </cell>
          <cell r="AR80">
            <v>181015</v>
          </cell>
          <cell r="AS80">
            <v>10000</v>
          </cell>
          <cell r="AT80">
            <v>8680</v>
          </cell>
          <cell r="AU80">
            <v>0</v>
          </cell>
          <cell r="AV80">
            <v>0</v>
          </cell>
          <cell r="AW80">
            <v>0</v>
          </cell>
          <cell r="AX80">
            <v>4400</v>
          </cell>
          <cell r="AY80">
            <v>204095</v>
          </cell>
          <cell r="AZ80">
            <v>181185</v>
          </cell>
          <cell r="BA80">
            <v>0</v>
          </cell>
          <cell r="BB80">
            <v>0</v>
          </cell>
          <cell r="BC80">
            <v>0</v>
          </cell>
          <cell r="BD80">
            <v>181185</v>
          </cell>
          <cell r="BE80">
            <v>3649</v>
          </cell>
          <cell r="BF80">
            <v>24017</v>
          </cell>
          <cell r="BG80">
            <v>1836</v>
          </cell>
          <cell r="BH80">
            <v>0</v>
          </cell>
          <cell r="BI80">
            <v>5000</v>
          </cell>
          <cell r="BJ80">
            <v>6600</v>
          </cell>
          <cell r="BK80">
            <v>41102</v>
          </cell>
          <cell r="BL80">
            <v>37000</v>
          </cell>
          <cell r="BM80">
            <v>4640</v>
          </cell>
          <cell r="BN80">
            <v>4590</v>
          </cell>
          <cell r="BO80">
            <v>0</v>
          </cell>
          <cell r="BP80">
            <v>0</v>
          </cell>
          <cell r="BQ80">
            <v>0</v>
          </cell>
          <cell r="BR80">
            <v>50275</v>
          </cell>
          <cell r="BS80">
            <v>975</v>
          </cell>
          <cell r="BT80">
            <v>1500</v>
          </cell>
          <cell r="BU80">
            <v>0</v>
          </cell>
          <cell r="BV80">
            <v>0</v>
          </cell>
          <cell r="BW80">
            <v>0</v>
          </cell>
          <cell r="BX80">
            <v>26590</v>
          </cell>
          <cell r="BY80">
            <v>0</v>
          </cell>
          <cell r="BZ80">
            <v>11980</v>
          </cell>
          <cell r="CA80">
            <v>0</v>
          </cell>
          <cell r="CB80">
            <v>513657</v>
          </cell>
          <cell r="CC80">
            <v>18530</v>
          </cell>
          <cell r="CD80">
            <v>205040</v>
          </cell>
          <cell r="CE80">
            <v>0</v>
          </cell>
          <cell r="CF80">
            <v>2850</v>
          </cell>
          <cell r="CG80">
            <v>0</v>
          </cell>
          <cell r="CH80">
            <v>0</v>
          </cell>
          <cell r="CI80">
            <v>226420</v>
          </cell>
          <cell r="CJ80">
            <v>740077</v>
          </cell>
          <cell r="CK80">
            <v>2938555</v>
          </cell>
          <cell r="CM80">
            <v>0</v>
          </cell>
          <cell r="CN80">
            <v>0</v>
          </cell>
          <cell r="CO80">
            <v>0</v>
          </cell>
          <cell r="CP80">
            <v>0</v>
          </cell>
          <cell r="CQ80">
            <v>50000</v>
          </cell>
          <cell r="CR80">
            <v>0</v>
          </cell>
          <cell r="CS80">
            <v>0</v>
          </cell>
          <cell r="CT80">
            <v>0</v>
          </cell>
          <cell r="CV80">
            <v>0</v>
          </cell>
          <cell r="CW80">
            <v>150965</v>
          </cell>
          <cell r="CX80">
            <v>143162</v>
          </cell>
          <cell r="CY80">
            <v>3229</v>
          </cell>
        </row>
        <row r="81">
          <cell r="A81">
            <v>800</v>
          </cell>
          <cell r="B81">
            <v>77699151</v>
          </cell>
          <cell r="C81">
            <v>3037068</v>
          </cell>
          <cell r="D81">
            <v>5230332</v>
          </cell>
          <cell r="E81">
            <v>0</v>
          </cell>
          <cell r="F81">
            <v>2864107</v>
          </cell>
          <cell r="G81">
            <v>0</v>
          </cell>
          <cell r="H81">
            <v>0</v>
          </cell>
          <cell r="I81">
            <v>195035</v>
          </cell>
          <cell r="J81">
            <v>5811</v>
          </cell>
          <cell r="K81">
            <v>383176</v>
          </cell>
          <cell r="L81">
            <v>548548</v>
          </cell>
          <cell r="M81">
            <v>344077</v>
          </cell>
          <cell r="N81">
            <v>363223</v>
          </cell>
          <cell r="O81">
            <v>1522068</v>
          </cell>
          <cell r="P81">
            <v>0</v>
          </cell>
          <cell r="Q81">
            <v>32748</v>
          </cell>
          <cell r="R81">
            <v>302771</v>
          </cell>
          <cell r="S81">
            <v>0</v>
          </cell>
          <cell r="T81">
            <v>3300650</v>
          </cell>
          <cell r="U81">
            <v>1684381</v>
          </cell>
          <cell r="V81">
            <v>21252</v>
          </cell>
          <cell r="W81">
            <v>39893</v>
          </cell>
          <cell r="X81">
            <v>8455</v>
          </cell>
          <cell r="Y81">
            <v>0</v>
          </cell>
          <cell r="Z81">
            <v>0</v>
          </cell>
          <cell r="AA81">
            <v>0</v>
          </cell>
          <cell r="AB81">
            <v>0</v>
          </cell>
          <cell r="AC81">
            <v>0</v>
          </cell>
          <cell r="AD81">
            <v>21673</v>
          </cell>
          <cell r="AE81">
            <v>0</v>
          </cell>
          <cell r="AF81">
            <v>0</v>
          </cell>
          <cell r="AG81">
            <v>0</v>
          </cell>
          <cell r="AH81">
            <v>5478</v>
          </cell>
          <cell r="AI81">
            <v>258074</v>
          </cell>
          <cell r="AJ81">
            <v>1369678</v>
          </cell>
          <cell r="AK81">
            <v>0</v>
          </cell>
          <cell r="AL81">
            <v>0</v>
          </cell>
          <cell r="AM81">
            <v>0</v>
          </cell>
          <cell r="AN81">
            <v>23143</v>
          </cell>
          <cell r="AO81">
            <v>0</v>
          </cell>
          <cell r="AP81">
            <v>0</v>
          </cell>
          <cell r="AQ81">
            <v>99260792</v>
          </cell>
          <cell r="AR81">
            <v>1277021</v>
          </cell>
          <cell r="AS81">
            <v>429581</v>
          </cell>
          <cell r="AT81">
            <v>968715</v>
          </cell>
          <cell r="AU81">
            <v>1052410</v>
          </cell>
          <cell r="AV81">
            <v>0</v>
          </cell>
          <cell r="AW81">
            <v>0</v>
          </cell>
          <cell r="AX81">
            <v>0</v>
          </cell>
          <cell r="AY81">
            <v>3727727</v>
          </cell>
          <cell r="AZ81">
            <v>699739</v>
          </cell>
          <cell r="BA81">
            <v>0</v>
          </cell>
          <cell r="BB81">
            <v>5786</v>
          </cell>
          <cell r="BC81">
            <v>0</v>
          </cell>
          <cell r="BD81">
            <v>705525</v>
          </cell>
          <cell r="BE81">
            <v>396348</v>
          </cell>
          <cell r="BF81">
            <v>419073</v>
          </cell>
          <cell r="BG81">
            <v>31943</v>
          </cell>
          <cell r="BH81">
            <v>0</v>
          </cell>
          <cell r="BI81">
            <v>79138</v>
          </cell>
          <cell r="BJ81">
            <v>136999</v>
          </cell>
          <cell r="BK81">
            <v>1063501</v>
          </cell>
          <cell r="BL81">
            <v>1274421</v>
          </cell>
          <cell r="BM81">
            <v>138191</v>
          </cell>
          <cell r="BN81">
            <v>392013</v>
          </cell>
          <cell r="BO81">
            <v>483173</v>
          </cell>
          <cell r="BP81">
            <v>0</v>
          </cell>
          <cell r="BQ81">
            <v>0</v>
          </cell>
          <cell r="BR81">
            <v>4569778</v>
          </cell>
          <cell r="BS81">
            <v>279051</v>
          </cell>
          <cell r="BT81">
            <v>44943</v>
          </cell>
          <cell r="BU81">
            <v>10457</v>
          </cell>
          <cell r="BV81">
            <v>11350</v>
          </cell>
          <cell r="BW81">
            <v>1963267</v>
          </cell>
          <cell r="BX81">
            <v>1154974</v>
          </cell>
          <cell r="BY81">
            <v>92359</v>
          </cell>
          <cell r="BZ81">
            <v>0</v>
          </cell>
          <cell r="CA81">
            <v>0</v>
          </cell>
          <cell r="CB81">
            <v>11340952</v>
          </cell>
          <cell r="CC81">
            <v>1430026</v>
          </cell>
          <cell r="CD81">
            <v>425989</v>
          </cell>
          <cell r="CE81">
            <v>142121</v>
          </cell>
          <cell r="CF81">
            <v>148764</v>
          </cell>
          <cell r="CG81">
            <v>2361</v>
          </cell>
          <cell r="CH81">
            <v>0</v>
          </cell>
          <cell r="CI81">
            <v>2149261</v>
          </cell>
          <cell r="CJ81">
            <v>13490213</v>
          </cell>
          <cell r="CK81">
            <v>112751005</v>
          </cell>
          <cell r="CM81">
            <v>7186640</v>
          </cell>
          <cell r="CN81">
            <v>177160</v>
          </cell>
          <cell r="CO81">
            <v>13176</v>
          </cell>
          <cell r="CP81">
            <v>0</v>
          </cell>
          <cell r="CQ81">
            <v>21555</v>
          </cell>
          <cell r="CR81">
            <v>15832</v>
          </cell>
          <cell r="CS81">
            <v>210349</v>
          </cell>
          <cell r="CT81">
            <v>0</v>
          </cell>
          <cell r="CV81">
            <v>0</v>
          </cell>
          <cell r="CW81">
            <v>7440743</v>
          </cell>
          <cell r="CX81">
            <v>1588254</v>
          </cell>
          <cell r="CY81">
            <v>525702</v>
          </cell>
        </row>
        <row r="82">
          <cell r="A82">
            <v>801</v>
          </cell>
          <cell r="B82">
            <v>155922841</v>
          </cell>
          <cell r="C82">
            <v>5792739</v>
          </cell>
          <cell r="D82">
            <v>13053726</v>
          </cell>
          <cell r="E82">
            <v>4780945</v>
          </cell>
          <cell r="F82">
            <v>4076573</v>
          </cell>
          <cell r="G82">
            <v>0</v>
          </cell>
          <cell r="H82">
            <v>250000</v>
          </cell>
          <cell r="I82">
            <v>0</v>
          </cell>
          <cell r="J82">
            <v>0</v>
          </cell>
          <cell r="K82">
            <v>435086</v>
          </cell>
          <cell r="L82">
            <v>703221</v>
          </cell>
          <cell r="M82">
            <v>576238</v>
          </cell>
          <cell r="N82">
            <v>1893264</v>
          </cell>
          <cell r="O82">
            <v>1926644</v>
          </cell>
          <cell r="P82">
            <v>2629298</v>
          </cell>
          <cell r="Q82">
            <v>750523</v>
          </cell>
          <cell r="R82">
            <v>1015333</v>
          </cell>
          <cell r="S82">
            <v>152484</v>
          </cell>
          <cell r="T82">
            <v>7594819</v>
          </cell>
          <cell r="U82">
            <v>382160</v>
          </cell>
          <cell r="V82">
            <v>80965</v>
          </cell>
          <cell r="W82">
            <v>185957</v>
          </cell>
          <cell r="X82">
            <v>32632</v>
          </cell>
          <cell r="Y82">
            <v>0</v>
          </cell>
          <cell r="Z82">
            <v>863365</v>
          </cell>
          <cell r="AA82">
            <v>0</v>
          </cell>
          <cell r="AB82">
            <v>0</v>
          </cell>
          <cell r="AC82">
            <v>0</v>
          </cell>
          <cell r="AD82">
            <v>363482</v>
          </cell>
          <cell r="AE82">
            <v>102898</v>
          </cell>
          <cell r="AF82">
            <v>237109</v>
          </cell>
          <cell r="AG82">
            <v>248610</v>
          </cell>
          <cell r="AH82">
            <v>3678</v>
          </cell>
          <cell r="AI82">
            <v>738405</v>
          </cell>
          <cell r="AJ82">
            <v>2103079</v>
          </cell>
          <cell r="AK82">
            <v>996398</v>
          </cell>
          <cell r="AL82">
            <v>0</v>
          </cell>
          <cell r="AM82">
            <v>0</v>
          </cell>
          <cell r="AN82">
            <v>808669</v>
          </cell>
          <cell r="AO82">
            <v>885955</v>
          </cell>
          <cell r="AP82">
            <v>0</v>
          </cell>
          <cell r="AQ82">
            <v>209587096</v>
          </cell>
          <cell r="AR82">
            <v>3130917</v>
          </cell>
          <cell r="AS82">
            <v>1874042</v>
          </cell>
          <cell r="AT82">
            <v>2181059</v>
          </cell>
          <cell r="AU82">
            <v>0</v>
          </cell>
          <cell r="AV82">
            <v>0</v>
          </cell>
          <cell r="AW82">
            <v>60122</v>
          </cell>
          <cell r="AX82">
            <v>91838</v>
          </cell>
          <cell r="AY82">
            <v>7337978</v>
          </cell>
          <cell r="AZ82">
            <v>2248324</v>
          </cell>
          <cell r="BA82">
            <v>613000</v>
          </cell>
          <cell r="BB82">
            <v>101758</v>
          </cell>
          <cell r="BC82">
            <v>33894</v>
          </cell>
          <cell r="BD82">
            <v>2996976</v>
          </cell>
          <cell r="BE82">
            <v>569654</v>
          </cell>
          <cell r="BF82">
            <v>486582</v>
          </cell>
          <cell r="BG82">
            <v>409069</v>
          </cell>
          <cell r="BH82">
            <v>20411</v>
          </cell>
          <cell r="BI82">
            <v>56734</v>
          </cell>
          <cell r="BJ82">
            <v>228998</v>
          </cell>
          <cell r="BK82">
            <v>1771448</v>
          </cell>
          <cell r="BL82">
            <v>1494726</v>
          </cell>
          <cell r="BM82">
            <v>888978</v>
          </cell>
          <cell r="BN82">
            <v>1063658</v>
          </cell>
          <cell r="BO82">
            <v>916591</v>
          </cell>
          <cell r="BP82">
            <v>59930</v>
          </cell>
          <cell r="BQ82">
            <v>427466</v>
          </cell>
          <cell r="BR82">
            <v>8423288</v>
          </cell>
          <cell r="BS82">
            <v>306534</v>
          </cell>
          <cell r="BT82">
            <v>81939</v>
          </cell>
          <cell r="BU82">
            <v>122088</v>
          </cell>
          <cell r="BV82">
            <v>52468</v>
          </cell>
          <cell r="BW82">
            <v>3501843</v>
          </cell>
          <cell r="BX82">
            <v>803259</v>
          </cell>
          <cell r="BY82">
            <v>198534</v>
          </cell>
          <cell r="BZ82">
            <v>0</v>
          </cell>
          <cell r="CA82">
            <v>408815</v>
          </cell>
          <cell r="CB82">
            <v>22433231</v>
          </cell>
          <cell r="CC82">
            <v>3852000</v>
          </cell>
          <cell r="CD82">
            <v>2518273</v>
          </cell>
          <cell r="CE82">
            <v>130143</v>
          </cell>
          <cell r="CF82">
            <v>333223</v>
          </cell>
          <cell r="CG82">
            <v>0</v>
          </cell>
          <cell r="CH82">
            <v>0</v>
          </cell>
          <cell r="CI82">
            <v>6833639</v>
          </cell>
          <cell r="CJ82">
            <v>29266870</v>
          </cell>
          <cell r="CK82">
            <v>238853966</v>
          </cell>
          <cell r="CM82">
            <v>4828704</v>
          </cell>
          <cell r="CN82">
            <v>642396</v>
          </cell>
          <cell r="CO82">
            <v>0</v>
          </cell>
          <cell r="CP82">
            <v>0</v>
          </cell>
          <cell r="CQ82">
            <v>0</v>
          </cell>
          <cell r="CR82">
            <v>0</v>
          </cell>
          <cell r="CS82">
            <v>260226</v>
          </cell>
          <cell r="CT82">
            <v>0</v>
          </cell>
          <cell r="CV82">
            <v>0</v>
          </cell>
          <cell r="CW82">
            <v>59910416</v>
          </cell>
          <cell r="CX82">
            <v>3033609</v>
          </cell>
          <cell r="CY82">
            <v>833258</v>
          </cell>
        </row>
        <row r="83">
          <cell r="A83">
            <v>802</v>
          </cell>
          <cell r="B83">
            <v>80342946</v>
          </cell>
          <cell r="C83">
            <v>3068855</v>
          </cell>
          <cell r="D83">
            <v>6261258</v>
          </cell>
          <cell r="E83">
            <v>957578</v>
          </cell>
          <cell r="F83">
            <v>2925690</v>
          </cell>
          <cell r="G83">
            <v>0</v>
          </cell>
          <cell r="H83">
            <v>100000</v>
          </cell>
          <cell r="I83">
            <v>343750</v>
          </cell>
          <cell r="J83">
            <v>0</v>
          </cell>
          <cell r="K83">
            <v>532700</v>
          </cell>
          <cell r="L83">
            <v>73390</v>
          </cell>
          <cell r="M83">
            <v>469355</v>
          </cell>
          <cell r="N83">
            <v>226500</v>
          </cell>
          <cell r="O83">
            <v>1382509</v>
          </cell>
          <cell r="P83">
            <v>1357245</v>
          </cell>
          <cell r="Q83">
            <v>100200</v>
          </cell>
          <cell r="R83">
            <v>449140</v>
          </cell>
          <cell r="S83">
            <v>0</v>
          </cell>
          <cell r="T83">
            <v>3689125</v>
          </cell>
          <cell r="U83">
            <v>0</v>
          </cell>
          <cell r="V83">
            <v>27350</v>
          </cell>
          <cell r="W83">
            <v>41620</v>
          </cell>
          <cell r="X83">
            <v>0</v>
          </cell>
          <cell r="Y83">
            <v>0</v>
          </cell>
          <cell r="Z83">
            <v>613760</v>
          </cell>
          <cell r="AA83">
            <v>0</v>
          </cell>
          <cell r="AB83">
            <v>0</v>
          </cell>
          <cell r="AC83">
            <v>0</v>
          </cell>
          <cell r="AD83">
            <v>186340</v>
          </cell>
          <cell r="AE83">
            <v>42111</v>
          </cell>
          <cell r="AF83">
            <v>217800</v>
          </cell>
          <cell r="AG83">
            <v>23430</v>
          </cell>
          <cell r="AH83">
            <v>100300</v>
          </cell>
          <cell r="AI83">
            <v>284420</v>
          </cell>
          <cell r="AJ83">
            <v>2187035</v>
          </cell>
          <cell r="AK83">
            <v>0</v>
          </cell>
          <cell r="AL83">
            <v>10000</v>
          </cell>
          <cell r="AM83">
            <v>0</v>
          </cell>
          <cell r="AN83">
            <v>97393</v>
          </cell>
          <cell r="AO83">
            <v>1483772</v>
          </cell>
          <cell r="AP83">
            <v>0</v>
          </cell>
          <cell r="AQ83">
            <v>107595572</v>
          </cell>
          <cell r="AR83">
            <v>2233066</v>
          </cell>
          <cell r="AS83">
            <v>259710</v>
          </cell>
          <cell r="AT83">
            <v>1084520</v>
          </cell>
          <cell r="AU83">
            <v>139300</v>
          </cell>
          <cell r="AV83">
            <v>0</v>
          </cell>
          <cell r="AW83">
            <v>30150</v>
          </cell>
          <cell r="AX83">
            <v>58750</v>
          </cell>
          <cell r="AY83">
            <v>3805496</v>
          </cell>
          <cell r="AZ83">
            <v>346974</v>
          </cell>
          <cell r="BA83">
            <v>0</v>
          </cell>
          <cell r="BB83">
            <v>13866</v>
          </cell>
          <cell r="BC83">
            <v>0</v>
          </cell>
          <cell r="BD83">
            <v>360840</v>
          </cell>
          <cell r="BE83">
            <v>462840</v>
          </cell>
          <cell r="BF83">
            <v>261670</v>
          </cell>
          <cell r="BG83">
            <v>30860</v>
          </cell>
          <cell r="BH83">
            <v>2350</v>
          </cell>
          <cell r="BI83">
            <v>52250</v>
          </cell>
          <cell r="BJ83">
            <v>90220</v>
          </cell>
          <cell r="BK83">
            <v>900190</v>
          </cell>
          <cell r="BL83">
            <v>1396290</v>
          </cell>
          <cell r="BM83">
            <v>421583</v>
          </cell>
          <cell r="BN83">
            <v>414460</v>
          </cell>
          <cell r="BO83">
            <v>498160</v>
          </cell>
          <cell r="BP83">
            <v>0</v>
          </cell>
          <cell r="BQ83">
            <v>0</v>
          </cell>
          <cell r="BR83">
            <v>4906723</v>
          </cell>
          <cell r="BS83">
            <v>53700</v>
          </cell>
          <cell r="BT83">
            <v>8080</v>
          </cell>
          <cell r="BU83">
            <v>27140</v>
          </cell>
          <cell r="BV83">
            <v>25630</v>
          </cell>
          <cell r="BW83">
            <v>1321359</v>
          </cell>
          <cell r="BX83">
            <v>2067921</v>
          </cell>
          <cell r="BY83">
            <v>68690</v>
          </cell>
          <cell r="BZ83">
            <v>0</v>
          </cell>
          <cell r="CA83">
            <v>0</v>
          </cell>
          <cell r="CB83">
            <v>11369539</v>
          </cell>
          <cell r="CC83">
            <v>982000</v>
          </cell>
          <cell r="CD83">
            <v>439580</v>
          </cell>
          <cell r="CE83">
            <v>110150</v>
          </cell>
          <cell r="CF83">
            <v>161200</v>
          </cell>
          <cell r="CG83">
            <v>12980</v>
          </cell>
          <cell r="CH83">
            <v>0</v>
          </cell>
          <cell r="CI83">
            <v>1705910</v>
          </cell>
          <cell r="CJ83">
            <v>13075449</v>
          </cell>
          <cell r="CK83">
            <v>120671021</v>
          </cell>
          <cell r="CM83">
            <v>6227999</v>
          </cell>
          <cell r="CN83">
            <v>212680</v>
          </cell>
          <cell r="CO83">
            <v>93810</v>
          </cell>
          <cell r="CP83">
            <v>0</v>
          </cell>
          <cell r="CQ83">
            <v>0</v>
          </cell>
          <cell r="CR83">
            <v>0</v>
          </cell>
          <cell r="CS83">
            <v>183679</v>
          </cell>
          <cell r="CT83">
            <v>0</v>
          </cell>
          <cell r="CV83">
            <v>0</v>
          </cell>
          <cell r="CW83">
            <v>13883990</v>
          </cell>
          <cell r="CX83">
            <v>2212431</v>
          </cell>
          <cell r="CY83">
            <v>47193</v>
          </cell>
        </row>
        <row r="84">
          <cell r="A84">
            <v>803</v>
          </cell>
          <cell r="B84">
            <v>114068064</v>
          </cell>
          <cell r="C84">
            <v>4496000</v>
          </cell>
          <cell r="D84">
            <v>7165000</v>
          </cell>
          <cell r="E84">
            <v>0</v>
          </cell>
          <cell r="F84">
            <v>4167160</v>
          </cell>
          <cell r="G84">
            <v>0</v>
          </cell>
          <cell r="H84">
            <v>114000</v>
          </cell>
          <cell r="I84">
            <v>60000</v>
          </cell>
          <cell r="J84">
            <v>3000</v>
          </cell>
          <cell r="K84">
            <v>385000</v>
          </cell>
          <cell r="L84">
            <v>643000</v>
          </cell>
          <cell r="M84">
            <v>313000</v>
          </cell>
          <cell r="N84">
            <v>1509000</v>
          </cell>
          <cell r="O84">
            <v>1616000</v>
          </cell>
          <cell r="P84">
            <v>1378000</v>
          </cell>
          <cell r="Q84">
            <v>419000</v>
          </cell>
          <cell r="R84">
            <v>832000</v>
          </cell>
          <cell r="S84">
            <v>0</v>
          </cell>
          <cell r="T84">
            <v>5401000</v>
          </cell>
          <cell r="U84">
            <v>3307000</v>
          </cell>
          <cell r="V84">
            <v>81000</v>
          </cell>
          <cell r="W84">
            <v>93000</v>
          </cell>
          <cell r="X84">
            <v>105000</v>
          </cell>
          <cell r="Y84">
            <v>0</v>
          </cell>
          <cell r="Z84">
            <v>0</v>
          </cell>
          <cell r="AA84">
            <v>0</v>
          </cell>
          <cell r="AB84">
            <v>0</v>
          </cell>
          <cell r="AC84">
            <v>0</v>
          </cell>
          <cell r="AD84">
            <v>350000</v>
          </cell>
          <cell r="AE84">
            <v>3000</v>
          </cell>
          <cell r="AF84">
            <v>174000</v>
          </cell>
          <cell r="AG84">
            <v>120000</v>
          </cell>
          <cell r="AH84">
            <v>6000</v>
          </cell>
          <cell r="AI84">
            <v>440000</v>
          </cell>
          <cell r="AJ84">
            <v>1625000</v>
          </cell>
          <cell r="AK84">
            <v>18000</v>
          </cell>
          <cell r="AL84">
            <v>0</v>
          </cell>
          <cell r="AM84">
            <v>0</v>
          </cell>
          <cell r="AN84">
            <v>165000</v>
          </cell>
          <cell r="AO84">
            <v>0</v>
          </cell>
          <cell r="AP84">
            <v>0</v>
          </cell>
          <cell r="AQ84">
            <v>149056224</v>
          </cell>
          <cell r="AR84">
            <v>2253000</v>
          </cell>
          <cell r="AS84">
            <v>610000</v>
          </cell>
          <cell r="AT84">
            <v>1414000</v>
          </cell>
          <cell r="AU84">
            <v>0</v>
          </cell>
          <cell r="AV84">
            <v>0</v>
          </cell>
          <cell r="AW84">
            <v>200000</v>
          </cell>
          <cell r="AX84">
            <v>57000</v>
          </cell>
          <cell r="AY84">
            <v>4534000</v>
          </cell>
          <cell r="AZ84">
            <v>1583000</v>
          </cell>
          <cell r="BA84">
            <v>0</v>
          </cell>
          <cell r="BB84">
            <v>46000</v>
          </cell>
          <cell r="BC84">
            <v>0</v>
          </cell>
          <cell r="BD84">
            <v>1629000</v>
          </cell>
          <cell r="BE84">
            <v>399000</v>
          </cell>
          <cell r="BF84">
            <v>490000</v>
          </cell>
          <cell r="BG84">
            <v>46000</v>
          </cell>
          <cell r="BH84">
            <v>0</v>
          </cell>
          <cell r="BI84">
            <v>72000</v>
          </cell>
          <cell r="BJ84">
            <v>78000</v>
          </cell>
          <cell r="BK84">
            <v>1085000</v>
          </cell>
          <cell r="BL84">
            <v>2019000</v>
          </cell>
          <cell r="BM84">
            <v>554000</v>
          </cell>
          <cell r="BN84">
            <v>590000</v>
          </cell>
          <cell r="BO84">
            <v>534000</v>
          </cell>
          <cell r="BP84">
            <v>0</v>
          </cell>
          <cell r="BQ84">
            <v>0</v>
          </cell>
          <cell r="BR84">
            <v>5914000</v>
          </cell>
          <cell r="BS84">
            <v>294000</v>
          </cell>
          <cell r="BT84">
            <v>81000</v>
          </cell>
          <cell r="BU84">
            <v>5000</v>
          </cell>
          <cell r="BV84">
            <v>15000</v>
          </cell>
          <cell r="BW84">
            <v>2215000</v>
          </cell>
          <cell r="BX84">
            <v>1581000</v>
          </cell>
          <cell r="BY84">
            <v>45000</v>
          </cell>
          <cell r="BZ84">
            <v>0</v>
          </cell>
          <cell r="CA84">
            <v>0</v>
          </cell>
          <cell r="CB84">
            <v>15181000</v>
          </cell>
          <cell r="CC84">
            <v>1937000</v>
          </cell>
          <cell r="CD84">
            <v>708000</v>
          </cell>
          <cell r="CE84">
            <v>33000</v>
          </cell>
          <cell r="CF84">
            <v>206000</v>
          </cell>
          <cell r="CG84">
            <v>92000</v>
          </cell>
          <cell r="CH84">
            <v>0</v>
          </cell>
          <cell r="CI84">
            <v>2976000</v>
          </cell>
          <cell r="CJ84">
            <v>18157000</v>
          </cell>
          <cell r="CK84">
            <v>167213224</v>
          </cell>
          <cell r="CM84">
            <v>10125000</v>
          </cell>
          <cell r="CN84">
            <v>209000</v>
          </cell>
          <cell r="CO84">
            <v>0</v>
          </cell>
          <cell r="CP84">
            <v>0</v>
          </cell>
          <cell r="CQ84">
            <v>0</v>
          </cell>
          <cell r="CR84">
            <v>0</v>
          </cell>
          <cell r="CS84">
            <v>412000</v>
          </cell>
          <cell r="CT84">
            <v>0</v>
          </cell>
          <cell r="CV84">
            <v>0</v>
          </cell>
          <cell r="CW84">
            <v>20376000</v>
          </cell>
          <cell r="CX84">
            <v>3116000</v>
          </cell>
          <cell r="CY84">
            <v>80000</v>
          </cell>
        </row>
        <row r="85">
          <cell r="A85">
            <v>805</v>
          </cell>
          <cell r="B85">
            <v>46716048</v>
          </cell>
          <cell r="C85">
            <v>1638071</v>
          </cell>
          <cell r="D85">
            <v>5188648</v>
          </cell>
          <cell r="E85">
            <v>1344705</v>
          </cell>
          <cell r="F85">
            <v>1786229</v>
          </cell>
          <cell r="G85">
            <v>0</v>
          </cell>
          <cell r="H85">
            <v>150000</v>
          </cell>
          <cell r="I85">
            <v>749621</v>
          </cell>
          <cell r="J85">
            <v>318165</v>
          </cell>
          <cell r="K85">
            <v>107641</v>
          </cell>
          <cell r="L85">
            <v>242642</v>
          </cell>
          <cell r="M85">
            <v>124581</v>
          </cell>
          <cell r="N85">
            <v>644241</v>
          </cell>
          <cell r="O85">
            <v>174482</v>
          </cell>
          <cell r="P85">
            <v>944596</v>
          </cell>
          <cell r="Q85">
            <v>338931</v>
          </cell>
          <cell r="R85">
            <v>106215</v>
          </cell>
          <cell r="S85">
            <v>0</v>
          </cell>
          <cell r="T85">
            <v>1604181</v>
          </cell>
          <cell r="U85">
            <v>0</v>
          </cell>
          <cell r="V85">
            <v>30209</v>
          </cell>
          <cell r="W85">
            <v>0</v>
          </cell>
          <cell r="X85">
            <v>0</v>
          </cell>
          <cell r="Y85">
            <v>0</v>
          </cell>
          <cell r="Z85">
            <v>0</v>
          </cell>
          <cell r="AA85">
            <v>0</v>
          </cell>
          <cell r="AB85">
            <v>0</v>
          </cell>
          <cell r="AC85">
            <v>0</v>
          </cell>
          <cell r="AD85">
            <v>153269</v>
          </cell>
          <cell r="AE85">
            <v>90183</v>
          </cell>
          <cell r="AF85">
            <v>50018</v>
          </cell>
          <cell r="AG85">
            <v>47780</v>
          </cell>
          <cell r="AH85">
            <v>8574</v>
          </cell>
          <cell r="AI85">
            <v>43277</v>
          </cell>
          <cell r="AJ85">
            <v>852636</v>
          </cell>
          <cell r="AK85">
            <v>1049781</v>
          </cell>
          <cell r="AL85">
            <v>523873</v>
          </cell>
          <cell r="AM85">
            <v>0</v>
          </cell>
          <cell r="AN85">
            <v>24991</v>
          </cell>
          <cell r="AO85">
            <v>668815</v>
          </cell>
          <cell r="AP85">
            <v>0</v>
          </cell>
          <cell r="AQ85">
            <v>65722403</v>
          </cell>
          <cell r="AR85">
            <v>1059324</v>
          </cell>
          <cell r="AS85">
            <v>124563</v>
          </cell>
          <cell r="AT85">
            <v>541802</v>
          </cell>
          <cell r="AU85">
            <v>61398</v>
          </cell>
          <cell r="AV85">
            <v>0</v>
          </cell>
          <cell r="AW85">
            <v>0</v>
          </cell>
          <cell r="AX85">
            <v>3183</v>
          </cell>
          <cell r="AY85">
            <v>1790270</v>
          </cell>
          <cell r="AZ85">
            <v>900137</v>
          </cell>
          <cell r="BA85">
            <v>281702</v>
          </cell>
          <cell r="BB85">
            <v>0</v>
          </cell>
          <cell r="BC85">
            <v>2839</v>
          </cell>
          <cell r="BD85">
            <v>1184678</v>
          </cell>
          <cell r="BE85">
            <v>271305</v>
          </cell>
          <cell r="BF85">
            <v>86019</v>
          </cell>
          <cell r="BG85">
            <v>75680</v>
          </cell>
          <cell r="BH85">
            <v>0</v>
          </cell>
          <cell r="BI85">
            <v>10407</v>
          </cell>
          <cell r="BJ85">
            <v>12981</v>
          </cell>
          <cell r="BK85">
            <v>456392</v>
          </cell>
          <cell r="BL85">
            <v>2326637</v>
          </cell>
          <cell r="BM85">
            <v>317115</v>
          </cell>
          <cell r="BN85">
            <v>285587</v>
          </cell>
          <cell r="BO85">
            <v>0</v>
          </cell>
          <cell r="BP85">
            <v>0</v>
          </cell>
          <cell r="BQ85">
            <v>475955</v>
          </cell>
          <cell r="BR85">
            <v>2534794</v>
          </cell>
          <cell r="BS85">
            <v>47397</v>
          </cell>
          <cell r="BT85">
            <v>52299</v>
          </cell>
          <cell r="BU85">
            <v>2975</v>
          </cell>
          <cell r="BV85">
            <v>38100</v>
          </cell>
          <cell r="BW85">
            <v>1029206</v>
          </cell>
          <cell r="BX85">
            <v>260580</v>
          </cell>
          <cell r="BY85">
            <v>0</v>
          </cell>
          <cell r="BZ85">
            <v>25580</v>
          </cell>
          <cell r="CA85">
            <v>0</v>
          </cell>
          <cell r="CB85">
            <v>8292771</v>
          </cell>
          <cell r="CC85">
            <v>1213997</v>
          </cell>
          <cell r="CD85">
            <v>1070429</v>
          </cell>
          <cell r="CE85">
            <v>0</v>
          </cell>
          <cell r="CF85">
            <v>95571</v>
          </cell>
          <cell r="CG85">
            <v>4447</v>
          </cell>
          <cell r="CH85">
            <v>0</v>
          </cell>
          <cell r="CI85">
            <v>2384444</v>
          </cell>
          <cell r="CJ85">
            <v>10677215</v>
          </cell>
          <cell r="CK85">
            <v>76399618</v>
          </cell>
          <cell r="CM85">
            <v>1236295</v>
          </cell>
          <cell r="CN85">
            <v>327714</v>
          </cell>
          <cell r="CO85">
            <v>0</v>
          </cell>
          <cell r="CP85">
            <v>0</v>
          </cell>
          <cell r="CQ85">
            <v>0</v>
          </cell>
          <cell r="CR85">
            <v>0</v>
          </cell>
          <cell r="CS85">
            <v>40115</v>
          </cell>
          <cell r="CT85">
            <v>0</v>
          </cell>
          <cell r="CV85">
            <v>0</v>
          </cell>
          <cell r="CW85">
            <v>2396182</v>
          </cell>
          <cell r="CX85">
            <v>810120</v>
          </cell>
          <cell r="CY85">
            <v>18060</v>
          </cell>
        </row>
        <row r="86">
          <cell r="A86">
            <v>806</v>
          </cell>
          <cell r="B86">
            <v>60650890</v>
          </cell>
          <cell r="C86">
            <v>2214222</v>
          </cell>
          <cell r="D86">
            <v>5925848</v>
          </cell>
          <cell r="E86">
            <v>3033331</v>
          </cell>
          <cell r="F86">
            <v>2531259</v>
          </cell>
          <cell r="G86">
            <v>0</v>
          </cell>
          <cell r="H86">
            <v>0</v>
          </cell>
          <cell r="I86">
            <v>608100</v>
          </cell>
          <cell r="J86">
            <v>0</v>
          </cell>
          <cell r="K86">
            <v>1082977</v>
          </cell>
          <cell r="L86">
            <v>999422</v>
          </cell>
          <cell r="M86">
            <v>24422</v>
          </cell>
          <cell r="N86">
            <v>523910</v>
          </cell>
          <cell r="O86">
            <v>569164</v>
          </cell>
          <cell r="P86">
            <v>2758325</v>
          </cell>
          <cell r="Q86">
            <v>527518</v>
          </cell>
          <cell r="R86">
            <v>0</v>
          </cell>
          <cell r="S86">
            <v>0</v>
          </cell>
          <cell r="T86">
            <v>429002</v>
          </cell>
          <cell r="U86">
            <v>0</v>
          </cell>
          <cell r="V86">
            <v>26000</v>
          </cell>
          <cell r="W86">
            <v>0</v>
          </cell>
          <cell r="X86">
            <v>0</v>
          </cell>
          <cell r="Y86">
            <v>0</v>
          </cell>
          <cell r="Z86">
            <v>0</v>
          </cell>
          <cell r="AA86">
            <v>0</v>
          </cell>
          <cell r="AB86">
            <v>0</v>
          </cell>
          <cell r="AC86">
            <v>12000</v>
          </cell>
          <cell r="AD86">
            <v>107008</v>
          </cell>
          <cell r="AE86">
            <v>0</v>
          </cell>
          <cell r="AF86">
            <v>0</v>
          </cell>
          <cell r="AG86">
            <v>47122</v>
          </cell>
          <cell r="AH86">
            <v>11035</v>
          </cell>
          <cell r="AI86">
            <v>51597</v>
          </cell>
          <cell r="AJ86">
            <v>2311550</v>
          </cell>
          <cell r="AK86">
            <v>717489</v>
          </cell>
          <cell r="AL86">
            <v>440547</v>
          </cell>
          <cell r="AM86">
            <v>0</v>
          </cell>
          <cell r="AN86">
            <v>212751</v>
          </cell>
          <cell r="AO86">
            <v>1203725</v>
          </cell>
          <cell r="AP86">
            <v>0</v>
          </cell>
          <cell r="AQ86">
            <v>87019214</v>
          </cell>
          <cell r="AR86">
            <v>1287610</v>
          </cell>
          <cell r="AS86">
            <v>426838</v>
          </cell>
          <cell r="AT86">
            <v>86094</v>
          </cell>
          <cell r="AU86">
            <v>591664</v>
          </cell>
          <cell r="AV86">
            <v>0</v>
          </cell>
          <cell r="AW86">
            <v>0</v>
          </cell>
          <cell r="AX86">
            <v>19505</v>
          </cell>
          <cell r="AY86">
            <v>2411711</v>
          </cell>
          <cell r="AZ86">
            <v>1013232</v>
          </cell>
          <cell r="BA86">
            <v>50883</v>
          </cell>
          <cell r="BB86">
            <v>17660</v>
          </cell>
          <cell r="BC86">
            <v>0</v>
          </cell>
          <cell r="BD86">
            <v>1081775</v>
          </cell>
          <cell r="BE86">
            <v>423892</v>
          </cell>
          <cell r="BF86">
            <v>298134</v>
          </cell>
          <cell r="BG86">
            <v>117334</v>
          </cell>
          <cell r="BH86">
            <v>725125</v>
          </cell>
          <cell r="BI86">
            <v>52402</v>
          </cell>
          <cell r="BJ86">
            <v>66489</v>
          </cell>
          <cell r="BK86">
            <v>1683376</v>
          </cell>
          <cell r="BL86">
            <v>941760</v>
          </cell>
          <cell r="BM86">
            <v>210191</v>
          </cell>
          <cell r="BN86">
            <v>333732</v>
          </cell>
          <cell r="BO86">
            <v>0</v>
          </cell>
          <cell r="BP86">
            <v>0</v>
          </cell>
          <cell r="BQ86">
            <v>294348</v>
          </cell>
          <cell r="BR86">
            <v>3050279</v>
          </cell>
          <cell r="BS86">
            <v>171587</v>
          </cell>
          <cell r="BT86">
            <v>23881</v>
          </cell>
          <cell r="BU86">
            <v>8721</v>
          </cell>
          <cell r="BV86">
            <v>104017</v>
          </cell>
          <cell r="BW86">
            <v>1411453</v>
          </cell>
          <cell r="BX86">
            <v>329086</v>
          </cell>
          <cell r="BY86">
            <v>104034</v>
          </cell>
          <cell r="BZ86">
            <v>59229</v>
          </cell>
          <cell r="CA86">
            <v>55573</v>
          </cell>
          <cell r="CB86">
            <v>9224474</v>
          </cell>
          <cell r="CC86">
            <v>1738029</v>
          </cell>
          <cell r="CD86">
            <v>1682300</v>
          </cell>
          <cell r="CE86">
            <v>0</v>
          </cell>
          <cell r="CF86">
            <v>0</v>
          </cell>
          <cell r="CG86">
            <v>0</v>
          </cell>
          <cell r="CH86">
            <v>0</v>
          </cell>
          <cell r="CI86">
            <v>3420329</v>
          </cell>
          <cell r="CJ86">
            <v>12644803</v>
          </cell>
          <cell r="CK86">
            <v>99664017</v>
          </cell>
          <cell r="CM86">
            <v>0</v>
          </cell>
          <cell r="CN86">
            <v>317900</v>
          </cell>
          <cell r="CO86">
            <v>0</v>
          </cell>
          <cell r="CP86">
            <v>0</v>
          </cell>
          <cell r="CQ86">
            <v>0</v>
          </cell>
          <cell r="CR86">
            <v>0</v>
          </cell>
          <cell r="CS86">
            <v>94770</v>
          </cell>
          <cell r="CT86">
            <v>0</v>
          </cell>
          <cell r="CV86">
            <v>0</v>
          </cell>
          <cell r="CW86">
            <v>7260939</v>
          </cell>
          <cell r="CX86">
            <v>1323660</v>
          </cell>
          <cell r="CY86">
            <v>227000</v>
          </cell>
        </row>
        <row r="87">
          <cell r="A87">
            <v>807</v>
          </cell>
          <cell r="B87">
            <v>68700000</v>
          </cell>
          <cell r="C87">
            <v>2696127</v>
          </cell>
          <cell r="D87">
            <v>5459978</v>
          </cell>
          <cell r="E87">
            <v>2802000</v>
          </cell>
          <cell r="F87">
            <v>0</v>
          </cell>
          <cell r="G87">
            <v>0</v>
          </cell>
          <cell r="H87">
            <v>0</v>
          </cell>
          <cell r="I87">
            <v>541650</v>
          </cell>
          <cell r="J87">
            <v>36600</v>
          </cell>
          <cell r="K87">
            <v>781445</v>
          </cell>
          <cell r="L87">
            <v>167850</v>
          </cell>
          <cell r="M87">
            <v>137350</v>
          </cell>
          <cell r="N87">
            <v>817072</v>
          </cell>
          <cell r="O87">
            <v>1006550</v>
          </cell>
          <cell r="P87">
            <v>493666</v>
          </cell>
          <cell r="Q87">
            <v>725550</v>
          </cell>
          <cell r="R87">
            <v>1034877</v>
          </cell>
          <cell r="S87">
            <v>0</v>
          </cell>
          <cell r="T87">
            <v>5015249</v>
          </cell>
          <cell r="U87">
            <v>0</v>
          </cell>
          <cell r="V87">
            <v>48030</v>
          </cell>
          <cell r="W87">
            <v>72970</v>
          </cell>
          <cell r="X87">
            <v>0</v>
          </cell>
          <cell r="Y87">
            <v>0</v>
          </cell>
          <cell r="Z87">
            <v>650000</v>
          </cell>
          <cell r="AA87">
            <v>0</v>
          </cell>
          <cell r="AB87">
            <v>0</v>
          </cell>
          <cell r="AC87">
            <v>0</v>
          </cell>
          <cell r="AD87">
            <v>147500</v>
          </cell>
          <cell r="AE87">
            <v>42280</v>
          </cell>
          <cell r="AF87">
            <v>165200</v>
          </cell>
          <cell r="AG87">
            <v>0</v>
          </cell>
          <cell r="AH87">
            <v>40800</v>
          </cell>
          <cell r="AI87">
            <v>17080</v>
          </cell>
          <cell r="AJ87">
            <v>1679597</v>
          </cell>
          <cell r="AK87">
            <v>0</v>
          </cell>
          <cell r="AL87">
            <v>70700</v>
          </cell>
          <cell r="AM87">
            <v>0</v>
          </cell>
          <cell r="AN87">
            <v>3012000</v>
          </cell>
          <cell r="AO87">
            <v>1204430</v>
          </cell>
          <cell r="AP87">
            <v>0</v>
          </cell>
          <cell r="AQ87">
            <v>97566551</v>
          </cell>
          <cell r="AR87">
            <v>991543</v>
          </cell>
          <cell r="AS87">
            <v>158519</v>
          </cell>
          <cell r="AT87">
            <v>630205</v>
          </cell>
          <cell r="AU87">
            <v>0</v>
          </cell>
          <cell r="AV87">
            <v>0</v>
          </cell>
          <cell r="AW87">
            <v>128617</v>
          </cell>
          <cell r="AX87">
            <v>0</v>
          </cell>
          <cell r="AY87">
            <v>1908884</v>
          </cell>
          <cell r="AZ87">
            <v>1083750</v>
          </cell>
          <cell r="BA87">
            <v>1212415</v>
          </cell>
          <cell r="BB87">
            <v>0</v>
          </cell>
          <cell r="BC87">
            <v>18000</v>
          </cell>
          <cell r="BD87">
            <v>2314165</v>
          </cell>
          <cell r="BE87">
            <v>573752</v>
          </cell>
          <cell r="BF87">
            <v>57608</v>
          </cell>
          <cell r="BG87">
            <v>27158</v>
          </cell>
          <cell r="BH87">
            <v>0</v>
          </cell>
          <cell r="BI87">
            <v>32802</v>
          </cell>
          <cell r="BJ87">
            <v>153927</v>
          </cell>
          <cell r="BK87">
            <v>845247</v>
          </cell>
          <cell r="BL87">
            <v>1200260</v>
          </cell>
          <cell r="BM87">
            <v>328981</v>
          </cell>
          <cell r="BN87">
            <v>429183</v>
          </cell>
          <cell r="BO87">
            <v>0</v>
          </cell>
          <cell r="BP87">
            <v>0</v>
          </cell>
          <cell r="BQ87">
            <v>175302</v>
          </cell>
          <cell r="BR87">
            <v>2721691</v>
          </cell>
          <cell r="BS87">
            <v>104250</v>
          </cell>
          <cell r="BT87">
            <v>77359</v>
          </cell>
          <cell r="BU87">
            <v>145776</v>
          </cell>
          <cell r="BV87">
            <v>40199</v>
          </cell>
          <cell r="BW87">
            <v>912688</v>
          </cell>
          <cell r="BX87">
            <v>371960</v>
          </cell>
          <cell r="BY87">
            <v>6643</v>
          </cell>
          <cell r="BZ87">
            <v>129350</v>
          </cell>
          <cell r="CA87">
            <v>117211</v>
          </cell>
          <cell r="CB87">
            <v>9107458</v>
          </cell>
          <cell r="CC87">
            <v>1789175</v>
          </cell>
          <cell r="CD87">
            <v>1669859</v>
          </cell>
          <cell r="CE87">
            <v>55284</v>
          </cell>
          <cell r="CF87">
            <v>74889</v>
          </cell>
          <cell r="CG87">
            <v>12090</v>
          </cell>
          <cell r="CH87">
            <v>30000</v>
          </cell>
          <cell r="CI87">
            <v>3631297</v>
          </cell>
          <cell r="CJ87">
            <v>12738755</v>
          </cell>
          <cell r="CK87">
            <v>110305306</v>
          </cell>
          <cell r="CM87">
            <v>30000</v>
          </cell>
          <cell r="CN87">
            <v>470000</v>
          </cell>
          <cell r="CO87">
            <v>0</v>
          </cell>
          <cell r="CP87">
            <v>0</v>
          </cell>
          <cell r="CQ87">
            <v>116000</v>
          </cell>
          <cell r="CR87">
            <v>0</v>
          </cell>
          <cell r="CS87">
            <v>13000</v>
          </cell>
          <cell r="CT87">
            <v>0</v>
          </cell>
          <cell r="CV87">
            <v>0</v>
          </cell>
          <cell r="CW87">
            <v>5580891</v>
          </cell>
          <cell r="CX87">
            <v>614188</v>
          </cell>
          <cell r="CY87">
            <v>1199530</v>
          </cell>
        </row>
        <row r="88">
          <cell r="A88">
            <v>808</v>
          </cell>
          <cell r="B88">
            <v>87684334</v>
          </cell>
          <cell r="C88">
            <v>3526759</v>
          </cell>
          <cell r="D88">
            <v>8583873</v>
          </cell>
          <cell r="E88">
            <v>2267381</v>
          </cell>
          <cell r="F88">
            <v>4069422</v>
          </cell>
          <cell r="G88">
            <v>0</v>
          </cell>
          <cell r="H88">
            <v>0</v>
          </cell>
          <cell r="I88">
            <v>0</v>
          </cell>
          <cell r="J88">
            <v>40879</v>
          </cell>
          <cell r="K88">
            <v>2827135</v>
          </cell>
          <cell r="L88">
            <v>784564</v>
          </cell>
          <cell r="M88">
            <v>65765</v>
          </cell>
          <cell r="N88">
            <v>754258</v>
          </cell>
          <cell r="O88">
            <v>1149387</v>
          </cell>
          <cell r="P88">
            <v>1319388</v>
          </cell>
          <cell r="Q88">
            <v>460480</v>
          </cell>
          <cell r="R88">
            <v>183204</v>
          </cell>
          <cell r="S88">
            <v>0</v>
          </cell>
          <cell r="T88">
            <v>8009441</v>
          </cell>
          <cell r="U88">
            <v>335873</v>
          </cell>
          <cell r="V88">
            <v>29534</v>
          </cell>
          <cell r="W88">
            <v>66224</v>
          </cell>
          <cell r="X88">
            <v>20932</v>
          </cell>
          <cell r="Y88">
            <v>0</v>
          </cell>
          <cell r="Z88">
            <v>0</v>
          </cell>
          <cell r="AA88">
            <v>0</v>
          </cell>
          <cell r="AB88">
            <v>0</v>
          </cell>
          <cell r="AC88">
            <v>0</v>
          </cell>
          <cell r="AD88">
            <v>177637</v>
          </cell>
          <cell r="AE88">
            <v>56205</v>
          </cell>
          <cell r="AF88">
            <v>46996</v>
          </cell>
          <cell r="AG88">
            <v>131655</v>
          </cell>
          <cell r="AH88">
            <v>11740</v>
          </cell>
          <cell r="AI88">
            <v>15443</v>
          </cell>
          <cell r="AJ88">
            <v>2039458</v>
          </cell>
          <cell r="AK88">
            <v>0</v>
          </cell>
          <cell r="AL88">
            <v>1276704</v>
          </cell>
          <cell r="AM88">
            <v>0</v>
          </cell>
          <cell r="AN88">
            <v>99831</v>
          </cell>
          <cell r="AO88">
            <v>1054133</v>
          </cell>
          <cell r="AP88">
            <v>0</v>
          </cell>
          <cell r="AQ88">
            <v>127088635</v>
          </cell>
          <cell r="AR88">
            <v>1828026</v>
          </cell>
          <cell r="AS88">
            <v>311031</v>
          </cell>
          <cell r="AT88">
            <v>864798</v>
          </cell>
          <cell r="AU88">
            <v>0</v>
          </cell>
          <cell r="AV88">
            <v>24365</v>
          </cell>
          <cell r="AW88">
            <v>0</v>
          </cell>
          <cell r="AX88">
            <v>0</v>
          </cell>
          <cell r="AY88">
            <v>3028220</v>
          </cell>
          <cell r="AZ88">
            <v>4842173</v>
          </cell>
          <cell r="BA88">
            <v>251374</v>
          </cell>
          <cell r="BB88">
            <v>0</v>
          </cell>
          <cell r="BC88">
            <v>4000</v>
          </cell>
          <cell r="BD88">
            <v>5097547</v>
          </cell>
          <cell r="BE88">
            <v>476139</v>
          </cell>
          <cell r="BF88">
            <v>269257</v>
          </cell>
          <cell r="BG88">
            <v>160757</v>
          </cell>
          <cell r="BH88">
            <v>3134</v>
          </cell>
          <cell r="BI88">
            <v>33162</v>
          </cell>
          <cell r="BJ88">
            <v>28266</v>
          </cell>
          <cell r="BK88">
            <v>970715</v>
          </cell>
          <cell r="BL88">
            <v>1000672</v>
          </cell>
          <cell r="BM88">
            <v>118069</v>
          </cell>
          <cell r="BN88">
            <v>479848</v>
          </cell>
          <cell r="BO88">
            <v>0</v>
          </cell>
          <cell r="BP88">
            <v>0</v>
          </cell>
          <cell r="BQ88">
            <v>0</v>
          </cell>
          <cell r="BR88">
            <v>3463474</v>
          </cell>
          <cell r="BS88">
            <v>147414</v>
          </cell>
          <cell r="BT88">
            <v>31717</v>
          </cell>
          <cell r="BU88">
            <v>0</v>
          </cell>
          <cell r="BV88">
            <v>62464</v>
          </cell>
          <cell r="BW88">
            <v>1706531</v>
          </cell>
          <cell r="BX88">
            <v>832841</v>
          </cell>
          <cell r="BY88">
            <v>0</v>
          </cell>
          <cell r="BZ88">
            <v>84590</v>
          </cell>
          <cell r="CA88">
            <v>0</v>
          </cell>
          <cell r="CB88">
            <v>13560628</v>
          </cell>
          <cell r="CC88">
            <v>1853892</v>
          </cell>
          <cell r="CD88">
            <v>2110239</v>
          </cell>
          <cell r="CE88">
            <v>15550</v>
          </cell>
          <cell r="CF88">
            <v>202921</v>
          </cell>
          <cell r="CG88">
            <v>0</v>
          </cell>
          <cell r="CH88">
            <v>147841</v>
          </cell>
          <cell r="CI88">
            <v>4330443</v>
          </cell>
          <cell r="CJ88">
            <v>17891071</v>
          </cell>
          <cell r="CK88">
            <v>144979706</v>
          </cell>
          <cell r="CM88">
            <v>2141954</v>
          </cell>
          <cell r="CN88">
            <v>299380</v>
          </cell>
          <cell r="CO88">
            <v>0</v>
          </cell>
          <cell r="CP88">
            <v>0</v>
          </cell>
          <cell r="CQ88">
            <v>0</v>
          </cell>
          <cell r="CR88">
            <v>0</v>
          </cell>
          <cell r="CS88">
            <v>73500</v>
          </cell>
          <cell r="CT88">
            <v>0</v>
          </cell>
          <cell r="CV88">
            <v>0</v>
          </cell>
          <cell r="CW88">
            <v>18394689</v>
          </cell>
          <cell r="CX88">
            <v>1458128</v>
          </cell>
          <cell r="CY88">
            <v>860925</v>
          </cell>
        </row>
        <row r="89">
          <cell r="A89">
            <v>810</v>
          </cell>
          <cell r="B89">
            <v>122271733</v>
          </cell>
          <cell r="C89">
            <v>4289639</v>
          </cell>
          <cell r="D89">
            <v>9641295</v>
          </cell>
          <cell r="E89">
            <v>4276687</v>
          </cell>
          <cell r="F89">
            <v>4205000</v>
          </cell>
          <cell r="G89">
            <v>0</v>
          </cell>
          <cell r="H89">
            <v>251854</v>
          </cell>
          <cell r="I89">
            <v>3739154</v>
          </cell>
          <cell r="J89">
            <v>1852159</v>
          </cell>
          <cell r="K89">
            <v>0</v>
          </cell>
          <cell r="L89">
            <v>0</v>
          </cell>
          <cell r="M89">
            <v>35466</v>
          </cell>
          <cell r="N89">
            <v>824024</v>
          </cell>
          <cell r="O89">
            <v>844496</v>
          </cell>
          <cell r="P89">
            <v>2278361</v>
          </cell>
          <cell r="Q89">
            <v>43982</v>
          </cell>
          <cell r="R89">
            <v>194145</v>
          </cell>
          <cell r="S89">
            <v>0</v>
          </cell>
          <cell r="T89">
            <v>3658555</v>
          </cell>
          <cell r="U89">
            <v>6555200</v>
          </cell>
          <cell r="V89">
            <v>74459</v>
          </cell>
          <cell r="W89">
            <v>78333</v>
          </cell>
          <cell r="X89">
            <v>0</v>
          </cell>
          <cell r="Y89">
            <v>0</v>
          </cell>
          <cell r="Z89">
            <v>0</v>
          </cell>
          <cell r="AA89">
            <v>0</v>
          </cell>
          <cell r="AB89">
            <v>72118</v>
          </cell>
          <cell r="AC89">
            <v>95969</v>
          </cell>
          <cell r="AD89">
            <v>236175</v>
          </cell>
          <cell r="AE89">
            <v>80762</v>
          </cell>
          <cell r="AF89">
            <v>101682</v>
          </cell>
          <cell r="AG89">
            <v>51147</v>
          </cell>
          <cell r="AH89">
            <v>5244</v>
          </cell>
          <cell r="AI89">
            <v>42490</v>
          </cell>
          <cell r="AJ89">
            <v>1556138</v>
          </cell>
          <cell r="AK89">
            <v>0</v>
          </cell>
          <cell r="AL89">
            <v>384387</v>
          </cell>
          <cell r="AM89">
            <v>0</v>
          </cell>
          <cell r="AN89">
            <v>620000</v>
          </cell>
          <cell r="AO89">
            <v>197828</v>
          </cell>
          <cell r="AP89">
            <v>0</v>
          </cell>
          <cell r="AQ89">
            <v>168558482</v>
          </cell>
          <cell r="AR89">
            <v>1967926</v>
          </cell>
          <cell r="AS89">
            <v>40251</v>
          </cell>
          <cell r="AT89">
            <v>1825543</v>
          </cell>
          <cell r="AU89">
            <v>260961</v>
          </cell>
          <cell r="AV89">
            <v>17369</v>
          </cell>
          <cell r="AW89">
            <v>34849</v>
          </cell>
          <cell r="AX89">
            <v>4464</v>
          </cell>
          <cell r="AY89">
            <v>4151363</v>
          </cell>
          <cell r="AZ89">
            <v>2784158</v>
          </cell>
          <cell r="BA89">
            <v>0</v>
          </cell>
          <cell r="BB89">
            <v>0</v>
          </cell>
          <cell r="BC89">
            <v>5495</v>
          </cell>
          <cell r="BD89">
            <v>2789653</v>
          </cell>
          <cell r="BE89">
            <v>892676</v>
          </cell>
          <cell r="BF89">
            <v>0</v>
          </cell>
          <cell r="BG89">
            <v>30917</v>
          </cell>
          <cell r="BH89">
            <v>0</v>
          </cell>
          <cell r="BI89">
            <v>259576</v>
          </cell>
          <cell r="BJ89">
            <v>166525</v>
          </cell>
          <cell r="BK89">
            <v>1349694</v>
          </cell>
          <cell r="BL89">
            <v>2211163</v>
          </cell>
          <cell r="BM89">
            <v>1192142</v>
          </cell>
          <cell r="BN89">
            <v>820625</v>
          </cell>
          <cell r="BO89">
            <v>260574</v>
          </cell>
          <cell r="BP89">
            <v>25195</v>
          </cell>
          <cell r="BQ89">
            <v>3504</v>
          </cell>
          <cell r="BR89">
            <v>5618437</v>
          </cell>
          <cell r="BS89">
            <v>140875</v>
          </cell>
          <cell r="BT89">
            <v>39652</v>
          </cell>
          <cell r="BU89">
            <v>0</v>
          </cell>
          <cell r="BV89">
            <v>235229</v>
          </cell>
          <cell r="BW89">
            <v>2660521</v>
          </cell>
          <cell r="BX89">
            <v>0</v>
          </cell>
          <cell r="BY89">
            <v>0</v>
          </cell>
          <cell r="BZ89">
            <v>240120</v>
          </cell>
          <cell r="CA89">
            <v>47342</v>
          </cell>
          <cell r="CB89">
            <v>16167652</v>
          </cell>
          <cell r="CC89">
            <v>3070365</v>
          </cell>
          <cell r="CD89">
            <v>6664200</v>
          </cell>
          <cell r="CE89">
            <v>0</v>
          </cell>
          <cell r="CF89">
            <v>127042</v>
          </cell>
          <cell r="CG89">
            <v>422047</v>
          </cell>
          <cell r="CH89">
            <v>0</v>
          </cell>
          <cell r="CI89">
            <v>10283654</v>
          </cell>
          <cell r="CJ89">
            <v>26451306</v>
          </cell>
          <cell r="CK89">
            <v>195009788</v>
          </cell>
          <cell r="CM89">
            <v>1398850</v>
          </cell>
          <cell r="CN89">
            <v>0</v>
          </cell>
          <cell r="CO89">
            <v>0</v>
          </cell>
          <cell r="CP89">
            <v>0</v>
          </cell>
          <cell r="CQ89">
            <v>0</v>
          </cell>
          <cell r="CR89">
            <v>0</v>
          </cell>
          <cell r="CS89">
            <v>239414</v>
          </cell>
          <cell r="CT89">
            <v>0</v>
          </cell>
          <cell r="CV89">
            <v>0</v>
          </cell>
          <cell r="CW89">
            <v>12460643</v>
          </cell>
          <cell r="CX89">
            <v>2658050</v>
          </cell>
          <cell r="CY89">
            <v>564577</v>
          </cell>
        </row>
        <row r="90">
          <cell r="A90">
            <v>811</v>
          </cell>
          <cell r="B90">
            <v>144447977</v>
          </cell>
          <cell r="C90">
            <v>5430256</v>
          </cell>
          <cell r="D90">
            <v>12297325</v>
          </cell>
          <cell r="E90">
            <v>809794</v>
          </cell>
          <cell r="F90">
            <v>6104208</v>
          </cell>
          <cell r="G90">
            <v>0</v>
          </cell>
          <cell r="H90">
            <v>0</v>
          </cell>
          <cell r="I90">
            <v>2172834</v>
          </cell>
          <cell r="J90">
            <v>804656</v>
          </cell>
          <cell r="K90">
            <v>0</v>
          </cell>
          <cell r="L90">
            <v>0</v>
          </cell>
          <cell r="M90">
            <v>0</v>
          </cell>
          <cell r="N90">
            <v>2508700</v>
          </cell>
          <cell r="O90">
            <v>1169390</v>
          </cell>
          <cell r="P90">
            <v>555500</v>
          </cell>
          <cell r="Q90">
            <v>835628</v>
          </cell>
          <cell r="R90">
            <v>173279</v>
          </cell>
          <cell r="S90">
            <v>0</v>
          </cell>
          <cell r="T90">
            <v>4012730</v>
          </cell>
          <cell r="U90">
            <v>790151</v>
          </cell>
          <cell r="V90">
            <v>0</v>
          </cell>
          <cell r="W90">
            <v>0</v>
          </cell>
          <cell r="X90">
            <v>168020</v>
          </cell>
          <cell r="Y90">
            <v>0</v>
          </cell>
          <cell r="Z90">
            <v>199924</v>
          </cell>
          <cell r="AA90">
            <v>0</v>
          </cell>
          <cell r="AB90">
            <v>0</v>
          </cell>
          <cell r="AC90">
            <v>83270</v>
          </cell>
          <cell r="AD90">
            <v>545357</v>
          </cell>
          <cell r="AE90">
            <v>52090</v>
          </cell>
          <cell r="AF90">
            <v>116240</v>
          </cell>
          <cell r="AG90">
            <v>0</v>
          </cell>
          <cell r="AH90">
            <v>8060</v>
          </cell>
          <cell r="AI90">
            <v>475021</v>
          </cell>
          <cell r="AJ90">
            <v>2309623</v>
          </cell>
          <cell r="AK90">
            <v>0</v>
          </cell>
          <cell r="AL90">
            <v>0</v>
          </cell>
          <cell r="AM90">
            <v>0</v>
          </cell>
          <cell r="AN90">
            <v>215039</v>
          </cell>
          <cell r="AO90">
            <v>4278029</v>
          </cell>
          <cell r="AP90">
            <v>0</v>
          </cell>
          <cell r="AQ90">
            <v>190563101</v>
          </cell>
          <cell r="AR90">
            <v>1853270</v>
          </cell>
          <cell r="AS90">
            <v>1451310</v>
          </cell>
          <cell r="AT90">
            <v>51390</v>
          </cell>
          <cell r="AU90">
            <v>55080</v>
          </cell>
          <cell r="AV90">
            <v>0</v>
          </cell>
          <cell r="AW90">
            <v>0</v>
          </cell>
          <cell r="AX90">
            <v>0</v>
          </cell>
          <cell r="AY90">
            <v>3411050</v>
          </cell>
          <cell r="AZ90">
            <v>2113268</v>
          </cell>
          <cell r="BA90">
            <v>0</v>
          </cell>
          <cell r="BB90">
            <v>100940</v>
          </cell>
          <cell r="BC90">
            <v>0</v>
          </cell>
          <cell r="BD90">
            <v>2214208</v>
          </cell>
          <cell r="BE90">
            <v>522750</v>
          </cell>
          <cell r="BF90">
            <v>191980</v>
          </cell>
          <cell r="BG90">
            <v>43890</v>
          </cell>
          <cell r="BH90">
            <v>0</v>
          </cell>
          <cell r="BI90">
            <v>51740</v>
          </cell>
          <cell r="BJ90">
            <v>0</v>
          </cell>
          <cell r="BK90">
            <v>810360</v>
          </cell>
          <cell r="BL90">
            <v>2281650</v>
          </cell>
          <cell r="BM90">
            <v>310578</v>
          </cell>
          <cell r="BN90">
            <v>655062</v>
          </cell>
          <cell r="BO90">
            <v>775650</v>
          </cell>
          <cell r="BP90">
            <v>0</v>
          </cell>
          <cell r="BQ90">
            <v>0</v>
          </cell>
          <cell r="BR90">
            <v>11334377</v>
          </cell>
          <cell r="BS90">
            <v>181785</v>
          </cell>
          <cell r="BT90">
            <v>80794</v>
          </cell>
          <cell r="BU90">
            <v>0</v>
          </cell>
          <cell r="BV90">
            <v>46012</v>
          </cell>
          <cell r="BW90">
            <v>3735851</v>
          </cell>
          <cell r="BX90">
            <v>5448645</v>
          </cell>
          <cell r="BY90">
            <v>0</v>
          </cell>
          <cell r="BZ90">
            <v>100000</v>
          </cell>
          <cell r="CA90">
            <v>0</v>
          </cell>
          <cell r="CB90">
            <v>20051645</v>
          </cell>
          <cell r="CC90">
            <v>2013030</v>
          </cell>
          <cell r="CD90">
            <v>4239010</v>
          </cell>
          <cell r="CE90">
            <v>202660</v>
          </cell>
          <cell r="CF90">
            <v>0</v>
          </cell>
          <cell r="CG90">
            <v>501720</v>
          </cell>
          <cell r="CH90">
            <v>0</v>
          </cell>
          <cell r="CI90">
            <v>6956420</v>
          </cell>
          <cell r="CJ90">
            <v>27008065</v>
          </cell>
          <cell r="CK90">
            <v>217571166</v>
          </cell>
          <cell r="CM90">
            <v>13551489</v>
          </cell>
          <cell r="CN90">
            <v>841713</v>
          </cell>
          <cell r="CO90">
            <v>0</v>
          </cell>
          <cell r="CP90">
            <v>0</v>
          </cell>
          <cell r="CQ90">
            <v>0</v>
          </cell>
          <cell r="CR90">
            <v>0</v>
          </cell>
          <cell r="CS90">
            <v>0</v>
          </cell>
          <cell r="CT90">
            <v>0</v>
          </cell>
          <cell r="CV90">
            <v>0</v>
          </cell>
          <cell r="CW90">
            <v>17701000</v>
          </cell>
          <cell r="CX90">
            <v>4414388</v>
          </cell>
          <cell r="CY90">
            <v>0</v>
          </cell>
        </row>
        <row r="91">
          <cell r="A91">
            <v>812</v>
          </cell>
          <cell r="B91">
            <v>77803299</v>
          </cell>
          <cell r="C91">
            <v>3033199</v>
          </cell>
          <cell r="D91">
            <v>5373318</v>
          </cell>
          <cell r="E91">
            <v>1335113</v>
          </cell>
          <cell r="F91">
            <v>3141721</v>
          </cell>
          <cell r="G91">
            <v>208000</v>
          </cell>
          <cell r="H91">
            <v>0</v>
          </cell>
          <cell r="I91">
            <v>1841925</v>
          </cell>
          <cell r="J91">
            <v>1627971</v>
          </cell>
          <cell r="K91">
            <v>30870</v>
          </cell>
          <cell r="L91">
            <v>0</v>
          </cell>
          <cell r="M91">
            <v>0</v>
          </cell>
          <cell r="N91">
            <v>529610</v>
          </cell>
          <cell r="O91">
            <v>2398268</v>
          </cell>
          <cell r="P91">
            <v>1293346</v>
          </cell>
          <cell r="Q91">
            <v>44291</v>
          </cell>
          <cell r="R91">
            <v>53838</v>
          </cell>
          <cell r="S91">
            <v>0</v>
          </cell>
          <cell r="T91">
            <v>3044761</v>
          </cell>
          <cell r="U91">
            <v>2176905</v>
          </cell>
          <cell r="V91">
            <v>24719</v>
          </cell>
          <cell r="W91">
            <v>52000</v>
          </cell>
          <cell r="X91">
            <v>108888</v>
          </cell>
          <cell r="Y91">
            <v>0</v>
          </cell>
          <cell r="Z91">
            <v>0</v>
          </cell>
          <cell r="AA91">
            <v>0</v>
          </cell>
          <cell r="AB91">
            <v>0</v>
          </cell>
          <cell r="AC91">
            <v>0</v>
          </cell>
          <cell r="AD91">
            <v>334825</v>
          </cell>
          <cell r="AE91">
            <v>151470</v>
          </cell>
          <cell r="AF91">
            <v>248151</v>
          </cell>
          <cell r="AG91">
            <v>52802</v>
          </cell>
          <cell r="AH91">
            <v>10000</v>
          </cell>
          <cell r="AI91">
            <v>0</v>
          </cell>
          <cell r="AJ91">
            <v>1148500</v>
          </cell>
          <cell r="AK91">
            <v>0</v>
          </cell>
          <cell r="AL91">
            <v>268467</v>
          </cell>
          <cell r="AM91">
            <v>0</v>
          </cell>
          <cell r="AN91">
            <v>0</v>
          </cell>
          <cell r="AO91">
            <v>453323</v>
          </cell>
          <cell r="AP91">
            <v>0</v>
          </cell>
          <cell r="AQ91">
            <v>106789580</v>
          </cell>
          <cell r="AR91">
            <v>719320</v>
          </cell>
          <cell r="AS91">
            <v>45746</v>
          </cell>
          <cell r="AT91">
            <v>1326647</v>
          </cell>
          <cell r="AU91">
            <v>152488</v>
          </cell>
          <cell r="AV91">
            <v>0</v>
          </cell>
          <cell r="AW91">
            <v>264077</v>
          </cell>
          <cell r="AX91">
            <v>89212</v>
          </cell>
          <cell r="AY91">
            <v>2597490</v>
          </cell>
          <cell r="AZ91">
            <v>1648813</v>
          </cell>
          <cell r="BA91">
            <v>616082</v>
          </cell>
          <cell r="BB91">
            <v>0</v>
          </cell>
          <cell r="BC91">
            <v>0</v>
          </cell>
          <cell r="BD91">
            <v>2264895</v>
          </cell>
          <cell r="BE91">
            <v>464544</v>
          </cell>
          <cell r="BF91">
            <v>181044</v>
          </cell>
          <cell r="BG91">
            <v>70768</v>
          </cell>
          <cell r="BH91">
            <v>39031</v>
          </cell>
          <cell r="BI91">
            <v>30900</v>
          </cell>
          <cell r="BJ91">
            <v>0</v>
          </cell>
          <cell r="BK91">
            <v>786287</v>
          </cell>
          <cell r="BL91">
            <v>2511980</v>
          </cell>
          <cell r="BM91">
            <v>253911</v>
          </cell>
          <cell r="BN91">
            <v>258134</v>
          </cell>
          <cell r="BO91">
            <v>10297</v>
          </cell>
          <cell r="BP91">
            <v>6400</v>
          </cell>
          <cell r="BQ91">
            <v>0</v>
          </cell>
          <cell r="BR91">
            <v>2602169</v>
          </cell>
          <cell r="BS91">
            <v>108581</v>
          </cell>
          <cell r="BT91">
            <v>0</v>
          </cell>
          <cell r="BU91">
            <v>33324</v>
          </cell>
          <cell r="BV91">
            <v>58958</v>
          </cell>
          <cell r="BW91">
            <v>904272</v>
          </cell>
          <cell r="BX91">
            <v>871256</v>
          </cell>
          <cell r="BY91">
            <v>89276</v>
          </cell>
          <cell r="BZ91">
            <v>7760</v>
          </cell>
          <cell r="CA91">
            <v>0</v>
          </cell>
          <cell r="CB91">
            <v>10762821</v>
          </cell>
          <cell r="CC91">
            <v>1158634</v>
          </cell>
          <cell r="CD91">
            <v>1710186</v>
          </cell>
          <cell r="CE91">
            <v>146</v>
          </cell>
          <cell r="CF91">
            <v>188950</v>
          </cell>
          <cell r="CG91">
            <v>55878</v>
          </cell>
          <cell r="CH91">
            <v>0</v>
          </cell>
          <cell r="CI91">
            <v>3113794</v>
          </cell>
          <cell r="CJ91">
            <v>13876615</v>
          </cell>
          <cell r="CK91">
            <v>120666195</v>
          </cell>
          <cell r="CM91">
            <v>1722877</v>
          </cell>
          <cell r="CN91">
            <v>0</v>
          </cell>
          <cell r="CO91">
            <v>181388</v>
          </cell>
          <cell r="CP91">
            <v>0</v>
          </cell>
          <cell r="CQ91">
            <v>0</v>
          </cell>
          <cell r="CR91">
            <v>0</v>
          </cell>
          <cell r="CS91">
            <v>0</v>
          </cell>
          <cell r="CT91">
            <v>0</v>
          </cell>
          <cell r="CV91">
            <v>0</v>
          </cell>
          <cell r="CW91">
            <v>10066700</v>
          </cell>
          <cell r="CX91">
            <v>1539073</v>
          </cell>
          <cell r="CY91">
            <v>0</v>
          </cell>
        </row>
        <row r="92">
          <cell r="A92">
            <v>813</v>
          </cell>
          <cell r="B92">
            <v>69794841</v>
          </cell>
          <cell r="C92">
            <v>3195326</v>
          </cell>
          <cell r="D92">
            <v>6659498</v>
          </cell>
          <cell r="E92">
            <v>1014448</v>
          </cell>
          <cell r="F92">
            <v>2959339</v>
          </cell>
          <cell r="G92">
            <v>0</v>
          </cell>
          <cell r="H92">
            <v>200000</v>
          </cell>
          <cell r="I92">
            <v>400292</v>
          </cell>
          <cell r="J92">
            <v>219401</v>
          </cell>
          <cell r="K92">
            <v>0</v>
          </cell>
          <cell r="L92">
            <v>0</v>
          </cell>
          <cell r="M92">
            <v>216467</v>
          </cell>
          <cell r="N92">
            <v>849718</v>
          </cell>
          <cell r="O92">
            <v>2649349</v>
          </cell>
          <cell r="P92">
            <v>1137033</v>
          </cell>
          <cell r="Q92">
            <v>181503</v>
          </cell>
          <cell r="R92">
            <v>459238</v>
          </cell>
          <cell r="S92">
            <v>0</v>
          </cell>
          <cell r="T92">
            <v>2309431</v>
          </cell>
          <cell r="U92">
            <v>225130</v>
          </cell>
          <cell r="V92">
            <v>19967</v>
          </cell>
          <cell r="W92">
            <v>48870</v>
          </cell>
          <cell r="X92">
            <v>0</v>
          </cell>
          <cell r="Y92">
            <v>0</v>
          </cell>
          <cell r="Z92">
            <v>0</v>
          </cell>
          <cell r="AA92">
            <v>0</v>
          </cell>
          <cell r="AB92">
            <v>18437</v>
          </cell>
          <cell r="AC92">
            <v>44114</v>
          </cell>
          <cell r="AD92">
            <v>73329</v>
          </cell>
          <cell r="AE92">
            <v>2199</v>
          </cell>
          <cell r="AF92">
            <v>0</v>
          </cell>
          <cell r="AG92">
            <v>79724</v>
          </cell>
          <cell r="AH92">
            <v>2157</v>
          </cell>
          <cell r="AI92">
            <v>144155</v>
          </cell>
          <cell r="AJ92">
            <v>559230</v>
          </cell>
          <cell r="AK92">
            <v>0</v>
          </cell>
          <cell r="AL92">
            <v>59298</v>
          </cell>
          <cell r="AM92">
            <v>0</v>
          </cell>
          <cell r="AN92">
            <v>0</v>
          </cell>
          <cell r="AO92">
            <v>2588433</v>
          </cell>
          <cell r="AP92">
            <v>10000</v>
          </cell>
          <cell r="AQ92">
            <v>96120927</v>
          </cell>
          <cell r="AR92">
            <v>1135226</v>
          </cell>
          <cell r="AS92">
            <v>0</v>
          </cell>
          <cell r="AT92">
            <v>1125744</v>
          </cell>
          <cell r="AU92">
            <v>112263</v>
          </cell>
          <cell r="AV92">
            <v>0</v>
          </cell>
          <cell r="AW92">
            <v>0</v>
          </cell>
          <cell r="AX92">
            <v>0</v>
          </cell>
          <cell r="AY92">
            <v>2373233</v>
          </cell>
          <cell r="AZ92">
            <v>1145284</v>
          </cell>
          <cell r="BA92">
            <v>0</v>
          </cell>
          <cell r="BB92">
            <v>225807</v>
          </cell>
          <cell r="BC92">
            <v>0</v>
          </cell>
          <cell r="BD92">
            <v>1371091</v>
          </cell>
          <cell r="BE92">
            <v>433526</v>
          </cell>
          <cell r="BF92">
            <v>82918</v>
          </cell>
          <cell r="BG92">
            <v>2588</v>
          </cell>
          <cell r="BH92">
            <v>0</v>
          </cell>
          <cell r="BI92">
            <v>72064</v>
          </cell>
          <cell r="BJ92">
            <v>55495</v>
          </cell>
          <cell r="BK92">
            <v>646591</v>
          </cell>
          <cell r="BL92">
            <v>1341781</v>
          </cell>
          <cell r="BM92">
            <v>502329</v>
          </cell>
          <cell r="BN92">
            <v>476598</v>
          </cell>
          <cell r="BO92">
            <v>104200</v>
          </cell>
          <cell r="BP92">
            <v>1361</v>
          </cell>
          <cell r="BQ92">
            <v>0</v>
          </cell>
          <cell r="BR92">
            <v>5258259</v>
          </cell>
          <cell r="BS92">
            <v>15355</v>
          </cell>
          <cell r="BT92">
            <v>20614</v>
          </cell>
          <cell r="BU92">
            <v>10271</v>
          </cell>
          <cell r="BV92">
            <v>105866</v>
          </cell>
          <cell r="BW92">
            <v>1405672</v>
          </cell>
          <cell r="BX92">
            <v>1992712</v>
          </cell>
          <cell r="BY92">
            <v>203809</v>
          </cell>
          <cell r="BZ92">
            <v>419472</v>
          </cell>
          <cell r="CA92">
            <v>61240</v>
          </cell>
          <cell r="CB92">
            <v>11052195</v>
          </cell>
          <cell r="CC92">
            <v>1548230</v>
          </cell>
          <cell r="CD92">
            <v>3457600</v>
          </cell>
          <cell r="CE92">
            <v>0</v>
          </cell>
          <cell r="CF92">
            <v>174817</v>
          </cell>
          <cell r="CG92">
            <v>2961</v>
          </cell>
          <cell r="CH92">
            <v>0</v>
          </cell>
          <cell r="CI92">
            <v>5183608</v>
          </cell>
          <cell r="CJ92">
            <v>16235803</v>
          </cell>
          <cell r="CK92">
            <v>112356730</v>
          </cell>
          <cell r="CM92">
            <v>961931</v>
          </cell>
          <cell r="CN92">
            <v>50614</v>
          </cell>
          <cell r="CO92">
            <v>0</v>
          </cell>
          <cell r="CP92">
            <v>0</v>
          </cell>
          <cell r="CQ92">
            <v>0</v>
          </cell>
          <cell r="CR92">
            <v>0</v>
          </cell>
          <cell r="CS92">
            <v>25383</v>
          </cell>
          <cell r="CT92">
            <v>0</v>
          </cell>
          <cell r="CV92">
            <v>0</v>
          </cell>
          <cell r="CW92">
            <v>8383685</v>
          </cell>
          <cell r="CX92">
            <v>1462341</v>
          </cell>
          <cell r="CY92">
            <v>754427</v>
          </cell>
        </row>
        <row r="93">
          <cell r="A93">
            <v>815</v>
          </cell>
          <cell r="B93">
            <v>261239815</v>
          </cell>
          <cell r="C93">
            <v>11627220</v>
          </cell>
          <cell r="D93">
            <v>17440684</v>
          </cell>
          <cell r="E93">
            <v>0</v>
          </cell>
          <cell r="F93">
            <v>11495436</v>
          </cell>
          <cell r="G93">
            <v>0</v>
          </cell>
          <cell r="H93">
            <v>200000</v>
          </cell>
          <cell r="I93">
            <v>5694825</v>
          </cell>
          <cell r="J93">
            <v>1763053</v>
          </cell>
          <cell r="K93">
            <v>0</v>
          </cell>
          <cell r="L93">
            <v>0</v>
          </cell>
          <cell r="M93">
            <v>394170</v>
          </cell>
          <cell r="N93">
            <v>1621493</v>
          </cell>
          <cell r="O93">
            <v>1604456</v>
          </cell>
          <cell r="P93">
            <v>748975</v>
          </cell>
          <cell r="Q93">
            <v>0</v>
          </cell>
          <cell r="R93">
            <v>3050374</v>
          </cell>
          <cell r="S93">
            <v>0</v>
          </cell>
          <cell r="T93">
            <v>8637934</v>
          </cell>
          <cell r="U93">
            <v>451211</v>
          </cell>
          <cell r="V93">
            <v>281612</v>
          </cell>
          <cell r="W93">
            <v>0</v>
          </cell>
          <cell r="X93">
            <v>0</v>
          </cell>
          <cell r="Y93">
            <v>0</v>
          </cell>
          <cell r="Z93">
            <v>0</v>
          </cell>
          <cell r="AA93">
            <v>0</v>
          </cell>
          <cell r="AB93">
            <v>0</v>
          </cell>
          <cell r="AC93">
            <v>0</v>
          </cell>
          <cell r="AD93">
            <v>1067475</v>
          </cell>
          <cell r="AE93">
            <v>141528</v>
          </cell>
          <cell r="AF93">
            <v>2429654</v>
          </cell>
          <cell r="AG93">
            <v>0</v>
          </cell>
          <cell r="AH93">
            <v>30000</v>
          </cell>
          <cell r="AI93">
            <v>110052</v>
          </cell>
          <cell r="AJ93">
            <v>731086</v>
          </cell>
          <cell r="AK93">
            <v>0</v>
          </cell>
          <cell r="AL93">
            <v>0</v>
          </cell>
          <cell r="AM93">
            <v>0</v>
          </cell>
          <cell r="AN93">
            <v>311839</v>
          </cell>
          <cell r="AO93">
            <v>20145413</v>
          </cell>
          <cell r="AP93">
            <v>0</v>
          </cell>
          <cell r="AQ93">
            <v>351218305</v>
          </cell>
          <cell r="AR93">
            <v>5232683</v>
          </cell>
          <cell r="AS93">
            <v>787381</v>
          </cell>
          <cell r="AT93">
            <v>844850</v>
          </cell>
          <cell r="AU93">
            <v>0</v>
          </cell>
          <cell r="AV93">
            <v>140074</v>
          </cell>
          <cell r="AW93">
            <v>0</v>
          </cell>
          <cell r="AX93">
            <v>46122</v>
          </cell>
          <cell r="AY93">
            <v>7051110</v>
          </cell>
          <cell r="AZ93">
            <v>3634994</v>
          </cell>
          <cell r="BA93">
            <v>0</v>
          </cell>
          <cell r="BB93">
            <v>129736</v>
          </cell>
          <cell r="BC93">
            <v>39000</v>
          </cell>
          <cell r="BD93">
            <v>3803730</v>
          </cell>
          <cell r="BE93">
            <v>1993791</v>
          </cell>
          <cell r="BF93">
            <v>556652</v>
          </cell>
          <cell r="BG93">
            <v>355078</v>
          </cell>
          <cell r="BH93">
            <v>0</v>
          </cell>
          <cell r="BI93">
            <v>0</v>
          </cell>
          <cell r="BJ93">
            <v>537288</v>
          </cell>
          <cell r="BK93">
            <v>3442809</v>
          </cell>
          <cell r="BL93">
            <v>3996421</v>
          </cell>
          <cell r="BM93">
            <v>588683</v>
          </cell>
          <cell r="BN93">
            <v>946030</v>
          </cell>
          <cell r="BO93">
            <v>2637934</v>
          </cell>
          <cell r="BP93">
            <v>0</v>
          </cell>
          <cell r="BQ93">
            <v>2547709</v>
          </cell>
          <cell r="BR93">
            <v>27760457</v>
          </cell>
          <cell r="BS93">
            <v>336809</v>
          </cell>
          <cell r="BT93">
            <v>253724</v>
          </cell>
          <cell r="BU93">
            <v>293831</v>
          </cell>
          <cell r="BV93">
            <v>93764</v>
          </cell>
          <cell r="BW93">
            <v>3341294</v>
          </cell>
          <cell r="BX93">
            <v>13680072</v>
          </cell>
          <cell r="BY93">
            <v>596871</v>
          </cell>
          <cell r="BZ93">
            <v>2443736</v>
          </cell>
          <cell r="CA93">
            <v>187096</v>
          </cell>
          <cell r="CB93">
            <v>46241623</v>
          </cell>
          <cell r="CC93">
            <v>3900722</v>
          </cell>
          <cell r="CD93">
            <v>4896866</v>
          </cell>
          <cell r="CE93">
            <v>1587004</v>
          </cell>
          <cell r="CF93">
            <v>0</v>
          </cell>
          <cell r="CG93">
            <v>282946</v>
          </cell>
          <cell r="CH93">
            <v>0</v>
          </cell>
          <cell r="CI93">
            <v>10667538</v>
          </cell>
          <cell r="CJ93">
            <v>56909161</v>
          </cell>
          <cell r="CK93">
            <v>408127466</v>
          </cell>
          <cell r="CM93">
            <v>25211378</v>
          </cell>
          <cell r="CN93">
            <v>803577</v>
          </cell>
          <cell r="CO93">
            <v>385577</v>
          </cell>
          <cell r="CP93">
            <v>0</v>
          </cell>
          <cell r="CQ93">
            <v>0</v>
          </cell>
          <cell r="CR93">
            <v>0</v>
          </cell>
          <cell r="CS93">
            <v>411905</v>
          </cell>
          <cell r="CT93">
            <v>0</v>
          </cell>
          <cell r="CV93">
            <v>0</v>
          </cell>
          <cell r="CW93">
            <v>23709371</v>
          </cell>
          <cell r="CX93">
            <v>6200663</v>
          </cell>
          <cell r="CY93">
            <v>3638225</v>
          </cell>
        </row>
        <row r="94">
          <cell r="A94">
            <v>816</v>
          </cell>
          <cell r="B94">
            <v>67575836</v>
          </cell>
          <cell r="C94">
            <v>2827115</v>
          </cell>
          <cell r="D94">
            <v>6788129</v>
          </cell>
          <cell r="E94">
            <v>0</v>
          </cell>
          <cell r="F94">
            <v>3004453</v>
          </cell>
          <cell r="G94">
            <v>0</v>
          </cell>
          <cell r="H94">
            <v>0</v>
          </cell>
          <cell r="I94">
            <v>1129089</v>
          </cell>
          <cell r="J94">
            <v>200743</v>
          </cell>
          <cell r="K94">
            <v>716842</v>
          </cell>
          <cell r="L94">
            <v>419027</v>
          </cell>
          <cell r="M94">
            <v>89577</v>
          </cell>
          <cell r="N94">
            <v>204750</v>
          </cell>
          <cell r="O94">
            <v>1883274</v>
          </cell>
          <cell r="P94">
            <v>658264</v>
          </cell>
          <cell r="Q94">
            <v>416375</v>
          </cell>
          <cell r="R94">
            <v>354361</v>
          </cell>
          <cell r="S94">
            <v>0</v>
          </cell>
          <cell r="T94">
            <v>3853596</v>
          </cell>
          <cell r="U94">
            <v>8170</v>
          </cell>
          <cell r="V94">
            <v>65645</v>
          </cell>
          <cell r="W94">
            <v>41120</v>
          </cell>
          <cell r="X94">
            <v>10130</v>
          </cell>
          <cell r="Y94">
            <v>0</v>
          </cell>
          <cell r="Z94">
            <v>0</v>
          </cell>
          <cell r="AA94">
            <v>0</v>
          </cell>
          <cell r="AB94">
            <v>0</v>
          </cell>
          <cell r="AC94">
            <v>0</v>
          </cell>
          <cell r="AD94">
            <v>142655</v>
          </cell>
          <cell r="AE94">
            <v>35080</v>
          </cell>
          <cell r="AF94">
            <v>362670</v>
          </cell>
          <cell r="AG94">
            <v>0</v>
          </cell>
          <cell r="AH94">
            <v>25001</v>
          </cell>
          <cell r="AI94">
            <v>86050</v>
          </cell>
          <cell r="AJ94">
            <v>2654463</v>
          </cell>
          <cell r="AK94">
            <v>0</v>
          </cell>
          <cell r="AL94">
            <v>0</v>
          </cell>
          <cell r="AM94">
            <v>0</v>
          </cell>
          <cell r="AN94">
            <v>192264</v>
          </cell>
          <cell r="AO94">
            <v>319199</v>
          </cell>
          <cell r="AP94">
            <v>0</v>
          </cell>
          <cell r="AQ94">
            <v>94063878</v>
          </cell>
          <cell r="AR94">
            <v>2172045</v>
          </cell>
          <cell r="AS94">
            <v>373980</v>
          </cell>
          <cell r="AT94">
            <v>15750</v>
          </cell>
          <cell r="AU94">
            <v>0</v>
          </cell>
          <cell r="AV94">
            <v>0</v>
          </cell>
          <cell r="AW94">
            <v>69596</v>
          </cell>
          <cell r="AX94">
            <v>37015</v>
          </cell>
          <cell r="AY94">
            <v>2668386</v>
          </cell>
          <cell r="AZ94">
            <v>527130</v>
          </cell>
          <cell r="BA94">
            <v>226800</v>
          </cell>
          <cell r="BB94">
            <v>59221</v>
          </cell>
          <cell r="BC94">
            <v>15000</v>
          </cell>
          <cell r="BD94">
            <v>828151</v>
          </cell>
          <cell r="BE94">
            <v>550081</v>
          </cell>
          <cell r="BF94">
            <v>53585</v>
          </cell>
          <cell r="BG94">
            <v>0</v>
          </cell>
          <cell r="BH94">
            <v>56890</v>
          </cell>
          <cell r="BI94">
            <v>63691</v>
          </cell>
          <cell r="BJ94">
            <v>14591</v>
          </cell>
          <cell r="BK94">
            <v>738838</v>
          </cell>
          <cell r="BL94">
            <v>787215</v>
          </cell>
          <cell r="BM94">
            <v>147032</v>
          </cell>
          <cell r="BN94">
            <v>344500</v>
          </cell>
          <cell r="BO94">
            <v>480920</v>
          </cell>
          <cell r="BP94">
            <v>374780</v>
          </cell>
          <cell r="BQ94">
            <v>6953</v>
          </cell>
          <cell r="BR94">
            <v>4240586</v>
          </cell>
          <cell r="BS94">
            <v>134728</v>
          </cell>
          <cell r="BT94">
            <v>101876</v>
          </cell>
          <cell r="BU94">
            <v>172648</v>
          </cell>
          <cell r="BV94">
            <v>37062</v>
          </cell>
          <cell r="BW94">
            <v>1045080</v>
          </cell>
          <cell r="BX94">
            <v>1321487</v>
          </cell>
          <cell r="BY94">
            <v>0</v>
          </cell>
          <cell r="BZ94">
            <v>73520</v>
          </cell>
          <cell r="CA94">
            <v>0</v>
          </cell>
          <cell r="CB94">
            <v>9263176</v>
          </cell>
          <cell r="CC94">
            <v>1803040</v>
          </cell>
          <cell r="CD94">
            <v>1690727</v>
          </cell>
          <cell r="CE94">
            <v>231900</v>
          </cell>
          <cell r="CF94">
            <v>0</v>
          </cell>
          <cell r="CG94">
            <v>7910</v>
          </cell>
          <cell r="CH94">
            <v>0</v>
          </cell>
          <cell r="CI94">
            <v>3733577</v>
          </cell>
          <cell r="CJ94">
            <v>12996753</v>
          </cell>
          <cell r="CK94">
            <v>107060631</v>
          </cell>
          <cell r="CM94">
            <v>4323056</v>
          </cell>
          <cell r="CN94">
            <v>246513</v>
          </cell>
          <cell r="CO94">
            <v>84736</v>
          </cell>
          <cell r="CP94">
            <v>64797</v>
          </cell>
          <cell r="CQ94">
            <v>48647</v>
          </cell>
          <cell r="CR94">
            <v>1332</v>
          </cell>
          <cell r="CS94">
            <v>92345</v>
          </cell>
          <cell r="CT94">
            <v>0</v>
          </cell>
          <cell r="CV94">
            <v>0</v>
          </cell>
          <cell r="CW94">
            <v>11422000</v>
          </cell>
          <cell r="CX94">
            <v>1433669</v>
          </cell>
          <cell r="CY94">
            <v>488237</v>
          </cell>
        </row>
        <row r="95">
          <cell r="A95">
            <v>820</v>
          </cell>
          <cell r="B95">
            <v>189421133</v>
          </cell>
          <cell r="C95">
            <v>9074231</v>
          </cell>
          <cell r="D95">
            <v>12114205</v>
          </cell>
          <cell r="E95">
            <v>894418</v>
          </cell>
          <cell r="F95">
            <v>6877246</v>
          </cell>
          <cell r="G95">
            <v>0</v>
          </cell>
          <cell r="H95">
            <v>500000</v>
          </cell>
          <cell r="I95">
            <v>1866758</v>
          </cell>
          <cell r="J95">
            <v>1021676</v>
          </cell>
          <cell r="K95">
            <v>1081256</v>
          </cell>
          <cell r="L95">
            <v>109481</v>
          </cell>
          <cell r="M95">
            <v>264352</v>
          </cell>
          <cell r="N95">
            <v>1098722</v>
          </cell>
          <cell r="O95">
            <v>2439142</v>
          </cell>
          <cell r="P95">
            <v>1144034</v>
          </cell>
          <cell r="Q95">
            <v>148305</v>
          </cell>
          <cell r="R95">
            <v>2714978</v>
          </cell>
          <cell r="S95">
            <v>64410</v>
          </cell>
          <cell r="T95">
            <v>6465467</v>
          </cell>
          <cell r="U95">
            <v>47744</v>
          </cell>
          <cell r="V95">
            <v>26658</v>
          </cell>
          <cell r="W95">
            <v>15915</v>
          </cell>
          <cell r="X95">
            <v>0</v>
          </cell>
          <cell r="Y95">
            <v>0</v>
          </cell>
          <cell r="Z95">
            <v>0</v>
          </cell>
          <cell r="AA95">
            <v>266929</v>
          </cell>
          <cell r="AB95">
            <v>0</v>
          </cell>
          <cell r="AC95">
            <v>0</v>
          </cell>
          <cell r="AD95">
            <v>298361</v>
          </cell>
          <cell r="AE95">
            <v>0</v>
          </cell>
          <cell r="AF95">
            <v>117812</v>
          </cell>
          <cell r="AG95">
            <v>59548</v>
          </cell>
          <cell r="AH95">
            <v>10424</v>
          </cell>
          <cell r="AI95">
            <v>151163</v>
          </cell>
          <cell r="AJ95">
            <v>1227458</v>
          </cell>
          <cell r="AK95">
            <v>0</v>
          </cell>
          <cell r="AL95">
            <v>0</v>
          </cell>
          <cell r="AM95">
            <v>0</v>
          </cell>
          <cell r="AN95">
            <v>0</v>
          </cell>
          <cell r="AO95">
            <v>2795732</v>
          </cell>
          <cell r="AP95">
            <v>0</v>
          </cell>
          <cell r="AQ95">
            <v>242317558</v>
          </cell>
          <cell r="AR95">
            <v>3540896</v>
          </cell>
          <cell r="AS95">
            <v>722908</v>
          </cell>
          <cell r="AT95">
            <v>977240</v>
          </cell>
          <cell r="AU95">
            <v>322146</v>
          </cell>
          <cell r="AV95">
            <v>0</v>
          </cell>
          <cell r="AW95">
            <v>0</v>
          </cell>
          <cell r="AX95">
            <v>38349</v>
          </cell>
          <cell r="AY95">
            <v>5601539</v>
          </cell>
          <cell r="AZ95">
            <v>2766205</v>
          </cell>
          <cell r="BA95">
            <v>0</v>
          </cell>
          <cell r="BB95">
            <v>402574</v>
          </cell>
          <cell r="BC95">
            <v>0</v>
          </cell>
          <cell r="BD95">
            <v>3168779</v>
          </cell>
          <cell r="BE95">
            <v>839694</v>
          </cell>
          <cell r="BF95">
            <v>790169</v>
          </cell>
          <cell r="BG95">
            <v>84567</v>
          </cell>
          <cell r="BH95">
            <v>46247</v>
          </cell>
          <cell r="BI95">
            <v>0</v>
          </cell>
          <cell r="BJ95">
            <v>437364</v>
          </cell>
          <cell r="BK95">
            <v>2198041</v>
          </cell>
          <cell r="BL95">
            <v>2787047</v>
          </cell>
          <cell r="BM95">
            <v>1670343</v>
          </cell>
          <cell r="BN95">
            <v>762166</v>
          </cell>
          <cell r="BO95">
            <v>1813108</v>
          </cell>
          <cell r="BP95">
            <v>138317</v>
          </cell>
          <cell r="BQ95">
            <v>537507</v>
          </cell>
          <cell r="BR95">
            <v>17489703</v>
          </cell>
          <cell r="BS95">
            <v>117228</v>
          </cell>
          <cell r="BT95">
            <v>154237</v>
          </cell>
          <cell r="BU95">
            <v>0</v>
          </cell>
          <cell r="BV95">
            <v>17411</v>
          </cell>
          <cell r="BW95">
            <v>3890163</v>
          </cell>
          <cell r="BX95">
            <v>7358669</v>
          </cell>
          <cell r="BY95">
            <v>388284</v>
          </cell>
          <cell r="BZ95">
            <v>642270</v>
          </cell>
          <cell r="CA95">
            <v>0</v>
          </cell>
          <cell r="CB95">
            <v>31245109</v>
          </cell>
          <cell r="CC95">
            <v>1984427</v>
          </cell>
          <cell r="CD95">
            <v>2644391</v>
          </cell>
          <cell r="CE95">
            <v>11044</v>
          </cell>
          <cell r="CF95">
            <v>63108</v>
          </cell>
          <cell r="CG95">
            <v>4977</v>
          </cell>
          <cell r="CH95">
            <v>0</v>
          </cell>
          <cell r="CI95">
            <v>4707947</v>
          </cell>
          <cell r="CJ95">
            <v>35953056</v>
          </cell>
          <cell r="CK95">
            <v>278270614</v>
          </cell>
          <cell r="CM95">
            <v>20398475</v>
          </cell>
          <cell r="CN95">
            <v>1023146</v>
          </cell>
          <cell r="CO95">
            <v>150937</v>
          </cell>
          <cell r="CP95">
            <v>459670</v>
          </cell>
          <cell r="CQ95">
            <v>0</v>
          </cell>
          <cell r="CR95">
            <v>0</v>
          </cell>
          <cell r="CS95">
            <v>0</v>
          </cell>
          <cell r="CT95">
            <v>0</v>
          </cell>
          <cell r="CV95">
            <v>0</v>
          </cell>
          <cell r="CW95">
            <v>11864000</v>
          </cell>
          <cell r="CX95">
            <v>5620088</v>
          </cell>
          <cell r="CY95">
            <v>0</v>
          </cell>
        </row>
        <row r="96">
          <cell r="A96">
            <v>821</v>
          </cell>
          <cell r="B96">
            <v>101456000</v>
          </cell>
          <cell r="C96">
            <v>3410285</v>
          </cell>
          <cell r="D96">
            <v>9441629</v>
          </cell>
          <cell r="E96">
            <v>2551994</v>
          </cell>
          <cell r="F96">
            <v>2941208</v>
          </cell>
          <cell r="G96">
            <v>0</v>
          </cell>
          <cell r="H96">
            <v>0</v>
          </cell>
          <cell r="I96">
            <v>596254</v>
          </cell>
          <cell r="J96">
            <v>448593</v>
          </cell>
          <cell r="K96">
            <v>0</v>
          </cell>
          <cell r="L96">
            <v>0</v>
          </cell>
          <cell r="M96">
            <v>223540</v>
          </cell>
          <cell r="N96">
            <v>1334736</v>
          </cell>
          <cell r="O96">
            <v>1982180</v>
          </cell>
          <cell r="P96">
            <v>1085845</v>
          </cell>
          <cell r="Q96">
            <v>213061</v>
          </cell>
          <cell r="R96">
            <v>881418</v>
          </cell>
          <cell r="S96">
            <v>0</v>
          </cell>
          <cell r="T96">
            <v>3693326</v>
          </cell>
          <cell r="U96">
            <v>5338867</v>
          </cell>
          <cell r="V96">
            <v>78891</v>
          </cell>
          <cell r="W96">
            <v>0</v>
          </cell>
          <cell r="X96">
            <v>0</v>
          </cell>
          <cell r="Y96">
            <v>0</v>
          </cell>
          <cell r="Z96">
            <v>39600</v>
          </cell>
          <cell r="AA96">
            <v>0</v>
          </cell>
          <cell r="AB96">
            <v>81897</v>
          </cell>
          <cell r="AC96">
            <v>0</v>
          </cell>
          <cell r="AD96">
            <v>289162</v>
          </cell>
          <cell r="AE96">
            <v>0</v>
          </cell>
          <cell r="AF96">
            <v>89166</v>
          </cell>
          <cell r="AG96">
            <v>71419</v>
          </cell>
          <cell r="AH96">
            <v>2046</v>
          </cell>
          <cell r="AI96">
            <v>349638</v>
          </cell>
          <cell r="AJ96">
            <v>1874839</v>
          </cell>
          <cell r="AK96">
            <v>0</v>
          </cell>
          <cell r="AL96">
            <v>406193</v>
          </cell>
          <cell r="AM96">
            <v>0</v>
          </cell>
          <cell r="AN96">
            <v>0</v>
          </cell>
          <cell r="AO96">
            <v>515423</v>
          </cell>
          <cell r="AP96">
            <v>0</v>
          </cell>
          <cell r="AQ96">
            <v>139397210</v>
          </cell>
          <cell r="AR96">
            <v>2184721</v>
          </cell>
          <cell r="AS96">
            <v>124035</v>
          </cell>
          <cell r="AT96">
            <v>898854</v>
          </cell>
          <cell r="AU96">
            <v>83554</v>
          </cell>
          <cell r="AV96">
            <v>0</v>
          </cell>
          <cell r="AW96">
            <v>0</v>
          </cell>
          <cell r="AX96">
            <v>119194</v>
          </cell>
          <cell r="AY96">
            <v>3410358</v>
          </cell>
          <cell r="AZ96">
            <v>1656744</v>
          </cell>
          <cell r="BA96">
            <v>3687124</v>
          </cell>
          <cell r="BB96">
            <v>0</v>
          </cell>
          <cell r="BC96">
            <v>0</v>
          </cell>
          <cell r="BD96">
            <v>5343868</v>
          </cell>
          <cell r="BE96">
            <v>614810</v>
          </cell>
          <cell r="BF96">
            <v>210970</v>
          </cell>
          <cell r="BG96">
            <v>87575</v>
          </cell>
          <cell r="BH96">
            <v>0</v>
          </cell>
          <cell r="BI96">
            <v>128758</v>
          </cell>
          <cell r="BJ96">
            <v>0</v>
          </cell>
          <cell r="BK96">
            <v>1042113</v>
          </cell>
          <cell r="BL96">
            <v>1885957</v>
          </cell>
          <cell r="BM96">
            <v>833306</v>
          </cell>
          <cell r="BN96">
            <v>772562</v>
          </cell>
          <cell r="BO96">
            <v>272788</v>
          </cell>
          <cell r="BP96">
            <v>0</v>
          </cell>
          <cell r="BQ96">
            <v>321803</v>
          </cell>
          <cell r="BR96">
            <v>5799970</v>
          </cell>
          <cell r="BS96">
            <v>74785</v>
          </cell>
          <cell r="BT96">
            <v>190476</v>
          </cell>
          <cell r="BU96">
            <v>20877</v>
          </cell>
          <cell r="BV96">
            <v>280067</v>
          </cell>
          <cell r="BW96">
            <v>2210064</v>
          </cell>
          <cell r="BX96">
            <v>483131</v>
          </cell>
          <cell r="BY96">
            <v>0</v>
          </cell>
          <cell r="BZ96">
            <v>340111</v>
          </cell>
          <cell r="CA96">
            <v>0</v>
          </cell>
          <cell r="CB96">
            <v>17482266</v>
          </cell>
          <cell r="CC96">
            <v>2061967</v>
          </cell>
          <cell r="CD96">
            <v>3113541</v>
          </cell>
          <cell r="CE96">
            <v>39285</v>
          </cell>
          <cell r="CF96">
            <v>239852</v>
          </cell>
          <cell r="CG96">
            <v>15592</v>
          </cell>
          <cell r="CH96">
            <v>0</v>
          </cell>
          <cell r="CI96">
            <v>5470237</v>
          </cell>
          <cell r="CJ96">
            <v>22952503</v>
          </cell>
          <cell r="CK96">
            <v>162349713</v>
          </cell>
          <cell r="CM96">
            <v>774332</v>
          </cell>
          <cell r="CN96">
            <v>180000</v>
          </cell>
          <cell r="CO96">
            <v>0</v>
          </cell>
          <cell r="CP96">
            <v>0</v>
          </cell>
          <cell r="CQ96">
            <v>0</v>
          </cell>
          <cell r="CR96">
            <v>0</v>
          </cell>
          <cell r="CS96">
            <v>204668</v>
          </cell>
          <cell r="CT96">
            <v>0</v>
          </cell>
          <cell r="CV96">
            <v>0</v>
          </cell>
          <cell r="CW96">
            <v>13894575</v>
          </cell>
          <cell r="CX96">
            <v>1806967</v>
          </cell>
          <cell r="CY96">
            <v>419551</v>
          </cell>
        </row>
        <row r="97">
          <cell r="A97">
            <v>825</v>
          </cell>
          <cell r="B97">
            <v>221458809</v>
          </cell>
          <cell r="C97">
            <v>8977500</v>
          </cell>
          <cell r="D97">
            <v>18542548</v>
          </cell>
          <cell r="E97">
            <v>733325</v>
          </cell>
          <cell r="F97">
            <v>7204283</v>
          </cell>
          <cell r="G97">
            <v>1403000</v>
          </cell>
          <cell r="H97">
            <v>881000</v>
          </cell>
          <cell r="I97">
            <v>6397377</v>
          </cell>
          <cell r="J97">
            <v>86023</v>
          </cell>
          <cell r="K97">
            <v>228945</v>
          </cell>
          <cell r="L97">
            <v>0</v>
          </cell>
          <cell r="M97">
            <v>254508</v>
          </cell>
          <cell r="N97">
            <v>1729284</v>
          </cell>
          <cell r="O97">
            <v>10148634</v>
          </cell>
          <cell r="P97">
            <v>1996155</v>
          </cell>
          <cell r="Q97">
            <v>296628</v>
          </cell>
          <cell r="R97">
            <v>427881</v>
          </cell>
          <cell r="S97">
            <v>0</v>
          </cell>
          <cell r="T97">
            <v>8369032</v>
          </cell>
          <cell r="U97">
            <v>0</v>
          </cell>
          <cell r="V97">
            <v>0</v>
          </cell>
          <cell r="W97">
            <v>0</v>
          </cell>
          <cell r="X97">
            <v>0</v>
          </cell>
          <cell r="Y97">
            <v>0</v>
          </cell>
          <cell r="Z97">
            <v>0</v>
          </cell>
          <cell r="AA97">
            <v>0</v>
          </cell>
          <cell r="AB97">
            <v>0</v>
          </cell>
          <cell r="AC97">
            <v>0</v>
          </cell>
          <cell r="AD97">
            <v>1871249</v>
          </cell>
          <cell r="AE97">
            <v>179650</v>
          </cell>
          <cell r="AF97">
            <v>325155</v>
          </cell>
          <cell r="AG97">
            <v>96462</v>
          </cell>
          <cell r="AH97">
            <v>58000</v>
          </cell>
          <cell r="AI97">
            <v>93702</v>
          </cell>
          <cell r="AJ97">
            <v>3416916</v>
          </cell>
          <cell r="AK97">
            <v>0</v>
          </cell>
          <cell r="AL97">
            <v>0</v>
          </cell>
          <cell r="AM97">
            <v>0</v>
          </cell>
          <cell r="AN97">
            <v>193000</v>
          </cell>
          <cell r="AO97">
            <v>4159751</v>
          </cell>
          <cell r="AP97">
            <v>0</v>
          </cell>
          <cell r="AQ97">
            <v>299528817</v>
          </cell>
          <cell r="AR97">
            <v>3446134</v>
          </cell>
          <cell r="AS97">
            <v>1526009</v>
          </cell>
          <cell r="AT97">
            <v>1692348</v>
          </cell>
          <cell r="AU97">
            <v>445215</v>
          </cell>
          <cell r="AV97">
            <v>0</v>
          </cell>
          <cell r="AW97">
            <v>45311</v>
          </cell>
          <cell r="AX97">
            <v>0</v>
          </cell>
          <cell r="AY97">
            <v>7155017</v>
          </cell>
          <cell r="AZ97">
            <v>895020</v>
          </cell>
          <cell r="BA97">
            <v>0</v>
          </cell>
          <cell r="BB97">
            <v>67000</v>
          </cell>
          <cell r="BC97">
            <v>0</v>
          </cell>
          <cell r="BD97">
            <v>962020</v>
          </cell>
          <cell r="BE97">
            <v>1532390</v>
          </cell>
          <cell r="BF97">
            <v>1289787</v>
          </cell>
          <cell r="BG97">
            <v>19887</v>
          </cell>
          <cell r="BH97">
            <v>0</v>
          </cell>
          <cell r="BI97">
            <v>122950</v>
          </cell>
          <cell r="BJ97">
            <v>136305</v>
          </cell>
          <cell r="BK97">
            <v>3101319</v>
          </cell>
          <cell r="BL97">
            <v>3479907</v>
          </cell>
          <cell r="BM97">
            <v>461548</v>
          </cell>
          <cell r="BN97">
            <v>852020</v>
          </cell>
          <cell r="BO97">
            <v>1431780</v>
          </cell>
          <cell r="BP97">
            <v>0</v>
          </cell>
          <cell r="BQ97">
            <v>0</v>
          </cell>
          <cell r="BR97">
            <v>22875794</v>
          </cell>
          <cell r="BS97">
            <v>730729</v>
          </cell>
          <cell r="BT97">
            <v>0</v>
          </cell>
          <cell r="BU97">
            <v>0</v>
          </cell>
          <cell r="BV97">
            <v>0</v>
          </cell>
          <cell r="BW97">
            <v>7354465</v>
          </cell>
          <cell r="BX97">
            <v>11542104</v>
          </cell>
          <cell r="BY97">
            <v>380902</v>
          </cell>
          <cell r="BZ97">
            <v>122246</v>
          </cell>
          <cell r="CA97">
            <v>0</v>
          </cell>
          <cell r="CB97">
            <v>37574057</v>
          </cell>
          <cell r="CC97">
            <v>4153000</v>
          </cell>
          <cell r="CD97">
            <v>8500000</v>
          </cell>
          <cell r="CE97">
            <v>0</v>
          </cell>
          <cell r="CF97">
            <v>600000</v>
          </cell>
          <cell r="CG97">
            <v>0</v>
          </cell>
          <cell r="CH97">
            <v>64000</v>
          </cell>
          <cell r="CI97">
            <v>13317000</v>
          </cell>
          <cell r="CJ97">
            <v>50891057</v>
          </cell>
          <cell r="CK97">
            <v>350419874</v>
          </cell>
          <cell r="CM97">
            <v>28875363</v>
          </cell>
          <cell r="CN97">
            <v>1189939</v>
          </cell>
          <cell r="CO97">
            <v>0</v>
          </cell>
          <cell r="CP97">
            <v>0</v>
          </cell>
          <cell r="CQ97">
            <v>0</v>
          </cell>
          <cell r="CR97">
            <v>0</v>
          </cell>
          <cell r="CS97">
            <v>1165764</v>
          </cell>
          <cell r="CT97">
            <v>0</v>
          </cell>
          <cell r="CV97">
            <v>0</v>
          </cell>
          <cell r="CW97">
            <v>6709518</v>
          </cell>
          <cell r="CX97">
            <v>4505608</v>
          </cell>
          <cell r="CY97">
            <v>2997533</v>
          </cell>
        </row>
        <row r="98">
          <cell r="A98">
            <v>826</v>
          </cell>
          <cell r="B98">
            <v>115395541</v>
          </cell>
          <cell r="C98">
            <v>4392255</v>
          </cell>
          <cell r="D98">
            <v>8113991</v>
          </cell>
          <cell r="E98">
            <v>1084184</v>
          </cell>
          <cell r="F98">
            <v>3167550</v>
          </cell>
          <cell r="G98">
            <v>315000</v>
          </cell>
          <cell r="H98">
            <v>0</v>
          </cell>
          <cell r="I98">
            <v>774994</v>
          </cell>
          <cell r="J98">
            <v>350180</v>
          </cell>
          <cell r="K98">
            <v>0</v>
          </cell>
          <cell r="L98">
            <v>145313</v>
          </cell>
          <cell r="M98">
            <v>260826</v>
          </cell>
          <cell r="N98">
            <v>789268</v>
          </cell>
          <cell r="O98">
            <v>2231232</v>
          </cell>
          <cell r="P98">
            <v>775378</v>
          </cell>
          <cell r="Q98">
            <v>1122608</v>
          </cell>
          <cell r="R98">
            <v>521834</v>
          </cell>
          <cell r="S98">
            <v>0</v>
          </cell>
          <cell r="T98">
            <v>12553555</v>
          </cell>
          <cell r="U98">
            <v>29040</v>
          </cell>
          <cell r="V98">
            <v>0</v>
          </cell>
          <cell r="W98">
            <v>0</v>
          </cell>
          <cell r="X98">
            <v>5410</v>
          </cell>
          <cell r="Y98">
            <v>0</v>
          </cell>
          <cell r="Z98">
            <v>0</v>
          </cell>
          <cell r="AA98">
            <v>0</v>
          </cell>
          <cell r="AB98">
            <v>0</v>
          </cell>
          <cell r="AC98">
            <v>271640</v>
          </cell>
          <cell r="AD98">
            <v>233320</v>
          </cell>
          <cell r="AE98">
            <v>192691</v>
          </cell>
          <cell r="AF98">
            <v>255680</v>
          </cell>
          <cell r="AG98">
            <v>349921</v>
          </cell>
          <cell r="AH98">
            <v>5560</v>
          </cell>
          <cell r="AI98">
            <v>70320</v>
          </cell>
          <cell r="AJ98">
            <v>2028652</v>
          </cell>
          <cell r="AK98">
            <v>0</v>
          </cell>
          <cell r="AL98">
            <v>153166</v>
          </cell>
          <cell r="AM98">
            <v>0</v>
          </cell>
          <cell r="AN98">
            <v>98710</v>
          </cell>
          <cell r="AO98">
            <v>982844</v>
          </cell>
          <cell r="AP98">
            <v>0</v>
          </cell>
          <cell r="AQ98">
            <v>156670663</v>
          </cell>
          <cell r="AR98">
            <v>2493003</v>
          </cell>
          <cell r="AS98">
            <v>273023</v>
          </cell>
          <cell r="AT98">
            <v>189728</v>
          </cell>
          <cell r="AU98">
            <v>0</v>
          </cell>
          <cell r="AV98">
            <v>0</v>
          </cell>
          <cell r="AW98">
            <v>455000</v>
          </cell>
          <cell r="AX98">
            <v>0</v>
          </cell>
          <cell r="AY98">
            <v>3410754</v>
          </cell>
          <cell r="AZ98">
            <v>977312</v>
          </cell>
          <cell r="BA98">
            <v>0</v>
          </cell>
          <cell r="BB98">
            <v>33000</v>
          </cell>
          <cell r="BC98">
            <v>0</v>
          </cell>
          <cell r="BD98">
            <v>1010312</v>
          </cell>
          <cell r="BE98">
            <v>708708</v>
          </cell>
          <cell r="BF98">
            <v>582800</v>
          </cell>
          <cell r="BG98">
            <v>9003</v>
          </cell>
          <cell r="BH98">
            <v>0</v>
          </cell>
          <cell r="BI98">
            <v>101850</v>
          </cell>
          <cell r="BJ98">
            <v>153446</v>
          </cell>
          <cell r="BK98">
            <v>1555807</v>
          </cell>
          <cell r="BL98">
            <v>1720232</v>
          </cell>
          <cell r="BM98">
            <v>625100</v>
          </cell>
          <cell r="BN98">
            <v>560240</v>
          </cell>
          <cell r="BO98">
            <v>1597120</v>
          </cell>
          <cell r="BP98">
            <v>0</v>
          </cell>
          <cell r="BQ98">
            <v>94608</v>
          </cell>
          <cell r="BR98">
            <v>7370466</v>
          </cell>
          <cell r="BS98">
            <v>936621</v>
          </cell>
          <cell r="BT98">
            <v>79630</v>
          </cell>
          <cell r="BU98">
            <v>13505</v>
          </cell>
          <cell r="BV98">
            <v>6810</v>
          </cell>
          <cell r="BW98">
            <v>1634771</v>
          </cell>
          <cell r="BX98">
            <v>1719541</v>
          </cell>
          <cell r="BY98">
            <v>34173</v>
          </cell>
          <cell r="BZ98">
            <v>68347</v>
          </cell>
          <cell r="CA98">
            <v>0</v>
          </cell>
          <cell r="CB98">
            <v>15067571</v>
          </cell>
          <cell r="CC98">
            <v>2272070</v>
          </cell>
          <cell r="CD98">
            <v>2440182</v>
          </cell>
          <cell r="CE98">
            <v>272381</v>
          </cell>
          <cell r="CF98">
            <v>5559</v>
          </cell>
          <cell r="CG98">
            <v>18700</v>
          </cell>
          <cell r="CH98">
            <v>0</v>
          </cell>
          <cell r="CI98">
            <v>5008892</v>
          </cell>
          <cell r="CJ98">
            <v>20076463</v>
          </cell>
          <cell r="CK98">
            <v>176747126</v>
          </cell>
          <cell r="CM98">
            <v>11027672</v>
          </cell>
          <cell r="CN98">
            <v>567438</v>
          </cell>
          <cell r="CO98">
            <v>0</v>
          </cell>
          <cell r="CP98">
            <v>0</v>
          </cell>
          <cell r="CQ98">
            <v>0</v>
          </cell>
          <cell r="CR98">
            <v>0</v>
          </cell>
          <cell r="CS98">
            <v>511864</v>
          </cell>
          <cell r="CT98">
            <v>0</v>
          </cell>
          <cell r="CV98">
            <v>0</v>
          </cell>
          <cell r="CW98">
            <v>5245711</v>
          </cell>
          <cell r="CX98">
            <v>2084557</v>
          </cell>
          <cell r="CY98">
            <v>767235</v>
          </cell>
        </row>
        <row r="99">
          <cell r="A99">
            <v>830</v>
          </cell>
          <cell r="B99">
            <v>329539224</v>
          </cell>
          <cell r="C99">
            <v>13837519</v>
          </cell>
          <cell r="D99">
            <v>29964608</v>
          </cell>
          <cell r="E99">
            <v>1978630</v>
          </cell>
          <cell r="F99">
            <v>13570517</v>
          </cell>
          <cell r="G99">
            <v>0</v>
          </cell>
          <cell r="H99">
            <v>0</v>
          </cell>
          <cell r="I99">
            <v>4958893</v>
          </cell>
          <cell r="J99">
            <v>1163937</v>
          </cell>
          <cell r="K99">
            <v>135282</v>
          </cell>
          <cell r="L99">
            <v>33273</v>
          </cell>
          <cell r="M99">
            <v>0</v>
          </cell>
          <cell r="N99">
            <v>1867172</v>
          </cell>
          <cell r="O99">
            <v>4471603</v>
          </cell>
          <cell r="P99">
            <v>2113609</v>
          </cell>
          <cell r="Q99">
            <v>3717365</v>
          </cell>
          <cell r="R99">
            <v>2155112</v>
          </cell>
          <cell r="S99">
            <v>58220</v>
          </cell>
          <cell r="T99">
            <v>8135407</v>
          </cell>
          <cell r="U99">
            <v>0</v>
          </cell>
          <cell r="V99">
            <v>92614</v>
          </cell>
          <cell r="W99">
            <v>319608</v>
          </cell>
          <cell r="X99">
            <v>0</v>
          </cell>
          <cell r="Y99">
            <v>0</v>
          </cell>
          <cell r="Z99">
            <v>2300710</v>
          </cell>
          <cell r="AA99">
            <v>0</v>
          </cell>
          <cell r="AB99">
            <v>82220</v>
          </cell>
          <cell r="AC99">
            <v>56888</v>
          </cell>
          <cell r="AD99">
            <v>296348</v>
          </cell>
          <cell r="AE99">
            <v>167334</v>
          </cell>
          <cell r="AF99">
            <v>448227</v>
          </cell>
          <cell r="AG99">
            <v>403951</v>
          </cell>
          <cell r="AH99">
            <v>0</v>
          </cell>
          <cell r="AI99">
            <v>1270176</v>
          </cell>
          <cell r="AJ99">
            <v>4282855</v>
          </cell>
          <cell r="AK99">
            <v>489204</v>
          </cell>
          <cell r="AL99">
            <v>32000</v>
          </cell>
          <cell r="AM99">
            <v>0</v>
          </cell>
          <cell r="AN99">
            <v>550691</v>
          </cell>
          <cell r="AO99">
            <v>15231671</v>
          </cell>
          <cell r="AP99">
            <v>0</v>
          </cell>
          <cell r="AQ99">
            <v>443724868</v>
          </cell>
          <cell r="AR99">
            <v>8334881</v>
          </cell>
          <cell r="AS99">
            <v>418866</v>
          </cell>
          <cell r="AT99">
            <v>3855816</v>
          </cell>
          <cell r="AU99">
            <v>680842</v>
          </cell>
          <cell r="AV99">
            <v>405749</v>
          </cell>
          <cell r="AW99">
            <v>94494</v>
          </cell>
          <cell r="AX99">
            <v>40220</v>
          </cell>
          <cell r="AY99">
            <v>13830868</v>
          </cell>
          <cell r="AZ99">
            <v>4006011</v>
          </cell>
          <cell r="BA99">
            <v>0</v>
          </cell>
          <cell r="BB99">
            <v>35392</v>
          </cell>
          <cell r="BC99">
            <v>0</v>
          </cell>
          <cell r="BD99">
            <v>4041403</v>
          </cell>
          <cell r="BE99">
            <v>1917079</v>
          </cell>
          <cell r="BF99">
            <v>1225841</v>
          </cell>
          <cell r="BG99">
            <v>258924</v>
          </cell>
          <cell r="BH99">
            <v>78779</v>
          </cell>
          <cell r="BI99">
            <v>247079</v>
          </cell>
          <cell r="BJ99">
            <v>335836</v>
          </cell>
          <cell r="BK99">
            <v>4063538</v>
          </cell>
          <cell r="BL99">
            <v>4167969</v>
          </cell>
          <cell r="BM99">
            <v>2053953</v>
          </cell>
          <cell r="BN99">
            <v>1467350</v>
          </cell>
          <cell r="BO99">
            <v>77346</v>
          </cell>
          <cell r="BP99">
            <v>42313</v>
          </cell>
          <cell r="BQ99">
            <v>1826432</v>
          </cell>
          <cell r="BR99">
            <v>17519600</v>
          </cell>
          <cell r="BS99">
            <v>430632</v>
          </cell>
          <cell r="BT99">
            <v>196296</v>
          </cell>
          <cell r="BU99">
            <v>202056</v>
          </cell>
          <cell r="BV99">
            <v>109555</v>
          </cell>
          <cell r="BW99">
            <v>5101178</v>
          </cell>
          <cell r="BX99">
            <v>5694423</v>
          </cell>
          <cell r="BY99">
            <v>318066</v>
          </cell>
          <cell r="BZ99">
            <v>0</v>
          </cell>
          <cell r="CA99">
            <v>1014737</v>
          </cell>
          <cell r="CB99">
            <v>44638115</v>
          </cell>
          <cell r="CC99">
            <v>5980520</v>
          </cell>
          <cell r="CD99">
            <v>12905434</v>
          </cell>
          <cell r="CE99">
            <v>62315</v>
          </cell>
          <cell r="CF99">
            <v>366139</v>
          </cell>
          <cell r="CG99">
            <v>100624</v>
          </cell>
          <cell r="CH99">
            <v>469884</v>
          </cell>
          <cell r="CI99">
            <v>19884916</v>
          </cell>
          <cell r="CJ99">
            <v>64523031</v>
          </cell>
          <cell r="CK99">
            <v>508247899</v>
          </cell>
          <cell r="CM99">
            <v>22981297</v>
          </cell>
          <cell r="CN99">
            <v>1048775</v>
          </cell>
          <cell r="CO99">
            <v>76740</v>
          </cell>
          <cell r="CP99">
            <v>0</v>
          </cell>
          <cell r="CQ99">
            <v>0</v>
          </cell>
          <cell r="CR99">
            <v>0</v>
          </cell>
          <cell r="CS99">
            <v>362991</v>
          </cell>
          <cell r="CT99">
            <v>0</v>
          </cell>
          <cell r="CV99">
            <v>0</v>
          </cell>
          <cell r="CW99">
            <v>43555000</v>
          </cell>
          <cell r="CX99">
            <v>10155841</v>
          </cell>
          <cell r="CY99">
            <v>147588</v>
          </cell>
        </row>
        <row r="100">
          <cell r="A100">
            <v>831</v>
          </cell>
          <cell r="B100">
            <v>114520773</v>
          </cell>
          <cell r="C100">
            <v>4141729</v>
          </cell>
          <cell r="D100">
            <v>12011117</v>
          </cell>
          <cell r="E100">
            <v>2377500</v>
          </cell>
          <cell r="F100">
            <v>4195294</v>
          </cell>
          <cell r="G100">
            <v>0</v>
          </cell>
          <cell r="H100">
            <v>100000</v>
          </cell>
          <cell r="I100">
            <v>46015</v>
          </cell>
          <cell r="J100">
            <v>114561</v>
          </cell>
          <cell r="K100">
            <v>659288</v>
          </cell>
          <cell r="L100">
            <v>727070</v>
          </cell>
          <cell r="M100">
            <v>56772</v>
          </cell>
          <cell r="N100">
            <v>793188</v>
          </cell>
          <cell r="O100">
            <v>1966498</v>
          </cell>
          <cell r="P100">
            <v>2666029</v>
          </cell>
          <cell r="Q100">
            <v>230616</v>
          </cell>
          <cell r="R100">
            <v>83050</v>
          </cell>
          <cell r="S100">
            <v>0</v>
          </cell>
          <cell r="T100">
            <v>1982053</v>
          </cell>
          <cell r="U100">
            <v>0</v>
          </cell>
          <cell r="V100">
            <v>43419</v>
          </cell>
          <cell r="W100">
            <v>44060</v>
          </cell>
          <cell r="X100">
            <v>0</v>
          </cell>
          <cell r="Y100">
            <v>0</v>
          </cell>
          <cell r="Z100">
            <v>783843</v>
          </cell>
          <cell r="AA100">
            <v>0</v>
          </cell>
          <cell r="AB100">
            <v>35671</v>
          </cell>
          <cell r="AC100">
            <v>0</v>
          </cell>
          <cell r="AD100">
            <v>221918</v>
          </cell>
          <cell r="AE100">
            <v>93797</v>
          </cell>
          <cell r="AF100">
            <v>260240</v>
          </cell>
          <cell r="AG100">
            <v>111740</v>
          </cell>
          <cell r="AH100">
            <v>9000</v>
          </cell>
          <cell r="AI100">
            <v>364435</v>
          </cell>
          <cell r="AJ100">
            <v>1714754</v>
          </cell>
          <cell r="AK100">
            <v>1757406</v>
          </cell>
          <cell r="AL100">
            <v>198121</v>
          </cell>
          <cell r="AM100">
            <v>0</v>
          </cell>
          <cell r="AN100">
            <v>266429</v>
          </cell>
          <cell r="AO100">
            <v>310718</v>
          </cell>
          <cell r="AP100">
            <v>0</v>
          </cell>
          <cell r="AQ100">
            <v>152887104</v>
          </cell>
          <cell r="AR100">
            <v>1976689</v>
          </cell>
          <cell r="AS100">
            <v>224000</v>
          </cell>
          <cell r="AT100">
            <v>1373202</v>
          </cell>
          <cell r="AU100">
            <v>142840</v>
          </cell>
          <cell r="AV100">
            <v>0</v>
          </cell>
          <cell r="AW100">
            <v>9131</v>
          </cell>
          <cell r="AX100">
            <v>1265</v>
          </cell>
          <cell r="AY100">
            <v>3727127</v>
          </cell>
          <cell r="AZ100">
            <v>1819270</v>
          </cell>
          <cell r="BA100">
            <v>0</v>
          </cell>
          <cell r="BB100">
            <v>0</v>
          </cell>
          <cell r="BC100">
            <v>0</v>
          </cell>
          <cell r="BD100">
            <v>1819270</v>
          </cell>
          <cell r="BE100">
            <v>800864</v>
          </cell>
          <cell r="BF100">
            <v>307286</v>
          </cell>
          <cell r="BG100">
            <v>62279</v>
          </cell>
          <cell r="BH100">
            <v>31651</v>
          </cell>
          <cell r="BI100">
            <v>60814</v>
          </cell>
          <cell r="BJ100">
            <v>133633</v>
          </cell>
          <cell r="BK100">
            <v>1396527</v>
          </cell>
          <cell r="BL100">
            <v>1923154</v>
          </cell>
          <cell r="BM100">
            <v>339260</v>
          </cell>
          <cell r="BN100">
            <v>720451</v>
          </cell>
          <cell r="BO100">
            <v>10000</v>
          </cell>
          <cell r="BP100">
            <v>0</v>
          </cell>
          <cell r="BQ100">
            <v>15000</v>
          </cell>
          <cell r="BR100">
            <v>4011747</v>
          </cell>
          <cell r="BS100">
            <v>69319</v>
          </cell>
          <cell r="BT100">
            <v>942</v>
          </cell>
          <cell r="BU100">
            <v>0</v>
          </cell>
          <cell r="BV100">
            <v>3864</v>
          </cell>
          <cell r="BW100">
            <v>2111154</v>
          </cell>
          <cell r="BX100">
            <v>603961</v>
          </cell>
          <cell r="BY100">
            <v>134087</v>
          </cell>
          <cell r="BZ100">
            <v>3709</v>
          </cell>
          <cell r="CA100">
            <v>0</v>
          </cell>
          <cell r="CB100">
            <v>12877825</v>
          </cell>
          <cell r="CC100">
            <v>2783415</v>
          </cell>
          <cell r="CD100">
            <v>3780779</v>
          </cell>
          <cell r="CE100">
            <v>978</v>
          </cell>
          <cell r="CF100">
            <v>100223</v>
          </cell>
          <cell r="CG100">
            <v>5000</v>
          </cell>
          <cell r="CH100">
            <v>0</v>
          </cell>
          <cell r="CI100">
            <v>6670395</v>
          </cell>
          <cell r="CJ100">
            <v>19548220</v>
          </cell>
          <cell r="CK100">
            <v>172435324</v>
          </cell>
          <cell r="CM100">
            <v>5482669</v>
          </cell>
          <cell r="CN100">
            <v>424522</v>
          </cell>
          <cell r="CO100">
            <v>0</v>
          </cell>
          <cell r="CP100">
            <v>0</v>
          </cell>
          <cell r="CQ100">
            <v>48619</v>
          </cell>
          <cell r="CR100">
            <v>0</v>
          </cell>
          <cell r="CS100">
            <v>171714</v>
          </cell>
          <cell r="CT100">
            <v>0</v>
          </cell>
          <cell r="CV100">
            <v>0</v>
          </cell>
          <cell r="CW100">
            <v>13772001</v>
          </cell>
          <cell r="CX100">
            <v>2144901</v>
          </cell>
          <cell r="CY100">
            <v>548885</v>
          </cell>
        </row>
        <row r="101">
          <cell r="A101">
            <v>835</v>
          </cell>
          <cell r="B101">
            <v>161924800</v>
          </cell>
          <cell r="C101">
            <v>7087700</v>
          </cell>
          <cell r="D101">
            <v>11532900</v>
          </cell>
          <cell r="E101">
            <v>0</v>
          </cell>
          <cell r="F101">
            <v>6185200</v>
          </cell>
          <cell r="G101">
            <v>986000</v>
          </cell>
          <cell r="H101">
            <v>500000</v>
          </cell>
          <cell r="I101">
            <v>4160500</v>
          </cell>
          <cell r="J101">
            <v>0</v>
          </cell>
          <cell r="K101">
            <v>0</v>
          </cell>
          <cell r="L101">
            <v>32800</v>
          </cell>
          <cell r="M101">
            <v>22800</v>
          </cell>
          <cell r="N101">
            <v>3038300</v>
          </cell>
          <cell r="O101">
            <v>6838200</v>
          </cell>
          <cell r="P101">
            <v>2566299</v>
          </cell>
          <cell r="Q101">
            <v>355154</v>
          </cell>
          <cell r="R101">
            <v>433001</v>
          </cell>
          <cell r="S101">
            <v>0</v>
          </cell>
          <cell r="T101">
            <v>6720000</v>
          </cell>
          <cell r="U101">
            <v>43100</v>
          </cell>
          <cell r="V101">
            <v>35300</v>
          </cell>
          <cell r="W101">
            <v>40000</v>
          </cell>
          <cell r="X101">
            <v>2600</v>
          </cell>
          <cell r="Y101">
            <v>18400</v>
          </cell>
          <cell r="Z101">
            <v>61700</v>
          </cell>
          <cell r="AA101">
            <v>0</v>
          </cell>
          <cell r="AB101">
            <v>0</v>
          </cell>
          <cell r="AC101">
            <v>0</v>
          </cell>
          <cell r="AD101">
            <v>360500</v>
          </cell>
          <cell r="AE101">
            <v>102400</v>
          </cell>
          <cell r="AF101">
            <v>291600</v>
          </cell>
          <cell r="AG101">
            <v>47200</v>
          </cell>
          <cell r="AH101">
            <v>43600</v>
          </cell>
          <cell r="AI101">
            <v>72200</v>
          </cell>
          <cell r="AJ101">
            <v>5595100</v>
          </cell>
          <cell r="AK101">
            <v>0</v>
          </cell>
          <cell r="AL101">
            <v>0</v>
          </cell>
          <cell r="AM101">
            <v>0</v>
          </cell>
          <cell r="AN101">
            <v>192800</v>
          </cell>
          <cell r="AO101">
            <v>132199</v>
          </cell>
          <cell r="AP101">
            <v>0</v>
          </cell>
          <cell r="AQ101">
            <v>219422353</v>
          </cell>
          <cell r="AR101">
            <v>2908600</v>
          </cell>
          <cell r="AS101">
            <v>417700</v>
          </cell>
          <cell r="AT101">
            <v>1736100</v>
          </cell>
          <cell r="AU101">
            <v>621700</v>
          </cell>
          <cell r="AV101">
            <v>488500</v>
          </cell>
          <cell r="AW101">
            <v>0</v>
          </cell>
          <cell r="AX101">
            <v>111400</v>
          </cell>
          <cell r="AY101">
            <v>6284000</v>
          </cell>
          <cell r="AZ101">
            <v>2042800</v>
          </cell>
          <cell r="BA101">
            <v>0</v>
          </cell>
          <cell r="BB101">
            <v>0</v>
          </cell>
          <cell r="BC101">
            <v>0</v>
          </cell>
          <cell r="BD101">
            <v>2042800</v>
          </cell>
          <cell r="BE101">
            <v>1061000</v>
          </cell>
          <cell r="BF101">
            <v>634600</v>
          </cell>
          <cell r="BG101">
            <v>44800</v>
          </cell>
          <cell r="BH101">
            <v>0</v>
          </cell>
          <cell r="BI101">
            <v>132600</v>
          </cell>
          <cell r="BJ101">
            <v>289000</v>
          </cell>
          <cell r="BK101">
            <v>2162000</v>
          </cell>
          <cell r="BL101">
            <v>2178700</v>
          </cell>
          <cell r="BM101">
            <v>1899700</v>
          </cell>
          <cell r="BN101">
            <v>676300</v>
          </cell>
          <cell r="BO101">
            <v>125300</v>
          </cell>
          <cell r="BP101">
            <v>35300</v>
          </cell>
          <cell r="BQ101">
            <v>1028000</v>
          </cell>
          <cell r="BR101">
            <v>13971000</v>
          </cell>
          <cell r="BS101">
            <v>186000</v>
          </cell>
          <cell r="BT101">
            <v>7300</v>
          </cell>
          <cell r="BU101">
            <v>11300</v>
          </cell>
          <cell r="BV101">
            <v>256300</v>
          </cell>
          <cell r="BW101">
            <v>2937500</v>
          </cell>
          <cell r="BX101">
            <v>6298900</v>
          </cell>
          <cell r="BY101">
            <v>99741</v>
          </cell>
          <cell r="BZ101">
            <v>409359</v>
          </cell>
          <cell r="CA101">
            <v>0</v>
          </cell>
          <cell r="CB101">
            <v>26638500</v>
          </cell>
          <cell r="CC101">
            <v>3336900</v>
          </cell>
          <cell r="CD101">
            <v>4595400</v>
          </cell>
          <cell r="CE101">
            <v>0</v>
          </cell>
          <cell r="CF101">
            <v>427300</v>
          </cell>
          <cell r="CG101">
            <v>78500</v>
          </cell>
          <cell r="CH101">
            <v>0</v>
          </cell>
          <cell r="CI101">
            <v>8438100</v>
          </cell>
          <cell r="CJ101">
            <v>35076600</v>
          </cell>
          <cell r="CK101">
            <v>254498953</v>
          </cell>
          <cell r="CM101">
            <v>17358200</v>
          </cell>
          <cell r="CN101">
            <v>323100</v>
          </cell>
          <cell r="CO101">
            <v>25200</v>
          </cell>
          <cell r="CP101">
            <v>0</v>
          </cell>
          <cell r="CQ101">
            <v>0</v>
          </cell>
          <cell r="CR101">
            <v>0</v>
          </cell>
          <cell r="CS101">
            <v>1254400</v>
          </cell>
          <cell r="CT101">
            <v>0</v>
          </cell>
          <cell r="CV101">
            <v>0</v>
          </cell>
          <cell r="CW101">
            <v>42251693</v>
          </cell>
          <cell r="CX101">
            <v>3445754</v>
          </cell>
          <cell r="CY101">
            <v>93758</v>
          </cell>
        </row>
        <row r="102">
          <cell r="A102">
            <v>836</v>
          </cell>
          <cell r="B102">
            <v>55995525</v>
          </cell>
          <cell r="C102">
            <v>2101050</v>
          </cell>
          <cell r="D102">
            <v>2956288</v>
          </cell>
          <cell r="E102">
            <v>0</v>
          </cell>
          <cell r="F102">
            <v>1404653</v>
          </cell>
          <cell r="G102">
            <v>0</v>
          </cell>
          <cell r="H102">
            <v>375000</v>
          </cell>
          <cell r="I102">
            <v>1075551</v>
          </cell>
          <cell r="J102">
            <v>119506</v>
          </cell>
          <cell r="K102">
            <v>119300</v>
          </cell>
          <cell r="L102">
            <v>228462</v>
          </cell>
          <cell r="M102">
            <v>18801</v>
          </cell>
          <cell r="N102">
            <v>549836</v>
          </cell>
          <cell r="O102">
            <v>1859256</v>
          </cell>
          <cell r="P102">
            <v>488862</v>
          </cell>
          <cell r="Q102">
            <v>21886</v>
          </cell>
          <cell r="R102">
            <v>161580</v>
          </cell>
          <cell r="S102">
            <v>2260000</v>
          </cell>
          <cell r="T102">
            <v>0</v>
          </cell>
          <cell r="U102">
            <v>243404</v>
          </cell>
          <cell r="V102">
            <v>13000</v>
          </cell>
          <cell r="W102">
            <v>14546</v>
          </cell>
          <cell r="X102">
            <v>3000</v>
          </cell>
          <cell r="Y102">
            <v>0</v>
          </cell>
          <cell r="Z102">
            <v>77000</v>
          </cell>
          <cell r="AA102">
            <v>0</v>
          </cell>
          <cell r="AB102">
            <v>35347</v>
          </cell>
          <cell r="AC102">
            <v>0</v>
          </cell>
          <cell r="AD102">
            <v>156280</v>
          </cell>
          <cell r="AE102">
            <v>22000</v>
          </cell>
          <cell r="AF102">
            <v>65000</v>
          </cell>
          <cell r="AG102">
            <v>0</v>
          </cell>
          <cell r="AH102">
            <v>6120</v>
          </cell>
          <cell r="AI102">
            <v>10392</v>
          </cell>
          <cell r="AJ102">
            <v>1217710</v>
          </cell>
          <cell r="AK102">
            <v>574061</v>
          </cell>
          <cell r="AL102">
            <v>0</v>
          </cell>
          <cell r="AM102">
            <v>0</v>
          </cell>
          <cell r="AN102">
            <v>776236</v>
          </cell>
          <cell r="AO102">
            <v>109946</v>
          </cell>
          <cell r="AP102">
            <v>0</v>
          </cell>
          <cell r="AQ102">
            <v>73059598</v>
          </cell>
          <cell r="AR102">
            <v>1123924</v>
          </cell>
          <cell r="AS102">
            <v>0</v>
          </cell>
          <cell r="AT102">
            <v>322000</v>
          </cell>
          <cell r="AU102">
            <v>0</v>
          </cell>
          <cell r="AV102">
            <v>0</v>
          </cell>
          <cell r="AW102">
            <v>8170</v>
          </cell>
          <cell r="AX102">
            <v>4000</v>
          </cell>
          <cell r="AY102">
            <v>1458094</v>
          </cell>
          <cell r="AZ102">
            <v>960226</v>
          </cell>
          <cell r="BA102">
            <v>0</v>
          </cell>
          <cell r="BB102">
            <v>0</v>
          </cell>
          <cell r="BC102">
            <v>4060</v>
          </cell>
          <cell r="BD102">
            <v>964286</v>
          </cell>
          <cell r="BE102">
            <v>430957</v>
          </cell>
          <cell r="BF102">
            <v>190954</v>
          </cell>
          <cell r="BG102">
            <v>14084</v>
          </cell>
          <cell r="BH102">
            <v>0</v>
          </cell>
          <cell r="BI102">
            <v>69199</v>
          </cell>
          <cell r="BJ102">
            <v>145037</v>
          </cell>
          <cell r="BK102">
            <v>850231</v>
          </cell>
          <cell r="BL102">
            <v>726269</v>
          </cell>
          <cell r="BM102">
            <v>296000</v>
          </cell>
          <cell r="BN102">
            <v>346655</v>
          </cell>
          <cell r="BO102">
            <v>52144</v>
          </cell>
          <cell r="BP102">
            <v>12000</v>
          </cell>
          <cell r="BQ102">
            <v>37000</v>
          </cell>
          <cell r="BR102">
            <v>2583033</v>
          </cell>
          <cell r="BS102">
            <v>174834</v>
          </cell>
          <cell r="BT102">
            <v>17667</v>
          </cell>
          <cell r="BU102">
            <v>9600</v>
          </cell>
          <cell r="BV102">
            <v>18115</v>
          </cell>
          <cell r="BW102">
            <v>885841</v>
          </cell>
          <cell r="BX102">
            <v>598221</v>
          </cell>
          <cell r="BY102">
            <v>0</v>
          </cell>
          <cell r="BZ102">
            <v>134956</v>
          </cell>
          <cell r="CA102">
            <v>0</v>
          </cell>
          <cell r="CB102">
            <v>6581913</v>
          </cell>
          <cell r="CC102">
            <v>972012</v>
          </cell>
          <cell r="CD102">
            <v>1705000</v>
          </cell>
          <cell r="CE102">
            <v>37180</v>
          </cell>
          <cell r="CF102">
            <v>32725</v>
          </cell>
          <cell r="CG102">
            <v>41237</v>
          </cell>
          <cell r="CH102">
            <v>0</v>
          </cell>
          <cell r="CI102">
            <v>2788154</v>
          </cell>
          <cell r="CJ102">
            <v>9370067</v>
          </cell>
          <cell r="CK102">
            <v>82429665</v>
          </cell>
          <cell r="CM102">
            <v>6437207</v>
          </cell>
          <cell r="CN102">
            <v>163071</v>
          </cell>
          <cell r="CO102">
            <v>5000</v>
          </cell>
          <cell r="CP102">
            <v>0</v>
          </cell>
          <cell r="CQ102">
            <v>0</v>
          </cell>
          <cell r="CR102">
            <v>0</v>
          </cell>
          <cell r="CS102">
            <v>295000</v>
          </cell>
          <cell r="CT102">
            <v>0</v>
          </cell>
          <cell r="CV102">
            <v>0</v>
          </cell>
          <cell r="CW102">
            <v>6938610</v>
          </cell>
          <cell r="CX102">
            <v>1341404</v>
          </cell>
          <cell r="CY102">
            <v>0</v>
          </cell>
        </row>
        <row r="103">
          <cell r="A103">
            <v>837</v>
          </cell>
          <cell r="B103">
            <v>60294809</v>
          </cell>
          <cell r="C103">
            <v>2252345</v>
          </cell>
          <cell r="D103">
            <v>3482005</v>
          </cell>
          <cell r="E103">
            <v>0</v>
          </cell>
          <cell r="F103">
            <v>2358280</v>
          </cell>
          <cell r="G103">
            <v>335000</v>
          </cell>
          <cell r="H103">
            <v>0</v>
          </cell>
          <cell r="I103">
            <v>888655</v>
          </cell>
          <cell r="J103">
            <v>0</v>
          </cell>
          <cell r="K103">
            <v>386839</v>
          </cell>
          <cell r="L103">
            <v>885463</v>
          </cell>
          <cell r="M103">
            <v>166599</v>
          </cell>
          <cell r="N103">
            <v>737000</v>
          </cell>
          <cell r="O103">
            <v>1988497</v>
          </cell>
          <cell r="P103">
            <v>825237</v>
          </cell>
          <cell r="Q103">
            <v>254240</v>
          </cell>
          <cell r="R103">
            <v>138312</v>
          </cell>
          <cell r="S103">
            <v>0</v>
          </cell>
          <cell r="T103">
            <v>2898903</v>
          </cell>
          <cell r="U103">
            <v>0</v>
          </cell>
          <cell r="V103">
            <v>39219</v>
          </cell>
          <cell r="W103">
            <v>1000</v>
          </cell>
          <cell r="X103">
            <v>0</v>
          </cell>
          <cell r="Y103">
            <v>0</v>
          </cell>
          <cell r="Z103">
            <v>0</v>
          </cell>
          <cell r="AA103">
            <v>0</v>
          </cell>
          <cell r="AB103">
            <v>0</v>
          </cell>
          <cell r="AC103">
            <v>0</v>
          </cell>
          <cell r="AD103">
            <v>175873</v>
          </cell>
          <cell r="AE103">
            <v>0</v>
          </cell>
          <cell r="AF103">
            <v>0</v>
          </cell>
          <cell r="AG103">
            <v>26910</v>
          </cell>
          <cell r="AH103">
            <v>4000</v>
          </cell>
          <cell r="AI103">
            <v>77031</v>
          </cell>
          <cell r="AJ103">
            <v>1641191</v>
          </cell>
          <cell r="AK103">
            <v>0</v>
          </cell>
          <cell r="AL103">
            <v>0</v>
          </cell>
          <cell r="AM103">
            <v>0</v>
          </cell>
          <cell r="AN103">
            <v>72936</v>
          </cell>
          <cell r="AO103">
            <v>1352511</v>
          </cell>
          <cell r="AP103">
            <v>0</v>
          </cell>
          <cell r="AQ103">
            <v>81282855</v>
          </cell>
          <cell r="AR103">
            <v>1398106</v>
          </cell>
          <cell r="AS103">
            <v>164890</v>
          </cell>
          <cell r="AT103">
            <v>329406</v>
          </cell>
          <cell r="AU103">
            <v>0</v>
          </cell>
          <cell r="AV103">
            <v>0</v>
          </cell>
          <cell r="AW103">
            <v>159080</v>
          </cell>
          <cell r="AX103">
            <v>30129</v>
          </cell>
          <cell r="AY103">
            <v>2081611</v>
          </cell>
          <cell r="AZ103">
            <v>106700</v>
          </cell>
          <cell r="BA103">
            <v>0</v>
          </cell>
          <cell r="BB103">
            <v>0</v>
          </cell>
          <cell r="BC103">
            <v>0</v>
          </cell>
          <cell r="BD103">
            <v>106700</v>
          </cell>
          <cell r="BE103">
            <v>430498</v>
          </cell>
          <cell r="BF103">
            <v>238913</v>
          </cell>
          <cell r="BG103">
            <v>35247</v>
          </cell>
          <cell r="BH103">
            <v>32946</v>
          </cell>
          <cell r="BI103">
            <v>45387</v>
          </cell>
          <cell r="BJ103">
            <v>110595</v>
          </cell>
          <cell r="BK103">
            <v>893586</v>
          </cell>
          <cell r="BL103">
            <v>812363</v>
          </cell>
          <cell r="BM103">
            <v>193922</v>
          </cell>
          <cell r="BN103">
            <v>342179</v>
          </cell>
          <cell r="BO103">
            <v>76073</v>
          </cell>
          <cell r="BP103">
            <v>135586</v>
          </cell>
          <cell r="BQ103">
            <v>257429</v>
          </cell>
          <cell r="BR103">
            <v>2701412</v>
          </cell>
          <cell r="BS103">
            <v>129742</v>
          </cell>
          <cell r="BT103">
            <v>45750</v>
          </cell>
          <cell r="BU103">
            <v>22172</v>
          </cell>
          <cell r="BV103">
            <v>171027</v>
          </cell>
          <cell r="BW103">
            <v>934292</v>
          </cell>
          <cell r="BX103">
            <v>302910</v>
          </cell>
          <cell r="BY103">
            <v>90330</v>
          </cell>
          <cell r="BZ103">
            <v>0</v>
          </cell>
          <cell r="CA103">
            <v>40750</v>
          </cell>
          <cell r="CB103">
            <v>6636422</v>
          </cell>
          <cell r="CC103">
            <v>1918318</v>
          </cell>
          <cell r="CD103">
            <v>2395687</v>
          </cell>
          <cell r="CE103">
            <v>0</v>
          </cell>
          <cell r="CF103">
            <v>83993</v>
          </cell>
          <cell r="CG103">
            <v>206575</v>
          </cell>
          <cell r="CH103">
            <v>0</v>
          </cell>
          <cell r="CI103">
            <v>4604573</v>
          </cell>
          <cell r="CJ103">
            <v>11240995</v>
          </cell>
          <cell r="CK103">
            <v>92523850</v>
          </cell>
          <cell r="CM103">
            <v>4709698</v>
          </cell>
          <cell r="CN103">
            <v>308167</v>
          </cell>
          <cell r="CO103">
            <v>23822</v>
          </cell>
          <cell r="CP103">
            <v>0</v>
          </cell>
          <cell r="CQ103">
            <v>0</v>
          </cell>
          <cell r="CR103">
            <v>71465</v>
          </cell>
          <cell r="CS103">
            <v>0</v>
          </cell>
          <cell r="CT103">
            <v>0</v>
          </cell>
          <cell r="CV103">
            <v>0</v>
          </cell>
          <cell r="CW103">
            <v>0</v>
          </cell>
          <cell r="CX103">
            <v>1352511</v>
          </cell>
          <cell r="CY103">
            <v>25750</v>
          </cell>
        </row>
        <row r="104">
          <cell r="A104">
            <v>840</v>
          </cell>
          <cell r="B104">
            <v>231161190</v>
          </cell>
          <cell r="C104">
            <v>9799315</v>
          </cell>
          <cell r="D104">
            <v>24080507</v>
          </cell>
          <cell r="E104">
            <v>5098330</v>
          </cell>
          <cell r="F104">
            <v>9053673</v>
          </cell>
          <cell r="G104">
            <v>0</v>
          </cell>
          <cell r="H104">
            <v>0</v>
          </cell>
          <cell r="I104">
            <v>2032892</v>
          </cell>
          <cell r="J104">
            <v>85000</v>
          </cell>
          <cell r="K104">
            <v>452541</v>
          </cell>
          <cell r="L104">
            <v>474118</v>
          </cell>
          <cell r="M104">
            <v>287502</v>
          </cell>
          <cell r="N104">
            <v>647902</v>
          </cell>
          <cell r="O104">
            <v>3031707</v>
          </cell>
          <cell r="P104">
            <v>680997</v>
          </cell>
          <cell r="Q104">
            <v>949851</v>
          </cell>
          <cell r="R104">
            <v>2227075</v>
          </cell>
          <cell r="S104">
            <v>198066</v>
          </cell>
          <cell r="T104">
            <v>1997200</v>
          </cell>
          <cell r="U104">
            <v>121982</v>
          </cell>
          <cell r="V104">
            <v>7610</v>
          </cell>
          <cell r="W104">
            <v>190421</v>
          </cell>
          <cell r="X104">
            <v>160125</v>
          </cell>
          <cell r="Y104">
            <v>0</v>
          </cell>
          <cell r="Z104">
            <v>0</v>
          </cell>
          <cell r="AA104">
            <v>0</v>
          </cell>
          <cell r="AB104">
            <v>0</v>
          </cell>
          <cell r="AC104">
            <v>0</v>
          </cell>
          <cell r="AD104">
            <v>549848</v>
          </cell>
          <cell r="AE104">
            <v>0</v>
          </cell>
          <cell r="AF104">
            <v>160098</v>
          </cell>
          <cell r="AG104">
            <v>1618420</v>
          </cell>
          <cell r="AH104">
            <v>34359</v>
          </cell>
          <cell r="AI104">
            <v>44227</v>
          </cell>
          <cell r="AJ104">
            <v>3540487</v>
          </cell>
          <cell r="AK104">
            <v>8281</v>
          </cell>
          <cell r="AL104">
            <v>0</v>
          </cell>
          <cell r="AM104">
            <v>0</v>
          </cell>
          <cell r="AN104">
            <v>350816</v>
          </cell>
          <cell r="AO104">
            <v>3877812</v>
          </cell>
          <cell r="AP104">
            <v>123000</v>
          </cell>
          <cell r="AQ104">
            <v>303045352</v>
          </cell>
          <cell r="AR104">
            <v>3046519</v>
          </cell>
          <cell r="AS104">
            <v>683305</v>
          </cell>
          <cell r="AT104">
            <v>2228582</v>
          </cell>
          <cell r="AU104">
            <v>618598</v>
          </cell>
          <cell r="AV104">
            <v>238371</v>
          </cell>
          <cell r="AW104">
            <v>200426</v>
          </cell>
          <cell r="AX104">
            <v>46820</v>
          </cell>
          <cell r="AY104">
            <v>7062621</v>
          </cell>
          <cell r="AZ104">
            <v>1916133</v>
          </cell>
          <cell r="BA104">
            <v>79066</v>
          </cell>
          <cell r="BB104">
            <v>147021</v>
          </cell>
          <cell r="BC104">
            <v>66711</v>
          </cell>
          <cell r="BD104">
            <v>2208931</v>
          </cell>
          <cell r="BE104">
            <v>1650947</v>
          </cell>
          <cell r="BF104">
            <v>755299</v>
          </cell>
          <cell r="BG104">
            <v>67187</v>
          </cell>
          <cell r="BH104">
            <v>600</v>
          </cell>
          <cell r="BI104">
            <v>118140</v>
          </cell>
          <cell r="BJ104">
            <v>92989</v>
          </cell>
          <cell r="BK104">
            <v>2685162</v>
          </cell>
          <cell r="BL104">
            <v>4371324</v>
          </cell>
          <cell r="BM104">
            <v>1534265</v>
          </cell>
          <cell r="BN104">
            <v>1313601</v>
          </cell>
          <cell r="BO104">
            <v>709493</v>
          </cell>
          <cell r="BP104">
            <v>15000</v>
          </cell>
          <cell r="BQ104">
            <v>334866</v>
          </cell>
          <cell r="BR104">
            <v>18732322</v>
          </cell>
          <cell r="BS104">
            <v>410132</v>
          </cell>
          <cell r="BT104">
            <v>137478</v>
          </cell>
          <cell r="BU104">
            <v>6556</v>
          </cell>
          <cell r="BV104">
            <v>7717</v>
          </cell>
          <cell r="BW104">
            <v>4861250</v>
          </cell>
          <cell r="BX104">
            <v>7656768</v>
          </cell>
          <cell r="BY104">
            <v>306134</v>
          </cell>
          <cell r="BZ104">
            <v>1439062</v>
          </cell>
          <cell r="CA104">
            <v>986963</v>
          </cell>
          <cell r="CB104">
            <v>36047323</v>
          </cell>
          <cell r="CC104">
            <v>2836844</v>
          </cell>
          <cell r="CD104">
            <v>3035690</v>
          </cell>
          <cell r="CE104">
            <v>14184</v>
          </cell>
          <cell r="CF104">
            <v>407580</v>
          </cell>
          <cell r="CG104">
            <v>2990</v>
          </cell>
          <cell r="CH104">
            <v>0</v>
          </cell>
          <cell r="CI104">
            <v>6297288</v>
          </cell>
          <cell r="CJ104">
            <v>42344611</v>
          </cell>
          <cell r="CK104">
            <v>345389963</v>
          </cell>
          <cell r="CM104">
            <v>14338432</v>
          </cell>
          <cell r="CN104">
            <v>613385</v>
          </cell>
          <cell r="CO104">
            <v>0</v>
          </cell>
          <cell r="CP104">
            <v>0</v>
          </cell>
          <cell r="CQ104">
            <v>0</v>
          </cell>
          <cell r="CR104">
            <v>0</v>
          </cell>
          <cell r="CS104">
            <v>831149</v>
          </cell>
          <cell r="CT104">
            <v>0</v>
          </cell>
          <cell r="CV104">
            <v>37219</v>
          </cell>
          <cell r="CW104">
            <v>40193382</v>
          </cell>
          <cell r="CX104">
            <v>5031253</v>
          </cell>
          <cell r="CY104">
            <v>2046585</v>
          </cell>
        </row>
        <row r="105">
          <cell r="A105">
            <v>841</v>
          </cell>
          <cell r="B105">
            <v>46028637</v>
          </cell>
          <cell r="C105">
            <v>1925010</v>
          </cell>
          <cell r="D105">
            <v>3581690</v>
          </cell>
          <cell r="E105">
            <v>824970</v>
          </cell>
          <cell r="F105">
            <v>1847196</v>
          </cell>
          <cell r="G105">
            <v>0</v>
          </cell>
          <cell r="H105">
            <v>0</v>
          </cell>
          <cell r="I105">
            <v>191300</v>
          </cell>
          <cell r="J105">
            <v>0</v>
          </cell>
          <cell r="K105">
            <v>528437</v>
          </cell>
          <cell r="L105">
            <v>259760</v>
          </cell>
          <cell r="M105">
            <v>30130</v>
          </cell>
          <cell r="N105">
            <v>282152</v>
          </cell>
          <cell r="O105">
            <v>378030</v>
          </cell>
          <cell r="P105">
            <v>509061</v>
          </cell>
          <cell r="Q105">
            <v>290380</v>
          </cell>
          <cell r="R105">
            <v>246345</v>
          </cell>
          <cell r="S105">
            <v>34999</v>
          </cell>
          <cell r="T105">
            <v>1224712</v>
          </cell>
          <cell r="U105">
            <v>0</v>
          </cell>
          <cell r="V105">
            <v>7586</v>
          </cell>
          <cell r="W105">
            <v>25927</v>
          </cell>
          <cell r="X105">
            <v>0</v>
          </cell>
          <cell r="Y105">
            <v>0</v>
          </cell>
          <cell r="Z105">
            <v>84577</v>
          </cell>
          <cell r="AA105">
            <v>0</v>
          </cell>
          <cell r="AB105">
            <v>0</v>
          </cell>
          <cell r="AC105">
            <v>0</v>
          </cell>
          <cell r="AD105">
            <v>177871</v>
          </cell>
          <cell r="AE105">
            <v>25290</v>
          </cell>
          <cell r="AF105">
            <v>120000</v>
          </cell>
          <cell r="AG105">
            <v>27047</v>
          </cell>
          <cell r="AH105">
            <v>40403</v>
          </cell>
          <cell r="AI105">
            <v>7715</v>
          </cell>
          <cell r="AJ105">
            <v>749892</v>
          </cell>
          <cell r="AK105">
            <v>2208678</v>
          </cell>
          <cell r="AL105">
            <v>7030</v>
          </cell>
          <cell r="AM105">
            <v>0</v>
          </cell>
          <cell r="AN105">
            <v>30958</v>
          </cell>
          <cell r="AO105">
            <v>402511</v>
          </cell>
          <cell r="AP105">
            <v>61250</v>
          </cell>
          <cell r="AQ105">
            <v>62159544</v>
          </cell>
          <cell r="AR105">
            <v>653276</v>
          </cell>
          <cell r="AS105">
            <v>2030</v>
          </cell>
          <cell r="AT105">
            <v>383322</v>
          </cell>
          <cell r="AU105">
            <v>76420</v>
          </cell>
          <cell r="AV105">
            <v>0</v>
          </cell>
          <cell r="AW105">
            <v>46055</v>
          </cell>
          <cell r="AX105">
            <v>22886</v>
          </cell>
          <cell r="AY105">
            <v>1183989</v>
          </cell>
          <cell r="AZ105">
            <v>1006377</v>
          </cell>
          <cell r="BA105">
            <v>11724</v>
          </cell>
          <cell r="BB105">
            <v>12053</v>
          </cell>
          <cell r="BC105">
            <v>0</v>
          </cell>
          <cell r="BD105">
            <v>1030154</v>
          </cell>
          <cell r="BE105">
            <v>389682</v>
          </cell>
          <cell r="BF105">
            <v>165387</v>
          </cell>
          <cell r="BG105">
            <v>60244</v>
          </cell>
          <cell r="BH105">
            <v>570</v>
          </cell>
          <cell r="BI105">
            <v>47936</v>
          </cell>
          <cell r="BJ105">
            <v>218694</v>
          </cell>
          <cell r="BK105">
            <v>882513</v>
          </cell>
          <cell r="BL105">
            <v>624400</v>
          </cell>
          <cell r="BM105">
            <v>94724</v>
          </cell>
          <cell r="BN105">
            <v>217349</v>
          </cell>
          <cell r="BO105">
            <v>110721</v>
          </cell>
          <cell r="BP105">
            <v>12809</v>
          </cell>
          <cell r="BQ105">
            <v>0</v>
          </cell>
          <cell r="BR105">
            <v>1967287</v>
          </cell>
          <cell r="BS105">
            <v>47747</v>
          </cell>
          <cell r="BT105">
            <v>9748</v>
          </cell>
          <cell r="BU105">
            <v>17783</v>
          </cell>
          <cell r="BV105">
            <v>15148</v>
          </cell>
          <cell r="BW105">
            <v>523171</v>
          </cell>
          <cell r="BX105">
            <v>836991</v>
          </cell>
          <cell r="BY105">
            <v>81096</v>
          </cell>
          <cell r="BZ105">
            <v>0</v>
          </cell>
          <cell r="CA105">
            <v>0</v>
          </cell>
          <cell r="CB105">
            <v>5688343</v>
          </cell>
          <cell r="CC105">
            <v>664491</v>
          </cell>
          <cell r="CD105">
            <v>328164</v>
          </cell>
          <cell r="CE105">
            <v>0</v>
          </cell>
          <cell r="CF105">
            <v>162030</v>
          </cell>
          <cell r="CG105">
            <v>9094</v>
          </cell>
          <cell r="CH105">
            <v>0</v>
          </cell>
          <cell r="CI105">
            <v>1163779</v>
          </cell>
          <cell r="CJ105">
            <v>6852122</v>
          </cell>
          <cell r="CK105">
            <v>69011666</v>
          </cell>
          <cell r="CM105">
            <v>700136</v>
          </cell>
          <cell r="CN105">
            <v>0</v>
          </cell>
          <cell r="CO105">
            <v>191300</v>
          </cell>
          <cell r="CP105">
            <v>0</v>
          </cell>
          <cell r="CQ105">
            <v>0</v>
          </cell>
          <cell r="CR105">
            <v>0</v>
          </cell>
          <cell r="CS105">
            <v>175583</v>
          </cell>
          <cell r="CT105">
            <v>0</v>
          </cell>
          <cell r="CV105">
            <v>0</v>
          </cell>
          <cell r="CW105">
            <v>1365316</v>
          </cell>
          <cell r="CX105">
            <v>916774</v>
          </cell>
          <cell r="CY105">
            <v>274449</v>
          </cell>
        </row>
        <row r="106">
          <cell r="A106">
            <v>845</v>
          </cell>
          <cell r="B106">
            <v>199138909</v>
          </cell>
          <cell r="C106">
            <v>7884582</v>
          </cell>
          <cell r="D106">
            <v>17958798</v>
          </cell>
          <cell r="E106">
            <v>0</v>
          </cell>
          <cell r="F106">
            <v>7281895</v>
          </cell>
          <cell r="G106">
            <v>1606000</v>
          </cell>
          <cell r="H106">
            <v>2177769</v>
          </cell>
          <cell r="I106">
            <v>1479900</v>
          </cell>
          <cell r="J106">
            <v>1423827</v>
          </cell>
          <cell r="K106">
            <v>0</v>
          </cell>
          <cell r="L106">
            <v>0</v>
          </cell>
          <cell r="M106">
            <v>1075262</v>
          </cell>
          <cell r="N106">
            <v>1135277</v>
          </cell>
          <cell r="O106">
            <v>7037870</v>
          </cell>
          <cell r="P106">
            <v>7254</v>
          </cell>
          <cell r="Q106">
            <v>154930</v>
          </cell>
          <cell r="R106">
            <v>493355</v>
          </cell>
          <cell r="S106">
            <v>0</v>
          </cell>
          <cell r="T106">
            <v>13474998</v>
          </cell>
          <cell r="U106">
            <v>75187</v>
          </cell>
          <cell r="V106">
            <v>122534</v>
          </cell>
          <cell r="W106">
            <v>147178</v>
          </cell>
          <cell r="X106">
            <v>929</v>
          </cell>
          <cell r="Y106">
            <v>0</v>
          </cell>
          <cell r="Z106">
            <v>195777</v>
          </cell>
          <cell r="AA106">
            <v>467675</v>
          </cell>
          <cell r="AB106">
            <v>220909</v>
          </cell>
          <cell r="AC106">
            <v>10600</v>
          </cell>
          <cell r="AD106">
            <v>510789</v>
          </cell>
          <cell r="AE106">
            <v>92808</v>
          </cell>
          <cell r="AF106">
            <v>490407</v>
          </cell>
          <cell r="AG106">
            <v>125477</v>
          </cell>
          <cell r="AH106">
            <v>22511</v>
          </cell>
          <cell r="AI106">
            <v>446905</v>
          </cell>
          <cell r="AJ106">
            <v>1926322</v>
          </cell>
          <cell r="AK106">
            <v>0</v>
          </cell>
          <cell r="AL106">
            <v>1420682</v>
          </cell>
          <cell r="AM106">
            <v>0</v>
          </cell>
          <cell r="AN106">
            <v>252605</v>
          </cell>
          <cell r="AO106">
            <v>3793468</v>
          </cell>
          <cell r="AP106">
            <v>0</v>
          </cell>
          <cell r="AQ106">
            <v>272653389</v>
          </cell>
          <cell r="AR106">
            <v>2689653</v>
          </cell>
          <cell r="AS106">
            <v>677781</v>
          </cell>
          <cell r="AT106">
            <v>952322</v>
          </cell>
          <cell r="AU106">
            <v>1077125</v>
          </cell>
          <cell r="AV106">
            <v>0</v>
          </cell>
          <cell r="AW106">
            <v>0</v>
          </cell>
          <cell r="AX106">
            <v>47965</v>
          </cell>
          <cell r="AY106">
            <v>5444846</v>
          </cell>
          <cell r="AZ106">
            <v>4408416</v>
          </cell>
          <cell r="BA106">
            <v>0</v>
          </cell>
          <cell r="BB106">
            <v>81500</v>
          </cell>
          <cell r="BC106">
            <v>10600</v>
          </cell>
          <cell r="BD106">
            <v>4500516</v>
          </cell>
          <cell r="BE106">
            <v>1256148</v>
          </cell>
          <cell r="BF106">
            <v>1069094</v>
          </cell>
          <cell r="BG106">
            <v>139176</v>
          </cell>
          <cell r="BH106">
            <v>58428</v>
          </cell>
          <cell r="BI106">
            <v>289720</v>
          </cell>
          <cell r="BJ106">
            <v>291478</v>
          </cell>
          <cell r="BK106">
            <v>3104044</v>
          </cell>
          <cell r="BL106">
            <v>3289394</v>
          </cell>
          <cell r="BM106">
            <v>5445534</v>
          </cell>
          <cell r="BN106">
            <v>1005060</v>
          </cell>
          <cell r="BO106">
            <v>1999434</v>
          </cell>
          <cell r="BP106">
            <v>0</v>
          </cell>
          <cell r="BQ106">
            <v>0</v>
          </cell>
          <cell r="BR106">
            <v>17423533</v>
          </cell>
          <cell r="BS106">
            <v>482868</v>
          </cell>
          <cell r="BT106">
            <v>16586</v>
          </cell>
          <cell r="BU106">
            <v>0</v>
          </cell>
          <cell r="BV106">
            <v>0</v>
          </cell>
          <cell r="BW106">
            <v>8195391</v>
          </cell>
          <cell r="BX106">
            <v>0</v>
          </cell>
          <cell r="BY106">
            <v>278660</v>
          </cell>
          <cell r="BZ106">
            <v>0</v>
          </cell>
          <cell r="CA106">
            <v>0</v>
          </cell>
          <cell r="CB106">
            <v>33762333</v>
          </cell>
          <cell r="CC106">
            <v>2655776</v>
          </cell>
          <cell r="CD106">
            <v>4350047</v>
          </cell>
          <cell r="CE106">
            <v>7556</v>
          </cell>
          <cell r="CF106">
            <v>761496</v>
          </cell>
          <cell r="CG106">
            <v>51619</v>
          </cell>
          <cell r="CH106">
            <v>0</v>
          </cell>
          <cell r="CI106">
            <v>7826494</v>
          </cell>
          <cell r="CJ106">
            <v>41588827</v>
          </cell>
          <cell r="CK106">
            <v>314242216</v>
          </cell>
          <cell r="CM106">
            <v>8051705</v>
          </cell>
          <cell r="CN106">
            <v>887400</v>
          </cell>
          <cell r="CO106">
            <v>0</v>
          </cell>
          <cell r="CP106">
            <v>0</v>
          </cell>
          <cell r="CQ106">
            <v>0</v>
          </cell>
          <cell r="CR106">
            <v>0</v>
          </cell>
          <cell r="CS106">
            <v>1344000</v>
          </cell>
          <cell r="CT106">
            <v>0</v>
          </cell>
          <cell r="CV106">
            <v>0</v>
          </cell>
          <cell r="CW106">
            <v>28531</v>
          </cell>
          <cell r="CX106">
            <v>5337047</v>
          </cell>
          <cell r="CY106">
            <v>80119</v>
          </cell>
        </row>
        <row r="107">
          <cell r="A107">
            <v>846</v>
          </cell>
          <cell r="B107">
            <v>90235231</v>
          </cell>
          <cell r="C107">
            <v>3170399</v>
          </cell>
          <cell r="D107">
            <v>7779632</v>
          </cell>
          <cell r="E107">
            <v>942723</v>
          </cell>
          <cell r="F107">
            <v>3492788</v>
          </cell>
          <cell r="G107">
            <v>745000</v>
          </cell>
          <cell r="H107">
            <v>0</v>
          </cell>
          <cell r="I107">
            <v>520980</v>
          </cell>
          <cell r="J107">
            <v>1300</v>
          </cell>
          <cell r="K107">
            <v>577940</v>
          </cell>
          <cell r="L107">
            <v>1383764</v>
          </cell>
          <cell r="M107">
            <v>21900</v>
          </cell>
          <cell r="N107">
            <v>285500</v>
          </cell>
          <cell r="O107">
            <v>3811702</v>
          </cell>
          <cell r="P107">
            <v>100000</v>
          </cell>
          <cell r="Q107">
            <v>33000</v>
          </cell>
          <cell r="R107">
            <v>624910</v>
          </cell>
          <cell r="S107">
            <v>2540</v>
          </cell>
          <cell r="T107">
            <v>7575450</v>
          </cell>
          <cell r="U107">
            <v>114600</v>
          </cell>
          <cell r="V107">
            <v>-58550</v>
          </cell>
          <cell r="W107">
            <v>60040</v>
          </cell>
          <cell r="X107">
            <v>19010</v>
          </cell>
          <cell r="Y107">
            <v>0</v>
          </cell>
          <cell r="Z107">
            <v>662300</v>
          </cell>
          <cell r="AA107">
            <v>0</v>
          </cell>
          <cell r="AB107">
            <v>0</v>
          </cell>
          <cell r="AC107">
            <v>39000</v>
          </cell>
          <cell r="AD107">
            <v>286030</v>
          </cell>
          <cell r="AE107">
            <v>63500</v>
          </cell>
          <cell r="AF107">
            <v>647728</v>
          </cell>
          <cell r="AG107">
            <v>0</v>
          </cell>
          <cell r="AH107">
            <v>10000</v>
          </cell>
          <cell r="AI107">
            <v>103050</v>
          </cell>
          <cell r="AJ107">
            <v>1005197</v>
          </cell>
          <cell r="AK107">
            <v>0</v>
          </cell>
          <cell r="AL107">
            <v>0</v>
          </cell>
          <cell r="AM107">
            <v>0</v>
          </cell>
          <cell r="AN107">
            <v>152642</v>
          </cell>
          <cell r="AO107">
            <v>818000</v>
          </cell>
          <cell r="AP107">
            <v>0</v>
          </cell>
          <cell r="AQ107">
            <v>125227306</v>
          </cell>
          <cell r="AR107">
            <v>1571978</v>
          </cell>
          <cell r="AS107">
            <v>323800</v>
          </cell>
          <cell r="AT107">
            <v>258520</v>
          </cell>
          <cell r="AU107">
            <v>175280</v>
          </cell>
          <cell r="AV107">
            <v>0</v>
          </cell>
          <cell r="AW107">
            <v>28000</v>
          </cell>
          <cell r="AX107">
            <v>3240</v>
          </cell>
          <cell r="AY107">
            <v>2360818</v>
          </cell>
          <cell r="AZ107">
            <v>2173530</v>
          </cell>
          <cell r="BA107">
            <v>87880</v>
          </cell>
          <cell r="BB107">
            <v>23859</v>
          </cell>
          <cell r="BC107">
            <v>0</v>
          </cell>
          <cell r="BD107">
            <v>2285269</v>
          </cell>
          <cell r="BE107">
            <v>592320</v>
          </cell>
          <cell r="BF107">
            <v>291950</v>
          </cell>
          <cell r="BG107">
            <v>70060</v>
          </cell>
          <cell r="BH107">
            <v>0</v>
          </cell>
          <cell r="BI107">
            <v>100330</v>
          </cell>
          <cell r="BJ107">
            <v>35300</v>
          </cell>
          <cell r="BK107">
            <v>1089960</v>
          </cell>
          <cell r="BL107">
            <v>1232430</v>
          </cell>
          <cell r="BM107">
            <v>1105830</v>
          </cell>
          <cell r="BN107">
            <v>312920</v>
          </cell>
          <cell r="BO107">
            <v>867770</v>
          </cell>
          <cell r="BP107">
            <v>26660</v>
          </cell>
          <cell r="BQ107">
            <v>39120</v>
          </cell>
          <cell r="BR107">
            <v>5574740</v>
          </cell>
          <cell r="BS107">
            <v>13620</v>
          </cell>
          <cell r="BT107">
            <v>2940</v>
          </cell>
          <cell r="BU107">
            <v>33000</v>
          </cell>
          <cell r="BV107">
            <v>177690</v>
          </cell>
          <cell r="BW107">
            <v>2593060</v>
          </cell>
          <cell r="BX107">
            <v>136480</v>
          </cell>
          <cell r="BY107">
            <v>132825</v>
          </cell>
          <cell r="BZ107">
            <v>132825</v>
          </cell>
          <cell r="CA107">
            <v>42000</v>
          </cell>
          <cell r="CB107">
            <v>12585217</v>
          </cell>
          <cell r="CC107">
            <v>2459750</v>
          </cell>
          <cell r="CD107">
            <v>1724630</v>
          </cell>
          <cell r="CE107">
            <v>38940</v>
          </cell>
          <cell r="CF107">
            <v>271720</v>
          </cell>
          <cell r="CG107">
            <v>13340</v>
          </cell>
          <cell r="CH107">
            <v>40000</v>
          </cell>
          <cell r="CI107">
            <v>4548380</v>
          </cell>
          <cell r="CJ107">
            <v>17133597</v>
          </cell>
          <cell r="CK107">
            <v>142360903</v>
          </cell>
          <cell r="CM107">
            <v>3497767</v>
          </cell>
          <cell r="CN107">
            <v>637792</v>
          </cell>
          <cell r="CO107">
            <v>0</v>
          </cell>
          <cell r="CP107">
            <v>0</v>
          </cell>
          <cell r="CQ107">
            <v>0</v>
          </cell>
          <cell r="CR107">
            <v>0</v>
          </cell>
          <cell r="CS107">
            <v>510802</v>
          </cell>
          <cell r="CT107">
            <v>0</v>
          </cell>
          <cell r="CV107">
            <v>0</v>
          </cell>
          <cell r="CW107">
            <v>7853800</v>
          </cell>
          <cell r="CX107">
            <v>1757221</v>
          </cell>
          <cell r="CY107">
            <v>428585</v>
          </cell>
        </row>
        <row r="108">
          <cell r="A108">
            <v>850</v>
          </cell>
          <cell r="B108">
            <v>511489000</v>
          </cell>
          <cell r="C108">
            <v>20688674</v>
          </cell>
          <cell r="D108">
            <v>38084000</v>
          </cell>
          <cell r="E108">
            <v>713856</v>
          </cell>
          <cell r="F108">
            <v>17617000</v>
          </cell>
          <cell r="G108">
            <v>3455000</v>
          </cell>
          <cell r="H108">
            <v>0</v>
          </cell>
          <cell r="I108">
            <v>6491000</v>
          </cell>
          <cell r="J108">
            <v>0</v>
          </cell>
          <cell r="K108">
            <v>939000</v>
          </cell>
          <cell r="L108">
            <v>485000</v>
          </cell>
          <cell r="M108">
            <v>31000</v>
          </cell>
          <cell r="N108">
            <v>3275000</v>
          </cell>
          <cell r="O108">
            <v>9039000</v>
          </cell>
          <cell r="P108">
            <v>4573000</v>
          </cell>
          <cell r="Q108">
            <v>1369000</v>
          </cell>
          <cell r="R108">
            <v>2206000</v>
          </cell>
          <cell r="S108">
            <v>0</v>
          </cell>
          <cell r="T108">
            <v>29670000</v>
          </cell>
          <cell r="U108">
            <v>0</v>
          </cell>
          <cell r="V108">
            <v>0</v>
          </cell>
          <cell r="W108">
            <v>184000</v>
          </cell>
          <cell r="X108">
            <v>0</v>
          </cell>
          <cell r="Y108">
            <v>0</v>
          </cell>
          <cell r="Z108">
            <v>34000</v>
          </cell>
          <cell r="AA108">
            <v>0</v>
          </cell>
          <cell r="AB108">
            <v>0</v>
          </cell>
          <cell r="AC108">
            <v>0</v>
          </cell>
          <cell r="AD108">
            <v>942000</v>
          </cell>
          <cell r="AE108">
            <v>304000</v>
          </cell>
          <cell r="AF108">
            <v>216000</v>
          </cell>
          <cell r="AG108">
            <v>386000</v>
          </cell>
          <cell r="AH108">
            <v>33000</v>
          </cell>
          <cell r="AI108">
            <v>602000</v>
          </cell>
          <cell r="AJ108">
            <v>5032000</v>
          </cell>
          <cell r="AK108">
            <v>0</v>
          </cell>
          <cell r="AL108">
            <v>0</v>
          </cell>
          <cell r="AM108">
            <v>0</v>
          </cell>
          <cell r="AN108">
            <v>270000</v>
          </cell>
          <cell r="AO108">
            <v>9527000</v>
          </cell>
          <cell r="AP108">
            <v>0</v>
          </cell>
          <cell r="AQ108">
            <v>667655530</v>
          </cell>
          <cell r="AR108">
            <v>9909000</v>
          </cell>
          <cell r="AS108">
            <v>1577000</v>
          </cell>
          <cell r="AT108">
            <v>1405000</v>
          </cell>
          <cell r="AU108">
            <v>478000</v>
          </cell>
          <cell r="AV108">
            <v>0</v>
          </cell>
          <cell r="AW108">
            <v>1255000</v>
          </cell>
          <cell r="AX108">
            <v>66000</v>
          </cell>
          <cell r="AY108">
            <v>14690000</v>
          </cell>
          <cell r="AZ108">
            <v>7171000</v>
          </cell>
          <cell r="BA108">
            <v>0</v>
          </cell>
          <cell r="BB108">
            <v>416000</v>
          </cell>
          <cell r="BC108">
            <v>0</v>
          </cell>
          <cell r="BD108">
            <v>7587000</v>
          </cell>
          <cell r="BE108">
            <v>3105000</v>
          </cell>
          <cell r="BF108">
            <v>1815000</v>
          </cell>
          <cell r="BG108">
            <v>386000</v>
          </cell>
          <cell r="BH108">
            <v>40000</v>
          </cell>
          <cell r="BI108">
            <v>218000</v>
          </cell>
          <cell r="BJ108">
            <v>323000</v>
          </cell>
          <cell r="BK108">
            <v>5887000</v>
          </cell>
          <cell r="BL108">
            <v>4586000</v>
          </cell>
          <cell r="BM108">
            <v>1840000</v>
          </cell>
          <cell r="BN108">
            <v>2589000</v>
          </cell>
          <cell r="BO108">
            <v>693000</v>
          </cell>
          <cell r="BP108">
            <v>0</v>
          </cell>
          <cell r="BQ108">
            <v>198000</v>
          </cell>
          <cell r="BR108">
            <v>28372000</v>
          </cell>
          <cell r="BS108">
            <v>634000</v>
          </cell>
          <cell r="BT108">
            <v>535000</v>
          </cell>
          <cell r="BU108">
            <v>174000</v>
          </cell>
          <cell r="BV108">
            <v>285000</v>
          </cell>
          <cell r="BW108">
            <v>12921000</v>
          </cell>
          <cell r="BX108">
            <v>7661000</v>
          </cell>
          <cell r="BY108">
            <v>659000</v>
          </cell>
          <cell r="BZ108">
            <v>183000</v>
          </cell>
          <cell r="CA108">
            <v>0</v>
          </cell>
          <cell r="CB108">
            <v>61122000</v>
          </cell>
          <cell r="CC108">
            <v>7009000</v>
          </cell>
          <cell r="CD108">
            <v>4983000</v>
          </cell>
          <cell r="CE108">
            <v>172000</v>
          </cell>
          <cell r="CF108">
            <v>946000</v>
          </cell>
          <cell r="CG108">
            <v>0</v>
          </cell>
          <cell r="CH108">
            <v>136000</v>
          </cell>
          <cell r="CI108">
            <v>13246000</v>
          </cell>
          <cell r="CJ108">
            <v>74368000</v>
          </cell>
          <cell r="CK108">
            <v>742023530</v>
          </cell>
          <cell r="CM108">
            <v>7253311</v>
          </cell>
          <cell r="CN108">
            <v>1225100</v>
          </cell>
          <cell r="CO108">
            <v>70600</v>
          </cell>
          <cell r="CP108">
            <v>0</v>
          </cell>
          <cell r="CQ108">
            <v>0</v>
          </cell>
          <cell r="CR108">
            <v>0</v>
          </cell>
          <cell r="CS108">
            <v>1807900</v>
          </cell>
          <cell r="CT108">
            <v>0</v>
          </cell>
          <cell r="CV108">
            <v>29000</v>
          </cell>
          <cell r="CW108">
            <v>50272000</v>
          </cell>
          <cell r="CX108">
            <v>13971000</v>
          </cell>
          <cell r="CY108">
            <v>348000</v>
          </cell>
        </row>
        <row r="109">
          <cell r="A109">
            <v>851</v>
          </cell>
          <cell r="B109">
            <v>77771300</v>
          </cell>
          <cell r="C109">
            <v>2932956</v>
          </cell>
          <cell r="D109">
            <v>5876592</v>
          </cell>
          <cell r="E109">
            <v>1088485</v>
          </cell>
          <cell r="F109">
            <v>2526587</v>
          </cell>
          <cell r="G109">
            <v>357000</v>
          </cell>
          <cell r="H109">
            <v>0</v>
          </cell>
          <cell r="I109">
            <v>863400</v>
          </cell>
          <cell r="J109">
            <v>0</v>
          </cell>
          <cell r="K109">
            <v>361400</v>
          </cell>
          <cell r="L109">
            <v>417530</v>
          </cell>
          <cell r="M109">
            <v>32715</v>
          </cell>
          <cell r="N109">
            <v>569200</v>
          </cell>
          <cell r="O109">
            <v>640900</v>
          </cell>
          <cell r="P109">
            <v>1397949</v>
          </cell>
          <cell r="Q109">
            <v>478447</v>
          </cell>
          <cell r="R109">
            <v>291963</v>
          </cell>
          <cell r="S109">
            <v>0</v>
          </cell>
          <cell r="T109">
            <v>3024190</v>
          </cell>
          <cell r="U109">
            <v>0</v>
          </cell>
          <cell r="V109">
            <v>6690</v>
          </cell>
          <cell r="W109">
            <v>41000</v>
          </cell>
          <cell r="X109">
            <v>0</v>
          </cell>
          <cell r="Y109">
            <v>0</v>
          </cell>
          <cell r="Z109">
            <v>0</v>
          </cell>
          <cell r="AA109">
            <v>0</v>
          </cell>
          <cell r="AB109">
            <v>16100</v>
          </cell>
          <cell r="AC109">
            <v>0</v>
          </cell>
          <cell r="AD109">
            <v>118080</v>
          </cell>
          <cell r="AE109">
            <v>37100</v>
          </cell>
          <cell r="AF109">
            <v>10200</v>
          </cell>
          <cell r="AG109">
            <v>70900</v>
          </cell>
          <cell r="AH109">
            <v>4849</v>
          </cell>
          <cell r="AI109">
            <v>400400</v>
          </cell>
          <cell r="AJ109">
            <v>1339941</v>
          </cell>
          <cell r="AK109">
            <v>0</v>
          </cell>
          <cell r="AL109">
            <v>36444</v>
          </cell>
          <cell r="AM109">
            <v>0</v>
          </cell>
          <cell r="AN109">
            <v>0</v>
          </cell>
          <cell r="AO109">
            <v>307500</v>
          </cell>
          <cell r="AP109">
            <v>0</v>
          </cell>
          <cell r="AQ109">
            <v>101019818</v>
          </cell>
          <cell r="AR109">
            <v>2803988</v>
          </cell>
          <cell r="AS109">
            <v>132305</v>
          </cell>
          <cell r="AT109">
            <v>269895</v>
          </cell>
          <cell r="AU109">
            <v>366900</v>
          </cell>
          <cell r="AV109">
            <v>0</v>
          </cell>
          <cell r="AW109">
            <v>316900</v>
          </cell>
          <cell r="AX109">
            <v>7116</v>
          </cell>
          <cell r="AY109">
            <v>3897104</v>
          </cell>
          <cell r="AZ109">
            <v>2734106</v>
          </cell>
          <cell r="BA109">
            <v>2543955</v>
          </cell>
          <cell r="BB109">
            <v>166057</v>
          </cell>
          <cell r="BC109">
            <v>0</v>
          </cell>
          <cell r="BD109">
            <v>5444118</v>
          </cell>
          <cell r="BE109">
            <v>519900</v>
          </cell>
          <cell r="BF109">
            <v>253303</v>
          </cell>
          <cell r="BG109">
            <v>70300</v>
          </cell>
          <cell r="BH109">
            <v>54700</v>
          </cell>
          <cell r="BI109">
            <v>87833</v>
          </cell>
          <cell r="BJ109">
            <v>93119</v>
          </cell>
          <cell r="BK109">
            <v>1079155</v>
          </cell>
          <cell r="BL109">
            <v>696998</v>
          </cell>
          <cell r="BM109">
            <v>296083</v>
          </cell>
          <cell r="BN109">
            <v>440400</v>
          </cell>
          <cell r="BO109">
            <v>0</v>
          </cell>
          <cell r="BP109">
            <v>0</v>
          </cell>
          <cell r="BQ109">
            <v>48800</v>
          </cell>
          <cell r="BR109">
            <v>2532279</v>
          </cell>
          <cell r="BS109">
            <v>34976</v>
          </cell>
          <cell r="BT109">
            <v>57780</v>
          </cell>
          <cell r="BU109">
            <v>0</v>
          </cell>
          <cell r="BV109">
            <v>91820</v>
          </cell>
          <cell r="BW109">
            <v>1409992</v>
          </cell>
          <cell r="BX109">
            <v>106128</v>
          </cell>
          <cell r="BY109">
            <v>30000</v>
          </cell>
          <cell r="BZ109">
            <v>16300</v>
          </cell>
          <cell r="CA109">
            <v>0</v>
          </cell>
          <cell r="CB109">
            <v>13649654</v>
          </cell>
          <cell r="CC109">
            <v>1445513</v>
          </cell>
          <cell r="CD109">
            <v>1202926</v>
          </cell>
          <cell r="CE109">
            <v>0</v>
          </cell>
          <cell r="CF109">
            <v>345000</v>
          </cell>
          <cell r="CG109">
            <v>0</v>
          </cell>
          <cell r="CH109">
            <v>0</v>
          </cell>
          <cell r="CI109">
            <v>2993439</v>
          </cell>
          <cell r="CJ109">
            <v>16643093</v>
          </cell>
          <cell r="CK109">
            <v>117662911</v>
          </cell>
          <cell r="CM109">
            <v>0</v>
          </cell>
          <cell r="CN109">
            <v>294700</v>
          </cell>
          <cell r="CO109">
            <v>0</v>
          </cell>
          <cell r="CP109">
            <v>0</v>
          </cell>
          <cell r="CQ109">
            <v>0</v>
          </cell>
          <cell r="CR109">
            <v>0</v>
          </cell>
          <cell r="CS109">
            <v>0</v>
          </cell>
          <cell r="CT109">
            <v>0</v>
          </cell>
          <cell r="CV109">
            <v>0</v>
          </cell>
          <cell r="CW109">
            <v>6185898</v>
          </cell>
          <cell r="CX109">
            <v>1513897</v>
          </cell>
          <cell r="CY109">
            <v>403537</v>
          </cell>
        </row>
        <row r="110">
          <cell r="A110">
            <v>852</v>
          </cell>
          <cell r="B110">
            <v>89797576</v>
          </cell>
          <cell r="C110">
            <v>3503013</v>
          </cell>
          <cell r="D110">
            <v>9076300</v>
          </cell>
          <cell r="E110">
            <v>1318720</v>
          </cell>
          <cell r="F110">
            <v>2794871</v>
          </cell>
          <cell r="G110">
            <v>829000</v>
          </cell>
          <cell r="H110">
            <v>0</v>
          </cell>
          <cell r="I110">
            <v>805200</v>
          </cell>
          <cell r="J110">
            <v>0</v>
          </cell>
          <cell r="K110">
            <v>0</v>
          </cell>
          <cell r="L110">
            <v>0</v>
          </cell>
          <cell r="M110">
            <v>321101</v>
          </cell>
          <cell r="N110">
            <v>580300</v>
          </cell>
          <cell r="O110">
            <v>1091300</v>
          </cell>
          <cell r="P110">
            <v>1941400</v>
          </cell>
          <cell r="Q110">
            <v>986800</v>
          </cell>
          <cell r="R110">
            <v>391800</v>
          </cell>
          <cell r="S110">
            <v>0</v>
          </cell>
          <cell r="T110">
            <v>5351424</v>
          </cell>
          <cell r="U110">
            <v>48100</v>
          </cell>
          <cell r="V110">
            <v>0</v>
          </cell>
          <cell r="W110">
            <v>58500</v>
          </cell>
          <cell r="X110">
            <v>0</v>
          </cell>
          <cell r="Y110">
            <v>0</v>
          </cell>
          <cell r="Z110">
            <v>357700</v>
          </cell>
          <cell r="AA110">
            <v>470600</v>
          </cell>
          <cell r="AB110">
            <v>0</v>
          </cell>
          <cell r="AC110">
            <v>221700</v>
          </cell>
          <cell r="AD110">
            <v>388699</v>
          </cell>
          <cell r="AE110">
            <v>48000</v>
          </cell>
          <cell r="AF110">
            <v>159199</v>
          </cell>
          <cell r="AG110">
            <v>2400</v>
          </cell>
          <cell r="AH110">
            <v>0</v>
          </cell>
          <cell r="AI110">
            <v>148100</v>
          </cell>
          <cell r="AJ110">
            <v>1960800</v>
          </cell>
          <cell r="AK110">
            <v>965300</v>
          </cell>
          <cell r="AL110">
            <v>0</v>
          </cell>
          <cell r="AM110">
            <v>0</v>
          </cell>
          <cell r="AN110">
            <v>191745</v>
          </cell>
          <cell r="AO110">
            <v>701400</v>
          </cell>
          <cell r="AP110">
            <v>0</v>
          </cell>
          <cell r="AQ110">
            <v>124511048</v>
          </cell>
          <cell r="AR110">
            <v>2597000</v>
          </cell>
          <cell r="AS110">
            <v>0</v>
          </cell>
          <cell r="AT110">
            <v>0</v>
          </cell>
          <cell r="AU110">
            <v>0</v>
          </cell>
          <cell r="AV110">
            <v>0</v>
          </cell>
          <cell r="AW110">
            <v>0</v>
          </cell>
          <cell r="AX110">
            <v>0</v>
          </cell>
          <cell r="AY110">
            <v>2597000</v>
          </cell>
          <cell r="AZ110">
            <v>648000</v>
          </cell>
          <cell r="BA110">
            <v>0</v>
          </cell>
          <cell r="BB110">
            <v>0</v>
          </cell>
          <cell r="BC110">
            <v>0</v>
          </cell>
          <cell r="BD110">
            <v>648000</v>
          </cell>
          <cell r="BE110">
            <v>1418700</v>
          </cell>
          <cell r="BF110">
            <v>89000</v>
          </cell>
          <cell r="BG110">
            <v>0</v>
          </cell>
          <cell r="BH110">
            <v>0</v>
          </cell>
          <cell r="BI110">
            <v>55000</v>
          </cell>
          <cell r="BJ110">
            <v>73700</v>
          </cell>
          <cell r="BK110">
            <v>1636400</v>
          </cell>
          <cell r="BL110">
            <v>1029400</v>
          </cell>
          <cell r="BM110">
            <v>7051200</v>
          </cell>
          <cell r="BN110">
            <v>473500</v>
          </cell>
          <cell r="BO110">
            <v>398700</v>
          </cell>
          <cell r="BP110">
            <v>0</v>
          </cell>
          <cell r="BQ110">
            <v>121500</v>
          </cell>
          <cell r="BR110">
            <v>9801200</v>
          </cell>
          <cell r="BS110">
            <v>0</v>
          </cell>
          <cell r="BT110">
            <v>132100</v>
          </cell>
          <cell r="BU110">
            <v>0</v>
          </cell>
          <cell r="BV110">
            <v>59700</v>
          </cell>
          <cell r="BW110">
            <v>1500900</v>
          </cell>
          <cell r="BX110">
            <v>0</v>
          </cell>
          <cell r="BY110">
            <v>63600</v>
          </cell>
          <cell r="BZ110">
            <v>0</v>
          </cell>
          <cell r="CA110">
            <v>0</v>
          </cell>
          <cell r="CB110">
            <v>15712000</v>
          </cell>
          <cell r="CC110">
            <v>1392500</v>
          </cell>
          <cell r="CD110">
            <v>1448700</v>
          </cell>
          <cell r="CE110">
            <v>229900</v>
          </cell>
          <cell r="CF110">
            <v>0</v>
          </cell>
          <cell r="CG110">
            <v>14400</v>
          </cell>
          <cell r="CH110">
            <v>0</v>
          </cell>
          <cell r="CI110">
            <v>3085500</v>
          </cell>
          <cell r="CJ110">
            <v>18797500</v>
          </cell>
          <cell r="CK110">
            <v>143308548</v>
          </cell>
          <cell r="CM110">
            <v>454500</v>
          </cell>
          <cell r="CN110">
            <v>219500</v>
          </cell>
          <cell r="CO110">
            <v>0</v>
          </cell>
          <cell r="CP110">
            <v>0</v>
          </cell>
          <cell r="CQ110">
            <v>0</v>
          </cell>
          <cell r="CR110">
            <v>0</v>
          </cell>
          <cell r="CS110">
            <v>125100</v>
          </cell>
          <cell r="CT110">
            <v>0</v>
          </cell>
          <cell r="CV110">
            <v>1310</v>
          </cell>
          <cell r="CW110">
            <v>6276900</v>
          </cell>
          <cell r="CX110">
            <v>2248100</v>
          </cell>
          <cell r="CY110">
            <v>0</v>
          </cell>
        </row>
        <row r="111">
          <cell r="A111">
            <v>855</v>
          </cell>
          <cell r="B111">
            <v>275450750</v>
          </cell>
          <cell r="C111">
            <v>11819348</v>
          </cell>
          <cell r="D111">
            <v>19642389</v>
          </cell>
          <cell r="E111">
            <v>0</v>
          </cell>
          <cell r="F111">
            <v>11222625</v>
          </cell>
          <cell r="G111">
            <v>1856000</v>
          </cell>
          <cell r="H111">
            <v>0</v>
          </cell>
          <cell r="I111">
            <v>3768970</v>
          </cell>
          <cell r="J111">
            <v>0</v>
          </cell>
          <cell r="K111">
            <v>0</v>
          </cell>
          <cell r="L111">
            <v>2347862</v>
          </cell>
          <cell r="M111">
            <v>0</v>
          </cell>
          <cell r="N111">
            <v>2592201</v>
          </cell>
          <cell r="O111">
            <v>4822907</v>
          </cell>
          <cell r="P111">
            <v>1601630</v>
          </cell>
          <cell r="Q111">
            <v>803088</v>
          </cell>
          <cell r="R111">
            <v>43680</v>
          </cell>
          <cell r="S111">
            <v>0</v>
          </cell>
          <cell r="T111">
            <v>10392076</v>
          </cell>
          <cell r="U111">
            <v>3948269</v>
          </cell>
          <cell r="V111">
            <v>31756</v>
          </cell>
          <cell r="W111">
            <v>96000</v>
          </cell>
          <cell r="X111">
            <v>0</v>
          </cell>
          <cell r="Y111">
            <v>0</v>
          </cell>
          <cell r="Z111">
            <v>803120</v>
          </cell>
          <cell r="AA111">
            <v>0</v>
          </cell>
          <cell r="AB111">
            <v>0</v>
          </cell>
          <cell r="AC111">
            <v>106784</v>
          </cell>
          <cell r="AD111">
            <v>340404</v>
          </cell>
          <cell r="AE111">
            <v>20962</v>
          </cell>
          <cell r="AF111">
            <v>344428</v>
          </cell>
          <cell r="AG111">
            <v>199999</v>
          </cell>
          <cell r="AH111">
            <v>7880</v>
          </cell>
          <cell r="AI111">
            <v>859810</v>
          </cell>
          <cell r="AJ111">
            <v>3107728</v>
          </cell>
          <cell r="AK111">
            <v>5488769</v>
          </cell>
          <cell r="AL111">
            <v>0</v>
          </cell>
          <cell r="AM111">
            <v>0</v>
          </cell>
          <cell r="AN111">
            <v>263150</v>
          </cell>
          <cell r="AO111">
            <v>1390554</v>
          </cell>
          <cell r="AP111">
            <v>0</v>
          </cell>
          <cell r="AQ111">
            <v>363373139</v>
          </cell>
          <cell r="AR111">
            <v>6568273</v>
          </cell>
          <cell r="AS111">
            <v>731386</v>
          </cell>
          <cell r="AT111">
            <v>1341705</v>
          </cell>
          <cell r="AU111">
            <v>270000</v>
          </cell>
          <cell r="AV111">
            <v>0</v>
          </cell>
          <cell r="AW111">
            <v>112412</v>
          </cell>
          <cell r="AX111">
            <v>0</v>
          </cell>
          <cell r="AY111">
            <v>9023776</v>
          </cell>
          <cell r="AZ111">
            <v>4039816</v>
          </cell>
          <cell r="BA111">
            <v>0</v>
          </cell>
          <cell r="BB111">
            <v>261975</v>
          </cell>
          <cell r="BC111">
            <v>9600</v>
          </cell>
          <cell r="BD111">
            <v>4311391</v>
          </cell>
          <cell r="BE111">
            <v>2043329</v>
          </cell>
          <cell r="BF111">
            <v>592496</v>
          </cell>
          <cell r="BG111">
            <v>70603</v>
          </cell>
          <cell r="BH111">
            <v>0</v>
          </cell>
          <cell r="BI111">
            <v>113420</v>
          </cell>
          <cell r="BJ111">
            <v>74060</v>
          </cell>
          <cell r="BK111">
            <v>2893908</v>
          </cell>
          <cell r="BL111">
            <v>3943494</v>
          </cell>
          <cell r="BM111">
            <v>1791156</v>
          </cell>
          <cell r="BN111">
            <v>883445</v>
          </cell>
          <cell r="BO111">
            <v>0</v>
          </cell>
          <cell r="BP111">
            <v>2214004</v>
          </cell>
          <cell r="BQ111">
            <v>1825681</v>
          </cell>
          <cell r="BR111">
            <v>23604088</v>
          </cell>
          <cell r="BS111">
            <v>103900</v>
          </cell>
          <cell r="BT111">
            <v>186640</v>
          </cell>
          <cell r="BU111">
            <v>116846</v>
          </cell>
          <cell r="BV111">
            <v>0</v>
          </cell>
          <cell r="BW111">
            <v>5624087</v>
          </cell>
          <cell r="BX111">
            <v>9337015</v>
          </cell>
          <cell r="BY111">
            <v>696651</v>
          </cell>
          <cell r="BZ111">
            <v>824663</v>
          </cell>
          <cell r="CA111">
            <v>227000</v>
          </cell>
          <cell r="CB111">
            <v>44003657</v>
          </cell>
          <cell r="CC111">
            <v>4283079</v>
          </cell>
          <cell r="CD111">
            <v>4739120</v>
          </cell>
          <cell r="CE111">
            <v>0</v>
          </cell>
          <cell r="CF111">
            <v>465036</v>
          </cell>
          <cell r="CG111">
            <v>141855</v>
          </cell>
          <cell r="CH111">
            <v>0</v>
          </cell>
          <cell r="CI111">
            <v>9629090</v>
          </cell>
          <cell r="CJ111">
            <v>53632747</v>
          </cell>
          <cell r="CK111">
            <v>417005886</v>
          </cell>
          <cell r="CM111">
            <v>30770370</v>
          </cell>
          <cell r="CN111">
            <v>750509</v>
          </cell>
          <cell r="CO111">
            <v>566887</v>
          </cell>
          <cell r="CP111">
            <v>0</v>
          </cell>
          <cell r="CQ111">
            <v>0</v>
          </cell>
          <cell r="CR111">
            <v>0</v>
          </cell>
          <cell r="CS111">
            <v>544704</v>
          </cell>
          <cell r="CT111">
            <v>0</v>
          </cell>
          <cell r="CV111">
            <v>0</v>
          </cell>
          <cell r="CW111">
            <v>46472000</v>
          </cell>
          <cell r="CX111">
            <v>7923706</v>
          </cell>
          <cell r="CY111">
            <v>0</v>
          </cell>
        </row>
        <row r="112">
          <cell r="A112">
            <v>856</v>
          </cell>
          <cell r="B112">
            <v>144071651</v>
          </cell>
          <cell r="C112">
            <v>5076762</v>
          </cell>
          <cell r="D112">
            <v>14020401</v>
          </cell>
          <cell r="E112">
            <v>3841747</v>
          </cell>
          <cell r="F112">
            <v>4817200</v>
          </cell>
          <cell r="G112">
            <v>0</v>
          </cell>
          <cell r="H112">
            <v>200001</v>
          </cell>
          <cell r="I112">
            <v>1556732</v>
          </cell>
          <cell r="J112">
            <v>816500</v>
          </cell>
          <cell r="K112">
            <v>356750</v>
          </cell>
          <cell r="L112">
            <v>1134016</v>
          </cell>
          <cell r="M112">
            <v>735567</v>
          </cell>
          <cell r="N112">
            <v>1811701</v>
          </cell>
          <cell r="O112">
            <v>2249505</v>
          </cell>
          <cell r="P112">
            <v>2659000</v>
          </cell>
          <cell r="Q112">
            <v>161800</v>
          </cell>
          <cell r="R112">
            <v>1192900</v>
          </cell>
          <cell r="S112">
            <v>0</v>
          </cell>
          <cell r="T112">
            <v>2268800</v>
          </cell>
          <cell r="U112">
            <v>0</v>
          </cell>
          <cell r="V112">
            <v>53400</v>
          </cell>
          <cell r="W112">
            <v>425700</v>
          </cell>
          <cell r="X112">
            <v>0</v>
          </cell>
          <cell r="Y112">
            <v>0</v>
          </cell>
          <cell r="Z112">
            <v>260600</v>
          </cell>
          <cell r="AA112">
            <v>96900</v>
          </cell>
          <cell r="AB112">
            <v>48865</v>
          </cell>
          <cell r="AC112">
            <v>80200</v>
          </cell>
          <cell r="AD112">
            <v>552001</v>
          </cell>
          <cell r="AE112">
            <v>0</v>
          </cell>
          <cell r="AF112">
            <v>1248100</v>
          </cell>
          <cell r="AG112">
            <v>0</v>
          </cell>
          <cell r="AH112">
            <v>25000</v>
          </cell>
          <cell r="AI112">
            <v>170100</v>
          </cell>
          <cell r="AJ112">
            <v>2468174</v>
          </cell>
          <cell r="AK112">
            <v>0</v>
          </cell>
          <cell r="AL112">
            <v>934961</v>
          </cell>
          <cell r="AM112">
            <v>0</v>
          </cell>
          <cell r="AN112">
            <v>254400</v>
          </cell>
          <cell r="AO112">
            <v>2536257</v>
          </cell>
          <cell r="AP112">
            <v>0</v>
          </cell>
          <cell r="AQ112">
            <v>196125691</v>
          </cell>
          <cell r="AR112">
            <v>2847000</v>
          </cell>
          <cell r="AS112">
            <v>1359000</v>
          </cell>
          <cell r="AT112">
            <v>933500</v>
          </cell>
          <cell r="AU112">
            <v>0</v>
          </cell>
          <cell r="AV112">
            <v>0</v>
          </cell>
          <cell r="AW112">
            <v>46400</v>
          </cell>
          <cell r="AX112">
            <v>27510</v>
          </cell>
          <cell r="AY112">
            <v>5213410</v>
          </cell>
          <cell r="AZ112">
            <v>1950863</v>
          </cell>
          <cell r="BA112">
            <v>0</v>
          </cell>
          <cell r="BB112">
            <v>46400</v>
          </cell>
          <cell r="BC112">
            <v>10000</v>
          </cell>
          <cell r="BD112">
            <v>2007263</v>
          </cell>
          <cell r="BE112">
            <v>1809300</v>
          </cell>
          <cell r="BF112">
            <v>578900</v>
          </cell>
          <cell r="BG112">
            <v>100000</v>
          </cell>
          <cell r="BH112">
            <v>0</v>
          </cell>
          <cell r="BI112">
            <v>78000</v>
          </cell>
          <cell r="BJ112">
            <v>20000</v>
          </cell>
          <cell r="BK112">
            <v>2586200</v>
          </cell>
          <cell r="BL112">
            <v>4064690</v>
          </cell>
          <cell r="BM112">
            <v>5402690</v>
          </cell>
          <cell r="BN112">
            <v>1015700</v>
          </cell>
          <cell r="BO112">
            <v>0</v>
          </cell>
          <cell r="BP112">
            <v>50300</v>
          </cell>
          <cell r="BQ112">
            <v>16000</v>
          </cell>
          <cell r="BR112">
            <v>10347400</v>
          </cell>
          <cell r="BS112">
            <v>79310</v>
          </cell>
          <cell r="BT112">
            <v>125800</v>
          </cell>
          <cell r="BU112">
            <v>15000</v>
          </cell>
          <cell r="BV112">
            <v>69200</v>
          </cell>
          <cell r="BW112">
            <v>3021645</v>
          </cell>
          <cell r="BX112">
            <v>433091</v>
          </cell>
          <cell r="BY112">
            <v>76454</v>
          </cell>
          <cell r="BZ112">
            <v>42210</v>
          </cell>
          <cell r="CA112">
            <v>0</v>
          </cell>
          <cell r="CB112">
            <v>24218963</v>
          </cell>
          <cell r="CC112">
            <v>3418500</v>
          </cell>
          <cell r="CD112">
            <v>12895200</v>
          </cell>
          <cell r="CE112">
            <v>0</v>
          </cell>
          <cell r="CF112">
            <v>442900</v>
          </cell>
          <cell r="CG112">
            <v>0</v>
          </cell>
          <cell r="CH112">
            <v>0</v>
          </cell>
          <cell r="CI112">
            <v>16756600</v>
          </cell>
          <cell r="CJ112">
            <v>40975563</v>
          </cell>
          <cell r="CK112">
            <v>237101254</v>
          </cell>
          <cell r="CM112">
            <v>3279142</v>
          </cell>
          <cell r="CN112">
            <v>1423710</v>
          </cell>
          <cell r="CO112">
            <v>57427</v>
          </cell>
          <cell r="CP112">
            <v>43070</v>
          </cell>
          <cell r="CQ112">
            <v>14356</v>
          </cell>
          <cell r="CR112">
            <v>14356</v>
          </cell>
          <cell r="CS112">
            <v>262605</v>
          </cell>
          <cell r="CT112">
            <v>0</v>
          </cell>
          <cell r="CV112">
            <v>0</v>
          </cell>
          <cell r="CW112">
            <v>17242000</v>
          </cell>
          <cell r="CX112">
            <v>2154354</v>
          </cell>
          <cell r="CY112">
            <v>1519</v>
          </cell>
        </row>
        <row r="113">
          <cell r="A113">
            <v>857</v>
          </cell>
          <cell r="B113">
            <v>14720700</v>
          </cell>
          <cell r="C113">
            <v>693157</v>
          </cell>
          <cell r="D113">
            <v>1555614</v>
          </cell>
          <cell r="E113">
            <v>0</v>
          </cell>
          <cell r="F113">
            <v>578000</v>
          </cell>
          <cell r="G113">
            <v>0</v>
          </cell>
          <cell r="H113">
            <v>0</v>
          </cell>
          <cell r="I113">
            <v>42309</v>
          </cell>
          <cell r="J113">
            <v>9933</v>
          </cell>
          <cell r="K113">
            <v>0</v>
          </cell>
          <cell r="L113">
            <v>0</v>
          </cell>
          <cell r="M113">
            <v>25828</v>
          </cell>
          <cell r="N113">
            <v>195250</v>
          </cell>
          <cell r="O113">
            <v>597300</v>
          </cell>
          <cell r="P113">
            <v>0</v>
          </cell>
          <cell r="Q113">
            <v>0</v>
          </cell>
          <cell r="R113">
            <v>2798</v>
          </cell>
          <cell r="S113">
            <v>0</v>
          </cell>
          <cell r="T113">
            <v>871587</v>
          </cell>
          <cell r="U113">
            <v>318896</v>
          </cell>
          <cell r="V113">
            <v>0</v>
          </cell>
          <cell r="W113">
            <v>12000</v>
          </cell>
          <cell r="X113">
            <v>12000</v>
          </cell>
          <cell r="Y113">
            <v>0</v>
          </cell>
          <cell r="Z113">
            <v>32900</v>
          </cell>
          <cell r="AA113">
            <v>0</v>
          </cell>
          <cell r="AB113">
            <v>0</v>
          </cell>
          <cell r="AC113">
            <v>0</v>
          </cell>
          <cell r="AD113">
            <v>26809</v>
          </cell>
          <cell r="AE113">
            <v>0</v>
          </cell>
          <cell r="AF113">
            <v>0</v>
          </cell>
          <cell r="AG113">
            <v>0</v>
          </cell>
          <cell r="AH113">
            <v>2500</v>
          </cell>
          <cell r="AI113">
            <v>17550</v>
          </cell>
          <cell r="AJ113">
            <v>188007</v>
          </cell>
          <cell r="AK113">
            <v>0</v>
          </cell>
          <cell r="AL113">
            <v>0</v>
          </cell>
          <cell r="AM113">
            <v>0</v>
          </cell>
          <cell r="AN113">
            <v>0</v>
          </cell>
          <cell r="AO113">
            <v>0</v>
          </cell>
          <cell r="AP113">
            <v>0</v>
          </cell>
          <cell r="AQ113">
            <v>19903138</v>
          </cell>
          <cell r="AR113">
            <v>369506</v>
          </cell>
          <cell r="AS113">
            <v>87500</v>
          </cell>
          <cell r="AT113">
            <v>32400</v>
          </cell>
          <cell r="AU113">
            <v>0</v>
          </cell>
          <cell r="AV113">
            <v>0</v>
          </cell>
          <cell r="AW113">
            <v>0</v>
          </cell>
          <cell r="AX113">
            <v>35667</v>
          </cell>
          <cell r="AY113">
            <v>525073</v>
          </cell>
          <cell r="AZ113">
            <v>922902</v>
          </cell>
          <cell r="BA113">
            <v>0</v>
          </cell>
          <cell r="BB113">
            <v>0</v>
          </cell>
          <cell r="BC113">
            <v>0</v>
          </cell>
          <cell r="BD113">
            <v>922902</v>
          </cell>
          <cell r="BE113">
            <v>65000</v>
          </cell>
          <cell r="BF113">
            <v>17513</v>
          </cell>
          <cell r="BG113">
            <v>0</v>
          </cell>
          <cell r="BH113">
            <v>0</v>
          </cell>
          <cell r="BI113">
            <v>19066</v>
          </cell>
          <cell r="BJ113">
            <v>67772</v>
          </cell>
          <cell r="BK113">
            <v>169351</v>
          </cell>
          <cell r="BL113">
            <v>276782</v>
          </cell>
          <cell r="BM113">
            <v>29515</v>
          </cell>
          <cell r="BN113">
            <v>14280</v>
          </cell>
          <cell r="BO113">
            <v>0</v>
          </cell>
          <cell r="BP113">
            <v>0</v>
          </cell>
          <cell r="BQ113">
            <v>0</v>
          </cell>
          <cell r="BR113">
            <v>1319228</v>
          </cell>
          <cell r="BS113">
            <v>30009</v>
          </cell>
          <cell r="BT113">
            <v>4892</v>
          </cell>
          <cell r="BU113">
            <v>0</v>
          </cell>
          <cell r="BV113">
            <v>0</v>
          </cell>
          <cell r="BW113">
            <v>275810</v>
          </cell>
          <cell r="BX113">
            <v>744406</v>
          </cell>
          <cell r="BY113">
            <v>0</v>
          </cell>
          <cell r="BZ113">
            <v>220316</v>
          </cell>
          <cell r="CA113">
            <v>0</v>
          </cell>
          <cell r="CB113">
            <v>3213336</v>
          </cell>
          <cell r="CC113">
            <v>348600</v>
          </cell>
          <cell r="CD113">
            <v>641719</v>
          </cell>
          <cell r="CE113">
            <v>95108</v>
          </cell>
          <cell r="CF113">
            <v>0</v>
          </cell>
          <cell r="CG113">
            <v>0</v>
          </cell>
          <cell r="CH113">
            <v>0</v>
          </cell>
          <cell r="CI113">
            <v>1085427</v>
          </cell>
          <cell r="CJ113">
            <v>4298763</v>
          </cell>
          <cell r="CK113">
            <v>24201901</v>
          </cell>
          <cell r="CM113">
            <v>0</v>
          </cell>
          <cell r="CN113">
            <v>0</v>
          </cell>
          <cell r="CO113">
            <v>0</v>
          </cell>
          <cell r="CP113">
            <v>0</v>
          </cell>
          <cell r="CQ113">
            <v>0</v>
          </cell>
          <cell r="CR113">
            <v>0</v>
          </cell>
          <cell r="CS113">
            <v>72700</v>
          </cell>
          <cell r="CT113">
            <v>0</v>
          </cell>
          <cell r="CV113">
            <v>0</v>
          </cell>
          <cell r="CW113">
            <v>1752632</v>
          </cell>
          <cell r="CX113">
            <v>325773</v>
          </cell>
          <cell r="CY113">
            <v>205793</v>
          </cell>
        </row>
        <row r="114">
          <cell r="A114">
            <v>860</v>
          </cell>
          <cell r="B114">
            <v>375380491</v>
          </cell>
          <cell r="C114">
            <v>15764680</v>
          </cell>
          <cell r="D114">
            <v>20859610</v>
          </cell>
          <cell r="E114">
            <v>0</v>
          </cell>
          <cell r="F114">
            <v>15525000</v>
          </cell>
          <cell r="G114">
            <v>0</v>
          </cell>
          <cell r="H114">
            <v>0</v>
          </cell>
          <cell r="I114">
            <v>0</v>
          </cell>
          <cell r="J114">
            <v>565960</v>
          </cell>
          <cell r="K114">
            <v>3076260</v>
          </cell>
          <cell r="L114">
            <v>348930</v>
          </cell>
          <cell r="M114">
            <v>473280</v>
          </cell>
          <cell r="N114">
            <v>1993050</v>
          </cell>
          <cell r="O114">
            <v>4329920</v>
          </cell>
          <cell r="P114">
            <v>2377290</v>
          </cell>
          <cell r="Q114">
            <v>1274750</v>
          </cell>
          <cell r="R114">
            <v>787500</v>
          </cell>
          <cell r="S114">
            <v>0</v>
          </cell>
          <cell r="T114">
            <v>9765410</v>
          </cell>
          <cell r="U114">
            <v>0</v>
          </cell>
          <cell r="V114">
            <v>62850</v>
          </cell>
          <cell r="W114">
            <v>200000</v>
          </cell>
          <cell r="X114">
            <v>0</v>
          </cell>
          <cell r="Y114">
            <v>0</v>
          </cell>
          <cell r="Z114">
            <v>3959160</v>
          </cell>
          <cell r="AA114">
            <v>262660</v>
          </cell>
          <cell r="AB114">
            <v>0</v>
          </cell>
          <cell r="AC114">
            <v>337680</v>
          </cell>
          <cell r="AD114">
            <v>669440</v>
          </cell>
          <cell r="AE114">
            <v>530550</v>
          </cell>
          <cell r="AF114">
            <v>1556720</v>
          </cell>
          <cell r="AG114">
            <v>145340</v>
          </cell>
          <cell r="AH114">
            <v>10510</v>
          </cell>
          <cell r="AI114">
            <v>1132060</v>
          </cell>
          <cell r="AJ114">
            <v>10690200</v>
          </cell>
          <cell r="AK114">
            <v>143340</v>
          </cell>
          <cell r="AL114">
            <v>0</v>
          </cell>
          <cell r="AM114">
            <v>0</v>
          </cell>
          <cell r="AN114">
            <v>299950</v>
          </cell>
          <cell r="AO114">
            <v>5682910</v>
          </cell>
          <cell r="AP114">
            <v>0</v>
          </cell>
          <cell r="AQ114">
            <v>478205501</v>
          </cell>
          <cell r="AR114">
            <v>5679110</v>
          </cell>
          <cell r="AS114">
            <v>3341370</v>
          </cell>
          <cell r="AT114">
            <v>2111240</v>
          </cell>
          <cell r="AU114">
            <v>957240</v>
          </cell>
          <cell r="AV114">
            <v>769240</v>
          </cell>
          <cell r="AW114">
            <v>0</v>
          </cell>
          <cell r="AX114">
            <v>72740</v>
          </cell>
          <cell r="AY114">
            <v>12930940</v>
          </cell>
          <cell r="AZ114">
            <v>75000</v>
          </cell>
          <cell r="BA114">
            <v>0</v>
          </cell>
          <cell r="BB114">
            <v>213000</v>
          </cell>
          <cell r="BC114">
            <v>0</v>
          </cell>
          <cell r="BD114">
            <v>288000</v>
          </cell>
          <cell r="BE114">
            <v>1735480</v>
          </cell>
          <cell r="BF114">
            <v>2493860</v>
          </cell>
          <cell r="BG114">
            <v>459770</v>
          </cell>
          <cell r="BH114">
            <v>506590</v>
          </cell>
          <cell r="BI114">
            <v>371950</v>
          </cell>
          <cell r="BJ114">
            <v>1121320</v>
          </cell>
          <cell r="BK114">
            <v>6688970</v>
          </cell>
          <cell r="BL114">
            <v>4441290</v>
          </cell>
          <cell r="BM114">
            <v>857660</v>
          </cell>
          <cell r="BN114">
            <v>1485250</v>
          </cell>
          <cell r="BO114">
            <v>80000</v>
          </cell>
          <cell r="BP114">
            <v>0</v>
          </cell>
          <cell r="BQ114">
            <v>829750</v>
          </cell>
          <cell r="BR114">
            <v>17757720</v>
          </cell>
          <cell r="BS114">
            <v>116650</v>
          </cell>
          <cell r="BT114">
            <v>204310</v>
          </cell>
          <cell r="BU114">
            <v>36220</v>
          </cell>
          <cell r="BV114">
            <v>25890</v>
          </cell>
          <cell r="BW114">
            <v>6301320</v>
          </cell>
          <cell r="BX114">
            <v>7225110</v>
          </cell>
          <cell r="BY114">
            <v>89230</v>
          </cell>
          <cell r="BZ114">
            <v>506330</v>
          </cell>
          <cell r="CA114">
            <v>0</v>
          </cell>
          <cell r="CB114">
            <v>42106920</v>
          </cell>
          <cell r="CC114">
            <v>6346850</v>
          </cell>
          <cell r="CD114">
            <v>599760</v>
          </cell>
          <cell r="CE114">
            <v>426280</v>
          </cell>
          <cell r="CF114">
            <v>1230540</v>
          </cell>
          <cell r="CG114">
            <v>112880</v>
          </cell>
          <cell r="CH114">
            <v>0</v>
          </cell>
          <cell r="CI114">
            <v>8716310</v>
          </cell>
          <cell r="CJ114">
            <v>50823230</v>
          </cell>
          <cell r="CK114">
            <v>529028731</v>
          </cell>
          <cell r="CM114">
            <v>31155731</v>
          </cell>
          <cell r="CN114">
            <v>1686300</v>
          </cell>
          <cell r="CO114">
            <v>0</v>
          </cell>
          <cell r="CP114">
            <v>0</v>
          </cell>
          <cell r="CQ114">
            <v>232990</v>
          </cell>
          <cell r="CR114">
            <v>0</v>
          </cell>
          <cell r="CS114">
            <v>485540</v>
          </cell>
          <cell r="CT114">
            <v>0</v>
          </cell>
          <cell r="CV114">
            <v>0</v>
          </cell>
          <cell r="CW114">
            <v>16557330</v>
          </cell>
          <cell r="CX114">
            <v>10785432</v>
          </cell>
          <cell r="CY114">
            <v>0</v>
          </cell>
        </row>
        <row r="115">
          <cell r="A115">
            <v>861</v>
          </cell>
          <cell r="B115">
            <v>110591163.5</v>
          </cell>
          <cell r="C115">
            <v>4447430</v>
          </cell>
          <cell r="D115">
            <v>10558067</v>
          </cell>
          <cell r="E115">
            <v>2970033</v>
          </cell>
          <cell r="F115">
            <v>3909864</v>
          </cell>
          <cell r="G115">
            <v>0</v>
          </cell>
          <cell r="H115">
            <v>0</v>
          </cell>
          <cell r="I115">
            <v>879240</v>
          </cell>
          <cell r="J115">
            <v>735402.5</v>
          </cell>
          <cell r="K115">
            <v>0</v>
          </cell>
          <cell r="L115">
            <v>0</v>
          </cell>
          <cell r="M115">
            <v>979201.05</v>
          </cell>
          <cell r="N115">
            <v>1138680</v>
          </cell>
          <cell r="O115">
            <v>2013340</v>
          </cell>
          <cell r="P115">
            <v>1093383.1100000001</v>
          </cell>
          <cell r="Q115">
            <v>207710</v>
          </cell>
          <cell r="R115">
            <v>258980</v>
          </cell>
          <cell r="S115">
            <v>0</v>
          </cell>
          <cell r="T115">
            <v>3241549.75</v>
          </cell>
          <cell r="U115">
            <v>135715</v>
          </cell>
          <cell r="V115">
            <v>60000</v>
          </cell>
          <cell r="W115">
            <v>22119.5</v>
          </cell>
          <cell r="X115">
            <v>190917.5</v>
          </cell>
          <cell r="Y115">
            <v>0</v>
          </cell>
          <cell r="Z115">
            <v>162250</v>
          </cell>
          <cell r="AA115">
            <v>0</v>
          </cell>
          <cell r="AB115">
            <v>0</v>
          </cell>
          <cell r="AC115">
            <v>0</v>
          </cell>
          <cell r="AD115">
            <v>188843</v>
          </cell>
          <cell r="AE115">
            <v>51754</v>
          </cell>
          <cell r="AF115">
            <v>0</v>
          </cell>
          <cell r="AG115">
            <v>123561</v>
          </cell>
          <cell r="AH115">
            <v>5200</v>
          </cell>
          <cell r="AI115">
            <v>365212</v>
          </cell>
          <cell r="AJ115">
            <v>2950736</v>
          </cell>
          <cell r="AK115">
            <v>0</v>
          </cell>
          <cell r="AL115">
            <v>1164403</v>
          </cell>
          <cell r="AM115">
            <v>0</v>
          </cell>
          <cell r="AN115">
            <v>0</v>
          </cell>
          <cell r="AO115">
            <v>920398</v>
          </cell>
          <cell r="AP115">
            <v>500000</v>
          </cell>
          <cell r="AQ115">
            <v>149865152.91</v>
          </cell>
          <cell r="AR115">
            <v>2419990.44</v>
          </cell>
          <cell r="AS115">
            <v>400000</v>
          </cell>
          <cell r="AT115">
            <v>1647934</v>
          </cell>
          <cell r="AU115">
            <v>0</v>
          </cell>
          <cell r="AV115">
            <v>0</v>
          </cell>
          <cell r="AW115">
            <v>25000</v>
          </cell>
          <cell r="AX115">
            <v>0</v>
          </cell>
          <cell r="AY115">
            <v>4492924.4400000004</v>
          </cell>
          <cell r="AZ115">
            <v>0</v>
          </cell>
          <cell r="BA115">
            <v>0</v>
          </cell>
          <cell r="BB115">
            <v>0</v>
          </cell>
          <cell r="BC115">
            <v>0</v>
          </cell>
          <cell r="BD115">
            <v>0</v>
          </cell>
          <cell r="BE115">
            <v>744760</v>
          </cell>
          <cell r="BF115">
            <v>230000</v>
          </cell>
          <cell r="BG115">
            <v>50000</v>
          </cell>
          <cell r="BH115">
            <v>20000</v>
          </cell>
          <cell r="BI115">
            <v>51050</v>
          </cell>
          <cell r="BJ115">
            <v>25000</v>
          </cell>
          <cell r="BK115">
            <v>1120810</v>
          </cell>
          <cell r="BL115">
            <v>1004595.5</v>
          </cell>
          <cell r="BM115">
            <v>498744.5</v>
          </cell>
          <cell r="BN115">
            <v>657640</v>
          </cell>
          <cell r="BO115">
            <v>165167.97</v>
          </cell>
          <cell r="BP115">
            <v>0</v>
          </cell>
          <cell r="BQ115">
            <v>269503</v>
          </cell>
          <cell r="BR115">
            <v>3018399.4</v>
          </cell>
          <cell r="BS115">
            <v>25000</v>
          </cell>
          <cell r="BT115">
            <v>25000</v>
          </cell>
          <cell r="BU115">
            <v>0</v>
          </cell>
          <cell r="BV115">
            <v>0</v>
          </cell>
          <cell r="BW115">
            <v>1344343.94</v>
          </cell>
          <cell r="BX115">
            <v>0</v>
          </cell>
          <cell r="BY115">
            <v>0</v>
          </cell>
          <cell r="BZ115">
            <v>33000</v>
          </cell>
          <cell r="CA115">
            <v>0</v>
          </cell>
          <cell r="CB115">
            <v>9636729.3399999999</v>
          </cell>
          <cell r="CC115">
            <v>2023685</v>
          </cell>
          <cell r="CD115">
            <v>1748195.54</v>
          </cell>
          <cell r="CE115">
            <v>86294.399999999994</v>
          </cell>
          <cell r="CF115">
            <v>0</v>
          </cell>
          <cell r="CG115">
            <v>0</v>
          </cell>
          <cell r="CH115">
            <v>0</v>
          </cell>
          <cell r="CI115">
            <v>3858174.94</v>
          </cell>
          <cell r="CJ115">
            <v>13494904.279999999</v>
          </cell>
          <cell r="CK115">
            <v>163360057.19</v>
          </cell>
          <cell r="CM115">
            <v>2127340</v>
          </cell>
          <cell r="CN115">
            <v>337300</v>
          </cell>
          <cell r="CO115">
            <v>0</v>
          </cell>
          <cell r="CP115">
            <v>0</v>
          </cell>
          <cell r="CQ115">
            <v>0</v>
          </cell>
          <cell r="CR115">
            <v>0</v>
          </cell>
          <cell r="CS115">
            <v>162714</v>
          </cell>
          <cell r="CT115">
            <v>0</v>
          </cell>
          <cell r="CV115">
            <v>0</v>
          </cell>
          <cell r="CW115">
            <v>1346526</v>
          </cell>
          <cell r="CX115">
            <v>1056083</v>
          </cell>
          <cell r="CY115">
            <v>290443</v>
          </cell>
        </row>
        <row r="116">
          <cell r="A116">
            <v>865</v>
          </cell>
          <cell r="B116">
            <v>185524962</v>
          </cell>
          <cell r="C116">
            <v>8393129</v>
          </cell>
          <cell r="D116">
            <v>11840654</v>
          </cell>
          <cell r="E116">
            <v>0</v>
          </cell>
          <cell r="F116">
            <v>6862247</v>
          </cell>
          <cell r="G116">
            <v>0</v>
          </cell>
          <cell r="H116">
            <v>0</v>
          </cell>
          <cell r="I116">
            <v>3228880</v>
          </cell>
          <cell r="J116">
            <v>859813</v>
          </cell>
          <cell r="K116">
            <v>588551</v>
          </cell>
          <cell r="L116">
            <v>1227250</v>
          </cell>
          <cell r="M116">
            <v>17999</v>
          </cell>
          <cell r="N116">
            <v>1772272</v>
          </cell>
          <cell r="O116">
            <v>6439824</v>
          </cell>
          <cell r="P116">
            <v>2491252</v>
          </cell>
          <cell r="Q116">
            <v>725877</v>
          </cell>
          <cell r="R116">
            <v>266514</v>
          </cell>
          <cell r="S116">
            <v>0</v>
          </cell>
          <cell r="T116">
            <v>10049836</v>
          </cell>
          <cell r="U116">
            <v>0</v>
          </cell>
          <cell r="V116">
            <v>27681</v>
          </cell>
          <cell r="W116">
            <v>36771</v>
          </cell>
          <cell r="X116">
            <v>0</v>
          </cell>
          <cell r="Y116">
            <v>5154</v>
          </cell>
          <cell r="Z116">
            <v>74760</v>
          </cell>
          <cell r="AA116">
            <v>0</v>
          </cell>
          <cell r="AB116">
            <v>0</v>
          </cell>
          <cell r="AC116">
            <v>0</v>
          </cell>
          <cell r="AD116">
            <v>196776</v>
          </cell>
          <cell r="AE116">
            <v>300357</v>
          </cell>
          <cell r="AF116">
            <v>396440</v>
          </cell>
          <cell r="AG116">
            <v>212287</v>
          </cell>
          <cell r="AH116">
            <v>695</v>
          </cell>
          <cell r="AI116">
            <v>567352</v>
          </cell>
          <cell r="AJ116">
            <v>757002</v>
          </cell>
          <cell r="AK116">
            <v>0</v>
          </cell>
          <cell r="AL116">
            <v>0</v>
          </cell>
          <cell r="AM116">
            <v>0</v>
          </cell>
          <cell r="AN116">
            <v>157612</v>
          </cell>
          <cell r="AO116">
            <v>1287368</v>
          </cell>
          <cell r="AP116">
            <v>0</v>
          </cell>
          <cell r="AQ116">
            <v>244309315</v>
          </cell>
          <cell r="AR116">
            <v>3904055</v>
          </cell>
          <cell r="AS116">
            <v>436734</v>
          </cell>
          <cell r="AT116">
            <v>1661209</v>
          </cell>
          <cell r="AU116">
            <v>155921</v>
          </cell>
          <cell r="AV116">
            <v>0</v>
          </cell>
          <cell r="AW116">
            <v>0</v>
          </cell>
          <cell r="AX116">
            <v>0</v>
          </cell>
          <cell r="AY116">
            <v>6157919</v>
          </cell>
          <cell r="AZ116">
            <v>3755764</v>
          </cell>
          <cell r="BA116">
            <v>0</v>
          </cell>
          <cell r="BB116">
            <v>40348</v>
          </cell>
          <cell r="BC116">
            <v>0</v>
          </cell>
          <cell r="BD116">
            <v>3796112</v>
          </cell>
          <cell r="BE116">
            <v>1378169</v>
          </cell>
          <cell r="BF116">
            <v>776191</v>
          </cell>
          <cell r="BG116">
            <v>23327</v>
          </cell>
          <cell r="BH116">
            <v>4175</v>
          </cell>
          <cell r="BI116">
            <v>78451</v>
          </cell>
          <cell r="BJ116">
            <v>104496</v>
          </cell>
          <cell r="BK116">
            <v>2364809</v>
          </cell>
          <cell r="BL116">
            <v>2991561</v>
          </cell>
          <cell r="BM116">
            <v>293346</v>
          </cell>
          <cell r="BN116">
            <v>905225</v>
          </cell>
          <cell r="BO116">
            <v>4955</v>
          </cell>
          <cell r="BP116">
            <v>0</v>
          </cell>
          <cell r="BQ116">
            <v>78839</v>
          </cell>
          <cell r="BR116">
            <v>16290074</v>
          </cell>
          <cell r="BS116">
            <v>451374</v>
          </cell>
          <cell r="BT116">
            <v>10568</v>
          </cell>
          <cell r="BU116">
            <v>5004</v>
          </cell>
          <cell r="BV116">
            <v>89290</v>
          </cell>
          <cell r="BW116">
            <v>4305684</v>
          </cell>
          <cell r="BX116">
            <v>8650070</v>
          </cell>
          <cell r="BY116">
            <v>169770</v>
          </cell>
          <cell r="BZ116">
            <v>1325949</v>
          </cell>
          <cell r="CA116">
            <v>166000</v>
          </cell>
          <cell r="CB116">
            <v>31766475</v>
          </cell>
          <cell r="CC116">
            <v>3041811</v>
          </cell>
          <cell r="CD116">
            <v>258851</v>
          </cell>
          <cell r="CE116">
            <v>747970</v>
          </cell>
          <cell r="CF116">
            <v>306916</v>
          </cell>
          <cell r="CG116">
            <v>0</v>
          </cell>
          <cell r="CH116">
            <v>0</v>
          </cell>
          <cell r="CI116">
            <v>4355548</v>
          </cell>
          <cell r="CJ116">
            <v>36122023</v>
          </cell>
          <cell r="CK116">
            <v>280431338</v>
          </cell>
          <cell r="CM116">
            <v>15197055</v>
          </cell>
          <cell r="CN116">
            <v>238388</v>
          </cell>
          <cell r="CO116">
            <v>108488</v>
          </cell>
          <cell r="CP116">
            <v>0</v>
          </cell>
          <cell r="CQ116">
            <v>0</v>
          </cell>
          <cell r="CR116">
            <v>0</v>
          </cell>
          <cell r="CS116">
            <v>757791</v>
          </cell>
          <cell r="CT116">
            <v>0</v>
          </cell>
          <cell r="CV116">
            <v>0</v>
          </cell>
          <cell r="CW116">
            <v>18697000</v>
          </cell>
          <cell r="CX116">
            <v>4330318</v>
          </cell>
          <cell r="CY116">
            <v>2254103</v>
          </cell>
        </row>
        <row r="117">
          <cell r="A117">
            <v>866</v>
          </cell>
          <cell r="B117">
            <v>81186670</v>
          </cell>
          <cell r="C117">
            <v>3391214</v>
          </cell>
          <cell r="D117">
            <v>6861141</v>
          </cell>
          <cell r="E117">
            <v>886066</v>
          </cell>
          <cell r="F117">
            <v>2560000</v>
          </cell>
          <cell r="G117">
            <v>0</v>
          </cell>
          <cell r="H117">
            <v>375000</v>
          </cell>
          <cell r="I117">
            <v>118409</v>
          </cell>
          <cell r="J117">
            <v>578052</v>
          </cell>
          <cell r="K117">
            <v>0</v>
          </cell>
          <cell r="L117">
            <v>675984</v>
          </cell>
          <cell r="M117">
            <v>63776</v>
          </cell>
          <cell r="N117">
            <v>24724</v>
          </cell>
          <cell r="O117">
            <v>1721702</v>
          </cell>
          <cell r="P117">
            <v>607846</v>
          </cell>
          <cell r="Q117">
            <v>896567</v>
          </cell>
          <cell r="R117">
            <v>1138222</v>
          </cell>
          <cell r="S117">
            <v>0</v>
          </cell>
          <cell r="T117">
            <v>5152085</v>
          </cell>
          <cell r="U117">
            <v>0</v>
          </cell>
          <cell r="V117">
            <v>31000</v>
          </cell>
          <cell r="W117">
            <v>6000</v>
          </cell>
          <cell r="X117">
            <v>0</v>
          </cell>
          <cell r="Y117">
            <v>0</v>
          </cell>
          <cell r="Z117">
            <v>0</v>
          </cell>
          <cell r="AA117">
            <v>0</v>
          </cell>
          <cell r="AB117">
            <v>50000</v>
          </cell>
          <cell r="AC117">
            <v>0</v>
          </cell>
          <cell r="AD117">
            <v>155059</v>
          </cell>
          <cell r="AE117">
            <v>0</v>
          </cell>
          <cell r="AF117">
            <v>478411</v>
          </cell>
          <cell r="AG117">
            <v>75000</v>
          </cell>
          <cell r="AH117">
            <v>20629</v>
          </cell>
          <cell r="AI117">
            <v>315116</v>
          </cell>
          <cell r="AJ117">
            <v>347102</v>
          </cell>
          <cell r="AK117">
            <v>0</v>
          </cell>
          <cell r="AL117">
            <v>159387</v>
          </cell>
          <cell r="AM117">
            <v>0</v>
          </cell>
          <cell r="AN117">
            <v>99750</v>
          </cell>
          <cell r="AO117">
            <v>3138783</v>
          </cell>
          <cell r="AP117">
            <v>0</v>
          </cell>
          <cell r="AQ117">
            <v>111113695</v>
          </cell>
          <cell r="AR117">
            <v>2597370</v>
          </cell>
          <cell r="AS117">
            <v>319803</v>
          </cell>
          <cell r="AT117">
            <v>0</v>
          </cell>
          <cell r="AU117">
            <v>0</v>
          </cell>
          <cell r="AV117">
            <v>0</v>
          </cell>
          <cell r="AW117">
            <v>0</v>
          </cell>
          <cell r="AX117">
            <v>0</v>
          </cell>
          <cell r="AY117">
            <v>2917173</v>
          </cell>
          <cell r="AZ117">
            <v>162060</v>
          </cell>
          <cell r="BA117">
            <v>0</v>
          </cell>
          <cell r="BB117">
            <v>185250</v>
          </cell>
          <cell r="BC117">
            <v>0</v>
          </cell>
          <cell r="BD117">
            <v>347310</v>
          </cell>
          <cell r="BE117">
            <v>606718</v>
          </cell>
          <cell r="BF117">
            <v>237114</v>
          </cell>
          <cell r="BG117">
            <v>0</v>
          </cell>
          <cell r="BH117">
            <v>0</v>
          </cell>
          <cell r="BI117">
            <v>193696</v>
          </cell>
          <cell r="BJ117">
            <v>202080</v>
          </cell>
          <cell r="BK117">
            <v>1239608</v>
          </cell>
          <cell r="BL117">
            <v>1715594</v>
          </cell>
          <cell r="BM117">
            <v>67392</v>
          </cell>
          <cell r="BN117">
            <v>457668</v>
          </cell>
          <cell r="BO117">
            <v>154973</v>
          </cell>
          <cell r="BP117">
            <v>0</v>
          </cell>
          <cell r="BQ117">
            <v>472103</v>
          </cell>
          <cell r="BR117">
            <v>4072906</v>
          </cell>
          <cell r="BS117">
            <v>207819</v>
          </cell>
          <cell r="BT117">
            <v>0</v>
          </cell>
          <cell r="BU117">
            <v>0</v>
          </cell>
          <cell r="BV117">
            <v>0</v>
          </cell>
          <cell r="BW117">
            <v>1404303</v>
          </cell>
          <cell r="BX117">
            <v>1308648</v>
          </cell>
          <cell r="BY117">
            <v>0</v>
          </cell>
          <cell r="BZ117">
            <v>0</v>
          </cell>
          <cell r="CA117">
            <v>34515</v>
          </cell>
          <cell r="CB117">
            <v>10327106</v>
          </cell>
          <cell r="CC117">
            <v>2090044</v>
          </cell>
          <cell r="CD117">
            <v>1375943</v>
          </cell>
          <cell r="CE117">
            <v>211426</v>
          </cell>
          <cell r="CF117">
            <v>137090</v>
          </cell>
          <cell r="CG117">
            <v>26252</v>
          </cell>
          <cell r="CH117">
            <v>0</v>
          </cell>
          <cell r="CI117">
            <v>3840755</v>
          </cell>
          <cell r="CJ117">
            <v>14167861</v>
          </cell>
          <cell r="CK117">
            <v>125281556</v>
          </cell>
          <cell r="CM117">
            <v>1443579</v>
          </cell>
          <cell r="CN117">
            <v>252130</v>
          </cell>
          <cell r="CO117">
            <v>0</v>
          </cell>
          <cell r="CP117">
            <v>0</v>
          </cell>
          <cell r="CQ117">
            <v>0</v>
          </cell>
          <cell r="CR117">
            <v>0</v>
          </cell>
          <cell r="CS117">
            <v>296254</v>
          </cell>
          <cell r="CT117">
            <v>0</v>
          </cell>
          <cell r="CV117">
            <v>0</v>
          </cell>
          <cell r="CW117">
            <v>6019000</v>
          </cell>
          <cell r="CX117">
            <v>1774345</v>
          </cell>
          <cell r="CY117">
            <v>478758</v>
          </cell>
        </row>
        <row r="118">
          <cell r="A118">
            <v>867</v>
          </cell>
          <cell r="B118">
            <v>44919887</v>
          </cell>
          <cell r="C118">
            <v>1626348</v>
          </cell>
          <cell r="D118">
            <v>2806757</v>
          </cell>
          <cell r="E118">
            <v>0</v>
          </cell>
          <cell r="F118">
            <v>1416850</v>
          </cell>
          <cell r="G118">
            <v>0</v>
          </cell>
          <cell r="H118">
            <v>226620</v>
          </cell>
          <cell r="I118">
            <v>266348</v>
          </cell>
          <cell r="J118">
            <v>118974</v>
          </cell>
          <cell r="K118">
            <v>51565</v>
          </cell>
          <cell r="L118">
            <v>120506</v>
          </cell>
          <cell r="M118">
            <v>10180</v>
          </cell>
          <cell r="N118">
            <v>1428490</v>
          </cell>
          <cell r="O118">
            <v>1916560</v>
          </cell>
          <cell r="P118">
            <v>582717</v>
          </cell>
          <cell r="Q118">
            <v>232774</v>
          </cell>
          <cell r="R118">
            <v>356792</v>
          </cell>
          <cell r="S118">
            <v>0</v>
          </cell>
          <cell r="T118">
            <v>3164375</v>
          </cell>
          <cell r="U118">
            <v>0</v>
          </cell>
          <cell r="V118">
            <v>0</v>
          </cell>
          <cell r="W118">
            <v>27910</v>
          </cell>
          <cell r="X118">
            <v>0</v>
          </cell>
          <cell r="Y118">
            <v>0</v>
          </cell>
          <cell r="Z118">
            <v>0</v>
          </cell>
          <cell r="AA118">
            <v>0</v>
          </cell>
          <cell r="AB118">
            <v>0</v>
          </cell>
          <cell r="AC118">
            <v>0</v>
          </cell>
          <cell r="AD118">
            <v>103440</v>
          </cell>
          <cell r="AE118">
            <v>54050</v>
          </cell>
          <cell r="AF118">
            <v>25900</v>
          </cell>
          <cell r="AG118">
            <v>26700</v>
          </cell>
          <cell r="AH118">
            <v>24480</v>
          </cell>
          <cell r="AI118">
            <v>211880</v>
          </cell>
          <cell r="AJ118">
            <v>163546</v>
          </cell>
          <cell r="AK118">
            <v>153280</v>
          </cell>
          <cell r="AL118">
            <v>0</v>
          </cell>
          <cell r="AM118">
            <v>55030</v>
          </cell>
          <cell r="AN118">
            <v>41810</v>
          </cell>
          <cell r="AO118">
            <v>212705</v>
          </cell>
          <cell r="AP118">
            <v>0</v>
          </cell>
          <cell r="AQ118">
            <v>60346474</v>
          </cell>
          <cell r="AR118">
            <v>1646403</v>
          </cell>
          <cell r="AS118">
            <v>166490</v>
          </cell>
          <cell r="AT118">
            <v>192220</v>
          </cell>
          <cell r="AU118">
            <v>0</v>
          </cell>
          <cell r="AV118">
            <v>0</v>
          </cell>
          <cell r="AW118">
            <v>0</v>
          </cell>
          <cell r="AX118">
            <v>10020</v>
          </cell>
          <cell r="AY118">
            <v>2015133</v>
          </cell>
          <cell r="AZ118">
            <v>1255112</v>
          </cell>
          <cell r="BA118">
            <v>0</v>
          </cell>
          <cell r="BB118">
            <v>0</v>
          </cell>
          <cell r="BC118">
            <v>0</v>
          </cell>
          <cell r="BD118">
            <v>1255112</v>
          </cell>
          <cell r="BE118">
            <v>371878</v>
          </cell>
          <cell r="BF118">
            <v>174729</v>
          </cell>
          <cell r="BG118">
            <v>17354</v>
          </cell>
          <cell r="BH118">
            <v>103220</v>
          </cell>
          <cell r="BI118">
            <v>19960</v>
          </cell>
          <cell r="BJ118">
            <v>49283</v>
          </cell>
          <cell r="BK118">
            <v>736424</v>
          </cell>
          <cell r="BL118">
            <v>822987</v>
          </cell>
          <cell r="BM118">
            <v>127822</v>
          </cell>
          <cell r="BN118">
            <v>423499</v>
          </cell>
          <cell r="BO118">
            <v>93420</v>
          </cell>
          <cell r="BP118">
            <v>25910</v>
          </cell>
          <cell r="BQ118">
            <v>0</v>
          </cell>
          <cell r="BR118">
            <v>2985080</v>
          </cell>
          <cell r="BS118">
            <v>22367</v>
          </cell>
          <cell r="BT118">
            <v>121251</v>
          </cell>
          <cell r="BU118">
            <v>4290</v>
          </cell>
          <cell r="BV118">
            <v>0</v>
          </cell>
          <cell r="BW118">
            <v>1467021</v>
          </cell>
          <cell r="BX118">
            <v>595590</v>
          </cell>
          <cell r="BY118">
            <v>10391</v>
          </cell>
          <cell r="BZ118">
            <v>93519</v>
          </cell>
          <cell r="CA118">
            <v>0</v>
          </cell>
          <cell r="CB118">
            <v>7814736</v>
          </cell>
          <cell r="CC118">
            <v>1258900</v>
          </cell>
          <cell r="CD118">
            <v>640670</v>
          </cell>
          <cell r="CE118">
            <v>13000</v>
          </cell>
          <cell r="CF118">
            <v>102804</v>
          </cell>
          <cell r="CG118">
            <v>0</v>
          </cell>
          <cell r="CH118">
            <v>0</v>
          </cell>
          <cell r="CI118">
            <v>2015374</v>
          </cell>
          <cell r="CJ118">
            <v>9830110</v>
          </cell>
          <cell r="CK118">
            <v>70176584</v>
          </cell>
          <cell r="CM118">
            <v>3669836</v>
          </cell>
          <cell r="CN118">
            <v>231750</v>
          </cell>
          <cell r="CO118">
            <v>0</v>
          </cell>
          <cell r="CP118">
            <v>0</v>
          </cell>
          <cell r="CQ118">
            <v>0</v>
          </cell>
          <cell r="CR118">
            <v>0</v>
          </cell>
          <cell r="CS118">
            <v>267790</v>
          </cell>
          <cell r="CT118">
            <v>0</v>
          </cell>
          <cell r="CV118">
            <v>0</v>
          </cell>
          <cell r="CW118">
            <v>5780185</v>
          </cell>
          <cell r="CX118">
            <v>1098468</v>
          </cell>
          <cell r="CY118">
            <v>17422</v>
          </cell>
        </row>
        <row r="119">
          <cell r="A119">
            <v>868</v>
          </cell>
          <cell r="B119">
            <v>60194737</v>
          </cell>
          <cell r="C119">
            <v>2451717</v>
          </cell>
          <cell r="D119">
            <v>5240005</v>
          </cell>
          <cell r="E119">
            <v>0</v>
          </cell>
          <cell r="F119">
            <v>1850360</v>
          </cell>
          <cell r="G119">
            <v>0</v>
          </cell>
          <cell r="H119">
            <v>0</v>
          </cell>
          <cell r="I119">
            <v>706756</v>
          </cell>
          <cell r="J119">
            <v>0</v>
          </cell>
          <cell r="K119">
            <v>0</v>
          </cell>
          <cell r="L119">
            <v>909506</v>
          </cell>
          <cell r="M119">
            <v>68998</v>
          </cell>
          <cell r="N119">
            <v>1165800</v>
          </cell>
          <cell r="O119">
            <v>2916590</v>
          </cell>
          <cell r="P119">
            <v>544366</v>
          </cell>
          <cell r="Q119">
            <v>297416</v>
          </cell>
          <cell r="R119">
            <v>85640</v>
          </cell>
          <cell r="S119">
            <v>201160</v>
          </cell>
          <cell r="T119">
            <v>2387880</v>
          </cell>
          <cell r="U119">
            <v>0</v>
          </cell>
          <cell r="V119">
            <v>0</v>
          </cell>
          <cell r="W119">
            <v>58300</v>
          </cell>
          <cell r="X119">
            <v>20400</v>
          </cell>
          <cell r="Y119">
            <v>0</v>
          </cell>
          <cell r="Z119">
            <v>0</v>
          </cell>
          <cell r="AA119">
            <v>0</v>
          </cell>
          <cell r="AB119">
            <v>0</v>
          </cell>
          <cell r="AC119">
            <v>8740</v>
          </cell>
          <cell r="AD119">
            <v>237120</v>
          </cell>
          <cell r="AE119">
            <v>144780</v>
          </cell>
          <cell r="AF119">
            <v>41480</v>
          </cell>
          <cell r="AG119">
            <v>75650</v>
          </cell>
          <cell r="AH119">
            <v>12500</v>
          </cell>
          <cell r="AI119">
            <v>161380</v>
          </cell>
          <cell r="AJ119">
            <v>984136</v>
          </cell>
          <cell r="AK119">
            <v>47680</v>
          </cell>
          <cell r="AL119">
            <v>0</v>
          </cell>
          <cell r="AM119">
            <v>0</v>
          </cell>
          <cell r="AN119">
            <v>100000</v>
          </cell>
          <cell r="AO119">
            <v>0</v>
          </cell>
          <cell r="AP119">
            <v>0</v>
          </cell>
          <cell r="AQ119">
            <v>80913097</v>
          </cell>
          <cell r="AR119">
            <v>1558640</v>
          </cell>
          <cell r="AS119">
            <v>296210</v>
          </cell>
          <cell r="AT119">
            <v>14330</v>
          </cell>
          <cell r="AU119">
            <v>27300</v>
          </cell>
          <cell r="AV119">
            <v>0</v>
          </cell>
          <cell r="AW119">
            <v>3090</v>
          </cell>
          <cell r="AX119">
            <v>41200</v>
          </cell>
          <cell r="AY119">
            <v>1940770</v>
          </cell>
          <cell r="AZ119">
            <v>980997</v>
          </cell>
          <cell r="BA119">
            <v>0</v>
          </cell>
          <cell r="BB119">
            <v>0</v>
          </cell>
          <cell r="BC119">
            <v>0</v>
          </cell>
          <cell r="BD119">
            <v>980997</v>
          </cell>
          <cell r="BE119">
            <v>548600</v>
          </cell>
          <cell r="BF119">
            <v>237650</v>
          </cell>
          <cell r="BG119">
            <v>25500</v>
          </cell>
          <cell r="BH119">
            <v>183170</v>
          </cell>
          <cell r="BI119">
            <v>48240</v>
          </cell>
          <cell r="BJ119">
            <v>33060</v>
          </cell>
          <cell r="BK119">
            <v>1076220</v>
          </cell>
          <cell r="BL119">
            <v>696400</v>
          </cell>
          <cell r="BM119">
            <v>150160</v>
          </cell>
          <cell r="BN119">
            <v>343490</v>
          </cell>
          <cell r="BO119">
            <v>45940</v>
          </cell>
          <cell r="BP119">
            <v>0</v>
          </cell>
          <cell r="BQ119">
            <v>48060</v>
          </cell>
          <cell r="BR119">
            <v>2899910</v>
          </cell>
          <cell r="BS119">
            <v>72000</v>
          </cell>
          <cell r="BT119">
            <v>0</v>
          </cell>
          <cell r="BU119">
            <v>3760</v>
          </cell>
          <cell r="BV119">
            <v>0</v>
          </cell>
          <cell r="BW119">
            <v>1340662</v>
          </cell>
          <cell r="BX119">
            <v>838362</v>
          </cell>
          <cell r="BY119">
            <v>0</v>
          </cell>
          <cell r="BZ119">
            <v>57476</v>
          </cell>
          <cell r="CA119">
            <v>0</v>
          </cell>
          <cell r="CB119">
            <v>7594297</v>
          </cell>
          <cell r="CC119">
            <v>1203280</v>
          </cell>
          <cell r="CD119">
            <v>694668</v>
          </cell>
          <cell r="CE119">
            <v>0</v>
          </cell>
          <cell r="CF119">
            <v>159940</v>
          </cell>
          <cell r="CG119">
            <v>7470</v>
          </cell>
          <cell r="CH119">
            <v>0</v>
          </cell>
          <cell r="CI119">
            <v>2065358</v>
          </cell>
          <cell r="CJ119">
            <v>9659655</v>
          </cell>
          <cell r="CK119">
            <v>90572752</v>
          </cell>
          <cell r="CM119">
            <v>7756518</v>
          </cell>
          <cell r="CN119">
            <v>0</v>
          </cell>
          <cell r="CO119">
            <v>89837</v>
          </cell>
          <cell r="CP119">
            <v>0</v>
          </cell>
          <cell r="CQ119">
            <v>0</v>
          </cell>
          <cell r="CR119">
            <v>0</v>
          </cell>
          <cell r="CS119">
            <v>217000</v>
          </cell>
          <cell r="CT119">
            <v>0</v>
          </cell>
          <cell r="CV119">
            <v>0</v>
          </cell>
          <cell r="CW119">
            <v>4839000</v>
          </cell>
          <cell r="CX119">
            <v>1564480</v>
          </cell>
          <cell r="CY119">
            <v>23264</v>
          </cell>
        </row>
        <row r="120">
          <cell r="A120">
            <v>869</v>
          </cell>
          <cell r="B120">
            <v>79314681</v>
          </cell>
          <cell r="C120">
            <v>2796344</v>
          </cell>
          <cell r="D120">
            <v>4518982</v>
          </cell>
          <cell r="E120">
            <v>0</v>
          </cell>
          <cell r="F120">
            <v>2621914</v>
          </cell>
          <cell r="G120">
            <v>0</v>
          </cell>
          <cell r="H120">
            <v>75000</v>
          </cell>
          <cell r="I120">
            <v>247804</v>
          </cell>
          <cell r="J120">
            <v>603183</v>
          </cell>
          <cell r="K120">
            <v>34768</v>
          </cell>
          <cell r="L120">
            <v>106369</v>
          </cell>
          <cell r="M120">
            <v>25020</v>
          </cell>
          <cell r="N120">
            <v>942990</v>
          </cell>
          <cell r="O120">
            <v>1919588</v>
          </cell>
          <cell r="P120">
            <v>978857</v>
          </cell>
          <cell r="Q120">
            <v>298501</v>
          </cell>
          <cell r="R120">
            <v>123274</v>
          </cell>
          <cell r="S120">
            <v>0</v>
          </cell>
          <cell r="T120">
            <v>2097262</v>
          </cell>
          <cell r="U120">
            <v>282152</v>
          </cell>
          <cell r="V120">
            <v>7351</v>
          </cell>
          <cell r="W120">
            <v>31010</v>
          </cell>
          <cell r="X120">
            <v>3310</v>
          </cell>
          <cell r="Y120">
            <v>0</v>
          </cell>
          <cell r="Z120">
            <v>0</v>
          </cell>
          <cell r="AA120">
            <v>0</v>
          </cell>
          <cell r="AB120">
            <v>3050</v>
          </cell>
          <cell r="AC120">
            <v>10668</v>
          </cell>
          <cell r="AD120">
            <v>217064</v>
          </cell>
          <cell r="AE120">
            <v>0</v>
          </cell>
          <cell r="AF120">
            <v>87000</v>
          </cell>
          <cell r="AG120">
            <v>118336</v>
          </cell>
          <cell r="AH120">
            <v>10860</v>
          </cell>
          <cell r="AI120">
            <v>331737</v>
          </cell>
          <cell r="AJ120">
            <v>1078651</v>
          </cell>
          <cell r="AK120">
            <v>1047350</v>
          </cell>
          <cell r="AL120">
            <v>0</v>
          </cell>
          <cell r="AM120">
            <v>0</v>
          </cell>
          <cell r="AN120">
            <v>59085</v>
          </cell>
          <cell r="AO120">
            <v>1271016</v>
          </cell>
          <cell r="AP120">
            <v>0</v>
          </cell>
          <cell r="AQ120">
            <v>101263177</v>
          </cell>
          <cell r="AR120">
            <v>1069885</v>
          </cell>
          <cell r="AS120">
            <v>317359</v>
          </cell>
          <cell r="AT120">
            <v>68074</v>
          </cell>
          <cell r="AU120">
            <v>0</v>
          </cell>
          <cell r="AV120">
            <v>0</v>
          </cell>
          <cell r="AW120">
            <v>80060</v>
          </cell>
          <cell r="AX120">
            <v>14039</v>
          </cell>
          <cell r="AY120">
            <v>1549417</v>
          </cell>
          <cell r="AZ120">
            <v>1248449</v>
          </cell>
          <cell r="BA120">
            <v>0</v>
          </cell>
          <cell r="BB120">
            <v>0</v>
          </cell>
          <cell r="BC120">
            <v>5000</v>
          </cell>
          <cell r="BD120">
            <v>1253449</v>
          </cell>
          <cell r="BE120">
            <v>390789</v>
          </cell>
          <cell r="BF120">
            <v>89358</v>
          </cell>
          <cell r="BG120">
            <v>86169</v>
          </cell>
          <cell r="BH120">
            <v>135775</v>
          </cell>
          <cell r="BI120">
            <v>46804</v>
          </cell>
          <cell r="BJ120">
            <v>23398</v>
          </cell>
          <cell r="BK120">
            <v>772293</v>
          </cell>
          <cell r="BL120">
            <v>607420</v>
          </cell>
          <cell r="BM120">
            <v>35257</v>
          </cell>
          <cell r="BN120">
            <v>303790</v>
          </cell>
          <cell r="BO120">
            <v>0</v>
          </cell>
          <cell r="BP120">
            <v>0</v>
          </cell>
          <cell r="BQ120">
            <v>299260</v>
          </cell>
          <cell r="BR120">
            <v>4150416</v>
          </cell>
          <cell r="BS120">
            <v>28891</v>
          </cell>
          <cell r="BT120">
            <v>18019</v>
          </cell>
          <cell r="BU120">
            <v>34459</v>
          </cell>
          <cell r="BV120">
            <v>114675</v>
          </cell>
          <cell r="BW120">
            <v>1686582</v>
          </cell>
          <cell r="BX120">
            <v>1513889</v>
          </cell>
          <cell r="BY120">
            <v>160</v>
          </cell>
          <cell r="BZ120">
            <v>115434</v>
          </cell>
          <cell r="CA120">
            <v>637109</v>
          </cell>
          <cell r="CB120">
            <v>8970104</v>
          </cell>
          <cell r="CC120">
            <v>1690455</v>
          </cell>
          <cell r="CD120">
            <v>622531</v>
          </cell>
          <cell r="CE120">
            <v>238681</v>
          </cell>
          <cell r="CF120">
            <v>17642</v>
          </cell>
          <cell r="CG120">
            <v>0</v>
          </cell>
          <cell r="CH120">
            <v>0</v>
          </cell>
          <cell r="CI120">
            <v>2569309</v>
          </cell>
          <cell r="CJ120">
            <v>11539413</v>
          </cell>
          <cell r="CK120">
            <v>112802590</v>
          </cell>
          <cell r="CM120">
            <v>10434674</v>
          </cell>
          <cell r="CN120">
            <v>233910</v>
          </cell>
          <cell r="CO120">
            <v>0</v>
          </cell>
          <cell r="CP120">
            <v>0</v>
          </cell>
          <cell r="CQ120">
            <v>0</v>
          </cell>
          <cell r="CR120">
            <v>0</v>
          </cell>
          <cell r="CS120">
            <v>177600</v>
          </cell>
          <cell r="CT120">
            <v>0</v>
          </cell>
          <cell r="CV120">
            <v>0</v>
          </cell>
          <cell r="CW120">
            <v>6697165</v>
          </cell>
          <cell r="CX120">
            <v>1608695</v>
          </cell>
          <cell r="CY120">
            <v>637109</v>
          </cell>
        </row>
        <row r="121">
          <cell r="A121">
            <v>870</v>
          </cell>
          <cell r="B121">
            <v>52084615</v>
          </cell>
          <cell r="C121">
            <v>2014971</v>
          </cell>
          <cell r="D121">
            <v>5262358</v>
          </cell>
          <cell r="E121">
            <v>512671</v>
          </cell>
          <cell r="F121">
            <v>1493976</v>
          </cell>
          <cell r="G121">
            <v>0</v>
          </cell>
          <cell r="H121">
            <v>0</v>
          </cell>
          <cell r="I121">
            <v>0</v>
          </cell>
          <cell r="J121">
            <v>0</v>
          </cell>
          <cell r="K121">
            <v>328193</v>
          </cell>
          <cell r="L121">
            <v>156461</v>
          </cell>
          <cell r="M121">
            <v>776225</v>
          </cell>
          <cell r="N121">
            <v>2523674</v>
          </cell>
          <cell r="O121">
            <v>1288558</v>
          </cell>
          <cell r="P121">
            <v>1365439</v>
          </cell>
          <cell r="Q121">
            <v>417708</v>
          </cell>
          <cell r="R121">
            <v>91066</v>
          </cell>
          <cell r="S121">
            <v>356920</v>
          </cell>
          <cell r="T121">
            <v>3210642</v>
          </cell>
          <cell r="U121">
            <v>38772</v>
          </cell>
          <cell r="V121">
            <v>0</v>
          </cell>
          <cell r="W121">
            <v>60535</v>
          </cell>
          <cell r="X121">
            <v>170204</v>
          </cell>
          <cell r="Y121">
            <v>0</v>
          </cell>
          <cell r="Z121">
            <v>329</v>
          </cell>
          <cell r="AA121">
            <v>0</v>
          </cell>
          <cell r="AB121">
            <v>0</v>
          </cell>
          <cell r="AC121">
            <v>3951</v>
          </cell>
          <cell r="AD121">
            <v>128551</v>
          </cell>
          <cell r="AE121">
            <v>26954</v>
          </cell>
          <cell r="AF121">
            <v>94700</v>
          </cell>
          <cell r="AG121">
            <v>0</v>
          </cell>
          <cell r="AH121">
            <v>0</v>
          </cell>
          <cell r="AI121">
            <v>43977</v>
          </cell>
          <cell r="AJ121">
            <v>458623</v>
          </cell>
          <cell r="AK121">
            <v>1295908</v>
          </cell>
          <cell r="AL121">
            <v>201185</v>
          </cell>
          <cell r="AM121">
            <v>0</v>
          </cell>
          <cell r="AN121">
            <v>126110</v>
          </cell>
          <cell r="AO121">
            <v>0</v>
          </cell>
          <cell r="AP121">
            <v>0</v>
          </cell>
          <cell r="AQ121">
            <v>74533276</v>
          </cell>
          <cell r="AR121">
            <v>1160596</v>
          </cell>
          <cell r="AS121">
            <v>193066</v>
          </cell>
          <cell r="AT121">
            <v>298440</v>
          </cell>
          <cell r="AU121">
            <v>0</v>
          </cell>
          <cell r="AV121">
            <v>0</v>
          </cell>
          <cell r="AW121">
            <v>113560</v>
          </cell>
          <cell r="AX121">
            <v>7000</v>
          </cell>
          <cell r="AY121">
            <v>1772662</v>
          </cell>
          <cell r="AZ121">
            <v>2859688</v>
          </cell>
          <cell r="BA121">
            <v>1618306</v>
          </cell>
          <cell r="BB121">
            <v>30947</v>
          </cell>
          <cell r="BC121">
            <v>0</v>
          </cell>
          <cell r="BD121">
            <v>4508941</v>
          </cell>
          <cell r="BE121">
            <v>488818</v>
          </cell>
          <cell r="BF121">
            <v>202556</v>
          </cell>
          <cell r="BG121">
            <v>25843</v>
          </cell>
          <cell r="BH121">
            <v>125091</v>
          </cell>
          <cell r="BI121">
            <v>36886</v>
          </cell>
          <cell r="BJ121">
            <v>304540</v>
          </cell>
          <cell r="BK121">
            <v>1183734</v>
          </cell>
          <cell r="BL121">
            <v>612309</v>
          </cell>
          <cell r="BM121">
            <v>128498</v>
          </cell>
          <cell r="BN121">
            <v>369191</v>
          </cell>
          <cell r="BO121">
            <v>0</v>
          </cell>
          <cell r="BP121">
            <v>0</v>
          </cell>
          <cell r="BQ121">
            <v>21200</v>
          </cell>
          <cell r="BR121">
            <v>2254058</v>
          </cell>
          <cell r="BS121">
            <v>42851</v>
          </cell>
          <cell r="BT121">
            <v>78490</v>
          </cell>
          <cell r="BU121">
            <v>81869</v>
          </cell>
          <cell r="BV121">
            <v>0</v>
          </cell>
          <cell r="BW121">
            <v>1297289</v>
          </cell>
          <cell r="BX121">
            <v>160310</v>
          </cell>
          <cell r="BY121">
            <v>43000</v>
          </cell>
          <cell r="BZ121">
            <v>31360</v>
          </cell>
          <cell r="CA121">
            <v>260808</v>
          </cell>
          <cell r="CB121">
            <v>10592512</v>
          </cell>
          <cell r="CC121">
            <v>2286345</v>
          </cell>
          <cell r="CD121">
            <v>2335839</v>
          </cell>
          <cell r="CE121">
            <v>42569</v>
          </cell>
          <cell r="CF121">
            <v>122252</v>
          </cell>
          <cell r="CG121">
            <v>20502</v>
          </cell>
          <cell r="CH121">
            <v>0</v>
          </cell>
          <cell r="CI121">
            <v>4807507</v>
          </cell>
          <cell r="CJ121">
            <v>15400019</v>
          </cell>
          <cell r="CK121">
            <v>89933295</v>
          </cell>
          <cell r="CM121">
            <v>5137816</v>
          </cell>
          <cell r="CN121">
            <v>40130</v>
          </cell>
          <cell r="CO121">
            <v>0</v>
          </cell>
          <cell r="CP121">
            <v>0</v>
          </cell>
          <cell r="CQ121">
            <v>0</v>
          </cell>
          <cell r="CR121">
            <v>0</v>
          </cell>
          <cell r="CS121">
            <v>153811</v>
          </cell>
          <cell r="CT121">
            <v>0</v>
          </cell>
          <cell r="CV121">
            <v>0</v>
          </cell>
          <cell r="CW121">
            <v>9990000</v>
          </cell>
          <cell r="CX121">
            <v>1299421</v>
          </cell>
          <cell r="CY121">
            <v>20863</v>
          </cell>
        </row>
        <row r="122">
          <cell r="A122">
            <v>871</v>
          </cell>
          <cell r="B122">
            <v>68139357</v>
          </cell>
          <cell r="C122">
            <v>2414513</v>
          </cell>
          <cell r="D122">
            <v>5516645</v>
          </cell>
          <cell r="E122">
            <v>1006797</v>
          </cell>
          <cell r="F122">
            <v>1719810</v>
          </cell>
          <cell r="G122">
            <v>538000</v>
          </cell>
          <cell r="H122">
            <v>0</v>
          </cell>
          <cell r="I122">
            <v>326683</v>
          </cell>
          <cell r="J122">
            <v>110730</v>
          </cell>
          <cell r="K122">
            <v>0</v>
          </cell>
          <cell r="L122">
            <v>722280</v>
          </cell>
          <cell r="M122">
            <v>134503</v>
          </cell>
          <cell r="N122">
            <v>1122850</v>
          </cell>
          <cell r="O122">
            <v>2120620</v>
          </cell>
          <cell r="P122">
            <v>747350</v>
          </cell>
          <cell r="Q122">
            <v>214970</v>
          </cell>
          <cell r="R122">
            <v>291956</v>
          </cell>
          <cell r="S122">
            <v>62700</v>
          </cell>
          <cell r="T122">
            <v>748610</v>
          </cell>
          <cell r="U122">
            <v>559520</v>
          </cell>
          <cell r="V122">
            <v>10731</v>
          </cell>
          <cell r="W122">
            <v>38000</v>
          </cell>
          <cell r="X122">
            <v>108880</v>
          </cell>
          <cell r="Y122">
            <v>0</v>
          </cell>
          <cell r="Z122">
            <v>0</v>
          </cell>
          <cell r="AA122">
            <v>0</v>
          </cell>
          <cell r="AB122">
            <v>0</v>
          </cell>
          <cell r="AC122">
            <v>0</v>
          </cell>
          <cell r="AD122">
            <v>209269</v>
          </cell>
          <cell r="AE122">
            <v>114490</v>
          </cell>
          <cell r="AF122">
            <v>2123</v>
          </cell>
          <cell r="AG122">
            <v>2809</v>
          </cell>
          <cell r="AH122">
            <v>20000</v>
          </cell>
          <cell r="AI122">
            <v>0</v>
          </cell>
          <cell r="AJ122">
            <v>25182</v>
          </cell>
          <cell r="AK122">
            <v>0</v>
          </cell>
          <cell r="AL122">
            <v>0</v>
          </cell>
          <cell r="AM122">
            <v>0</v>
          </cell>
          <cell r="AN122">
            <v>55484</v>
          </cell>
          <cell r="AO122">
            <v>1079678</v>
          </cell>
          <cell r="AP122">
            <v>0</v>
          </cell>
          <cell r="AQ122">
            <v>88164540</v>
          </cell>
          <cell r="AR122">
            <v>2414651</v>
          </cell>
          <cell r="AS122">
            <v>21600</v>
          </cell>
          <cell r="AT122">
            <v>159000</v>
          </cell>
          <cell r="AU122">
            <v>0</v>
          </cell>
          <cell r="AV122">
            <v>0</v>
          </cell>
          <cell r="AW122">
            <v>0</v>
          </cell>
          <cell r="AX122">
            <v>53659</v>
          </cell>
          <cell r="AY122">
            <v>2648910</v>
          </cell>
          <cell r="AZ122">
            <v>3032770</v>
          </cell>
          <cell r="BA122">
            <v>55480</v>
          </cell>
          <cell r="BB122">
            <v>0</v>
          </cell>
          <cell r="BC122">
            <v>0</v>
          </cell>
          <cell r="BD122">
            <v>3088250</v>
          </cell>
          <cell r="BE122">
            <v>1064552</v>
          </cell>
          <cell r="BF122">
            <v>40850</v>
          </cell>
          <cell r="BG122">
            <v>83874</v>
          </cell>
          <cell r="BH122">
            <v>329000</v>
          </cell>
          <cell r="BI122">
            <v>61550</v>
          </cell>
          <cell r="BJ122">
            <v>72691</v>
          </cell>
          <cell r="BK122">
            <v>1652517</v>
          </cell>
          <cell r="BL122">
            <v>679110</v>
          </cell>
          <cell r="BM122">
            <v>246031</v>
          </cell>
          <cell r="BN122">
            <v>486074</v>
          </cell>
          <cell r="BO122">
            <v>5700</v>
          </cell>
          <cell r="BP122">
            <v>0</v>
          </cell>
          <cell r="BQ122">
            <v>5200</v>
          </cell>
          <cell r="BR122">
            <v>3304297</v>
          </cell>
          <cell r="BS122">
            <v>234848</v>
          </cell>
          <cell r="BT122">
            <v>72691</v>
          </cell>
          <cell r="BU122">
            <v>269968</v>
          </cell>
          <cell r="BV122">
            <v>0</v>
          </cell>
          <cell r="BW122">
            <v>1939795</v>
          </cell>
          <cell r="BX122">
            <v>0</v>
          </cell>
          <cell r="BY122">
            <v>43990</v>
          </cell>
          <cell r="BZ122">
            <v>0</v>
          </cell>
          <cell r="CA122">
            <v>115062</v>
          </cell>
          <cell r="CB122">
            <v>11488146</v>
          </cell>
          <cell r="CC122">
            <v>1442604</v>
          </cell>
          <cell r="CD122">
            <v>1295549</v>
          </cell>
          <cell r="CE122">
            <v>98283</v>
          </cell>
          <cell r="CF122">
            <v>0</v>
          </cell>
          <cell r="CG122">
            <v>82006</v>
          </cell>
          <cell r="CH122">
            <v>0</v>
          </cell>
          <cell r="CI122">
            <v>2918442</v>
          </cell>
          <cell r="CJ122">
            <v>14406588</v>
          </cell>
          <cell r="CK122">
            <v>102571128</v>
          </cell>
          <cell r="CM122">
            <v>5581470</v>
          </cell>
          <cell r="CN122">
            <v>485070</v>
          </cell>
          <cell r="CO122">
            <v>0</v>
          </cell>
          <cell r="CP122">
            <v>0</v>
          </cell>
          <cell r="CQ122">
            <v>0</v>
          </cell>
          <cell r="CR122">
            <v>0</v>
          </cell>
          <cell r="CS122">
            <v>0</v>
          </cell>
          <cell r="CT122">
            <v>0</v>
          </cell>
          <cell r="CV122">
            <v>0</v>
          </cell>
          <cell r="CW122">
            <v>0</v>
          </cell>
          <cell r="CX122">
            <v>1088904</v>
          </cell>
          <cell r="CY122">
            <v>251739</v>
          </cell>
        </row>
        <row r="123">
          <cell r="A123">
            <v>872</v>
          </cell>
          <cell r="B123">
            <v>69408536</v>
          </cell>
          <cell r="C123">
            <v>2495861</v>
          </cell>
          <cell r="D123">
            <v>5517468</v>
          </cell>
          <cell r="E123">
            <v>0</v>
          </cell>
          <cell r="F123">
            <v>2605281</v>
          </cell>
          <cell r="G123">
            <v>0</v>
          </cell>
          <cell r="H123">
            <v>0</v>
          </cell>
          <cell r="I123">
            <v>216058</v>
          </cell>
          <cell r="J123">
            <v>303776</v>
          </cell>
          <cell r="K123">
            <v>0</v>
          </cell>
          <cell r="L123">
            <v>0</v>
          </cell>
          <cell r="M123">
            <v>0</v>
          </cell>
          <cell r="N123">
            <v>668486</v>
          </cell>
          <cell r="O123">
            <v>2707462</v>
          </cell>
          <cell r="P123">
            <v>659486</v>
          </cell>
          <cell r="Q123">
            <v>234944</v>
          </cell>
          <cell r="R123">
            <v>198816</v>
          </cell>
          <cell r="S123">
            <v>0</v>
          </cell>
          <cell r="T123">
            <v>4101711</v>
          </cell>
          <cell r="U123">
            <v>197492</v>
          </cell>
          <cell r="V123">
            <v>0</v>
          </cell>
          <cell r="W123">
            <v>22658</v>
          </cell>
          <cell r="X123">
            <v>219624</v>
          </cell>
          <cell r="Y123">
            <v>0</v>
          </cell>
          <cell r="Z123">
            <v>596506</v>
          </cell>
          <cell r="AA123">
            <v>0</v>
          </cell>
          <cell r="AB123">
            <v>0</v>
          </cell>
          <cell r="AC123">
            <v>0</v>
          </cell>
          <cell r="AD123">
            <v>83241</v>
          </cell>
          <cell r="AE123">
            <v>332188</v>
          </cell>
          <cell r="AF123">
            <v>785894</v>
          </cell>
          <cell r="AG123">
            <v>10351</v>
          </cell>
          <cell r="AH123">
            <v>5533</v>
          </cell>
          <cell r="AI123">
            <v>179726</v>
          </cell>
          <cell r="AJ123">
            <v>1636048</v>
          </cell>
          <cell r="AK123">
            <v>0</v>
          </cell>
          <cell r="AL123">
            <v>0</v>
          </cell>
          <cell r="AM123">
            <v>0</v>
          </cell>
          <cell r="AN123">
            <v>24950</v>
          </cell>
          <cell r="AO123">
            <v>0</v>
          </cell>
          <cell r="AP123">
            <v>0</v>
          </cell>
          <cell r="AQ123">
            <v>93212096</v>
          </cell>
          <cell r="AR123">
            <v>1650211</v>
          </cell>
          <cell r="AS123">
            <v>119323</v>
          </cell>
          <cell r="AT123">
            <v>339612</v>
          </cell>
          <cell r="AU123">
            <v>41212</v>
          </cell>
          <cell r="AV123">
            <v>159361</v>
          </cell>
          <cell r="AW123">
            <v>14363</v>
          </cell>
          <cell r="AX123">
            <v>10874</v>
          </cell>
          <cell r="AY123">
            <v>2334956</v>
          </cell>
          <cell r="AZ123">
            <v>468759</v>
          </cell>
          <cell r="BA123">
            <v>0</v>
          </cell>
          <cell r="BB123">
            <v>0</v>
          </cell>
          <cell r="BC123">
            <v>0</v>
          </cell>
          <cell r="BD123">
            <v>468759</v>
          </cell>
          <cell r="BE123">
            <v>385758</v>
          </cell>
          <cell r="BF123">
            <v>257831</v>
          </cell>
          <cell r="BG123">
            <v>0</v>
          </cell>
          <cell r="BH123">
            <v>291775</v>
          </cell>
          <cell r="BI123">
            <v>53966</v>
          </cell>
          <cell r="BJ123">
            <v>62949</v>
          </cell>
          <cell r="BK123">
            <v>1052279</v>
          </cell>
          <cell r="BL123">
            <v>1055007</v>
          </cell>
          <cell r="BM123">
            <v>517426</v>
          </cell>
          <cell r="BN123">
            <v>396097</v>
          </cell>
          <cell r="BO123">
            <v>80855</v>
          </cell>
          <cell r="BP123">
            <v>0</v>
          </cell>
          <cell r="BQ123">
            <v>183914</v>
          </cell>
          <cell r="BR123">
            <v>3944290</v>
          </cell>
          <cell r="BS123">
            <v>86334</v>
          </cell>
          <cell r="BT123">
            <v>40401</v>
          </cell>
          <cell r="BU123">
            <v>28782</v>
          </cell>
          <cell r="BV123">
            <v>0</v>
          </cell>
          <cell r="BW123">
            <v>1564778</v>
          </cell>
          <cell r="BX123">
            <v>991379</v>
          </cell>
          <cell r="BY123">
            <v>0</v>
          </cell>
          <cell r="BZ123">
            <v>54324</v>
          </cell>
          <cell r="CA123">
            <v>0</v>
          </cell>
          <cell r="CB123">
            <v>8855291</v>
          </cell>
          <cell r="CC123">
            <v>1255788</v>
          </cell>
          <cell r="CD123">
            <v>501421</v>
          </cell>
          <cell r="CE123">
            <v>5899</v>
          </cell>
          <cell r="CF123">
            <v>149993</v>
          </cell>
          <cell r="CG123">
            <v>43772</v>
          </cell>
          <cell r="CH123">
            <v>0</v>
          </cell>
          <cell r="CI123">
            <v>1956873</v>
          </cell>
          <cell r="CJ123">
            <v>10812164</v>
          </cell>
          <cell r="CK123">
            <v>104024260</v>
          </cell>
          <cell r="CM123">
            <v>7993247</v>
          </cell>
          <cell r="CN123">
            <v>312066</v>
          </cell>
          <cell r="CO123">
            <v>0</v>
          </cell>
          <cell r="CP123">
            <v>0</v>
          </cell>
          <cell r="CQ123">
            <v>0</v>
          </cell>
          <cell r="CR123">
            <v>0</v>
          </cell>
          <cell r="CS123">
            <v>241911</v>
          </cell>
          <cell r="CT123">
            <v>0</v>
          </cell>
          <cell r="CV123">
            <v>0</v>
          </cell>
          <cell r="CW123">
            <v>5534000</v>
          </cell>
          <cell r="CX123">
            <v>1761295</v>
          </cell>
          <cell r="CY123">
            <v>27461</v>
          </cell>
        </row>
        <row r="124">
          <cell r="A124">
            <v>873</v>
          </cell>
          <cell r="B124">
            <v>229909662</v>
          </cell>
          <cell r="C124">
            <v>9287012</v>
          </cell>
          <cell r="D124">
            <v>11710603</v>
          </cell>
          <cell r="E124">
            <v>0</v>
          </cell>
          <cell r="F124">
            <v>7431558</v>
          </cell>
          <cell r="G124">
            <v>0</v>
          </cell>
          <cell r="H124">
            <v>274000</v>
          </cell>
          <cell r="I124">
            <v>1392634</v>
          </cell>
          <cell r="J124">
            <v>569598</v>
          </cell>
          <cell r="K124">
            <v>0</v>
          </cell>
          <cell r="L124">
            <v>1584180</v>
          </cell>
          <cell r="M124">
            <v>541993</v>
          </cell>
          <cell r="N124">
            <v>1409166</v>
          </cell>
          <cell r="O124">
            <v>4562648</v>
          </cell>
          <cell r="P124">
            <v>2133683</v>
          </cell>
          <cell r="Q124">
            <v>2303625</v>
          </cell>
          <cell r="R124">
            <v>2275128</v>
          </cell>
          <cell r="S124">
            <v>0</v>
          </cell>
          <cell r="T124">
            <v>12430674</v>
          </cell>
          <cell r="U124">
            <v>0</v>
          </cell>
          <cell r="V124">
            <v>39303</v>
          </cell>
          <cell r="W124">
            <v>0</v>
          </cell>
          <cell r="X124">
            <v>0</v>
          </cell>
          <cell r="Y124">
            <v>0</v>
          </cell>
          <cell r="Z124">
            <v>0</v>
          </cell>
          <cell r="AA124">
            <v>12445</v>
          </cell>
          <cell r="AB124">
            <v>0</v>
          </cell>
          <cell r="AC124">
            <v>0</v>
          </cell>
          <cell r="AD124">
            <v>252043</v>
          </cell>
          <cell r="AE124">
            <v>123781</v>
          </cell>
          <cell r="AF124">
            <v>516082</v>
          </cell>
          <cell r="AG124">
            <v>112394</v>
          </cell>
          <cell r="AH124">
            <v>5220</v>
          </cell>
          <cell r="AI124">
            <v>1140845</v>
          </cell>
          <cell r="AJ124">
            <v>2799071</v>
          </cell>
          <cell r="AK124">
            <v>0</v>
          </cell>
          <cell r="AL124">
            <v>0</v>
          </cell>
          <cell r="AM124">
            <v>0</v>
          </cell>
          <cell r="AN124">
            <v>663956</v>
          </cell>
          <cell r="AO124">
            <v>1523045</v>
          </cell>
          <cell r="AP124">
            <v>0</v>
          </cell>
          <cell r="AQ124">
            <v>295004349</v>
          </cell>
          <cell r="AR124">
            <v>5204323</v>
          </cell>
          <cell r="AS124">
            <v>1025588</v>
          </cell>
          <cell r="AT124">
            <v>2100267</v>
          </cell>
          <cell r="AU124">
            <v>118622</v>
          </cell>
          <cell r="AV124">
            <v>508528</v>
          </cell>
          <cell r="AW124">
            <v>0</v>
          </cell>
          <cell r="AX124">
            <v>47233</v>
          </cell>
          <cell r="AY124">
            <v>9004561</v>
          </cell>
          <cell r="AZ124">
            <v>128000</v>
          </cell>
          <cell r="BA124">
            <v>0</v>
          </cell>
          <cell r="BB124">
            <v>0</v>
          </cell>
          <cell r="BC124">
            <v>17424</v>
          </cell>
          <cell r="BD124">
            <v>145424</v>
          </cell>
          <cell r="BE124">
            <v>1076340</v>
          </cell>
          <cell r="BF124">
            <v>763915</v>
          </cell>
          <cell r="BG124">
            <v>236847</v>
          </cell>
          <cell r="BH124">
            <v>99000</v>
          </cell>
          <cell r="BI124">
            <v>124711</v>
          </cell>
          <cell r="BJ124">
            <v>77417</v>
          </cell>
          <cell r="BK124">
            <v>2378230</v>
          </cell>
          <cell r="BL124">
            <v>2448583</v>
          </cell>
          <cell r="BM124">
            <v>1624921</v>
          </cell>
          <cell r="BN124">
            <v>724698</v>
          </cell>
          <cell r="BO124">
            <v>75852</v>
          </cell>
          <cell r="BP124">
            <v>0</v>
          </cell>
          <cell r="BQ124">
            <v>22586</v>
          </cell>
          <cell r="BR124">
            <v>17241851</v>
          </cell>
          <cell r="BS124">
            <v>520206</v>
          </cell>
          <cell r="BT124">
            <v>36484</v>
          </cell>
          <cell r="BU124">
            <v>33564</v>
          </cell>
          <cell r="BV124">
            <v>109692</v>
          </cell>
          <cell r="BW124">
            <v>5377674</v>
          </cell>
          <cell r="BX124">
            <v>7762366</v>
          </cell>
          <cell r="BY124">
            <v>0</v>
          </cell>
          <cell r="BZ124">
            <v>953808</v>
          </cell>
          <cell r="CA124">
            <v>227275</v>
          </cell>
          <cell r="CB124">
            <v>31445924</v>
          </cell>
          <cell r="CC124">
            <v>2358352</v>
          </cell>
          <cell r="CD124">
            <v>1584290</v>
          </cell>
          <cell r="CE124">
            <v>0</v>
          </cell>
          <cell r="CF124">
            <v>530210</v>
          </cell>
          <cell r="CG124">
            <v>108909</v>
          </cell>
          <cell r="CH124">
            <v>0</v>
          </cell>
          <cell r="CI124">
            <v>4581761</v>
          </cell>
          <cell r="CJ124">
            <v>36027685</v>
          </cell>
          <cell r="CK124">
            <v>331032034</v>
          </cell>
          <cell r="CM124">
            <v>12677113</v>
          </cell>
          <cell r="CN124">
            <v>0</v>
          </cell>
          <cell r="CO124">
            <v>0</v>
          </cell>
          <cell r="CP124">
            <v>0</v>
          </cell>
          <cell r="CQ124">
            <v>0</v>
          </cell>
          <cell r="CR124">
            <v>0</v>
          </cell>
          <cell r="CS124">
            <v>0</v>
          </cell>
          <cell r="CT124">
            <v>0</v>
          </cell>
          <cell r="CV124">
            <v>4402806</v>
          </cell>
          <cell r="CW124">
            <v>0</v>
          </cell>
          <cell r="CX124">
            <v>0</v>
          </cell>
          <cell r="CY124">
            <v>0</v>
          </cell>
        </row>
        <row r="125">
          <cell r="A125">
            <v>874</v>
          </cell>
          <cell r="B125">
            <v>91636698</v>
          </cell>
          <cell r="C125">
            <v>3487635</v>
          </cell>
          <cell r="D125">
            <v>7588139</v>
          </cell>
          <cell r="E125">
            <v>750064</v>
          </cell>
          <cell r="F125">
            <v>2819307</v>
          </cell>
          <cell r="G125">
            <v>0</v>
          </cell>
          <cell r="H125">
            <v>0</v>
          </cell>
          <cell r="I125">
            <v>126368</v>
          </cell>
          <cell r="J125">
            <v>552773</v>
          </cell>
          <cell r="K125">
            <v>1180749</v>
          </cell>
          <cell r="L125">
            <v>98094</v>
          </cell>
          <cell r="M125">
            <v>153973</v>
          </cell>
          <cell r="N125">
            <v>-143718</v>
          </cell>
          <cell r="O125">
            <v>4715105</v>
          </cell>
          <cell r="P125">
            <v>1876494</v>
          </cell>
          <cell r="Q125">
            <v>49402</v>
          </cell>
          <cell r="R125">
            <v>618316</v>
          </cell>
          <cell r="S125">
            <v>0</v>
          </cell>
          <cell r="T125">
            <v>5307028</v>
          </cell>
          <cell r="U125">
            <v>0</v>
          </cell>
          <cell r="V125">
            <v>15204</v>
          </cell>
          <cell r="W125">
            <v>0</v>
          </cell>
          <cell r="X125">
            <v>17809</v>
          </cell>
          <cell r="Y125">
            <v>0</v>
          </cell>
          <cell r="Z125">
            <v>0</v>
          </cell>
          <cell r="AA125">
            <v>0</v>
          </cell>
          <cell r="AB125">
            <v>0</v>
          </cell>
          <cell r="AC125">
            <v>0</v>
          </cell>
          <cell r="AD125">
            <v>143720</v>
          </cell>
          <cell r="AE125">
            <v>39250</v>
          </cell>
          <cell r="AF125">
            <v>0</v>
          </cell>
          <cell r="AG125">
            <v>135298</v>
          </cell>
          <cell r="AH125">
            <v>0</v>
          </cell>
          <cell r="AI125">
            <v>24317</v>
          </cell>
          <cell r="AJ125">
            <v>287176</v>
          </cell>
          <cell r="AK125">
            <v>11000</v>
          </cell>
          <cell r="AL125">
            <v>107000</v>
          </cell>
          <cell r="AM125">
            <v>0</v>
          </cell>
          <cell r="AN125">
            <v>235856</v>
          </cell>
          <cell r="AO125">
            <v>2106444</v>
          </cell>
          <cell r="AP125">
            <v>0</v>
          </cell>
          <cell r="AQ125">
            <v>123939501</v>
          </cell>
          <cell r="AR125">
            <v>2348564</v>
          </cell>
          <cell r="AS125">
            <v>746226</v>
          </cell>
          <cell r="AT125">
            <v>0</v>
          </cell>
          <cell r="AU125">
            <v>0</v>
          </cell>
          <cell r="AV125">
            <v>0</v>
          </cell>
          <cell r="AW125">
            <v>283208</v>
          </cell>
          <cell r="AX125">
            <v>11342</v>
          </cell>
          <cell r="AY125">
            <v>3389340</v>
          </cell>
          <cell r="AZ125">
            <v>1536236</v>
          </cell>
          <cell r="BA125">
            <v>889000</v>
          </cell>
          <cell r="BB125">
            <v>0</v>
          </cell>
          <cell r="BC125">
            <v>0</v>
          </cell>
          <cell r="BD125">
            <v>2425236</v>
          </cell>
          <cell r="BE125">
            <v>573612</v>
          </cell>
          <cell r="BF125">
            <v>86074</v>
          </cell>
          <cell r="BG125">
            <v>747953</v>
          </cell>
          <cell r="BH125">
            <v>105000</v>
          </cell>
          <cell r="BI125">
            <v>1139070</v>
          </cell>
          <cell r="BJ125">
            <v>126085</v>
          </cell>
          <cell r="BK125">
            <v>2777794</v>
          </cell>
          <cell r="BL125">
            <v>1682210</v>
          </cell>
          <cell r="BM125">
            <v>0</v>
          </cell>
          <cell r="BN125">
            <v>663326</v>
          </cell>
          <cell r="BO125">
            <v>0</v>
          </cell>
          <cell r="BP125">
            <v>0</v>
          </cell>
          <cell r="BQ125">
            <v>0</v>
          </cell>
          <cell r="BR125">
            <v>3897338</v>
          </cell>
          <cell r="BS125">
            <v>0</v>
          </cell>
          <cell r="BT125">
            <v>5605</v>
          </cell>
          <cell r="BU125">
            <v>160899</v>
          </cell>
          <cell r="BV125">
            <v>251437</v>
          </cell>
          <cell r="BW125">
            <v>1729610</v>
          </cell>
          <cell r="BX125">
            <v>1051761</v>
          </cell>
          <cell r="BY125">
            <v>0</v>
          </cell>
          <cell r="BZ125">
            <v>34700</v>
          </cell>
          <cell r="CA125">
            <v>10224</v>
          </cell>
          <cell r="CB125">
            <v>14182142</v>
          </cell>
          <cell r="CC125">
            <v>1588030</v>
          </cell>
          <cell r="CD125">
            <v>5047983</v>
          </cell>
          <cell r="CE125">
            <v>0</v>
          </cell>
          <cell r="CF125">
            <v>114802</v>
          </cell>
          <cell r="CG125">
            <v>44216</v>
          </cell>
          <cell r="CH125">
            <v>0</v>
          </cell>
          <cell r="CI125">
            <v>6795031</v>
          </cell>
          <cell r="CJ125">
            <v>20977173</v>
          </cell>
          <cell r="CK125">
            <v>144916674</v>
          </cell>
          <cell r="CM125">
            <v>9071002</v>
          </cell>
          <cell r="CN125">
            <v>319151</v>
          </cell>
          <cell r="CO125">
            <v>0</v>
          </cell>
          <cell r="CP125">
            <v>0</v>
          </cell>
          <cell r="CQ125">
            <v>0</v>
          </cell>
          <cell r="CR125">
            <v>0</v>
          </cell>
          <cell r="CS125">
            <v>476088</v>
          </cell>
          <cell r="CT125">
            <v>0</v>
          </cell>
          <cell r="CV125">
            <v>0</v>
          </cell>
          <cell r="CW125">
            <v>0</v>
          </cell>
          <cell r="CX125">
            <v>2106444</v>
          </cell>
          <cell r="CY125">
            <v>29000</v>
          </cell>
        </row>
        <row r="126">
          <cell r="A126">
            <v>875</v>
          </cell>
          <cell r="B126">
            <v>304990965</v>
          </cell>
          <cell r="C126">
            <v>12365443</v>
          </cell>
          <cell r="D126">
            <v>19350747</v>
          </cell>
          <cell r="E126">
            <v>1842051</v>
          </cell>
          <cell r="F126">
            <v>12946102</v>
          </cell>
          <cell r="G126">
            <v>0</v>
          </cell>
          <cell r="H126">
            <v>26685</v>
          </cell>
          <cell r="I126">
            <v>0</v>
          </cell>
          <cell r="J126">
            <v>0</v>
          </cell>
          <cell r="K126">
            <v>6460450</v>
          </cell>
          <cell r="L126">
            <v>1301954</v>
          </cell>
          <cell r="M126">
            <v>393756</v>
          </cell>
          <cell r="N126">
            <v>912728</v>
          </cell>
          <cell r="O126">
            <v>7762158</v>
          </cell>
          <cell r="P126">
            <v>174207</v>
          </cell>
          <cell r="Q126">
            <v>1218638</v>
          </cell>
          <cell r="R126">
            <v>1213428</v>
          </cell>
          <cell r="S126">
            <v>0</v>
          </cell>
          <cell r="T126">
            <v>14787342</v>
          </cell>
          <cell r="U126">
            <v>0</v>
          </cell>
          <cell r="V126">
            <v>63760</v>
          </cell>
          <cell r="W126">
            <v>0</v>
          </cell>
          <cell r="X126">
            <v>148592</v>
          </cell>
          <cell r="Y126">
            <v>4039425</v>
          </cell>
          <cell r="Z126">
            <v>1844176</v>
          </cell>
          <cell r="AA126">
            <v>0</v>
          </cell>
          <cell r="AB126">
            <v>0</v>
          </cell>
          <cell r="AC126">
            <v>31969</v>
          </cell>
          <cell r="AD126">
            <v>444091</v>
          </cell>
          <cell r="AE126">
            <v>211810</v>
          </cell>
          <cell r="AF126">
            <v>3935939</v>
          </cell>
          <cell r="AG126">
            <v>348822</v>
          </cell>
          <cell r="AH126">
            <v>5359</v>
          </cell>
          <cell r="AI126">
            <v>1490737</v>
          </cell>
          <cell r="AJ126">
            <v>2227088</v>
          </cell>
          <cell r="AK126">
            <v>0</v>
          </cell>
          <cell r="AL126">
            <v>0</v>
          </cell>
          <cell r="AM126">
            <v>0</v>
          </cell>
          <cell r="AN126">
            <v>483248</v>
          </cell>
          <cell r="AO126">
            <v>3742090</v>
          </cell>
          <cell r="AP126">
            <v>0</v>
          </cell>
          <cell r="AQ126">
            <v>404763760</v>
          </cell>
          <cell r="AR126">
            <v>8817255</v>
          </cell>
          <cell r="AS126">
            <v>1662423</v>
          </cell>
          <cell r="AT126">
            <v>3492693</v>
          </cell>
          <cell r="AU126">
            <v>1438529</v>
          </cell>
          <cell r="AV126">
            <v>630913</v>
          </cell>
          <cell r="AW126">
            <v>315833</v>
          </cell>
          <cell r="AX126">
            <v>173321</v>
          </cell>
          <cell r="AY126">
            <v>16530967</v>
          </cell>
          <cell r="AZ126">
            <v>2705365</v>
          </cell>
          <cell r="BA126">
            <v>0</v>
          </cell>
          <cell r="BB126">
            <v>155294</v>
          </cell>
          <cell r="BC126">
            <v>0</v>
          </cell>
          <cell r="BD126">
            <v>2860659</v>
          </cell>
          <cell r="BE126">
            <v>1383373</v>
          </cell>
          <cell r="BF126">
            <v>1422690</v>
          </cell>
          <cell r="BG126">
            <v>115547</v>
          </cell>
          <cell r="BH126">
            <v>475162</v>
          </cell>
          <cell r="BI126">
            <v>264861</v>
          </cell>
          <cell r="BJ126">
            <v>471639</v>
          </cell>
          <cell r="BK126">
            <v>4133272</v>
          </cell>
          <cell r="BL126">
            <v>4532211</v>
          </cell>
          <cell r="BM126">
            <v>3199511</v>
          </cell>
          <cell r="BN126">
            <v>931378</v>
          </cell>
          <cell r="BO126">
            <v>346642</v>
          </cell>
          <cell r="BP126">
            <v>346642</v>
          </cell>
          <cell r="BQ126">
            <v>2019647</v>
          </cell>
          <cell r="BR126">
            <v>24767324</v>
          </cell>
          <cell r="BS126">
            <v>287047</v>
          </cell>
          <cell r="BT126">
            <v>3112</v>
          </cell>
          <cell r="BU126">
            <v>0</v>
          </cell>
          <cell r="BV126">
            <v>261370</v>
          </cell>
          <cell r="BW126">
            <v>7211280</v>
          </cell>
          <cell r="BX126">
            <v>7952802</v>
          </cell>
          <cell r="BY126">
            <v>321268</v>
          </cell>
          <cell r="BZ126">
            <v>1886625</v>
          </cell>
          <cell r="CA126">
            <v>0</v>
          </cell>
          <cell r="CB126">
            <v>52824433</v>
          </cell>
          <cell r="CC126">
            <v>3811717</v>
          </cell>
          <cell r="CD126">
            <v>4085644</v>
          </cell>
          <cell r="CE126">
            <v>789872</v>
          </cell>
          <cell r="CF126">
            <v>436003</v>
          </cell>
          <cell r="CG126">
            <v>6139</v>
          </cell>
          <cell r="CH126">
            <v>0</v>
          </cell>
          <cell r="CI126">
            <v>9129375</v>
          </cell>
          <cell r="CJ126">
            <v>61953808</v>
          </cell>
          <cell r="CK126">
            <v>466717568</v>
          </cell>
          <cell r="CM126">
            <v>25253433</v>
          </cell>
          <cell r="CN126">
            <v>1556095</v>
          </cell>
          <cell r="CO126">
            <v>0</v>
          </cell>
          <cell r="CP126">
            <v>0</v>
          </cell>
          <cell r="CQ126">
            <v>312150</v>
          </cell>
          <cell r="CR126">
            <v>0</v>
          </cell>
          <cell r="CS126">
            <v>710493</v>
          </cell>
          <cell r="CT126">
            <v>687030</v>
          </cell>
          <cell r="CV126">
            <v>0</v>
          </cell>
          <cell r="CW126">
            <v>11650333</v>
          </cell>
          <cell r="CX126">
            <v>6495975</v>
          </cell>
          <cell r="CY126">
            <v>2407500</v>
          </cell>
        </row>
        <row r="127">
          <cell r="A127">
            <v>876</v>
          </cell>
          <cell r="B127">
            <v>60825232</v>
          </cell>
          <cell r="C127">
            <v>2321039</v>
          </cell>
          <cell r="D127">
            <v>4445217</v>
          </cell>
          <cell r="E127">
            <v>2130842</v>
          </cell>
          <cell r="F127">
            <v>2368177</v>
          </cell>
          <cell r="G127">
            <v>0</v>
          </cell>
          <cell r="H127">
            <v>0</v>
          </cell>
          <cell r="I127">
            <v>396610</v>
          </cell>
          <cell r="J127">
            <v>725084</v>
          </cell>
          <cell r="K127">
            <v>145615</v>
          </cell>
          <cell r="L127">
            <v>0</v>
          </cell>
          <cell r="M127">
            <v>147760</v>
          </cell>
          <cell r="N127">
            <v>950990</v>
          </cell>
          <cell r="O127">
            <v>1470540</v>
          </cell>
          <cell r="P127">
            <v>676850</v>
          </cell>
          <cell r="Q127">
            <v>17590</v>
          </cell>
          <cell r="R127">
            <v>166850</v>
          </cell>
          <cell r="S127">
            <v>0</v>
          </cell>
          <cell r="T127">
            <v>2916789</v>
          </cell>
          <cell r="U127">
            <v>0</v>
          </cell>
          <cell r="V127">
            <v>10820</v>
          </cell>
          <cell r="W127">
            <v>0</v>
          </cell>
          <cell r="X127">
            <v>0</v>
          </cell>
          <cell r="Y127">
            <v>0</v>
          </cell>
          <cell r="Z127">
            <v>0</v>
          </cell>
          <cell r="AA127">
            <v>0</v>
          </cell>
          <cell r="AB127">
            <v>0</v>
          </cell>
          <cell r="AC127">
            <v>0</v>
          </cell>
          <cell r="AD127">
            <v>130370</v>
          </cell>
          <cell r="AE127">
            <v>56620</v>
          </cell>
          <cell r="AF127">
            <v>274310</v>
          </cell>
          <cell r="AG127">
            <v>61960</v>
          </cell>
          <cell r="AH127">
            <v>0</v>
          </cell>
          <cell r="AI127">
            <v>215240</v>
          </cell>
          <cell r="AJ127">
            <v>2687309</v>
          </cell>
          <cell r="AK127">
            <v>0</v>
          </cell>
          <cell r="AL127">
            <v>623602</v>
          </cell>
          <cell r="AM127">
            <v>0</v>
          </cell>
          <cell r="AN127">
            <v>81689</v>
          </cell>
          <cell r="AO127">
            <v>1975546</v>
          </cell>
          <cell r="AP127">
            <v>0</v>
          </cell>
          <cell r="AQ127">
            <v>85822651</v>
          </cell>
          <cell r="AR127">
            <v>1411070</v>
          </cell>
          <cell r="AS127">
            <v>174580</v>
          </cell>
          <cell r="AT127">
            <v>534950</v>
          </cell>
          <cell r="AU127">
            <v>0</v>
          </cell>
          <cell r="AV127">
            <v>65190</v>
          </cell>
          <cell r="AW127">
            <v>42160</v>
          </cell>
          <cell r="AX127">
            <v>0</v>
          </cell>
          <cell r="AY127">
            <v>2227950</v>
          </cell>
          <cell r="AZ127">
            <v>162023</v>
          </cell>
          <cell r="BA127">
            <v>278689</v>
          </cell>
          <cell r="BB127">
            <v>0</v>
          </cell>
          <cell r="BC127">
            <v>0</v>
          </cell>
          <cell r="BD127">
            <v>440712</v>
          </cell>
          <cell r="BE127">
            <v>557360</v>
          </cell>
          <cell r="BF127">
            <v>165790</v>
          </cell>
          <cell r="BG127">
            <v>9950</v>
          </cell>
          <cell r="BH127">
            <v>7300</v>
          </cell>
          <cell r="BI127">
            <v>52180</v>
          </cell>
          <cell r="BJ127">
            <v>106960</v>
          </cell>
          <cell r="BK127">
            <v>899540</v>
          </cell>
          <cell r="BL127">
            <v>791820</v>
          </cell>
          <cell r="BM127">
            <v>255900</v>
          </cell>
          <cell r="BN127">
            <v>344570</v>
          </cell>
          <cell r="BO127">
            <v>0</v>
          </cell>
          <cell r="BP127">
            <v>0</v>
          </cell>
          <cell r="BQ127">
            <v>25000</v>
          </cell>
          <cell r="BR127">
            <v>2320665</v>
          </cell>
          <cell r="BS127">
            <v>52510</v>
          </cell>
          <cell r="BT127">
            <v>186565</v>
          </cell>
          <cell r="BU127">
            <v>50000</v>
          </cell>
          <cell r="BV127">
            <v>0</v>
          </cell>
          <cell r="BW127">
            <v>979680</v>
          </cell>
          <cell r="BX127">
            <v>242380</v>
          </cell>
          <cell r="BY127">
            <v>184060</v>
          </cell>
          <cell r="BZ127">
            <v>0</v>
          </cell>
          <cell r="CA127">
            <v>0</v>
          </cell>
          <cell r="CB127">
            <v>6680687</v>
          </cell>
          <cell r="CC127">
            <v>955510</v>
          </cell>
          <cell r="CD127">
            <v>1157113</v>
          </cell>
          <cell r="CE127">
            <v>39130</v>
          </cell>
          <cell r="CF127">
            <v>38750</v>
          </cell>
          <cell r="CG127">
            <v>1045430</v>
          </cell>
          <cell r="CH127">
            <v>0</v>
          </cell>
          <cell r="CI127">
            <v>3235933</v>
          </cell>
          <cell r="CJ127">
            <v>9916620</v>
          </cell>
          <cell r="CK127">
            <v>95739271</v>
          </cell>
          <cell r="CM127">
            <v>1120433</v>
          </cell>
          <cell r="CN127">
            <v>371024</v>
          </cell>
          <cell r="CO127">
            <v>0</v>
          </cell>
          <cell r="CP127">
            <v>55654</v>
          </cell>
          <cell r="CQ127">
            <v>0</v>
          </cell>
          <cell r="CR127">
            <v>0</v>
          </cell>
          <cell r="CS127">
            <v>166960</v>
          </cell>
          <cell r="CT127">
            <v>0</v>
          </cell>
          <cell r="CV127">
            <v>0</v>
          </cell>
          <cell r="CW127">
            <v>1583004</v>
          </cell>
          <cell r="CX127">
            <v>1233791</v>
          </cell>
          <cell r="CY127">
            <v>379475</v>
          </cell>
        </row>
        <row r="128">
          <cell r="A128">
            <v>877</v>
          </cell>
          <cell r="B128">
            <v>93983195</v>
          </cell>
          <cell r="C128">
            <v>3559652</v>
          </cell>
          <cell r="D128">
            <v>5550034</v>
          </cell>
          <cell r="E128">
            <v>0</v>
          </cell>
          <cell r="F128">
            <v>0</v>
          </cell>
          <cell r="G128">
            <v>0</v>
          </cell>
          <cell r="H128">
            <v>0</v>
          </cell>
          <cell r="I128">
            <v>899778</v>
          </cell>
          <cell r="J128">
            <v>118876</v>
          </cell>
          <cell r="K128">
            <v>594904</v>
          </cell>
          <cell r="L128">
            <v>0</v>
          </cell>
          <cell r="M128">
            <v>34530</v>
          </cell>
          <cell r="N128">
            <v>594432</v>
          </cell>
          <cell r="O128">
            <v>1392827</v>
          </cell>
          <cell r="P128">
            <v>390295</v>
          </cell>
          <cell r="Q128">
            <v>274555</v>
          </cell>
          <cell r="R128">
            <v>91561</v>
          </cell>
          <cell r="S128">
            <v>0</v>
          </cell>
          <cell r="T128">
            <v>2346655</v>
          </cell>
          <cell r="U128">
            <v>469935</v>
          </cell>
          <cell r="V128">
            <v>21680</v>
          </cell>
          <cell r="W128">
            <v>30500</v>
          </cell>
          <cell r="X128">
            <v>61000</v>
          </cell>
          <cell r="Y128">
            <v>0</v>
          </cell>
          <cell r="Z128">
            <v>8862</v>
          </cell>
          <cell r="AA128">
            <v>348809</v>
          </cell>
          <cell r="AB128">
            <v>15300</v>
          </cell>
          <cell r="AC128">
            <v>0</v>
          </cell>
          <cell r="AD128">
            <v>205966</v>
          </cell>
          <cell r="AE128">
            <v>160547</v>
          </cell>
          <cell r="AF128">
            <v>102067</v>
          </cell>
          <cell r="AG128">
            <v>77469</v>
          </cell>
          <cell r="AH128">
            <v>3152</v>
          </cell>
          <cell r="AI128">
            <v>457241</v>
          </cell>
          <cell r="AJ128">
            <v>208399</v>
          </cell>
          <cell r="AK128">
            <v>0</v>
          </cell>
          <cell r="AL128">
            <v>0</v>
          </cell>
          <cell r="AM128">
            <v>0</v>
          </cell>
          <cell r="AN128">
            <v>3702405</v>
          </cell>
          <cell r="AO128">
            <v>2678487</v>
          </cell>
          <cell r="AP128">
            <v>0</v>
          </cell>
          <cell r="AQ128">
            <v>118383113</v>
          </cell>
          <cell r="AR128">
            <v>1945002</v>
          </cell>
          <cell r="AS128">
            <v>107183</v>
          </cell>
          <cell r="AT128">
            <v>848485</v>
          </cell>
          <cell r="AU128">
            <v>0</v>
          </cell>
          <cell r="AV128">
            <v>0</v>
          </cell>
          <cell r="AW128">
            <v>0</v>
          </cell>
          <cell r="AX128">
            <v>20040</v>
          </cell>
          <cell r="AY128">
            <v>2920710</v>
          </cell>
          <cell r="AZ128">
            <v>2162299</v>
          </cell>
          <cell r="BA128">
            <v>0</v>
          </cell>
          <cell r="BB128">
            <v>0</v>
          </cell>
          <cell r="BC128">
            <v>2400</v>
          </cell>
          <cell r="BD128">
            <v>2164699</v>
          </cell>
          <cell r="BE128">
            <v>555571</v>
          </cell>
          <cell r="BF128">
            <v>345302</v>
          </cell>
          <cell r="BG128">
            <v>64437</v>
          </cell>
          <cell r="BH128">
            <v>0</v>
          </cell>
          <cell r="BI128">
            <v>63176</v>
          </cell>
          <cell r="BJ128">
            <v>142210</v>
          </cell>
          <cell r="BK128">
            <v>1170696</v>
          </cell>
          <cell r="BL128">
            <v>1045766</v>
          </cell>
          <cell r="BM128">
            <v>265769</v>
          </cell>
          <cell r="BN128">
            <v>382730</v>
          </cell>
          <cell r="BO128">
            <v>0</v>
          </cell>
          <cell r="BP128">
            <v>5953</v>
          </cell>
          <cell r="BQ128">
            <v>175445</v>
          </cell>
          <cell r="BR128">
            <v>3917257</v>
          </cell>
          <cell r="BS128">
            <v>115630</v>
          </cell>
          <cell r="BT128">
            <v>11057</v>
          </cell>
          <cell r="BU128">
            <v>27728</v>
          </cell>
          <cell r="BV128">
            <v>0</v>
          </cell>
          <cell r="BW128">
            <v>1822146</v>
          </cell>
          <cell r="BX128">
            <v>630313</v>
          </cell>
          <cell r="BY128">
            <v>57260</v>
          </cell>
          <cell r="BZ128">
            <v>423226</v>
          </cell>
          <cell r="CA128">
            <v>490109</v>
          </cell>
          <cell r="CB128">
            <v>11709237</v>
          </cell>
          <cell r="CC128">
            <v>1085239</v>
          </cell>
          <cell r="CD128">
            <v>1717144</v>
          </cell>
          <cell r="CE128">
            <v>227986</v>
          </cell>
          <cell r="CF128">
            <v>226428</v>
          </cell>
          <cell r="CG128">
            <v>5000</v>
          </cell>
          <cell r="CH128">
            <v>0</v>
          </cell>
          <cell r="CI128">
            <v>3261797</v>
          </cell>
          <cell r="CJ128">
            <v>14971034</v>
          </cell>
          <cell r="CK128">
            <v>133354147</v>
          </cell>
          <cell r="CM128">
            <v>5364358</v>
          </cell>
          <cell r="CN128">
            <v>296068</v>
          </cell>
          <cell r="CO128">
            <v>75310</v>
          </cell>
          <cell r="CP128">
            <v>0</v>
          </cell>
          <cell r="CQ128">
            <v>0</v>
          </cell>
          <cell r="CR128">
            <v>0</v>
          </cell>
          <cell r="CS128">
            <v>67670</v>
          </cell>
          <cell r="CT128">
            <v>0</v>
          </cell>
          <cell r="CV128">
            <v>0</v>
          </cell>
          <cell r="CW128">
            <v>5151000</v>
          </cell>
          <cell r="CX128">
            <v>2320444</v>
          </cell>
          <cell r="CY128">
            <v>37238</v>
          </cell>
        </row>
        <row r="129">
          <cell r="A129">
            <v>878</v>
          </cell>
          <cell r="B129">
            <v>281533789</v>
          </cell>
          <cell r="C129">
            <v>11718878</v>
          </cell>
          <cell r="D129">
            <v>20235000</v>
          </cell>
          <cell r="E129">
            <v>0</v>
          </cell>
          <cell r="F129">
            <v>11040000</v>
          </cell>
          <cell r="G129">
            <v>0</v>
          </cell>
          <cell r="H129">
            <v>0</v>
          </cell>
          <cell r="I129">
            <v>1807000</v>
          </cell>
          <cell r="J129">
            <v>267000</v>
          </cell>
          <cell r="K129">
            <v>0</v>
          </cell>
          <cell r="L129">
            <v>1639000</v>
          </cell>
          <cell r="M129">
            <v>1727000</v>
          </cell>
          <cell r="N129">
            <v>1318000</v>
          </cell>
          <cell r="O129">
            <v>4718000</v>
          </cell>
          <cell r="P129">
            <v>1597000</v>
          </cell>
          <cell r="Q129">
            <v>399000</v>
          </cell>
          <cell r="R129">
            <v>2940000</v>
          </cell>
          <cell r="S129">
            <v>0</v>
          </cell>
          <cell r="T129">
            <v>16600000</v>
          </cell>
          <cell r="U129">
            <v>374000</v>
          </cell>
          <cell r="V129">
            <v>0</v>
          </cell>
          <cell r="W129">
            <v>0</v>
          </cell>
          <cell r="X129">
            <v>33000</v>
          </cell>
          <cell r="Y129">
            <v>1000</v>
          </cell>
          <cell r="Z129">
            <v>0</v>
          </cell>
          <cell r="AA129">
            <v>0</v>
          </cell>
          <cell r="AB129">
            <v>396000</v>
          </cell>
          <cell r="AC129">
            <v>0</v>
          </cell>
          <cell r="AD129">
            <v>0</v>
          </cell>
          <cell r="AE129">
            <v>182000</v>
          </cell>
          <cell r="AF129">
            <v>1152000</v>
          </cell>
          <cell r="AG129">
            <v>275000</v>
          </cell>
          <cell r="AH129">
            <v>10000</v>
          </cell>
          <cell r="AI129">
            <v>828000</v>
          </cell>
          <cell r="AJ129">
            <v>1521000</v>
          </cell>
          <cell r="AK129">
            <v>0</v>
          </cell>
          <cell r="AL129">
            <v>0</v>
          </cell>
          <cell r="AM129">
            <v>0</v>
          </cell>
          <cell r="AN129">
            <v>0</v>
          </cell>
          <cell r="AO129">
            <v>1866000</v>
          </cell>
          <cell r="AP129">
            <v>0</v>
          </cell>
          <cell r="AQ129">
            <v>364177667</v>
          </cell>
          <cell r="AR129">
            <v>5956000</v>
          </cell>
          <cell r="AS129">
            <v>2631000</v>
          </cell>
          <cell r="AT129">
            <v>3944000</v>
          </cell>
          <cell r="AU129">
            <v>1196000</v>
          </cell>
          <cell r="AV129">
            <v>147000</v>
          </cell>
          <cell r="AW129">
            <v>0</v>
          </cell>
          <cell r="AX129">
            <v>0</v>
          </cell>
          <cell r="AY129">
            <v>13874000</v>
          </cell>
          <cell r="AZ129">
            <v>6992000</v>
          </cell>
          <cell r="BA129">
            <v>0</v>
          </cell>
          <cell r="BB129">
            <v>460000</v>
          </cell>
          <cell r="BC129">
            <v>10000</v>
          </cell>
          <cell r="BD129">
            <v>7462000</v>
          </cell>
          <cell r="BE129">
            <v>1537000</v>
          </cell>
          <cell r="BF129">
            <v>747000</v>
          </cell>
          <cell r="BG129">
            <v>143000</v>
          </cell>
          <cell r="BH129">
            <v>0</v>
          </cell>
          <cell r="BI129">
            <v>158000</v>
          </cell>
          <cell r="BJ129">
            <v>0</v>
          </cell>
          <cell r="BK129">
            <v>2585000</v>
          </cell>
          <cell r="BL129">
            <v>2820000</v>
          </cell>
          <cell r="BM129">
            <v>4238000</v>
          </cell>
          <cell r="BN129">
            <v>835000</v>
          </cell>
          <cell r="BO129">
            <v>1040000</v>
          </cell>
          <cell r="BP129">
            <v>0</v>
          </cell>
          <cell r="BQ129">
            <v>1053000</v>
          </cell>
          <cell r="BR129">
            <v>31005000</v>
          </cell>
          <cell r="BS129">
            <v>1568000</v>
          </cell>
          <cell r="BT129">
            <v>26000</v>
          </cell>
          <cell r="BU129">
            <v>0</v>
          </cell>
          <cell r="BV129">
            <v>289000</v>
          </cell>
          <cell r="BW129">
            <v>1104000</v>
          </cell>
          <cell r="BX129">
            <v>18617000</v>
          </cell>
          <cell r="BY129">
            <v>0</v>
          </cell>
          <cell r="BZ129">
            <v>2235000</v>
          </cell>
          <cell r="CA129">
            <v>0</v>
          </cell>
          <cell r="CB129">
            <v>57746000</v>
          </cell>
          <cell r="CC129">
            <v>5082000</v>
          </cell>
          <cell r="CD129">
            <v>6608000</v>
          </cell>
          <cell r="CE129">
            <v>209000</v>
          </cell>
          <cell r="CF129">
            <v>393000</v>
          </cell>
          <cell r="CG129">
            <v>5000</v>
          </cell>
          <cell r="CH129">
            <v>0</v>
          </cell>
          <cell r="CI129">
            <v>12297000</v>
          </cell>
          <cell r="CJ129">
            <v>70043000</v>
          </cell>
          <cell r="CK129">
            <v>434220667</v>
          </cell>
          <cell r="CM129">
            <v>19466398</v>
          </cell>
          <cell r="CN129">
            <v>1421000</v>
          </cell>
          <cell r="CO129">
            <v>93000</v>
          </cell>
          <cell r="CP129">
            <v>0</v>
          </cell>
          <cell r="CQ129">
            <v>0</v>
          </cell>
          <cell r="CR129">
            <v>0</v>
          </cell>
          <cell r="CS129">
            <v>1762000</v>
          </cell>
          <cell r="CT129">
            <v>0</v>
          </cell>
          <cell r="CV129">
            <v>0</v>
          </cell>
          <cell r="CW129">
            <v>0</v>
          </cell>
          <cell r="CX129">
            <v>12310000</v>
          </cell>
          <cell r="CY129">
            <v>3321000</v>
          </cell>
        </row>
        <row r="130">
          <cell r="A130">
            <v>879</v>
          </cell>
          <cell r="B130">
            <v>120168324</v>
          </cell>
          <cell r="C130">
            <v>4458573</v>
          </cell>
          <cell r="D130">
            <v>11070350</v>
          </cell>
          <cell r="E130">
            <v>0</v>
          </cell>
          <cell r="F130">
            <v>4699621</v>
          </cell>
          <cell r="G130">
            <v>427000</v>
          </cell>
          <cell r="H130">
            <v>0</v>
          </cell>
          <cell r="I130">
            <v>1525041</v>
          </cell>
          <cell r="J130">
            <v>1558718</v>
          </cell>
          <cell r="K130">
            <v>17424</v>
          </cell>
          <cell r="L130">
            <v>0</v>
          </cell>
          <cell r="M130">
            <v>310316</v>
          </cell>
          <cell r="N130">
            <v>287408</v>
          </cell>
          <cell r="O130">
            <v>1614565</v>
          </cell>
          <cell r="P130">
            <v>1017641</v>
          </cell>
          <cell r="Q130">
            <v>61506</v>
          </cell>
          <cell r="R130">
            <v>196020</v>
          </cell>
          <cell r="S130">
            <v>0</v>
          </cell>
          <cell r="T130">
            <v>8356707</v>
          </cell>
          <cell r="U130">
            <v>1243381</v>
          </cell>
          <cell r="V130">
            <v>74178</v>
          </cell>
          <cell r="W130">
            <v>32500</v>
          </cell>
          <cell r="X130">
            <v>189000</v>
          </cell>
          <cell r="Y130">
            <v>0</v>
          </cell>
          <cell r="Z130">
            <v>0</v>
          </cell>
          <cell r="AA130">
            <v>0</v>
          </cell>
          <cell r="AB130">
            <v>0</v>
          </cell>
          <cell r="AC130">
            <v>0</v>
          </cell>
          <cell r="AD130">
            <v>329122</v>
          </cell>
          <cell r="AE130">
            <v>0</v>
          </cell>
          <cell r="AF130">
            <v>55000</v>
          </cell>
          <cell r="AG130">
            <v>25596</v>
          </cell>
          <cell r="AH130">
            <v>5000</v>
          </cell>
          <cell r="AI130">
            <v>910645</v>
          </cell>
          <cell r="AJ130">
            <v>2627620</v>
          </cell>
          <cell r="AK130">
            <v>0</v>
          </cell>
          <cell r="AL130">
            <v>1052140</v>
          </cell>
          <cell r="AM130">
            <v>0</v>
          </cell>
          <cell r="AN130">
            <v>134081</v>
          </cell>
          <cell r="AO130">
            <v>0</v>
          </cell>
          <cell r="AP130">
            <v>0</v>
          </cell>
          <cell r="AQ130">
            <v>162447477</v>
          </cell>
          <cell r="AR130">
            <v>1799676</v>
          </cell>
          <cell r="AS130">
            <v>696821</v>
          </cell>
          <cell r="AT130">
            <v>742012</v>
          </cell>
          <cell r="AU130">
            <v>152352</v>
          </cell>
          <cell r="AV130">
            <v>114717</v>
          </cell>
          <cell r="AW130">
            <v>105000</v>
          </cell>
          <cell r="AX130">
            <v>74718</v>
          </cell>
          <cell r="AY130">
            <v>3685296</v>
          </cell>
          <cell r="AZ130">
            <v>429536</v>
          </cell>
          <cell r="BA130">
            <v>0</v>
          </cell>
          <cell r="BB130">
            <v>0</v>
          </cell>
          <cell r="BC130">
            <v>0</v>
          </cell>
          <cell r="BD130">
            <v>429536</v>
          </cell>
          <cell r="BE130">
            <v>631161</v>
          </cell>
          <cell r="BF130">
            <v>229132</v>
          </cell>
          <cell r="BG130">
            <v>59232</v>
          </cell>
          <cell r="BH130">
            <v>11271</v>
          </cell>
          <cell r="BI130">
            <v>133263</v>
          </cell>
          <cell r="BJ130">
            <v>44466</v>
          </cell>
          <cell r="BK130">
            <v>1108525</v>
          </cell>
          <cell r="BL130">
            <v>848922</v>
          </cell>
          <cell r="BM130">
            <v>514390</v>
          </cell>
          <cell r="BN130">
            <v>267881</v>
          </cell>
          <cell r="BO130">
            <v>0</v>
          </cell>
          <cell r="BP130">
            <v>80000</v>
          </cell>
          <cell r="BQ130">
            <v>46197</v>
          </cell>
          <cell r="BR130">
            <v>4228140</v>
          </cell>
          <cell r="BS130">
            <v>112561</v>
          </cell>
          <cell r="BT130">
            <v>35534</v>
          </cell>
          <cell r="BU130">
            <v>17405</v>
          </cell>
          <cell r="BV130">
            <v>12160</v>
          </cell>
          <cell r="BW130">
            <v>2867816</v>
          </cell>
          <cell r="BX130">
            <v>139585</v>
          </cell>
          <cell r="BY130">
            <v>128317</v>
          </cell>
          <cell r="BZ130">
            <v>6294</v>
          </cell>
          <cell r="CA130">
            <v>0</v>
          </cell>
          <cell r="CB130">
            <v>10300419</v>
          </cell>
          <cell r="CC130">
            <v>2702958</v>
          </cell>
          <cell r="CD130">
            <v>1621014</v>
          </cell>
          <cell r="CE130">
            <v>1547</v>
          </cell>
          <cell r="CF130">
            <v>313290</v>
          </cell>
          <cell r="CG130">
            <v>0</v>
          </cell>
          <cell r="CH130">
            <v>0</v>
          </cell>
          <cell r="CI130">
            <v>4638809</v>
          </cell>
          <cell r="CJ130">
            <v>14939228</v>
          </cell>
          <cell r="CK130">
            <v>177386705</v>
          </cell>
          <cell r="CM130">
            <v>14740193</v>
          </cell>
          <cell r="CN130">
            <v>526126</v>
          </cell>
          <cell r="CO130">
            <v>0</v>
          </cell>
          <cell r="CP130">
            <v>0</v>
          </cell>
          <cell r="CQ130">
            <v>0</v>
          </cell>
          <cell r="CR130">
            <v>0</v>
          </cell>
          <cell r="CS130">
            <v>190000</v>
          </cell>
          <cell r="CT130">
            <v>0</v>
          </cell>
          <cell r="CV130">
            <v>0</v>
          </cell>
          <cell r="CW130">
            <v>16967000</v>
          </cell>
          <cell r="CX130">
            <v>2872954</v>
          </cell>
          <cell r="CY130">
            <v>75062</v>
          </cell>
        </row>
        <row r="131">
          <cell r="A131">
            <v>880</v>
          </cell>
          <cell r="B131">
            <v>58844897</v>
          </cell>
          <cell r="C131">
            <v>2093913</v>
          </cell>
          <cell r="D131">
            <v>3525973</v>
          </cell>
          <cell r="E131">
            <v>0</v>
          </cell>
          <cell r="F131">
            <v>2293600</v>
          </cell>
          <cell r="G131">
            <v>91000</v>
          </cell>
          <cell r="H131">
            <v>0</v>
          </cell>
          <cell r="I131">
            <v>28804</v>
          </cell>
          <cell r="J131">
            <v>40000</v>
          </cell>
          <cell r="K131">
            <v>100112</v>
          </cell>
          <cell r="L131">
            <v>11591</v>
          </cell>
          <cell r="M131">
            <v>232938</v>
          </cell>
          <cell r="N131">
            <v>848404</v>
          </cell>
          <cell r="O131">
            <v>704989</v>
          </cell>
          <cell r="P131">
            <v>797274</v>
          </cell>
          <cell r="Q131">
            <v>175071</v>
          </cell>
          <cell r="R131">
            <v>540274</v>
          </cell>
          <cell r="S131">
            <v>0</v>
          </cell>
          <cell r="T131">
            <v>4122780</v>
          </cell>
          <cell r="U131">
            <v>588466</v>
          </cell>
          <cell r="V131">
            <v>8000</v>
          </cell>
          <cell r="W131">
            <v>9300</v>
          </cell>
          <cell r="X131">
            <v>43900</v>
          </cell>
          <cell r="Y131">
            <v>0</v>
          </cell>
          <cell r="Z131">
            <v>372930</v>
          </cell>
          <cell r="AA131">
            <v>0</v>
          </cell>
          <cell r="AB131">
            <v>0</v>
          </cell>
          <cell r="AC131">
            <v>0</v>
          </cell>
          <cell r="AD131">
            <v>206673</v>
          </cell>
          <cell r="AE131">
            <v>72401</v>
          </cell>
          <cell r="AF131">
            <v>194500</v>
          </cell>
          <cell r="AG131">
            <v>16000</v>
          </cell>
          <cell r="AH131">
            <v>17263</v>
          </cell>
          <cell r="AI131">
            <v>88299</v>
          </cell>
          <cell r="AJ131">
            <v>2179083</v>
          </cell>
          <cell r="AK131">
            <v>59300</v>
          </cell>
          <cell r="AL131">
            <v>0</v>
          </cell>
          <cell r="AM131">
            <v>0</v>
          </cell>
          <cell r="AN131">
            <v>52600</v>
          </cell>
          <cell r="AO131">
            <v>972584</v>
          </cell>
          <cell r="AP131">
            <v>0</v>
          </cell>
          <cell r="AQ131">
            <v>79332919</v>
          </cell>
          <cell r="AR131">
            <v>994582</v>
          </cell>
          <cell r="AS131">
            <v>99221</v>
          </cell>
          <cell r="AT131">
            <v>457809</v>
          </cell>
          <cell r="AU131">
            <v>82700</v>
          </cell>
          <cell r="AV131">
            <v>0</v>
          </cell>
          <cell r="AW131">
            <v>610</v>
          </cell>
          <cell r="AX131">
            <v>19600</v>
          </cell>
          <cell r="AY131">
            <v>1654522</v>
          </cell>
          <cell r="AZ131">
            <v>24542</v>
          </cell>
          <cell r="BA131">
            <v>164600</v>
          </cell>
          <cell r="BB131">
            <v>0</v>
          </cell>
          <cell r="BC131">
            <v>5000</v>
          </cell>
          <cell r="BD131">
            <v>194142</v>
          </cell>
          <cell r="BE131">
            <v>311970</v>
          </cell>
          <cell r="BF131">
            <v>187160</v>
          </cell>
          <cell r="BG131">
            <v>20514</v>
          </cell>
          <cell r="BH131">
            <v>1643</v>
          </cell>
          <cell r="BI131">
            <v>32056</v>
          </cell>
          <cell r="BJ131">
            <v>91122</v>
          </cell>
          <cell r="BK131">
            <v>644465</v>
          </cell>
          <cell r="BL131">
            <v>865466</v>
          </cell>
          <cell r="BM131">
            <v>170893</v>
          </cell>
          <cell r="BN131">
            <v>184429</v>
          </cell>
          <cell r="BO131">
            <v>5700</v>
          </cell>
          <cell r="BP131">
            <v>0</v>
          </cell>
          <cell r="BQ131">
            <v>11244</v>
          </cell>
          <cell r="BR131">
            <v>2821145</v>
          </cell>
          <cell r="BS131">
            <v>274557</v>
          </cell>
          <cell r="BT131">
            <v>28616</v>
          </cell>
          <cell r="BU131">
            <v>9804</v>
          </cell>
          <cell r="BV131">
            <v>110477</v>
          </cell>
          <cell r="BW131">
            <v>978623</v>
          </cell>
          <cell r="BX131">
            <v>876895</v>
          </cell>
          <cell r="BY131">
            <v>34055</v>
          </cell>
          <cell r="BZ131">
            <v>135852</v>
          </cell>
          <cell r="CA131">
            <v>92400</v>
          </cell>
          <cell r="CB131">
            <v>6272140</v>
          </cell>
          <cell r="CC131">
            <v>680176</v>
          </cell>
          <cell r="CD131">
            <v>2560</v>
          </cell>
          <cell r="CE131">
            <v>0</v>
          </cell>
          <cell r="CF131">
            <v>77800</v>
          </cell>
          <cell r="CG131">
            <v>0</v>
          </cell>
          <cell r="CH131">
            <v>0</v>
          </cell>
          <cell r="CI131">
            <v>760536</v>
          </cell>
          <cell r="CJ131">
            <v>7032676</v>
          </cell>
          <cell r="CK131">
            <v>86365595</v>
          </cell>
          <cell r="CM131">
            <v>6585675</v>
          </cell>
          <cell r="CN131">
            <v>161414</v>
          </cell>
          <cell r="CO131">
            <v>0</v>
          </cell>
          <cell r="CP131">
            <v>0</v>
          </cell>
          <cell r="CQ131">
            <v>1634</v>
          </cell>
          <cell r="CR131">
            <v>0</v>
          </cell>
          <cell r="CS131">
            <v>20177</v>
          </cell>
          <cell r="CT131">
            <v>0</v>
          </cell>
          <cell r="CV131">
            <v>0</v>
          </cell>
          <cell r="CW131">
            <v>13948126</v>
          </cell>
          <cell r="CX131">
            <v>853735</v>
          </cell>
          <cell r="CY131">
            <v>21891</v>
          </cell>
        </row>
        <row r="132">
          <cell r="A132">
            <v>881</v>
          </cell>
          <cell r="B132">
            <v>612916428</v>
          </cell>
          <cell r="C132">
            <v>22774540</v>
          </cell>
          <cell r="D132">
            <v>40846818</v>
          </cell>
          <cell r="E132">
            <v>3135000</v>
          </cell>
          <cell r="F132">
            <v>21592000</v>
          </cell>
          <cell r="G132">
            <v>4917000</v>
          </cell>
          <cell r="H132">
            <v>0</v>
          </cell>
          <cell r="I132">
            <v>10584914</v>
          </cell>
          <cell r="J132">
            <v>0</v>
          </cell>
          <cell r="K132">
            <v>0</v>
          </cell>
          <cell r="L132">
            <v>1523649</v>
          </cell>
          <cell r="M132">
            <v>440563</v>
          </cell>
          <cell r="N132">
            <v>2713514</v>
          </cell>
          <cell r="O132">
            <v>11903303</v>
          </cell>
          <cell r="P132">
            <v>2626488</v>
          </cell>
          <cell r="Q132">
            <v>2323695</v>
          </cell>
          <cell r="R132">
            <v>9182959</v>
          </cell>
          <cell r="S132">
            <v>0</v>
          </cell>
          <cell r="T132">
            <v>30482388</v>
          </cell>
          <cell r="U132">
            <v>0</v>
          </cell>
          <cell r="V132">
            <v>150405</v>
          </cell>
          <cell r="W132">
            <v>0</v>
          </cell>
          <cell r="X132">
            <v>0</v>
          </cell>
          <cell r="Y132">
            <v>0</v>
          </cell>
          <cell r="Z132">
            <v>0</v>
          </cell>
          <cell r="AA132">
            <v>0</v>
          </cell>
          <cell r="AB132">
            <v>0</v>
          </cell>
          <cell r="AC132">
            <v>0</v>
          </cell>
          <cell r="AD132">
            <v>1587531</v>
          </cell>
          <cell r="AE132">
            <v>334761</v>
          </cell>
          <cell r="AF132">
            <v>0</v>
          </cell>
          <cell r="AG132">
            <v>437911</v>
          </cell>
          <cell r="AH132">
            <v>21487</v>
          </cell>
          <cell r="AI132">
            <v>194631</v>
          </cell>
          <cell r="AJ132">
            <v>13885985</v>
          </cell>
          <cell r="AK132">
            <v>647731</v>
          </cell>
          <cell r="AL132">
            <v>0</v>
          </cell>
          <cell r="AM132">
            <v>0</v>
          </cell>
          <cell r="AN132">
            <v>0</v>
          </cell>
          <cell r="AO132">
            <v>1091000</v>
          </cell>
          <cell r="AP132">
            <v>0</v>
          </cell>
          <cell r="AQ132">
            <v>796314701</v>
          </cell>
          <cell r="AR132">
            <v>8429170</v>
          </cell>
          <cell r="AS132">
            <v>1655083</v>
          </cell>
          <cell r="AT132">
            <v>2203302</v>
          </cell>
          <cell r="AU132">
            <v>818781</v>
          </cell>
          <cell r="AV132">
            <v>0</v>
          </cell>
          <cell r="AW132">
            <v>0</v>
          </cell>
          <cell r="AX132">
            <v>0</v>
          </cell>
          <cell r="AY132">
            <v>13106336</v>
          </cell>
          <cell r="AZ132">
            <v>1222625</v>
          </cell>
          <cell r="BA132">
            <v>0</v>
          </cell>
          <cell r="BB132">
            <v>0</v>
          </cell>
          <cell r="BC132">
            <v>0</v>
          </cell>
          <cell r="BD132">
            <v>1222625</v>
          </cell>
          <cell r="BE132">
            <v>3606054</v>
          </cell>
          <cell r="BF132">
            <v>0</v>
          </cell>
          <cell r="BG132">
            <v>764332</v>
          </cell>
          <cell r="BH132">
            <v>0</v>
          </cell>
          <cell r="BI132">
            <v>26515</v>
          </cell>
          <cell r="BJ132">
            <v>0</v>
          </cell>
          <cell r="BK132">
            <v>4396901</v>
          </cell>
          <cell r="BL132">
            <v>6275631</v>
          </cell>
          <cell r="BM132">
            <v>2424754</v>
          </cell>
          <cell r="BN132">
            <v>2787756</v>
          </cell>
          <cell r="BO132">
            <v>711369</v>
          </cell>
          <cell r="BP132">
            <v>245630</v>
          </cell>
          <cell r="BQ132">
            <v>385108</v>
          </cell>
          <cell r="BR132">
            <v>37668170</v>
          </cell>
          <cell r="BS132">
            <v>183102</v>
          </cell>
          <cell r="BT132">
            <v>1169829</v>
          </cell>
          <cell r="BU132">
            <v>0</v>
          </cell>
          <cell r="BV132">
            <v>107047</v>
          </cell>
          <cell r="BW132">
            <v>13452470</v>
          </cell>
          <cell r="BX132">
            <v>14410304</v>
          </cell>
          <cell r="BY132">
            <v>0</v>
          </cell>
          <cell r="BZ132">
            <v>1790801</v>
          </cell>
          <cell r="CA132">
            <v>100440</v>
          </cell>
          <cell r="CB132">
            <v>62770103</v>
          </cell>
          <cell r="CC132">
            <v>11515009</v>
          </cell>
          <cell r="CD132">
            <v>19960373</v>
          </cell>
          <cell r="CE132">
            <v>210271</v>
          </cell>
          <cell r="CF132">
            <v>895013</v>
          </cell>
          <cell r="CG132">
            <v>31348</v>
          </cell>
          <cell r="CH132">
            <v>19530</v>
          </cell>
          <cell r="CI132">
            <v>32631544</v>
          </cell>
          <cell r="CJ132">
            <v>95401647</v>
          </cell>
          <cell r="CK132">
            <v>891716348</v>
          </cell>
          <cell r="CM132">
            <v>41019235</v>
          </cell>
          <cell r="CN132">
            <v>1824394</v>
          </cell>
          <cell r="CO132">
            <v>701838</v>
          </cell>
          <cell r="CP132">
            <v>0</v>
          </cell>
          <cell r="CQ132">
            <v>0</v>
          </cell>
          <cell r="CR132">
            <v>0</v>
          </cell>
          <cell r="CS132">
            <v>1045544</v>
          </cell>
          <cell r="CT132">
            <v>0</v>
          </cell>
          <cell r="CV132">
            <v>0</v>
          </cell>
          <cell r="CW132">
            <v>80708001</v>
          </cell>
          <cell r="CX132">
            <v>9619183</v>
          </cell>
          <cell r="CY132">
            <v>6211673</v>
          </cell>
        </row>
        <row r="133">
          <cell r="A133">
            <v>882</v>
          </cell>
          <cell r="B133">
            <v>86242529</v>
          </cell>
          <cell r="C133">
            <v>2912662</v>
          </cell>
          <cell r="D133">
            <v>4723337</v>
          </cell>
          <cell r="E133">
            <v>1530542</v>
          </cell>
          <cell r="F133">
            <v>2801722</v>
          </cell>
          <cell r="G133">
            <v>696000</v>
          </cell>
          <cell r="H133">
            <v>0</v>
          </cell>
          <cell r="I133">
            <v>1857049</v>
          </cell>
          <cell r="J133">
            <v>0</v>
          </cell>
          <cell r="K133">
            <v>92725</v>
          </cell>
          <cell r="L133">
            <v>0</v>
          </cell>
          <cell r="M133">
            <v>225191</v>
          </cell>
          <cell r="N133">
            <v>691247</v>
          </cell>
          <cell r="O133">
            <v>2258033</v>
          </cell>
          <cell r="P133">
            <v>492437</v>
          </cell>
          <cell r="Q133">
            <v>271553</v>
          </cell>
          <cell r="R133">
            <v>218567</v>
          </cell>
          <cell r="S133">
            <v>0</v>
          </cell>
          <cell r="T133">
            <v>2417205</v>
          </cell>
          <cell r="U133">
            <v>0</v>
          </cell>
          <cell r="V133">
            <v>0</v>
          </cell>
          <cell r="W133">
            <v>0</v>
          </cell>
          <cell r="X133">
            <v>0</v>
          </cell>
          <cell r="Y133">
            <v>0</v>
          </cell>
          <cell r="Z133">
            <v>0</v>
          </cell>
          <cell r="AA133">
            <v>0</v>
          </cell>
          <cell r="AB133">
            <v>0</v>
          </cell>
          <cell r="AC133">
            <v>0</v>
          </cell>
          <cell r="AD133">
            <v>192074</v>
          </cell>
          <cell r="AE133">
            <v>0</v>
          </cell>
          <cell r="AF133">
            <v>0</v>
          </cell>
          <cell r="AG133">
            <v>0</v>
          </cell>
          <cell r="AH133">
            <v>1701</v>
          </cell>
          <cell r="AI133">
            <v>58807</v>
          </cell>
          <cell r="AJ133">
            <v>2965265</v>
          </cell>
          <cell r="AK133">
            <v>0</v>
          </cell>
          <cell r="AL133">
            <v>50000</v>
          </cell>
          <cell r="AM133">
            <v>0</v>
          </cell>
          <cell r="AN133">
            <v>33278</v>
          </cell>
          <cell r="AO133">
            <v>584665</v>
          </cell>
          <cell r="AP133">
            <v>0</v>
          </cell>
          <cell r="AQ133">
            <v>111316589</v>
          </cell>
          <cell r="AR133">
            <v>1501902</v>
          </cell>
          <cell r="AS133">
            <v>288630</v>
          </cell>
          <cell r="AT133">
            <v>788731</v>
          </cell>
          <cell r="AU133">
            <v>135712</v>
          </cell>
          <cell r="AV133">
            <v>0</v>
          </cell>
          <cell r="AW133">
            <v>0</v>
          </cell>
          <cell r="AX133">
            <v>41194</v>
          </cell>
          <cell r="AY133">
            <v>2756169</v>
          </cell>
          <cell r="AZ133">
            <v>373672</v>
          </cell>
          <cell r="BA133">
            <v>0</v>
          </cell>
          <cell r="BB133">
            <v>0</v>
          </cell>
          <cell r="BC133">
            <v>0</v>
          </cell>
          <cell r="BD133">
            <v>373672</v>
          </cell>
          <cell r="BE133">
            <v>439735</v>
          </cell>
          <cell r="BF133">
            <v>259010</v>
          </cell>
          <cell r="BG133">
            <v>86102</v>
          </cell>
          <cell r="BH133">
            <v>0</v>
          </cell>
          <cell r="BI133">
            <v>82456</v>
          </cell>
          <cell r="BJ133">
            <v>99349</v>
          </cell>
          <cell r="BK133">
            <v>966652</v>
          </cell>
          <cell r="BL133">
            <v>782688</v>
          </cell>
          <cell r="BM133">
            <v>249741</v>
          </cell>
          <cell r="BN133">
            <v>565163</v>
          </cell>
          <cell r="BO133">
            <v>267127</v>
          </cell>
          <cell r="BP133">
            <v>0</v>
          </cell>
          <cell r="BQ133">
            <v>0</v>
          </cell>
          <cell r="BR133">
            <v>3709040</v>
          </cell>
          <cell r="BS133">
            <v>99349</v>
          </cell>
          <cell r="BT133">
            <v>33116</v>
          </cell>
          <cell r="BU133">
            <v>19870</v>
          </cell>
          <cell r="BV133">
            <v>54341</v>
          </cell>
          <cell r="BW133">
            <v>2025941</v>
          </cell>
          <cell r="BX133">
            <v>263956</v>
          </cell>
          <cell r="BY133">
            <v>16705</v>
          </cell>
          <cell r="BZ133">
            <v>113731</v>
          </cell>
          <cell r="CA133">
            <v>0</v>
          </cell>
          <cell r="CB133">
            <v>8588221</v>
          </cell>
          <cell r="CC133">
            <v>1473809</v>
          </cell>
          <cell r="CD133">
            <v>2590404</v>
          </cell>
          <cell r="CE133">
            <v>12623</v>
          </cell>
          <cell r="CF133">
            <v>141280</v>
          </cell>
          <cell r="CG133">
            <v>0</v>
          </cell>
          <cell r="CH133">
            <v>0</v>
          </cell>
          <cell r="CI133">
            <v>4218116</v>
          </cell>
          <cell r="CJ133">
            <v>12806337</v>
          </cell>
          <cell r="CK133">
            <v>124122926</v>
          </cell>
          <cell r="CM133">
            <v>8314454</v>
          </cell>
          <cell r="CN133">
            <v>188849</v>
          </cell>
          <cell r="CO133">
            <v>6703</v>
          </cell>
          <cell r="CP133">
            <v>0</v>
          </cell>
          <cell r="CQ133">
            <v>0</v>
          </cell>
          <cell r="CR133">
            <v>0</v>
          </cell>
          <cell r="CS133">
            <v>245958</v>
          </cell>
          <cell r="CT133">
            <v>0</v>
          </cell>
          <cell r="CV133">
            <v>0</v>
          </cell>
          <cell r="CW133">
            <v>13296041</v>
          </cell>
          <cell r="CX133">
            <v>1809135</v>
          </cell>
          <cell r="CY133">
            <v>0</v>
          </cell>
        </row>
        <row r="134">
          <cell r="A134">
            <v>883</v>
          </cell>
          <cell r="B134">
            <v>70811162</v>
          </cell>
          <cell r="C134">
            <v>2661754</v>
          </cell>
          <cell r="D134">
            <v>5630975</v>
          </cell>
          <cell r="E134">
            <v>892926</v>
          </cell>
          <cell r="F134">
            <v>1689319</v>
          </cell>
          <cell r="G134">
            <v>843000</v>
          </cell>
          <cell r="H134">
            <v>0</v>
          </cell>
          <cell r="I134">
            <v>308981</v>
          </cell>
          <cell r="J134">
            <v>0</v>
          </cell>
          <cell r="K134">
            <v>58465</v>
          </cell>
          <cell r="L134">
            <v>0</v>
          </cell>
          <cell r="M134">
            <v>0</v>
          </cell>
          <cell r="N134">
            <v>875500</v>
          </cell>
          <cell r="O134">
            <v>1575115</v>
          </cell>
          <cell r="P134">
            <v>1772342</v>
          </cell>
          <cell r="Q134">
            <v>0</v>
          </cell>
          <cell r="R134">
            <v>250027</v>
          </cell>
          <cell r="S134">
            <v>0</v>
          </cell>
          <cell r="T134">
            <v>4384253</v>
          </cell>
          <cell r="U134">
            <v>0</v>
          </cell>
          <cell r="V134">
            <v>34312</v>
          </cell>
          <cell r="W134">
            <v>0</v>
          </cell>
          <cell r="X134">
            <v>0</v>
          </cell>
          <cell r="Y134">
            <v>0</v>
          </cell>
          <cell r="Z134">
            <v>0</v>
          </cell>
          <cell r="AA134">
            <v>0</v>
          </cell>
          <cell r="AB134">
            <v>0</v>
          </cell>
          <cell r="AC134">
            <v>0</v>
          </cell>
          <cell r="AD134">
            <v>144898</v>
          </cell>
          <cell r="AE134">
            <v>68246</v>
          </cell>
          <cell r="AF134">
            <v>1386407</v>
          </cell>
          <cell r="AG134">
            <v>0</v>
          </cell>
          <cell r="AH134">
            <v>20702</v>
          </cell>
          <cell r="AI134">
            <v>32928</v>
          </cell>
          <cell r="AJ134">
            <v>203840</v>
          </cell>
          <cell r="AK134">
            <v>0</v>
          </cell>
          <cell r="AL134">
            <v>0</v>
          </cell>
          <cell r="AM134">
            <v>0</v>
          </cell>
          <cell r="AN134">
            <v>50000</v>
          </cell>
          <cell r="AO134">
            <v>1346874</v>
          </cell>
          <cell r="AP134">
            <v>0</v>
          </cell>
          <cell r="AQ134">
            <v>95042026</v>
          </cell>
          <cell r="AR134">
            <v>766039</v>
          </cell>
          <cell r="AS134">
            <v>105473</v>
          </cell>
          <cell r="AT134">
            <v>203123</v>
          </cell>
          <cell r="AU134">
            <v>66775</v>
          </cell>
          <cell r="AV134">
            <v>0</v>
          </cell>
          <cell r="AW134">
            <v>0</v>
          </cell>
          <cell r="AX134">
            <v>21535</v>
          </cell>
          <cell r="AY134">
            <v>1162945</v>
          </cell>
          <cell r="AZ134">
            <v>1848004</v>
          </cell>
          <cell r="BA134">
            <v>0</v>
          </cell>
          <cell r="BB134">
            <v>0</v>
          </cell>
          <cell r="BC134">
            <v>44598</v>
          </cell>
          <cell r="BD134">
            <v>1892602</v>
          </cell>
          <cell r="BE134">
            <v>411126</v>
          </cell>
          <cell r="BF134">
            <v>240639</v>
          </cell>
          <cell r="BG134">
            <v>101777</v>
          </cell>
          <cell r="BH134">
            <v>0</v>
          </cell>
          <cell r="BI134">
            <v>110460</v>
          </cell>
          <cell r="BJ134">
            <v>22478</v>
          </cell>
          <cell r="BK134">
            <v>886480</v>
          </cell>
          <cell r="BL134">
            <v>1082328</v>
          </cell>
          <cell r="BM134">
            <v>414161</v>
          </cell>
          <cell r="BN134">
            <v>470830</v>
          </cell>
          <cell r="BO134">
            <v>20002</v>
          </cell>
          <cell r="BP134">
            <v>0</v>
          </cell>
          <cell r="BQ134">
            <v>0</v>
          </cell>
          <cell r="BR134">
            <v>4135065</v>
          </cell>
          <cell r="BS134">
            <v>298804</v>
          </cell>
          <cell r="BT134">
            <v>56644</v>
          </cell>
          <cell r="BU134">
            <v>61467</v>
          </cell>
          <cell r="BV134">
            <v>135318</v>
          </cell>
          <cell r="BW134">
            <v>1020649</v>
          </cell>
          <cell r="BX134">
            <v>1250745</v>
          </cell>
          <cell r="BY134">
            <v>0</v>
          </cell>
          <cell r="BZ134">
            <v>406445</v>
          </cell>
          <cell r="CA134">
            <v>365593</v>
          </cell>
          <cell r="CB134">
            <v>9525013</v>
          </cell>
          <cell r="CC134">
            <v>1217007</v>
          </cell>
          <cell r="CD134">
            <v>5176</v>
          </cell>
          <cell r="CE134">
            <v>0</v>
          </cell>
          <cell r="CF134">
            <v>62634</v>
          </cell>
          <cell r="CG134">
            <v>26123</v>
          </cell>
          <cell r="CH134">
            <v>0</v>
          </cell>
          <cell r="CI134">
            <v>1310940</v>
          </cell>
          <cell r="CJ134">
            <v>10835953</v>
          </cell>
          <cell r="CK134">
            <v>105877979</v>
          </cell>
          <cell r="CM134">
            <v>0</v>
          </cell>
          <cell r="CN134">
            <v>0</v>
          </cell>
          <cell r="CO134">
            <v>0</v>
          </cell>
          <cell r="CP134">
            <v>0</v>
          </cell>
          <cell r="CQ134">
            <v>0</v>
          </cell>
          <cell r="CR134">
            <v>0</v>
          </cell>
          <cell r="CS134">
            <v>302849</v>
          </cell>
          <cell r="CT134">
            <v>0</v>
          </cell>
          <cell r="CV134">
            <v>0</v>
          </cell>
          <cell r="CW134">
            <v>1986784</v>
          </cell>
          <cell r="CX134">
            <v>1346874</v>
          </cell>
          <cell r="CY134">
            <v>365693</v>
          </cell>
        </row>
        <row r="135">
          <cell r="A135">
            <v>884</v>
          </cell>
          <cell r="B135">
            <v>66254122</v>
          </cell>
          <cell r="C135">
            <v>3214002</v>
          </cell>
          <cell r="D135">
            <v>6895570</v>
          </cell>
          <cell r="E135">
            <v>618856</v>
          </cell>
          <cell r="F135">
            <v>2904914</v>
          </cell>
          <cell r="G135">
            <v>0</v>
          </cell>
          <cell r="H135">
            <v>0</v>
          </cell>
          <cell r="I135">
            <v>32960</v>
          </cell>
          <cell r="J135">
            <v>520000</v>
          </cell>
          <cell r="K135">
            <v>725146</v>
          </cell>
          <cell r="L135">
            <v>311159</v>
          </cell>
          <cell r="M135">
            <v>84579</v>
          </cell>
          <cell r="N135">
            <v>5044</v>
          </cell>
          <cell r="O135">
            <v>1323278</v>
          </cell>
          <cell r="P135">
            <v>758528</v>
          </cell>
          <cell r="Q135">
            <v>107325</v>
          </cell>
          <cell r="R135">
            <v>298669</v>
          </cell>
          <cell r="S135">
            <v>0</v>
          </cell>
          <cell r="T135">
            <v>2938359</v>
          </cell>
          <cell r="U135">
            <v>30990</v>
          </cell>
          <cell r="V135">
            <v>17605</v>
          </cell>
          <cell r="W135">
            <v>3608</v>
          </cell>
          <cell r="X135">
            <v>65000</v>
          </cell>
          <cell r="Y135">
            <v>0</v>
          </cell>
          <cell r="Z135">
            <v>0</v>
          </cell>
          <cell r="AA135">
            <v>0</v>
          </cell>
          <cell r="AB135">
            <v>0</v>
          </cell>
          <cell r="AC135">
            <v>3090</v>
          </cell>
          <cell r="AD135">
            <v>143083</v>
          </cell>
          <cell r="AE135">
            <v>3090</v>
          </cell>
          <cell r="AF135">
            <v>50000</v>
          </cell>
          <cell r="AG135">
            <v>60806</v>
          </cell>
          <cell r="AH135">
            <v>10968</v>
          </cell>
          <cell r="AI135">
            <v>25235</v>
          </cell>
          <cell r="AJ135">
            <v>1678438</v>
          </cell>
          <cell r="AK135">
            <v>0</v>
          </cell>
          <cell r="AL135">
            <v>95000</v>
          </cell>
          <cell r="AM135">
            <v>0</v>
          </cell>
          <cell r="AN135">
            <v>110870</v>
          </cell>
          <cell r="AO135">
            <v>0</v>
          </cell>
          <cell r="AP135">
            <v>0</v>
          </cell>
          <cell r="AQ135">
            <v>89290294</v>
          </cell>
          <cell r="AR135">
            <v>1225572</v>
          </cell>
          <cell r="AS135">
            <v>326475</v>
          </cell>
          <cell r="AT135">
            <v>117008</v>
          </cell>
          <cell r="AU135">
            <v>28500</v>
          </cell>
          <cell r="AV135">
            <v>0</v>
          </cell>
          <cell r="AW135">
            <v>0</v>
          </cell>
          <cell r="AX135">
            <v>31963</v>
          </cell>
          <cell r="AY135">
            <v>1729518</v>
          </cell>
          <cell r="AZ135">
            <v>1757236</v>
          </cell>
          <cell r="BA135">
            <v>0</v>
          </cell>
          <cell r="BB135">
            <v>0</v>
          </cell>
          <cell r="BC135">
            <v>0</v>
          </cell>
          <cell r="BD135">
            <v>1757236</v>
          </cell>
          <cell r="BE135">
            <v>439981</v>
          </cell>
          <cell r="BF135">
            <v>403146</v>
          </cell>
          <cell r="BG135">
            <v>211056</v>
          </cell>
          <cell r="BH135">
            <v>27000</v>
          </cell>
          <cell r="BI135">
            <v>51632</v>
          </cell>
          <cell r="BJ135">
            <v>40000</v>
          </cell>
          <cell r="BK135">
            <v>1172815</v>
          </cell>
          <cell r="BL135">
            <v>1280200</v>
          </cell>
          <cell r="BM135">
            <v>679557</v>
          </cell>
          <cell r="BN135">
            <v>190548</v>
          </cell>
          <cell r="BO135">
            <v>0</v>
          </cell>
          <cell r="BP135">
            <v>47944</v>
          </cell>
          <cell r="BQ135">
            <v>19000</v>
          </cell>
          <cell r="BR135">
            <v>7520613</v>
          </cell>
          <cell r="BS135">
            <v>114137</v>
          </cell>
          <cell r="BT135">
            <v>29888</v>
          </cell>
          <cell r="BU135">
            <v>16719</v>
          </cell>
          <cell r="BV135">
            <v>5047</v>
          </cell>
          <cell r="BW135">
            <v>1779315</v>
          </cell>
          <cell r="BX135">
            <v>4038359</v>
          </cell>
          <cell r="BY135">
            <v>0</v>
          </cell>
          <cell r="BZ135">
            <v>600099</v>
          </cell>
          <cell r="CA135">
            <v>690000</v>
          </cell>
          <cell r="CB135">
            <v>14150382</v>
          </cell>
          <cell r="CC135">
            <v>1141650</v>
          </cell>
          <cell r="CD135">
            <v>0</v>
          </cell>
          <cell r="CE135">
            <v>3000</v>
          </cell>
          <cell r="CF135">
            <v>248230</v>
          </cell>
          <cell r="CG135">
            <v>5150</v>
          </cell>
          <cell r="CH135">
            <v>0</v>
          </cell>
          <cell r="CI135">
            <v>1398030</v>
          </cell>
          <cell r="CJ135">
            <v>15548412</v>
          </cell>
          <cell r="CK135">
            <v>104838706</v>
          </cell>
          <cell r="CM135">
            <v>2090124</v>
          </cell>
          <cell r="CN135">
            <v>267807</v>
          </cell>
          <cell r="CO135">
            <v>0</v>
          </cell>
          <cell r="CP135">
            <v>0</v>
          </cell>
          <cell r="CQ135">
            <v>0</v>
          </cell>
          <cell r="CR135">
            <v>0</v>
          </cell>
          <cell r="CS135">
            <v>305250</v>
          </cell>
          <cell r="CT135">
            <v>0</v>
          </cell>
          <cell r="CV135">
            <v>0</v>
          </cell>
          <cell r="CW135">
            <v>8930644</v>
          </cell>
          <cell r="CX135">
            <v>1618697</v>
          </cell>
          <cell r="CY135">
            <v>1031117</v>
          </cell>
        </row>
        <row r="136">
          <cell r="A136">
            <v>885</v>
          </cell>
          <cell r="B136">
            <v>232670384</v>
          </cell>
          <cell r="C136">
            <v>10775500</v>
          </cell>
          <cell r="D136">
            <v>19518075</v>
          </cell>
          <cell r="E136">
            <v>0</v>
          </cell>
          <cell r="F136">
            <v>9950788</v>
          </cell>
          <cell r="G136">
            <v>0</v>
          </cell>
          <cell r="H136">
            <v>0</v>
          </cell>
          <cell r="I136">
            <v>1280438</v>
          </cell>
          <cell r="J136">
            <v>371416</v>
          </cell>
          <cell r="K136">
            <v>0</v>
          </cell>
          <cell r="L136">
            <v>966406</v>
          </cell>
          <cell r="M136">
            <v>360568</v>
          </cell>
          <cell r="N136">
            <v>586535</v>
          </cell>
          <cell r="O136">
            <v>2070784</v>
          </cell>
          <cell r="P136">
            <v>3212718</v>
          </cell>
          <cell r="Q136">
            <v>553070</v>
          </cell>
          <cell r="R136">
            <v>219578</v>
          </cell>
          <cell r="S136">
            <v>0</v>
          </cell>
          <cell r="T136">
            <v>6904914</v>
          </cell>
          <cell r="U136">
            <v>0</v>
          </cell>
          <cell r="V136">
            <v>35854</v>
          </cell>
          <cell r="W136">
            <v>145670</v>
          </cell>
          <cell r="X136">
            <v>0</v>
          </cell>
          <cell r="Y136">
            <v>0</v>
          </cell>
          <cell r="Z136">
            <v>1453555</v>
          </cell>
          <cell r="AA136">
            <v>0</v>
          </cell>
          <cell r="AB136">
            <v>0</v>
          </cell>
          <cell r="AC136">
            <v>0</v>
          </cell>
          <cell r="AD136">
            <v>603438</v>
          </cell>
          <cell r="AE136">
            <v>108866</v>
          </cell>
          <cell r="AF136">
            <v>446260</v>
          </cell>
          <cell r="AG136">
            <v>234424</v>
          </cell>
          <cell r="AH136">
            <v>12000</v>
          </cell>
          <cell r="AI136">
            <v>356958</v>
          </cell>
          <cell r="AJ136">
            <v>914558</v>
          </cell>
          <cell r="AK136">
            <v>0</v>
          </cell>
          <cell r="AL136">
            <v>0</v>
          </cell>
          <cell r="AM136">
            <v>0</v>
          </cell>
          <cell r="AN136">
            <v>391774</v>
          </cell>
          <cell r="AO136">
            <v>5342245</v>
          </cell>
          <cell r="AP136">
            <v>0</v>
          </cell>
          <cell r="AQ136">
            <v>299486776</v>
          </cell>
          <cell r="AR136">
            <v>6612980</v>
          </cell>
          <cell r="AS136">
            <v>233699</v>
          </cell>
          <cell r="AT136">
            <v>438390</v>
          </cell>
          <cell r="AU136">
            <v>464622</v>
          </cell>
          <cell r="AV136">
            <v>108114</v>
          </cell>
          <cell r="AW136">
            <v>0</v>
          </cell>
          <cell r="AX136">
            <v>0</v>
          </cell>
          <cell r="AY136">
            <v>7857805</v>
          </cell>
          <cell r="AZ136">
            <v>3645495</v>
          </cell>
          <cell r="BA136">
            <v>0</v>
          </cell>
          <cell r="BB136">
            <v>91416</v>
          </cell>
          <cell r="BC136">
            <v>0</v>
          </cell>
          <cell r="BD136">
            <v>3736911</v>
          </cell>
          <cell r="BE136">
            <v>1295090</v>
          </cell>
          <cell r="BF136">
            <v>683188</v>
          </cell>
          <cell r="BG136">
            <v>186011</v>
          </cell>
          <cell r="BH136">
            <v>0</v>
          </cell>
          <cell r="BI136">
            <v>151748</v>
          </cell>
          <cell r="BJ136">
            <v>110231</v>
          </cell>
          <cell r="BK136">
            <v>2426268</v>
          </cell>
          <cell r="BL136">
            <v>4847002</v>
          </cell>
          <cell r="BM136">
            <v>1529344</v>
          </cell>
          <cell r="BN136">
            <v>910890</v>
          </cell>
          <cell r="BO136">
            <v>576272</v>
          </cell>
          <cell r="BP136">
            <v>181784</v>
          </cell>
          <cell r="BQ136">
            <v>1739417</v>
          </cell>
          <cell r="BR136">
            <v>16739640</v>
          </cell>
          <cell r="BS136">
            <v>939419</v>
          </cell>
          <cell r="BT136">
            <v>236354</v>
          </cell>
          <cell r="BU136">
            <v>2000</v>
          </cell>
          <cell r="BV136">
            <v>34504</v>
          </cell>
          <cell r="BW136">
            <v>4663511</v>
          </cell>
          <cell r="BX136">
            <v>4467341</v>
          </cell>
          <cell r="BY136">
            <v>252685</v>
          </cell>
          <cell r="BZ136">
            <v>1206119</v>
          </cell>
          <cell r="CA136">
            <v>38792</v>
          </cell>
          <cell r="CB136">
            <v>35646418</v>
          </cell>
          <cell r="CC136">
            <v>3582186</v>
          </cell>
          <cell r="CD136">
            <v>1224830</v>
          </cell>
          <cell r="CE136">
            <v>1100</v>
          </cell>
          <cell r="CF136">
            <v>689549</v>
          </cell>
          <cell r="CG136">
            <v>0</v>
          </cell>
          <cell r="CH136">
            <v>0</v>
          </cell>
          <cell r="CI136">
            <v>5497665</v>
          </cell>
          <cell r="CJ136">
            <v>41144083</v>
          </cell>
          <cell r="CK136">
            <v>340630859</v>
          </cell>
          <cell r="CM136">
            <v>18738532</v>
          </cell>
          <cell r="CN136">
            <v>1236852</v>
          </cell>
          <cell r="CO136">
            <v>42300</v>
          </cell>
          <cell r="CP136">
            <v>0</v>
          </cell>
          <cell r="CQ136">
            <v>0</v>
          </cell>
          <cell r="CR136">
            <v>0</v>
          </cell>
          <cell r="CS136">
            <v>437300</v>
          </cell>
          <cell r="CT136">
            <v>0</v>
          </cell>
          <cell r="CV136">
            <v>0</v>
          </cell>
          <cell r="CW136">
            <v>40912771</v>
          </cell>
          <cell r="CX136">
            <v>6842796</v>
          </cell>
          <cell r="CY136">
            <v>101484</v>
          </cell>
        </row>
        <row r="137">
          <cell r="A137">
            <v>886</v>
          </cell>
          <cell r="B137">
            <v>658405179</v>
          </cell>
          <cell r="C137">
            <v>25166096</v>
          </cell>
          <cell r="D137">
            <v>59664259</v>
          </cell>
          <cell r="E137">
            <v>4861814</v>
          </cell>
          <cell r="F137">
            <v>20744043</v>
          </cell>
          <cell r="G137">
            <v>6379000</v>
          </cell>
          <cell r="H137">
            <v>250000</v>
          </cell>
          <cell r="I137">
            <v>2341083</v>
          </cell>
          <cell r="J137">
            <v>0</v>
          </cell>
          <cell r="K137">
            <v>6730881</v>
          </cell>
          <cell r="L137">
            <v>2659690</v>
          </cell>
          <cell r="M137">
            <v>5520552</v>
          </cell>
          <cell r="N137">
            <v>1977135</v>
          </cell>
          <cell r="O137">
            <v>8771084</v>
          </cell>
          <cell r="P137">
            <v>3928047</v>
          </cell>
          <cell r="Q137">
            <v>3334852</v>
          </cell>
          <cell r="R137">
            <v>6116591</v>
          </cell>
          <cell r="S137">
            <v>0</v>
          </cell>
          <cell r="T137">
            <v>42228930</v>
          </cell>
          <cell r="U137">
            <v>3363383</v>
          </cell>
          <cell r="V137">
            <v>105867</v>
          </cell>
          <cell r="W137">
            <v>0</v>
          </cell>
          <cell r="X137">
            <v>126022</v>
          </cell>
          <cell r="Y137">
            <v>0</v>
          </cell>
          <cell r="Z137">
            <v>0</v>
          </cell>
          <cell r="AA137">
            <v>0</v>
          </cell>
          <cell r="AB137">
            <v>99150</v>
          </cell>
          <cell r="AC137">
            <v>165357</v>
          </cell>
          <cell r="AD137">
            <v>1353632</v>
          </cell>
          <cell r="AE137">
            <v>698379</v>
          </cell>
          <cell r="AF137">
            <v>0</v>
          </cell>
          <cell r="AG137">
            <v>50000</v>
          </cell>
          <cell r="AH137">
            <v>48762</v>
          </cell>
          <cell r="AI137">
            <v>2332772</v>
          </cell>
          <cell r="AJ137">
            <v>6901736</v>
          </cell>
          <cell r="AK137">
            <v>0</v>
          </cell>
          <cell r="AL137">
            <v>0</v>
          </cell>
          <cell r="AM137">
            <v>0</v>
          </cell>
          <cell r="AN137">
            <v>921931</v>
          </cell>
          <cell r="AO137">
            <v>1380000</v>
          </cell>
          <cell r="AP137">
            <v>0</v>
          </cell>
          <cell r="AQ137">
            <v>876626227</v>
          </cell>
          <cell r="AR137">
            <v>14266500</v>
          </cell>
          <cell r="AS137">
            <v>2113160</v>
          </cell>
          <cell r="AT137">
            <v>5061519</v>
          </cell>
          <cell r="AU137">
            <v>358476</v>
          </cell>
          <cell r="AV137">
            <v>0</v>
          </cell>
          <cell r="AW137">
            <v>0</v>
          </cell>
          <cell r="AX137">
            <v>0</v>
          </cell>
          <cell r="AY137">
            <v>21799655</v>
          </cell>
          <cell r="AZ137">
            <v>5514564</v>
          </cell>
          <cell r="BA137">
            <v>550000</v>
          </cell>
          <cell r="BB137">
            <v>0</v>
          </cell>
          <cell r="BC137">
            <v>36200</v>
          </cell>
          <cell r="BD137">
            <v>6100764</v>
          </cell>
          <cell r="BE137">
            <v>3460356</v>
          </cell>
          <cell r="BF137">
            <v>1847436</v>
          </cell>
          <cell r="BG137">
            <v>531120</v>
          </cell>
          <cell r="BH137">
            <v>0</v>
          </cell>
          <cell r="BI137">
            <v>297264</v>
          </cell>
          <cell r="BJ137">
            <v>316386</v>
          </cell>
          <cell r="BK137">
            <v>6452562</v>
          </cell>
          <cell r="BL137">
            <v>12747976</v>
          </cell>
          <cell r="BM137">
            <v>287044</v>
          </cell>
          <cell r="BN137">
            <v>1659956</v>
          </cell>
          <cell r="BO137">
            <v>598155</v>
          </cell>
          <cell r="BP137">
            <v>0</v>
          </cell>
          <cell r="BQ137">
            <v>0</v>
          </cell>
          <cell r="BR137">
            <v>34822254</v>
          </cell>
          <cell r="BS137">
            <v>474744</v>
          </cell>
          <cell r="BT137">
            <v>184403</v>
          </cell>
          <cell r="BU137">
            <v>0</v>
          </cell>
          <cell r="BV137">
            <v>0</v>
          </cell>
          <cell r="BW137">
            <v>15472699</v>
          </cell>
          <cell r="BX137">
            <v>15131587</v>
          </cell>
          <cell r="BY137">
            <v>152094</v>
          </cell>
          <cell r="BZ137">
            <v>861572</v>
          </cell>
          <cell r="CA137">
            <v>0</v>
          </cell>
          <cell r="CB137">
            <v>81923211</v>
          </cell>
          <cell r="CC137">
            <v>13536469</v>
          </cell>
          <cell r="CD137">
            <v>19019117</v>
          </cell>
          <cell r="CE137">
            <v>721567</v>
          </cell>
          <cell r="CF137">
            <v>0</v>
          </cell>
          <cell r="CG137">
            <v>0</v>
          </cell>
          <cell r="CH137">
            <v>0</v>
          </cell>
          <cell r="CI137">
            <v>33277153</v>
          </cell>
          <cell r="CJ137">
            <v>115200364</v>
          </cell>
          <cell r="CK137">
            <v>991826591</v>
          </cell>
          <cell r="CM137">
            <v>67510734</v>
          </cell>
          <cell r="CN137">
            <v>3752364</v>
          </cell>
          <cell r="CO137">
            <v>439936</v>
          </cell>
          <cell r="CP137">
            <v>0</v>
          </cell>
          <cell r="CQ137">
            <v>629941</v>
          </cell>
          <cell r="CR137">
            <v>231082</v>
          </cell>
          <cell r="CS137">
            <v>1648260</v>
          </cell>
          <cell r="CT137">
            <v>0</v>
          </cell>
          <cell r="CV137">
            <v>0</v>
          </cell>
          <cell r="CW137">
            <v>212478000</v>
          </cell>
          <cell r="CX137">
            <v>12333709</v>
          </cell>
          <cell r="CY137">
            <v>4452131</v>
          </cell>
        </row>
        <row r="138">
          <cell r="A138">
            <v>887</v>
          </cell>
          <cell r="B138">
            <v>141204332</v>
          </cell>
          <cell r="C138">
            <v>4890601</v>
          </cell>
          <cell r="D138">
            <v>11649253</v>
          </cell>
          <cell r="E138">
            <v>799973</v>
          </cell>
          <cell r="F138">
            <v>4078391</v>
          </cell>
          <cell r="G138">
            <v>454483</v>
          </cell>
          <cell r="H138">
            <v>0</v>
          </cell>
          <cell r="I138">
            <v>680700</v>
          </cell>
          <cell r="J138">
            <v>0</v>
          </cell>
          <cell r="K138">
            <v>154100</v>
          </cell>
          <cell r="L138">
            <v>248700</v>
          </cell>
          <cell r="M138">
            <v>117900</v>
          </cell>
          <cell r="N138">
            <v>1292700</v>
          </cell>
          <cell r="O138">
            <v>2290200</v>
          </cell>
          <cell r="P138">
            <v>1866609</v>
          </cell>
          <cell r="Q138">
            <v>1155169</v>
          </cell>
          <cell r="R138">
            <v>641200</v>
          </cell>
          <cell r="S138">
            <v>0</v>
          </cell>
          <cell r="T138">
            <v>9341617</v>
          </cell>
          <cell r="U138">
            <v>185190</v>
          </cell>
          <cell r="V138">
            <v>32200</v>
          </cell>
          <cell r="W138">
            <v>0</v>
          </cell>
          <cell r="X138">
            <v>0</v>
          </cell>
          <cell r="Y138">
            <v>0</v>
          </cell>
          <cell r="Z138">
            <v>0</v>
          </cell>
          <cell r="AA138">
            <v>0</v>
          </cell>
          <cell r="AB138">
            <v>27600</v>
          </cell>
          <cell r="AC138">
            <v>0</v>
          </cell>
          <cell r="AD138">
            <v>294080</v>
          </cell>
          <cell r="AE138">
            <v>4500</v>
          </cell>
          <cell r="AF138">
            <v>359671</v>
          </cell>
          <cell r="AG138">
            <v>303900</v>
          </cell>
          <cell r="AH138">
            <v>30500</v>
          </cell>
          <cell r="AI138">
            <v>335100</v>
          </cell>
          <cell r="AJ138">
            <v>1808762</v>
          </cell>
          <cell r="AK138">
            <v>0</v>
          </cell>
          <cell r="AL138">
            <v>0</v>
          </cell>
          <cell r="AM138">
            <v>0</v>
          </cell>
          <cell r="AN138">
            <v>229900</v>
          </cell>
          <cell r="AO138">
            <v>645552</v>
          </cell>
          <cell r="AP138">
            <v>0</v>
          </cell>
          <cell r="AQ138">
            <v>185122883</v>
          </cell>
          <cell r="AR138">
            <v>1892184</v>
          </cell>
          <cell r="AS138">
            <v>528722</v>
          </cell>
          <cell r="AT138">
            <v>433900</v>
          </cell>
          <cell r="AU138">
            <v>0</v>
          </cell>
          <cell r="AV138">
            <v>0</v>
          </cell>
          <cell r="AW138">
            <v>16150</v>
          </cell>
          <cell r="AX138">
            <v>0</v>
          </cell>
          <cell r="AY138">
            <v>2870956</v>
          </cell>
          <cell r="AZ138">
            <v>658111</v>
          </cell>
          <cell r="BA138">
            <v>0</v>
          </cell>
          <cell r="BB138">
            <v>0</v>
          </cell>
          <cell r="BC138">
            <v>0</v>
          </cell>
          <cell r="BD138">
            <v>658111</v>
          </cell>
          <cell r="BE138">
            <v>331500</v>
          </cell>
          <cell r="BF138">
            <v>478744</v>
          </cell>
          <cell r="BG138">
            <v>46493</v>
          </cell>
          <cell r="BH138">
            <v>0</v>
          </cell>
          <cell r="BI138">
            <v>68308</v>
          </cell>
          <cell r="BJ138">
            <v>152024</v>
          </cell>
          <cell r="BK138">
            <v>1077069</v>
          </cell>
          <cell r="BL138">
            <v>1525772</v>
          </cell>
          <cell r="BM138">
            <v>190700</v>
          </cell>
          <cell r="BN138">
            <v>479161</v>
          </cell>
          <cell r="BO138">
            <v>0</v>
          </cell>
          <cell r="BP138">
            <v>27500</v>
          </cell>
          <cell r="BQ138">
            <v>0</v>
          </cell>
          <cell r="BR138">
            <v>4928852</v>
          </cell>
          <cell r="BS138">
            <v>35190</v>
          </cell>
          <cell r="BT138">
            <v>54401</v>
          </cell>
          <cell r="BU138">
            <v>10600</v>
          </cell>
          <cell r="BV138">
            <v>0</v>
          </cell>
          <cell r="BW138">
            <v>2793100</v>
          </cell>
          <cell r="BX138">
            <v>1194200</v>
          </cell>
          <cell r="BY138">
            <v>116100</v>
          </cell>
          <cell r="BZ138">
            <v>27900</v>
          </cell>
          <cell r="CA138">
            <v>0</v>
          </cell>
          <cell r="CB138">
            <v>11060760</v>
          </cell>
          <cell r="CC138">
            <v>1686431</v>
          </cell>
          <cell r="CD138">
            <v>3762013</v>
          </cell>
          <cell r="CE138">
            <v>360509</v>
          </cell>
          <cell r="CF138">
            <v>0</v>
          </cell>
          <cell r="CG138">
            <v>98405</v>
          </cell>
          <cell r="CH138">
            <v>0</v>
          </cell>
          <cell r="CI138">
            <v>5907358</v>
          </cell>
          <cell r="CJ138">
            <v>16968118</v>
          </cell>
          <cell r="CK138">
            <v>202091001</v>
          </cell>
          <cell r="CM138">
            <v>14239034</v>
          </cell>
          <cell r="CN138">
            <v>555627</v>
          </cell>
          <cell r="CO138">
            <v>0</v>
          </cell>
          <cell r="CP138">
            <v>0</v>
          </cell>
          <cell r="CQ138">
            <v>0</v>
          </cell>
          <cell r="CR138">
            <v>0</v>
          </cell>
          <cell r="CS138">
            <v>197883</v>
          </cell>
          <cell r="CT138">
            <v>0</v>
          </cell>
          <cell r="CV138">
            <v>0</v>
          </cell>
          <cell r="CW138">
            <v>18597909</v>
          </cell>
          <cell r="CX138">
            <v>3162625</v>
          </cell>
          <cell r="CY138">
            <v>98001</v>
          </cell>
        </row>
        <row r="139">
          <cell r="A139">
            <v>888</v>
          </cell>
          <cell r="B139">
            <v>513494700</v>
          </cell>
          <cell r="C139">
            <v>22449206</v>
          </cell>
          <cell r="D139">
            <v>51418204</v>
          </cell>
          <cell r="E139">
            <v>4802762</v>
          </cell>
          <cell r="F139">
            <v>23100000</v>
          </cell>
          <cell r="G139">
            <v>0</v>
          </cell>
          <cell r="H139">
            <v>500000</v>
          </cell>
          <cell r="I139">
            <v>2109400</v>
          </cell>
          <cell r="J139">
            <v>0</v>
          </cell>
          <cell r="K139">
            <v>0</v>
          </cell>
          <cell r="L139">
            <v>0</v>
          </cell>
          <cell r="M139">
            <v>361700</v>
          </cell>
          <cell r="N139">
            <v>1181200</v>
          </cell>
          <cell r="O139">
            <v>15897000</v>
          </cell>
          <cell r="P139">
            <v>11221384</v>
          </cell>
          <cell r="Q139">
            <v>4515923</v>
          </cell>
          <cell r="R139">
            <v>412881</v>
          </cell>
          <cell r="S139">
            <v>0</v>
          </cell>
          <cell r="T139">
            <v>26948969</v>
          </cell>
          <cell r="U139">
            <v>0</v>
          </cell>
          <cell r="V139">
            <v>112367</v>
          </cell>
          <cell r="W139">
            <v>115901</v>
          </cell>
          <cell r="X139">
            <v>0</v>
          </cell>
          <cell r="Y139">
            <v>0</v>
          </cell>
          <cell r="Z139">
            <v>3068840</v>
          </cell>
          <cell r="AA139">
            <v>0</v>
          </cell>
          <cell r="AB139">
            <v>157600</v>
          </cell>
          <cell r="AC139">
            <v>642392</v>
          </cell>
          <cell r="AD139">
            <v>577776</v>
          </cell>
          <cell r="AE139">
            <v>144636</v>
          </cell>
          <cell r="AF139">
            <v>1450000</v>
          </cell>
          <cell r="AG139">
            <v>340448</v>
          </cell>
          <cell r="AH139">
            <v>76200</v>
          </cell>
          <cell r="AI139">
            <v>721025</v>
          </cell>
          <cell r="AJ139">
            <v>11311625</v>
          </cell>
          <cell r="AK139">
            <v>536500</v>
          </cell>
          <cell r="AL139">
            <v>0</v>
          </cell>
          <cell r="AM139">
            <v>0</v>
          </cell>
          <cell r="AN139">
            <v>936000</v>
          </cell>
          <cell r="AO139">
            <v>3393935</v>
          </cell>
          <cell r="AP139">
            <v>0</v>
          </cell>
          <cell r="AQ139">
            <v>701998574</v>
          </cell>
          <cell r="AR139">
            <v>10067522</v>
          </cell>
          <cell r="AS139">
            <v>1686903</v>
          </cell>
          <cell r="AT139">
            <v>7652483</v>
          </cell>
          <cell r="AU139">
            <v>796800</v>
          </cell>
          <cell r="AV139">
            <v>0</v>
          </cell>
          <cell r="AW139">
            <v>0</v>
          </cell>
          <cell r="AX139">
            <v>0</v>
          </cell>
          <cell r="AY139">
            <v>20203708</v>
          </cell>
          <cell r="AZ139">
            <v>1808349</v>
          </cell>
          <cell r="BA139">
            <v>0</v>
          </cell>
          <cell r="BB139">
            <v>0</v>
          </cell>
          <cell r="BC139">
            <v>0</v>
          </cell>
          <cell r="BD139">
            <v>1808349</v>
          </cell>
          <cell r="BE139">
            <v>4812729</v>
          </cell>
          <cell r="BF139">
            <v>0</v>
          </cell>
          <cell r="BG139">
            <v>282387</v>
          </cell>
          <cell r="BH139">
            <v>874901</v>
          </cell>
          <cell r="BI139">
            <v>330500</v>
          </cell>
          <cell r="BJ139">
            <v>244436</v>
          </cell>
          <cell r="BK139">
            <v>6544953</v>
          </cell>
          <cell r="BL139">
            <v>5786976</v>
          </cell>
          <cell r="BM139">
            <v>3354368</v>
          </cell>
          <cell r="BN139">
            <v>2671690</v>
          </cell>
          <cell r="BO139">
            <v>23384</v>
          </cell>
          <cell r="BP139">
            <v>0</v>
          </cell>
          <cell r="BQ139">
            <v>558836</v>
          </cell>
          <cell r="BR139">
            <v>30196938</v>
          </cell>
          <cell r="BS139">
            <v>130853</v>
          </cell>
          <cell r="BT139">
            <v>369680</v>
          </cell>
          <cell r="BU139">
            <v>0</v>
          </cell>
          <cell r="BV139">
            <v>579267</v>
          </cell>
          <cell r="BW139">
            <v>13087389</v>
          </cell>
          <cell r="BX139">
            <v>9352554</v>
          </cell>
          <cell r="BY139">
            <v>68917</v>
          </cell>
          <cell r="BZ139">
            <v>0</v>
          </cell>
          <cell r="CA139">
            <v>0</v>
          </cell>
          <cell r="CB139">
            <v>64540924</v>
          </cell>
          <cell r="CC139">
            <v>14808616</v>
          </cell>
          <cell r="CD139">
            <v>17500727</v>
          </cell>
          <cell r="CE139">
            <v>564656</v>
          </cell>
          <cell r="CF139">
            <v>790779</v>
          </cell>
          <cell r="CG139">
            <v>90564</v>
          </cell>
          <cell r="CH139">
            <v>130100</v>
          </cell>
          <cell r="CI139">
            <v>33885442</v>
          </cell>
          <cell r="CJ139">
            <v>98426366</v>
          </cell>
          <cell r="CK139">
            <v>800424940</v>
          </cell>
          <cell r="CM139">
            <v>20142000</v>
          </cell>
          <cell r="CN139">
            <v>2470000</v>
          </cell>
          <cell r="CO139">
            <v>79200</v>
          </cell>
          <cell r="CP139">
            <v>0</v>
          </cell>
          <cell r="CQ139">
            <v>0</v>
          </cell>
          <cell r="CR139">
            <v>0</v>
          </cell>
          <cell r="CS139">
            <v>1678700</v>
          </cell>
          <cell r="CT139">
            <v>0</v>
          </cell>
          <cell r="CV139">
            <v>0</v>
          </cell>
          <cell r="CW139">
            <v>53300000</v>
          </cell>
          <cell r="CX139">
            <v>10927732</v>
          </cell>
          <cell r="CY139">
            <v>4533429</v>
          </cell>
        </row>
        <row r="140">
          <cell r="A140">
            <v>889</v>
          </cell>
          <cell r="B140">
            <v>78995599</v>
          </cell>
          <cell r="C140">
            <v>2909718</v>
          </cell>
          <cell r="D140">
            <v>7243782</v>
          </cell>
          <cell r="E140">
            <v>2995538</v>
          </cell>
          <cell r="F140">
            <v>3195773</v>
          </cell>
          <cell r="G140">
            <v>0</v>
          </cell>
          <cell r="H140">
            <v>0</v>
          </cell>
          <cell r="I140">
            <v>0</v>
          </cell>
          <cell r="J140">
            <v>0</v>
          </cell>
          <cell r="K140">
            <v>898491</v>
          </cell>
          <cell r="L140">
            <v>1344581</v>
          </cell>
          <cell r="M140">
            <v>45871</v>
          </cell>
          <cell r="N140">
            <v>822001</v>
          </cell>
          <cell r="O140">
            <v>1438052</v>
          </cell>
          <cell r="P140">
            <v>1868261</v>
          </cell>
          <cell r="Q140">
            <v>356215</v>
          </cell>
          <cell r="R140">
            <v>0</v>
          </cell>
          <cell r="S140">
            <v>0</v>
          </cell>
          <cell r="T140">
            <v>4853542</v>
          </cell>
          <cell r="U140">
            <v>0</v>
          </cell>
          <cell r="V140">
            <v>49500</v>
          </cell>
          <cell r="W140">
            <v>152862</v>
          </cell>
          <cell r="X140">
            <v>0</v>
          </cell>
          <cell r="Y140">
            <v>0</v>
          </cell>
          <cell r="Z140">
            <v>0</v>
          </cell>
          <cell r="AA140">
            <v>0</v>
          </cell>
          <cell r="AB140">
            <v>0</v>
          </cell>
          <cell r="AC140">
            <v>140000</v>
          </cell>
          <cell r="AD140">
            <v>227362</v>
          </cell>
          <cell r="AE140">
            <v>110494</v>
          </cell>
          <cell r="AF140">
            <v>100401</v>
          </cell>
          <cell r="AG140">
            <v>97054</v>
          </cell>
          <cell r="AH140">
            <v>21725</v>
          </cell>
          <cell r="AI140">
            <v>233770</v>
          </cell>
          <cell r="AJ140">
            <v>294492</v>
          </cell>
          <cell r="AK140">
            <v>0</v>
          </cell>
          <cell r="AL140">
            <v>0</v>
          </cell>
          <cell r="AM140">
            <v>0</v>
          </cell>
          <cell r="AN140">
            <v>187229</v>
          </cell>
          <cell r="AO140">
            <v>772000</v>
          </cell>
          <cell r="AP140">
            <v>0</v>
          </cell>
          <cell r="AQ140">
            <v>109354313</v>
          </cell>
          <cell r="AR140">
            <v>1411532</v>
          </cell>
          <cell r="AS140">
            <v>110744</v>
          </cell>
          <cell r="AT140">
            <v>36800</v>
          </cell>
          <cell r="AU140">
            <v>0</v>
          </cell>
          <cell r="AV140">
            <v>0</v>
          </cell>
          <cell r="AW140">
            <v>0</v>
          </cell>
          <cell r="AX140">
            <v>0</v>
          </cell>
          <cell r="AY140">
            <v>1559076</v>
          </cell>
          <cell r="AZ140">
            <v>3482900</v>
          </cell>
          <cell r="BA140">
            <v>367609</v>
          </cell>
          <cell r="BB140">
            <v>0</v>
          </cell>
          <cell r="BC140">
            <v>0</v>
          </cell>
          <cell r="BD140">
            <v>3850509</v>
          </cell>
          <cell r="BE140">
            <v>584409</v>
          </cell>
          <cell r="BF140">
            <v>227805</v>
          </cell>
          <cell r="BG140">
            <v>45179</v>
          </cell>
          <cell r="BH140">
            <v>0</v>
          </cell>
          <cell r="BI140">
            <v>0</v>
          </cell>
          <cell r="BJ140">
            <v>107033</v>
          </cell>
          <cell r="BK140">
            <v>964426</v>
          </cell>
          <cell r="BL140">
            <v>1151122</v>
          </cell>
          <cell r="BM140">
            <v>256245</v>
          </cell>
          <cell r="BN140">
            <v>526633</v>
          </cell>
          <cell r="BO140">
            <v>0</v>
          </cell>
          <cell r="BP140">
            <v>0</v>
          </cell>
          <cell r="BQ140">
            <v>0</v>
          </cell>
          <cell r="BR140">
            <v>3423884</v>
          </cell>
          <cell r="BS140">
            <v>94550</v>
          </cell>
          <cell r="BT140">
            <v>145139</v>
          </cell>
          <cell r="BU140">
            <v>0</v>
          </cell>
          <cell r="BV140">
            <v>375534</v>
          </cell>
          <cell r="BW140">
            <v>2025783</v>
          </cell>
          <cell r="BX140">
            <v>0</v>
          </cell>
          <cell r="BY140">
            <v>0</v>
          </cell>
          <cell r="BZ140">
            <v>0</v>
          </cell>
          <cell r="CA140">
            <v>0</v>
          </cell>
          <cell r="CB140">
            <v>10949017</v>
          </cell>
          <cell r="CC140">
            <v>1771477</v>
          </cell>
          <cell r="CD140">
            <v>2994123</v>
          </cell>
          <cell r="CE140">
            <v>512300</v>
          </cell>
          <cell r="CF140">
            <v>0</v>
          </cell>
          <cell r="CG140">
            <v>129700</v>
          </cell>
          <cell r="CH140">
            <v>0</v>
          </cell>
          <cell r="CI140">
            <v>5407600</v>
          </cell>
          <cell r="CJ140">
            <v>16356617</v>
          </cell>
          <cell r="CK140">
            <v>125710930</v>
          </cell>
          <cell r="CM140">
            <v>1418946</v>
          </cell>
          <cell r="CN140">
            <v>592778</v>
          </cell>
          <cell r="CO140">
            <v>0</v>
          </cell>
          <cell r="CP140">
            <v>0</v>
          </cell>
          <cell r="CQ140">
            <v>0</v>
          </cell>
          <cell r="CR140">
            <v>0</v>
          </cell>
          <cell r="CS140">
            <v>195000</v>
          </cell>
          <cell r="CT140">
            <v>0</v>
          </cell>
          <cell r="CV140">
            <v>0</v>
          </cell>
          <cell r="CW140">
            <v>10971000</v>
          </cell>
          <cell r="CX140">
            <v>1917922</v>
          </cell>
          <cell r="CY140">
            <v>40563</v>
          </cell>
        </row>
        <row r="141">
          <cell r="A141">
            <v>890</v>
          </cell>
          <cell r="B141">
            <v>62113113</v>
          </cell>
          <cell r="C141">
            <v>2279095</v>
          </cell>
          <cell r="D141">
            <v>5053769</v>
          </cell>
          <cell r="E141">
            <v>1488484</v>
          </cell>
          <cell r="F141">
            <v>2205343</v>
          </cell>
          <cell r="G141">
            <v>0</v>
          </cell>
          <cell r="H141">
            <v>0</v>
          </cell>
          <cell r="I141">
            <v>1508637</v>
          </cell>
          <cell r="J141">
            <v>333252</v>
          </cell>
          <cell r="K141">
            <v>0</v>
          </cell>
          <cell r="L141">
            <v>0</v>
          </cell>
          <cell r="M141">
            <v>418399</v>
          </cell>
          <cell r="N141">
            <v>396747</v>
          </cell>
          <cell r="O141">
            <v>1861449</v>
          </cell>
          <cell r="P141">
            <v>1746274</v>
          </cell>
          <cell r="Q141">
            <v>367068</v>
          </cell>
          <cell r="R141">
            <v>183382</v>
          </cell>
          <cell r="S141">
            <v>0</v>
          </cell>
          <cell r="T141">
            <v>4050035</v>
          </cell>
          <cell r="U141">
            <v>0</v>
          </cell>
          <cell r="V141">
            <v>19899</v>
          </cell>
          <cell r="W141">
            <v>25997</v>
          </cell>
          <cell r="X141">
            <v>0</v>
          </cell>
          <cell r="Y141">
            <v>0</v>
          </cell>
          <cell r="Z141">
            <v>577269</v>
          </cell>
          <cell r="AA141">
            <v>0</v>
          </cell>
          <cell r="AB141">
            <v>3442</v>
          </cell>
          <cell r="AC141">
            <v>10113</v>
          </cell>
          <cell r="AD141">
            <v>185018</v>
          </cell>
          <cell r="AE141">
            <v>31351</v>
          </cell>
          <cell r="AF141">
            <v>148669</v>
          </cell>
          <cell r="AG141">
            <v>69256</v>
          </cell>
          <cell r="AH141">
            <v>4693</v>
          </cell>
          <cell r="AI141">
            <v>128126</v>
          </cell>
          <cell r="AJ141">
            <v>286850</v>
          </cell>
          <cell r="AK141">
            <v>0</v>
          </cell>
          <cell r="AL141">
            <v>538515</v>
          </cell>
          <cell r="AM141">
            <v>0</v>
          </cell>
          <cell r="AN141">
            <v>0</v>
          </cell>
          <cell r="AO141">
            <v>328884</v>
          </cell>
          <cell r="AP141">
            <v>0</v>
          </cell>
          <cell r="AQ141">
            <v>86363129</v>
          </cell>
          <cell r="AR141">
            <v>1551765</v>
          </cell>
          <cell r="AS141">
            <v>55000</v>
          </cell>
          <cell r="AT141">
            <v>16320</v>
          </cell>
          <cell r="AU141">
            <v>0</v>
          </cell>
          <cell r="AV141">
            <v>0</v>
          </cell>
          <cell r="AW141">
            <v>85289</v>
          </cell>
          <cell r="AX141">
            <v>43064</v>
          </cell>
          <cell r="AY141">
            <v>1751438</v>
          </cell>
          <cell r="AZ141">
            <v>2276867</v>
          </cell>
          <cell r="BA141">
            <v>0</v>
          </cell>
          <cell r="BB141">
            <v>98675</v>
          </cell>
          <cell r="BC141">
            <v>0</v>
          </cell>
          <cell r="BD141">
            <v>2375542</v>
          </cell>
          <cell r="BE141">
            <v>362912</v>
          </cell>
          <cell r="BF141">
            <v>260353</v>
          </cell>
          <cell r="BG141">
            <v>80243</v>
          </cell>
          <cell r="BH141">
            <v>0</v>
          </cell>
          <cell r="BI141">
            <v>29238</v>
          </cell>
          <cell r="BJ141">
            <v>111580</v>
          </cell>
          <cell r="BK141">
            <v>844326</v>
          </cell>
          <cell r="BL141">
            <v>1104272</v>
          </cell>
          <cell r="BM141">
            <v>348972</v>
          </cell>
          <cell r="BN141">
            <v>351635</v>
          </cell>
          <cell r="BO141">
            <v>0</v>
          </cell>
          <cell r="BP141">
            <v>0</v>
          </cell>
          <cell r="BQ141">
            <v>0</v>
          </cell>
          <cell r="BR141">
            <v>2546249</v>
          </cell>
          <cell r="BS141">
            <v>58571</v>
          </cell>
          <cell r="BT141">
            <v>40210</v>
          </cell>
          <cell r="BU141">
            <v>33990</v>
          </cell>
          <cell r="BV141">
            <v>132549</v>
          </cell>
          <cell r="BW141">
            <v>980188</v>
          </cell>
          <cell r="BX141">
            <v>600134</v>
          </cell>
          <cell r="BY141">
            <v>0</v>
          </cell>
          <cell r="BZ141">
            <v>0</v>
          </cell>
          <cell r="CA141">
            <v>115697</v>
          </cell>
          <cell r="CB141">
            <v>8737524</v>
          </cell>
          <cell r="CC141">
            <v>1376817</v>
          </cell>
          <cell r="CD141">
            <v>189299</v>
          </cell>
          <cell r="CE141">
            <v>0</v>
          </cell>
          <cell r="CF141">
            <v>144903</v>
          </cell>
          <cell r="CG141">
            <v>0</v>
          </cell>
          <cell r="CH141">
            <v>0</v>
          </cell>
          <cell r="CI141">
            <v>1711019</v>
          </cell>
          <cell r="CJ141">
            <v>10448543</v>
          </cell>
          <cell r="CK141">
            <v>96811672</v>
          </cell>
          <cell r="CM141">
            <v>689181</v>
          </cell>
          <cell r="CN141">
            <v>0</v>
          </cell>
          <cell r="CO141">
            <v>0</v>
          </cell>
          <cell r="CP141">
            <v>0</v>
          </cell>
          <cell r="CQ141">
            <v>0</v>
          </cell>
          <cell r="CR141">
            <v>0</v>
          </cell>
          <cell r="CS141">
            <v>447426</v>
          </cell>
          <cell r="CT141">
            <v>0</v>
          </cell>
          <cell r="CV141">
            <v>0</v>
          </cell>
          <cell r="CW141">
            <v>10246000</v>
          </cell>
          <cell r="CX141">
            <v>824159</v>
          </cell>
          <cell r="CY141">
            <v>154046</v>
          </cell>
        </row>
        <row r="142">
          <cell r="A142">
            <v>891</v>
          </cell>
          <cell r="B142">
            <v>358960184</v>
          </cell>
          <cell r="C142">
            <v>13316187</v>
          </cell>
          <cell r="D142">
            <v>26067081</v>
          </cell>
          <cell r="E142">
            <v>822000</v>
          </cell>
          <cell r="F142">
            <v>13868156</v>
          </cell>
          <cell r="G142">
            <v>0</v>
          </cell>
          <cell r="H142">
            <v>150000</v>
          </cell>
          <cell r="I142">
            <v>599541</v>
          </cell>
          <cell r="J142">
            <v>185597</v>
          </cell>
          <cell r="K142">
            <v>879109</v>
          </cell>
          <cell r="L142">
            <v>5225072</v>
          </cell>
          <cell r="M142">
            <v>63447</v>
          </cell>
          <cell r="N142">
            <v>2851658</v>
          </cell>
          <cell r="O142">
            <v>1959607</v>
          </cell>
          <cell r="P142">
            <v>2919604</v>
          </cell>
          <cell r="Q142">
            <v>1582223</v>
          </cell>
          <cell r="R142">
            <v>600663</v>
          </cell>
          <cell r="S142">
            <v>0</v>
          </cell>
          <cell r="T142">
            <v>5652058</v>
          </cell>
          <cell r="U142">
            <v>89977</v>
          </cell>
          <cell r="V142">
            <v>201082</v>
          </cell>
          <cell r="W142">
            <v>582695</v>
          </cell>
          <cell r="X142">
            <v>215460</v>
          </cell>
          <cell r="Y142">
            <v>0</v>
          </cell>
          <cell r="Z142">
            <v>0</v>
          </cell>
          <cell r="AA142">
            <v>0</v>
          </cell>
          <cell r="AB142">
            <v>0</v>
          </cell>
          <cell r="AC142">
            <v>0</v>
          </cell>
          <cell r="AD142">
            <v>604760</v>
          </cell>
          <cell r="AE142">
            <v>152709</v>
          </cell>
          <cell r="AF142">
            <v>0</v>
          </cell>
          <cell r="AG142">
            <v>153208</v>
          </cell>
          <cell r="AH142">
            <v>10455</v>
          </cell>
          <cell r="AI142">
            <v>311180</v>
          </cell>
          <cell r="AJ142">
            <v>2044145</v>
          </cell>
          <cell r="AK142">
            <v>0</v>
          </cell>
          <cell r="AL142">
            <v>10000</v>
          </cell>
          <cell r="AM142">
            <v>0</v>
          </cell>
          <cell r="AN142">
            <v>526088</v>
          </cell>
          <cell r="AO142">
            <v>25378454</v>
          </cell>
          <cell r="AP142">
            <v>0</v>
          </cell>
          <cell r="AQ142">
            <v>465982400</v>
          </cell>
          <cell r="AR142">
            <v>10631489</v>
          </cell>
          <cell r="AS142">
            <v>1394153</v>
          </cell>
          <cell r="AT142">
            <v>3412032</v>
          </cell>
          <cell r="AU142">
            <v>130033</v>
          </cell>
          <cell r="AV142">
            <v>3181099</v>
          </cell>
          <cell r="AW142">
            <v>135599</v>
          </cell>
          <cell r="AX142">
            <v>0</v>
          </cell>
          <cell r="AY142">
            <v>18884405</v>
          </cell>
          <cell r="AZ142">
            <v>4598553</v>
          </cell>
          <cell r="BA142">
            <v>6811810</v>
          </cell>
          <cell r="BB142">
            <v>98551</v>
          </cell>
          <cell r="BC142">
            <v>0</v>
          </cell>
          <cell r="BD142">
            <v>11508914</v>
          </cell>
          <cell r="BE142">
            <v>1666796</v>
          </cell>
          <cell r="BF142">
            <v>579957</v>
          </cell>
          <cell r="BG142">
            <v>430529</v>
          </cell>
          <cell r="BH142">
            <v>0</v>
          </cell>
          <cell r="BI142">
            <v>314552</v>
          </cell>
          <cell r="BJ142">
            <v>400237</v>
          </cell>
          <cell r="BK142">
            <v>3392071</v>
          </cell>
          <cell r="BL142">
            <v>6866485</v>
          </cell>
          <cell r="BM142">
            <v>517957</v>
          </cell>
          <cell r="BN142">
            <v>1076834</v>
          </cell>
          <cell r="BO142">
            <v>1871694</v>
          </cell>
          <cell r="BP142">
            <v>252771</v>
          </cell>
          <cell r="BQ142">
            <v>869540</v>
          </cell>
          <cell r="BR142">
            <v>15395354</v>
          </cell>
          <cell r="BS142">
            <v>282264</v>
          </cell>
          <cell r="BT142">
            <v>162434</v>
          </cell>
          <cell r="BU142">
            <v>17320</v>
          </cell>
          <cell r="BV142">
            <v>134720</v>
          </cell>
          <cell r="BW142">
            <v>4545616</v>
          </cell>
          <cell r="BX142">
            <v>5409098</v>
          </cell>
          <cell r="BY142">
            <v>255106</v>
          </cell>
          <cell r="BZ142">
            <v>0</v>
          </cell>
          <cell r="CA142">
            <v>1009998</v>
          </cell>
          <cell r="CB142">
            <v>57057227</v>
          </cell>
          <cell r="CC142">
            <v>9431864</v>
          </cell>
          <cell r="CD142">
            <v>5012244</v>
          </cell>
          <cell r="CE142">
            <v>52519</v>
          </cell>
          <cell r="CF142">
            <v>526770</v>
          </cell>
          <cell r="CG142">
            <v>0</v>
          </cell>
          <cell r="CH142">
            <v>307452</v>
          </cell>
          <cell r="CI142">
            <v>15330849</v>
          </cell>
          <cell r="CJ142">
            <v>72388076</v>
          </cell>
          <cell r="CK142">
            <v>538370476</v>
          </cell>
          <cell r="CM142">
            <v>28629015</v>
          </cell>
          <cell r="CN142">
            <v>1665141</v>
          </cell>
          <cell r="CO142">
            <v>88265</v>
          </cell>
          <cell r="CP142">
            <v>0</v>
          </cell>
          <cell r="CQ142">
            <v>0</v>
          </cell>
          <cell r="CR142">
            <v>0</v>
          </cell>
          <cell r="CS142">
            <v>109227</v>
          </cell>
          <cell r="CT142">
            <v>0</v>
          </cell>
          <cell r="CV142">
            <v>0</v>
          </cell>
          <cell r="CW142">
            <v>54613266</v>
          </cell>
          <cell r="CX142">
            <v>9536582</v>
          </cell>
          <cell r="CY142">
            <v>0</v>
          </cell>
        </row>
        <row r="143">
          <cell r="A143">
            <v>892</v>
          </cell>
          <cell r="B143">
            <v>129785717</v>
          </cell>
          <cell r="C143">
            <v>4869656</v>
          </cell>
          <cell r="D143">
            <v>10285062</v>
          </cell>
          <cell r="E143">
            <v>3252769</v>
          </cell>
          <cell r="F143">
            <v>4620516</v>
          </cell>
          <cell r="G143">
            <v>0</v>
          </cell>
          <cell r="H143">
            <v>0</v>
          </cell>
          <cell r="I143">
            <v>122386</v>
          </cell>
          <cell r="J143">
            <v>152671</v>
          </cell>
          <cell r="K143">
            <v>0</v>
          </cell>
          <cell r="L143">
            <v>1330062</v>
          </cell>
          <cell r="M143">
            <v>391754</v>
          </cell>
          <cell r="N143">
            <v>1081200</v>
          </cell>
          <cell r="O143">
            <v>450356</v>
          </cell>
          <cell r="P143">
            <v>927850</v>
          </cell>
          <cell r="Q143">
            <v>1713157</v>
          </cell>
          <cell r="R143">
            <v>1244407</v>
          </cell>
          <cell r="S143">
            <v>0</v>
          </cell>
          <cell r="T143">
            <v>1708398</v>
          </cell>
          <cell r="U143">
            <v>0</v>
          </cell>
          <cell r="V143">
            <v>59400</v>
          </cell>
          <cell r="W143">
            <v>0</v>
          </cell>
          <cell r="X143">
            <v>0</v>
          </cell>
          <cell r="Y143">
            <v>185642</v>
          </cell>
          <cell r="Z143">
            <v>0</v>
          </cell>
          <cell r="AA143">
            <v>0</v>
          </cell>
          <cell r="AB143">
            <v>117900</v>
          </cell>
          <cell r="AC143">
            <v>0</v>
          </cell>
          <cell r="AD143">
            <v>300324</v>
          </cell>
          <cell r="AE143">
            <v>0</v>
          </cell>
          <cell r="AF143">
            <v>500000</v>
          </cell>
          <cell r="AG143">
            <v>0</v>
          </cell>
          <cell r="AH143">
            <v>31938</v>
          </cell>
          <cell r="AI143">
            <v>0</v>
          </cell>
          <cell r="AJ143">
            <v>2314936</v>
          </cell>
          <cell r="AK143">
            <v>0</v>
          </cell>
          <cell r="AL143">
            <v>2012581</v>
          </cell>
          <cell r="AM143">
            <v>0</v>
          </cell>
          <cell r="AN143">
            <v>334461</v>
          </cell>
          <cell r="AO143">
            <v>7178610</v>
          </cell>
          <cell r="AP143">
            <v>25000</v>
          </cell>
          <cell r="AQ143">
            <v>174996753</v>
          </cell>
          <cell r="AR143">
            <v>3418311</v>
          </cell>
          <cell r="AS143">
            <v>910300</v>
          </cell>
          <cell r="AT143">
            <v>1200000</v>
          </cell>
          <cell r="AU143">
            <v>125000</v>
          </cell>
          <cell r="AV143">
            <v>0</v>
          </cell>
          <cell r="AW143">
            <v>0</v>
          </cell>
          <cell r="AX143">
            <v>0</v>
          </cell>
          <cell r="AY143">
            <v>5653611</v>
          </cell>
          <cell r="AZ143">
            <v>2713644</v>
          </cell>
          <cell r="BA143">
            <v>210000</v>
          </cell>
          <cell r="BB143">
            <v>0</v>
          </cell>
          <cell r="BC143">
            <v>0</v>
          </cell>
          <cell r="BD143">
            <v>2923644</v>
          </cell>
          <cell r="BE143">
            <v>882592</v>
          </cell>
          <cell r="BF143">
            <v>59335</v>
          </cell>
          <cell r="BG143">
            <v>376309</v>
          </cell>
          <cell r="BH143">
            <v>30861</v>
          </cell>
          <cell r="BI143">
            <v>230833</v>
          </cell>
          <cell r="BJ143">
            <v>0</v>
          </cell>
          <cell r="BK143">
            <v>1579930</v>
          </cell>
          <cell r="BL143">
            <v>1901822</v>
          </cell>
          <cell r="BM143">
            <v>1304416</v>
          </cell>
          <cell r="BN143">
            <v>1260370</v>
          </cell>
          <cell r="BO143">
            <v>8792</v>
          </cell>
          <cell r="BP143">
            <v>462207</v>
          </cell>
          <cell r="BQ143">
            <v>160126</v>
          </cell>
          <cell r="BR143">
            <v>7442238</v>
          </cell>
          <cell r="BS143">
            <v>228202</v>
          </cell>
          <cell r="BT143">
            <v>514790</v>
          </cell>
          <cell r="BU143">
            <v>160105</v>
          </cell>
          <cell r="BV143">
            <v>828600</v>
          </cell>
          <cell r="BW143">
            <v>1644690</v>
          </cell>
          <cell r="BX143">
            <v>740930</v>
          </cell>
          <cell r="BY143">
            <v>129010</v>
          </cell>
          <cell r="BZ143">
            <v>0</v>
          </cell>
          <cell r="CA143">
            <v>829180</v>
          </cell>
          <cell r="CB143">
            <v>20330425</v>
          </cell>
          <cell r="CC143">
            <v>3393400</v>
          </cell>
          <cell r="CD143">
            <v>2347930</v>
          </cell>
          <cell r="CE143">
            <v>0</v>
          </cell>
          <cell r="CF143">
            <v>0</v>
          </cell>
          <cell r="CG143">
            <v>99020</v>
          </cell>
          <cell r="CH143">
            <v>0</v>
          </cell>
          <cell r="CI143">
            <v>5840350</v>
          </cell>
          <cell r="CJ143">
            <v>26170775</v>
          </cell>
          <cell r="CK143">
            <v>201167528</v>
          </cell>
          <cell r="CM143">
            <v>2778901</v>
          </cell>
          <cell r="CN143">
            <v>780416</v>
          </cell>
          <cell r="CO143">
            <v>0</v>
          </cell>
          <cell r="CP143">
            <v>0</v>
          </cell>
          <cell r="CQ143">
            <v>0</v>
          </cell>
          <cell r="CR143">
            <v>0</v>
          </cell>
          <cell r="CS143">
            <v>0</v>
          </cell>
          <cell r="CT143">
            <v>174507</v>
          </cell>
          <cell r="CV143">
            <v>0</v>
          </cell>
          <cell r="CW143">
            <v>13664864</v>
          </cell>
          <cell r="CX143">
            <v>3039420</v>
          </cell>
          <cell r="CY143">
            <v>65011</v>
          </cell>
        </row>
        <row r="144">
          <cell r="A144">
            <v>893</v>
          </cell>
          <cell r="B144">
            <v>112514947</v>
          </cell>
          <cell r="C144">
            <v>5355946.0999999996</v>
          </cell>
          <cell r="D144">
            <v>8858647</v>
          </cell>
          <cell r="E144">
            <v>593778</v>
          </cell>
          <cell r="F144">
            <v>4816576</v>
          </cell>
          <cell r="G144">
            <v>0</v>
          </cell>
          <cell r="H144">
            <v>0</v>
          </cell>
          <cell r="I144">
            <v>1455127</v>
          </cell>
          <cell r="J144">
            <v>166338</v>
          </cell>
          <cell r="K144">
            <v>1823830</v>
          </cell>
          <cell r="L144">
            <v>255183</v>
          </cell>
          <cell r="M144">
            <v>60793</v>
          </cell>
          <cell r="N144">
            <v>1730102</v>
          </cell>
          <cell r="O144">
            <v>2624511</v>
          </cell>
          <cell r="P144">
            <v>547681</v>
          </cell>
          <cell r="Q144">
            <v>40790</v>
          </cell>
          <cell r="R144">
            <v>281166</v>
          </cell>
          <cell r="S144">
            <v>0</v>
          </cell>
          <cell r="T144">
            <v>8077081</v>
          </cell>
          <cell r="U144">
            <v>1434800</v>
          </cell>
          <cell r="V144">
            <v>26047</v>
          </cell>
          <cell r="W144">
            <v>14290</v>
          </cell>
          <cell r="X144">
            <v>0</v>
          </cell>
          <cell r="Y144">
            <v>0</v>
          </cell>
          <cell r="Z144">
            <v>13390</v>
          </cell>
          <cell r="AA144">
            <v>51036</v>
          </cell>
          <cell r="AB144">
            <v>0</v>
          </cell>
          <cell r="AC144">
            <v>10565</v>
          </cell>
          <cell r="AD144">
            <v>185673</v>
          </cell>
          <cell r="AE144">
            <v>15310</v>
          </cell>
          <cell r="AF144">
            <v>213264</v>
          </cell>
          <cell r="AG144">
            <v>75616</v>
          </cell>
          <cell r="AH144">
            <v>4936</v>
          </cell>
          <cell r="AI144">
            <v>314202</v>
          </cell>
          <cell r="AJ144">
            <v>1733681</v>
          </cell>
          <cell r="AK144">
            <v>0</v>
          </cell>
          <cell r="AL144">
            <v>92622</v>
          </cell>
          <cell r="AM144">
            <v>0</v>
          </cell>
          <cell r="AN144">
            <v>158424</v>
          </cell>
          <cell r="AO144">
            <v>1827008</v>
          </cell>
          <cell r="AP144">
            <v>0</v>
          </cell>
          <cell r="AQ144">
            <v>155373360.09999999</v>
          </cell>
          <cell r="AR144">
            <v>1642833</v>
          </cell>
          <cell r="AS144">
            <v>204147</v>
          </cell>
          <cell r="AT144">
            <v>2099596</v>
          </cell>
          <cell r="AU144">
            <v>168676</v>
          </cell>
          <cell r="AV144">
            <v>39390</v>
          </cell>
          <cell r="AW144">
            <v>74781</v>
          </cell>
          <cell r="AX144">
            <v>25518</v>
          </cell>
          <cell r="AY144">
            <v>4254941</v>
          </cell>
          <cell r="AZ144">
            <v>228677</v>
          </cell>
          <cell r="BA144">
            <v>2000</v>
          </cell>
          <cell r="BB144">
            <v>84000</v>
          </cell>
          <cell r="BC144">
            <v>0</v>
          </cell>
          <cell r="BD144">
            <v>314677</v>
          </cell>
          <cell r="BE144">
            <v>770208</v>
          </cell>
          <cell r="BF144">
            <v>168341</v>
          </cell>
          <cell r="BG144">
            <v>77354</v>
          </cell>
          <cell r="BH144">
            <v>43636</v>
          </cell>
          <cell r="BI144">
            <v>42871</v>
          </cell>
          <cell r="BJ144">
            <v>88938</v>
          </cell>
          <cell r="BK144">
            <v>1191348</v>
          </cell>
          <cell r="BL144">
            <v>942475</v>
          </cell>
          <cell r="BM144">
            <v>287974</v>
          </cell>
          <cell r="BN144">
            <v>452212</v>
          </cell>
          <cell r="BO144">
            <v>1364571</v>
          </cell>
          <cell r="BP144">
            <v>0</v>
          </cell>
          <cell r="BQ144">
            <v>55901</v>
          </cell>
          <cell r="BR144">
            <v>11698002</v>
          </cell>
          <cell r="BS144">
            <v>44660</v>
          </cell>
          <cell r="BT144">
            <v>72670</v>
          </cell>
          <cell r="BU144">
            <v>0</v>
          </cell>
          <cell r="BV144">
            <v>0</v>
          </cell>
          <cell r="BW144">
            <v>3291982</v>
          </cell>
          <cell r="BX144">
            <v>5592260</v>
          </cell>
          <cell r="BY144">
            <v>0</v>
          </cell>
          <cell r="BZ144">
            <v>535772</v>
          </cell>
          <cell r="CA144">
            <v>15311</v>
          </cell>
          <cell r="CB144">
            <v>18416754</v>
          </cell>
          <cell r="CC144">
            <v>2556139</v>
          </cell>
          <cell r="CD144">
            <v>961000</v>
          </cell>
          <cell r="CE144">
            <v>117997</v>
          </cell>
          <cell r="CF144">
            <v>13313</v>
          </cell>
          <cell r="CG144">
            <v>1296</v>
          </cell>
          <cell r="CH144">
            <v>44438</v>
          </cell>
          <cell r="CI144">
            <v>3694183</v>
          </cell>
          <cell r="CJ144">
            <v>22110937</v>
          </cell>
          <cell r="CK144">
            <v>177484297.09999999</v>
          </cell>
          <cell r="CM144">
            <v>5301756</v>
          </cell>
          <cell r="CN144">
            <v>270180</v>
          </cell>
          <cell r="CO144">
            <v>31220</v>
          </cell>
          <cell r="CP144">
            <v>0</v>
          </cell>
          <cell r="CQ144">
            <v>0</v>
          </cell>
          <cell r="CR144">
            <v>0</v>
          </cell>
          <cell r="CS144">
            <v>127290</v>
          </cell>
          <cell r="CT144">
            <v>0</v>
          </cell>
          <cell r="CV144">
            <v>0</v>
          </cell>
          <cell r="CW144">
            <v>13259226</v>
          </cell>
          <cell r="CX144">
            <v>3933371</v>
          </cell>
          <cell r="CY144">
            <v>303580</v>
          </cell>
        </row>
        <row r="145">
          <cell r="A145">
            <v>894</v>
          </cell>
          <cell r="B145">
            <v>77110718</v>
          </cell>
          <cell r="C145">
            <v>3326480</v>
          </cell>
          <cell r="D145">
            <v>5265102</v>
          </cell>
          <cell r="E145">
            <v>1822411</v>
          </cell>
          <cell r="F145">
            <v>3160680</v>
          </cell>
          <cell r="G145">
            <v>0</v>
          </cell>
          <cell r="H145">
            <v>0</v>
          </cell>
          <cell r="I145">
            <v>725360</v>
          </cell>
          <cell r="J145">
            <v>465815</v>
          </cell>
          <cell r="K145">
            <v>0</v>
          </cell>
          <cell r="L145">
            <v>0</v>
          </cell>
          <cell r="M145">
            <v>266923</v>
          </cell>
          <cell r="N145">
            <v>251380</v>
          </cell>
          <cell r="O145">
            <v>618420</v>
          </cell>
          <cell r="P145">
            <v>1416281</v>
          </cell>
          <cell r="Q145">
            <v>794432</v>
          </cell>
          <cell r="R145">
            <v>375186</v>
          </cell>
          <cell r="S145">
            <v>46184</v>
          </cell>
          <cell r="T145">
            <v>2104649</v>
          </cell>
          <cell r="U145">
            <v>216176</v>
          </cell>
          <cell r="V145">
            <v>19000</v>
          </cell>
          <cell r="W145">
            <v>147400</v>
          </cell>
          <cell r="X145">
            <v>61444</v>
          </cell>
          <cell r="Y145">
            <v>0</v>
          </cell>
          <cell r="Z145">
            <v>179403</v>
          </cell>
          <cell r="AA145">
            <v>0</v>
          </cell>
          <cell r="AB145">
            <v>38600</v>
          </cell>
          <cell r="AC145">
            <v>0</v>
          </cell>
          <cell r="AD145">
            <v>256158</v>
          </cell>
          <cell r="AE145">
            <v>184985</v>
          </cell>
          <cell r="AF145">
            <v>788475</v>
          </cell>
          <cell r="AG145">
            <v>92745</v>
          </cell>
          <cell r="AH145">
            <v>10226</v>
          </cell>
          <cell r="AI145">
            <v>215541</v>
          </cell>
          <cell r="AJ145">
            <v>4465441</v>
          </cell>
          <cell r="AK145">
            <v>3427262</v>
          </cell>
          <cell r="AL145">
            <v>219579</v>
          </cell>
          <cell r="AM145">
            <v>0</v>
          </cell>
          <cell r="AN145">
            <v>206418</v>
          </cell>
          <cell r="AO145">
            <v>385048</v>
          </cell>
          <cell r="AP145">
            <v>0</v>
          </cell>
          <cell r="AQ145">
            <v>108663922</v>
          </cell>
          <cell r="AR145">
            <v>1698884</v>
          </cell>
          <cell r="AS145">
            <v>263050</v>
          </cell>
          <cell r="AT145">
            <v>579148</v>
          </cell>
          <cell r="AU145">
            <v>80167</v>
          </cell>
          <cell r="AV145">
            <v>118094</v>
          </cell>
          <cell r="AW145">
            <v>160417</v>
          </cell>
          <cell r="AX145">
            <v>50000</v>
          </cell>
          <cell r="AY145">
            <v>2949760</v>
          </cell>
          <cell r="AZ145">
            <v>266396</v>
          </cell>
          <cell r="BA145">
            <v>505278</v>
          </cell>
          <cell r="BB145">
            <v>0</v>
          </cell>
          <cell r="BC145">
            <v>20000</v>
          </cell>
          <cell r="BD145">
            <v>791674</v>
          </cell>
          <cell r="BE145">
            <v>445174</v>
          </cell>
          <cell r="BF145">
            <v>243123</v>
          </cell>
          <cell r="BG145">
            <v>29413</v>
          </cell>
          <cell r="BH145">
            <v>0</v>
          </cell>
          <cell r="BI145">
            <v>59942</v>
          </cell>
          <cell r="BJ145">
            <v>20800</v>
          </cell>
          <cell r="BK145">
            <v>798452</v>
          </cell>
          <cell r="BL145">
            <v>1095626</v>
          </cell>
          <cell r="BM145">
            <v>149271</v>
          </cell>
          <cell r="BN145">
            <v>276174</v>
          </cell>
          <cell r="BO145">
            <v>49656</v>
          </cell>
          <cell r="BP145">
            <v>25000</v>
          </cell>
          <cell r="BQ145">
            <v>109573</v>
          </cell>
          <cell r="BR145">
            <v>3673106</v>
          </cell>
          <cell r="BS145">
            <v>68116</v>
          </cell>
          <cell r="BT145">
            <v>29121</v>
          </cell>
          <cell r="BU145">
            <v>20800</v>
          </cell>
          <cell r="BV145">
            <v>40089</v>
          </cell>
          <cell r="BW145">
            <v>1385597</v>
          </cell>
          <cell r="BX145">
            <v>1031709</v>
          </cell>
          <cell r="BY145">
            <v>135000</v>
          </cell>
          <cell r="BZ145">
            <v>353000</v>
          </cell>
          <cell r="CA145">
            <v>120467</v>
          </cell>
          <cell r="CB145">
            <v>9429085</v>
          </cell>
          <cell r="CC145">
            <v>1219780</v>
          </cell>
          <cell r="CD145">
            <v>580380</v>
          </cell>
          <cell r="CE145">
            <v>90000</v>
          </cell>
          <cell r="CF145">
            <v>164189</v>
          </cell>
          <cell r="CG145">
            <v>6000</v>
          </cell>
          <cell r="CH145">
            <v>46760</v>
          </cell>
          <cell r="CI145">
            <v>2107109</v>
          </cell>
          <cell r="CJ145">
            <v>11536194</v>
          </cell>
          <cell r="CK145">
            <v>120200116</v>
          </cell>
          <cell r="CM145">
            <v>1867513</v>
          </cell>
          <cell r="CN145">
            <v>225590</v>
          </cell>
          <cell r="CO145">
            <v>0</v>
          </cell>
          <cell r="CP145">
            <v>0</v>
          </cell>
          <cell r="CQ145">
            <v>0</v>
          </cell>
          <cell r="CR145">
            <v>0</v>
          </cell>
          <cell r="CS145">
            <v>0</v>
          </cell>
          <cell r="CT145">
            <v>0</v>
          </cell>
          <cell r="CV145">
            <v>0</v>
          </cell>
          <cell r="CW145">
            <v>13928801</v>
          </cell>
          <cell r="CX145">
            <v>2187552</v>
          </cell>
          <cell r="CY145">
            <v>0</v>
          </cell>
        </row>
        <row r="146">
          <cell r="A146">
            <v>908</v>
          </cell>
          <cell r="B146">
            <v>211375879</v>
          </cell>
          <cell r="C146">
            <v>8731122</v>
          </cell>
          <cell r="D146">
            <v>20287155</v>
          </cell>
          <cell r="E146">
            <v>285543</v>
          </cell>
          <cell r="F146">
            <v>8540717</v>
          </cell>
          <cell r="G146">
            <v>0</v>
          </cell>
          <cell r="H146">
            <v>0</v>
          </cell>
          <cell r="I146">
            <v>677866</v>
          </cell>
          <cell r="J146">
            <v>1722190</v>
          </cell>
          <cell r="K146">
            <v>0</v>
          </cell>
          <cell r="L146">
            <v>1404346</v>
          </cell>
          <cell r="M146">
            <v>440000</v>
          </cell>
          <cell r="N146">
            <v>693000</v>
          </cell>
          <cell r="O146">
            <v>3723260</v>
          </cell>
          <cell r="P146">
            <v>2928674</v>
          </cell>
          <cell r="Q146">
            <v>728132</v>
          </cell>
          <cell r="R146">
            <v>789000</v>
          </cell>
          <cell r="S146">
            <v>32746</v>
          </cell>
          <cell r="T146">
            <v>6526661</v>
          </cell>
          <cell r="U146">
            <v>1898620</v>
          </cell>
          <cell r="V146">
            <v>31247</v>
          </cell>
          <cell r="W146">
            <v>38000</v>
          </cell>
          <cell r="X146">
            <v>0</v>
          </cell>
          <cell r="Y146">
            <v>0</v>
          </cell>
          <cell r="Z146">
            <v>0</v>
          </cell>
          <cell r="AA146">
            <v>0</v>
          </cell>
          <cell r="AB146">
            <v>0</v>
          </cell>
          <cell r="AC146">
            <v>552000</v>
          </cell>
          <cell r="AD146">
            <v>604275</v>
          </cell>
          <cell r="AE146">
            <v>170000</v>
          </cell>
          <cell r="AF146">
            <v>289001</v>
          </cell>
          <cell r="AG146">
            <v>153001</v>
          </cell>
          <cell r="AH146">
            <v>19999</v>
          </cell>
          <cell r="AI146">
            <v>594000</v>
          </cell>
          <cell r="AJ146">
            <v>5213799</v>
          </cell>
          <cell r="AK146">
            <v>7437000</v>
          </cell>
          <cell r="AL146">
            <v>428314</v>
          </cell>
          <cell r="AM146">
            <v>0</v>
          </cell>
          <cell r="AN146">
            <v>0</v>
          </cell>
          <cell r="AO146">
            <v>0</v>
          </cell>
          <cell r="AP146">
            <v>0</v>
          </cell>
          <cell r="AQ146">
            <v>286315547</v>
          </cell>
          <cell r="AR146">
            <v>4242912</v>
          </cell>
          <cell r="AS146">
            <v>885613</v>
          </cell>
          <cell r="AT146">
            <v>1551387</v>
          </cell>
          <cell r="AU146">
            <v>152000</v>
          </cell>
          <cell r="AV146">
            <v>135000</v>
          </cell>
          <cell r="AW146">
            <v>15543</v>
          </cell>
          <cell r="AX146">
            <v>0</v>
          </cell>
          <cell r="AY146">
            <v>6982455</v>
          </cell>
          <cell r="AZ146">
            <v>1690143</v>
          </cell>
          <cell r="BA146">
            <v>3200000</v>
          </cell>
          <cell r="BB146">
            <v>196000</v>
          </cell>
          <cell r="BC146">
            <v>0</v>
          </cell>
          <cell r="BD146">
            <v>5086143</v>
          </cell>
          <cell r="BE146">
            <v>1654920</v>
          </cell>
          <cell r="BF146">
            <v>899725</v>
          </cell>
          <cell r="BG146">
            <v>0</v>
          </cell>
          <cell r="BH146">
            <v>0</v>
          </cell>
          <cell r="BI146">
            <v>80190</v>
          </cell>
          <cell r="BJ146">
            <v>158974</v>
          </cell>
          <cell r="BK146">
            <v>2793809</v>
          </cell>
          <cell r="BL146">
            <v>4483510</v>
          </cell>
          <cell r="BM146">
            <v>121795</v>
          </cell>
          <cell r="BN146">
            <v>811380</v>
          </cell>
          <cell r="BO146">
            <v>500190</v>
          </cell>
          <cell r="BP146">
            <v>0</v>
          </cell>
          <cell r="BQ146">
            <v>1296135</v>
          </cell>
          <cell r="BR146">
            <v>14357567</v>
          </cell>
          <cell r="BS146">
            <v>121795</v>
          </cell>
          <cell r="BT146">
            <v>0</v>
          </cell>
          <cell r="BU146">
            <v>109903</v>
          </cell>
          <cell r="BV146">
            <v>0</v>
          </cell>
          <cell r="BW146">
            <v>1796581</v>
          </cell>
          <cell r="BX146">
            <v>8982724</v>
          </cell>
          <cell r="BY146">
            <v>227064</v>
          </cell>
          <cell r="BZ146">
            <v>390000</v>
          </cell>
          <cell r="CA146">
            <v>0</v>
          </cell>
          <cell r="CB146">
            <v>33703484</v>
          </cell>
          <cell r="CC146">
            <v>3363144</v>
          </cell>
          <cell r="CD146">
            <v>6096998</v>
          </cell>
          <cell r="CE146">
            <v>104000</v>
          </cell>
          <cell r="CF146">
            <v>858094</v>
          </cell>
          <cell r="CG146">
            <v>42000</v>
          </cell>
          <cell r="CH146">
            <v>0</v>
          </cell>
          <cell r="CI146">
            <v>10464236</v>
          </cell>
          <cell r="CJ146">
            <v>44167720</v>
          </cell>
          <cell r="CK146">
            <v>330483267</v>
          </cell>
          <cell r="CM146">
            <v>12442161</v>
          </cell>
          <cell r="CN146">
            <v>521190</v>
          </cell>
          <cell r="CO146">
            <v>646866</v>
          </cell>
          <cell r="CP146">
            <v>0</v>
          </cell>
          <cell r="CQ146">
            <v>0</v>
          </cell>
          <cell r="CR146">
            <v>0</v>
          </cell>
          <cell r="CS146">
            <v>516260</v>
          </cell>
          <cell r="CT146">
            <v>0</v>
          </cell>
          <cell r="CV146">
            <v>0</v>
          </cell>
          <cell r="CW146">
            <v>42549970</v>
          </cell>
          <cell r="CX146">
            <v>7094227</v>
          </cell>
          <cell r="CY146">
            <v>0</v>
          </cell>
        </row>
        <row r="147">
          <cell r="A147">
            <v>909</v>
          </cell>
          <cell r="B147">
            <v>226429409</v>
          </cell>
          <cell r="C147">
            <v>10309096</v>
          </cell>
          <cell r="D147">
            <v>20611743</v>
          </cell>
          <cell r="E147">
            <v>1696728</v>
          </cell>
          <cell r="F147">
            <v>9991300</v>
          </cell>
          <cell r="G147">
            <v>0</v>
          </cell>
          <cell r="H147">
            <v>460000</v>
          </cell>
          <cell r="I147">
            <v>1581191</v>
          </cell>
          <cell r="J147">
            <v>236341</v>
          </cell>
          <cell r="K147">
            <v>0</v>
          </cell>
          <cell r="L147">
            <v>1771896</v>
          </cell>
          <cell r="M147">
            <v>335125</v>
          </cell>
          <cell r="N147">
            <v>186495</v>
          </cell>
          <cell r="O147">
            <v>1662630</v>
          </cell>
          <cell r="P147">
            <v>1989047</v>
          </cell>
          <cell r="Q147">
            <v>464797</v>
          </cell>
          <cell r="R147">
            <v>351944</v>
          </cell>
          <cell r="S147">
            <v>0</v>
          </cell>
          <cell r="T147">
            <v>10521613</v>
          </cell>
          <cell r="U147">
            <v>0</v>
          </cell>
          <cell r="V147">
            <v>111235</v>
          </cell>
          <cell r="W147">
            <v>0</v>
          </cell>
          <cell r="X147">
            <v>0</v>
          </cell>
          <cell r="Y147">
            <v>0</v>
          </cell>
          <cell r="Z147">
            <v>579809</v>
          </cell>
          <cell r="AA147">
            <v>119602</v>
          </cell>
          <cell r="AB147">
            <v>0</v>
          </cell>
          <cell r="AC147">
            <v>368129</v>
          </cell>
          <cell r="AD147">
            <v>319787</v>
          </cell>
          <cell r="AE147">
            <v>137015</v>
          </cell>
          <cell r="AF147">
            <v>31236</v>
          </cell>
          <cell r="AG147">
            <v>237345</v>
          </cell>
          <cell r="AH147">
            <v>72801</v>
          </cell>
          <cell r="AI147">
            <v>632798</v>
          </cell>
          <cell r="AJ147">
            <v>2932075</v>
          </cell>
          <cell r="AK147">
            <v>1094308</v>
          </cell>
          <cell r="AL147">
            <v>0</v>
          </cell>
          <cell r="AM147">
            <v>0</v>
          </cell>
          <cell r="AN147">
            <v>68406</v>
          </cell>
          <cell r="AO147">
            <v>8053757</v>
          </cell>
          <cell r="AP147">
            <v>0</v>
          </cell>
          <cell r="AQ147">
            <v>303357658</v>
          </cell>
          <cell r="AR147">
            <v>3973665</v>
          </cell>
          <cell r="AS147">
            <v>533709</v>
          </cell>
          <cell r="AT147">
            <v>2974035</v>
          </cell>
          <cell r="AU147">
            <v>712965</v>
          </cell>
          <cell r="AV147">
            <v>4705</v>
          </cell>
          <cell r="AW147">
            <v>327747</v>
          </cell>
          <cell r="AX147">
            <v>26350</v>
          </cell>
          <cell r="AY147">
            <v>8553176</v>
          </cell>
          <cell r="AZ147">
            <v>1504663</v>
          </cell>
          <cell r="BA147">
            <v>0</v>
          </cell>
          <cell r="BB147">
            <v>0</v>
          </cell>
          <cell r="BC147">
            <v>0</v>
          </cell>
          <cell r="BD147">
            <v>1504663</v>
          </cell>
          <cell r="BE147">
            <v>1126597</v>
          </cell>
          <cell r="BF147">
            <v>949205</v>
          </cell>
          <cell r="BG147">
            <v>267368</v>
          </cell>
          <cell r="BH147">
            <v>185026</v>
          </cell>
          <cell r="BI147">
            <v>112082</v>
          </cell>
          <cell r="BJ147">
            <v>55157</v>
          </cell>
          <cell r="BK147">
            <v>2695435</v>
          </cell>
          <cell r="BL147">
            <v>3951759</v>
          </cell>
          <cell r="BM147">
            <v>175958</v>
          </cell>
          <cell r="BN147">
            <v>1175439</v>
          </cell>
          <cell r="BO147">
            <v>0</v>
          </cell>
          <cell r="BP147">
            <v>0</v>
          </cell>
          <cell r="BQ147">
            <v>31000</v>
          </cell>
          <cell r="BR147">
            <v>15584428</v>
          </cell>
          <cell r="BS147">
            <v>69400</v>
          </cell>
          <cell r="BT147">
            <v>332471</v>
          </cell>
          <cell r="BU147">
            <v>36099</v>
          </cell>
          <cell r="BV147">
            <v>647184</v>
          </cell>
          <cell r="BW147">
            <v>3347130</v>
          </cell>
          <cell r="BX147">
            <v>8489741</v>
          </cell>
          <cell r="BY147">
            <v>104517</v>
          </cell>
          <cell r="BZ147">
            <v>1175489</v>
          </cell>
          <cell r="CA147">
            <v>3001932</v>
          </cell>
          <cell r="CB147">
            <v>35291393</v>
          </cell>
          <cell r="CC147">
            <v>2902523</v>
          </cell>
          <cell r="CD147">
            <v>4660469</v>
          </cell>
          <cell r="CE147">
            <v>12954</v>
          </cell>
          <cell r="CF147">
            <v>387528</v>
          </cell>
          <cell r="CG147">
            <v>54802</v>
          </cell>
          <cell r="CH147">
            <v>0</v>
          </cell>
          <cell r="CI147">
            <v>8018276</v>
          </cell>
          <cell r="CJ147">
            <v>43309669</v>
          </cell>
          <cell r="CK147">
            <v>346667327</v>
          </cell>
          <cell r="CM147">
            <v>20742890</v>
          </cell>
          <cell r="CN147">
            <v>890944</v>
          </cell>
          <cell r="CO147">
            <v>0</v>
          </cell>
          <cell r="CP147">
            <v>0</v>
          </cell>
          <cell r="CQ147">
            <v>0</v>
          </cell>
          <cell r="CR147">
            <v>0</v>
          </cell>
          <cell r="CS147">
            <v>0</v>
          </cell>
          <cell r="CT147">
            <v>0</v>
          </cell>
          <cell r="CV147">
            <v>0</v>
          </cell>
          <cell r="CW147">
            <v>32019000</v>
          </cell>
          <cell r="CX147">
            <v>5313950</v>
          </cell>
          <cell r="CY147">
            <v>2868052</v>
          </cell>
        </row>
        <row r="148">
          <cell r="A148">
            <v>916</v>
          </cell>
          <cell r="B148">
            <v>251931440</v>
          </cell>
          <cell r="C148">
            <v>10783010</v>
          </cell>
          <cell r="D148">
            <v>22313585</v>
          </cell>
          <cell r="E148">
            <v>0</v>
          </cell>
          <cell r="F148">
            <v>9760116</v>
          </cell>
          <cell r="G148">
            <v>0</v>
          </cell>
          <cell r="H148">
            <v>0</v>
          </cell>
          <cell r="I148">
            <v>214150</v>
          </cell>
          <cell r="J148">
            <v>1632022</v>
          </cell>
          <cell r="K148">
            <v>0</v>
          </cell>
          <cell r="L148">
            <v>0</v>
          </cell>
          <cell r="M148">
            <v>4062588</v>
          </cell>
          <cell r="N148">
            <v>602301</v>
          </cell>
          <cell r="O148">
            <v>3062764</v>
          </cell>
          <cell r="P148">
            <v>890647</v>
          </cell>
          <cell r="Q148">
            <v>1213393</v>
          </cell>
          <cell r="R148">
            <v>3327458</v>
          </cell>
          <cell r="S148">
            <v>0</v>
          </cell>
          <cell r="T148">
            <v>12681589</v>
          </cell>
          <cell r="U148">
            <v>0</v>
          </cell>
          <cell r="V148">
            <v>0</v>
          </cell>
          <cell r="W148">
            <v>79857</v>
          </cell>
          <cell r="X148">
            <v>185917</v>
          </cell>
          <cell r="Y148">
            <v>0</v>
          </cell>
          <cell r="Z148">
            <v>0</v>
          </cell>
          <cell r="AA148">
            <v>0</v>
          </cell>
          <cell r="AB148">
            <v>0</v>
          </cell>
          <cell r="AC148">
            <v>39971</v>
          </cell>
          <cell r="AD148">
            <v>493205</v>
          </cell>
          <cell r="AE148">
            <v>130000</v>
          </cell>
          <cell r="AF148">
            <v>770725</v>
          </cell>
          <cell r="AG148">
            <v>96686</v>
          </cell>
          <cell r="AH148">
            <v>11000</v>
          </cell>
          <cell r="AI148">
            <v>112000</v>
          </cell>
          <cell r="AJ148">
            <v>5786424</v>
          </cell>
          <cell r="AK148">
            <v>0</v>
          </cell>
          <cell r="AL148">
            <v>879016</v>
          </cell>
          <cell r="AM148">
            <v>0</v>
          </cell>
          <cell r="AN148">
            <v>344241</v>
          </cell>
          <cell r="AO148">
            <v>10181145</v>
          </cell>
          <cell r="AP148">
            <v>0</v>
          </cell>
          <cell r="AQ148">
            <v>341585250</v>
          </cell>
          <cell r="AR148">
            <v>4968819</v>
          </cell>
          <cell r="AS148">
            <v>2294006</v>
          </cell>
          <cell r="AT148">
            <v>2456867</v>
          </cell>
          <cell r="AU148">
            <v>478754</v>
          </cell>
          <cell r="AV148">
            <v>0</v>
          </cell>
          <cell r="AW148">
            <v>64719</v>
          </cell>
          <cell r="AX148">
            <v>157282</v>
          </cell>
          <cell r="AY148">
            <v>10420447</v>
          </cell>
          <cell r="AZ148">
            <v>2139176</v>
          </cell>
          <cell r="BA148">
            <v>0</v>
          </cell>
          <cell r="BB148">
            <v>64024</v>
          </cell>
          <cell r="BC148">
            <v>0</v>
          </cell>
          <cell r="BD148">
            <v>2203200</v>
          </cell>
          <cell r="BE148">
            <v>1276142</v>
          </cell>
          <cell r="BF148">
            <v>426084</v>
          </cell>
          <cell r="BG148">
            <v>6127</v>
          </cell>
          <cell r="BH148">
            <v>224890</v>
          </cell>
          <cell r="BI148">
            <v>120185</v>
          </cell>
          <cell r="BJ148">
            <v>205313</v>
          </cell>
          <cell r="BK148">
            <v>2258741</v>
          </cell>
          <cell r="BL148">
            <v>3215309</v>
          </cell>
          <cell r="BM148">
            <v>1218605</v>
          </cell>
          <cell r="BN148">
            <v>659785</v>
          </cell>
          <cell r="BO148">
            <v>2123776</v>
          </cell>
          <cell r="BP148">
            <v>437775</v>
          </cell>
          <cell r="BQ148">
            <v>406229</v>
          </cell>
          <cell r="BR148">
            <v>15993094</v>
          </cell>
          <cell r="BS148">
            <v>168909</v>
          </cell>
          <cell r="BT148">
            <v>0</v>
          </cell>
          <cell r="BU148">
            <v>0</v>
          </cell>
          <cell r="BV148">
            <v>47015</v>
          </cell>
          <cell r="BW148">
            <v>4030437</v>
          </cell>
          <cell r="BX148">
            <v>6167256</v>
          </cell>
          <cell r="BY148">
            <v>0</v>
          </cell>
          <cell r="BZ148">
            <v>733307</v>
          </cell>
          <cell r="CA148">
            <v>29458</v>
          </cell>
          <cell r="CB148">
            <v>34120249</v>
          </cell>
          <cell r="CC148">
            <v>5503781</v>
          </cell>
          <cell r="CD148">
            <v>1809128</v>
          </cell>
          <cell r="CE148">
            <v>31105</v>
          </cell>
          <cell r="CF148">
            <v>503788</v>
          </cell>
          <cell r="CG148">
            <v>52210</v>
          </cell>
          <cell r="CH148">
            <v>0</v>
          </cell>
          <cell r="CI148">
            <v>7900012</v>
          </cell>
          <cell r="CJ148">
            <v>42020261</v>
          </cell>
          <cell r="CK148">
            <v>383605511</v>
          </cell>
          <cell r="CM148">
            <v>25605136</v>
          </cell>
          <cell r="CN148">
            <v>171150</v>
          </cell>
          <cell r="CO148">
            <v>0</v>
          </cell>
          <cell r="CP148">
            <v>0</v>
          </cell>
          <cell r="CQ148">
            <v>0</v>
          </cell>
          <cell r="CR148">
            <v>0</v>
          </cell>
          <cell r="CS148">
            <v>490000</v>
          </cell>
          <cell r="CT148">
            <v>0</v>
          </cell>
          <cell r="CV148">
            <v>0</v>
          </cell>
          <cell r="CW148">
            <v>37238000</v>
          </cell>
          <cell r="CX148">
            <v>5633634</v>
          </cell>
          <cell r="CY148">
            <v>2373082</v>
          </cell>
        </row>
        <row r="149">
          <cell r="A149">
            <v>919</v>
          </cell>
          <cell r="B149">
            <v>528815047</v>
          </cell>
          <cell r="C149">
            <v>21217161</v>
          </cell>
          <cell r="D149">
            <v>41253127</v>
          </cell>
          <cell r="E149">
            <v>0</v>
          </cell>
          <cell r="F149">
            <v>16112858</v>
          </cell>
          <cell r="G149">
            <v>3103504</v>
          </cell>
          <cell r="H149">
            <v>0</v>
          </cell>
          <cell r="I149">
            <v>7352529</v>
          </cell>
          <cell r="J149">
            <v>1526811</v>
          </cell>
          <cell r="K149">
            <v>1332992</v>
          </cell>
          <cell r="L149">
            <v>1303272</v>
          </cell>
          <cell r="M149">
            <v>523167</v>
          </cell>
          <cell r="N149">
            <v>1060883</v>
          </cell>
          <cell r="O149">
            <v>10295538</v>
          </cell>
          <cell r="P149">
            <v>2196594</v>
          </cell>
          <cell r="Q149">
            <v>1660100</v>
          </cell>
          <cell r="R149">
            <v>3615410</v>
          </cell>
          <cell r="S149">
            <v>0</v>
          </cell>
          <cell r="T149">
            <v>10922628</v>
          </cell>
          <cell r="U149">
            <v>0</v>
          </cell>
          <cell r="V149">
            <v>70429</v>
          </cell>
          <cell r="W149">
            <v>806796</v>
          </cell>
          <cell r="X149">
            <v>0</v>
          </cell>
          <cell r="Y149">
            <v>16187</v>
          </cell>
          <cell r="Z149">
            <v>0</v>
          </cell>
          <cell r="AA149">
            <v>50590</v>
          </cell>
          <cell r="AB149">
            <v>0</v>
          </cell>
          <cell r="AC149">
            <v>0</v>
          </cell>
          <cell r="AD149">
            <v>2433830</v>
          </cell>
          <cell r="AE149">
            <v>264009</v>
          </cell>
          <cell r="AF149">
            <v>1485522</v>
          </cell>
          <cell r="AG149">
            <v>472120</v>
          </cell>
          <cell r="AH149">
            <v>26599</v>
          </cell>
          <cell r="AI149">
            <v>1433575</v>
          </cell>
          <cell r="AJ149">
            <v>151080</v>
          </cell>
          <cell r="AK149">
            <v>5410528</v>
          </cell>
          <cell r="AL149">
            <v>0</v>
          </cell>
          <cell r="AM149">
            <v>0</v>
          </cell>
          <cell r="AN149">
            <v>407111</v>
          </cell>
          <cell r="AO149">
            <v>8865980</v>
          </cell>
          <cell r="AP149">
            <v>0</v>
          </cell>
          <cell r="AQ149">
            <v>674185977</v>
          </cell>
          <cell r="AR149">
            <v>7947090</v>
          </cell>
          <cell r="AS149">
            <v>2425020</v>
          </cell>
          <cell r="AT149">
            <v>1343622</v>
          </cell>
          <cell r="AU149">
            <v>896319</v>
          </cell>
          <cell r="AV149">
            <v>601124</v>
          </cell>
          <cell r="AW149">
            <v>110329</v>
          </cell>
          <cell r="AX149">
            <v>19100</v>
          </cell>
          <cell r="AY149">
            <v>13342604</v>
          </cell>
          <cell r="AZ149">
            <v>10399344</v>
          </cell>
          <cell r="BA149">
            <v>0</v>
          </cell>
          <cell r="BB149">
            <v>479031</v>
          </cell>
          <cell r="BC149">
            <v>0</v>
          </cell>
          <cell r="BD149">
            <v>10878375</v>
          </cell>
          <cell r="BE149">
            <v>3088357</v>
          </cell>
          <cell r="BF149">
            <v>2400938</v>
          </cell>
          <cell r="BG149">
            <v>382508</v>
          </cell>
          <cell r="BH149">
            <v>0</v>
          </cell>
          <cell r="BI149">
            <v>204552</v>
          </cell>
          <cell r="BJ149">
            <v>119400</v>
          </cell>
          <cell r="BK149">
            <v>6195755</v>
          </cell>
          <cell r="BL149">
            <v>6071495</v>
          </cell>
          <cell r="BM149">
            <v>1872011</v>
          </cell>
          <cell r="BN149">
            <v>2376071</v>
          </cell>
          <cell r="BO149">
            <v>3336462</v>
          </cell>
          <cell r="BP149">
            <v>107750</v>
          </cell>
          <cell r="BQ149">
            <v>59300</v>
          </cell>
          <cell r="BR149">
            <v>32758636</v>
          </cell>
          <cell r="BS149">
            <v>1004024</v>
          </cell>
          <cell r="BT149">
            <v>308517</v>
          </cell>
          <cell r="BU149">
            <v>63994</v>
          </cell>
          <cell r="BV149">
            <v>559323</v>
          </cell>
          <cell r="BW149">
            <v>11447689</v>
          </cell>
          <cell r="BX149">
            <v>10137471</v>
          </cell>
          <cell r="BY149">
            <v>1124739</v>
          </cell>
          <cell r="BZ149">
            <v>361285</v>
          </cell>
          <cell r="CA149">
            <v>128520</v>
          </cell>
          <cell r="CB149">
            <v>69375385</v>
          </cell>
          <cell r="CC149">
            <v>7593003</v>
          </cell>
          <cell r="CD149">
            <v>3799848</v>
          </cell>
          <cell r="CE149">
            <v>519536</v>
          </cell>
          <cell r="CF149">
            <v>106830</v>
          </cell>
          <cell r="CG149">
            <v>505415</v>
          </cell>
          <cell r="CH149">
            <v>13000</v>
          </cell>
          <cell r="CI149">
            <v>12537632</v>
          </cell>
          <cell r="CJ149">
            <v>81913017</v>
          </cell>
          <cell r="CK149">
            <v>756098994</v>
          </cell>
          <cell r="CM149">
            <v>60400830</v>
          </cell>
          <cell r="CN149">
            <v>1672929</v>
          </cell>
          <cell r="CO149">
            <v>213960</v>
          </cell>
          <cell r="CP149">
            <v>0</v>
          </cell>
          <cell r="CQ149">
            <v>0</v>
          </cell>
          <cell r="CR149">
            <v>0</v>
          </cell>
          <cell r="CS149">
            <v>1884757</v>
          </cell>
          <cell r="CT149">
            <v>0</v>
          </cell>
          <cell r="CV149">
            <v>0</v>
          </cell>
          <cell r="CW149">
            <v>65983766</v>
          </cell>
          <cell r="CX149">
            <v>10260873</v>
          </cell>
          <cell r="CY149">
            <v>3425166</v>
          </cell>
        </row>
        <row r="150">
          <cell r="A150">
            <v>921</v>
          </cell>
          <cell r="B150">
            <v>59932051</v>
          </cell>
          <cell r="C150">
            <v>2997696</v>
          </cell>
          <cell r="D150">
            <v>3386947</v>
          </cell>
          <cell r="E150">
            <v>0</v>
          </cell>
          <cell r="F150">
            <v>2138345</v>
          </cell>
          <cell r="G150">
            <v>367000</v>
          </cell>
          <cell r="H150">
            <v>92000</v>
          </cell>
          <cell r="I150">
            <v>1694516</v>
          </cell>
          <cell r="J150">
            <v>0</v>
          </cell>
          <cell r="K150">
            <v>695145</v>
          </cell>
          <cell r="L150">
            <v>197125</v>
          </cell>
          <cell r="M150">
            <v>57375</v>
          </cell>
          <cell r="N150">
            <v>41804</v>
          </cell>
          <cell r="O150">
            <v>1835177</v>
          </cell>
          <cell r="P150">
            <v>477791</v>
          </cell>
          <cell r="Q150">
            <v>230595</v>
          </cell>
          <cell r="R150">
            <v>137435</v>
          </cell>
          <cell r="S150">
            <v>0</v>
          </cell>
          <cell r="T150">
            <v>3951226</v>
          </cell>
          <cell r="U150">
            <v>0</v>
          </cell>
          <cell r="V150">
            <v>21252</v>
          </cell>
          <cell r="W150">
            <v>21991</v>
          </cell>
          <cell r="X150">
            <v>0</v>
          </cell>
          <cell r="Y150">
            <v>0</v>
          </cell>
          <cell r="Z150">
            <v>11449</v>
          </cell>
          <cell r="AA150">
            <v>0</v>
          </cell>
          <cell r="AB150">
            <v>70112</v>
          </cell>
          <cell r="AC150">
            <v>0</v>
          </cell>
          <cell r="AD150">
            <v>200945</v>
          </cell>
          <cell r="AE150">
            <v>45808</v>
          </cell>
          <cell r="AF150">
            <v>0</v>
          </cell>
          <cell r="AG150">
            <v>0</v>
          </cell>
          <cell r="AH150">
            <v>35128</v>
          </cell>
          <cell r="AI150">
            <v>51104</v>
          </cell>
          <cell r="AJ150">
            <v>1612524</v>
          </cell>
          <cell r="AK150">
            <v>0</v>
          </cell>
          <cell r="AL150">
            <v>0</v>
          </cell>
          <cell r="AM150">
            <v>0</v>
          </cell>
          <cell r="AN150">
            <v>66296</v>
          </cell>
          <cell r="AO150">
            <v>654735</v>
          </cell>
          <cell r="AP150">
            <v>0</v>
          </cell>
          <cell r="AQ150">
            <v>81023572</v>
          </cell>
          <cell r="AR150">
            <v>1037246</v>
          </cell>
          <cell r="AS150">
            <v>49784</v>
          </cell>
          <cell r="AT150">
            <v>308825</v>
          </cell>
          <cell r="AU150">
            <v>18366</v>
          </cell>
          <cell r="AV150">
            <v>0</v>
          </cell>
          <cell r="AW150">
            <v>0</v>
          </cell>
          <cell r="AX150">
            <v>15015</v>
          </cell>
          <cell r="AY150">
            <v>1429236</v>
          </cell>
          <cell r="AZ150">
            <v>671518</v>
          </cell>
          <cell r="BA150">
            <v>440340</v>
          </cell>
          <cell r="BB150">
            <v>57262</v>
          </cell>
          <cell r="BC150">
            <v>13699</v>
          </cell>
          <cell r="BD150">
            <v>1182819</v>
          </cell>
          <cell r="BE150">
            <v>450773</v>
          </cell>
          <cell r="BF150">
            <v>56222</v>
          </cell>
          <cell r="BG150">
            <v>73762</v>
          </cell>
          <cell r="BH150">
            <v>34874</v>
          </cell>
          <cell r="BI150">
            <v>59989</v>
          </cell>
          <cell r="BJ150">
            <v>84333</v>
          </cell>
          <cell r="BK150">
            <v>759953</v>
          </cell>
          <cell r="BL150">
            <v>1494298</v>
          </cell>
          <cell r="BM150">
            <v>130605</v>
          </cell>
          <cell r="BN150">
            <v>382755</v>
          </cell>
          <cell r="BO150">
            <v>280061</v>
          </cell>
          <cell r="BP150">
            <v>0</v>
          </cell>
          <cell r="BQ150">
            <v>108903</v>
          </cell>
          <cell r="BR150">
            <v>3032828</v>
          </cell>
          <cell r="BS150">
            <v>13630</v>
          </cell>
          <cell r="BT150">
            <v>49175</v>
          </cell>
          <cell r="BU150">
            <v>45206</v>
          </cell>
          <cell r="BV150">
            <v>0</v>
          </cell>
          <cell r="BW150">
            <v>326664</v>
          </cell>
          <cell r="BX150">
            <v>1266914</v>
          </cell>
          <cell r="BY150">
            <v>0</v>
          </cell>
          <cell r="BZ150">
            <v>428915</v>
          </cell>
          <cell r="CA150">
            <v>29753</v>
          </cell>
          <cell r="CB150">
            <v>7928887</v>
          </cell>
          <cell r="CC150">
            <v>1431659</v>
          </cell>
          <cell r="CD150">
            <v>538121</v>
          </cell>
          <cell r="CE150">
            <v>163518</v>
          </cell>
          <cell r="CF150">
            <v>107843</v>
          </cell>
          <cell r="CG150">
            <v>62844</v>
          </cell>
          <cell r="CH150">
            <v>24614</v>
          </cell>
          <cell r="CI150">
            <v>2328599</v>
          </cell>
          <cell r="CJ150">
            <v>10257486</v>
          </cell>
          <cell r="CK150">
            <v>91281058</v>
          </cell>
          <cell r="CM150">
            <v>5853236</v>
          </cell>
          <cell r="CN150">
            <v>331826</v>
          </cell>
          <cell r="CO150">
            <v>200609</v>
          </cell>
          <cell r="CP150">
            <v>0</v>
          </cell>
          <cell r="CQ150">
            <v>0</v>
          </cell>
          <cell r="CR150">
            <v>0</v>
          </cell>
          <cell r="CS150">
            <v>232153</v>
          </cell>
          <cell r="CT150">
            <v>0</v>
          </cell>
          <cell r="CV150">
            <v>7820</v>
          </cell>
          <cell r="CW150">
            <v>5981962</v>
          </cell>
          <cell r="CX150">
            <v>1829450</v>
          </cell>
          <cell r="CY150">
            <v>0</v>
          </cell>
        </row>
        <row r="151">
          <cell r="A151">
            <v>925</v>
          </cell>
          <cell r="B151">
            <v>306204670</v>
          </cell>
          <cell r="C151">
            <v>13844290</v>
          </cell>
          <cell r="D151">
            <v>29160751</v>
          </cell>
          <cell r="E151">
            <v>2043774</v>
          </cell>
          <cell r="F151">
            <v>10376554</v>
          </cell>
          <cell r="G151">
            <v>313000</v>
          </cell>
          <cell r="H151">
            <v>0</v>
          </cell>
          <cell r="I151">
            <v>0</v>
          </cell>
          <cell r="J151">
            <v>0</v>
          </cell>
          <cell r="K151">
            <v>1097777</v>
          </cell>
          <cell r="L151">
            <v>967490</v>
          </cell>
          <cell r="M151">
            <v>1414222</v>
          </cell>
          <cell r="N151">
            <v>492066</v>
          </cell>
          <cell r="O151">
            <v>6000130</v>
          </cell>
          <cell r="P151">
            <v>2893505</v>
          </cell>
          <cell r="Q151">
            <v>272002</v>
          </cell>
          <cell r="R151">
            <v>643217</v>
          </cell>
          <cell r="S151">
            <v>0</v>
          </cell>
          <cell r="T151">
            <v>8689457</v>
          </cell>
          <cell r="U151">
            <v>23681</v>
          </cell>
          <cell r="V151">
            <v>68288</v>
          </cell>
          <cell r="W151">
            <v>30576</v>
          </cell>
          <cell r="X151">
            <v>0</v>
          </cell>
          <cell r="Y151">
            <v>2037039</v>
          </cell>
          <cell r="Z151">
            <v>1724</v>
          </cell>
          <cell r="AA151">
            <v>0</v>
          </cell>
          <cell r="AB151">
            <v>0</v>
          </cell>
          <cell r="AC151">
            <v>0</v>
          </cell>
          <cell r="AD151">
            <v>401191</v>
          </cell>
          <cell r="AE151">
            <v>15744</v>
          </cell>
          <cell r="AF151">
            <v>0</v>
          </cell>
          <cell r="AG151">
            <v>0</v>
          </cell>
          <cell r="AH151">
            <v>14655</v>
          </cell>
          <cell r="AI151">
            <v>68840</v>
          </cell>
          <cell r="AJ151">
            <v>5554278</v>
          </cell>
          <cell r="AK151">
            <v>2515797</v>
          </cell>
          <cell r="AL151">
            <v>227086</v>
          </cell>
          <cell r="AM151">
            <v>0</v>
          </cell>
          <cell r="AN151">
            <v>342620</v>
          </cell>
          <cell r="AO151">
            <v>3944984</v>
          </cell>
          <cell r="AP151">
            <v>0</v>
          </cell>
          <cell r="AQ151">
            <v>399659408</v>
          </cell>
          <cell r="AR151">
            <v>6867043</v>
          </cell>
          <cell r="AS151">
            <v>366330</v>
          </cell>
          <cell r="AT151">
            <v>2902573</v>
          </cell>
          <cell r="AU151">
            <v>58024</v>
          </cell>
          <cell r="AV151">
            <v>0</v>
          </cell>
          <cell r="AW151">
            <v>0</v>
          </cell>
          <cell r="AX151">
            <v>729</v>
          </cell>
          <cell r="AY151">
            <v>10194699</v>
          </cell>
          <cell r="AZ151">
            <v>2747110</v>
          </cell>
          <cell r="BA151">
            <v>342235</v>
          </cell>
          <cell r="BB151">
            <v>102340</v>
          </cell>
          <cell r="BC151">
            <v>0</v>
          </cell>
          <cell r="BD151">
            <v>3191685</v>
          </cell>
          <cell r="BE151">
            <v>1401718</v>
          </cell>
          <cell r="BF151">
            <v>1075972</v>
          </cell>
          <cell r="BG151">
            <v>82546</v>
          </cell>
          <cell r="BH151">
            <v>0</v>
          </cell>
          <cell r="BI151">
            <v>110706</v>
          </cell>
          <cell r="BJ151">
            <v>141279</v>
          </cell>
          <cell r="BK151">
            <v>2812221</v>
          </cell>
          <cell r="BL151">
            <v>2897734</v>
          </cell>
          <cell r="BM151">
            <v>1337379</v>
          </cell>
          <cell r="BN151">
            <v>902218</v>
          </cell>
          <cell r="BO151">
            <v>1879357</v>
          </cell>
          <cell r="BP151">
            <v>0</v>
          </cell>
          <cell r="BQ151">
            <v>26224</v>
          </cell>
          <cell r="BR151">
            <v>32307255</v>
          </cell>
          <cell r="BS151">
            <v>198773</v>
          </cell>
          <cell r="BT151">
            <v>193411</v>
          </cell>
          <cell r="BU151">
            <v>25859</v>
          </cell>
          <cell r="BV151">
            <v>35123</v>
          </cell>
          <cell r="BW151">
            <v>8694296</v>
          </cell>
          <cell r="BX151">
            <v>16895953</v>
          </cell>
          <cell r="BY151">
            <v>372301</v>
          </cell>
          <cell r="BZ151">
            <v>1746361</v>
          </cell>
          <cell r="CA151">
            <v>0</v>
          </cell>
          <cell r="CB151">
            <v>51403594</v>
          </cell>
          <cell r="CC151">
            <v>3444840</v>
          </cell>
          <cell r="CD151">
            <v>3332658</v>
          </cell>
          <cell r="CE151">
            <v>0</v>
          </cell>
          <cell r="CF151">
            <v>163303</v>
          </cell>
          <cell r="CG151">
            <v>0</v>
          </cell>
          <cell r="CH151">
            <v>250000</v>
          </cell>
          <cell r="CI151">
            <v>7190801</v>
          </cell>
          <cell r="CJ151">
            <v>58594395</v>
          </cell>
          <cell r="CK151">
            <v>458253803</v>
          </cell>
          <cell r="CM151">
            <v>28699000</v>
          </cell>
          <cell r="CN151">
            <v>0</v>
          </cell>
          <cell r="CO151">
            <v>0</v>
          </cell>
          <cell r="CP151">
            <v>0</v>
          </cell>
          <cell r="CQ151">
            <v>0</v>
          </cell>
          <cell r="CR151">
            <v>0</v>
          </cell>
          <cell r="CS151">
            <v>0</v>
          </cell>
          <cell r="CT151">
            <v>0</v>
          </cell>
          <cell r="CV151">
            <v>0</v>
          </cell>
          <cell r="CW151">
            <v>35889000</v>
          </cell>
          <cell r="CX151">
            <v>10050860</v>
          </cell>
          <cell r="CY151">
            <v>0</v>
          </cell>
        </row>
        <row r="152">
          <cell r="A152">
            <v>926</v>
          </cell>
          <cell r="B152">
            <v>335054420</v>
          </cell>
          <cell r="C152">
            <v>14498145</v>
          </cell>
          <cell r="D152">
            <v>23234106</v>
          </cell>
          <cell r="E152">
            <v>2466246</v>
          </cell>
          <cell r="F152">
            <v>12757477</v>
          </cell>
          <cell r="G152">
            <v>2188693</v>
          </cell>
          <cell r="H152">
            <v>0</v>
          </cell>
          <cell r="I152">
            <v>0</v>
          </cell>
          <cell r="J152">
            <v>0</v>
          </cell>
          <cell r="K152">
            <v>2399810</v>
          </cell>
          <cell r="L152">
            <v>1523554</v>
          </cell>
          <cell r="M152">
            <v>110537</v>
          </cell>
          <cell r="N152">
            <v>506350</v>
          </cell>
          <cell r="O152">
            <v>4449027</v>
          </cell>
          <cell r="P152">
            <v>3308416</v>
          </cell>
          <cell r="Q152">
            <v>1510253</v>
          </cell>
          <cell r="R152">
            <v>1073517</v>
          </cell>
          <cell r="S152">
            <v>0</v>
          </cell>
          <cell r="T152">
            <v>10701521</v>
          </cell>
          <cell r="U152">
            <v>0</v>
          </cell>
          <cell r="V152">
            <v>27274</v>
          </cell>
          <cell r="W152">
            <v>71990</v>
          </cell>
          <cell r="X152">
            <v>0</v>
          </cell>
          <cell r="Y152">
            <v>0</v>
          </cell>
          <cell r="Z152">
            <v>0</v>
          </cell>
          <cell r="AA152">
            <v>192640</v>
          </cell>
          <cell r="AB152">
            <v>0</v>
          </cell>
          <cell r="AC152">
            <v>0</v>
          </cell>
          <cell r="AD152">
            <v>655986</v>
          </cell>
          <cell r="AE152">
            <v>230989</v>
          </cell>
          <cell r="AF152">
            <v>720370</v>
          </cell>
          <cell r="AG152">
            <v>264050</v>
          </cell>
          <cell r="AH152">
            <v>19695</v>
          </cell>
          <cell r="AI152">
            <v>1555506</v>
          </cell>
          <cell r="AJ152">
            <v>6273583</v>
          </cell>
          <cell r="AK152">
            <v>0</v>
          </cell>
          <cell r="AL152">
            <v>30000</v>
          </cell>
          <cell r="AM152">
            <v>0</v>
          </cell>
          <cell r="AN152">
            <v>671446</v>
          </cell>
          <cell r="AO152">
            <v>4219080</v>
          </cell>
          <cell r="AP152">
            <v>0</v>
          </cell>
          <cell r="AQ152">
            <v>430714681</v>
          </cell>
          <cell r="AR152">
            <v>8642699</v>
          </cell>
          <cell r="AS152">
            <v>1070243</v>
          </cell>
          <cell r="AT152">
            <v>2375401</v>
          </cell>
          <cell r="AU152">
            <v>375470</v>
          </cell>
          <cell r="AV152">
            <v>342600</v>
          </cell>
          <cell r="AW152">
            <v>0</v>
          </cell>
          <cell r="AX152">
            <v>9906</v>
          </cell>
          <cell r="AY152">
            <v>12816319</v>
          </cell>
          <cell r="AZ152">
            <v>23781</v>
          </cell>
          <cell r="BA152">
            <v>6412710</v>
          </cell>
          <cell r="BB152">
            <v>0</v>
          </cell>
          <cell r="BC152">
            <v>0</v>
          </cell>
          <cell r="BD152">
            <v>6436491</v>
          </cell>
          <cell r="BE152">
            <v>1828597</v>
          </cell>
          <cell r="BF152">
            <v>1059855</v>
          </cell>
          <cell r="BG152">
            <v>17799</v>
          </cell>
          <cell r="BH152">
            <v>118305</v>
          </cell>
          <cell r="BI152">
            <v>105651</v>
          </cell>
          <cell r="BJ152">
            <v>179907</v>
          </cell>
          <cell r="BK152">
            <v>3310114</v>
          </cell>
          <cell r="BL152">
            <v>6738698</v>
          </cell>
          <cell r="BM152">
            <v>1511537</v>
          </cell>
          <cell r="BN152">
            <v>1375466</v>
          </cell>
          <cell r="BO152">
            <v>144290</v>
          </cell>
          <cell r="BP152">
            <v>0</v>
          </cell>
          <cell r="BQ152">
            <v>928501</v>
          </cell>
          <cell r="BR152">
            <v>29344639</v>
          </cell>
          <cell r="BS152">
            <v>486903</v>
          </cell>
          <cell r="BT152">
            <v>114460</v>
          </cell>
          <cell r="BU152">
            <v>67657</v>
          </cell>
          <cell r="BV152">
            <v>78156</v>
          </cell>
          <cell r="BW152">
            <v>7391301</v>
          </cell>
          <cell r="BX152">
            <v>14782601</v>
          </cell>
          <cell r="BY152">
            <v>739130</v>
          </cell>
          <cell r="BZ152">
            <v>1724637</v>
          </cell>
          <cell r="CA152">
            <v>0</v>
          </cell>
          <cell r="CB152">
            <v>58646261</v>
          </cell>
          <cell r="CC152">
            <v>4292394</v>
          </cell>
          <cell r="CD152">
            <v>9473494</v>
          </cell>
          <cell r="CE152">
            <v>20448</v>
          </cell>
          <cell r="CF152">
            <v>777016</v>
          </cell>
          <cell r="CG152">
            <v>20448</v>
          </cell>
          <cell r="CH152">
            <v>0</v>
          </cell>
          <cell r="CI152">
            <v>14583800</v>
          </cell>
          <cell r="CJ152">
            <v>73230061</v>
          </cell>
          <cell r="CK152">
            <v>503944742</v>
          </cell>
          <cell r="CM152">
            <v>21875245</v>
          </cell>
          <cell r="CN152">
            <v>1100971</v>
          </cell>
          <cell r="CO152">
            <v>0</v>
          </cell>
          <cell r="CP152">
            <v>0</v>
          </cell>
          <cell r="CQ152">
            <v>0</v>
          </cell>
          <cell r="CR152">
            <v>0</v>
          </cell>
          <cell r="CS152">
            <v>392000</v>
          </cell>
          <cell r="CT152">
            <v>0</v>
          </cell>
          <cell r="CV152">
            <v>0</v>
          </cell>
          <cell r="CW152">
            <v>86040000</v>
          </cell>
          <cell r="CX152">
            <v>7611270</v>
          </cell>
          <cell r="CY152">
            <v>3770705</v>
          </cell>
        </row>
        <row r="153">
          <cell r="A153">
            <v>928</v>
          </cell>
          <cell r="B153">
            <v>302430510</v>
          </cell>
          <cell r="C153">
            <v>12496950</v>
          </cell>
          <cell r="D153">
            <v>25404490</v>
          </cell>
          <cell r="E153">
            <v>2292840</v>
          </cell>
          <cell r="F153">
            <v>10587840</v>
          </cell>
          <cell r="G153">
            <v>0</v>
          </cell>
          <cell r="H153">
            <v>0</v>
          </cell>
          <cell r="I153">
            <v>2300370</v>
          </cell>
          <cell r="J153">
            <v>0</v>
          </cell>
          <cell r="K153">
            <v>0</v>
          </cell>
          <cell r="L153">
            <v>2523030</v>
          </cell>
          <cell r="M153">
            <v>87100</v>
          </cell>
          <cell r="N153">
            <v>2331150</v>
          </cell>
          <cell r="O153">
            <v>3037690</v>
          </cell>
          <cell r="P153">
            <v>2702710</v>
          </cell>
          <cell r="Q153">
            <v>226920</v>
          </cell>
          <cell r="R153">
            <v>400410</v>
          </cell>
          <cell r="S153">
            <v>344720</v>
          </cell>
          <cell r="T153">
            <v>11279750</v>
          </cell>
          <cell r="U153">
            <v>0</v>
          </cell>
          <cell r="V153">
            <v>26340</v>
          </cell>
          <cell r="W153">
            <v>92570</v>
          </cell>
          <cell r="X153">
            <v>0</v>
          </cell>
          <cell r="Y153">
            <v>0</v>
          </cell>
          <cell r="Z153">
            <v>0</v>
          </cell>
          <cell r="AA153">
            <v>0</v>
          </cell>
          <cell r="AB153">
            <v>0</v>
          </cell>
          <cell r="AC153">
            <v>0</v>
          </cell>
          <cell r="AD153">
            <v>368510</v>
          </cell>
          <cell r="AE153">
            <v>138080</v>
          </cell>
          <cell r="AF153">
            <v>2963490</v>
          </cell>
          <cell r="AG153">
            <v>1175250</v>
          </cell>
          <cell r="AH153">
            <v>5320</v>
          </cell>
          <cell r="AI153">
            <v>466180</v>
          </cell>
          <cell r="AJ153">
            <v>2868250</v>
          </cell>
          <cell r="AK153">
            <v>0</v>
          </cell>
          <cell r="AL153">
            <v>594060</v>
          </cell>
          <cell r="AM153">
            <v>0</v>
          </cell>
          <cell r="AN153">
            <v>662010</v>
          </cell>
          <cell r="AO153">
            <v>2285330</v>
          </cell>
          <cell r="AP153">
            <v>0</v>
          </cell>
          <cell r="AQ153">
            <v>390091870</v>
          </cell>
          <cell r="AR153">
            <v>5214120</v>
          </cell>
          <cell r="AS153">
            <v>2482840</v>
          </cell>
          <cell r="AT153">
            <v>572400</v>
          </cell>
          <cell r="AU153">
            <v>189760</v>
          </cell>
          <cell r="AV153">
            <v>155510</v>
          </cell>
          <cell r="AW153">
            <v>0</v>
          </cell>
          <cell r="AX153">
            <v>17330</v>
          </cell>
          <cell r="AY153">
            <v>8631960</v>
          </cell>
          <cell r="AZ153">
            <v>6050400</v>
          </cell>
          <cell r="BA153">
            <v>0</v>
          </cell>
          <cell r="BB153">
            <v>0</v>
          </cell>
          <cell r="BC153">
            <v>0</v>
          </cell>
          <cell r="BD153">
            <v>6050400</v>
          </cell>
          <cell r="BE153">
            <v>1640450</v>
          </cell>
          <cell r="BF153">
            <v>836450</v>
          </cell>
          <cell r="BG153">
            <v>147630</v>
          </cell>
          <cell r="BH153">
            <v>15090</v>
          </cell>
          <cell r="BI153">
            <v>162920</v>
          </cell>
          <cell r="BJ153">
            <v>101360</v>
          </cell>
          <cell r="BK153">
            <v>2903900</v>
          </cell>
          <cell r="BL153">
            <v>4944170</v>
          </cell>
          <cell r="BM153">
            <v>1532840</v>
          </cell>
          <cell r="BN153">
            <v>1186000</v>
          </cell>
          <cell r="BO153">
            <v>806090</v>
          </cell>
          <cell r="BP153">
            <v>0</v>
          </cell>
          <cell r="BQ153">
            <v>541190</v>
          </cell>
          <cell r="BR153">
            <v>19166670</v>
          </cell>
          <cell r="BS153">
            <v>2234810</v>
          </cell>
          <cell r="BT153">
            <v>0</v>
          </cell>
          <cell r="BU153">
            <v>0</v>
          </cell>
          <cell r="BV153">
            <v>0</v>
          </cell>
          <cell r="BW153">
            <v>4472770</v>
          </cell>
          <cell r="BX153">
            <v>7687080</v>
          </cell>
          <cell r="BY153">
            <v>705890</v>
          </cell>
          <cell r="BZ153">
            <v>0</v>
          </cell>
          <cell r="CA153">
            <v>3300000</v>
          </cell>
          <cell r="CB153">
            <v>44997100</v>
          </cell>
          <cell r="CC153">
            <v>5085240</v>
          </cell>
          <cell r="CD153">
            <v>5457930</v>
          </cell>
          <cell r="CE153">
            <v>858330</v>
          </cell>
          <cell r="CF153">
            <v>327830</v>
          </cell>
          <cell r="CG153">
            <v>0</v>
          </cell>
          <cell r="CH153">
            <v>0</v>
          </cell>
          <cell r="CI153">
            <v>11729330</v>
          </cell>
          <cell r="CJ153">
            <v>56726430</v>
          </cell>
          <cell r="CK153">
            <v>446818300</v>
          </cell>
          <cell r="CM153">
            <v>25824220</v>
          </cell>
          <cell r="CN153">
            <v>493770</v>
          </cell>
          <cell r="CO153">
            <v>0</v>
          </cell>
          <cell r="CP153">
            <v>0</v>
          </cell>
          <cell r="CQ153">
            <v>0</v>
          </cell>
          <cell r="CR153">
            <v>0</v>
          </cell>
          <cell r="CS153">
            <v>493770</v>
          </cell>
          <cell r="CT153">
            <v>0</v>
          </cell>
          <cell r="CV153">
            <v>0</v>
          </cell>
          <cell r="CW153">
            <v>30510000</v>
          </cell>
          <cell r="CX153">
            <v>5422050</v>
          </cell>
          <cell r="CY153">
            <v>3488640</v>
          </cell>
        </row>
        <row r="154">
          <cell r="A154">
            <v>929</v>
          </cell>
          <cell r="B154">
            <v>143918732</v>
          </cell>
          <cell r="C154">
            <v>8375228</v>
          </cell>
          <cell r="D154">
            <v>11999800</v>
          </cell>
          <cell r="E154">
            <v>1500680</v>
          </cell>
          <cell r="F154">
            <v>6603630</v>
          </cell>
          <cell r="G154">
            <v>0</v>
          </cell>
          <cell r="H154">
            <v>0</v>
          </cell>
          <cell r="I154">
            <v>1207220</v>
          </cell>
          <cell r="J154">
            <v>1632700</v>
          </cell>
          <cell r="K154">
            <v>0</v>
          </cell>
          <cell r="L154">
            <v>0</v>
          </cell>
          <cell r="M154">
            <v>0</v>
          </cell>
          <cell r="N154">
            <v>577840</v>
          </cell>
          <cell r="O154">
            <v>4721980</v>
          </cell>
          <cell r="P154">
            <v>268910</v>
          </cell>
          <cell r="Q154">
            <v>506560</v>
          </cell>
          <cell r="R154">
            <v>1180800</v>
          </cell>
          <cell r="S154">
            <v>0</v>
          </cell>
          <cell r="T154">
            <v>1672830</v>
          </cell>
          <cell r="U154">
            <v>0</v>
          </cell>
          <cell r="V154">
            <v>31640</v>
          </cell>
          <cell r="W154">
            <v>251170</v>
          </cell>
          <cell r="X154">
            <v>0</v>
          </cell>
          <cell r="Y154">
            <v>9670</v>
          </cell>
          <cell r="Z154">
            <v>0</v>
          </cell>
          <cell r="AA154">
            <v>0</v>
          </cell>
          <cell r="AB154">
            <v>0</v>
          </cell>
          <cell r="AC154">
            <v>0</v>
          </cell>
          <cell r="AD154">
            <v>184310</v>
          </cell>
          <cell r="AE154">
            <v>29900</v>
          </cell>
          <cell r="AF154">
            <v>218850</v>
          </cell>
          <cell r="AG154">
            <v>0</v>
          </cell>
          <cell r="AH154">
            <v>15810</v>
          </cell>
          <cell r="AI154">
            <v>55680</v>
          </cell>
          <cell r="AJ154">
            <v>7326940</v>
          </cell>
          <cell r="AK154">
            <v>2437420</v>
          </cell>
          <cell r="AL154">
            <v>259910</v>
          </cell>
          <cell r="AM154">
            <v>0</v>
          </cell>
          <cell r="AN154">
            <v>206950</v>
          </cell>
          <cell r="AO154">
            <v>0</v>
          </cell>
          <cell r="AP154">
            <v>0</v>
          </cell>
          <cell r="AQ154">
            <v>195195160</v>
          </cell>
          <cell r="AR154">
            <v>2797500</v>
          </cell>
          <cell r="AS154">
            <v>754950</v>
          </cell>
          <cell r="AT154">
            <v>2401860</v>
          </cell>
          <cell r="AU154">
            <v>877580</v>
          </cell>
          <cell r="AV154">
            <v>0</v>
          </cell>
          <cell r="AW154">
            <v>0</v>
          </cell>
          <cell r="AX154">
            <v>59570</v>
          </cell>
          <cell r="AY154">
            <v>6891460</v>
          </cell>
          <cell r="AZ154">
            <v>0</v>
          </cell>
          <cell r="BA154">
            <v>0</v>
          </cell>
          <cell r="BB154">
            <v>32240</v>
          </cell>
          <cell r="BC154">
            <v>0</v>
          </cell>
          <cell r="BD154">
            <v>32240</v>
          </cell>
          <cell r="BE154">
            <v>453670</v>
          </cell>
          <cell r="BF154">
            <v>367000</v>
          </cell>
          <cell r="BG154">
            <v>6160</v>
          </cell>
          <cell r="BH154">
            <v>39970</v>
          </cell>
          <cell r="BI154">
            <v>49480</v>
          </cell>
          <cell r="BJ154">
            <v>12380</v>
          </cell>
          <cell r="BK154">
            <v>928660</v>
          </cell>
          <cell r="BL154">
            <v>1583560</v>
          </cell>
          <cell r="BM154">
            <v>1195490</v>
          </cell>
          <cell r="BN154">
            <v>538600</v>
          </cell>
          <cell r="BO154">
            <v>287180</v>
          </cell>
          <cell r="BP154">
            <v>0</v>
          </cell>
          <cell r="BQ154">
            <v>0</v>
          </cell>
          <cell r="BR154">
            <v>12142050</v>
          </cell>
          <cell r="BS154">
            <v>102670</v>
          </cell>
          <cell r="BT154">
            <v>90880</v>
          </cell>
          <cell r="BU154">
            <v>5050</v>
          </cell>
          <cell r="BV154">
            <v>0</v>
          </cell>
          <cell r="BW154">
            <v>2432000</v>
          </cell>
          <cell r="BX154">
            <v>6130300</v>
          </cell>
          <cell r="BY154">
            <v>241000</v>
          </cell>
          <cell r="BZ154">
            <v>1118880</v>
          </cell>
          <cell r="CA154">
            <v>0</v>
          </cell>
          <cell r="CB154">
            <v>21577970</v>
          </cell>
          <cell r="CC154">
            <v>3104510</v>
          </cell>
          <cell r="CD154">
            <v>2457990</v>
          </cell>
          <cell r="CE154">
            <v>4350</v>
          </cell>
          <cell r="CF154">
            <v>233130</v>
          </cell>
          <cell r="CG154">
            <v>0</v>
          </cell>
          <cell r="CH154">
            <v>0</v>
          </cell>
          <cell r="CI154">
            <v>5799980</v>
          </cell>
          <cell r="CJ154">
            <v>27377950</v>
          </cell>
          <cell r="CK154">
            <v>222573110</v>
          </cell>
          <cell r="CM154">
            <v>18130100</v>
          </cell>
          <cell r="CN154">
            <v>310300</v>
          </cell>
          <cell r="CO154">
            <v>375440</v>
          </cell>
          <cell r="CP154">
            <v>0</v>
          </cell>
          <cell r="CQ154">
            <v>0</v>
          </cell>
          <cell r="CR154">
            <v>0</v>
          </cell>
          <cell r="CS154">
            <v>683060</v>
          </cell>
          <cell r="CT154">
            <v>0</v>
          </cell>
          <cell r="CV154">
            <v>0</v>
          </cell>
          <cell r="CW154">
            <v>18866490</v>
          </cell>
          <cell r="CX154">
            <v>4593720</v>
          </cell>
          <cell r="CY154">
            <v>502930</v>
          </cell>
        </row>
        <row r="155">
          <cell r="A155">
            <v>931</v>
          </cell>
          <cell r="B155">
            <v>248983400</v>
          </cell>
          <cell r="C155">
            <v>10042576</v>
          </cell>
          <cell r="D155">
            <v>16456072</v>
          </cell>
          <cell r="E155">
            <v>713857</v>
          </cell>
          <cell r="F155">
            <v>8098734</v>
          </cell>
          <cell r="G155">
            <v>2193000</v>
          </cell>
          <cell r="H155">
            <v>0</v>
          </cell>
          <cell r="I155">
            <v>2057436</v>
          </cell>
          <cell r="J155">
            <v>4593</v>
          </cell>
          <cell r="K155">
            <v>2372040</v>
          </cell>
          <cell r="L155">
            <v>895938</v>
          </cell>
          <cell r="M155">
            <v>1126169</v>
          </cell>
          <cell r="N155">
            <v>214859</v>
          </cell>
          <cell r="O155">
            <v>4586219</v>
          </cell>
          <cell r="P155">
            <v>1462884</v>
          </cell>
          <cell r="Q155">
            <v>445483</v>
          </cell>
          <cell r="R155">
            <v>996155</v>
          </cell>
          <cell r="S155">
            <v>140915</v>
          </cell>
          <cell r="T155">
            <v>18078669</v>
          </cell>
          <cell r="U155">
            <v>197334</v>
          </cell>
          <cell r="V155">
            <v>0</v>
          </cell>
          <cell r="W155">
            <v>135286</v>
          </cell>
          <cell r="X155">
            <v>0</v>
          </cell>
          <cell r="Y155">
            <v>0</v>
          </cell>
          <cell r="Z155">
            <v>65457</v>
          </cell>
          <cell r="AA155">
            <v>830</v>
          </cell>
          <cell r="AB155">
            <v>0</v>
          </cell>
          <cell r="AC155">
            <v>0</v>
          </cell>
          <cell r="AD155">
            <v>428029</v>
          </cell>
          <cell r="AE155">
            <v>126615</v>
          </cell>
          <cell r="AF155">
            <v>195094</v>
          </cell>
          <cell r="AG155">
            <v>105302</v>
          </cell>
          <cell r="AH155">
            <v>8862</v>
          </cell>
          <cell r="AI155">
            <v>0</v>
          </cell>
          <cell r="AJ155">
            <v>6710841</v>
          </cell>
          <cell r="AK155">
            <v>0</v>
          </cell>
          <cell r="AL155">
            <v>0</v>
          </cell>
          <cell r="AM155">
            <v>0</v>
          </cell>
          <cell r="AN155">
            <v>384985</v>
          </cell>
          <cell r="AO155">
            <v>6237539</v>
          </cell>
          <cell r="AP155">
            <v>0</v>
          </cell>
          <cell r="AQ155">
            <v>333465173</v>
          </cell>
          <cell r="AR155">
            <v>5909274</v>
          </cell>
          <cell r="AS155">
            <v>1140084</v>
          </cell>
          <cell r="AT155">
            <v>1791748</v>
          </cell>
          <cell r="AU155">
            <v>301025</v>
          </cell>
          <cell r="AV155">
            <v>364624</v>
          </cell>
          <cell r="AW155">
            <v>0</v>
          </cell>
          <cell r="AX155">
            <v>27732</v>
          </cell>
          <cell r="AY155">
            <v>9534487</v>
          </cell>
          <cell r="AZ155">
            <v>560203</v>
          </cell>
          <cell r="BA155">
            <v>995500</v>
          </cell>
          <cell r="BB155">
            <v>209792</v>
          </cell>
          <cell r="BC155">
            <v>92490</v>
          </cell>
          <cell r="BD155">
            <v>1857985</v>
          </cell>
          <cell r="BE155">
            <v>1217503</v>
          </cell>
          <cell r="BF155">
            <v>1602483</v>
          </cell>
          <cell r="BG155">
            <v>110708</v>
          </cell>
          <cell r="BH155">
            <v>402193</v>
          </cell>
          <cell r="BI155">
            <v>101291</v>
          </cell>
          <cell r="BJ155">
            <v>246846</v>
          </cell>
          <cell r="BK155">
            <v>3681024</v>
          </cell>
          <cell r="BL155">
            <v>3624192</v>
          </cell>
          <cell r="BM155">
            <v>945204</v>
          </cell>
          <cell r="BN155">
            <v>893498</v>
          </cell>
          <cell r="BO155">
            <v>2126805</v>
          </cell>
          <cell r="BP155">
            <v>71888</v>
          </cell>
          <cell r="BQ155">
            <v>2155200</v>
          </cell>
          <cell r="BR155">
            <v>22109920</v>
          </cell>
          <cell r="BS155">
            <v>963531</v>
          </cell>
          <cell r="BT155">
            <v>160757</v>
          </cell>
          <cell r="BU155">
            <v>98425</v>
          </cell>
          <cell r="BV155">
            <v>10476</v>
          </cell>
          <cell r="BW155">
            <v>5169000</v>
          </cell>
          <cell r="BX155">
            <v>8689992</v>
          </cell>
          <cell r="BY155">
            <v>632270</v>
          </cell>
          <cell r="BZ155">
            <v>192874</v>
          </cell>
          <cell r="CA155">
            <v>7482888</v>
          </cell>
          <cell r="CB155">
            <v>48290496</v>
          </cell>
          <cell r="CC155">
            <v>3982141</v>
          </cell>
          <cell r="CD155">
            <v>6847432</v>
          </cell>
          <cell r="CE155">
            <v>0</v>
          </cell>
          <cell r="CF155">
            <v>585394</v>
          </cell>
          <cell r="CG155">
            <v>0</v>
          </cell>
          <cell r="CH155">
            <v>0</v>
          </cell>
          <cell r="CI155">
            <v>11414967</v>
          </cell>
          <cell r="CJ155">
            <v>59705463</v>
          </cell>
          <cell r="CK155">
            <v>393170636</v>
          </cell>
          <cell r="CM155">
            <v>22239000</v>
          </cell>
          <cell r="CN155">
            <v>85300</v>
          </cell>
          <cell r="CO155">
            <v>170500</v>
          </cell>
          <cell r="CP155">
            <v>0</v>
          </cell>
          <cell r="CQ155">
            <v>0</v>
          </cell>
          <cell r="CR155">
            <v>0</v>
          </cell>
          <cell r="CS155">
            <v>267800</v>
          </cell>
          <cell r="CT155">
            <v>0</v>
          </cell>
          <cell r="CV155">
            <v>0</v>
          </cell>
          <cell r="CW155">
            <v>59480000</v>
          </cell>
          <cell r="CX155">
            <v>5377036</v>
          </cell>
          <cell r="CY155">
            <v>2203541</v>
          </cell>
        </row>
        <row r="156">
          <cell r="A156">
            <v>933</v>
          </cell>
          <cell r="B156">
            <v>204637068</v>
          </cell>
          <cell r="C156">
            <v>9204184</v>
          </cell>
          <cell r="D156">
            <v>15622528</v>
          </cell>
          <cell r="E156">
            <v>713856</v>
          </cell>
          <cell r="F156">
            <v>8308418</v>
          </cell>
          <cell r="G156">
            <v>1599000</v>
          </cell>
          <cell r="H156">
            <v>0</v>
          </cell>
          <cell r="I156">
            <v>2036881</v>
          </cell>
          <cell r="J156">
            <v>225607</v>
          </cell>
          <cell r="K156">
            <v>682029</v>
          </cell>
          <cell r="L156">
            <v>682029</v>
          </cell>
          <cell r="M156">
            <v>426567</v>
          </cell>
          <cell r="N156">
            <v>420000</v>
          </cell>
          <cell r="O156">
            <v>4383910</v>
          </cell>
          <cell r="P156">
            <v>1415842</v>
          </cell>
          <cell r="Q156">
            <v>967608</v>
          </cell>
          <cell r="R156">
            <v>1158777</v>
          </cell>
          <cell r="S156">
            <v>171203</v>
          </cell>
          <cell r="T156">
            <v>8565816</v>
          </cell>
          <cell r="U156">
            <v>88109</v>
          </cell>
          <cell r="V156">
            <v>12353</v>
          </cell>
          <cell r="W156">
            <v>0</v>
          </cell>
          <cell r="X156">
            <v>21537</v>
          </cell>
          <cell r="Y156">
            <v>0</v>
          </cell>
          <cell r="Z156">
            <v>833776</v>
          </cell>
          <cell r="AA156">
            <v>0</v>
          </cell>
          <cell r="AB156">
            <v>0</v>
          </cell>
          <cell r="AC156">
            <v>0</v>
          </cell>
          <cell r="AD156">
            <v>265615</v>
          </cell>
          <cell r="AE156">
            <v>291347</v>
          </cell>
          <cell r="AF156">
            <v>52115</v>
          </cell>
          <cell r="AG156">
            <v>0</v>
          </cell>
          <cell r="AH156">
            <v>18500</v>
          </cell>
          <cell r="AI156">
            <v>830731</v>
          </cell>
          <cell r="AJ156">
            <v>985682</v>
          </cell>
          <cell r="AK156">
            <v>0</v>
          </cell>
          <cell r="AL156">
            <v>0</v>
          </cell>
          <cell r="AM156">
            <v>0</v>
          </cell>
          <cell r="AN156">
            <v>0</v>
          </cell>
          <cell r="AO156">
            <v>2811322</v>
          </cell>
          <cell r="AP156">
            <v>0</v>
          </cell>
          <cell r="AQ156">
            <v>267432410</v>
          </cell>
          <cell r="AR156">
            <v>2712177</v>
          </cell>
          <cell r="AS156">
            <v>681945</v>
          </cell>
          <cell r="AT156">
            <v>1112648</v>
          </cell>
          <cell r="AU156">
            <v>38882</v>
          </cell>
          <cell r="AV156">
            <v>0</v>
          </cell>
          <cell r="AW156">
            <v>39423</v>
          </cell>
          <cell r="AX156">
            <v>182526</v>
          </cell>
          <cell r="AY156">
            <v>4767601</v>
          </cell>
          <cell r="AZ156">
            <v>3314908</v>
          </cell>
          <cell r="BA156">
            <v>0</v>
          </cell>
          <cell r="BB156">
            <v>409754</v>
          </cell>
          <cell r="BC156">
            <v>0</v>
          </cell>
          <cell r="BD156">
            <v>3724662</v>
          </cell>
          <cell r="BE156">
            <v>1271995</v>
          </cell>
          <cell r="BF156">
            <v>1536211</v>
          </cell>
          <cell r="BG156">
            <v>5210</v>
          </cell>
          <cell r="BH156">
            <v>464431</v>
          </cell>
          <cell r="BI156">
            <v>91281</v>
          </cell>
          <cell r="BJ156">
            <v>236284</v>
          </cell>
          <cell r="BK156">
            <v>3605412</v>
          </cell>
          <cell r="BL156">
            <v>3295881</v>
          </cell>
          <cell r="BM156">
            <v>2076058</v>
          </cell>
          <cell r="BN156">
            <v>751500</v>
          </cell>
          <cell r="BO156">
            <v>359836</v>
          </cell>
          <cell r="BP156">
            <v>0</v>
          </cell>
          <cell r="BQ156">
            <v>0</v>
          </cell>
          <cell r="BR156">
            <v>16100069</v>
          </cell>
          <cell r="BS156">
            <v>352761</v>
          </cell>
          <cell r="BT156">
            <v>186814</v>
          </cell>
          <cell r="BU156">
            <v>10000</v>
          </cell>
          <cell r="BV156">
            <v>0</v>
          </cell>
          <cell r="BW156">
            <v>2909150</v>
          </cell>
          <cell r="BX156">
            <v>8407950</v>
          </cell>
          <cell r="BY156">
            <v>364595</v>
          </cell>
          <cell r="BZ156">
            <v>681405</v>
          </cell>
          <cell r="CA156">
            <v>25867</v>
          </cell>
          <cell r="CB156">
            <v>31519492</v>
          </cell>
          <cell r="CC156">
            <v>3489334</v>
          </cell>
          <cell r="CD156">
            <v>3696797</v>
          </cell>
          <cell r="CE156">
            <v>2100</v>
          </cell>
          <cell r="CF156">
            <v>513563</v>
          </cell>
          <cell r="CG156">
            <v>0</v>
          </cell>
          <cell r="CH156">
            <v>5347</v>
          </cell>
          <cell r="CI156">
            <v>7707141</v>
          </cell>
          <cell r="CJ156">
            <v>39226633</v>
          </cell>
          <cell r="CK156">
            <v>306659043</v>
          </cell>
          <cell r="CM156">
            <v>7695765</v>
          </cell>
          <cell r="CN156">
            <v>399382</v>
          </cell>
          <cell r="CO156">
            <v>21259</v>
          </cell>
          <cell r="CP156">
            <v>0</v>
          </cell>
          <cell r="CQ156">
            <v>0</v>
          </cell>
          <cell r="CR156">
            <v>0</v>
          </cell>
          <cell r="CS156">
            <v>265148</v>
          </cell>
          <cell r="CT156">
            <v>0</v>
          </cell>
          <cell r="CV156">
            <v>0</v>
          </cell>
          <cell r="CW156">
            <v>34110342</v>
          </cell>
          <cell r="CX156">
            <v>6950254</v>
          </cell>
          <cell r="CY156">
            <v>94093</v>
          </cell>
        </row>
        <row r="157">
          <cell r="A157">
            <v>935</v>
          </cell>
          <cell r="B157">
            <v>299746059</v>
          </cell>
          <cell r="C157">
            <v>13581316</v>
          </cell>
          <cell r="D157">
            <v>20997866</v>
          </cell>
          <cell r="E157">
            <v>0</v>
          </cell>
          <cell r="F157">
            <v>12000170</v>
          </cell>
          <cell r="G157">
            <v>1562500</v>
          </cell>
          <cell r="H157">
            <v>0</v>
          </cell>
          <cell r="I157">
            <v>0</v>
          </cell>
          <cell r="J157">
            <v>0</v>
          </cell>
          <cell r="K157">
            <v>1813152</v>
          </cell>
          <cell r="L157">
            <v>1114180</v>
          </cell>
          <cell r="M157">
            <v>138770</v>
          </cell>
          <cell r="N157">
            <v>103000</v>
          </cell>
          <cell r="O157">
            <v>6160690</v>
          </cell>
          <cell r="P157">
            <v>4596886</v>
          </cell>
          <cell r="Q157">
            <v>1470951</v>
          </cell>
          <cell r="R157">
            <v>3510346</v>
          </cell>
          <cell r="S157">
            <v>3300</v>
          </cell>
          <cell r="T157">
            <v>17102594</v>
          </cell>
          <cell r="U157">
            <v>0</v>
          </cell>
          <cell r="V157">
            <v>74297</v>
          </cell>
          <cell r="W157">
            <v>0</v>
          </cell>
          <cell r="X157">
            <v>0</v>
          </cell>
          <cell r="Y157">
            <v>0</v>
          </cell>
          <cell r="Z157">
            <v>0</v>
          </cell>
          <cell r="AA157">
            <v>0</v>
          </cell>
          <cell r="AB157">
            <v>0</v>
          </cell>
          <cell r="AC157">
            <v>0</v>
          </cell>
          <cell r="AD157">
            <v>533224</v>
          </cell>
          <cell r="AE157">
            <v>145500</v>
          </cell>
          <cell r="AF157">
            <v>200000</v>
          </cell>
          <cell r="AG157">
            <v>80000</v>
          </cell>
          <cell r="AH157">
            <v>10500</v>
          </cell>
          <cell r="AI157">
            <v>138700</v>
          </cell>
          <cell r="AJ157">
            <v>654796</v>
          </cell>
          <cell r="AK157">
            <v>0</v>
          </cell>
          <cell r="AL157">
            <v>0</v>
          </cell>
          <cell r="AM157">
            <v>0</v>
          </cell>
          <cell r="AN157">
            <v>0</v>
          </cell>
          <cell r="AO157">
            <v>0</v>
          </cell>
          <cell r="AP157">
            <v>0</v>
          </cell>
          <cell r="AQ157">
            <v>385738797</v>
          </cell>
          <cell r="AR157">
            <v>7203859</v>
          </cell>
          <cell r="AS157">
            <v>425369</v>
          </cell>
          <cell r="AT157">
            <v>1250133</v>
          </cell>
          <cell r="AU157">
            <v>223700</v>
          </cell>
          <cell r="AV157">
            <v>396800</v>
          </cell>
          <cell r="AW157">
            <v>0</v>
          </cell>
          <cell r="AX157">
            <v>39797</v>
          </cell>
          <cell r="AY157">
            <v>9539658</v>
          </cell>
          <cell r="AZ157">
            <v>4248722</v>
          </cell>
          <cell r="BA157">
            <v>0</v>
          </cell>
          <cell r="BB157">
            <v>0</v>
          </cell>
          <cell r="BC157">
            <v>0</v>
          </cell>
          <cell r="BD157">
            <v>4248722</v>
          </cell>
          <cell r="BE157">
            <v>1412034</v>
          </cell>
          <cell r="BF157">
            <v>452176</v>
          </cell>
          <cell r="BG157">
            <v>192393</v>
          </cell>
          <cell r="BH157">
            <v>0</v>
          </cell>
          <cell r="BI157">
            <v>233250</v>
          </cell>
          <cell r="BJ157">
            <v>138769</v>
          </cell>
          <cell r="BK157">
            <v>2428622</v>
          </cell>
          <cell r="BL157">
            <v>3116097</v>
          </cell>
          <cell r="BM157">
            <v>1031290</v>
          </cell>
          <cell r="BN157">
            <v>930666</v>
          </cell>
          <cell r="BO157">
            <v>361328</v>
          </cell>
          <cell r="BP157">
            <v>180400</v>
          </cell>
          <cell r="BQ157">
            <v>0</v>
          </cell>
          <cell r="BR157">
            <v>18615706</v>
          </cell>
          <cell r="BS157">
            <v>476723</v>
          </cell>
          <cell r="BT157">
            <v>104262</v>
          </cell>
          <cell r="BU157">
            <v>0</v>
          </cell>
          <cell r="BV157">
            <v>221484</v>
          </cell>
          <cell r="BW157">
            <v>5009128</v>
          </cell>
          <cell r="BX157">
            <v>9766501</v>
          </cell>
          <cell r="BY157">
            <v>0</v>
          </cell>
          <cell r="BZ157">
            <v>533924</v>
          </cell>
          <cell r="CA157">
            <v>0</v>
          </cell>
          <cell r="CB157">
            <v>37948805</v>
          </cell>
          <cell r="CC157">
            <v>3364500</v>
          </cell>
          <cell r="CD157">
            <v>6299385</v>
          </cell>
          <cell r="CE157">
            <v>25324</v>
          </cell>
          <cell r="CF157">
            <v>502048</v>
          </cell>
          <cell r="CG157">
            <v>0</v>
          </cell>
          <cell r="CH157">
            <v>0</v>
          </cell>
          <cell r="CI157">
            <v>10191257</v>
          </cell>
          <cell r="CJ157">
            <v>48140062</v>
          </cell>
          <cell r="CK157">
            <v>433878859</v>
          </cell>
          <cell r="CM157">
            <v>27522900</v>
          </cell>
          <cell r="CN157">
            <v>980400</v>
          </cell>
          <cell r="CO157">
            <v>0</v>
          </cell>
          <cell r="CP157">
            <v>0</v>
          </cell>
          <cell r="CQ157">
            <v>175100</v>
          </cell>
          <cell r="CR157">
            <v>0</v>
          </cell>
          <cell r="CS157">
            <v>421000</v>
          </cell>
          <cell r="CT157">
            <v>0</v>
          </cell>
          <cell r="CV157">
            <v>0</v>
          </cell>
          <cell r="CW157">
            <v>41880200</v>
          </cell>
          <cell r="CX157">
            <v>9040934</v>
          </cell>
          <cell r="CY157">
            <v>196702</v>
          </cell>
        </row>
        <row r="158">
          <cell r="A158">
            <v>936</v>
          </cell>
          <cell r="B158">
            <v>428775900</v>
          </cell>
          <cell r="C158">
            <v>15844175</v>
          </cell>
          <cell r="D158">
            <v>19136725</v>
          </cell>
          <cell r="E158">
            <v>0</v>
          </cell>
          <cell r="F158">
            <v>12565434</v>
          </cell>
          <cell r="G158">
            <v>0</v>
          </cell>
          <cell r="H158">
            <v>0</v>
          </cell>
          <cell r="I158">
            <v>3658805</v>
          </cell>
          <cell r="J158">
            <v>0</v>
          </cell>
          <cell r="K158">
            <v>1494480</v>
          </cell>
          <cell r="L158">
            <v>2121660</v>
          </cell>
          <cell r="M158">
            <v>294062</v>
          </cell>
          <cell r="N158">
            <v>2388952</v>
          </cell>
          <cell r="O158">
            <v>18880553</v>
          </cell>
          <cell r="P158">
            <v>4430735</v>
          </cell>
          <cell r="Q158">
            <v>1815720</v>
          </cell>
          <cell r="R158">
            <v>1141822</v>
          </cell>
          <cell r="S158">
            <v>0</v>
          </cell>
          <cell r="T158">
            <v>17900151</v>
          </cell>
          <cell r="U158">
            <v>0</v>
          </cell>
          <cell r="V158">
            <v>0</v>
          </cell>
          <cell r="W158">
            <v>0</v>
          </cell>
          <cell r="X158">
            <v>0</v>
          </cell>
          <cell r="Y158">
            <v>14346</v>
          </cell>
          <cell r="Z158">
            <v>0</v>
          </cell>
          <cell r="AA158">
            <v>0</v>
          </cell>
          <cell r="AB158">
            <v>0</v>
          </cell>
          <cell r="AC158">
            <v>0</v>
          </cell>
          <cell r="AD158">
            <v>889714</v>
          </cell>
          <cell r="AE158">
            <v>399492</v>
          </cell>
          <cell r="AF158">
            <v>606444</v>
          </cell>
          <cell r="AG158">
            <v>371072</v>
          </cell>
          <cell r="AH158">
            <v>15113</v>
          </cell>
          <cell r="AI158">
            <v>559413</v>
          </cell>
          <cell r="AJ158">
            <v>5377993</v>
          </cell>
          <cell r="AK158">
            <v>0</v>
          </cell>
          <cell r="AL158">
            <v>0</v>
          </cell>
          <cell r="AM158">
            <v>0</v>
          </cell>
          <cell r="AN158">
            <v>334353</v>
          </cell>
          <cell r="AO158">
            <v>4496247</v>
          </cell>
          <cell r="AP158">
            <v>0</v>
          </cell>
          <cell r="AQ158">
            <v>543513361</v>
          </cell>
          <cell r="AR158">
            <v>10382791</v>
          </cell>
          <cell r="AS158">
            <v>823955</v>
          </cell>
          <cell r="AT158">
            <v>2780337</v>
          </cell>
          <cell r="AU158">
            <v>358168</v>
          </cell>
          <cell r="AV158">
            <v>0</v>
          </cell>
          <cell r="AW158">
            <v>52951</v>
          </cell>
          <cell r="AX158">
            <v>0</v>
          </cell>
          <cell r="AY158">
            <v>14398202</v>
          </cell>
          <cell r="AZ158">
            <v>5942225</v>
          </cell>
          <cell r="BA158">
            <v>0</v>
          </cell>
          <cell r="BB158">
            <v>236157</v>
          </cell>
          <cell r="BC158">
            <v>0</v>
          </cell>
          <cell r="BD158">
            <v>6178382</v>
          </cell>
          <cell r="BE158">
            <v>2412101</v>
          </cell>
          <cell r="BF158">
            <v>1642770</v>
          </cell>
          <cell r="BG158">
            <v>204617</v>
          </cell>
          <cell r="BH158">
            <v>0</v>
          </cell>
          <cell r="BI158">
            <v>277281</v>
          </cell>
          <cell r="BJ158">
            <v>209360</v>
          </cell>
          <cell r="BK158">
            <v>4746129</v>
          </cell>
          <cell r="BL158">
            <v>5105707</v>
          </cell>
          <cell r="BM158">
            <v>1965119</v>
          </cell>
          <cell r="BN158">
            <v>1942895</v>
          </cell>
          <cell r="BO158">
            <v>2560854</v>
          </cell>
          <cell r="BP158">
            <v>151227</v>
          </cell>
          <cell r="BQ158">
            <v>0</v>
          </cell>
          <cell r="BR158">
            <v>30294536</v>
          </cell>
          <cell r="BS158">
            <v>378940</v>
          </cell>
          <cell r="BT158">
            <v>226805</v>
          </cell>
          <cell r="BU158">
            <v>110167</v>
          </cell>
          <cell r="BV158">
            <v>14500</v>
          </cell>
          <cell r="BW158">
            <v>13803504</v>
          </cell>
          <cell r="BX158">
            <v>8257742</v>
          </cell>
          <cell r="BY158">
            <v>518455</v>
          </cell>
          <cell r="BZ158">
            <v>364328</v>
          </cell>
          <cell r="CA158">
            <v>0</v>
          </cell>
          <cell r="CB158">
            <v>60722956</v>
          </cell>
          <cell r="CC158">
            <v>10176680</v>
          </cell>
          <cell r="CD158">
            <v>7092800</v>
          </cell>
          <cell r="CE158">
            <v>0</v>
          </cell>
          <cell r="CF158">
            <v>1127522</v>
          </cell>
          <cell r="CG158">
            <v>0</v>
          </cell>
          <cell r="CH158">
            <v>0</v>
          </cell>
          <cell r="CI158">
            <v>18397002</v>
          </cell>
          <cell r="CJ158">
            <v>79119958</v>
          </cell>
          <cell r="CK158">
            <v>622633319</v>
          </cell>
          <cell r="CM158">
            <v>31096865</v>
          </cell>
          <cell r="CN158">
            <v>1568740</v>
          </cell>
          <cell r="CO158">
            <v>32750</v>
          </cell>
          <cell r="CP158">
            <v>0</v>
          </cell>
          <cell r="CQ158">
            <v>0</v>
          </cell>
          <cell r="CR158">
            <v>0</v>
          </cell>
          <cell r="CS158">
            <v>2110965</v>
          </cell>
          <cell r="CT158">
            <v>0</v>
          </cell>
          <cell r="CV158">
            <v>0</v>
          </cell>
          <cell r="CW158">
            <v>48908665</v>
          </cell>
          <cell r="CX158">
            <v>8469096</v>
          </cell>
          <cell r="CY158">
            <v>2445181</v>
          </cell>
        </row>
        <row r="159">
          <cell r="A159">
            <v>937</v>
          </cell>
          <cell r="B159">
            <v>222311752</v>
          </cell>
          <cell r="C159">
            <v>9586154</v>
          </cell>
          <cell r="D159">
            <v>17271592</v>
          </cell>
          <cell r="E159">
            <v>0</v>
          </cell>
          <cell r="F159">
            <v>0</v>
          </cell>
          <cell r="G159">
            <v>0</v>
          </cell>
          <cell r="H159">
            <v>500000</v>
          </cell>
          <cell r="I159">
            <v>2249976</v>
          </cell>
          <cell r="J159">
            <v>0</v>
          </cell>
          <cell r="K159">
            <v>110673</v>
          </cell>
          <cell r="L159">
            <v>2548780</v>
          </cell>
          <cell r="M159">
            <v>32504</v>
          </cell>
          <cell r="N159">
            <v>847333</v>
          </cell>
          <cell r="O159">
            <v>5454361</v>
          </cell>
          <cell r="P159">
            <v>3405919</v>
          </cell>
          <cell r="Q159">
            <v>9554</v>
          </cell>
          <cell r="R159">
            <v>593095</v>
          </cell>
          <cell r="S159">
            <v>0</v>
          </cell>
          <cell r="T159">
            <v>11848393</v>
          </cell>
          <cell r="U159">
            <v>0</v>
          </cell>
          <cell r="V159">
            <v>49453</v>
          </cell>
          <cell r="W159">
            <v>0</v>
          </cell>
          <cell r="X159">
            <v>0</v>
          </cell>
          <cell r="Y159">
            <v>0</v>
          </cell>
          <cell r="Z159">
            <v>41208</v>
          </cell>
          <cell r="AA159">
            <v>24999</v>
          </cell>
          <cell r="AB159">
            <v>0</v>
          </cell>
          <cell r="AC159">
            <v>0</v>
          </cell>
          <cell r="AD159">
            <v>378495</v>
          </cell>
          <cell r="AE159">
            <v>98573</v>
          </cell>
          <cell r="AF159">
            <v>862611</v>
          </cell>
          <cell r="AG159">
            <v>263537</v>
          </cell>
          <cell r="AH159">
            <v>50001</v>
          </cell>
          <cell r="AI159">
            <v>737819</v>
          </cell>
          <cell r="AJ159">
            <v>1420210</v>
          </cell>
          <cell r="AK159">
            <v>0</v>
          </cell>
          <cell r="AL159">
            <v>0</v>
          </cell>
          <cell r="AM159">
            <v>0</v>
          </cell>
          <cell r="AN159">
            <v>8224751</v>
          </cell>
          <cell r="AO159">
            <v>6018837</v>
          </cell>
          <cell r="AP159">
            <v>0</v>
          </cell>
          <cell r="AQ159">
            <v>294940580</v>
          </cell>
          <cell r="AR159">
            <v>4450343</v>
          </cell>
          <cell r="AS159">
            <v>2003070</v>
          </cell>
          <cell r="AT159">
            <v>1195936</v>
          </cell>
          <cell r="AU159">
            <v>432285</v>
          </cell>
          <cell r="AV159">
            <v>53007</v>
          </cell>
          <cell r="AW159">
            <v>159093</v>
          </cell>
          <cell r="AX159">
            <v>33990</v>
          </cell>
          <cell r="AY159">
            <v>8327724</v>
          </cell>
          <cell r="AZ159">
            <v>3875380</v>
          </cell>
          <cell r="BA159">
            <v>0</v>
          </cell>
          <cell r="BB159">
            <v>761765</v>
          </cell>
          <cell r="BC159">
            <v>35000</v>
          </cell>
          <cell r="BD159">
            <v>4672145</v>
          </cell>
          <cell r="BE159">
            <v>447448</v>
          </cell>
          <cell r="BF159">
            <v>717610</v>
          </cell>
          <cell r="BG159">
            <v>92577</v>
          </cell>
          <cell r="BH159">
            <v>259741</v>
          </cell>
          <cell r="BI159">
            <v>116053</v>
          </cell>
          <cell r="BJ159">
            <v>140512</v>
          </cell>
          <cell r="BK159">
            <v>1773941</v>
          </cell>
          <cell r="BL159">
            <v>3647868</v>
          </cell>
          <cell r="BM159">
            <v>1707815</v>
          </cell>
          <cell r="BN159">
            <v>936326</v>
          </cell>
          <cell r="BO159">
            <v>959549</v>
          </cell>
          <cell r="BP159">
            <v>234758</v>
          </cell>
          <cell r="BQ159">
            <v>86393</v>
          </cell>
          <cell r="BR159">
            <v>15567790</v>
          </cell>
          <cell r="BS159">
            <v>70000</v>
          </cell>
          <cell r="BT159">
            <v>0</v>
          </cell>
          <cell r="BU159">
            <v>0</v>
          </cell>
          <cell r="BV159">
            <v>0</v>
          </cell>
          <cell r="BW159">
            <v>3903348</v>
          </cell>
          <cell r="BX159">
            <v>6153698</v>
          </cell>
          <cell r="BY159">
            <v>181918</v>
          </cell>
          <cell r="BZ159">
            <v>1333985</v>
          </cell>
          <cell r="CA159">
            <v>61756</v>
          </cell>
          <cell r="CB159">
            <v>34051224</v>
          </cell>
          <cell r="CC159">
            <v>3606240</v>
          </cell>
          <cell r="CD159">
            <v>5546604</v>
          </cell>
          <cell r="CE159">
            <v>711745</v>
          </cell>
          <cell r="CF159">
            <v>441547</v>
          </cell>
          <cell r="CG159">
            <v>0</v>
          </cell>
          <cell r="CH159">
            <v>64756</v>
          </cell>
          <cell r="CI159">
            <v>10370892</v>
          </cell>
          <cell r="CJ159">
            <v>44422116</v>
          </cell>
          <cell r="CK159">
            <v>339362696</v>
          </cell>
          <cell r="CM159">
            <v>16448521</v>
          </cell>
          <cell r="CN159">
            <v>1660098</v>
          </cell>
          <cell r="CO159">
            <v>0</v>
          </cell>
          <cell r="CP159">
            <v>0</v>
          </cell>
          <cell r="CQ159">
            <v>0</v>
          </cell>
          <cell r="CR159">
            <v>0</v>
          </cell>
          <cell r="CS159">
            <v>200000</v>
          </cell>
          <cell r="CT159">
            <v>0</v>
          </cell>
          <cell r="CV159">
            <v>0</v>
          </cell>
          <cell r="CW159">
            <v>39915480</v>
          </cell>
          <cell r="CX159">
            <v>6459068</v>
          </cell>
          <cell r="CY159">
            <v>139157</v>
          </cell>
        </row>
        <row r="160">
          <cell r="A160">
            <v>938</v>
          </cell>
          <cell r="B160">
            <v>318134428</v>
          </cell>
          <cell r="C160">
            <v>11965676</v>
          </cell>
          <cell r="D160">
            <v>17709394</v>
          </cell>
          <cell r="E160">
            <v>0</v>
          </cell>
          <cell r="F160">
            <v>11528000</v>
          </cell>
          <cell r="G160">
            <v>2473000</v>
          </cell>
          <cell r="H160">
            <v>908700</v>
          </cell>
          <cell r="I160">
            <v>3388010</v>
          </cell>
          <cell r="J160">
            <v>1987415</v>
          </cell>
          <cell r="K160">
            <v>0</v>
          </cell>
          <cell r="L160">
            <v>0</v>
          </cell>
          <cell r="M160">
            <v>1870700</v>
          </cell>
          <cell r="N160">
            <v>900400</v>
          </cell>
          <cell r="O160">
            <v>10194300</v>
          </cell>
          <cell r="P160">
            <v>1230129</v>
          </cell>
          <cell r="Q160">
            <v>1017698</v>
          </cell>
          <cell r="R160">
            <v>2873144</v>
          </cell>
          <cell r="S160">
            <v>36700</v>
          </cell>
          <cell r="T160">
            <v>15764469</v>
          </cell>
          <cell r="U160">
            <v>1484557</v>
          </cell>
          <cell r="V160">
            <v>68921</v>
          </cell>
          <cell r="W160">
            <v>80000</v>
          </cell>
          <cell r="X160">
            <v>8988</v>
          </cell>
          <cell r="Y160">
            <v>36202</v>
          </cell>
          <cell r="Z160">
            <v>0</v>
          </cell>
          <cell r="AA160">
            <v>0</v>
          </cell>
          <cell r="AB160">
            <v>0</v>
          </cell>
          <cell r="AC160">
            <v>297100</v>
          </cell>
          <cell r="AD160">
            <v>895709</v>
          </cell>
          <cell r="AE160">
            <v>352480</v>
          </cell>
          <cell r="AF160">
            <v>236900</v>
          </cell>
          <cell r="AG160">
            <v>0</v>
          </cell>
          <cell r="AH160">
            <v>51861</v>
          </cell>
          <cell r="AI160">
            <v>186400</v>
          </cell>
          <cell r="AJ160">
            <v>662782</v>
          </cell>
          <cell r="AK160">
            <v>0</v>
          </cell>
          <cell r="AL160">
            <v>0</v>
          </cell>
          <cell r="AM160">
            <v>0</v>
          </cell>
          <cell r="AN160">
            <v>0</v>
          </cell>
          <cell r="AO160">
            <v>8891747</v>
          </cell>
          <cell r="AP160">
            <v>0</v>
          </cell>
          <cell r="AQ160">
            <v>415235810</v>
          </cell>
          <cell r="AR160">
            <v>6688913</v>
          </cell>
          <cell r="AS160">
            <v>835887</v>
          </cell>
          <cell r="AT160">
            <v>576713</v>
          </cell>
          <cell r="AU160">
            <v>229300</v>
          </cell>
          <cell r="AV160">
            <v>188300</v>
          </cell>
          <cell r="AW160">
            <v>0</v>
          </cell>
          <cell r="AX160">
            <v>8879</v>
          </cell>
          <cell r="AY160">
            <v>8527992</v>
          </cell>
          <cell r="AZ160">
            <v>3591226</v>
          </cell>
          <cell r="BA160">
            <v>0</v>
          </cell>
          <cell r="BB160">
            <v>0</v>
          </cell>
          <cell r="BC160">
            <v>0</v>
          </cell>
          <cell r="BD160">
            <v>3591226</v>
          </cell>
          <cell r="BE160">
            <v>2257652</v>
          </cell>
          <cell r="BF160">
            <v>0</v>
          </cell>
          <cell r="BG160">
            <v>66342</v>
          </cell>
          <cell r="BH160">
            <v>37190</v>
          </cell>
          <cell r="BI160">
            <v>221586</v>
          </cell>
          <cell r="BJ160">
            <v>0</v>
          </cell>
          <cell r="BK160">
            <v>2582770</v>
          </cell>
          <cell r="BL160">
            <v>2716457</v>
          </cell>
          <cell r="BM160">
            <v>1978206</v>
          </cell>
          <cell r="BN160">
            <v>799796</v>
          </cell>
          <cell r="BO160">
            <v>472674</v>
          </cell>
          <cell r="BP160">
            <v>0</v>
          </cell>
          <cell r="BQ160">
            <v>26400</v>
          </cell>
          <cell r="BR160">
            <v>16066809</v>
          </cell>
          <cell r="BS160">
            <v>255896</v>
          </cell>
          <cell r="BT160">
            <v>237846</v>
          </cell>
          <cell r="BU160">
            <v>66868</v>
          </cell>
          <cell r="BV160">
            <v>153193</v>
          </cell>
          <cell r="BW160">
            <v>12063326</v>
          </cell>
          <cell r="BX160">
            <v>0</v>
          </cell>
          <cell r="BY160">
            <v>12604</v>
          </cell>
          <cell r="BZ160">
            <v>0</v>
          </cell>
          <cell r="CA160">
            <v>12131</v>
          </cell>
          <cell r="CB160">
            <v>33497385</v>
          </cell>
          <cell r="CC160">
            <v>4938051</v>
          </cell>
          <cell r="CD160">
            <v>221738</v>
          </cell>
          <cell r="CE160">
            <v>788483</v>
          </cell>
          <cell r="CF160">
            <v>0</v>
          </cell>
          <cell r="CG160">
            <v>493100</v>
          </cell>
          <cell r="CH160">
            <v>1427</v>
          </cell>
          <cell r="CI160">
            <v>6442799</v>
          </cell>
          <cell r="CJ160">
            <v>39940184</v>
          </cell>
          <cell r="CK160">
            <v>455175994</v>
          </cell>
          <cell r="CM160">
            <v>20424500</v>
          </cell>
          <cell r="CN160">
            <v>739000</v>
          </cell>
          <cell r="CO160">
            <v>0</v>
          </cell>
          <cell r="CP160">
            <v>0</v>
          </cell>
          <cell r="CQ160">
            <v>0</v>
          </cell>
          <cell r="CR160">
            <v>0</v>
          </cell>
          <cell r="CS160">
            <v>1577700</v>
          </cell>
          <cell r="CT160">
            <v>0</v>
          </cell>
          <cell r="CV160">
            <v>11629751</v>
          </cell>
          <cell r="CW160">
            <v>92360</v>
          </cell>
          <cell r="CX160">
            <v>0</v>
          </cell>
          <cell r="CY160">
            <v>0</v>
          </cell>
        </row>
        <row r="161">
          <cell r="A161" t="str">
            <v>Grand Total</v>
          </cell>
          <cell r="B161">
            <v>23450788916.200001</v>
          </cell>
          <cell r="C161">
            <v>896018807.53000009</v>
          </cell>
          <cell r="D161">
            <v>1905249867.6399999</v>
          </cell>
          <cell r="E161">
            <v>300529768.23000002</v>
          </cell>
          <cell r="F161">
            <v>841258886.52999997</v>
          </cell>
          <cell r="G161">
            <v>57944180</v>
          </cell>
          <cell r="H161">
            <v>21229512</v>
          </cell>
          <cell r="I161">
            <v>210763039</v>
          </cell>
          <cell r="J161">
            <v>49739778.5</v>
          </cell>
          <cell r="K161">
            <v>83198429</v>
          </cell>
          <cell r="L161">
            <v>79768148</v>
          </cell>
          <cell r="M161">
            <v>50120884.049999997</v>
          </cell>
          <cell r="N161">
            <v>162814022</v>
          </cell>
          <cell r="O161">
            <v>486263223</v>
          </cell>
          <cell r="P161">
            <v>246463646.11000001</v>
          </cell>
          <cell r="Q161">
            <v>91632588</v>
          </cell>
          <cell r="R161">
            <v>115449211</v>
          </cell>
          <cell r="S161">
            <v>14294018</v>
          </cell>
          <cell r="T161">
            <v>922019706.75</v>
          </cell>
          <cell r="U161">
            <v>70704138</v>
          </cell>
          <cell r="V161">
            <v>6297192</v>
          </cell>
          <cell r="W161">
            <v>12860545.5</v>
          </cell>
          <cell r="X161">
            <v>3528630.5</v>
          </cell>
          <cell r="Y161">
            <v>7906517</v>
          </cell>
          <cell r="Z161">
            <v>33930458</v>
          </cell>
          <cell r="AA161">
            <v>3542271</v>
          </cell>
          <cell r="AB161">
            <v>3628470</v>
          </cell>
          <cell r="AC161">
            <v>7115642</v>
          </cell>
          <cell r="AD161">
            <v>52097021</v>
          </cell>
          <cell r="AE161">
            <v>12508536</v>
          </cell>
          <cell r="AF161">
            <v>60491750</v>
          </cell>
          <cell r="AG161">
            <v>16947350</v>
          </cell>
          <cell r="AH161">
            <v>2886677</v>
          </cell>
          <cell r="AI161">
            <v>55087934</v>
          </cell>
          <cell r="AJ161">
            <v>358176167.55000001</v>
          </cell>
          <cell r="AK161">
            <v>153787542</v>
          </cell>
          <cell r="AL161">
            <v>54906041</v>
          </cell>
          <cell r="AM161">
            <v>175399</v>
          </cell>
          <cell r="AN161">
            <v>54637882</v>
          </cell>
          <cell r="AO161">
            <v>344301669</v>
          </cell>
          <cell r="AP161">
            <v>1052250</v>
          </cell>
          <cell r="AQ161">
            <v>31302116714.110001</v>
          </cell>
          <cell r="AR161">
            <v>501409664.44</v>
          </cell>
          <cell r="AS161">
            <v>100048700</v>
          </cell>
          <cell r="AT161">
            <v>180310681</v>
          </cell>
          <cell r="AU161">
            <v>45185778</v>
          </cell>
          <cell r="AV161">
            <v>9543068</v>
          </cell>
          <cell r="AW161">
            <v>8912851</v>
          </cell>
          <cell r="AX161">
            <v>5346993</v>
          </cell>
          <cell r="AY161">
            <v>850757735.44000006</v>
          </cell>
          <cell r="AZ161">
            <v>288698171.44999999</v>
          </cell>
          <cell r="BA161">
            <v>94585051</v>
          </cell>
          <cell r="BB161">
            <v>10410026</v>
          </cell>
          <cell r="BC161">
            <v>761328</v>
          </cell>
          <cell r="BD161">
            <v>394454576.44999999</v>
          </cell>
          <cell r="BE161">
            <v>145926523</v>
          </cell>
          <cell r="BF161">
            <v>68643393</v>
          </cell>
          <cell r="BG161">
            <v>16085548</v>
          </cell>
          <cell r="BH161">
            <v>11524826</v>
          </cell>
          <cell r="BI161">
            <v>17032218</v>
          </cell>
          <cell r="BJ161">
            <v>18693225</v>
          </cell>
          <cell r="BK161">
            <v>277905733</v>
          </cell>
          <cell r="BL161">
            <v>349067418.5</v>
          </cell>
          <cell r="BM161">
            <v>136879612.5</v>
          </cell>
          <cell r="BN161">
            <v>117243988</v>
          </cell>
          <cell r="BO161">
            <v>64792333.969999999</v>
          </cell>
          <cell r="BP161">
            <v>9807470</v>
          </cell>
          <cell r="BQ161">
            <v>45435873</v>
          </cell>
          <cell r="BR161">
            <v>1341061453.4000001</v>
          </cell>
          <cell r="BS161">
            <v>30399357</v>
          </cell>
          <cell r="BT161">
            <v>14484923</v>
          </cell>
          <cell r="BU161">
            <v>5226591</v>
          </cell>
          <cell r="BV161">
            <v>21652449</v>
          </cell>
          <cell r="BW161">
            <v>485237054.94</v>
          </cell>
          <cell r="BX161">
            <v>356446380</v>
          </cell>
          <cell r="BY161">
            <v>19104810</v>
          </cell>
          <cell r="BZ161">
            <v>34350611</v>
          </cell>
          <cell r="CA161">
            <v>31317874</v>
          </cell>
          <cell r="CB161">
            <v>3244564790.79</v>
          </cell>
          <cell r="CC161">
            <v>474781889</v>
          </cell>
          <cell r="CD161">
            <v>557242613.53999996</v>
          </cell>
          <cell r="CE161">
            <v>19494398.399999999</v>
          </cell>
          <cell r="CF161">
            <v>43473862</v>
          </cell>
          <cell r="CG161">
            <v>16713510</v>
          </cell>
          <cell r="CH161">
            <v>2803365</v>
          </cell>
          <cell r="CI161">
            <v>1114509637.9400001</v>
          </cell>
          <cell r="CJ161">
            <v>4359074428.7299995</v>
          </cell>
          <cell r="CK161">
            <v>35661191142.830002</v>
          </cell>
          <cell r="CM161">
            <v>1576454035</v>
          </cell>
          <cell r="CN161">
            <v>86619594</v>
          </cell>
          <cell r="CO161">
            <v>10162851</v>
          </cell>
          <cell r="CP161">
            <v>945022</v>
          </cell>
          <cell r="CQ161">
            <v>2540316</v>
          </cell>
          <cell r="CR161">
            <v>783389</v>
          </cell>
          <cell r="CS161">
            <v>57910221</v>
          </cell>
          <cell r="CT161">
            <v>1172240</v>
          </cell>
          <cell r="CV161">
            <v>16246106</v>
          </cell>
          <cell r="CW161">
            <v>2929472513</v>
          </cell>
          <cell r="CX161">
            <v>496679639</v>
          </cell>
          <cell r="CY161">
            <v>90887842</v>
          </cell>
        </row>
      </sheetData>
      <sheetData sheetId="6">
        <row r="11">
          <cell r="A11">
            <v>201</v>
          </cell>
          <cell r="B11">
            <v>0</v>
          </cell>
          <cell r="C11">
            <v>0</v>
          </cell>
          <cell r="D11">
            <v>0</v>
          </cell>
          <cell r="E11">
            <v>0</v>
          </cell>
          <cell r="F11">
            <v>0</v>
          </cell>
          <cell r="G11">
            <v>0</v>
          </cell>
          <cell r="H11">
            <v>0</v>
          </cell>
          <cell r="I11">
            <v>0</v>
          </cell>
          <cell r="J11">
            <v>0</v>
          </cell>
          <cell r="K11">
            <v>0</v>
          </cell>
          <cell r="L11">
            <v>0</v>
          </cell>
          <cell r="M11">
            <v>0</v>
          </cell>
          <cell r="N11">
            <v>57300</v>
          </cell>
          <cell r="O11">
            <v>0</v>
          </cell>
          <cell r="P11">
            <v>0</v>
          </cell>
          <cell r="Q11">
            <v>0</v>
          </cell>
          <cell r="R11">
            <v>0</v>
          </cell>
          <cell r="V11">
            <v>0</v>
          </cell>
          <cell r="Y11">
            <v>31200</v>
          </cell>
          <cell r="Z11">
            <v>0</v>
          </cell>
          <cell r="AA11">
            <v>0</v>
          </cell>
          <cell r="AB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88500</v>
          </cell>
          <cell r="BV11">
            <v>10500</v>
          </cell>
          <cell r="BW11">
            <v>13500</v>
          </cell>
          <cell r="BX11">
            <v>15400</v>
          </cell>
          <cell r="BY11">
            <v>0</v>
          </cell>
          <cell r="BZ11">
            <v>6600</v>
          </cell>
          <cell r="CM11">
            <v>0</v>
          </cell>
          <cell r="CO11">
            <v>0</v>
          </cell>
          <cell r="CP11">
            <v>0</v>
          </cell>
          <cell r="CQ11">
            <v>0</v>
          </cell>
          <cell r="CR11">
            <v>0</v>
          </cell>
          <cell r="CS11">
            <v>0</v>
          </cell>
          <cell r="CT11">
            <v>0</v>
          </cell>
          <cell r="CV11">
            <v>0</v>
          </cell>
          <cell r="CW11">
            <v>0</v>
          </cell>
        </row>
        <row r="12">
          <cell r="A12">
            <v>202</v>
          </cell>
          <cell r="B12">
            <v>44350676</v>
          </cell>
          <cell r="C12">
            <v>944638</v>
          </cell>
          <cell r="D12">
            <v>3767946</v>
          </cell>
          <cell r="E12">
            <v>1599227</v>
          </cell>
          <cell r="F12">
            <v>1270375</v>
          </cell>
          <cell r="G12">
            <v>445294</v>
          </cell>
          <cell r="H12">
            <v>0</v>
          </cell>
          <cell r="I12">
            <v>1117783</v>
          </cell>
          <cell r="J12">
            <v>593988</v>
          </cell>
          <cell r="K12">
            <v>150047</v>
          </cell>
          <cell r="L12">
            <v>495885</v>
          </cell>
          <cell r="M12">
            <v>130835</v>
          </cell>
          <cell r="N12">
            <v>615660</v>
          </cell>
          <cell r="O12">
            <v>947176</v>
          </cell>
          <cell r="P12">
            <v>506843</v>
          </cell>
          <cell r="Q12">
            <v>189038</v>
          </cell>
          <cell r="R12">
            <v>228670</v>
          </cell>
          <cell r="V12">
            <v>20000</v>
          </cell>
          <cell r="Y12">
            <v>0</v>
          </cell>
          <cell r="Z12">
            <v>0</v>
          </cell>
          <cell r="AA12">
            <v>0</v>
          </cell>
          <cell r="AB12">
            <v>0</v>
          </cell>
          <cell r="AD12">
            <v>61740</v>
          </cell>
          <cell r="AE12">
            <v>0</v>
          </cell>
          <cell r="AF12">
            <v>16896</v>
          </cell>
          <cell r="AG12">
            <v>0</v>
          </cell>
          <cell r="AH12">
            <v>15000</v>
          </cell>
          <cell r="AI12">
            <v>34999</v>
          </cell>
          <cell r="AJ12">
            <v>1269264</v>
          </cell>
          <cell r="AK12">
            <v>74449</v>
          </cell>
          <cell r="AL12">
            <v>0</v>
          </cell>
          <cell r="AM12">
            <v>0</v>
          </cell>
          <cell r="AN12">
            <v>124893</v>
          </cell>
          <cell r="AO12">
            <v>416606</v>
          </cell>
          <cell r="AP12">
            <v>0</v>
          </cell>
          <cell r="AQ12">
            <v>59387928</v>
          </cell>
          <cell r="BV12">
            <v>0</v>
          </cell>
          <cell r="BW12">
            <v>721558</v>
          </cell>
          <cell r="BX12">
            <v>11616</v>
          </cell>
          <cell r="BY12">
            <v>19081</v>
          </cell>
          <cell r="BZ12">
            <v>0</v>
          </cell>
          <cell r="CM12">
            <v>12401624</v>
          </cell>
          <cell r="CO12">
            <v>356846</v>
          </cell>
          <cell r="CP12">
            <v>0</v>
          </cell>
          <cell r="CQ12">
            <v>0</v>
          </cell>
          <cell r="CR12">
            <v>0</v>
          </cell>
          <cell r="CS12">
            <v>0</v>
          </cell>
          <cell r="CT12">
            <v>0</v>
          </cell>
          <cell r="CV12">
            <v>0</v>
          </cell>
          <cell r="CW12">
            <v>433879</v>
          </cell>
        </row>
        <row r="13">
          <cell r="A13">
            <v>203</v>
          </cell>
          <cell r="B13">
            <v>64457340</v>
          </cell>
          <cell r="C13">
            <v>1412278.38</v>
          </cell>
          <cell r="D13">
            <v>6955847</v>
          </cell>
          <cell r="E13">
            <v>2476734</v>
          </cell>
          <cell r="F13">
            <v>2898226</v>
          </cell>
          <cell r="G13">
            <v>0</v>
          </cell>
          <cell r="H13">
            <v>0</v>
          </cell>
          <cell r="I13">
            <v>490676</v>
          </cell>
          <cell r="J13">
            <v>0</v>
          </cell>
          <cell r="K13">
            <v>0</v>
          </cell>
          <cell r="L13">
            <v>0</v>
          </cell>
          <cell r="M13">
            <v>0</v>
          </cell>
          <cell r="N13">
            <v>268595</v>
          </cell>
          <cell r="O13">
            <v>0</v>
          </cell>
          <cell r="P13">
            <v>2507792</v>
          </cell>
          <cell r="Q13">
            <v>968152</v>
          </cell>
          <cell r="R13">
            <v>0</v>
          </cell>
          <cell r="V13">
            <v>0</v>
          </cell>
          <cell r="Y13">
            <v>0</v>
          </cell>
          <cell r="Z13">
            <v>0</v>
          </cell>
          <cell r="AA13">
            <v>0</v>
          </cell>
          <cell r="AB13">
            <v>0</v>
          </cell>
          <cell r="AD13">
            <v>139733</v>
          </cell>
          <cell r="AE13">
            <v>23795</v>
          </cell>
          <cell r="AF13">
            <v>199241</v>
          </cell>
          <cell r="AG13">
            <v>115574</v>
          </cell>
          <cell r="AH13">
            <v>9546</v>
          </cell>
          <cell r="AI13">
            <v>33250</v>
          </cell>
          <cell r="AJ13">
            <v>244365</v>
          </cell>
          <cell r="AK13">
            <v>280618</v>
          </cell>
          <cell r="AL13">
            <v>86741</v>
          </cell>
          <cell r="AM13">
            <v>0</v>
          </cell>
          <cell r="AN13">
            <v>0</v>
          </cell>
          <cell r="AO13">
            <v>500000</v>
          </cell>
          <cell r="AP13">
            <v>0</v>
          </cell>
          <cell r="AQ13">
            <v>84068503.379999995</v>
          </cell>
          <cell r="BV13">
            <v>462008</v>
          </cell>
          <cell r="BW13">
            <v>82545</v>
          </cell>
          <cell r="BX13">
            <v>119770</v>
          </cell>
          <cell r="BY13">
            <v>0</v>
          </cell>
          <cell r="BZ13">
            <v>0</v>
          </cell>
          <cell r="CM13">
            <v>12718870</v>
          </cell>
          <cell r="CO13">
            <v>0</v>
          </cell>
          <cell r="CP13">
            <v>0</v>
          </cell>
          <cell r="CQ13">
            <v>0</v>
          </cell>
          <cell r="CR13">
            <v>0</v>
          </cell>
          <cell r="CS13">
            <v>0</v>
          </cell>
          <cell r="CT13">
            <v>0</v>
          </cell>
          <cell r="CV13">
            <v>0</v>
          </cell>
          <cell r="CW13">
            <v>5622480</v>
          </cell>
        </row>
        <row r="14">
          <cell r="A14">
            <v>204</v>
          </cell>
          <cell r="B14">
            <v>33837178</v>
          </cell>
          <cell r="C14">
            <v>914765</v>
          </cell>
          <cell r="D14">
            <v>5133841</v>
          </cell>
          <cell r="E14">
            <v>1960936</v>
          </cell>
          <cell r="F14">
            <v>1436105</v>
          </cell>
          <cell r="G14">
            <v>0</v>
          </cell>
          <cell r="H14">
            <v>273691</v>
          </cell>
          <cell r="I14">
            <v>0</v>
          </cell>
          <cell r="J14">
            <v>0</v>
          </cell>
          <cell r="K14">
            <v>0</v>
          </cell>
          <cell r="L14">
            <v>0</v>
          </cell>
          <cell r="M14">
            <v>60000</v>
          </cell>
          <cell r="N14">
            <v>0</v>
          </cell>
          <cell r="O14">
            <v>0</v>
          </cell>
          <cell r="P14">
            <v>1645085</v>
          </cell>
          <cell r="Q14">
            <v>0</v>
          </cell>
          <cell r="R14">
            <v>786118</v>
          </cell>
          <cell r="V14">
            <v>34816</v>
          </cell>
          <cell r="Y14">
            <v>0</v>
          </cell>
          <cell r="Z14">
            <v>0</v>
          </cell>
          <cell r="AA14">
            <v>2101</v>
          </cell>
          <cell r="AB14">
            <v>0</v>
          </cell>
          <cell r="AD14">
            <v>122986</v>
          </cell>
          <cell r="AE14">
            <v>18803</v>
          </cell>
          <cell r="AF14">
            <v>45625</v>
          </cell>
          <cell r="AG14">
            <v>0</v>
          </cell>
          <cell r="AH14">
            <v>13854</v>
          </cell>
          <cell r="AI14">
            <v>233660</v>
          </cell>
          <cell r="AJ14">
            <v>817240</v>
          </cell>
          <cell r="AK14">
            <v>1179626</v>
          </cell>
          <cell r="AL14">
            <v>103207</v>
          </cell>
          <cell r="AM14">
            <v>0</v>
          </cell>
          <cell r="AN14">
            <v>4049</v>
          </cell>
          <cell r="AO14">
            <v>427418</v>
          </cell>
          <cell r="AP14">
            <v>0</v>
          </cell>
          <cell r="AQ14">
            <v>49051104</v>
          </cell>
          <cell r="BV14">
            <v>52377</v>
          </cell>
          <cell r="BW14">
            <v>0</v>
          </cell>
          <cell r="BX14">
            <v>0</v>
          </cell>
          <cell r="BY14">
            <v>0</v>
          </cell>
          <cell r="BZ14">
            <v>0</v>
          </cell>
          <cell r="CM14">
            <v>2508183</v>
          </cell>
          <cell r="CO14">
            <v>0</v>
          </cell>
          <cell r="CP14">
            <v>0</v>
          </cell>
          <cell r="CQ14">
            <v>0</v>
          </cell>
          <cell r="CR14">
            <v>0</v>
          </cell>
          <cell r="CS14">
            <v>0</v>
          </cell>
          <cell r="CT14">
            <v>0</v>
          </cell>
          <cell r="CV14">
            <v>0</v>
          </cell>
          <cell r="CW14">
            <v>2642444</v>
          </cell>
        </row>
        <row r="15">
          <cell r="A15">
            <v>205</v>
          </cell>
          <cell r="B15">
            <v>30155901</v>
          </cell>
          <cell r="C15">
            <v>897000</v>
          </cell>
          <cell r="D15">
            <v>3422509</v>
          </cell>
          <cell r="E15">
            <v>969391</v>
          </cell>
          <cell r="F15">
            <v>1384585</v>
          </cell>
          <cell r="G15">
            <v>426354</v>
          </cell>
          <cell r="H15">
            <v>121859</v>
          </cell>
          <cell r="I15">
            <v>201113</v>
          </cell>
          <cell r="J15">
            <v>32243</v>
          </cell>
          <cell r="K15">
            <v>0</v>
          </cell>
          <cell r="L15">
            <v>0</v>
          </cell>
          <cell r="M15">
            <v>75073</v>
          </cell>
          <cell r="N15">
            <v>624575</v>
          </cell>
          <cell r="O15">
            <v>0</v>
          </cell>
          <cell r="P15">
            <v>2381267</v>
          </cell>
          <cell r="Q15">
            <v>13426</v>
          </cell>
          <cell r="R15">
            <v>0</v>
          </cell>
          <cell r="V15">
            <v>15944</v>
          </cell>
          <cell r="Y15">
            <v>0</v>
          </cell>
          <cell r="Z15">
            <v>0</v>
          </cell>
          <cell r="AA15">
            <v>0</v>
          </cell>
          <cell r="AB15">
            <v>0</v>
          </cell>
          <cell r="AD15">
            <v>73305</v>
          </cell>
          <cell r="AE15">
            <v>5700</v>
          </cell>
          <cell r="AF15">
            <v>33462</v>
          </cell>
          <cell r="AG15">
            <v>0</v>
          </cell>
          <cell r="AH15">
            <v>9000</v>
          </cell>
          <cell r="AI15">
            <v>87012</v>
          </cell>
          <cell r="AJ15">
            <v>1251025</v>
          </cell>
          <cell r="AK15">
            <v>143500</v>
          </cell>
          <cell r="AL15">
            <v>299132</v>
          </cell>
          <cell r="AM15">
            <v>0</v>
          </cell>
          <cell r="AN15">
            <v>94360</v>
          </cell>
          <cell r="AO15">
            <v>601837</v>
          </cell>
          <cell r="AP15">
            <v>0</v>
          </cell>
          <cell r="AQ15">
            <v>43319573</v>
          </cell>
          <cell r="BV15">
            <v>169432</v>
          </cell>
          <cell r="BW15">
            <v>0</v>
          </cell>
          <cell r="BX15">
            <v>0</v>
          </cell>
          <cell r="BY15">
            <v>0</v>
          </cell>
          <cell r="BZ15">
            <v>0</v>
          </cell>
          <cell r="CM15">
            <v>6648664</v>
          </cell>
          <cell r="CO15">
            <v>0</v>
          </cell>
          <cell r="CP15">
            <v>0</v>
          </cell>
          <cell r="CQ15">
            <v>0</v>
          </cell>
          <cell r="CR15">
            <v>0</v>
          </cell>
          <cell r="CS15">
            <v>0</v>
          </cell>
          <cell r="CT15">
            <v>0</v>
          </cell>
          <cell r="CV15">
            <v>0</v>
          </cell>
          <cell r="CW15">
            <v>1513751</v>
          </cell>
        </row>
        <row r="16">
          <cell r="A16">
            <v>206</v>
          </cell>
          <cell r="B16">
            <v>35748124</v>
          </cell>
          <cell r="C16">
            <v>934087</v>
          </cell>
          <cell r="D16">
            <v>4214872</v>
          </cell>
          <cell r="E16">
            <v>1013177</v>
          </cell>
          <cell r="F16">
            <v>0</v>
          </cell>
          <cell r="G16">
            <v>0</v>
          </cell>
          <cell r="H16">
            <v>120000</v>
          </cell>
          <cell r="I16">
            <v>583742</v>
          </cell>
          <cell r="J16">
            <v>64405</v>
          </cell>
          <cell r="K16">
            <v>0</v>
          </cell>
          <cell r="L16">
            <v>0</v>
          </cell>
          <cell r="M16">
            <v>19514</v>
          </cell>
          <cell r="N16">
            <v>1247007</v>
          </cell>
          <cell r="O16">
            <v>0</v>
          </cell>
          <cell r="P16">
            <v>1697245</v>
          </cell>
          <cell r="Q16">
            <v>29089</v>
          </cell>
          <cell r="R16">
            <v>66901</v>
          </cell>
          <cell r="V16">
            <v>18453</v>
          </cell>
          <cell r="Y16">
            <v>0</v>
          </cell>
          <cell r="Z16">
            <v>0</v>
          </cell>
          <cell r="AA16">
            <v>0</v>
          </cell>
          <cell r="AB16">
            <v>0</v>
          </cell>
          <cell r="AD16">
            <v>135439</v>
          </cell>
          <cell r="AE16">
            <v>26750</v>
          </cell>
          <cell r="AF16">
            <v>0</v>
          </cell>
          <cell r="AG16">
            <v>2334</v>
          </cell>
          <cell r="AH16">
            <v>5691</v>
          </cell>
          <cell r="AI16">
            <v>51314</v>
          </cell>
          <cell r="AJ16">
            <v>611753.48</v>
          </cell>
          <cell r="AK16">
            <v>0</v>
          </cell>
          <cell r="AL16">
            <v>1052529.47</v>
          </cell>
          <cell r="AM16">
            <v>0</v>
          </cell>
          <cell r="AN16">
            <v>1472434</v>
          </cell>
          <cell r="AO16">
            <v>490249.77</v>
          </cell>
          <cell r="AP16">
            <v>0</v>
          </cell>
          <cell r="AQ16">
            <v>49605110.719999999</v>
          </cell>
          <cell r="BV16">
            <v>30</v>
          </cell>
          <cell r="BW16">
            <v>620534</v>
          </cell>
          <cell r="BX16">
            <v>0</v>
          </cell>
          <cell r="BY16">
            <v>0</v>
          </cell>
          <cell r="BZ16">
            <v>0</v>
          </cell>
          <cell r="CM16">
            <v>1514742</v>
          </cell>
          <cell r="CO16">
            <v>0</v>
          </cell>
          <cell r="CP16">
            <v>0</v>
          </cell>
          <cell r="CQ16">
            <v>0</v>
          </cell>
          <cell r="CR16">
            <v>0</v>
          </cell>
          <cell r="CS16">
            <v>0</v>
          </cell>
          <cell r="CT16">
            <v>0</v>
          </cell>
          <cell r="CV16">
            <v>0</v>
          </cell>
          <cell r="CW16">
            <v>1512000</v>
          </cell>
        </row>
        <row r="17">
          <cell r="A17">
            <v>207</v>
          </cell>
          <cell r="B17">
            <v>16910390</v>
          </cell>
          <cell r="C17">
            <v>399360</v>
          </cell>
          <cell r="D17">
            <v>1818080</v>
          </cell>
          <cell r="E17">
            <v>394260</v>
          </cell>
          <cell r="F17">
            <v>625989</v>
          </cell>
          <cell r="G17">
            <v>172000</v>
          </cell>
          <cell r="H17">
            <v>0</v>
          </cell>
          <cell r="I17">
            <v>22991</v>
          </cell>
          <cell r="J17">
            <v>130</v>
          </cell>
          <cell r="K17">
            <v>0</v>
          </cell>
          <cell r="L17">
            <v>0</v>
          </cell>
          <cell r="M17">
            <v>92396</v>
          </cell>
          <cell r="N17">
            <v>49754</v>
          </cell>
          <cell r="O17">
            <v>0</v>
          </cell>
          <cell r="P17">
            <v>1015133</v>
          </cell>
          <cell r="Q17">
            <v>39902</v>
          </cell>
          <cell r="R17">
            <v>7578</v>
          </cell>
          <cell r="V17">
            <v>98</v>
          </cell>
          <cell r="Y17">
            <v>0</v>
          </cell>
          <cell r="Z17">
            <v>0</v>
          </cell>
          <cell r="AA17">
            <v>0</v>
          </cell>
          <cell r="AB17">
            <v>0</v>
          </cell>
          <cell r="AD17">
            <v>0</v>
          </cell>
          <cell r="AE17">
            <v>0</v>
          </cell>
          <cell r="AF17">
            <v>71540</v>
          </cell>
          <cell r="AG17">
            <v>22606</v>
          </cell>
          <cell r="AH17">
            <v>1100</v>
          </cell>
          <cell r="AI17">
            <v>0</v>
          </cell>
          <cell r="AJ17">
            <v>767121</v>
          </cell>
          <cell r="AK17">
            <v>6576</v>
          </cell>
          <cell r="AL17">
            <v>573272</v>
          </cell>
          <cell r="AM17">
            <v>0</v>
          </cell>
          <cell r="AN17">
            <v>0</v>
          </cell>
          <cell r="AO17">
            <v>659266</v>
          </cell>
          <cell r="AP17">
            <v>0</v>
          </cell>
          <cell r="AQ17">
            <v>23649542</v>
          </cell>
          <cell r="BV17">
            <v>730</v>
          </cell>
          <cell r="BW17">
            <v>27157</v>
          </cell>
          <cell r="BX17">
            <v>0</v>
          </cell>
          <cell r="BY17">
            <v>6677</v>
          </cell>
          <cell r="BZ17">
            <v>0</v>
          </cell>
          <cell r="CM17">
            <v>2670322</v>
          </cell>
          <cell r="CO17">
            <v>0</v>
          </cell>
          <cell r="CP17">
            <v>0</v>
          </cell>
          <cell r="CQ17">
            <v>0</v>
          </cell>
          <cell r="CR17">
            <v>0</v>
          </cell>
          <cell r="CS17">
            <v>0</v>
          </cell>
          <cell r="CT17">
            <v>0</v>
          </cell>
          <cell r="CV17">
            <v>0</v>
          </cell>
          <cell r="CW17">
            <v>139260</v>
          </cell>
        </row>
        <row r="18">
          <cell r="A18">
            <v>208</v>
          </cell>
          <cell r="B18">
            <v>36093625</v>
          </cell>
          <cell r="C18">
            <v>1033299</v>
          </cell>
          <cell r="D18">
            <v>3006454</v>
          </cell>
          <cell r="E18">
            <v>1008053</v>
          </cell>
          <cell r="F18">
            <v>1571305</v>
          </cell>
          <cell r="G18">
            <v>598500</v>
          </cell>
          <cell r="H18">
            <v>0</v>
          </cell>
          <cell r="I18">
            <v>0</v>
          </cell>
          <cell r="J18">
            <v>60050</v>
          </cell>
          <cell r="K18">
            <v>0</v>
          </cell>
          <cell r="L18">
            <v>0</v>
          </cell>
          <cell r="M18">
            <v>89413</v>
          </cell>
          <cell r="N18">
            <v>0</v>
          </cell>
          <cell r="O18">
            <v>0</v>
          </cell>
          <cell r="P18">
            <v>1196438</v>
          </cell>
          <cell r="Q18">
            <v>36637</v>
          </cell>
          <cell r="R18">
            <v>0</v>
          </cell>
          <cell r="V18">
            <v>0</v>
          </cell>
          <cell r="Y18">
            <v>0</v>
          </cell>
          <cell r="Z18">
            <v>0</v>
          </cell>
          <cell r="AA18">
            <v>0</v>
          </cell>
          <cell r="AB18">
            <v>0</v>
          </cell>
          <cell r="AD18">
            <v>57851</v>
          </cell>
          <cell r="AE18">
            <v>0</v>
          </cell>
          <cell r="AF18">
            <v>135000</v>
          </cell>
          <cell r="AG18">
            <v>0</v>
          </cell>
          <cell r="AH18">
            <v>0</v>
          </cell>
          <cell r="AI18">
            <v>135000</v>
          </cell>
          <cell r="AJ18">
            <v>1428501</v>
          </cell>
          <cell r="AK18">
            <v>0</v>
          </cell>
          <cell r="AL18">
            <v>518677</v>
          </cell>
          <cell r="AM18">
            <v>0</v>
          </cell>
          <cell r="AN18">
            <v>0</v>
          </cell>
          <cell r="AO18">
            <v>196500</v>
          </cell>
          <cell r="AP18">
            <v>0</v>
          </cell>
          <cell r="AQ18">
            <v>47165303</v>
          </cell>
          <cell r="BV18">
            <v>0</v>
          </cell>
          <cell r="BW18">
            <v>0</v>
          </cell>
          <cell r="BX18">
            <v>0</v>
          </cell>
          <cell r="BY18">
            <v>0</v>
          </cell>
          <cell r="BZ18">
            <v>0</v>
          </cell>
          <cell r="CM18">
            <v>0</v>
          </cell>
          <cell r="CO18">
            <v>0</v>
          </cell>
          <cell r="CP18">
            <v>0</v>
          </cell>
          <cell r="CQ18">
            <v>0</v>
          </cell>
          <cell r="CR18">
            <v>0</v>
          </cell>
          <cell r="CS18">
            <v>0</v>
          </cell>
          <cell r="CT18">
            <v>0</v>
          </cell>
          <cell r="CV18">
            <v>0</v>
          </cell>
          <cell r="CW18">
            <v>3289000</v>
          </cell>
        </row>
        <row r="19">
          <cell r="A19">
            <v>209</v>
          </cell>
          <cell r="B19">
            <v>49481391</v>
          </cell>
          <cell r="C19">
            <v>1304475</v>
          </cell>
          <cell r="D19">
            <v>3928363</v>
          </cell>
          <cell r="E19">
            <v>1816986</v>
          </cell>
          <cell r="F19">
            <v>2442344</v>
          </cell>
          <cell r="G19">
            <v>0</v>
          </cell>
          <cell r="H19">
            <v>0</v>
          </cell>
          <cell r="I19">
            <v>178526</v>
          </cell>
          <cell r="J19">
            <v>0</v>
          </cell>
          <cell r="K19">
            <v>353623</v>
          </cell>
          <cell r="L19">
            <v>0</v>
          </cell>
          <cell r="M19">
            <v>119244</v>
          </cell>
          <cell r="N19">
            <v>593797</v>
          </cell>
          <cell r="O19">
            <v>0</v>
          </cell>
          <cell r="P19">
            <v>2517376</v>
          </cell>
          <cell r="Q19">
            <v>122638</v>
          </cell>
          <cell r="R19">
            <v>275716</v>
          </cell>
          <cell r="V19">
            <v>17044</v>
          </cell>
          <cell r="Y19">
            <v>0</v>
          </cell>
          <cell r="Z19">
            <v>0</v>
          </cell>
          <cell r="AA19">
            <v>0</v>
          </cell>
          <cell r="AB19">
            <v>0</v>
          </cell>
          <cell r="AD19">
            <v>110106</v>
          </cell>
          <cell r="AE19">
            <v>25242</v>
          </cell>
          <cell r="AF19">
            <v>178104</v>
          </cell>
          <cell r="AG19">
            <v>40127</v>
          </cell>
          <cell r="AH19">
            <v>12273</v>
          </cell>
          <cell r="AI19">
            <v>138337</v>
          </cell>
          <cell r="AJ19">
            <v>564665</v>
          </cell>
          <cell r="AK19">
            <v>0</v>
          </cell>
          <cell r="AL19">
            <v>343107</v>
          </cell>
          <cell r="AM19">
            <v>0</v>
          </cell>
          <cell r="AN19">
            <v>115155</v>
          </cell>
          <cell r="AO19">
            <v>1493615</v>
          </cell>
          <cell r="AP19">
            <v>0</v>
          </cell>
          <cell r="AQ19">
            <v>66172254</v>
          </cell>
          <cell r="BV19">
            <v>257181</v>
          </cell>
          <cell r="BW19">
            <v>170602</v>
          </cell>
          <cell r="BX19">
            <v>91772</v>
          </cell>
          <cell r="BY19">
            <v>201629</v>
          </cell>
          <cell r="BZ19">
            <v>53000</v>
          </cell>
          <cell r="CM19">
            <v>6638256</v>
          </cell>
          <cell r="CO19">
            <v>21286</v>
          </cell>
          <cell r="CP19">
            <v>0</v>
          </cell>
          <cell r="CQ19">
            <v>0</v>
          </cell>
          <cell r="CR19">
            <v>0</v>
          </cell>
          <cell r="CS19">
            <v>0</v>
          </cell>
          <cell r="CT19">
            <v>0</v>
          </cell>
          <cell r="CV19">
            <v>0</v>
          </cell>
          <cell r="CW19">
            <v>1731439</v>
          </cell>
        </row>
        <row r="20">
          <cell r="A20">
            <v>210</v>
          </cell>
          <cell r="B20">
            <v>47246165</v>
          </cell>
          <cell r="C20">
            <v>1271237</v>
          </cell>
          <cell r="D20">
            <v>6662429</v>
          </cell>
          <cell r="E20">
            <v>1791277</v>
          </cell>
          <cell r="F20">
            <v>2027036</v>
          </cell>
          <cell r="G20">
            <v>0</v>
          </cell>
          <cell r="H20">
            <v>96900</v>
          </cell>
          <cell r="I20">
            <v>227000</v>
          </cell>
          <cell r="J20">
            <v>50000</v>
          </cell>
          <cell r="K20">
            <v>50000</v>
          </cell>
          <cell r="L20">
            <v>100000</v>
          </cell>
          <cell r="M20">
            <v>128980</v>
          </cell>
          <cell r="N20">
            <v>400000</v>
          </cell>
          <cell r="O20">
            <v>725000</v>
          </cell>
          <cell r="P20">
            <v>1500786</v>
          </cell>
          <cell r="Q20">
            <v>947550</v>
          </cell>
          <cell r="R20">
            <v>470303</v>
          </cell>
          <cell r="V20">
            <v>29019</v>
          </cell>
          <cell r="Y20">
            <v>0</v>
          </cell>
          <cell r="Z20">
            <v>0</v>
          </cell>
          <cell r="AA20">
            <v>0</v>
          </cell>
          <cell r="AB20">
            <v>0</v>
          </cell>
          <cell r="AD20">
            <v>123920</v>
          </cell>
          <cell r="AE20">
            <v>25000</v>
          </cell>
          <cell r="AF20">
            <v>80000</v>
          </cell>
          <cell r="AG20">
            <v>0</v>
          </cell>
          <cell r="AH20">
            <v>12250</v>
          </cell>
          <cell r="AI20">
            <v>174068</v>
          </cell>
          <cell r="AJ20">
            <v>563044</v>
          </cell>
          <cell r="AK20">
            <v>0</v>
          </cell>
          <cell r="AL20">
            <v>592436</v>
          </cell>
          <cell r="AM20">
            <v>0</v>
          </cell>
          <cell r="AN20">
            <v>106066</v>
          </cell>
          <cell r="AO20">
            <v>300452</v>
          </cell>
          <cell r="AP20">
            <v>0</v>
          </cell>
          <cell r="AQ20">
            <v>65700918</v>
          </cell>
          <cell r="BV20">
            <v>153811</v>
          </cell>
          <cell r="BW20">
            <v>111960</v>
          </cell>
          <cell r="BX20">
            <v>156603</v>
          </cell>
          <cell r="BY20">
            <v>0</v>
          </cell>
          <cell r="BZ20">
            <v>0</v>
          </cell>
          <cell r="CM20">
            <v>2160347</v>
          </cell>
          <cell r="CO20">
            <v>0</v>
          </cell>
          <cell r="CP20">
            <v>0</v>
          </cell>
          <cell r="CQ20">
            <v>0</v>
          </cell>
          <cell r="CR20">
            <v>0</v>
          </cell>
          <cell r="CS20">
            <v>70000</v>
          </cell>
          <cell r="CT20">
            <v>0</v>
          </cell>
          <cell r="CV20">
            <v>0</v>
          </cell>
          <cell r="CW20">
            <v>19226636</v>
          </cell>
        </row>
        <row r="21">
          <cell r="A21">
            <v>211</v>
          </cell>
          <cell r="B21">
            <v>72255514</v>
          </cell>
          <cell r="C21">
            <v>1551187</v>
          </cell>
          <cell r="D21">
            <v>8657028</v>
          </cell>
          <cell r="E21">
            <v>3038492</v>
          </cell>
          <cell r="F21">
            <v>3098245</v>
          </cell>
          <cell r="G21">
            <v>434000</v>
          </cell>
          <cell r="H21">
            <v>250000</v>
          </cell>
          <cell r="I21">
            <v>788343</v>
          </cell>
          <cell r="J21">
            <v>183797</v>
          </cell>
          <cell r="K21">
            <v>15474</v>
          </cell>
          <cell r="L21">
            <v>54047</v>
          </cell>
          <cell r="M21">
            <v>90842</v>
          </cell>
          <cell r="N21">
            <v>0</v>
          </cell>
          <cell r="O21">
            <v>0</v>
          </cell>
          <cell r="P21">
            <v>2681131</v>
          </cell>
          <cell r="Q21">
            <v>85967</v>
          </cell>
          <cell r="R21">
            <v>292607</v>
          </cell>
          <cell r="V21">
            <v>70010</v>
          </cell>
          <cell r="Y21">
            <v>37082</v>
          </cell>
          <cell r="Z21">
            <v>0</v>
          </cell>
          <cell r="AA21">
            <v>0</v>
          </cell>
          <cell r="AB21">
            <v>0</v>
          </cell>
          <cell r="AD21">
            <v>91620</v>
          </cell>
          <cell r="AE21">
            <v>0</v>
          </cell>
          <cell r="AF21">
            <v>336009</v>
          </cell>
          <cell r="AG21">
            <v>5000</v>
          </cell>
          <cell r="AH21">
            <v>0</v>
          </cell>
          <cell r="AI21">
            <v>99599</v>
          </cell>
          <cell r="AJ21">
            <v>418594</v>
          </cell>
          <cell r="AK21">
            <v>47620</v>
          </cell>
          <cell r="AL21">
            <v>393488</v>
          </cell>
          <cell r="AM21">
            <v>0</v>
          </cell>
          <cell r="AN21">
            <v>129878</v>
          </cell>
          <cell r="AO21">
            <v>703141</v>
          </cell>
          <cell r="AP21">
            <v>0</v>
          </cell>
          <cell r="AQ21">
            <v>95808715</v>
          </cell>
          <cell r="BV21">
            <v>206000</v>
          </cell>
          <cell r="BW21">
            <v>0</v>
          </cell>
          <cell r="BX21">
            <v>50268</v>
          </cell>
          <cell r="BY21">
            <v>0</v>
          </cell>
          <cell r="BZ21">
            <v>0</v>
          </cell>
          <cell r="CM21">
            <v>7201128</v>
          </cell>
          <cell r="CO21">
            <v>52206</v>
          </cell>
          <cell r="CP21">
            <v>0</v>
          </cell>
          <cell r="CQ21">
            <v>0</v>
          </cell>
          <cell r="CR21">
            <v>0</v>
          </cell>
          <cell r="CS21">
            <v>0</v>
          </cell>
          <cell r="CT21">
            <v>0</v>
          </cell>
          <cell r="CV21">
            <v>0</v>
          </cell>
          <cell r="CW21">
            <v>7032316</v>
          </cell>
        </row>
        <row r="22">
          <cell r="A22">
            <v>212</v>
          </cell>
          <cell r="B22">
            <v>40165028</v>
          </cell>
          <cell r="C22">
            <v>1058515</v>
          </cell>
          <cell r="D22">
            <v>6224235</v>
          </cell>
          <cell r="E22">
            <v>1275636</v>
          </cell>
          <cell r="F22">
            <v>2031295</v>
          </cell>
          <cell r="G22">
            <v>0</v>
          </cell>
          <cell r="H22">
            <v>254328</v>
          </cell>
          <cell r="I22">
            <v>47636</v>
          </cell>
          <cell r="J22">
            <v>0</v>
          </cell>
          <cell r="K22">
            <v>0</v>
          </cell>
          <cell r="L22">
            <v>5987</v>
          </cell>
          <cell r="M22">
            <v>63563</v>
          </cell>
          <cell r="N22">
            <v>295049</v>
          </cell>
          <cell r="O22">
            <v>0</v>
          </cell>
          <cell r="P22">
            <v>870514</v>
          </cell>
          <cell r="Q22">
            <v>16549</v>
          </cell>
          <cell r="R22">
            <v>300734</v>
          </cell>
          <cell r="V22">
            <v>0</v>
          </cell>
          <cell r="Y22">
            <v>0</v>
          </cell>
          <cell r="Z22">
            <v>1582</v>
          </cell>
          <cell r="AA22">
            <v>0</v>
          </cell>
          <cell r="AB22">
            <v>0</v>
          </cell>
          <cell r="AD22">
            <v>111677</v>
          </cell>
          <cell r="AE22">
            <v>0</v>
          </cell>
          <cell r="AF22">
            <v>30471</v>
          </cell>
          <cell r="AG22">
            <v>3544</v>
          </cell>
          <cell r="AH22">
            <v>523</v>
          </cell>
          <cell r="AI22">
            <v>155468</v>
          </cell>
          <cell r="AJ22">
            <v>311788</v>
          </cell>
          <cell r="AK22">
            <v>581498</v>
          </cell>
          <cell r="AL22">
            <v>138059</v>
          </cell>
          <cell r="AM22">
            <v>0</v>
          </cell>
          <cell r="AN22">
            <v>301917</v>
          </cell>
          <cell r="AO22">
            <v>0</v>
          </cell>
          <cell r="AP22">
            <v>0</v>
          </cell>
          <cell r="AQ22">
            <v>54245596</v>
          </cell>
          <cell r="BV22">
            <v>8561</v>
          </cell>
          <cell r="BW22">
            <v>12123</v>
          </cell>
          <cell r="BX22">
            <v>122569</v>
          </cell>
          <cell r="BY22">
            <v>0</v>
          </cell>
          <cell r="BZ22">
            <v>0</v>
          </cell>
          <cell r="CM22">
            <v>8333580</v>
          </cell>
          <cell r="CO22">
            <v>0</v>
          </cell>
          <cell r="CP22">
            <v>0</v>
          </cell>
          <cell r="CQ22">
            <v>0</v>
          </cell>
          <cell r="CR22">
            <v>0</v>
          </cell>
          <cell r="CS22">
            <v>0</v>
          </cell>
          <cell r="CT22">
            <v>0</v>
          </cell>
          <cell r="CV22">
            <v>0</v>
          </cell>
          <cell r="CW22">
            <v>7068333</v>
          </cell>
        </row>
        <row r="23">
          <cell r="A23">
            <v>213</v>
          </cell>
          <cell r="B23">
            <v>37846503</v>
          </cell>
          <cell r="C23">
            <v>866575</v>
          </cell>
          <cell r="D23">
            <v>4797499</v>
          </cell>
          <cell r="E23">
            <v>977400</v>
          </cell>
          <cell r="F23">
            <v>1507214</v>
          </cell>
          <cell r="G23">
            <v>0</v>
          </cell>
          <cell r="H23">
            <v>437995</v>
          </cell>
          <cell r="I23">
            <v>0</v>
          </cell>
          <cell r="J23">
            <v>0</v>
          </cell>
          <cell r="K23">
            <v>49682</v>
          </cell>
          <cell r="L23">
            <v>49639</v>
          </cell>
          <cell r="M23">
            <v>0</v>
          </cell>
          <cell r="N23">
            <v>0</v>
          </cell>
          <cell r="O23">
            <v>2921700</v>
          </cell>
          <cell r="P23">
            <v>535100</v>
          </cell>
          <cell r="Q23">
            <v>0</v>
          </cell>
          <cell r="R23">
            <v>681925</v>
          </cell>
          <cell r="V23">
            <v>0</v>
          </cell>
          <cell r="Y23">
            <v>0</v>
          </cell>
          <cell r="Z23">
            <v>0</v>
          </cell>
          <cell r="AA23">
            <v>0</v>
          </cell>
          <cell r="AB23">
            <v>0</v>
          </cell>
          <cell r="AD23">
            <v>234211</v>
          </cell>
          <cell r="AE23">
            <v>0</v>
          </cell>
          <cell r="AF23">
            <v>0</v>
          </cell>
          <cell r="AG23">
            <v>0</v>
          </cell>
          <cell r="AH23">
            <v>22768</v>
          </cell>
          <cell r="AI23">
            <v>35527</v>
          </cell>
          <cell r="AJ23">
            <v>0</v>
          </cell>
          <cell r="AK23">
            <v>0</v>
          </cell>
          <cell r="AL23">
            <v>177678</v>
          </cell>
          <cell r="AM23">
            <v>0</v>
          </cell>
          <cell r="AN23">
            <v>21092</v>
          </cell>
          <cell r="AO23">
            <v>0</v>
          </cell>
          <cell r="AP23">
            <v>0</v>
          </cell>
          <cell r="AQ23">
            <v>51162508</v>
          </cell>
          <cell r="BV23">
            <v>265200</v>
          </cell>
          <cell r="BW23">
            <v>11520</v>
          </cell>
          <cell r="BX23">
            <v>0</v>
          </cell>
          <cell r="BY23">
            <v>0</v>
          </cell>
          <cell r="BZ23">
            <v>0</v>
          </cell>
          <cell r="CM23">
            <v>7493000</v>
          </cell>
          <cell r="CO23">
            <v>0</v>
          </cell>
          <cell r="CP23">
            <v>0</v>
          </cell>
          <cell r="CQ23">
            <v>0</v>
          </cell>
          <cell r="CR23">
            <v>0</v>
          </cell>
          <cell r="CS23">
            <v>643100</v>
          </cell>
          <cell r="CT23">
            <v>0</v>
          </cell>
          <cell r="CV23">
            <v>0</v>
          </cell>
          <cell r="CW23">
            <v>3285</v>
          </cell>
        </row>
        <row r="24">
          <cell r="A24">
            <v>301</v>
          </cell>
          <cell r="B24">
            <v>49022569</v>
          </cell>
          <cell r="C24">
            <v>1006040</v>
          </cell>
          <cell r="D24">
            <v>4309105</v>
          </cell>
          <cell r="E24">
            <v>1326519</v>
          </cell>
          <cell r="F24">
            <v>2295190</v>
          </cell>
          <cell r="G24">
            <v>258000</v>
          </cell>
          <cell r="H24">
            <v>0</v>
          </cell>
          <cell r="I24">
            <v>0</v>
          </cell>
          <cell r="J24">
            <v>0</v>
          </cell>
          <cell r="K24">
            <v>166340</v>
          </cell>
          <cell r="L24">
            <v>126280</v>
          </cell>
          <cell r="M24">
            <v>157640</v>
          </cell>
          <cell r="N24">
            <v>400000</v>
          </cell>
          <cell r="O24">
            <v>0</v>
          </cell>
          <cell r="P24">
            <v>904572</v>
          </cell>
          <cell r="Q24">
            <v>245280</v>
          </cell>
          <cell r="R24">
            <v>1236900</v>
          </cell>
          <cell r="V24">
            <v>32940</v>
          </cell>
          <cell r="Y24">
            <v>0</v>
          </cell>
          <cell r="Z24">
            <v>0</v>
          </cell>
          <cell r="AA24">
            <v>0</v>
          </cell>
          <cell r="AB24">
            <v>0</v>
          </cell>
          <cell r="AD24">
            <v>207940</v>
          </cell>
          <cell r="AE24">
            <v>0</v>
          </cell>
          <cell r="AF24">
            <v>290000</v>
          </cell>
          <cell r="AG24">
            <v>37200</v>
          </cell>
          <cell r="AH24">
            <v>0</v>
          </cell>
          <cell r="AI24">
            <v>0</v>
          </cell>
          <cell r="AJ24">
            <v>1005961</v>
          </cell>
          <cell r="AK24">
            <v>0</v>
          </cell>
          <cell r="AL24">
            <v>351301</v>
          </cell>
          <cell r="AM24">
            <v>0</v>
          </cell>
          <cell r="AN24">
            <v>267182</v>
          </cell>
          <cell r="AO24">
            <v>3253528</v>
          </cell>
          <cell r="AP24">
            <v>0</v>
          </cell>
          <cell r="AQ24">
            <v>66900487</v>
          </cell>
          <cell r="BV24">
            <v>237450</v>
          </cell>
          <cell r="BW24">
            <v>494000</v>
          </cell>
          <cell r="BX24">
            <v>100000</v>
          </cell>
          <cell r="BY24">
            <v>0</v>
          </cell>
          <cell r="BZ24">
            <v>0</v>
          </cell>
          <cell r="CM24">
            <v>7817113</v>
          </cell>
          <cell r="CO24">
            <v>0</v>
          </cell>
          <cell r="CP24">
            <v>0</v>
          </cell>
          <cell r="CQ24">
            <v>0</v>
          </cell>
          <cell r="CR24">
            <v>0</v>
          </cell>
          <cell r="CS24">
            <v>0</v>
          </cell>
          <cell r="CT24">
            <v>0</v>
          </cell>
          <cell r="CV24">
            <v>0</v>
          </cell>
          <cell r="CW24">
            <v>611030</v>
          </cell>
        </row>
        <row r="25">
          <cell r="A25">
            <v>302</v>
          </cell>
          <cell r="B25">
            <v>76520167</v>
          </cell>
          <cell r="C25">
            <v>1972660</v>
          </cell>
          <cell r="D25">
            <v>6018464</v>
          </cell>
          <cell r="E25">
            <v>625735</v>
          </cell>
          <cell r="F25">
            <v>2714963</v>
          </cell>
          <cell r="G25">
            <v>0</v>
          </cell>
          <cell r="H25">
            <v>200000</v>
          </cell>
          <cell r="I25">
            <v>396410</v>
          </cell>
          <cell r="J25">
            <v>0</v>
          </cell>
          <cell r="K25">
            <v>0</v>
          </cell>
          <cell r="L25">
            <v>0</v>
          </cell>
          <cell r="M25">
            <v>200140</v>
          </cell>
          <cell r="N25">
            <v>966470</v>
          </cell>
          <cell r="O25">
            <v>0</v>
          </cell>
          <cell r="P25">
            <v>1062551</v>
          </cell>
          <cell r="Q25">
            <v>0</v>
          </cell>
          <cell r="R25">
            <v>0</v>
          </cell>
          <cell r="V25">
            <v>0</v>
          </cell>
          <cell r="Y25">
            <v>0</v>
          </cell>
          <cell r="Z25">
            <v>0</v>
          </cell>
          <cell r="AA25">
            <v>0</v>
          </cell>
          <cell r="AB25">
            <v>0</v>
          </cell>
          <cell r="AD25">
            <v>102390</v>
          </cell>
          <cell r="AE25">
            <v>0</v>
          </cell>
          <cell r="AF25">
            <v>51425</v>
          </cell>
          <cell r="AG25">
            <v>0</v>
          </cell>
          <cell r="AH25">
            <v>4110</v>
          </cell>
          <cell r="AI25">
            <v>0</v>
          </cell>
          <cell r="AJ25">
            <v>1000883</v>
          </cell>
          <cell r="AK25">
            <v>0</v>
          </cell>
          <cell r="AL25">
            <v>106104</v>
          </cell>
          <cell r="AM25">
            <v>0</v>
          </cell>
          <cell r="AN25">
            <v>0</v>
          </cell>
          <cell r="AO25">
            <v>601158</v>
          </cell>
          <cell r="AP25">
            <v>0</v>
          </cell>
          <cell r="AQ25">
            <v>92543630</v>
          </cell>
          <cell r="BV25">
            <v>0</v>
          </cell>
          <cell r="BW25">
            <v>990794</v>
          </cell>
          <cell r="BX25">
            <v>354573</v>
          </cell>
          <cell r="BY25">
            <v>0</v>
          </cell>
          <cell r="BZ25">
            <v>0</v>
          </cell>
          <cell r="CM25">
            <v>17688484</v>
          </cell>
          <cell r="CO25">
            <v>64862</v>
          </cell>
          <cell r="CP25">
            <v>0</v>
          </cell>
          <cell r="CQ25">
            <v>0</v>
          </cell>
          <cell r="CR25">
            <v>0</v>
          </cell>
          <cell r="CS25">
            <v>0</v>
          </cell>
          <cell r="CT25">
            <v>0</v>
          </cell>
          <cell r="CV25">
            <v>0</v>
          </cell>
          <cell r="CW25">
            <v>7644000</v>
          </cell>
        </row>
        <row r="26">
          <cell r="A26">
            <v>303</v>
          </cell>
          <cell r="B26">
            <v>66360389</v>
          </cell>
          <cell r="C26">
            <v>1760261</v>
          </cell>
          <cell r="D26">
            <v>3203000</v>
          </cell>
          <cell r="E26">
            <v>779261</v>
          </cell>
          <cell r="F26">
            <v>2164000</v>
          </cell>
          <cell r="G26">
            <v>500000</v>
          </cell>
          <cell r="H26">
            <v>227324</v>
          </cell>
          <cell r="I26">
            <v>697000</v>
          </cell>
          <cell r="J26">
            <v>0</v>
          </cell>
          <cell r="K26">
            <v>0</v>
          </cell>
          <cell r="L26">
            <v>257000</v>
          </cell>
          <cell r="M26">
            <v>3000</v>
          </cell>
          <cell r="N26">
            <v>276000</v>
          </cell>
          <cell r="O26">
            <v>0</v>
          </cell>
          <cell r="P26">
            <v>1043000</v>
          </cell>
          <cell r="Q26">
            <v>236000</v>
          </cell>
          <cell r="R26">
            <v>148000</v>
          </cell>
          <cell r="V26">
            <v>19000</v>
          </cell>
          <cell r="Y26">
            <v>0</v>
          </cell>
          <cell r="Z26">
            <v>0</v>
          </cell>
          <cell r="AA26">
            <v>0</v>
          </cell>
          <cell r="AB26">
            <v>0</v>
          </cell>
          <cell r="AD26">
            <v>165000</v>
          </cell>
          <cell r="AE26">
            <v>6000</v>
          </cell>
          <cell r="AF26">
            <v>309000</v>
          </cell>
          <cell r="AG26">
            <v>0</v>
          </cell>
          <cell r="AH26">
            <v>15000</v>
          </cell>
          <cell r="AI26">
            <v>105000</v>
          </cell>
          <cell r="AJ26">
            <v>668000</v>
          </cell>
          <cell r="AK26">
            <v>0</v>
          </cell>
          <cell r="AL26">
            <v>0</v>
          </cell>
          <cell r="AM26">
            <v>0</v>
          </cell>
          <cell r="AN26">
            <v>0</v>
          </cell>
          <cell r="AO26">
            <v>458000</v>
          </cell>
          <cell r="AP26">
            <v>0</v>
          </cell>
          <cell r="AQ26">
            <v>79399235</v>
          </cell>
          <cell r="BV26">
            <v>146000</v>
          </cell>
          <cell r="BW26">
            <v>197000</v>
          </cell>
          <cell r="BX26">
            <v>45000</v>
          </cell>
          <cell r="BY26">
            <v>61000</v>
          </cell>
          <cell r="BZ26">
            <v>0</v>
          </cell>
          <cell r="CM26">
            <v>11770000</v>
          </cell>
          <cell r="CO26">
            <v>100000</v>
          </cell>
          <cell r="CP26">
            <v>0</v>
          </cell>
          <cell r="CQ26">
            <v>0</v>
          </cell>
          <cell r="CR26">
            <v>0</v>
          </cell>
          <cell r="CS26">
            <v>0</v>
          </cell>
          <cell r="CT26">
            <v>0</v>
          </cell>
          <cell r="CV26">
            <v>0</v>
          </cell>
          <cell r="CW26">
            <v>11610000</v>
          </cell>
        </row>
        <row r="27">
          <cell r="A27">
            <v>304</v>
          </cell>
          <cell r="B27">
            <v>65212000</v>
          </cell>
          <cell r="C27">
            <v>1449000</v>
          </cell>
          <cell r="D27">
            <v>9519000</v>
          </cell>
          <cell r="E27">
            <v>2196000</v>
          </cell>
          <cell r="F27">
            <v>3386000</v>
          </cell>
          <cell r="G27">
            <v>0</v>
          </cell>
          <cell r="H27">
            <v>0</v>
          </cell>
          <cell r="I27">
            <v>599000</v>
          </cell>
          <cell r="J27">
            <v>21000</v>
          </cell>
          <cell r="K27">
            <v>0</v>
          </cell>
          <cell r="L27">
            <v>0</v>
          </cell>
          <cell r="M27">
            <v>14000</v>
          </cell>
          <cell r="N27">
            <v>0</v>
          </cell>
          <cell r="O27">
            <v>0</v>
          </cell>
          <cell r="P27">
            <v>1477000</v>
          </cell>
          <cell r="Q27">
            <v>37000</v>
          </cell>
          <cell r="R27">
            <v>390000</v>
          </cell>
          <cell r="V27">
            <v>13000</v>
          </cell>
          <cell r="Y27">
            <v>0</v>
          </cell>
          <cell r="Z27">
            <v>0</v>
          </cell>
          <cell r="AA27">
            <v>0</v>
          </cell>
          <cell r="AB27">
            <v>0</v>
          </cell>
          <cell r="AD27">
            <v>0</v>
          </cell>
          <cell r="AE27">
            <v>20000</v>
          </cell>
          <cell r="AF27">
            <v>54000</v>
          </cell>
          <cell r="AG27">
            <v>0</v>
          </cell>
          <cell r="AH27">
            <v>0</v>
          </cell>
          <cell r="AI27">
            <v>129000</v>
          </cell>
          <cell r="AJ27">
            <v>247000</v>
          </cell>
          <cell r="AK27">
            <v>0</v>
          </cell>
          <cell r="AL27">
            <v>259000</v>
          </cell>
          <cell r="AM27">
            <v>0</v>
          </cell>
          <cell r="AN27">
            <v>214000</v>
          </cell>
          <cell r="AO27">
            <v>0</v>
          </cell>
          <cell r="AP27">
            <v>0</v>
          </cell>
          <cell r="AQ27">
            <v>85236000</v>
          </cell>
          <cell r="BV27">
            <v>0</v>
          </cell>
          <cell r="BW27">
            <v>20000</v>
          </cell>
          <cell r="BX27">
            <v>0</v>
          </cell>
          <cell r="BY27">
            <v>0</v>
          </cell>
          <cell r="BZ27">
            <v>0</v>
          </cell>
          <cell r="CM27">
            <v>16473000</v>
          </cell>
          <cell r="CO27">
            <v>62000</v>
          </cell>
          <cell r="CP27">
            <v>0</v>
          </cell>
          <cell r="CQ27">
            <v>0</v>
          </cell>
          <cell r="CR27">
            <v>0</v>
          </cell>
          <cell r="CS27">
            <v>0</v>
          </cell>
          <cell r="CT27">
            <v>0</v>
          </cell>
          <cell r="CV27">
            <v>0</v>
          </cell>
          <cell r="CW27">
            <v>2902000</v>
          </cell>
        </row>
        <row r="28">
          <cell r="A28">
            <v>305</v>
          </cell>
          <cell r="B28">
            <v>78392029</v>
          </cell>
          <cell r="C28">
            <v>2040903</v>
          </cell>
          <cell r="D28">
            <v>5541017</v>
          </cell>
          <cell r="E28">
            <v>788118</v>
          </cell>
          <cell r="F28">
            <v>2566505</v>
          </cell>
          <cell r="G28">
            <v>717000</v>
          </cell>
          <cell r="H28">
            <v>0</v>
          </cell>
          <cell r="I28">
            <v>0</v>
          </cell>
          <cell r="J28">
            <v>0</v>
          </cell>
          <cell r="K28">
            <v>244888</v>
          </cell>
          <cell r="L28">
            <v>141255</v>
          </cell>
          <cell r="M28">
            <v>37288</v>
          </cell>
          <cell r="N28">
            <v>0</v>
          </cell>
          <cell r="O28">
            <v>0</v>
          </cell>
          <cell r="P28">
            <v>751963</v>
          </cell>
          <cell r="Q28">
            <v>17217</v>
          </cell>
          <cell r="R28">
            <v>294058</v>
          </cell>
          <cell r="V28">
            <v>8972</v>
          </cell>
          <cell r="Y28">
            <v>0</v>
          </cell>
          <cell r="Z28">
            <v>0</v>
          </cell>
          <cell r="AA28">
            <v>0</v>
          </cell>
          <cell r="AB28">
            <v>0</v>
          </cell>
          <cell r="AD28">
            <v>133099</v>
          </cell>
          <cell r="AE28">
            <v>0</v>
          </cell>
          <cell r="AF28">
            <v>0</v>
          </cell>
          <cell r="AG28">
            <v>33970</v>
          </cell>
          <cell r="AH28">
            <v>20633</v>
          </cell>
          <cell r="AI28">
            <v>122566</v>
          </cell>
          <cell r="AJ28">
            <v>768753</v>
          </cell>
          <cell r="AK28">
            <v>459280</v>
          </cell>
          <cell r="AL28">
            <v>18750</v>
          </cell>
          <cell r="AM28">
            <v>0</v>
          </cell>
          <cell r="AN28">
            <v>129271</v>
          </cell>
          <cell r="AO28">
            <v>1176935</v>
          </cell>
          <cell r="AP28">
            <v>0</v>
          </cell>
          <cell r="AQ28">
            <v>94404470</v>
          </cell>
          <cell r="BV28">
            <v>217349</v>
          </cell>
          <cell r="BW28">
            <v>70809</v>
          </cell>
          <cell r="BX28">
            <v>63667</v>
          </cell>
          <cell r="BY28">
            <v>3974</v>
          </cell>
          <cell r="BZ28">
            <v>26363</v>
          </cell>
          <cell r="CM28">
            <v>21039492</v>
          </cell>
          <cell r="CO28">
            <v>0</v>
          </cell>
          <cell r="CP28">
            <v>0</v>
          </cell>
          <cell r="CQ28">
            <v>21922</v>
          </cell>
          <cell r="CR28">
            <v>0</v>
          </cell>
          <cell r="CS28">
            <v>0</v>
          </cell>
          <cell r="CT28">
            <v>0</v>
          </cell>
          <cell r="CV28">
            <v>0</v>
          </cell>
          <cell r="CW28">
            <v>7100114</v>
          </cell>
        </row>
        <row r="29">
          <cell r="A29">
            <v>306</v>
          </cell>
          <cell r="B29">
            <v>63740000</v>
          </cell>
          <cell r="C29">
            <v>2117538</v>
          </cell>
          <cell r="D29">
            <v>6306807</v>
          </cell>
          <cell r="E29">
            <v>774509</v>
          </cell>
          <cell r="F29">
            <v>2152352</v>
          </cell>
          <cell r="G29">
            <v>713000</v>
          </cell>
          <cell r="H29">
            <v>0</v>
          </cell>
          <cell r="I29">
            <v>1015776</v>
          </cell>
          <cell r="J29">
            <v>387887</v>
          </cell>
          <cell r="K29">
            <v>0</v>
          </cell>
          <cell r="L29">
            <v>0</v>
          </cell>
          <cell r="M29">
            <v>0</v>
          </cell>
          <cell r="N29">
            <v>0</v>
          </cell>
          <cell r="O29">
            <v>825420</v>
          </cell>
          <cell r="P29">
            <v>2475489</v>
          </cell>
          <cell r="Q29">
            <v>0</v>
          </cell>
          <cell r="R29">
            <v>1169538</v>
          </cell>
          <cell r="V29">
            <v>0</v>
          </cell>
          <cell r="Y29">
            <v>0</v>
          </cell>
          <cell r="Z29">
            <v>0</v>
          </cell>
          <cell r="AA29">
            <v>0</v>
          </cell>
          <cell r="AB29">
            <v>0</v>
          </cell>
          <cell r="AD29">
            <v>83396</v>
          </cell>
          <cell r="AE29">
            <v>0</v>
          </cell>
          <cell r="AF29">
            <v>0</v>
          </cell>
          <cell r="AG29">
            <v>0</v>
          </cell>
          <cell r="AH29">
            <v>0</v>
          </cell>
          <cell r="AI29">
            <v>0</v>
          </cell>
          <cell r="AJ29">
            <v>285133</v>
          </cell>
          <cell r="AK29">
            <v>0</v>
          </cell>
          <cell r="AL29">
            <v>64845</v>
          </cell>
          <cell r="AM29">
            <v>0</v>
          </cell>
          <cell r="AN29">
            <v>62799</v>
          </cell>
          <cell r="AO29">
            <v>713601</v>
          </cell>
          <cell r="AP29">
            <v>0</v>
          </cell>
          <cell r="AQ29">
            <v>82888090</v>
          </cell>
          <cell r="BV29">
            <v>44146</v>
          </cell>
          <cell r="BW29">
            <v>307681</v>
          </cell>
          <cell r="BX29">
            <v>0</v>
          </cell>
          <cell r="BY29">
            <v>0</v>
          </cell>
          <cell r="BZ29">
            <v>0</v>
          </cell>
          <cell r="CM29">
            <v>4229415</v>
          </cell>
          <cell r="CO29">
            <v>0</v>
          </cell>
          <cell r="CP29">
            <v>0</v>
          </cell>
          <cell r="CQ29">
            <v>0</v>
          </cell>
          <cell r="CR29">
            <v>0</v>
          </cell>
          <cell r="CS29">
            <v>100000</v>
          </cell>
          <cell r="CT29">
            <v>0</v>
          </cell>
          <cell r="CV29">
            <v>0</v>
          </cell>
          <cell r="CW29">
            <v>3530</v>
          </cell>
        </row>
        <row r="30">
          <cell r="A30">
            <v>307</v>
          </cell>
          <cell r="B30">
            <v>59983100</v>
          </cell>
          <cell r="C30">
            <v>1422500</v>
          </cell>
          <cell r="D30">
            <v>5811800</v>
          </cell>
          <cell r="E30">
            <v>2129000</v>
          </cell>
          <cell r="F30">
            <v>2628300</v>
          </cell>
          <cell r="G30">
            <v>0</v>
          </cell>
          <cell r="H30">
            <v>64200</v>
          </cell>
          <cell r="I30">
            <v>624600</v>
          </cell>
          <cell r="J30">
            <v>108300</v>
          </cell>
          <cell r="K30">
            <v>186000</v>
          </cell>
          <cell r="L30">
            <v>0</v>
          </cell>
          <cell r="M30">
            <v>0</v>
          </cell>
          <cell r="N30">
            <v>0</v>
          </cell>
          <cell r="O30">
            <v>0</v>
          </cell>
          <cell r="P30">
            <v>1811800</v>
          </cell>
          <cell r="Q30">
            <v>275600</v>
          </cell>
          <cell r="R30">
            <v>234800</v>
          </cell>
          <cell r="V30">
            <v>0</v>
          </cell>
          <cell r="Y30">
            <v>0</v>
          </cell>
          <cell r="Z30">
            <v>0</v>
          </cell>
          <cell r="AA30">
            <v>0</v>
          </cell>
          <cell r="AB30">
            <v>47500</v>
          </cell>
          <cell r="AD30">
            <v>105900</v>
          </cell>
          <cell r="AE30">
            <v>23200</v>
          </cell>
          <cell r="AF30">
            <v>167400</v>
          </cell>
          <cell r="AG30">
            <v>9500</v>
          </cell>
          <cell r="AH30">
            <v>0</v>
          </cell>
          <cell r="AI30">
            <v>49000</v>
          </cell>
          <cell r="AJ30">
            <v>38400</v>
          </cell>
          <cell r="AK30">
            <v>0</v>
          </cell>
          <cell r="AL30">
            <v>389600</v>
          </cell>
          <cell r="AM30">
            <v>0</v>
          </cell>
          <cell r="AN30">
            <v>63900</v>
          </cell>
          <cell r="AO30">
            <v>816100</v>
          </cell>
          <cell r="AP30">
            <v>0</v>
          </cell>
          <cell r="AQ30">
            <v>76990500</v>
          </cell>
          <cell r="BV30">
            <v>211700</v>
          </cell>
          <cell r="BW30">
            <v>254600</v>
          </cell>
          <cell r="BX30">
            <v>0</v>
          </cell>
          <cell r="BY30">
            <v>0</v>
          </cell>
          <cell r="BZ30">
            <v>0</v>
          </cell>
          <cell r="CM30">
            <v>11011400</v>
          </cell>
          <cell r="CO30">
            <v>103000</v>
          </cell>
          <cell r="CP30">
            <v>0</v>
          </cell>
          <cell r="CQ30">
            <v>0</v>
          </cell>
          <cell r="CR30">
            <v>0</v>
          </cell>
          <cell r="CS30">
            <v>0</v>
          </cell>
          <cell r="CT30">
            <v>0</v>
          </cell>
          <cell r="CV30">
            <v>0</v>
          </cell>
          <cell r="CW30">
            <v>6398000</v>
          </cell>
        </row>
        <row r="31">
          <cell r="A31">
            <v>308</v>
          </cell>
          <cell r="B31">
            <v>82772482</v>
          </cell>
          <cell r="C31">
            <v>1899811</v>
          </cell>
          <cell r="D31">
            <v>7108290</v>
          </cell>
          <cell r="E31">
            <v>2575785</v>
          </cell>
          <cell r="F31">
            <v>2557441</v>
          </cell>
          <cell r="G31">
            <v>544811</v>
          </cell>
          <cell r="H31">
            <v>0</v>
          </cell>
          <cell r="I31">
            <v>582897</v>
          </cell>
          <cell r="J31">
            <v>48766</v>
          </cell>
          <cell r="K31">
            <v>0</v>
          </cell>
          <cell r="L31">
            <v>1593</v>
          </cell>
          <cell r="M31">
            <v>21776</v>
          </cell>
          <cell r="N31">
            <v>0</v>
          </cell>
          <cell r="O31">
            <v>371256</v>
          </cell>
          <cell r="P31">
            <v>1105869</v>
          </cell>
          <cell r="Q31">
            <v>12743</v>
          </cell>
          <cell r="R31">
            <v>327398</v>
          </cell>
          <cell r="V31">
            <v>24669</v>
          </cell>
          <cell r="Y31">
            <v>0</v>
          </cell>
          <cell r="Z31">
            <v>0</v>
          </cell>
          <cell r="AA31">
            <v>0</v>
          </cell>
          <cell r="AB31">
            <v>0</v>
          </cell>
          <cell r="AD31">
            <v>375558</v>
          </cell>
          <cell r="AE31">
            <v>8133</v>
          </cell>
          <cell r="AF31">
            <v>119780</v>
          </cell>
          <cell r="AG31">
            <v>172457</v>
          </cell>
          <cell r="AH31">
            <v>3335</v>
          </cell>
          <cell r="AI31">
            <v>166544</v>
          </cell>
          <cell r="AJ31">
            <v>1731124</v>
          </cell>
          <cell r="AK31">
            <v>294810</v>
          </cell>
          <cell r="AL31">
            <v>241511</v>
          </cell>
          <cell r="AM31">
            <v>0</v>
          </cell>
          <cell r="AN31">
            <v>34340</v>
          </cell>
          <cell r="AO31">
            <v>609888</v>
          </cell>
          <cell r="AP31">
            <v>0</v>
          </cell>
          <cell r="AQ31">
            <v>103713067</v>
          </cell>
          <cell r="BV31">
            <v>258690</v>
          </cell>
          <cell r="BW31">
            <v>234911</v>
          </cell>
          <cell r="BX31">
            <v>203370</v>
          </cell>
          <cell r="BY31">
            <v>0</v>
          </cell>
          <cell r="BZ31">
            <v>0</v>
          </cell>
          <cell r="CM31">
            <v>16210471</v>
          </cell>
          <cell r="CO31">
            <v>272952</v>
          </cell>
          <cell r="CP31">
            <v>0</v>
          </cell>
          <cell r="CQ31">
            <v>0</v>
          </cell>
          <cell r="CR31">
            <v>0</v>
          </cell>
          <cell r="CS31">
            <v>0</v>
          </cell>
          <cell r="CT31">
            <v>0</v>
          </cell>
          <cell r="CV31">
            <v>0</v>
          </cell>
          <cell r="CW31">
            <v>8362000</v>
          </cell>
        </row>
        <row r="32">
          <cell r="A32">
            <v>309</v>
          </cell>
          <cell r="B32">
            <v>47107029</v>
          </cell>
          <cell r="C32">
            <v>1079235</v>
          </cell>
          <cell r="D32">
            <v>6782799</v>
          </cell>
          <cell r="E32">
            <v>1539169</v>
          </cell>
          <cell r="F32">
            <v>2037757</v>
          </cell>
          <cell r="G32">
            <v>636012</v>
          </cell>
          <cell r="H32">
            <v>0</v>
          </cell>
          <cell r="I32">
            <v>204606</v>
          </cell>
          <cell r="J32">
            <v>36423</v>
          </cell>
          <cell r="K32">
            <v>0</v>
          </cell>
          <cell r="L32">
            <v>0</v>
          </cell>
          <cell r="M32">
            <v>26163</v>
          </cell>
          <cell r="N32">
            <v>133414</v>
          </cell>
          <cell r="O32">
            <v>0</v>
          </cell>
          <cell r="P32">
            <v>2069430</v>
          </cell>
          <cell r="Q32">
            <v>501112</v>
          </cell>
          <cell r="R32">
            <v>789081</v>
          </cell>
          <cell r="V32">
            <v>45759</v>
          </cell>
          <cell r="Y32">
            <v>0</v>
          </cell>
          <cell r="Z32">
            <v>0</v>
          </cell>
          <cell r="AA32">
            <v>0</v>
          </cell>
          <cell r="AB32">
            <v>0</v>
          </cell>
          <cell r="AD32">
            <v>149490</v>
          </cell>
          <cell r="AE32">
            <v>0</v>
          </cell>
          <cell r="AF32">
            <v>77209</v>
          </cell>
          <cell r="AG32">
            <v>57841</v>
          </cell>
          <cell r="AH32">
            <v>9476</v>
          </cell>
          <cell r="AI32">
            <v>218311</v>
          </cell>
          <cell r="AJ32">
            <v>827765</v>
          </cell>
          <cell r="AK32">
            <v>0</v>
          </cell>
          <cell r="AL32">
            <v>328327</v>
          </cell>
          <cell r="AM32">
            <v>0</v>
          </cell>
          <cell r="AN32">
            <v>139741</v>
          </cell>
          <cell r="AO32">
            <v>286495</v>
          </cell>
          <cell r="AP32">
            <v>0</v>
          </cell>
          <cell r="AQ32">
            <v>65082644</v>
          </cell>
          <cell r="BV32">
            <v>0</v>
          </cell>
          <cell r="BW32">
            <v>569036</v>
          </cell>
          <cell r="BX32">
            <v>0</v>
          </cell>
          <cell r="BY32">
            <v>0</v>
          </cell>
          <cell r="BZ32">
            <v>0</v>
          </cell>
          <cell r="CM32">
            <v>6746798</v>
          </cell>
          <cell r="CO32">
            <v>0</v>
          </cell>
          <cell r="CP32">
            <v>0</v>
          </cell>
          <cell r="CQ32">
            <v>0</v>
          </cell>
          <cell r="CR32">
            <v>0</v>
          </cell>
          <cell r="CS32">
            <v>0</v>
          </cell>
          <cell r="CT32">
            <v>0</v>
          </cell>
          <cell r="CV32">
            <v>0</v>
          </cell>
          <cell r="CW32">
            <v>13897611</v>
          </cell>
        </row>
        <row r="33">
          <cell r="A33">
            <v>310</v>
          </cell>
          <cell r="B33">
            <v>36277248</v>
          </cell>
          <cell r="C33">
            <v>1033187</v>
          </cell>
          <cell r="D33">
            <v>2195054</v>
          </cell>
          <cell r="E33">
            <v>0</v>
          </cell>
          <cell r="F33">
            <v>1165352</v>
          </cell>
          <cell r="G33">
            <v>0</v>
          </cell>
          <cell r="H33">
            <v>0</v>
          </cell>
          <cell r="I33">
            <v>68470</v>
          </cell>
          <cell r="J33">
            <v>183107</v>
          </cell>
          <cell r="K33">
            <v>7166</v>
          </cell>
          <cell r="L33">
            <v>0</v>
          </cell>
          <cell r="M33">
            <v>37149</v>
          </cell>
          <cell r="N33">
            <v>69668</v>
          </cell>
          <cell r="O33">
            <v>514592</v>
          </cell>
          <cell r="P33">
            <v>107779</v>
          </cell>
          <cell r="Q33">
            <v>18496</v>
          </cell>
          <cell r="R33">
            <v>87339</v>
          </cell>
          <cell r="V33">
            <v>198</v>
          </cell>
          <cell r="Y33">
            <v>0</v>
          </cell>
          <cell r="Z33">
            <v>0</v>
          </cell>
          <cell r="AA33">
            <v>0</v>
          </cell>
          <cell r="AB33">
            <v>0</v>
          </cell>
          <cell r="AD33">
            <v>72153</v>
          </cell>
          <cell r="AE33">
            <v>0</v>
          </cell>
          <cell r="AF33">
            <v>5634</v>
          </cell>
          <cell r="AG33">
            <v>0</v>
          </cell>
          <cell r="AH33">
            <v>301</v>
          </cell>
          <cell r="AI33">
            <v>0</v>
          </cell>
          <cell r="AJ33">
            <v>121137</v>
          </cell>
          <cell r="AK33">
            <v>0</v>
          </cell>
          <cell r="AL33">
            <v>0</v>
          </cell>
          <cell r="AM33">
            <v>0</v>
          </cell>
          <cell r="AN33">
            <v>26586</v>
          </cell>
          <cell r="AO33">
            <v>120549</v>
          </cell>
          <cell r="AP33">
            <v>0</v>
          </cell>
          <cell r="AQ33">
            <v>42111165</v>
          </cell>
          <cell r="BV33">
            <v>23499</v>
          </cell>
          <cell r="BW33">
            <v>743047</v>
          </cell>
          <cell r="BX33">
            <v>0</v>
          </cell>
          <cell r="BY33">
            <v>0</v>
          </cell>
          <cell r="BZ33">
            <v>0</v>
          </cell>
          <cell r="CM33">
            <v>0</v>
          </cell>
          <cell r="CO33">
            <v>0</v>
          </cell>
          <cell r="CP33">
            <v>0</v>
          </cell>
          <cell r="CQ33">
            <v>0</v>
          </cell>
          <cell r="CR33">
            <v>0</v>
          </cell>
          <cell r="CS33">
            <v>329110</v>
          </cell>
          <cell r="CT33">
            <v>0</v>
          </cell>
          <cell r="CV33">
            <v>0</v>
          </cell>
          <cell r="CW33">
            <v>1137400</v>
          </cell>
        </row>
        <row r="34">
          <cell r="A34">
            <v>311</v>
          </cell>
          <cell r="B34">
            <v>62692133</v>
          </cell>
          <cell r="C34">
            <v>1836289</v>
          </cell>
          <cell r="D34">
            <v>5299131</v>
          </cell>
          <cell r="E34">
            <v>724957</v>
          </cell>
          <cell r="F34">
            <v>2264417</v>
          </cell>
          <cell r="G34">
            <v>324310</v>
          </cell>
          <cell r="H34">
            <v>0</v>
          </cell>
          <cell r="I34">
            <v>128225</v>
          </cell>
          <cell r="J34">
            <v>0</v>
          </cell>
          <cell r="K34">
            <v>85225</v>
          </cell>
          <cell r="L34">
            <v>88884</v>
          </cell>
          <cell r="M34">
            <v>68754</v>
          </cell>
          <cell r="N34">
            <v>78500</v>
          </cell>
          <cell r="O34">
            <v>0</v>
          </cell>
          <cell r="P34">
            <v>670830</v>
          </cell>
          <cell r="Q34">
            <v>464789</v>
          </cell>
          <cell r="R34">
            <v>31792</v>
          </cell>
          <cell r="V34">
            <v>12284</v>
          </cell>
          <cell r="Y34">
            <v>0</v>
          </cell>
          <cell r="Z34">
            <v>451430</v>
          </cell>
          <cell r="AA34">
            <v>0</v>
          </cell>
          <cell r="AB34">
            <v>0</v>
          </cell>
          <cell r="AD34">
            <v>89316</v>
          </cell>
          <cell r="AE34">
            <v>11491</v>
          </cell>
          <cell r="AF34">
            <v>11202</v>
          </cell>
          <cell r="AG34">
            <v>37843</v>
          </cell>
          <cell r="AH34">
            <v>4410</v>
          </cell>
          <cell r="AI34">
            <v>53208</v>
          </cell>
          <cell r="AJ34">
            <v>218655</v>
          </cell>
          <cell r="AK34">
            <v>24084</v>
          </cell>
          <cell r="AL34">
            <v>34465</v>
          </cell>
          <cell r="AM34">
            <v>0</v>
          </cell>
          <cell r="AN34">
            <v>31204</v>
          </cell>
          <cell r="AO34">
            <v>361042</v>
          </cell>
          <cell r="AP34">
            <v>0</v>
          </cell>
          <cell r="AQ34">
            <v>76098870</v>
          </cell>
          <cell r="BV34">
            <v>112760</v>
          </cell>
          <cell r="BW34">
            <v>104729</v>
          </cell>
          <cell r="BX34">
            <v>121670</v>
          </cell>
          <cell r="BY34">
            <v>0</v>
          </cell>
          <cell r="BZ34">
            <v>0</v>
          </cell>
          <cell r="CM34">
            <v>5469140</v>
          </cell>
          <cell r="CO34">
            <v>0</v>
          </cell>
          <cell r="CP34">
            <v>0</v>
          </cell>
          <cell r="CQ34">
            <v>0</v>
          </cell>
          <cell r="CR34">
            <v>0</v>
          </cell>
          <cell r="CS34">
            <v>0</v>
          </cell>
          <cell r="CT34">
            <v>0</v>
          </cell>
          <cell r="CV34">
            <v>0</v>
          </cell>
          <cell r="CW34">
            <v>3433608</v>
          </cell>
        </row>
        <row r="35">
          <cell r="A35">
            <v>312</v>
          </cell>
          <cell r="B35">
            <v>67168964</v>
          </cell>
          <cell r="C35">
            <v>1697900</v>
          </cell>
          <cell r="D35">
            <v>5093592</v>
          </cell>
          <cell r="E35">
            <v>657060</v>
          </cell>
          <cell r="F35">
            <v>1759460</v>
          </cell>
          <cell r="G35">
            <v>0</v>
          </cell>
          <cell r="H35">
            <v>0</v>
          </cell>
          <cell r="I35">
            <v>400244</v>
          </cell>
          <cell r="J35">
            <v>166630</v>
          </cell>
          <cell r="K35">
            <v>0</v>
          </cell>
          <cell r="L35">
            <v>0</v>
          </cell>
          <cell r="M35">
            <v>0</v>
          </cell>
          <cell r="N35">
            <v>154840</v>
          </cell>
          <cell r="O35">
            <v>0</v>
          </cell>
          <cell r="P35">
            <v>62255</v>
          </cell>
          <cell r="Q35">
            <v>165626</v>
          </cell>
          <cell r="R35">
            <v>116724</v>
          </cell>
          <cell r="V35">
            <v>0</v>
          </cell>
          <cell r="Y35">
            <v>0</v>
          </cell>
          <cell r="Z35">
            <v>0</v>
          </cell>
          <cell r="AA35">
            <v>210060</v>
          </cell>
          <cell r="AB35">
            <v>0</v>
          </cell>
          <cell r="AD35">
            <v>81812</v>
          </cell>
          <cell r="AE35">
            <v>21823</v>
          </cell>
          <cell r="AF35">
            <v>0</v>
          </cell>
          <cell r="AG35">
            <v>87057</v>
          </cell>
          <cell r="AH35">
            <v>2182</v>
          </cell>
          <cell r="AI35">
            <v>106492</v>
          </cell>
          <cell r="AJ35">
            <v>749738</v>
          </cell>
          <cell r="AK35">
            <v>0</v>
          </cell>
          <cell r="AL35">
            <v>0</v>
          </cell>
          <cell r="AM35">
            <v>0</v>
          </cell>
          <cell r="AN35">
            <v>37393</v>
          </cell>
          <cell r="AO35">
            <v>2032829</v>
          </cell>
          <cell r="AP35">
            <v>0</v>
          </cell>
          <cell r="AQ35">
            <v>80772681</v>
          </cell>
          <cell r="BV35">
            <v>52650</v>
          </cell>
          <cell r="BW35">
            <v>0</v>
          </cell>
          <cell r="BX35">
            <v>328385</v>
          </cell>
          <cell r="BY35">
            <v>0</v>
          </cell>
          <cell r="BZ35">
            <v>0</v>
          </cell>
          <cell r="CM35">
            <v>14521590</v>
          </cell>
          <cell r="CO35">
            <v>0</v>
          </cell>
          <cell r="CP35">
            <v>0</v>
          </cell>
          <cell r="CQ35">
            <v>0</v>
          </cell>
          <cell r="CR35">
            <v>0</v>
          </cell>
          <cell r="CS35">
            <v>0</v>
          </cell>
          <cell r="CT35">
            <v>0</v>
          </cell>
          <cell r="CV35">
            <v>0</v>
          </cell>
          <cell r="CW35">
            <v>0</v>
          </cell>
        </row>
        <row r="36">
          <cell r="A36">
            <v>313</v>
          </cell>
          <cell r="B36">
            <v>64416588</v>
          </cell>
          <cell r="C36">
            <v>1535967</v>
          </cell>
          <cell r="D36">
            <v>6416005</v>
          </cell>
          <cell r="E36">
            <v>2486732</v>
          </cell>
          <cell r="F36">
            <v>1745511</v>
          </cell>
          <cell r="G36">
            <v>0</v>
          </cell>
          <cell r="H36">
            <v>0</v>
          </cell>
          <cell r="I36">
            <v>85145</v>
          </cell>
          <cell r="J36">
            <v>0</v>
          </cell>
          <cell r="K36">
            <v>98308</v>
          </cell>
          <cell r="L36">
            <v>184010</v>
          </cell>
          <cell r="M36">
            <v>16364</v>
          </cell>
          <cell r="N36">
            <v>454567</v>
          </cell>
          <cell r="O36">
            <v>0</v>
          </cell>
          <cell r="P36">
            <v>1061435</v>
          </cell>
          <cell r="Q36">
            <v>137367</v>
          </cell>
          <cell r="R36">
            <v>149727</v>
          </cell>
          <cell r="V36">
            <v>23935</v>
          </cell>
          <cell r="Y36">
            <v>0</v>
          </cell>
          <cell r="Z36">
            <v>0</v>
          </cell>
          <cell r="AA36">
            <v>0</v>
          </cell>
          <cell r="AB36">
            <v>0</v>
          </cell>
          <cell r="AD36">
            <v>114971</v>
          </cell>
          <cell r="AE36">
            <v>0</v>
          </cell>
          <cell r="AF36">
            <v>53700</v>
          </cell>
          <cell r="AG36">
            <v>48700</v>
          </cell>
          <cell r="AH36">
            <v>19979</v>
          </cell>
          <cell r="AI36">
            <v>218988</v>
          </cell>
          <cell r="AJ36">
            <v>2254336</v>
          </cell>
          <cell r="AK36">
            <v>0</v>
          </cell>
          <cell r="AL36">
            <v>408338</v>
          </cell>
          <cell r="AM36">
            <v>0</v>
          </cell>
          <cell r="AN36">
            <v>186256</v>
          </cell>
          <cell r="AO36">
            <v>395924</v>
          </cell>
          <cell r="AP36">
            <v>0</v>
          </cell>
          <cell r="AQ36">
            <v>82512853</v>
          </cell>
          <cell r="BV36">
            <v>174539</v>
          </cell>
          <cell r="BW36">
            <v>123155</v>
          </cell>
          <cell r="BX36">
            <v>35939</v>
          </cell>
          <cell r="BY36">
            <v>46441</v>
          </cell>
          <cell r="BZ36">
            <v>0</v>
          </cell>
          <cell r="CM36">
            <v>15236553</v>
          </cell>
          <cell r="CO36">
            <v>0</v>
          </cell>
          <cell r="CP36">
            <v>0</v>
          </cell>
          <cell r="CQ36">
            <v>0</v>
          </cell>
          <cell r="CR36">
            <v>0</v>
          </cell>
          <cell r="CS36">
            <v>0</v>
          </cell>
          <cell r="CT36">
            <v>0</v>
          </cell>
          <cell r="CV36">
            <v>0</v>
          </cell>
          <cell r="CW36">
            <v>2141442</v>
          </cell>
        </row>
        <row r="37">
          <cell r="A37">
            <v>314</v>
          </cell>
          <cell r="B37">
            <v>35784494</v>
          </cell>
          <cell r="C37">
            <v>1053860</v>
          </cell>
          <cell r="D37">
            <v>2839369</v>
          </cell>
          <cell r="E37">
            <v>0</v>
          </cell>
          <cell r="F37">
            <v>1086863</v>
          </cell>
          <cell r="G37">
            <v>0</v>
          </cell>
          <cell r="H37">
            <v>0</v>
          </cell>
          <cell r="I37">
            <v>41093</v>
          </cell>
          <cell r="J37">
            <v>13204</v>
          </cell>
          <cell r="K37">
            <v>0</v>
          </cell>
          <cell r="L37">
            <v>23253</v>
          </cell>
          <cell r="M37">
            <v>9169</v>
          </cell>
          <cell r="N37">
            <v>152470</v>
          </cell>
          <cell r="O37">
            <v>0</v>
          </cell>
          <cell r="P37">
            <v>410130</v>
          </cell>
          <cell r="Q37">
            <v>65871</v>
          </cell>
          <cell r="R37">
            <v>124450</v>
          </cell>
          <cell r="V37">
            <v>10061</v>
          </cell>
          <cell r="Y37">
            <v>0</v>
          </cell>
          <cell r="Z37">
            <v>0</v>
          </cell>
          <cell r="AA37">
            <v>0</v>
          </cell>
          <cell r="AB37">
            <v>0</v>
          </cell>
          <cell r="AD37">
            <v>112422</v>
          </cell>
          <cell r="AE37">
            <v>0</v>
          </cell>
          <cell r="AF37">
            <v>177200</v>
          </cell>
          <cell r="AG37">
            <v>0</v>
          </cell>
          <cell r="AH37">
            <v>15849</v>
          </cell>
          <cell r="AI37">
            <v>0</v>
          </cell>
          <cell r="AJ37">
            <v>228548</v>
          </cell>
          <cell r="AK37">
            <v>0</v>
          </cell>
          <cell r="AL37">
            <v>0</v>
          </cell>
          <cell r="AM37">
            <v>0</v>
          </cell>
          <cell r="AN37">
            <v>37575</v>
          </cell>
          <cell r="AO37">
            <v>276709</v>
          </cell>
          <cell r="AP37">
            <v>0</v>
          </cell>
          <cell r="AQ37">
            <v>42462590</v>
          </cell>
          <cell r="BV37">
            <v>4662</v>
          </cell>
          <cell r="BW37">
            <v>1920</v>
          </cell>
          <cell r="BX37">
            <v>33588</v>
          </cell>
          <cell r="BY37">
            <v>0</v>
          </cell>
          <cell r="BZ37">
            <v>6761</v>
          </cell>
          <cell r="CM37">
            <v>10624800</v>
          </cell>
          <cell r="CO37">
            <v>0</v>
          </cell>
          <cell r="CP37">
            <v>0</v>
          </cell>
          <cell r="CQ37">
            <v>0</v>
          </cell>
          <cell r="CR37">
            <v>0</v>
          </cell>
          <cell r="CS37">
            <v>0</v>
          </cell>
          <cell r="CT37">
            <v>0</v>
          </cell>
          <cell r="CV37">
            <v>0</v>
          </cell>
          <cell r="CW37">
            <v>5635000</v>
          </cell>
        </row>
        <row r="38">
          <cell r="A38">
            <v>315</v>
          </cell>
          <cell r="B38">
            <v>31362053</v>
          </cell>
          <cell r="C38">
            <v>870911</v>
          </cell>
          <cell r="D38">
            <v>2323625</v>
          </cell>
          <cell r="E38">
            <v>0</v>
          </cell>
          <cell r="F38">
            <v>1476995</v>
          </cell>
          <cell r="G38">
            <v>0</v>
          </cell>
          <cell r="H38">
            <v>0</v>
          </cell>
          <cell r="I38">
            <v>117017</v>
          </cell>
          <cell r="J38">
            <v>0</v>
          </cell>
          <cell r="K38">
            <v>0</v>
          </cell>
          <cell r="L38">
            <v>72175</v>
          </cell>
          <cell r="M38">
            <v>182408</v>
          </cell>
          <cell r="N38">
            <v>658214</v>
          </cell>
          <cell r="O38">
            <v>0</v>
          </cell>
          <cell r="P38">
            <v>0</v>
          </cell>
          <cell r="Q38">
            <v>47458</v>
          </cell>
          <cell r="R38">
            <v>73701</v>
          </cell>
          <cell r="V38">
            <v>3579</v>
          </cell>
          <cell r="Y38">
            <v>0</v>
          </cell>
          <cell r="Z38">
            <v>0</v>
          </cell>
          <cell r="AA38">
            <v>0</v>
          </cell>
          <cell r="AB38">
            <v>0</v>
          </cell>
          <cell r="AD38">
            <v>145631</v>
          </cell>
          <cell r="AE38">
            <v>14511</v>
          </cell>
          <cell r="AF38">
            <v>158420</v>
          </cell>
          <cell r="AG38">
            <v>0</v>
          </cell>
          <cell r="AH38">
            <v>5073</v>
          </cell>
          <cell r="AI38">
            <v>208878</v>
          </cell>
          <cell r="AJ38">
            <v>0</v>
          </cell>
          <cell r="AK38">
            <v>0</v>
          </cell>
          <cell r="AL38">
            <v>0</v>
          </cell>
          <cell r="AM38">
            <v>0</v>
          </cell>
          <cell r="AN38">
            <v>59248</v>
          </cell>
          <cell r="AO38">
            <v>443622</v>
          </cell>
          <cell r="AP38">
            <v>0</v>
          </cell>
          <cell r="AQ38">
            <v>38223519</v>
          </cell>
          <cell r="BV38">
            <v>0</v>
          </cell>
          <cell r="BW38">
            <v>0</v>
          </cell>
          <cell r="BX38">
            <v>29400</v>
          </cell>
          <cell r="BY38">
            <v>0</v>
          </cell>
          <cell r="BZ38">
            <v>0</v>
          </cell>
          <cell r="CM38">
            <v>3149740</v>
          </cell>
          <cell r="CO38">
            <v>0</v>
          </cell>
          <cell r="CP38">
            <v>0</v>
          </cell>
          <cell r="CQ38">
            <v>0</v>
          </cell>
          <cell r="CR38">
            <v>0</v>
          </cell>
          <cell r="CS38">
            <v>0</v>
          </cell>
          <cell r="CT38">
            <v>0</v>
          </cell>
          <cell r="CV38">
            <v>0</v>
          </cell>
          <cell r="CW38">
            <v>0</v>
          </cell>
        </row>
        <row r="39">
          <cell r="A39">
            <v>316</v>
          </cell>
          <cell r="B39">
            <v>75957929</v>
          </cell>
          <cell r="C39">
            <v>1649696</v>
          </cell>
          <cell r="D39">
            <v>9205693</v>
          </cell>
          <cell r="E39">
            <v>2524290</v>
          </cell>
          <cell r="F39">
            <v>3079975</v>
          </cell>
          <cell r="G39">
            <v>660000</v>
          </cell>
          <cell r="H39">
            <v>0</v>
          </cell>
          <cell r="I39">
            <v>228603</v>
          </cell>
          <cell r="J39">
            <v>1424368</v>
          </cell>
          <cell r="K39">
            <v>0</v>
          </cell>
          <cell r="L39">
            <v>0</v>
          </cell>
          <cell r="M39">
            <v>78885</v>
          </cell>
          <cell r="N39">
            <v>0</v>
          </cell>
          <cell r="O39">
            <v>0</v>
          </cell>
          <cell r="P39">
            <v>3304968</v>
          </cell>
          <cell r="Q39">
            <v>466116</v>
          </cell>
          <cell r="R39">
            <v>435000</v>
          </cell>
          <cell r="V39">
            <v>0</v>
          </cell>
          <cell r="Y39">
            <v>0</v>
          </cell>
          <cell r="Z39">
            <v>0</v>
          </cell>
          <cell r="AA39">
            <v>0</v>
          </cell>
          <cell r="AB39">
            <v>0</v>
          </cell>
          <cell r="AD39">
            <v>186054</v>
          </cell>
          <cell r="AE39">
            <v>0</v>
          </cell>
          <cell r="AF39">
            <v>501245</v>
          </cell>
          <cell r="AG39">
            <v>66202</v>
          </cell>
          <cell r="AH39">
            <v>25517</v>
          </cell>
          <cell r="AI39">
            <v>68896</v>
          </cell>
          <cell r="AJ39">
            <v>2411382</v>
          </cell>
          <cell r="AK39">
            <v>483000</v>
          </cell>
          <cell r="AL39">
            <v>691013</v>
          </cell>
          <cell r="AM39">
            <v>0</v>
          </cell>
          <cell r="AN39">
            <v>282745</v>
          </cell>
          <cell r="AO39">
            <v>0</v>
          </cell>
          <cell r="AP39">
            <v>0</v>
          </cell>
          <cell r="AQ39">
            <v>103731577</v>
          </cell>
          <cell r="BV39">
            <v>0</v>
          </cell>
          <cell r="BW39">
            <v>0</v>
          </cell>
          <cell r="BX39">
            <v>92700</v>
          </cell>
          <cell r="BY39">
            <v>254294</v>
          </cell>
          <cell r="BZ39">
            <v>0</v>
          </cell>
          <cell r="CM39">
            <v>3253935</v>
          </cell>
          <cell r="CO39">
            <v>0</v>
          </cell>
          <cell r="CP39">
            <v>0</v>
          </cell>
          <cell r="CQ39">
            <v>0</v>
          </cell>
          <cell r="CR39">
            <v>0</v>
          </cell>
          <cell r="CS39">
            <v>0</v>
          </cell>
          <cell r="CT39">
            <v>0</v>
          </cell>
          <cell r="CV39">
            <v>0</v>
          </cell>
          <cell r="CW39">
            <v>3563932</v>
          </cell>
        </row>
        <row r="40">
          <cell r="A40">
            <v>317</v>
          </cell>
          <cell r="B40">
            <v>75215342</v>
          </cell>
          <cell r="C40">
            <v>1931650</v>
          </cell>
          <cell r="D40">
            <v>4656792</v>
          </cell>
          <cell r="E40">
            <v>0</v>
          </cell>
          <cell r="F40">
            <v>2259046</v>
          </cell>
          <cell r="G40">
            <v>471007</v>
          </cell>
          <cell r="H40">
            <v>0</v>
          </cell>
          <cell r="I40">
            <v>29503</v>
          </cell>
          <cell r="J40">
            <v>0</v>
          </cell>
          <cell r="K40">
            <v>0</v>
          </cell>
          <cell r="L40">
            <v>6818</v>
          </cell>
          <cell r="M40">
            <v>20857</v>
          </cell>
          <cell r="N40">
            <v>165578</v>
          </cell>
          <cell r="O40">
            <v>0</v>
          </cell>
          <cell r="P40">
            <v>791080</v>
          </cell>
          <cell r="Q40">
            <v>283435</v>
          </cell>
          <cell r="R40">
            <v>472172</v>
          </cell>
          <cell r="V40">
            <v>0</v>
          </cell>
          <cell r="Y40">
            <v>0</v>
          </cell>
          <cell r="Z40">
            <v>12241</v>
          </cell>
          <cell r="AA40">
            <v>0</v>
          </cell>
          <cell r="AB40">
            <v>0</v>
          </cell>
          <cell r="AD40">
            <v>238103</v>
          </cell>
          <cell r="AE40">
            <v>0</v>
          </cell>
          <cell r="AF40">
            <v>66433</v>
          </cell>
          <cell r="AG40">
            <v>5470</v>
          </cell>
          <cell r="AH40">
            <v>0</v>
          </cell>
          <cell r="AI40">
            <v>36451</v>
          </cell>
          <cell r="AJ40">
            <v>587862</v>
          </cell>
          <cell r="AK40">
            <v>0</v>
          </cell>
          <cell r="AL40">
            <v>0</v>
          </cell>
          <cell r="AM40">
            <v>0</v>
          </cell>
          <cell r="AN40">
            <v>49759</v>
          </cell>
          <cell r="AO40">
            <v>5933471</v>
          </cell>
          <cell r="AP40">
            <v>0</v>
          </cell>
          <cell r="AQ40">
            <v>93233070</v>
          </cell>
          <cell r="BV40">
            <v>180219</v>
          </cell>
          <cell r="BW40">
            <v>243247</v>
          </cell>
          <cell r="BX40">
            <v>5911</v>
          </cell>
          <cell r="BY40">
            <v>0</v>
          </cell>
          <cell r="BZ40">
            <v>0</v>
          </cell>
          <cell r="CM40">
            <v>20516593</v>
          </cell>
          <cell r="CO40">
            <v>5000</v>
          </cell>
          <cell r="CP40">
            <v>0</v>
          </cell>
          <cell r="CQ40">
            <v>0</v>
          </cell>
          <cell r="CR40">
            <v>0</v>
          </cell>
          <cell r="CS40">
            <v>0</v>
          </cell>
          <cell r="CT40">
            <v>0</v>
          </cell>
          <cell r="CV40">
            <v>0</v>
          </cell>
          <cell r="CW40">
            <v>4063239</v>
          </cell>
        </row>
        <row r="41">
          <cell r="A41">
            <v>318</v>
          </cell>
          <cell r="B41">
            <v>27572100</v>
          </cell>
          <cell r="C41">
            <v>805400</v>
          </cell>
          <cell r="D41">
            <v>2288500</v>
          </cell>
          <cell r="E41">
            <v>0</v>
          </cell>
          <cell r="F41">
            <v>944600</v>
          </cell>
          <cell r="G41">
            <v>289500</v>
          </cell>
          <cell r="H41">
            <v>0</v>
          </cell>
          <cell r="I41">
            <v>277100</v>
          </cell>
          <cell r="J41">
            <v>0</v>
          </cell>
          <cell r="K41">
            <v>48900</v>
          </cell>
          <cell r="L41">
            <v>57100</v>
          </cell>
          <cell r="M41">
            <v>11700</v>
          </cell>
          <cell r="N41">
            <v>95600</v>
          </cell>
          <cell r="O41">
            <v>0</v>
          </cell>
          <cell r="P41">
            <v>680200</v>
          </cell>
          <cell r="Q41">
            <v>7300</v>
          </cell>
          <cell r="R41">
            <v>47620</v>
          </cell>
          <cell r="V41">
            <v>12100</v>
          </cell>
          <cell r="Y41">
            <v>0</v>
          </cell>
          <cell r="Z41">
            <v>0</v>
          </cell>
          <cell r="AA41">
            <v>0</v>
          </cell>
          <cell r="AB41">
            <v>0</v>
          </cell>
          <cell r="AD41">
            <v>97500</v>
          </cell>
          <cell r="AE41">
            <v>13500</v>
          </cell>
          <cell r="AF41">
            <v>187600</v>
          </cell>
          <cell r="AG41">
            <v>17400</v>
          </cell>
          <cell r="AH41">
            <v>5300</v>
          </cell>
          <cell r="AI41">
            <v>0</v>
          </cell>
          <cell r="AJ41">
            <v>118200</v>
          </cell>
          <cell r="AK41">
            <v>0</v>
          </cell>
          <cell r="AL41">
            <v>0</v>
          </cell>
          <cell r="AM41">
            <v>0</v>
          </cell>
          <cell r="AN41">
            <v>0</v>
          </cell>
          <cell r="AO41">
            <v>163800</v>
          </cell>
          <cell r="AP41">
            <v>0</v>
          </cell>
          <cell r="AQ41">
            <v>33741020</v>
          </cell>
          <cell r="BV41">
            <v>27600</v>
          </cell>
          <cell r="BW41">
            <v>42000</v>
          </cell>
          <cell r="BX41">
            <v>74500</v>
          </cell>
          <cell r="BY41">
            <v>0</v>
          </cell>
          <cell r="BZ41">
            <v>0</v>
          </cell>
          <cell r="CM41">
            <v>0</v>
          </cell>
          <cell r="CO41">
            <v>0</v>
          </cell>
          <cell r="CP41">
            <v>0</v>
          </cell>
          <cell r="CQ41">
            <v>0</v>
          </cell>
          <cell r="CR41">
            <v>0</v>
          </cell>
          <cell r="CS41">
            <v>0</v>
          </cell>
          <cell r="CT41">
            <v>0</v>
          </cell>
          <cell r="CV41">
            <v>0</v>
          </cell>
          <cell r="CW41">
            <v>4731300</v>
          </cell>
        </row>
        <row r="42">
          <cell r="A42">
            <v>319</v>
          </cell>
          <cell r="B42">
            <v>58176165</v>
          </cell>
          <cell r="C42">
            <v>1522886</v>
          </cell>
          <cell r="D42">
            <v>3320500</v>
          </cell>
          <cell r="E42">
            <v>0</v>
          </cell>
          <cell r="F42">
            <v>1837400</v>
          </cell>
          <cell r="G42">
            <v>290700</v>
          </cell>
          <cell r="H42">
            <v>0</v>
          </cell>
          <cell r="I42">
            <v>467489</v>
          </cell>
          <cell r="J42">
            <v>0</v>
          </cell>
          <cell r="K42">
            <v>0</v>
          </cell>
          <cell r="L42">
            <v>0</v>
          </cell>
          <cell r="M42">
            <v>20000</v>
          </cell>
          <cell r="N42">
            <v>175000</v>
          </cell>
          <cell r="O42">
            <v>0</v>
          </cell>
          <cell r="P42">
            <v>654499</v>
          </cell>
          <cell r="Q42">
            <v>249108</v>
          </cell>
          <cell r="R42">
            <v>321434</v>
          </cell>
          <cell r="V42">
            <v>4100</v>
          </cell>
          <cell r="Y42">
            <v>0</v>
          </cell>
          <cell r="Z42">
            <v>359200</v>
          </cell>
          <cell r="AA42">
            <v>0</v>
          </cell>
          <cell r="AB42">
            <v>0</v>
          </cell>
          <cell r="AD42">
            <v>96129</v>
          </cell>
          <cell r="AE42">
            <v>26284</v>
          </cell>
          <cell r="AF42">
            <v>196000</v>
          </cell>
          <cell r="AG42">
            <v>4352</v>
          </cell>
          <cell r="AH42">
            <v>27868</v>
          </cell>
          <cell r="AI42">
            <v>17000</v>
          </cell>
          <cell r="AJ42">
            <v>123767</v>
          </cell>
          <cell r="AK42">
            <v>0</v>
          </cell>
          <cell r="AL42">
            <v>0</v>
          </cell>
          <cell r="AM42">
            <v>0</v>
          </cell>
          <cell r="AN42">
            <v>63300</v>
          </cell>
          <cell r="AO42">
            <v>0</v>
          </cell>
          <cell r="AP42">
            <v>0</v>
          </cell>
          <cell r="AQ42">
            <v>67953181</v>
          </cell>
          <cell r="BV42">
            <v>20000</v>
          </cell>
          <cell r="BW42">
            <v>186787</v>
          </cell>
          <cell r="BX42">
            <v>0</v>
          </cell>
          <cell r="BY42">
            <v>0</v>
          </cell>
          <cell r="BZ42">
            <v>0</v>
          </cell>
          <cell r="CM42">
            <v>15213198</v>
          </cell>
          <cell r="CO42">
            <v>0</v>
          </cell>
          <cell r="CP42">
            <v>0</v>
          </cell>
          <cell r="CQ42">
            <v>0</v>
          </cell>
          <cell r="CR42">
            <v>0</v>
          </cell>
          <cell r="CS42">
            <v>0</v>
          </cell>
          <cell r="CT42">
            <v>0</v>
          </cell>
          <cell r="CV42">
            <v>0</v>
          </cell>
          <cell r="CW42">
            <v>5215705</v>
          </cell>
        </row>
        <row r="43">
          <cell r="A43">
            <v>320</v>
          </cell>
          <cell r="B43">
            <v>53358760</v>
          </cell>
          <cell r="C43">
            <v>1679048</v>
          </cell>
          <cell r="D43">
            <v>6824699</v>
          </cell>
          <cell r="E43">
            <v>2080935</v>
          </cell>
          <cell r="F43">
            <v>1522804</v>
          </cell>
          <cell r="G43">
            <v>502459</v>
          </cell>
          <cell r="H43">
            <v>0</v>
          </cell>
          <cell r="I43">
            <v>423434</v>
          </cell>
          <cell r="J43">
            <v>164271</v>
          </cell>
          <cell r="K43">
            <v>0</v>
          </cell>
          <cell r="L43">
            <v>0</v>
          </cell>
          <cell r="M43">
            <v>12458</v>
          </cell>
          <cell r="N43">
            <v>0</v>
          </cell>
          <cell r="O43">
            <v>0</v>
          </cell>
          <cell r="P43">
            <v>268291</v>
          </cell>
          <cell r="Q43">
            <v>203538</v>
          </cell>
          <cell r="R43">
            <v>336988</v>
          </cell>
          <cell r="V43">
            <v>25421</v>
          </cell>
          <cell r="Y43">
            <v>0</v>
          </cell>
          <cell r="Z43">
            <v>0</v>
          </cell>
          <cell r="AA43">
            <v>0</v>
          </cell>
          <cell r="AB43">
            <v>0</v>
          </cell>
          <cell r="AD43">
            <v>120361</v>
          </cell>
          <cell r="AE43">
            <v>39256</v>
          </cell>
          <cell r="AF43">
            <v>251218</v>
          </cell>
          <cell r="AG43">
            <v>0</v>
          </cell>
          <cell r="AH43">
            <v>17648</v>
          </cell>
          <cell r="AI43">
            <v>126497</v>
          </cell>
          <cell r="AJ43">
            <v>1453432</v>
          </cell>
          <cell r="AK43">
            <v>0</v>
          </cell>
          <cell r="AL43">
            <v>162100</v>
          </cell>
          <cell r="AM43">
            <v>0</v>
          </cell>
          <cell r="AN43">
            <v>43991</v>
          </cell>
          <cell r="AO43">
            <v>948041</v>
          </cell>
          <cell r="AP43">
            <v>0</v>
          </cell>
          <cell r="AQ43">
            <v>70565650</v>
          </cell>
          <cell r="BV43">
            <v>0</v>
          </cell>
          <cell r="BW43">
            <v>0</v>
          </cell>
          <cell r="BX43">
            <v>0</v>
          </cell>
          <cell r="BY43">
            <v>0</v>
          </cell>
          <cell r="BZ43">
            <v>0</v>
          </cell>
          <cell r="CM43">
            <v>4652262</v>
          </cell>
          <cell r="CO43">
            <v>0</v>
          </cell>
          <cell r="CP43">
            <v>0</v>
          </cell>
          <cell r="CQ43">
            <v>0</v>
          </cell>
          <cell r="CR43">
            <v>0</v>
          </cell>
          <cell r="CS43">
            <v>0</v>
          </cell>
          <cell r="CT43">
            <v>0</v>
          </cell>
          <cell r="CV43">
            <v>0</v>
          </cell>
          <cell r="CW43">
            <v>1875500</v>
          </cell>
        </row>
        <row r="44">
          <cell r="A44">
            <v>330</v>
          </cell>
          <cell r="B44">
            <v>258653934</v>
          </cell>
          <cell r="C44">
            <v>7849003</v>
          </cell>
          <cell r="D44">
            <v>34788072</v>
          </cell>
          <cell r="E44">
            <v>11701432</v>
          </cell>
          <cell r="F44">
            <v>10263541</v>
          </cell>
          <cell r="G44">
            <v>0</v>
          </cell>
          <cell r="H44">
            <v>110563</v>
          </cell>
          <cell r="I44">
            <v>1011998</v>
          </cell>
          <cell r="J44">
            <v>0</v>
          </cell>
          <cell r="K44">
            <v>508397</v>
          </cell>
          <cell r="L44">
            <v>530167</v>
          </cell>
          <cell r="M44">
            <v>597774</v>
          </cell>
          <cell r="N44">
            <v>0</v>
          </cell>
          <cell r="O44">
            <v>2019</v>
          </cell>
          <cell r="P44">
            <v>4141516</v>
          </cell>
          <cell r="Q44">
            <v>0</v>
          </cell>
          <cell r="R44">
            <v>1228456</v>
          </cell>
          <cell r="V44">
            <v>0</v>
          </cell>
          <cell r="Y44">
            <v>0</v>
          </cell>
          <cell r="Z44">
            <v>677546</v>
          </cell>
          <cell r="AA44">
            <v>0</v>
          </cell>
          <cell r="AB44">
            <v>154640</v>
          </cell>
          <cell r="AD44">
            <v>226717</v>
          </cell>
          <cell r="AE44">
            <v>58453</v>
          </cell>
          <cell r="AF44">
            <v>874283</v>
          </cell>
          <cell r="AG44">
            <v>36060</v>
          </cell>
          <cell r="AH44">
            <v>2156</v>
          </cell>
          <cell r="AI44">
            <v>601377</v>
          </cell>
          <cell r="AJ44">
            <v>1954901</v>
          </cell>
          <cell r="AK44">
            <v>0</v>
          </cell>
          <cell r="AL44">
            <v>395200</v>
          </cell>
          <cell r="AM44">
            <v>0</v>
          </cell>
          <cell r="AN44">
            <v>540186</v>
          </cell>
          <cell r="AO44">
            <v>1136965</v>
          </cell>
          <cell r="AP44">
            <v>0</v>
          </cell>
          <cell r="AQ44">
            <v>338045356</v>
          </cell>
          <cell r="BV44">
            <v>0</v>
          </cell>
          <cell r="BW44">
            <v>1015693</v>
          </cell>
          <cell r="BX44">
            <v>306503</v>
          </cell>
          <cell r="BY44">
            <v>144628</v>
          </cell>
          <cell r="BZ44">
            <v>0</v>
          </cell>
          <cell r="CM44">
            <v>32057370</v>
          </cell>
          <cell r="CO44">
            <v>0</v>
          </cell>
          <cell r="CP44">
            <v>0</v>
          </cell>
          <cell r="CQ44">
            <v>0</v>
          </cell>
          <cell r="CR44">
            <v>0</v>
          </cell>
          <cell r="CS44">
            <v>0</v>
          </cell>
          <cell r="CT44">
            <v>0</v>
          </cell>
          <cell r="CV44">
            <v>0</v>
          </cell>
          <cell r="CW44">
            <v>16530708</v>
          </cell>
        </row>
        <row r="45">
          <cell r="A45">
            <v>331</v>
          </cell>
          <cell r="B45">
            <v>72950700</v>
          </cell>
          <cell r="C45">
            <v>1991689</v>
          </cell>
          <cell r="D45">
            <v>6124227</v>
          </cell>
          <cell r="E45">
            <v>887076</v>
          </cell>
          <cell r="F45">
            <v>2949859</v>
          </cell>
          <cell r="G45">
            <v>0</v>
          </cell>
          <cell r="H45">
            <v>143587</v>
          </cell>
          <cell r="I45">
            <v>0</v>
          </cell>
          <cell r="J45">
            <v>0</v>
          </cell>
          <cell r="K45">
            <v>731378</v>
          </cell>
          <cell r="L45">
            <v>357898</v>
          </cell>
          <cell r="M45">
            <v>23796</v>
          </cell>
          <cell r="N45">
            <v>94842</v>
          </cell>
          <cell r="O45">
            <v>0</v>
          </cell>
          <cell r="P45">
            <v>760943</v>
          </cell>
          <cell r="Q45">
            <v>163595</v>
          </cell>
          <cell r="R45">
            <v>380208</v>
          </cell>
          <cell r="V45">
            <v>16832</v>
          </cell>
          <cell r="Y45">
            <v>0</v>
          </cell>
          <cell r="Z45">
            <v>234286</v>
          </cell>
          <cell r="AA45">
            <v>0</v>
          </cell>
          <cell r="AB45">
            <v>0</v>
          </cell>
          <cell r="AD45">
            <v>233684</v>
          </cell>
          <cell r="AE45">
            <v>30362</v>
          </cell>
          <cell r="AF45">
            <v>0</v>
          </cell>
          <cell r="AG45">
            <v>115945</v>
          </cell>
          <cell r="AH45">
            <v>1146</v>
          </cell>
          <cell r="AI45">
            <v>350722</v>
          </cell>
          <cell r="AJ45">
            <v>1552365</v>
          </cell>
          <cell r="AK45">
            <v>382225</v>
          </cell>
          <cell r="AL45">
            <v>338820</v>
          </cell>
          <cell r="AM45">
            <v>0</v>
          </cell>
          <cell r="AN45">
            <v>178561</v>
          </cell>
          <cell r="AO45">
            <v>272229</v>
          </cell>
          <cell r="AP45">
            <v>0</v>
          </cell>
          <cell r="AQ45">
            <v>91266975</v>
          </cell>
          <cell r="BV45">
            <v>0</v>
          </cell>
          <cell r="BW45">
            <v>58747</v>
          </cell>
          <cell r="BX45">
            <v>344118</v>
          </cell>
          <cell r="BY45">
            <v>0</v>
          </cell>
          <cell r="BZ45">
            <v>0</v>
          </cell>
          <cell r="CM45">
            <v>13065502</v>
          </cell>
          <cell r="CO45">
            <v>0</v>
          </cell>
          <cell r="CP45">
            <v>0</v>
          </cell>
          <cell r="CQ45">
            <v>0</v>
          </cell>
          <cell r="CR45">
            <v>0</v>
          </cell>
          <cell r="CS45">
            <v>0</v>
          </cell>
          <cell r="CT45">
            <v>0</v>
          </cell>
          <cell r="CV45">
            <v>0</v>
          </cell>
          <cell r="CW45">
            <v>11244763</v>
          </cell>
        </row>
        <row r="46">
          <cell r="A46">
            <v>332</v>
          </cell>
          <cell r="B46">
            <v>67568318</v>
          </cell>
          <cell r="C46">
            <v>2250118</v>
          </cell>
          <cell r="D46">
            <v>7203644</v>
          </cell>
          <cell r="E46">
            <v>470382</v>
          </cell>
          <cell r="F46">
            <v>3014750</v>
          </cell>
          <cell r="G46">
            <v>0</v>
          </cell>
          <cell r="H46">
            <v>0</v>
          </cell>
          <cell r="I46">
            <v>1409186</v>
          </cell>
          <cell r="J46">
            <v>0</v>
          </cell>
          <cell r="K46">
            <v>267826</v>
          </cell>
          <cell r="L46">
            <v>536272</v>
          </cell>
          <cell r="M46">
            <v>56318</v>
          </cell>
          <cell r="N46">
            <v>0</v>
          </cell>
          <cell r="O46">
            <v>0</v>
          </cell>
          <cell r="P46">
            <v>2393398</v>
          </cell>
          <cell r="Q46">
            <v>63134</v>
          </cell>
          <cell r="R46">
            <v>1025172</v>
          </cell>
          <cell r="V46">
            <v>25351</v>
          </cell>
          <cell r="Y46">
            <v>0</v>
          </cell>
          <cell r="Z46">
            <v>0</v>
          </cell>
          <cell r="AA46">
            <v>0</v>
          </cell>
          <cell r="AB46">
            <v>0</v>
          </cell>
          <cell r="AD46">
            <v>58649</v>
          </cell>
          <cell r="AE46">
            <v>0</v>
          </cell>
          <cell r="AF46">
            <v>71988</v>
          </cell>
          <cell r="AG46">
            <v>42521</v>
          </cell>
          <cell r="AH46">
            <v>19177</v>
          </cell>
          <cell r="AI46">
            <v>210138</v>
          </cell>
          <cell r="AJ46">
            <v>544429</v>
          </cell>
          <cell r="AK46">
            <v>977247</v>
          </cell>
          <cell r="AL46">
            <v>26881</v>
          </cell>
          <cell r="AM46">
            <v>0</v>
          </cell>
          <cell r="AN46">
            <v>131433</v>
          </cell>
          <cell r="AO46">
            <v>25555</v>
          </cell>
          <cell r="AP46">
            <v>0</v>
          </cell>
          <cell r="AQ46">
            <v>88391887</v>
          </cell>
          <cell r="BV46">
            <v>0</v>
          </cell>
          <cell r="BW46">
            <v>804895</v>
          </cell>
          <cell r="BX46">
            <v>0</v>
          </cell>
          <cell r="BY46">
            <v>77500</v>
          </cell>
          <cell r="BZ46">
            <v>0</v>
          </cell>
          <cell r="CM46">
            <v>1984690</v>
          </cell>
          <cell r="CO46">
            <v>0</v>
          </cell>
          <cell r="CP46">
            <v>0</v>
          </cell>
          <cell r="CQ46">
            <v>0</v>
          </cell>
          <cell r="CR46">
            <v>0</v>
          </cell>
          <cell r="CS46">
            <v>0</v>
          </cell>
          <cell r="CT46">
            <v>0</v>
          </cell>
          <cell r="CV46">
            <v>0</v>
          </cell>
          <cell r="CW46">
            <v>10884000</v>
          </cell>
        </row>
        <row r="47">
          <cell r="A47">
            <v>333</v>
          </cell>
          <cell r="B47">
            <v>69745000</v>
          </cell>
          <cell r="C47">
            <v>1899000</v>
          </cell>
          <cell r="D47">
            <v>4681200</v>
          </cell>
          <cell r="E47">
            <v>2941104</v>
          </cell>
          <cell r="F47">
            <v>2758128</v>
          </cell>
          <cell r="G47">
            <v>0</v>
          </cell>
          <cell r="H47">
            <v>0</v>
          </cell>
          <cell r="I47">
            <v>603400</v>
          </cell>
          <cell r="J47">
            <v>0</v>
          </cell>
          <cell r="K47">
            <v>162300</v>
          </cell>
          <cell r="L47">
            <v>306300</v>
          </cell>
          <cell r="M47">
            <v>0</v>
          </cell>
          <cell r="N47">
            <v>0</v>
          </cell>
          <cell r="O47">
            <v>0</v>
          </cell>
          <cell r="P47">
            <v>3593500</v>
          </cell>
          <cell r="Q47">
            <v>215900</v>
          </cell>
          <cell r="R47">
            <v>0</v>
          </cell>
          <cell r="V47">
            <v>40400</v>
          </cell>
          <cell r="Y47">
            <v>0</v>
          </cell>
          <cell r="Z47">
            <v>0</v>
          </cell>
          <cell r="AA47">
            <v>0</v>
          </cell>
          <cell r="AB47">
            <v>0</v>
          </cell>
          <cell r="AD47">
            <v>123300</v>
          </cell>
          <cell r="AE47">
            <v>16600</v>
          </cell>
          <cell r="AF47">
            <v>0</v>
          </cell>
          <cell r="AG47">
            <v>180900</v>
          </cell>
          <cell r="AH47">
            <v>0</v>
          </cell>
          <cell r="AI47">
            <v>111600</v>
          </cell>
          <cell r="AJ47">
            <v>0</v>
          </cell>
          <cell r="AK47">
            <v>0</v>
          </cell>
          <cell r="AL47">
            <v>737900</v>
          </cell>
          <cell r="AM47">
            <v>0</v>
          </cell>
          <cell r="AN47">
            <v>0</v>
          </cell>
          <cell r="AO47">
            <v>3079700</v>
          </cell>
          <cell r="AP47">
            <v>0</v>
          </cell>
          <cell r="AQ47">
            <v>91196232</v>
          </cell>
          <cell r="BV47">
            <v>189100</v>
          </cell>
          <cell r="BW47">
            <v>0</v>
          </cell>
          <cell r="BX47">
            <v>122800</v>
          </cell>
          <cell r="BY47">
            <v>0</v>
          </cell>
          <cell r="BZ47">
            <v>0</v>
          </cell>
          <cell r="CM47">
            <v>6276000</v>
          </cell>
          <cell r="CO47">
            <v>0</v>
          </cell>
          <cell r="CP47">
            <v>0</v>
          </cell>
          <cell r="CQ47">
            <v>0</v>
          </cell>
          <cell r="CR47">
            <v>0</v>
          </cell>
          <cell r="CS47">
            <v>0</v>
          </cell>
          <cell r="CT47">
            <v>0</v>
          </cell>
          <cell r="CV47">
            <v>0</v>
          </cell>
          <cell r="CW47">
            <v>6291500</v>
          </cell>
        </row>
        <row r="48">
          <cell r="A48">
            <v>334</v>
          </cell>
          <cell r="B48">
            <v>47705574</v>
          </cell>
          <cell r="C48">
            <v>1444890</v>
          </cell>
          <cell r="D48">
            <v>4056159</v>
          </cell>
          <cell r="E48">
            <v>799128</v>
          </cell>
          <cell r="F48">
            <v>2138190</v>
          </cell>
          <cell r="G48">
            <v>0</v>
          </cell>
          <cell r="H48">
            <v>0</v>
          </cell>
          <cell r="I48">
            <v>873003</v>
          </cell>
          <cell r="J48">
            <v>0</v>
          </cell>
          <cell r="K48">
            <v>0</v>
          </cell>
          <cell r="L48">
            <v>538952</v>
          </cell>
          <cell r="M48">
            <v>37420</v>
          </cell>
          <cell r="N48">
            <v>0</v>
          </cell>
          <cell r="O48">
            <v>0</v>
          </cell>
          <cell r="P48">
            <v>734289</v>
          </cell>
          <cell r="Q48">
            <v>0</v>
          </cell>
          <cell r="R48">
            <v>49248</v>
          </cell>
          <cell r="V48">
            <v>14811</v>
          </cell>
          <cell r="Y48">
            <v>0</v>
          </cell>
          <cell r="Z48">
            <v>286620</v>
          </cell>
          <cell r="AA48">
            <v>0</v>
          </cell>
          <cell r="AB48">
            <v>0</v>
          </cell>
          <cell r="AD48">
            <v>85779</v>
          </cell>
          <cell r="AE48">
            <v>30061</v>
          </cell>
          <cell r="AF48">
            <v>0</v>
          </cell>
          <cell r="AG48">
            <v>75913</v>
          </cell>
          <cell r="AH48">
            <v>27920</v>
          </cell>
          <cell r="AI48">
            <v>40974</v>
          </cell>
          <cell r="AJ48">
            <v>558793</v>
          </cell>
          <cell r="AK48">
            <v>284300</v>
          </cell>
          <cell r="AL48">
            <v>5299</v>
          </cell>
          <cell r="AM48">
            <v>53344</v>
          </cell>
          <cell r="AN48">
            <v>162873</v>
          </cell>
          <cell r="AO48">
            <v>984049</v>
          </cell>
          <cell r="AP48">
            <v>0</v>
          </cell>
          <cell r="AQ48">
            <v>60987589</v>
          </cell>
          <cell r="BV48">
            <v>0</v>
          </cell>
          <cell r="BW48">
            <v>366004</v>
          </cell>
          <cell r="BX48">
            <v>239371</v>
          </cell>
          <cell r="BY48">
            <v>46408</v>
          </cell>
          <cell r="BZ48">
            <v>43244</v>
          </cell>
          <cell r="CM48">
            <v>3031430</v>
          </cell>
          <cell r="CO48">
            <v>0</v>
          </cell>
          <cell r="CP48">
            <v>0</v>
          </cell>
          <cell r="CQ48">
            <v>0</v>
          </cell>
          <cell r="CR48">
            <v>0</v>
          </cell>
          <cell r="CS48">
            <v>0</v>
          </cell>
          <cell r="CT48">
            <v>0</v>
          </cell>
          <cell r="CV48">
            <v>0</v>
          </cell>
          <cell r="CW48">
            <v>11428900</v>
          </cell>
        </row>
        <row r="49">
          <cell r="A49">
            <v>335</v>
          </cell>
          <cell r="B49">
            <v>69392198</v>
          </cell>
          <cell r="C49">
            <v>2033012</v>
          </cell>
          <cell r="D49">
            <v>7630304</v>
          </cell>
          <cell r="E49">
            <v>2023359</v>
          </cell>
          <cell r="F49">
            <v>3015925</v>
          </cell>
          <cell r="G49">
            <v>0</v>
          </cell>
          <cell r="H49">
            <v>0</v>
          </cell>
          <cell r="I49">
            <v>633947</v>
          </cell>
          <cell r="J49">
            <v>115997</v>
          </cell>
          <cell r="K49">
            <v>135789</v>
          </cell>
          <cell r="L49">
            <v>0</v>
          </cell>
          <cell r="M49">
            <v>0</v>
          </cell>
          <cell r="N49">
            <v>0</v>
          </cell>
          <cell r="O49">
            <v>0</v>
          </cell>
          <cell r="P49">
            <v>955015</v>
          </cell>
          <cell r="Q49">
            <v>312804</v>
          </cell>
          <cell r="R49">
            <v>470599</v>
          </cell>
          <cell r="V49">
            <v>0</v>
          </cell>
          <cell r="Y49">
            <v>945469</v>
          </cell>
          <cell r="Z49">
            <v>446416</v>
          </cell>
          <cell r="AA49">
            <v>0</v>
          </cell>
          <cell r="AB49">
            <v>1629</v>
          </cell>
          <cell r="AD49">
            <v>74364</v>
          </cell>
          <cell r="AE49">
            <v>10597</v>
          </cell>
          <cell r="AF49">
            <v>7212</v>
          </cell>
          <cell r="AG49">
            <v>0</v>
          </cell>
          <cell r="AH49">
            <v>0</v>
          </cell>
          <cell r="AI49">
            <v>105364</v>
          </cell>
          <cell r="AJ49">
            <v>669598</v>
          </cell>
          <cell r="AK49">
            <v>18425</v>
          </cell>
          <cell r="AL49">
            <v>246494</v>
          </cell>
          <cell r="AM49">
            <v>0</v>
          </cell>
          <cell r="AN49">
            <v>125742</v>
          </cell>
          <cell r="AO49">
            <v>0</v>
          </cell>
          <cell r="AP49">
            <v>0</v>
          </cell>
          <cell r="AQ49">
            <v>89370259</v>
          </cell>
          <cell r="BV49">
            <v>101535</v>
          </cell>
          <cell r="BW49">
            <v>426708</v>
          </cell>
          <cell r="BX49">
            <v>0</v>
          </cell>
          <cell r="BY49">
            <v>0</v>
          </cell>
          <cell r="BZ49">
            <v>0</v>
          </cell>
          <cell r="CM49">
            <v>12135064</v>
          </cell>
          <cell r="CO49">
            <v>0</v>
          </cell>
          <cell r="CP49">
            <v>0</v>
          </cell>
          <cell r="CQ49">
            <v>0</v>
          </cell>
          <cell r="CR49">
            <v>0</v>
          </cell>
          <cell r="CS49">
            <v>0</v>
          </cell>
          <cell r="CT49">
            <v>182919</v>
          </cell>
          <cell r="CV49">
            <v>0</v>
          </cell>
          <cell r="CW49">
            <v>0</v>
          </cell>
        </row>
        <row r="50">
          <cell r="A50">
            <v>336</v>
          </cell>
          <cell r="B50">
            <v>58770400</v>
          </cell>
          <cell r="C50">
            <v>1866800</v>
          </cell>
          <cell r="D50">
            <v>6326600</v>
          </cell>
          <cell r="E50">
            <v>2559200</v>
          </cell>
          <cell r="F50">
            <v>2318900</v>
          </cell>
          <cell r="G50">
            <v>0</v>
          </cell>
          <cell r="H50">
            <v>0</v>
          </cell>
          <cell r="I50">
            <v>223000</v>
          </cell>
          <cell r="J50">
            <v>0</v>
          </cell>
          <cell r="K50">
            <v>0</v>
          </cell>
          <cell r="L50">
            <v>248200</v>
          </cell>
          <cell r="M50">
            <v>16800</v>
          </cell>
          <cell r="N50">
            <v>0</v>
          </cell>
          <cell r="O50">
            <v>0</v>
          </cell>
          <cell r="P50">
            <v>0</v>
          </cell>
          <cell r="Q50">
            <v>0</v>
          </cell>
          <cell r="R50">
            <v>0</v>
          </cell>
          <cell r="V50">
            <v>17400</v>
          </cell>
          <cell r="Y50">
            <v>6600</v>
          </cell>
          <cell r="Z50">
            <v>0</v>
          </cell>
          <cell r="AA50">
            <v>240500</v>
          </cell>
          <cell r="AB50">
            <v>0</v>
          </cell>
          <cell r="AD50">
            <v>116900</v>
          </cell>
          <cell r="AE50">
            <v>59400</v>
          </cell>
          <cell r="AF50">
            <v>0</v>
          </cell>
          <cell r="AG50">
            <v>101300</v>
          </cell>
          <cell r="AH50">
            <v>5000</v>
          </cell>
          <cell r="AI50">
            <v>0</v>
          </cell>
          <cell r="AJ50">
            <v>1217500</v>
          </cell>
          <cell r="AK50">
            <v>0</v>
          </cell>
          <cell r="AL50">
            <v>423100</v>
          </cell>
          <cell r="AM50">
            <v>0</v>
          </cell>
          <cell r="AN50">
            <v>117300</v>
          </cell>
          <cell r="AO50">
            <v>257200</v>
          </cell>
          <cell r="AP50">
            <v>0</v>
          </cell>
          <cell r="AQ50">
            <v>74892100</v>
          </cell>
          <cell r="BV50">
            <v>0</v>
          </cell>
          <cell r="BW50">
            <v>285800</v>
          </cell>
          <cell r="BX50">
            <v>110000</v>
          </cell>
          <cell r="BY50">
            <v>0</v>
          </cell>
          <cell r="BZ50">
            <v>0</v>
          </cell>
          <cell r="CM50">
            <v>10246500</v>
          </cell>
          <cell r="CO50">
            <v>0</v>
          </cell>
          <cell r="CP50">
            <v>0</v>
          </cell>
          <cell r="CQ50">
            <v>0</v>
          </cell>
          <cell r="CR50">
            <v>0</v>
          </cell>
          <cell r="CS50">
            <v>0</v>
          </cell>
          <cell r="CT50">
            <v>0</v>
          </cell>
          <cell r="CV50">
            <v>0</v>
          </cell>
          <cell r="CW50">
            <v>8087400</v>
          </cell>
        </row>
        <row r="51">
          <cell r="A51">
            <v>340</v>
          </cell>
          <cell r="B51">
            <v>33614968</v>
          </cell>
          <cell r="C51">
            <v>1111300</v>
          </cell>
          <cell r="D51">
            <v>1142704</v>
          </cell>
          <cell r="E51">
            <v>1425759</v>
          </cell>
          <cell r="F51">
            <v>1375004</v>
          </cell>
          <cell r="G51">
            <v>195831</v>
          </cell>
          <cell r="H51">
            <v>0</v>
          </cell>
          <cell r="I51">
            <v>3385</v>
          </cell>
          <cell r="J51">
            <v>0</v>
          </cell>
          <cell r="K51">
            <v>216904</v>
          </cell>
          <cell r="L51">
            <v>114592</v>
          </cell>
          <cell r="M51">
            <v>695320</v>
          </cell>
          <cell r="N51">
            <v>162358</v>
          </cell>
          <cell r="O51">
            <v>0</v>
          </cell>
          <cell r="P51">
            <v>380375</v>
          </cell>
          <cell r="Q51">
            <v>159099</v>
          </cell>
          <cell r="R51">
            <v>40724</v>
          </cell>
          <cell r="V51">
            <v>14462</v>
          </cell>
          <cell r="Y51">
            <v>0</v>
          </cell>
          <cell r="Z51">
            <v>0</v>
          </cell>
          <cell r="AA51">
            <v>0</v>
          </cell>
          <cell r="AB51">
            <v>0</v>
          </cell>
          <cell r="AD51">
            <v>78435</v>
          </cell>
          <cell r="AE51">
            <v>14444</v>
          </cell>
          <cell r="AF51">
            <v>0</v>
          </cell>
          <cell r="AG51">
            <v>158811</v>
          </cell>
          <cell r="AH51">
            <v>13752</v>
          </cell>
          <cell r="AI51">
            <v>158226</v>
          </cell>
          <cell r="AJ51">
            <v>3006901</v>
          </cell>
          <cell r="AK51">
            <v>0</v>
          </cell>
          <cell r="AL51">
            <v>641842</v>
          </cell>
          <cell r="AM51">
            <v>0</v>
          </cell>
          <cell r="AN51">
            <v>6904</v>
          </cell>
          <cell r="AO51">
            <v>685320</v>
          </cell>
          <cell r="AP51">
            <v>0</v>
          </cell>
          <cell r="AQ51">
            <v>45417420</v>
          </cell>
          <cell r="BV51">
            <v>262143</v>
          </cell>
          <cell r="BW51">
            <v>208555</v>
          </cell>
          <cell r="BX51">
            <v>92730</v>
          </cell>
          <cell r="BY51">
            <v>0</v>
          </cell>
          <cell r="BZ51">
            <v>0</v>
          </cell>
          <cell r="CM51">
            <v>1628661</v>
          </cell>
          <cell r="CO51">
            <v>0</v>
          </cell>
          <cell r="CP51">
            <v>0</v>
          </cell>
          <cell r="CQ51">
            <v>0</v>
          </cell>
          <cell r="CR51">
            <v>0</v>
          </cell>
          <cell r="CS51">
            <v>0</v>
          </cell>
          <cell r="CT51">
            <v>0</v>
          </cell>
          <cell r="CV51">
            <v>0</v>
          </cell>
          <cell r="CW51">
            <v>1785156</v>
          </cell>
        </row>
        <row r="52">
          <cell r="A52">
            <v>341</v>
          </cell>
          <cell r="B52">
            <v>115984858</v>
          </cell>
          <cell r="C52">
            <v>3298031</v>
          </cell>
          <cell r="D52">
            <v>13117053</v>
          </cell>
          <cell r="E52">
            <v>5663364</v>
          </cell>
          <cell r="F52">
            <v>5334650</v>
          </cell>
          <cell r="G52">
            <v>244702</v>
          </cell>
          <cell r="H52">
            <v>400000</v>
          </cell>
          <cell r="I52">
            <v>1782246</v>
          </cell>
          <cell r="J52">
            <v>290474</v>
          </cell>
          <cell r="K52">
            <v>90005</v>
          </cell>
          <cell r="L52">
            <v>373801</v>
          </cell>
          <cell r="M52">
            <v>67140</v>
          </cell>
          <cell r="N52">
            <v>0</v>
          </cell>
          <cell r="O52">
            <v>0</v>
          </cell>
          <cell r="P52">
            <v>1271355</v>
          </cell>
          <cell r="Q52">
            <v>1806073</v>
          </cell>
          <cell r="R52">
            <v>628093</v>
          </cell>
          <cell r="V52">
            <v>57460</v>
          </cell>
          <cell r="Y52">
            <v>0</v>
          </cell>
          <cell r="Z52">
            <v>0</v>
          </cell>
          <cell r="AA52">
            <v>0</v>
          </cell>
          <cell r="AB52">
            <v>0</v>
          </cell>
          <cell r="AD52">
            <v>317219</v>
          </cell>
          <cell r="AE52">
            <v>0</v>
          </cell>
          <cell r="AF52">
            <v>1242440</v>
          </cell>
          <cell r="AG52">
            <v>29904</v>
          </cell>
          <cell r="AH52">
            <v>9455</v>
          </cell>
          <cell r="AI52">
            <v>281233</v>
          </cell>
          <cell r="AJ52">
            <v>527685</v>
          </cell>
          <cell r="AK52">
            <v>9493297</v>
          </cell>
          <cell r="AL52">
            <v>496136</v>
          </cell>
          <cell r="AM52">
            <v>0</v>
          </cell>
          <cell r="AN52">
            <v>0</v>
          </cell>
          <cell r="AO52">
            <v>903668</v>
          </cell>
          <cell r="AP52">
            <v>0</v>
          </cell>
          <cell r="AQ52">
            <v>163710342</v>
          </cell>
          <cell r="BV52">
            <v>1331593</v>
          </cell>
          <cell r="BW52">
            <v>0</v>
          </cell>
          <cell r="BX52">
            <v>822415</v>
          </cell>
          <cell r="BY52">
            <v>247708</v>
          </cell>
          <cell r="BZ52">
            <v>168604</v>
          </cell>
          <cell r="CM52">
            <v>22493361</v>
          </cell>
          <cell r="CO52">
            <v>20000</v>
          </cell>
          <cell r="CP52">
            <v>0</v>
          </cell>
          <cell r="CQ52">
            <v>0</v>
          </cell>
          <cell r="CR52">
            <v>0</v>
          </cell>
          <cell r="CS52">
            <v>0</v>
          </cell>
          <cell r="CT52">
            <v>0</v>
          </cell>
          <cell r="CV52">
            <v>0</v>
          </cell>
          <cell r="CW52">
            <v>10778000</v>
          </cell>
        </row>
        <row r="53">
          <cell r="A53">
            <v>342</v>
          </cell>
          <cell r="B53">
            <v>40102988</v>
          </cell>
          <cell r="C53">
            <v>1177201</v>
          </cell>
          <cell r="D53">
            <v>4090924</v>
          </cell>
          <cell r="E53">
            <v>2238218</v>
          </cell>
          <cell r="F53">
            <v>1931779</v>
          </cell>
          <cell r="G53">
            <v>0</v>
          </cell>
          <cell r="H53">
            <v>0</v>
          </cell>
          <cell r="I53">
            <v>569277</v>
          </cell>
          <cell r="J53">
            <v>36426</v>
          </cell>
          <cell r="K53">
            <v>0</v>
          </cell>
          <cell r="L53">
            <v>0</v>
          </cell>
          <cell r="M53">
            <v>0</v>
          </cell>
          <cell r="N53">
            <v>75912</v>
          </cell>
          <cell r="O53">
            <v>0</v>
          </cell>
          <cell r="P53">
            <v>636176</v>
          </cell>
          <cell r="Q53">
            <v>21405</v>
          </cell>
          <cell r="R53">
            <v>56717</v>
          </cell>
          <cell r="V53">
            <v>26679</v>
          </cell>
          <cell r="Y53">
            <v>0</v>
          </cell>
          <cell r="Z53">
            <v>0</v>
          </cell>
          <cell r="AA53">
            <v>4345</v>
          </cell>
          <cell r="AB53">
            <v>0</v>
          </cell>
          <cell r="AD53">
            <v>66783</v>
          </cell>
          <cell r="AE53">
            <v>35099</v>
          </cell>
          <cell r="AF53">
            <v>182894</v>
          </cell>
          <cell r="AG53">
            <v>37503</v>
          </cell>
          <cell r="AH53">
            <v>16507</v>
          </cell>
          <cell r="AI53">
            <v>0</v>
          </cell>
          <cell r="AJ53">
            <v>380040</v>
          </cell>
          <cell r="AK53">
            <v>150408</v>
          </cell>
          <cell r="AL53">
            <v>0</v>
          </cell>
          <cell r="AM53">
            <v>0</v>
          </cell>
          <cell r="AN53">
            <v>0</v>
          </cell>
          <cell r="AO53">
            <v>852150</v>
          </cell>
          <cell r="AP53">
            <v>0</v>
          </cell>
          <cell r="AQ53">
            <v>52689431</v>
          </cell>
          <cell r="BV53">
            <v>229843</v>
          </cell>
          <cell r="BW53">
            <v>0</v>
          </cell>
          <cell r="BX53">
            <v>402206</v>
          </cell>
          <cell r="BY53">
            <v>0</v>
          </cell>
          <cell r="BZ53">
            <v>0</v>
          </cell>
          <cell r="CM53">
            <v>4511519</v>
          </cell>
          <cell r="CO53">
            <v>0</v>
          </cell>
          <cell r="CP53">
            <v>0</v>
          </cell>
          <cell r="CQ53">
            <v>0</v>
          </cell>
          <cell r="CR53">
            <v>0</v>
          </cell>
          <cell r="CS53">
            <v>0</v>
          </cell>
          <cell r="CT53">
            <v>0</v>
          </cell>
          <cell r="CV53">
            <v>42690</v>
          </cell>
          <cell r="CW53">
            <v>4381788</v>
          </cell>
        </row>
        <row r="54">
          <cell r="A54">
            <v>343</v>
          </cell>
          <cell r="B54">
            <v>69607730</v>
          </cell>
          <cell r="C54">
            <v>2246471</v>
          </cell>
          <cell r="D54">
            <v>7657843</v>
          </cell>
          <cell r="E54">
            <v>2520278</v>
          </cell>
          <cell r="F54">
            <v>3456737</v>
          </cell>
          <cell r="G54">
            <v>0</v>
          </cell>
          <cell r="H54">
            <v>0</v>
          </cell>
          <cell r="I54">
            <v>23623</v>
          </cell>
          <cell r="J54">
            <v>222407</v>
          </cell>
          <cell r="K54">
            <v>63047</v>
          </cell>
          <cell r="L54">
            <v>419806</v>
          </cell>
          <cell r="M54">
            <v>15140</v>
          </cell>
          <cell r="N54">
            <v>26650</v>
          </cell>
          <cell r="O54">
            <v>0</v>
          </cell>
          <cell r="P54">
            <v>549881</v>
          </cell>
          <cell r="Q54">
            <v>769970</v>
          </cell>
          <cell r="R54">
            <v>440326</v>
          </cell>
          <cell r="V54">
            <v>10100</v>
          </cell>
          <cell r="Y54">
            <v>0</v>
          </cell>
          <cell r="Z54">
            <v>430640</v>
          </cell>
          <cell r="AA54">
            <v>0</v>
          </cell>
          <cell r="AB54">
            <v>0</v>
          </cell>
          <cell r="AD54">
            <v>4130</v>
          </cell>
          <cell r="AE54">
            <v>11030</v>
          </cell>
          <cell r="AF54">
            <v>618598</v>
          </cell>
          <cell r="AG54">
            <v>22650</v>
          </cell>
          <cell r="AH54">
            <v>11180</v>
          </cell>
          <cell r="AI54">
            <v>64400</v>
          </cell>
          <cell r="AJ54">
            <v>678974</v>
          </cell>
          <cell r="AK54">
            <v>44048</v>
          </cell>
          <cell r="AL54">
            <v>1525289</v>
          </cell>
          <cell r="AM54">
            <v>0</v>
          </cell>
          <cell r="AN54">
            <v>35758</v>
          </cell>
          <cell r="AO54">
            <v>366830</v>
          </cell>
          <cell r="AP54">
            <v>0</v>
          </cell>
          <cell r="AQ54">
            <v>91843536</v>
          </cell>
          <cell r="BV54">
            <v>180170</v>
          </cell>
          <cell r="BW54">
            <v>353030</v>
          </cell>
          <cell r="BX54">
            <v>0</v>
          </cell>
          <cell r="BY54">
            <v>0</v>
          </cell>
          <cell r="BZ54">
            <v>0</v>
          </cell>
          <cell r="CM54">
            <v>9588166</v>
          </cell>
          <cell r="CO54">
            <v>0</v>
          </cell>
          <cell r="CP54">
            <v>0</v>
          </cell>
          <cell r="CQ54">
            <v>0</v>
          </cell>
          <cell r="CR54">
            <v>0</v>
          </cell>
          <cell r="CS54">
            <v>0</v>
          </cell>
          <cell r="CT54">
            <v>0</v>
          </cell>
          <cell r="CV54">
            <v>0</v>
          </cell>
          <cell r="CW54">
            <v>3566239</v>
          </cell>
        </row>
        <row r="55">
          <cell r="A55">
            <v>344</v>
          </cell>
          <cell r="B55">
            <v>81245000</v>
          </cell>
          <cell r="C55">
            <v>2333400</v>
          </cell>
          <cell r="D55">
            <v>7439800</v>
          </cell>
          <cell r="E55">
            <v>4650000</v>
          </cell>
          <cell r="F55">
            <v>4087500</v>
          </cell>
          <cell r="G55">
            <v>10000</v>
          </cell>
          <cell r="H55">
            <v>0</v>
          </cell>
          <cell r="I55">
            <v>2080700</v>
          </cell>
          <cell r="J55">
            <v>0</v>
          </cell>
          <cell r="K55">
            <v>0</v>
          </cell>
          <cell r="L55">
            <v>90600</v>
          </cell>
          <cell r="M55">
            <v>0</v>
          </cell>
          <cell r="N55">
            <v>0</v>
          </cell>
          <cell r="O55">
            <v>0</v>
          </cell>
          <cell r="P55">
            <v>668700</v>
          </cell>
          <cell r="Q55">
            <v>10300</v>
          </cell>
          <cell r="R55">
            <v>2700</v>
          </cell>
          <cell r="V55">
            <v>5700</v>
          </cell>
          <cell r="Y55">
            <v>0</v>
          </cell>
          <cell r="Z55">
            <v>4000</v>
          </cell>
          <cell r="AA55">
            <v>0</v>
          </cell>
          <cell r="AB55">
            <v>0</v>
          </cell>
          <cell r="AD55">
            <v>311800</v>
          </cell>
          <cell r="AE55">
            <v>20200</v>
          </cell>
          <cell r="AF55">
            <v>40000</v>
          </cell>
          <cell r="AG55">
            <v>52500</v>
          </cell>
          <cell r="AH55">
            <v>0</v>
          </cell>
          <cell r="AI55">
            <v>355100</v>
          </cell>
          <cell r="AJ55">
            <v>855300</v>
          </cell>
          <cell r="AK55">
            <v>0</v>
          </cell>
          <cell r="AL55">
            <v>359600</v>
          </cell>
          <cell r="AM55">
            <v>0</v>
          </cell>
          <cell r="AN55">
            <v>125800</v>
          </cell>
          <cell r="AO55">
            <v>1499000</v>
          </cell>
          <cell r="AP55">
            <v>0</v>
          </cell>
          <cell r="AQ55">
            <v>106247700</v>
          </cell>
          <cell r="BV55">
            <v>63000</v>
          </cell>
          <cell r="BW55">
            <v>239200</v>
          </cell>
          <cell r="BX55">
            <v>567300</v>
          </cell>
          <cell r="BY55">
            <v>68000</v>
          </cell>
          <cell r="BZ55">
            <v>81700</v>
          </cell>
          <cell r="CM55">
            <v>14997500</v>
          </cell>
          <cell r="CO55">
            <v>75000</v>
          </cell>
          <cell r="CP55">
            <v>0</v>
          </cell>
          <cell r="CQ55">
            <v>0</v>
          </cell>
          <cell r="CR55">
            <v>0</v>
          </cell>
          <cell r="CS55">
            <v>0</v>
          </cell>
          <cell r="CT55">
            <v>0</v>
          </cell>
          <cell r="CV55">
            <v>0</v>
          </cell>
          <cell r="CW55">
            <v>8292000</v>
          </cell>
        </row>
        <row r="56">
          <cell r="A56">
            <v>350</v>
          </cell>
          <cell r="B56">
            <v>66083006</v>
          </cell>
          <cell r="C56">
            <v>1746275</v>
          </cell>
          <cell r="D56">
            <v>6899774</v>
          </cell>
          <cell r="E56">
            <v>987381</v>
          </cell>
          <cell r="F56">
            <v>2838674</v>
          </cell>
          <cell r="G56">
            <v>0</v>
          </cell>
          <cell r="H56">
            <v>0</v>
          </cell>
          <cell r="I56">
            <v>425801</v>
          </cell>
          <cell r="J56">
            <v>13427</v>
          </cell>
          <cell r="K56">
            <v>484907</v>
          </cell>
          <cell r="L56">
            <v>1785</v>
          </cell>
          <cell r="M56">
            <v>132434</v>
          </cell>
          <cell r="N56">
            <v>-231220</v>
          </cell>
          <cell r="O56">
            <v>0</v>
          </cell>
          <cell r="P56">
            <v>1454572</v>
          </cell>
          <cell r="Q56">
            <v>620550</v>
          </cell>
          <cell r="R56">
            <v>238974</v>
          </cell>
          <cell r="V56">
            <v>19835</v>
          </cell>
          <cell r="Y56">
            <v>5500</v>
          </cell>
          <cell r="Z56">
            <v>417785</v>
          </cell>
          <cell r="AA56">
            <v>0</v>
          </cell>
          <cell r="AB56">
            <v>3300</v>
          </cell>
          <cell r="AD56">
            <v>77729</v>
          </cell>
          <cell r="AE56">
            <v>32906</v>
          </cell>
          <cell r="AF56">
            <v>62590</v>
          </cell>
          <cell r="AG56">
            <v>25293</v>
          </cell>
          <cell r="AH56">
            <v>6918</v>
          </cell>
          <cell r="AI56">
            <v>244670</v>
          </cell>
          <cell r="AJ56">
            <v>663791</v>
          </cell>
          <cell r="AK56">
            <v>0</v>
          </cell>
          <cell r="AL56">
            <v>0</v>
          </cell>
          <cell r="AM56">
            <v>0</v>
          </cell>
          <cell r="AN56">
            <v>223456</v>
          </cell>
          <cell r="AO56">
            <v>2211067</v>
          </cell>
          <cell r="AP56">
            <v>0</v>
          </cell>
          <cell r="AQ56">
            <v>85691180</v>
          </cell>
          <cell r="BV56">
            <v>79828</v>
          </cell>
          <cell r="BW56">
            <v>816199</v>
          </cell>
          <cell r="BX56">
            <v>90689</v>
          </cell>
          <cell r="BY56">
            <v>0</v>
          </cell>
          <cell r="BZ56">
            <v>0</v>
          </cell>
          <cell r="CM56">
            <v>7101623</v>
          </cell>
          <cell r="CO56">
            <v>0</v>
          </cell>
          <cell r="CP56">
            <v>0</v>
          </cell>
          <cell r="CQ56">
            <v>1538</v>
          </cell>
          <cell r="CR56">
            <v>0</v>
          </cell>
          <cell r="CS56">
            <v>0</v>
          </cell>
          <cell r="CT56">
            <v>0</v>
          </cell>
          <cell r="CV56">
            <v>0</v>
          </cell>
          <cell r="CW56">
            <v>5151642</v>
          </cell>
        </row>
        <row r="57">
          <cell r="A57">
            <v>351</v>
          </cell>
          <cell r="B57">
            <v>38239851.270000003</v>
          </cell>
          <cell r="C57">
            <v>1441947</v>
          </cell>
          <cell r="D57">
            <v>2271378</v>
          </cell>
          <cell r="E57">
            <v>781419</v>
          </cell>
          <cell r="F57">
            <v>1741717</v>
          </cell>
          <cell r="G57">
            <v>0</v>
          </cell>
          <cell r="H57">
            <v>0</v>
          </cell>
          <cell r="I57">
            <v>17000</v>
          </cell>
          <cell r="J57">
            <v>0</v>
          </cell>
          <cell r="K57">
            <v>0</v>
          </cell>
          <cell r="L57">
            <v>94900</v>
          </cell>
          <cell r="M57">
            <v>91800</v>
          </cell>
          <cell r="N57">
            <v>119945</v>
          </cell>
          <cell r="O57">
            <v>0</v>
          </cell>
          <cell r="P57">
            <v>1727100</v>
          </cell>
          <cell r="Q57">
            <v>37650</v>
          </cell>
          <cell r="R57">
            <v>78700</v>
          </cell>
          <cell r="V57">
            <v>0</v>
          </cell>
          <cell r="Y57">
            <v>13600</v>
          </cell>
          <cell r="Z57">
            <v>0</v>
          </cell>
          <cell r="AA57">
            <v>0</v>
          </cell>
          <cell r="AB57">
            <v>0</v>
          </cell>
          <cell r="AD57">
            <v>47500</v>
          </cell>
          <cell r="AE57">
            <v>0</v>
          </cell>
          <cell r="AF57">
            <v>268876</v>
          </cell>
          <cell r="AG57">
            <v>0</v>
          </cell>
          <cell r="AH57">
            <v>2000</v>
          </cell>
          <cell r="AI57">
            <v>143300</v>
          </cell>
          <cell r="AJ57">
            <v>1062913</v>
          </cell>
          <cell r="AK57">
            <v>0</v>
          </cell>
          <cell r="AL57">
            <v>50581</v>
          </cell>
          <cell r="AM57">
            <v>0</v>
          </cell>
          <cell r="AN57">
            <v>0</v>
          </cell>
          <cell r="AO57">
            <v>0</v>
          </cell>
          <cell r="AP57">
            <v>0</v>
          </cell>
          <cell r="AQ57">
            <v>48232177.270000003</v>
          </cell>
          <cell r="BV57">
            <v>0</v>
          </cell>
          <cell r="BW57">
            <v>182700</v>
          </cell>
          <cell r="BX57">
            <v>117726</v>
          </cell>
          <cell r="BY57">
            <v>25900</v>
          </cell>
          <cell r="BZ57">
            <v>76000</v>
          </cell>
          <cell r="CM57">
            <v>0</v>
          </cell>
          <cell r="CO57">
            <v>0</v>
          </cell>
          <cell r="CP57">
            <v>0</v>
          </cell>
          <cell r="CQ57">
            <v>0</v>
          </cell>
          <cell r="CR57">
            <v>0</v>
          </cell>
          <cell r="CS57">
            <v>0</v>
          </cell>
          <cell r="CT57">
            <v>0</v>
          </cell>
          <cell r="CV57">
            <v>0</v>
          </cell>
          <cell r="CW57">
            <v>4695692</v>
          </cell>
        </row>
        <row r="58">
          <cell r="A58">
            <v>352</v>
          </cell>
          <cell r="B58">
            <v>83808384</v>
          </cell>
          <cell r="C58">
            <v>2326623</v>
          </cell>
          <cell r="D58">
            <v>11816889</v>
          </cell>
          <cell r="E58">
            <v>3987577</v>
          </cell>
          <cell r="F58">
            <v>2443757</v>
          </cell>
          <cell r="G58">
            <v>0</v>
          </cell>
          <cell r="H58">
            <v>0</v>
          </cell>
          <cell r="I58">
            <v>1325054</v>
          </cell>
          <cell r="J58">
            <v>897741</v>
          </cell>
          <cell r="K58">
            <v>0</v>
          </cell>
          <cell r="L58">
            <v>0</v>
          </cell>
          <cell r="M58">
            <v>572580</v>
          </cell>
          <cell r="N58">
            <v>0</v>
          </cell>
          <cell r="O58">
            <v>0</v>
          </cell>
          <cell r="P58">
            <v>493699</v>
          </cell>
          <cell r="Q58">
            <v>898452</v>
          </cell>
          <cell r="R58">
            <v>420118</v>
          </cell>
          <cell r="V58">
            <v>0</v>
          </cell>
          <cell r="Y58">
            <v>0</v>
          </cell>
          <cell r="Z58">
            <v>31104</v>
          </cell>
          <cell r="AA58">
            <v>0</v>
          </cell>
          <cell r="AB58">
            <v>0</v>
          </cell>
          <cell r="AD58">
            <v>425441</v>
          </cell>
          <cell r="AE58">
            <v>34598</v>
          </cell>
          <cell r="AF58">
            <v>101530</v>
          </cell>
          <cell r="AG58">
            <v>0</v>
          </cell>
          <cell r="AH58">
            <v>5451</v>
          </cell>
          <cell r="AI58">
            <v>95463</v>
          </cell>
          <cell r="AJ58">
            <v>1786116</v>
          </cell>
          <cell r="AK58">
            <v>0</v>
          </cell>
          <cell r="AL58">
            <v>785926</v>
          </cell>
          <cell r="AM58">
            <v>0</v>
          </cell>
          <cell r="AN58">
            <v>333240</v>
          </cell>
          <cell r="AO58">
            <v>813232</v>
          </cell>
          <cell r="AP58">
            <v>0</v>
          </cell>
          <cell r="AQ58">
            <v>113402975</v>
          </cell>
          <cell r="BV58">
            <v>521178</v>
          </cell>
          <cell r="BW58">
            <v>390992</v>
          </cell>
          <cell r="BX58">
            <v>0</v>
          </cell>
          <cell r="BY58">
            <v>337720</v>
          </cell>
          <cell r="BZ58">
            <v>0</v>
          </cell>
          <cell r="CM58">
            <v>4055838</v>
          </cell>
          <cell r="CO58">
            <v>0</v>
          </cell>
          <cell r="CP58">
            <v>0</v>
          </cell>
          <cell r="CQ58">
            <v>0</v>
          </cell>
          <cell r="CR58">
            <v>0</v>
          </cell>
          <cell r="CS58">
            <v>0</v>
          </cell>
          <cell r="CT58">
            <v>0</v>
          </cell>
          <cell r="CV58">
            <v>0</v>
          </cell>
          <cell r="CW58">
            <v>20824000</v>
          </cell>
        </row>
        <row r="59">
          <cell r="A59">
            <v>353</v>
          </cell>
          <cell r="B59">
            <v>56176303</v>
          </cell>
          <cell r="C59">
            <v>1628558</v>
          </cell>
          <cell r="D59">
            <v>6645062</v>
          </cell>
          <cell r="E59">
            <v>2483131</v>
          </cell>
          <cell r="F59">
            <v>2558799</v>
          </cell>
          <cell r="G59">
            <v>0</v>
          </cell>
          <cell r="H59">
            <v>46460</v>
          </cell>
          <cell r="I59">
            <v>731200</v>
          </cell>
          <cell r="J59">
            <v>76877</v>
          </cell>
          <cell r="K59">
            <v>145931</v>
          </cell>
          <cell r="L59">
            <v>198550</v>
          </cell>
          <cell r="M59">
            <v>51171</v>
          </cell>
          <cell r="N59">
            <v>0</v>
          </cell>
          <cell r="O59">
            <v>0</v>
          </cell>
          <cell r="P59">
            <v>1016890</v>
          </cell>
          <cell r="Q59">
            <v>1069739</v>
          </cell>
          <cell r="R59">
            <v>160746</v>
          </cell>
          <cell r="V59">
            <v>2134</v>
          </cell>
          <cell r="Y59">
            <v>0</v>
          </cell>
          <cell r="Z59">
            <v>181211</v>
          </cell>
          <cell r="AA59">
            <v>19709</v>
          </cell>
          <cell r="AB59">
            <v>4128</v>
          </cell>
          <cell r="AD59">
            <v>123873</v>
          </cell>
          <cell r="AE59">
            <v>14548</v>
          </cell>
          <cell r="AF59">
            <v>63531</v>
          </cell>
          <cell r="AG59">
            <v>12448</v>
          </cell>
          <cell r="AH59">
            <v>3482</v>
          </cell>
          <cell r="AI59">
            <v>95793</v>
          </cell>
          <cell r="AJ59">
            <v>842580</v>
          </cell>
          <cell r="AK59">
            <v>61990</v>
          </cell>
          <cell r="AL59">
            <v>188601</v>
          </cell>
          <cell r="AM59">
            <v>0</v>
          </cell>
          <cell r="AN59">
            <v>99600</v>
          </cell>
          <cell r="AO59">
            <v>1034512</v>
          </cell>
          <cell r="AP59">
            <v>0</v>
          </cell>
          <cell r="AQ59">
            <v>75737557</v>
          </cell>
          <cell r="BV59">
            <v>7276</v>
          </cell>
          <cell r="BW59">
            <v>178092</v>
          </cell>
          <cell r="BX59">
            <v>137774</v>
          </cell>
          <cell r="BY59">
            <v>66507</v>
          </cell>
          <cell r="BZ59">
            <v>0</v>
          </cell>
          <cell r="CM59">
            <v>3349915</v>
          </cell>
          <cell r="CO59">
            <v>0</v>
          </cell>
          <cell r="CP59">
            <v>0</v>
          </cell>
          <cell r="CQ59">
            <v>0</v>
          </cell>
          <cell r="CR59">
            <v>0</v>
          </cell>
          <cell r="CS59">
            <v>0</v>
          </cell>
          <cell r="CT59">
            <v>0</v>
          </cell>
          <cell r="CV59">
            <v>0</v>
          </cell>
          <cell r="CW59">
            <v>4021252</v>
          </cell>
        </row>
        <row r="60">
          <cell r="A60">
            <v>354</v>
          </cell>
          <cell r="B60">
            <v>49079602</v>
          </cell>
          <cell r="C60">
            <v>1427354</v>
          </cell>
          <cell r="D60">
            <v>5460477</v>
          </cell>
          <cell r="E60">
            <v>2203925</v>
          </cell>
          <cell r="F60">
            <v>1953205</v>
          </cell>
          <cell r="G60">
            <v>0</v>
          </cell>
          <cell r="H60">
            <v>0</v>
          </cell>
          <cell r="I60">
            <v>146327</v>
          </cell>
          <cell r="J60">
            <v>41905</v>
          </cell>
          <cell r="K60">
            <v>441739</v>
          </cell>
          <cell r="L60">
            <v>80194</v>
          </cell>
          <cell r="M60">
            <v>28737</v>
          </cell>
          <cell r="N60">
            <v>0</v>
          </cell>
          <cell r="O60">
            <v>0</v>
          </cell>
          <cell r="P60">
            <v>1267323</v>
          </cell>
          <cell r="Q60">
            <v>90117</v>
          </cell>
          <cell r="R60">
            <v>41452</v>
          </cell>
          <cell r="V60">
            <v>48886</v>
          </cell>
          <cell r="Y60">
            <v>0</v>
          </cell>
          <cell r="Z60">
            <v>392104</v>
          </cell>
          <cell r="AA60">
            <v>0</v>
          </cell>
          <cell r="AB60">
            <v>0</v>
          </cell>
          <cell r="AD60">
            <v>70491</v>
          </cell>
          <cell r="AE60">
            <v>81808</v>
          </cell>
          <cell r="AF60">
            <v>203016</v>
          </cell>
          <cell r="AG60">
            <v>0</v>
          </cell>
          <cell r="AH60">
            <v>7865</v>
          </cell>
          <cell r="AI60">
            <v>195874</v>
          </cell>
          <cell r="AJ60">
            <v>679245</v>
          </cell>
          <cell r="AK60">
            <v>362000</v>
          </cell>
          <cell r="AL60">
            <v>225888</v>
          </cell>
          <cell r="AM60">
            <v>0</v>
          </cell>
          <cell r="AN60">
            <v>94709</v>
          </cell>
          <cell r="AO60">
            <v>613331</v>
          </cell>
          <cell r="AP60">
            <v>0</v>
          </cell>
          <cell r="AQ60">
            <v>65237574</v>
          </cell>
          <cell r="BV60">
            <v>212185</v>
          </cell>
          <cell r="BW60">
            <v>125670</v>
          </cell>
          <cell r="BX60">
            <v>269628</v>
          </cell>
          <cell r="BY60">
            <v>103603</v>
          </cell>
          <cell r="BZ60">
            <v>0</v>
          </cell>
          <cell r="CM60">
            <v>3204429</v>
          </cell>
          <cell r="CO60">
            <v>71643</v>
          </cell>
          <cell r="CP60">
            <v>0</v>
          </cell>
          <cell r="CQ60">
            <v>0</v>
          </cell>
          <cell r="CR60">
            <v>0</v>
          </cell>
          <cell r="CS60">
            <v>0</v>
          </cell>
          <cell r="CT60">
            <v>0</v>
          </cell>
          <cell r="CV60">
            <v>0</v>
          </cell>
          <cell r="CW60">
            <v>4021000</v>
          </cell>
        </row>
        <row r="61">
          <cell r="A61">
            <v>355</v>
          </cell>
          <cell r="B61">
            <v>39648571</v>
          </cell>
          <cell r="C61">
            <v>1436200</v>
          </cell>
          <cell r="D61">
            <v>4186743</v>
          </cell>
          <cell r="E61">
            <v>2106045</v>
          </cell>
          <cell r="F61">
            <v>1783229</v>
          </cell>
          <cell r="G61">
            <v>0</v>
          </cell>
          <cell r="H61">
            <v>301896</v>
          </cell>
          <cell r="I61">
            <v>138645</v>
          </cell>
          <cell r="J61">
            <v>74038</v>
          </cell>
          <cell r="K61">
            <v>779814</v>
          </cell>
          <cell r="L61">
            <v>128895</v>
          </cell>
          <cell r="M61">
            <v>19983</v>
          </cell>
          <cell r="N61">
            <v>0</v>
          </cell>
          <cell r="O61">
            <v>0</v>
          </cell>
          <cell r="P61">
            <v>2395095</v>
          </cell>
          <cell r="Q61">
            <v>129366</v>
          </cell>
          <cell r="R61">
            <v>331352</v>
          </cell>
          <cell r="V61">
            <v>0</v>
          </cell>
          <cell r="Y61">
            <v>0</v>
          </cell>
          <cell r="Z61">
            <v>0</v>
          </cell>
          <cell r="AA61">
            <v>0</v>
          </cell>
          <cell r="AB61">
            <v>22198</v>
          </cell>
          <cell r="AD61">
            <v>52380</v>
          </cell>
          <cell r="AE61">
            <v>0</v>
          </cell>
          <cell r="AF61">
            <v>124772</v>
          </cell>
          <cell r="AG61">
            <v>25179</v>
          </cell>
          <cell r="AH61">
            <v>9235</v>
          </cell>
          <cell r="AI61">
            <v>159486</v>
          </cell>
          <cell r="AJ61">
            <v>1760294</v>
          </cell>
          <cell r="AK61">
            <v>0</v>
          </cell>
          <cell r="AL61">
            <v>0</v>
          </cell>
          <cell r="AM61">
            <v>0</v>
          </cell>
          <cell r="AN61">
            <v>71807</v>
          </cell>
          <cell r="AO61">
            <v>394382</v>
          </cell>
          <cell r="AP61">
            <v>0</v>
          </cell>
          <cell r="AQ61">
            <v>56079605</v>
          </cell>
          <cell r="BV61">
            <v>5157</v>
          </cell>
          <cell r="BW61">
            <v>106105</v>
          </cell>
          <cell r="BX61">
            <v>2523</v>
          </cell>
          <cell r="BY61">
            <v>197670</v>
          </cell>
          <cell r="BZ61">
            <v>0</v>
          </cell>
          <cell r="CM61">
            <v>0</v>
          </cell>
          <cell r="CO61">
            <v>0</v>
          </cell>
          <cell r="CP61">
            <v>0</v>
          </cell>
          <cell r="CQ61">
            <v>0</v>
          </cell>
          <cell r="CR61">
            <v>0</v>
          </cell>
          <cell r="CS61">
            <v>0</v>
          </cell>
          <cell r="CT61">
            <v>0</v>
          </cell>
          <cell r="CV61">
            <v>0</v>
          </cell>
          <cell r="CW61">
            <v>5107437</v>
          </cell>
        </row>
        <row r="62">
          <cell r="A62">
            <v>356</v>
          </cell>
          <cell r="B62">
            <v>50842682.409999996</v>
          </cell>
          <cell r="C62">
            <v>1517887</v>
          </cell>
          <cell r="D62">
            <v>2999049.46</v>
          </cell>
          <cell r="E62">
            <v>457530</v>
          </cell>
          <cell r="F62">
            <v>2396196</v>
          </cell>
          <cell r="G62">
            <v>0</v>
          </cell>
          <cell r="H62">
            <v>0</v>
          </cell>
          <cell r="I62">
            <v>653137</v>
          </cell>
          <cell r="J62">
            <v>0</v>
          </cell>
          <cell r="K62">
            <v>1377658</v>
          </cell>
          <cell r="L62">
            <v>180633</v>
          </cell>
          <cell r="M62">
            <v>292059</v>
          </cell>
          <cell r="N62">
            <v>382444</v>
          </cell>
          <cell r="O62">
            <v>0</v>
          </cell>
          <cell r="P62">
            <v>2178144</v>
          </cell>
          <cell r="Q62">
            <v>159485</v>
          </cell>
          <cell r="R62">
            <v>20438</v>
          </cell>
          <cell r="V62">
            <v>22633</v>
          </cell>
          <cell r="Y62">
            <v>0</v>
          </cell>
          <cell r="Z62">
            <v>0</v>
          </cell>
          <cell r="AA62">
            <v>0</v>
          </cell>
          <cell r="AB62">
            <v>0</v>
          </cell>
          <cell r="AD62">
            <v>289028</v>
          </cell>
          <cell r="AE62">
            <v>7447</v>
          </cell>
          <cell r="AF62">
            <v>398960</v>
          </cell>
          <cell r="AG62">
            <v>48640</v>
          </cell>
          <cell r="AH62">
            <v>2082</v>
          </cell>
          <cell r="AI62">
            <v>246421</v>
          </cell>
          <cell r="AJ62">
            <v>1596671</v>
          </cell>
          <cell r="AK62">
            <v>0</v>
          </cell>
          <cell r="AL62">
            <v>200493</v>
          </cell>
          <cell r="AM62">
            <v>0</v>
          </cell>
          <cell r="AN62">
            <v>339867</v>
          </cell>
          <cell r="AO62">
            <v>1327056</v>
          </cell>
          <cell r="AP62">
            <v>0</v>
          </cell>
          <cell r="AQ62">
            <v>67936640.870000005</v>
          </cell>
          <cell r="BV62">
            <v>41667</v>
          </cell>
          <cell r="BW62">
            <v>141579</v>
          </cell>
          <cell r="BX62">
            <v>0</v>
          </cell>
          <cell r="BY62">
            <v>0</v>
          </cell>
          <cell r="BZ62">
            <v>0</v>
          </cell>
          <cell r="CM62">
            <v>0</v>
          </cell>
          <cell r="CO62">
            <v>0</v>
          </cell>
          <cell r="CP62">
            <v>0</v>
          </cell>
          <cell r="CQ62">
            <v>0</v>
          </cell>
          <cell r="CR62">
            <v>0</v>
          </cell>
          <cell r="CS62">
            <v>0</v>
          </cell>
          <cell r="CT62">
            <v>0</v>
          </cell>
          <cell r="CV62">
            <v>0</v>
          </cell>
          <cell r="CW62">
            <v>1894215</v>
          </cell>
        </row>
        <row r="63">
          <cell r="A63">
            <v>357</v>
          </cell>
          <cell r="B63">
            <v>49607860.100000001</v>
          </cell>
          <cell r="C63">
            <v>1827930</v>
          </cell>
          <cell r="D63">
            <v>4270850</v>
          </cell>
          <cell r="E63">
            <v>445860</v>
          </cell>
          <cell r="F63">
            <v>2048320</v>
          </cell>
          <cell r="G63">
            <v>0</v>
          </cell>
          <cell r="H63">
            <v>240000</v>
          </cell>
          <cell r="I63">
            <v>0</v>
          </cell>
          <cell r="J63">
            <v>0</v>
          </cell>
          <cell r="K63">
            <v>0</v>
          </cell>
          <cell r="L63">
            <v>450000</v>
          </cell>
          <cell r="M63">
            <v>0</v>
          </cell>
          <cell r="N63">
            <v>0</v>
          </cell>
          <cell r="O63">
            <v>0</v>
          </cell>
          <cell r="P63">
            <v>804380</v>
          </cell>
          <cell r="Q63">
            <v>162000</v>
          </cell>
          <cell r="R63">
            <v>467480</v>
          </cell>
          <cell r="V63">
            <v>7000</v>
          </cell>
          <cell r="Y63">
            <v>0</v>
          </cell>
          <cell r="Z63">
            <v>375000</v>
          </cell>
          <cell r="AA63">
            <v>0</v>
          </cell>
          <cell r="AB63">
            <v>13500</v>
          </cell>
          <cell r="AD63">
            <v>60000</v>
          </cell>
          <cell r="AE63">
            <v>17000</v>
          </cell>
          <cell r="AF63">
            <v>250000</v>
          </cell>
          <cell r="AG63">
            <v>60000</v>
          </cell>
          <cell r="AH63">
            <v>1800</v>
          </cell>
          <cell r="AI63">
            <v>370000</v>
          </cell>
          <cell r="AJ63">
            <v>2000000</v>
          </cell>
          <cell r="AK63">
            <v>0</v>
          </cell>
          <cell r="AL63">
            <v>59330</v>
          </cell>
          <cell r="AM63">
            <v>0</v>
          </cell>
          <cell r="AN63">
            <v>120000</v>
          </cell>
          <cell r="AO63">
            <v>1693350</v>
          </cell>
          <cell r="AP63">
            <v>0</v>
          </cell>
          <cell r="AQ63">
            <v>65351660.100000001</v>
          </cell>
          <cell r="BV63">
            <v>165000</v>
          </cell>
          <cell r="BW63">
            <v>221390</v>
          </cell>
          <cell r="BX63">
            <v>0</v>
          </cell>
          <cell r="BY63">
            <v>0</v>
          </cell>
          <cell r="BZ63">
            <v>0</v>
          </cell>
          <cell r="CM63">
            <v>1419144</v>
          </cell>
          <cell r="CO63">
            <v>0</v>
          </cell>
          <cell r="CP63">
            <v>0</v>
          </cell>
          <cell r="CQ63">
            <v>0</v>
          </cell>
          <cell r="CR63">
            <v>0</v>
          </cell>
          <cell r="CS63">
            <v>0</v>
          </cell>
          <cell r="CT63">
            <v>0</v>
          </cell>
          <cell r="CV63">
            <v>0</v>
          </cell>
          <cell r="CW63">
            <v>4132000</v>
          </cell>
        </row>
        <row r="64">
          <cell r="A64">
            <v>358</v>
          </cell>
          <cell r="B64">
            <v>52333250</v>
          </cell>
          <cell r="C64">
            <v>1820243</v>
          </cell>
          <cell r="D64">
            <v>3761436</v>
          </cell>
          <cell r="E64">
            <v>300819</v>
          </cell>
          <cell r="F64">
            <v>2538781</v>
          </cell>
          <cell r="G64">
            <v>0</v>
          </cell>
          <cell r="H64">
            <v>0</v>
          </cell>
          <cell r="I64">
            <v>864790</v>
          </cell>
          <cell r="J64">
            <v>280638</v>
          </cell>
          <cell r="K64">
            <v>496318</v>
          </cell>
          <cell r="L64">
            <v>0</v>
          </cell>
          <cell r="M64">
            <v>0</v>
          </cell>
          <cell r="N64">
            <v>0</v>
          </cell>
          <cell r="O64">
            <v>0</v>
          </cell>
          <cell r="P64">
            <v>452655</v>
          </cell>
          <cell r="Q64">
            <v>592792</v>
          </cell>
          <cell r="R64">
            <v>0</v>
          </cell>
          <cell r="V64">
            <v>7652</v>
          </cell>
          <cell r="Y64">
            <v>62855</v>
          </cell>
          <cell r="Z64">
            <v>0</v>
          </cell>
          <cell r="AA64">
            <v>0</v>
          </cell>
          <cell r="AB64">
            <v>0</v>
          </cell>
          <cell r="AD64">
            <v>201381</v>
          </cell>
          <cell r="AE64">
            <v>9261</v>
          </cell>
          <cell r="AF64">
            <v>166741</v>
          </cell>
          <cell r="AG64">
            <v>28765</v>
          </cell>
          <cell r="AH64">
            <v>151</v>
          </cell>
          <cell r="AI64">
            <v>13893</v>
          </cell>
          <cell r="AJ64">
            <v>1358132</v>
          </cell>
          <cell r="AK64">
            <v>1635492</v>
          </cell>
          <cell r="AL64">
            <v>48971</v>
          </cell>
          <cell r="AM64">
            <v>0</v>
          </cell>
          <cell r="AN64">
            <v>128050</v>
          </cell>
          <cell r="AO64">
            <v>0</v>
          </cell>
          <cell r="AP64">
            <v>0</v>
          </cell>
          <cell r="AQ64">
            <v>67103066</v>
          </cell>
          <cell r="BV64">
            <v>0</v>
          </cell>
          <cell r="BW64">
            <v>87731</v>
          </cell>
          <cell r="BX64">
            <v>286459</v>
          </cell>
          <cell r="BY64">
            <v>30045</v>
          </cell>
          <cell r="BZ64">
            <v>0</v>
          </cell>
          <cell r="CM64">
            <v>7531864</v>
          </cell>
          <cell r="CO64">
            <v>0</v>
          </cell>
          <cell r="CP64">
            <v>0</v>
          </cell>
          <cell r="CQ64">
            <v>0</v>
          </cell>
          <cell r="CR64">
            <v>0</v>
          </cell>
          <cell r="CS64">
            <v>0</v>
          </cell>
          <cell r="CT64">
            <v>0</v>
          </cell>
          <cell r="CV64">
            <v>0</v>
          </cell>
          <cell r="CW64">
            <v>8381213</v>
          </cell>
        </row>
        <row r="65">
          <cell r="A65">
            <v>359</v>
          </cell>
          <cell r="B65">
            <v>71000647</v>
          </cell>
          <cell r="C65">
            <v>2187204</v>
          </cell>
          <cell r="D65">
            <v>7000722</v>
          </cell>
          <cell r="E65">
            <v>645364</v>
          </cell>
          <cell r="F65">
            <v>3414114</v>
          </cell>
          <cell r="G65">
            <v>0</v>
          </cell>
          <cell r="H65">
            <v>0</v>
          </cell>
          <cell r="I65">
            <v>23019</v>
          </cell>
          <cell r="J65">
            <v>0</v>
          </cell>
          <cell r="K65">
            <v>557454</v>
          </cell>
          <cell r="L65">
            <v>75078</v>
          </cell>
          <cell r="M65">
            <v>0</v>
          </cell>
          <cell r="N65">
            <v>0</v>
          </cell>
          <cell r="O65">
            <v>0</v>
          </cell>
          <cell r="P65">
            <v>344836</v>
          </cell>
          <cell r="Q65">
            <v>248734</v>
          </cell>
          <cell r="R65">
            <v>782534</v>
          </cell>
          <cell r="V65">
            <v>11672</v>
          </cell>
          <cell r="Y65">
            <v>0</v>
          </cell>
          <cell r="Z65">
            <v>3268</v>
          </cell>
          <cell r="AA65">
            <v>0</v>
          </cell>
          <cell r="AB65">
            <v>17046</v>
          </cell>
          <cell r="AD65">
            <v>65343</v>
          </cell>
          <cell r="AE65">
            <v>30562</v>
          </cell>
          <cell r="AF65">
            <v>205756</v>
          </cell>
          <cell r="AG65">
            <v>28291</v>
          </cell>
          <cell r="AH65">
            <v>14103</v>
          </cell>
          <cell r="AI65">
            <v>103466</v>
          </cell>
          <cell r="AJ65">
            <v>1508533</v>
          </cell>
          <cell r="AK65">
            <v>360105</v>
          </cell>
          <cell r="AL65">
            <v>0</v>
          </cell>
          <cell r="AM65">
            <v>0</v>
          </cell>
          <cell r="AN65">
            <v>150396</v>
          </cell>
          <cell r="AO65">
            <v>0</v>
          </cell>
          <cell r="AP65">
            <v>0</v>
          </cell>
          <cell r="AQ65">
            <v>88778247</v>
          </cell>
          <cell r="BV65">
            <v>148423</v>
          </cell>
          <cell r="BW65">
            <v>0</v>
          </cell>
          <cell r="BX65">
            <v>240214</v>
          </cell>
          <cell r="BY65">
            <v>0</v>
          </cell>
          <cell r="BZ65">
            <v>0</v>
          </cell>
          <cell r="CM65">
            <v>2322217</v>
          </cell>
          <cell r="CO65">
            <v>0</v>
          </cell>
          <cell r="CP65">
            <v>0</v>
          </cell>
          <cell r="CQ65">
            <v>0</v>
          </cell>
          <cell r="CR65">
            <v>0</v>
          </cell>
          <cell r="CS65">
            <v>0</v>
          </cell>
          <cell r="CT65">
            <v>0</v>
          </cell>
          <cell r="CV65">
            <v>0</v>
          </cell>
          <cell r="CW65">
            <v>5044077</v>
          </cell>
        </row>
        <row r="66">
          <cell r="A66">
            <v>370</v>
          </cell>
          <cell r="B66">
            <v>43269017</v>
          </cell>
          <cell r="C66">
            <v>1457063</v>
          </cell>
          <cell r="D66">
            <v>5838315</v>
          </cell>
          <cell r="E66">
            <v>1950848</v>
          </cell>
          <cell r="F66">
            <v>1873194</v>
          </cell>
          <cell r="G66">
            <v>0</v>
          </cell>
          <cell r="H66">
            <v>0</v>
          </cell>
          <cell r="I66">
            <v>0</v>
          </cell>
          <cell r="J66">
            <v>0</v>
          </cell>
          <cell r="K66">
            <v>376703</v>
          </cell>
          <cell r="L66">
            <v>195522</v>
          </cell>
          <cell r="M66">
            <v>358102</v>
          </cell>
          <cell r="N66">
            <v>0</v>
          </cell>
          <cell r="O66">
            <v>0</v>
          </cell>
          <cell r="P66">
            <v>1360529</v>
          </cell>
          <cell r="Q66">
            <v>74760</v>
          </cell>
          <cell r="R66">
            <v>211736</v>
          </cell>
          <cell r="V66">
            <v>14171</v>
          </cell>
          <cell r="Y66">
            <v>0</v>
          </cell>
          <cell r="Z66">
            <v>0</v>
          </cell>
          <cell r="AA66">
            <v>0</v>
          </cell>
          <cell r="AB66">
            <v>0</v>
          </cell>
          <cell r="AD66">
            <v>85763</v>
          </cell>
          <cell r="AE66">
            <v>21000</v>
          </cell>
          <cell r="AF66">
            <v>0</v>
          </cell>
          <cell r="AG66">
            <v>41720</v>
          </cell>
          <cell r="AH66">
            <v>1291</v>
          </cell>
          <cell r="AI66">
            <v>77020</v>
          </cell>
          <cell r="AJ66">
            <v>294643</v>
          </cell>
          <cell r="AK66">
            <v>843660</v>
          </cell>
          <cell r="AL66">
            <v>1123772</v>
          </cell>
          <cell r="AM66">
            <v>0</v>
          </cell>
          <cell r="AN66">
            <v>59030</v>
          </cell>
          <cell r="AO66">
            <v>139776</v>
          </cell>
          <cell r="AP66">
            <v>0</v>
          </cell>
          <cell r="AQ66">
            <v>59667635</v>
          </cell>
          <cell r="BV66">
            <v>0</v>
          </cell>
          <cell r="BW66">
            <v>0</v>
          </cell>
          <cell r="BX66">
            <v>0</v>
          </cell>
          <cell r="BY66">
            <v>0</v>
          </cell>
          <cell r="BZ66">
            <v>0</v>
          </cell>
          <cell r="CM66">
            <v>993267</v>
          </cell>
          <cell r="CO66">
            <v>0</v>
          </cell>
          <cell r="CP66">
            <v>0</v>
          </cell>
          <cell r="CQ66">
            <v>0</v>
          </cell>
          <cell r="CR66">
            <v>0</v>
          </cell>
          <cell r="CS66">
            <v>0</v>
          </cell>
          <cell r="CT66">
            <v>0</v>
          </cell>
          <cell r="CV66">
            <v>0</v>
          </cell>
          <cell r="CW66">
            <v>825876</v>
          </cell>
        </row>
        <row r="67">
          <cell r="A67">
            <v>371</v>
          </cell>
          <cell r="B67">
            <v>72288216</v>
          </cell>
          <cell r="C67">
            <v>1789518</v>
          </cell>
          <cell r="D67">
            <v>7438620</v>
          </cell>
          <cell r="E67">
            <v>3105680</v>
          </cell>
          <cell r="F67">
            <v>4822587</v>
          </cell>
          <cell r="G67">
            <v>0</v>
          </cell>
          <cell r="H67">
            <v>0</v>
          </cell>
          <cell r="I67">
            <v>614480</v>
          </cell>
          <cell r="J67">
            <v>0</v>
          </cell>
          <cell r="K67">
            <v>0</v>
          </cell>
          <cell r="L67">
            <v>0</v>
          </cell>
          <cell r="M67">
            <v>36540</v>
          </cell>
          <cell r="N67">
            <v>0</v>
          </cell>
          <cell r="O67">
            <v>0</v>
          </cell>
          <cell r="P67">
            <v>2402220</v>
          </cell>
          <cell r="Q67">
            <v>1229950</v>
          </cell>
          <cell r="R67">
            <v>27090</v>
          </cell>
          <cell r="V67">
            <v>61900</v>
          </cell>
          <cell r="Y67">
            <v>0</v>
          </cell>
          <cell r="Z67">
            <v>16540</v>
          </cell>
          <cell r="AA67">
            <v>0</v>
          </cell>
          <cell r="AB67">
            <v>6700</v>
          </cell>
          <cell r="AD67">
            <v>168130</v>
          </cell>
          <cell r="AE67">
            <v>0</v>
          </cell>
          <cell r="AF67">
            <v>25210</v>
          </cell>
          <cell r="AG67">
            <v>20810</v>
          </cell>
          <cell r="AH67">
            <v>3350</v>
          </cell>
          <cell r="AI67">
            <v>295040</v>
          </cell>
          <cell r="AJ67">
            <v>241130</v>
          </cell>
          <cell r="AK67">
            <v>3343314</v>
          </cell>
          <cell r="AL67">
            <v>219150</v>
          </cell>
          <cell r="AM67">
            <v>0</v>
          </cell>
          <cell r="AN67">
            <v>204980</v>
          </cell>
          <cell r="AO67">
            <v>1291740</v>
          </cell>
          <cell r="AP67">
            <v>0</v>
          </cell>
          <cell r="AQ67">
            <v>99652895</v>
          </cell>
          <cell r="BV67">
            <v>37780</v>
          </cell>
          <cell r="BW67">
            <v>216453</v>
          </cell>
          <cell r="BX67">
            <v>863970</v>
          </cell>
          <cell r="BY67">
            <v>0</v>
          </cell>
          <cell r="BZ67">
            <v>309022</v>
          </cell>
          <cell r="CM67">
            <v>12465580</v>
          </cell>
          <cell r="CO67">
            <v>199260</v>
          </cell>
          <cell r="CP67">
            <v>0</v>
          </cell>
          <cell r="CQ67">
            <v>0</v>
          </cell>
          <cell r="CR67">
            <v>0</v>
          </cell>
          <cell r="CS67">
            <v>0</v>
          </cell>
          <cell r="CT67">
            <v>0</v>
          </cell>
          <cell r="CV67">
            <v>0</v>
          </cell>
          <cell r="CW67">
            <v>10955680</v>
          </cell>
        </row>
        <row r="68">
          <cell r="A68">
            <v>372</v>
          </cell>
          <cell r="B68">
            <v>68851843</v>
          </cell>
          <cell r="C68">
            <v>1790094</v>
          </cell>
          <cell r="D68">
            <v>7293696</v>
          </cell>
          <cell r="E68">
            <v>3411986</v>
          </cell>
          <cell r="F68">
            <v>0</v>
          </cell>
          <cell r="G68">
            <v>0</v>
          </cell>
          <cell r="H68">
            <v>0</v>
          </cell>
          <cell r="I68">
            <v>20376</v>
          </cell>
          <cell r="J68">
            <v>90951</v>
          </cell>
          <cell r="K68">
            <v>612180</v>
          </cell>
          <cell r="L68">
            <v>94001</v>
          </cell>
          <cell r="M68">
            <v>92436</v>
          </cell>
          <cell r="N68">
            <v>120545</v>
          </cell>
          <cell r="O68">
            <v>0</v>
          </cell>
          <cell r="P68">
            <v>1349890</v>
          </cell>
          <cell r="Q68">
            <v>1466365</v>
          </cell>
          <cell r="R68">
            <v>134745</v>
          </cell>
          <cell r="V68">
            <v>20150</v>
          </cell>
          <cell r="Y68">
            <v>0</v>
          </cell>
          <cell r="Z68">
            <v>0</v>
          </cell>
          <cell r="AA68">
            <v>0</v>
          </cell>
          <cell r="AB68">
            <v>28378</v>
          </cell>
          <cell r="AD68">
            <v>98333</v>
          </cell>
          <cell r="AE68">
            <v>50106</v>
          </cell>
          <cell r="AF68">
            <v>260109</v>
          </cell>
          <cell r="AG68">
            <v>0</v>
          </cell>
          <cell r="AH68">
            <v>2224</v>
          </cell>
          <cell r="AI68">
            <v>14561</v>
          </cell>
          <cell r="AJ68">
            <v>737257</v>
          </cell>
          <cell r="AK68">
            <v>0</v>
          </cell>
          <cell r="AL68">
            <v>0</v>
          </cell>
          <cell r="AM68">
            <v>0</v>
          </cell>
          <cell r="AN68">
            <v>2604803</v>
          </cell>
          <cell r="AO68">
            <v>2423349</v>
          </cell>
          <cell r="AP68">
            <v>0</v>
          </cell>
          <cell r="AQ68">
            <v>91568378</v>
          </cell>
          <cell r="BV68">
            <v>13123</v>
          </cell>
          <cell r="BW68">
            <v>0</v>
          </cell>
          <cell r="BX68">
            <v>243411</v>
          </cell>
          <cell r="BY68">
            <v>64880</v>
          </cell>
          <cell r="BZ68">
            <v>0</v>
          </cell>
          <cell r="CM68">
            <v>7701794</v>
          </cell>
          <cell r="CO68">
            <v>0</v>
          </cell>
          <cell r="CP68">
            <v>0</v>
          </cell>
          <cell r="CQ68">
            <v>489545</v>
          </cell>
          <cell r="CR68">
            <v>0</v>
          </cell>
          <cell r="CS68">
            <v>0</v>
          </cell>
          <cell r="CT68">
            <v>0</v>
          </cell>
          <cell r="CV68">
            <v>0</v>
          </cell>
          <cell r="CW68">
            <v>4417080</v>
          </cell>
        </row>
        <row r="69">
          <cell r="A69">
            <v>373</v>
          </cell>
          <cell r="B69">
            <v>100843603</v>
          </cell>
          <cell r="C69">
            <v>2893795</v>
          </cell>
          <cell r="D69">
            <v>11380167</v>
          </cell>
          <cell r="E69">
            <v>4853771</v>
          </cell>
          <cell r="F69">
            <v>4544345</v>
          </cell>
          <cell r="G69">
            <v>0</v>
          </cell>
          <cell r="H69">
            <v>0</v>
          </cell>
          <cell r="I69">
            <v>847528</v>
          </cell>
          <cell r="J69">
            <v>0</v>
          </cell>
          <cell r="K69">
            <v>740946</v>
          </cell>
          <cell r="L69">
            <v>228081</v>
          </cell>
          <cell r="M69">
            <v>1060152</v>
          </cell>
          <cell r="N69">
            <v>0</v>
          </cell>
          <cell r="O69">
            <v>0</v>
          </cell>
          <cell r="P69">
            <v>1976092</v>
          </cell>
          <cell r="Q69">
            <v>498517</v>
          </cell>
          <cell r="R69">
            <v>1433945</v>
          </cell>
          <cell r="V69">
            <v>0</v>
          </cell>
          <cell r="Y69">
            <v>0</v>
          </cell>
          <cell r="Z69">
            <v>23949</v>
          </cell>
          <cell r="AA69">
            <v>0</v>
          </cell>
          <cell r="AB69">
            <v>11017</v>
          </cell>
          <cell r="AD69">
            <v>185160</v>
          </cell>
          <cell r="AE69">
            <v>229875</v>
          </cell>
          <cell r="AF69">
            <v>27310</v>
          </cell>
          <cell r="AG69">
            <v>253970</v>
          </cell>
          <cell r="AH69">
            <v>40244</v>
          </cell>
          <cell r="AI69">
            <v>845206</v>
          </cell>
          <cell r="AJ69">
            <v>2714695</v>
          </cell>
          <cell r="AK69">
            <v>16684389</v>
          </cell>
          <cell r="AL69">
            <v>1332846</v>
          </cell>
          <cell r="AM69">
            <v>0</v>
          </cell>
          <cell r="AN69">
            <v>265741</v>
          </cell>
          <cell r="AO69">
            <v>935308</v>
          </cell>
          <cell r="AP69">
            <v>0</v>
          </cell>
          <cell r="AQ69">
            <v>154850652</v>
          </cell>
          <cell r="BV69">
            <v>1119</v>
          </cell>
          <cell r="BW69">
            <v>0</v>
          </cell>
          <cell r="BX69">
            <v>323295</v>
          </cell>
          <cell r="BY69">
            <v>0</v>
          </cell>
          <cell r="BZ69">
            <v>57487</v>
          </cell>
          <cell r="CM69">
            <v>9800012</v>
          </cell>
          <cell r="CO69">
            <v>56383</v>
          </cell>
          <cell r="CP69">
            <v>0</v>
          </cell>
          <cell r="CQ69">
            <v>0</v>
          </cell>
          <cell r="CR69">
            <v>0</v>
          </cell>
          <cell r="CS69">
            <v>0</v>
          </cell>
          <cell r="CT69">
            <v>0</v>
          </cell>
          <cell r="CV69">
            <v>0</v>
          </cell>
          <cell r="CW69">
            <v>29961094</v>
          </cell>
        </row>
        <row r="70">
          <cell r="A70">
            <v>380</v>
          </cell>
          <cell r="B70">
            <v>118306420</v>
          </cell>
          <cell r="C70">
            <v>3126965</v>
          </cell>
          <cell r="D70">
            <v>13841746</v>
          </cell>
          <cell r="E70">
            <v>3798367</v>
          </cell>
          <cell r="F70">
            <v>5196408</v>
          </cell>
          <cell r="G70">
            <v>0</v>
          </cell>
          <cell r="H70">
            <v>209775</v>
          </cell>
          <cell r="I70">
            <v>0</v>
          </cell>
          <cell r="J70">
            <v>0</v>
          </cell>
          <cell r="K70">
            <v>404841</v>
          </cell>
          <cell r="L70">
            <v>384079</v>
          </cell>
          <cell r="M70">
            <v>23189</v>
          </cell>
          <cell r="N70">
            <v>466420</v>
          </cell>
          <cell r="O70">
            <v>0</v>
          </cell>
          <cell r="P70">
            <v>1768952</v>
          </cell>
          <cell r="Q70">
            <v>74472</v>
          </cell>
          <cell r="R70">
            <v>1119384</v>
          </cell>
          <cell r="V70">
            <v>53320</v>
          </cell>
          <cell r="Y70">
            <v>0</v>
          </cell>
          <cell r="Z70">
            <v>0</v>
          </cell>
          <cell r="AA70">
            <v>0</v>
          </cell>
          <cell r="AB70">
            <v>0</v>
          </cell>
          <cell r="AD70">
            <v>130789</v>
          </cell>
          <cell r="AE70">
            <v>0</v>
          </cell>
          <cell r="AF70">
            <v>809485</v>
          </cell>
          <cell r="AG70">
            <v>120000</v>
          </cell>
          <cell r="AH70">
            <v>4000</v>
          </cell>
          <cell r="AI70">
            <v>368000</v>
          </cell>
          <cell r="AJ70">
            <v>1835573</v>
          </cell>
          <cell r="AK70">
            <v>842253</v>
          </cell>
          <cell r="AL70">
            <v>1807717</v>
          </cell>
          <cell r="AM70">
            <v>0</v>
          </cell>
          <cell r="AN70">
            <v>0</v>
          </cell>
          <cell r="AO70">
            <v>100600</v>
          </cell>
          <cell r="AP70">
            <v>0</v>
          </cell>
          <cell r="AQ70">
            <v>154792755</v>
          </cell>
          <cell r="BV70">
            <v>193746</v>
          </cell>
          <cell r="BW70">
            <v>46494</v>
          </cell>
          <cell r="BX70">
            <v>909298</v>
          </cell>
          <cell r="BY70">
            <v>348500</v>
          </cell>
          <cell r="BZ70">
            <v>0</v>
          </cell>
          <cell r="CM70">
            <v>21464146</v>
          </cell>
          <cell r="CO70">
            <v>0</v>
          </cell>
          <cell r="CP70">
            <v>0</v>
          </cell>
          <cell r="CQ70">
            <v>0</v>
          </cell>
          <cell r="CR70">
            <v>0</v>
          </cell>
          <cell r="CS70">
            <v>0</v>
          </cell>
          <cell r="CT70">
            <v>0</v>
          </cell>
          <cell r="CV70">
            <v>0</v>
          </cell>
          <cell r="CW70">
            <v>11091000</v>
          </cell>
        </row>
        <row r="71">
          <cell r="A71">
            <v>381</v>
          </cell>
          <cell r="B71">
            <v>53010915</v>
          </cell>
          <cell r="C71">
            <v>1588518</v>
          </cell>
          <cell r="D71">
            <v>4032029</v>
          </cell>
          <cell r="E71">
            <v>465071</v>
          </cell>
          <cell r="F71">
            <v>2531810</v>
          </cell>
          <cell r="G71">
            <v>0</v>
          </cell>
          <cell r="H71">
            <v>0</v>
          </cell>
          <cell r="I71">
            <v>1016806</v>
          </cell>
          <cell r="J71">
            <v>71528</v>
          </cell>
          <cell r="K71">
            <v>0</v>
          </cell>
          <cell r="L71">
            <v>150797</v>
          </cell>
          <cell r="M71">
            <v>0</v>
          </cell>
          <cell r="N71">
            <v>0</v>
          </cell>
          <cell r="O71">
            <v>0</v>
          </cell>
          <cell r="P71">
            <v>0</v>
          </cell>
          <cell r="Q71">
            <v>297160</v>
          </cell>
          <cell r="R71">
            <v>467806</v>
          </cell>
          <cell r="V71">
            <v>0</v>
          </cell>
          <cell r="Y71">
            <v>0</v>
          </cell>
          <cell r="Z71">
            <v>25755</v>
          </cell>
          <cell r="AA71">
            <v>0</v>
          </cell>
          <cell r="AB71">
            <v>0</v>
          </cell>
          <cell r="AD71">
            <v>40730</v>
          </cell>
          <cell r="AE71">
            <v>23215</v>
          </cell>
          <cell r="AF71">
            <v>276576</v>
          </cell>
          <cell r="AG71">
            <v>30501</v>
          </cell>
          <cell r="AH71">
            <v>14426</v>
          </cell>
          <cell r="AI71">
            <v>14625</v>
          </cell>
          <cell r="AJ71">
            <v>377251</v>
          </cell>
          <cell r="AK71">
            <v>0</v>
          </cell>
          <cell r="AL71">
            <v>0</v>
          </cell>
          <cell r="AM71">
            <v>0</v>
          </cell>
          <cell r="AN71">
            <v>0</v>
          </cell>
          <cell r="AO71">
            <v>575876</v>
          </cell>
          <cell r="AP71">
            <v>0</v>
          </cell>
          <cell r="AQ71">
            <v>65011395</v>
          </cell>
          <cell r="BV71">
            <v>88014</v>
          </cell>
          <cell r="BW71">
            <v>670613</v>
          </cell>
          <cell r="BX71">
            <v>386241</v>
          </cell>
          <cell r="BY71">
            <v>0</v>
          </cell>
          <cell r="BZ71">
            <v>0</v>
          </cell>
          <cell r="CM71">
            <v>11052003</v>
          </cell>
          <cell r="CO71">
            <v>0</v>
          </cell>
          <cell r="CP71">
            <v>0</v>
          </cell>
          <cell r="CQ71">
            <v>0</v>
          </cell>
          <cell r="CR71">
            <v>0</v>
          </cell>
          <cell r="CS71">
            <v>0</v>
          </cell>
          <cell r="CT71">
            <v>0</v>
          </cell>
          <cell r="CV71">
            <v>0</v>
          </cell>
          <cell r="CW71">
            <v>8485198</v>
          </cell>
        </row>
        <row r="72">
          <cell r="A72">
            <v>382</v>
          </cell>
          <cell r="B72">
            <v>86961600</v>
          </cell>
          <cell r="C72">
            <v>3140017</v>
          </cell>
          <cell r="D72">
            <v>10854525</v>
          </cell>
          <cell r="E72">
            <v>916840</v>
          </cell>
          <cell r="F72">
            <v>4004300</v>
          </cell>
          <cell r="G72">
            <v>0</v>
          </cell>
          <cell r="H72">
            <v>0</v>
          </cell>
          <cell r="I72">
            <v>13100</v>
          </cell>
          <cell r="J72">
            <v>73200</v>
          </cell>
          <cell r="K72">
            <v>45100</v>
          </cell>
          <cell r="L72">
            <v>0</v>
          </cell>
          <cell r="M72">
            <v>10100</v>
          </cell>
          <cell r="N72">
            <v>0</v>
          </cell>
          <cell r="O72">
            <v>0</v>
          </cell>
          <cell r="P72">
            <v>1241500</v>
          </cell>
          <cell r="Q72">
            <v>462500</v>
          </cell>
          <cell r="R72">
            <v>520600</v>
          </cell>
          <cell r="V72">
            <v>39200</v>
          </cell>
          <cell r="Y72">
            <v>0</v>
          </cell>
          <cell r="Z72">
            <v>0</v>
          </cell>
          <cell r="AA72">
            <v>0</v>
          </cell>
          <cell r="AB72">
            <v>0</v>
          </cell>
          <cell r="AD72">
            <v>353300</v>
          </cell>
          <cell r="AE72">
            <v>0</v>
          </cell>
          <cell r="AF72">
            <v>220600</v>
          </cell>
          <cell r="AG72">
            <v>5100</v>
          </cell>
          <cell r="AH72">
            <v>9700</v>
          </cell>
          <cell r="AI72">
            <v>302600</v>
          </cell>
          <cell r="AJ72">
            <v>1014725</v>
          </cell>
          <cell r="AK72">
            <v>7676100</v>
          </cell>
          <cell r="AL72">
            <v>250267</v>
          </cell>
          <cell r="AM72">
            <v>0</v>
          </cell>
          <cell r="AN72">
            <v>97600</v>
          </cell>
          <cell r="AO72">
            <v>0</v>
          </cell>
          <cell r="AP72">
            <v>0</v>
          </cell>
          <cell r="AQ72">
            <v>118212574</v>
          </cell>
          <cell r="BV72">
            <v>212500</v>
          </cell>
          <cell r="BW72">
            <v>346000</v>
          </cell>
          <cell r="BX72">
            <v>0</v>
          </cell>
          <cell r="BY72">
            <v>100500</v>
          </cell>
          <cell r="BZ72">
            <v>0</v>
          </cell>
          <cell r="CM72">
            <v>6587984</v>
          </cell>
          <cell r="CO72">
            <v>0</v>
          </cell>
          <cell r="CP72">
            <v>0</v>
          </cell>
          <cell r="CQ72">
            <v>0</v>
          </cell>
          <cell r="CR72">
            <v>0</v>
          </cell>
          <cell r="CS72">
            <v>0</v>
          </cell>
          <cell r="CT72">
            <v>0</v>
          </cell>
          <cell r="CV72">
            <v>0</v>
          </cell>
          <cell r="CW72">
            <v>13096340</v>
          </cell>
        </row>
        <row r="73">
          <cell r="A73">
            <v>383</v>
          </cell>
          <cell r="B73">
            <v>164788890</v>
          </cell>
          <cell r="C73">
            <v>4385209</v>
          </cell>
          <cell r="D73">
            <v>16225300</v>
          </cell>
          <cell r="E73">
            <v>4803480</v>
          </cell>
          <cell r="F73">
            <v>7359320</v>
          </cell>
          <cell r="G73">
            <v>0</v>
          </cell>
          <cell r="H73">
            <v>250000</v>
          </cell>
          <cell r="I73">
            <v>812720</v>
          </cell>
          <cell r="J73">
            <v>0</v>
          </cell>
          <cell r="K73">
            <v>0</v>
          </cell>
          <cell r="L73">
            <v>151780</v>
          </cell>
          <cell r="M73">
            <v>140870</v>
          </cell>
          <cell r="N73">
            <v>0</v>
          </cell>
          <cell r="O73">
            <v>0</v>
          </cell>
          <cell r="P73">
            <v>3835920</v>
          </cell>
          <cell r="Q73">
            <v>443600</v>
          </cell>
          <cell r="R73">
            <v>701020</v>
          </cell>
          <cell r="V73">
            <v>48320</v>
          </cell>
          <cell r="Y73">
            <v>0</v>
          </cell>
          <cell r="Z73">
            <v>0</v>
          </cell>
          <cell r="AA73">
            <v>0</v>
          </cell>
          <cell r="AB73">
            <v>71540</v>
          </cell>
          <cell r="AD73">
            <v>332650</v>
          </cell>
          <cell r="AE73">
            <v>171100</v>
          </cell>
          <cell r="AF73">
            <v>203500</v>
          </cell>
          <cell r="AG73">
            <v>35770</v>
          </cell>
          <cell r="AH73">
            <v>1800</v>
          </cell>
          <cell r="AI73">
            <v>740810</v>
          </cell>
          <cell r="AJ73">
            <v>3560010</v>
          </cell>
          <cell r="AK73">
            <v>384880</v>
          </cell>
          <cell r="AL73">
            <v>1534940</v>
          </cell>
          <cell r="AM73">
            <v>0</v>
          </cell>
          <cell r="AN73">
            <v>76960</v>
          </cell>
          <cell r="AO73">
            <v>538130</v>
          </cell>
          <cell r="AP73">
            <v>0</v>
          </cell>
          <cell r="AQ73">
            <v>211598519</v>
          </cell>
          <cell r="BV73">
            <v>210940</v>
          </cell>
          <cell r="BW73">
            <v>2164900</v>
          </cell>
          <cell r="BX73">
            <v>1622000</v>
          </cell>
          <cell r="BY73">
            <v>0</v>
          </cell>
          <cell r="BZ73">
            <v>605050</v>
          </cell>
          <cell r="CM73">
            <v>25299980</v>
          </cell>
          <cell r="CO73">
            <v>0</v>
          </cell>
          <cell r="CP73">
            <v>0</v>
          </cell>
          <cell r="CQ73">
            <v>0</v>
          </cell>
          <cell r="CR73">
            <v>0</v>
          </cell>
          <cell r="CS73">
            <v>0</v>
          </cell>
          <cell r="CT73">
            <v>0</v>
          </cell>
          <cell r="CV73">
            <v>25050</v>
          </cell>
          <cell r="CW73">
            <v>22033870</v>
          </cell>
        </row>
        <row r="74">
          <cell r="A74">
            <v>384</v>
          </cell>
          <cell r="B74">
            <v>70447417</v>
          </cell>
          <cell r="C74">
            <v>1952505</v>
          </cell>
          <cell r="D74">
            <v>6082852</v>
          </cell>
          <cell r="E74">
            <v>1558422</v>
          </cell>
          <cell r="F74">
            <v>2981340</v>
          </cell>
          <cell r="G74">
            <v>0</v>
          </cell>
          <cell r="H74">
            <v>0</v>
          </cell>
          <cell r="I74">
            <v>1061177</v>
          </cell>
          <cell r="J74">
            <v>0</v>
          </cell>
          <cell r="K74">
            <v>0</v>
          </cell>
          <cell r="L74">
            <v>0</v>
          </cell>
          <cell r="M74">
            <v>79695</v>
          </cell>
          <cell r="N74">
            <v>0</v>
          </cell>
          <cell r="O74">
            <v>0</v>
          </cell>
          <cell r="P74">
            <v>650961</v>
          </cell>
          <cell r="Q74">
            <v>506532</v>
          </cell>
          <cell r="R74">
            <v>286544</v>
          </cell>
          <cell r="V74">
            <v>0</v>
          </cell>
          <cell r="Y74">
            <v>0</v>
          </cell>
          <cell r="Z74">
            <v>0</v>
          </cell>
          <cell r="AA74">
            <v>0</v>
          </cell>
          <cell r="AB74">
            <v>135590</v>
          </cell>
          <cell r="AD74">
            <v>82865</v>
          </cell>
          <cell r="AE74">
            <v>0</v>
          </cell>
          <cell r="AF74">
            <v>207056</v>
          </cell>
          <cell r="AG74">
            <v>58410</v>
          </cell>
          <cell r="AH74">
            <v>0</v>
          </cell>
          <cell r="AI74">
            <v>66558</v>
          </cell>
          <cell r="AJ74">
            <v>1297721</v>
          </cell>
          <cell r="AK74">
            <v>0</v>
          </cell>
          <cell r="AL74">
            <v>0</v>
          </cell>
          <cell r="AM74">
            <v>0</v>
          </cell>
          <cell r="AN74">
            <v>156997</v>
          </cell>
          <cell r="AO74">
            <v>0</v>
          </cell>
          <cell r="AP74">
            <v>0</v>
          </cell>
          <cell r="AQ74">
            <v>87612642</v>
          </cell>
          <cell r="BV74">
            <v>117793</v>
          </cell>
          <cell r="BW74">
            <v>775254</v>
          </cell>
          <cell r="BX74">
            <v>0</v>
          </cell>
          <cell r="BY74">
            <v>0</v>
          </cell>
          <cell r="BZ74">
            <v>0</v>
          </cell>
          <cell r="CM74">
            <v>5989165</v>
          </cell>
          <cell r="CO74">
            <v>497270</v>
          </cell>
          <cell r="CP74">
            <v>0</v>
          </cell>
          <cell r="CQ74">
            <v>0</v>
          </cell>
          <cell r="CR74">
            <v>0</v>
          </cell>
          <cell r="CS74">
            <v>0</v>
          </cell>
          <cell r="CT74">
            <v>0</v>
          </cell>
          <cell r="CV74">
            <v>0</v>
          </cell>
          <cell r="CW74">
            <v>0</v>
          </cell>
        </row>
        <row r="75">
          <cell r="A75">
            <v>390</v>
          </cell>
          <cell r="B75">
            <v>37639599</v>
          </cell>
          <cell r="C75">
            <v>1101005</v>
          </cell>
          <cell r="D75">
            <v>5683599</v>
          </cell>
          <cell r="E75">
            <v>2302654</v>
          </cell>
          <cell r="F75">
            <v>1834599</v>
          </cell>
          <cell r="G75">
            <v>0</v>
          </cell>
          <cell r="H75">
            <v>0</v>
          </cell>
          <cell r="I75">
            <v>0</v>
          </cell>
          <cell r="J75">
            <v>0</v>
          </cell>
          <cell r="K75">
            <v>254125</v>
          </cell>
          <cell r="L75">
            <v>272155</v>
          </cell>
          <cell r="M75">
            <v>20952</v>
          </cell>
          <cell r="N75">
            <v>7487</v>
          </cell>
          <cell r="O75">
            <v>0</v>
          </cell>
          <cell r="P75">
            <v>610639</v>
          </cell>
          <cell r="Q75">
            <v>267696</v>
          </cell>
          <cell r="R75">
            <v>350671</v>
          </cell>
          <cell r="V75">
            <v>0</v>
          </cell>
          <cell r="Y75">
            <v>0</v>
          </cell>
          <cell r="Z75">
            <v>0</v>
          </cell>
          <cell r="AA75">
            <v>0</v>
          </cell>
          <cell r="AB75">
            <v>0</v>
          </cell>
          <cell r="AD75">
            <v>78639</v>
          </cell>
          <cell r="AE75">
            <v>0</v>
          </cell>
          <cell r="AF75">
            <v>167599</v>
          </cell>
          <cell r="AG75">
            <v>3405</v>
          </cell>
          <cell r="AH75">
            <v>4577</v>
          </cell>
          <cell r="AI75">
            <v>156356</v>
          </cell>
          <cell r="AJ75">
            <v>398588</v>
          </cell>
          <cell r="AK75">
            <v>20000</v>
          </cell>
          <cell r="AL75">
            <v>680212</v>
          </cell>
          <cell r="AM75">
            <v>0</v>
          </cell>
          <cell r="AN75">
            <v>144654</v>
          </cell>
          <cell r="AO75">
            <v>0</v>
          </cell>
          <cell r="AP75">
            <v>0</v>
          </cell>
          <cell r="AQ75">
            <v>51999211</v>
          </cell>
          <cell r="BV75">
            <v>5886</v>
          </cell>
          <cell r="BW75">
            <v>0</v>
          </cell>
          <cell r="BX75">
            <v>106293</v>
          </cell>
          <cell r="BY75">
            <v>69163</v>
          </cell>
          <cell r="BZ75">
            <v>0</v>
          </cell>
          <cell r="CM75">
            <v>7138995</v>
          </cell>
          <cell r="CO75">
            <v>0</v>
          </cell>
          <cell r="CP75">
            <v>0</v>
          </cell>
          <cell r="CQ75">
            <v>0</v>
          </cell>
          <cell r="CR75">
            <v>0</v>
          </cell>
          <cell r="CS75">
            <v>0</v>
          </cell>
          <cell r="CT75">
            <v>0</v>
          </cell>
          <cell r="CV75">
            <v>0</v>
          </cell>
          <cell r="CW75">
            <v>0</v>
          </cell>
        </row>
        <row r="76">
          <cell r="A76">
            <v>391</v>
          </cell>
          <cell r="B76">
            <v>55840705</v>
          </cell>
          <cell r="C76">
            <v>1510211</v>
          </cell>
          <cell r="D76">
            <v>7265960</v>
          </cell>
          <cell r="E76">
            <v>1977734</v>
          </cell>
          <cell r="F76">
            <v>2403236</v>
          </cell>
          <cell r="G76">
            <v>0</v>
          </cell>
          <cell r="H76">
            <v>0</v>
          </cell>
          <cell r="I76">
            <v>1103165</v>
          </cell>
          <cell r="J76">
            <v>0</v>
          </cell>
          <cell r="K76">
            <v>0</v>
          </cell>
          <cell r="L76">
            <v>0</v>
          </cell>
          <cell r="M76">
            <v>0</v>
          </cell>
          <cell r="N76">
            <v>0</v>
          </cell>
          <cell r="O76">
            <v>0</v>
          </cell>
          <cell r="P76">
            <v>759847</v>
          </cell>
          <cell r="Q76">
            <v>426390</v>
          </cell>
          <cell r="R76">
            <v>3350</v>
          </cell>
          <cell r="V76">
            <v>29949</v>
          </cell>
          <cell r="Y76">
            <v>0</v>
          </cell>
          <cell r="Z76">
            <v>0</v>
          </cell>
          <cell r="AA76">
            <v>0</v>
          </cell>
          <cell r="AB76">
            <v>0</v>
          </cell>
          <cell r="AD76">
            <v>85960</v>
          </cell>
          <cell r="AE76">
            <v>14970</v>
          </cell>
          <cell r="AF76">
            <v>304641</v>
          </cell>
          <cell r="AG76">
            <v>29620</v>
          </cell>
          <cell r="AH76">
            <v>18740</v>
          </cell>
          <cell r="AI76">
            <v>8900</v>
          </cell>
          <cell r="AJ76">
            <v>1870817</v>
          </cell>
          <cell r="AK76">
            <v>800002</v>
          </cell>
          <cell r="AL76">
            <v>1325420</v>
          </cell>
          <cell r="AM76">
            <v>0</v>
          </cell>
          <cell r="AN76">
            <v>158227</v>
          </cell>
          <cell r="AO76">
            <v>331740</v>
          </cell>
          <cell r="AP76">
            <v>0</v>
          </cell>
          <cell r="AQ76">
            <v>76269584</v>
          </cell>
          <cell r="BV76">
            <v>0</v>
          </cell>
          <cell r="BW76">
            <v>0</v>
          </cell>
          <cell r="BX76">
            <v>234608</v>
          </cell>
          <cell r="BY76">
            <v>0</v>
          </cell>
          <cell r="BZ76">
            <v>0</v>
          </cell>
          <cell r="CM76">
            <v>10624476</v>
          </cell>
          <cell r="CO76">
            <v>0</v>
          </cell>
          <cell r="CP76">
            <v>0</v>
          </cell>
          <cell r="CQ76">
            <v>0</v>
          </cell>
          <cell r="CR76">
            <v>0</v>
          </cell>
          <cell r="CS76">
            <v>0</v>
          </cell>
          <cell r="CT76">
            <v>0</v>
          </cell>
          <cell r="CV76">
            <v>0</v>
          </cell>
          <cell r="CW76">
            <v>6958245</v>
          </cell>
        </row>
        <row r="77">
          <cell r="A77">
            <v>392</v>
          </cell>
          <cell r="B77">
            <v>44010754</v>
          </cell>
          <cell r="C77">
            <v>1513419</v>
          </cell>
          <cell r="D77">
            <v>5649129</v>
          </cell>
          <cell r="E77">
            <v>2612915</v>
          </cell>
          <cell r="F77">
            <v>1679765</v>
          </cell>
          <cell r="G77">
            <v>0</v>
          </cell>
          <cell r="H77">
            <v>115260</v>
          </cell>
          <cell r="I77">
            <v>0</v>
          </cell>
          <cell r="J77">
            <v>0</v>
          </cell>
          <cell r="K77">
            <v>342074</v>
          </cell>
          <cell r="L77">
            <v>127941</v>
          </cell>
          <cell r="M77">
            <v>0</v>
          </cell>
          <cell r="N77">
            <v>38481</v>
          </cell>
          <cell r="O77">
            <v>0</v>
          </cell>
          <cell r="P77">
            <v>1101290</v>
          </cell>
          <cell r="Q77">
            <v>110469</v>
          </cell>
          <cell r="R77">
            <v>28066</v>
          </cell>
          <cell r="V77">
            <v>0</v>
          </cell>
          <cell r="Y77">
            <v>0</v>
          </cell>
          <cell r="Z77">
            <v>0</v>
          </cell>
          <cell r="AA77">
            <v>0</v>
          </cell>
          <cell r="AB77">
            <v>0</v>
          </cell>
          <cell r="AD77">
            <v>85921</v>
          </cell>
          <cell r="AE77">
            <v>4330</v>
          </cell>
          <cell r="AF77">
            <v>71394</v>
          </cell>
          <cell r="AG77">
            <v>53681</v>
          </cell>
          <cell r="AH77">
            <v>986</v>
          </cell>
          <cell r="AI77">
            <v>132021</v>
          </cell>
          <cell r="AJ77">
            <v>0</v>
          </cell>
          <cell r="AK77">
            <v>0</v>
          </cell>
          <cell r="AL77">
            <v>0</v>
          </cell>
          <cell r="AM77">
            <v>0</v>
          </cell>
          <cell r="AN77">
            <v>0</v>
          </cell>
          <cell r="AO77">
            <v>203610</v>
          </cell>
          <cell r="AP77">
            <v>0</v>
          </cell>
          <cell r="AQ77">
            <v>57881506</v>
          </cell>
          <cell r="BV77">
            <v>0</v>
          </cell>
          <cell r="BW77">
            <v>9456</v>
          </cell>
          <cell r="BX77">
            <v>34986</v>
          </cell>
          <cell r="BY77">
            <v>0</v>
          </cell>
          <cell r="BZ77">
            <v>0</v>
          </cell>
          <cell r="CM77">
            <v>6429852</v>
          </cell>
          <cell r="CO77">
            <v>0</v>
          </cell>
          <cell r="CP77">
            <v>0</v>
          </cell>
          <cell r="CQ77">
            <v>141539</v>
          </cell>
          <cell r="CR77">
            <v>0</v>
          </cell>
          <cell r="CS77">
            <v>0</v>
          </cell>
          <cell r="CT77">
            <v>0</v>
          </cell>
          <cell r="CV77">
            <v>0</v>
          </cell>
          <cell r="CW77">
            <v>6809471</v>
          </cell>
        </row>
        <row r="78">
          <cell r="A78">
            <v>393</v>
          </cell>
          <cell r="B78">
            <v>34373768</v>
          </cell>
          <cell r="C78">
            <v>1027119</v>
          </cell>
          <cell r="D78">
            <v>3601873</v>
          </cell>
          <cell r="E78">
            <v>1341626</v>
          </cell>
          <cell r="F78">
            <v>1685960</v>
          </cell>
          <cell r="G78">
            <v>0</v>
          </cell>
          <cell r="H78">
            <v>0</v>
          </cell>
          <cell r="I78">
            <v>184770</v>
          </cell>
          <cell r="J78">
            <v>109079</v>
          </cell>
          <cell r="K78">
            <v>0</v>
          </cell>
          <cell r="L78">
            <v>86412</v>
          </cell>
          <cell r="M78">
            <v>243386</v>
          </cell>
          <cell r="N78">
            <v>0</v>
          </cell>
          <cell r="O78">
            <v>0</v>
          </cell>
          <cell r="P78">
            <v>1439095</v>
          </cell>
          <cell r="Q78">
            <v>0</v>
          </cell>
          <cell r="R78">
            <v>0</v>
          </cell>
          <cell r="V78">
            <v>9645</v>
          </cell>
          <cell r="Y78">
            <v>0</v>
          </cell>
          <cell r="Z78">
            <v>12891</v>
          </cell>
          <cell r="AA78">
            <v>0</v>
          </cell>
          <cell r="AB78">
            <v>0</v>
          </cell>
          <cell r="AD78">
            <v>67381</v>
          </cell>
          <cell r="AE78">
            <v>12386</v>
          </cell>
          <cell r="AF78">
            <v>151782</v>
          </cell>
          <cell r="AG78">
            <v>6514</v>
          </cell>
          <cell r="AH78">
            <v>8359</v>
          </cell>
          <cell r="AI78">
            <v>0</v>
          </cell>
          <cell r="AJ78">
            <v>798960</v>
          </cell>
          <cell r="AK78">
            <v>26500</v>
          </cell>
          <cell r="AL78">
            <v>1507912</v>
          </cell>
          <cell r="AM78">
            <v>0</v>
          </cell>
          <cell r="AN78">
            <v>14311</v>
          </cell>
          <cell r="AO78">
            <v>0</v>
          </cell>
          <cell r="AP78">
            <v>0</v>
          </cell>
          <cell r="AQ78">
            <v>46709729</v>
          </cell>
          <cell r="BV78">
            <v>28229</v>
          </cell>
          <cell r="BW78">
            <v>108292</v>
          </cell>
          <cell r="BX78">
            <v>39533</v>
          </cell>
          <cell r="BY78">
            <v>0</v>
          </cell>
          <cell r="BZ78">
            <v>0</v>
          </cell>
          <cell r="CM78">
            <v>1578261</v>
          </cell>
          <cell r="CO78">
            <v>0</v>
          </cell>
          <cell r="CP78">
            <v>0</v>
          </cell>
          <cell r="CQ78">
            <v>0</v>
          </cell>
          <cell r="CR78">
            <v>0</v>
          </cell>
          <cell r="CS78">
            <v>0</v>
          </cell>
          <cell r="CT78">
            <v>0</v>
          </cell>
          <cell r="CV78">
            <v>0</v>
          </cell>
          <cell r="CW78">
            <v>2385800</v>
          </cell>
        </row>
        <row r="79">
          <cell r="A79">
            <v>394</v>
          </cell>
          <cell r="B79">
            <v>65391161</v>
          </cell>
          <cell r="C79">
            <v>1865939</v>
          </cell>
          <cell r="D79">
            <v>6455034</v>
          </cell>
          <cell r="E79">
            <v>3217368</v>
          </cell>
          <cell r="F79">
            <v>3185691</v>
          </cell>
          <cell r="G79">
            <v>0</v>
          </cell>
          <cell r="H79">
            <v>285338</v>
          </cell>
          <cell r="I79">
            <v>6772</v>
          </cell>
          <cell r="J79">
            <v>37669</v>
          </cell>
          <cell r="K79">
            <v>63095</v>
          </cell>
          <cell r="L79">
            <v>82323</v>
          </cell>
          <cell r="M79">
            <v>79197</v>
          </cell>
          <cell r="N79">
            <v>100561</v>
          </cell>
          <cell r="O79">
            <v>0</v>
          </cell>
          <cell r="P79">
            <v>1135049</v>
          </cell>
          <cell r="Q79">
            <v>209734</v>
          </cell>
          <cell r="R79">
            <v>228735</v>
          </cell>
          <cell r="V79">
            <v>25609</v>
          </cell>
          <cell r="Y79">
            <v>0</v>
          </cell>
          <cell r="Z79">
            <v>302333</v>
          </cell>
          <cell r="AA79">
            <v>0</v>
          </cell>
          <cell r="AB79">
            <v>0</v>
          </cell>
          <cell r="AD79">
            <v>84197</v>
          </cell>
          <cell r="AE79">
            <v>26985</v>
          </cell>
          <cell r="AF79">
            <v>0</v>
          </cell>
          <cell r="AG79">
            <v>0</v>
          </cell>
          <cell r="AH79">
            <v>3078</v>
          </cell>
          <cell r="AI79">
            <v>61805</v>
          </cell>
          <cell r="AJ79">
            <v>1547571</v>
          </cell>
          <cell r="AK79">
            <v>681928</v>
          </cell>
          <cell r="AL79">
            <v>961340</v>
          </cell>
          <cell r="AM79">
            <v>0</v>
          </cell>
          <cell r="AN79">
            <v>74666</v>
          </cell>
          <cell r="AO79">
            <v>518171</v>
          </cell>
          <cell r="AP79">
            <v>0</v>
          </cell>
          <cell r="AQ79">
            <v>86631349</v>
          </cell>
          <cell r="BV79">
            <v>0</v>
          </cell>
          <cell r="BW79">
            <v>268816</v>
          </cell>
          <cell r="BX79">
            <v>174</v>
          </cell>
          <cell r="BY79">
            <v>0</v>
          </cell>
          <cell r="BZ79">
            <v>0</v>
          </cell>
          <cell r="CM79">
            <v>4562913</v>
          </cell>
          <cell r="CO79">
            <v>0</v>
          </cell>
          <cell r="CP79">
            <v>0</v>
          </cell>
          <cell r="CQ79">
            <v>0</v>
          </cell>
          <cell r="CR79">
            <v>0</v>
          </cell>
          <cell r="CS79">
            <v>0</v>
          </cell>
          <cell r="CT79">
            <v>0</v>
          </cell>
          <cell r="CV79">
            <v>0</v>
          </cell>
          <cell r="CW79">
            <v>11721501</v>
          </cell>
        </row>
        <row r="80">
          <cell r="A80">
            <v>420</v>
          </cell>
          <cell r="B80">
            <v>0</v>
          </cell>
          <cell r="C80">
            <v>0</v>
          </cell>
          <cell r="D80">
            <v>0</v>
          </cell>
          <cell r="E80">
            <v>0</v>
          </cell>
          <cell r="F80">
            <v>0</v>
          </cell>
          <cell r="G80">
            <v>0</v>
          </cell>
          <cell r="H80">
            <v>0</v>
          </cell>
          <cell r="I80">
            <v>0</v>
          </cell>
          <cell r="J80">
            <v>0</v>
          </cell>
          <cell r="K80">
            <v>95330</v>
          </cell>
          <cell r="L80">
            <v>0</v>
          </cell>
          <cell r="M80">
            <v>0</v>
          </cell>
          <cell r="N80">
            <v>0</v>
          </cell>
          <cell r="O80">
            <v>0</v>
          </cell>
          <cell r="P80">
            <v>0</v>
          </cell>
          <cell r="Q80">
            <v>0</v>
          </cell>
          <cell r="R80">
            <v>0</v>
          </cell>
          <cell r="V80">
            <v>0</v>
          </cell>
          <cell r="Y80">
            <v>0</v>
          </cell>
          <cell r="Z80">
            <v>0</v>
          </cell>
          <cell r="AA80">
            <v>0</v>
          </cell>
          <cell r="AB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95330</v>
          </cell>
          <cell r="BV80">
            <v>0</v>
          </cell>
          <cell r="BW80">
            <v>0</v>
          </cell>
          <cell r="BX80">
            <v>0</v>
          </cell>
          <cell r="BY80">
            <v>0</v>
          </cell>
          <cell r="BZ80">
            <v>11980</v>
          </cell>
          <cell r="CM80">
            <v>0</v>
          </cell>
          <cell r="CO80">
            <v>0</v>
          </cell>
          <cell r="CP80">
            <v>0</v>
          </cell>
          <cell r="CQ80">
            <v>50000</v>
          </cell>
          <cell r="CR80">
            <v>0</v>
          </cell>
          <cell r="CS80">
            <v>0</v>
          </cell>
          <cell r="CT80">
            <v>0</v>
          </cell>
          <cell r="CV80">
            <v>0</v>
          </cell>
          <cell r="CW80">
            <v>0</v>
          </cell>
        </row>
        <row r="81">
          <cell r="A81">
            <v>800</v>
          </cell>
          <cell r="B81">
            <v>42635410</v>
          </cell>
          <cell r="C81">
            <v>1332912</v>
          </cell>
          <cell r="D81">
            <v>2061230</v>
          </cell>
          <cell r="E81">
            <v>0</v>
          </cell>
          <cell r="F81">
            <v>1445510</v>
          </cell>
          <cell r="G81">
            <v>0</v>
          </cell>
          <cell r="H81">
            <v>0</v>
          </cell>
          <cell r="I81">
            <v>107069</v>
          </cell>
          <cell r="J81">
            <v>3190</v>
          </cell>
          <cell r="K81">
            <v>237416</v>
          </cell>
          <cell r="L81">
            <v>301139</v>
          </cell>
          <cell r="M81">
            <v>188890</v>
          </cell>
          <cell r="N81">
            <v>199400</v>
          </cell>
          <cell r="O81">
            <v>835577</v>
          </cell>
          <cell r="P81">
            <v>0</v>
          </cell>
          <cell r="Q81">
            <v>17978</v>
          </cell>
          <cell r="R81">
            <v>166214</v>
          </cell>
          <cell r="V81">
            <v>11667</v>
          </cell>
          <cell r="Y81">
            <v>0</v>
          </cell>
          <cell r="Z81">
            <v>0</v>
          </cell>
          <cell r="AA81">
            <v>0</v>
          </cell>
          <cell r="AB81">
            <v>0</v>
          </cell>
          <cell r="AD81">
            <v>11898</v>
          </cell>
          <cell r="AE81">
            <v>0</v>
          </cell>
          <cell r="AF81">
            <v>0</v>
          </cell>
          <cell r="AG81">
            <v>0</v>
          </cell>
          <cell r="AH81">
            <v>3007</v>
          </cell>
          <cell r="AI81">
            <v>141676</v>
          </cell>
          <cell r="AJ81">
            <v>723171</v>
          </cell>
          <cell r="AK81">
            <v>0</v>
          </cell>
          <cell r="AL81">
            <v>0</v>
          </cell>
          <cell r="AM81">
            <v>0</v>
          </cell>
          <cell r="AN81">
            <v>12705</v>
          </cell>
          <cell r="AO81">
            <v>0</v>
          </cell>
          <cell r="AP81">
            <v>0</v>
          </cell>
          <cell r="AQ81">
            <v>50436059</v>
          </cell>
          <cell r="BV81">
            <v>6231</v>
          </cell>
          <cell r="BW81">
            <v>637021</v>
          </cell>
          <cell r="BX81">
            <v>634052</v>
          </cell>
          <cell r="BY81">
            <v>90064</v>
          </cell>
          <cell r="BZ81">
            <v>0</v>
          </cell>
          <cell r="CM81">
            <v>7186640</v>
          </cell>
          <cell r="CO81">
            <v>13176</v>
          </cell>
          <cell r="CP81">
            <v>0</v>
          </cell>
          <cell r="CQ81">
            <v>21019</v>
          </cell>
          <cell r="CR81">
            <v>15439</v>
          </cell>
          <cell r="CS81">
            <v>210349</v>
          </cell>
          <cell r="CT81">
            <v>0</v>
          </cell>
          <cell r="CV81">
            <v>0</v>
          </cell>
          <cell r="CW81">
            <v>4084782</v>
          </cell>
        </row>
        <row r="82">
          <cell r="A82">
            <v>801</v>
          </cell>
          <cell r="B82">
            <v>59169850</v>
          </cell>
          <cell r="C82">
            <v>1755998</v>
          </cell>
          <cell r="D82">
            <v>7442897</v>
          </cell>
          <cell r="E82">
            <v>3894145</v>
          </cell>
          <cell r="F82">
            <v>1774933</v>
          </cell>
          <cell r="G82">
            <v>0</v>
          </cell>
          <cell r="H82">
            <v>250000</v>
          </cell>
          <cell r="I82">
            <v>0</v>
          </cell>
          <cell r="J82">
            <v>0</v>
          </cell>
          <cell r="K82">
            <v>129629</v>
          </cell>
          <cell r="L82">
            <v>112483</v>
          </cell>
          <cell r="M82">
            <v>110925</v>
          </cell>
          <cell r="N82">
            <v>458450</v>
          </cell>
          <cell r="O82">
            <v>0</v>
          </cell>
          <cell r="P82">
            <v>2231254</v>
          </cell>
          <cell r="Q82">
            <v>324324</v>
          </cell>
          <cell r="R82">
            <v>969150</v>
          </cell>
          <cell r="V82">
            <v>28496</v>
          </cell>
          <cell r="Y82">
            <v>0</v>
          </cell>
          <cell r="Z82">
            <v>372350</v>
          </cell>
          <cell r="AA82">
            <v>0</v>
          </cell>
          <cell r="AB82">
            <v>0</v>
          </cell>
          <cell r="AD82">
            <v>124908</v>
          </cell>
          <cell r="AE82">
            <v>35360</v>
          </cell>
          <cell r="AF82">
            <v>45474</v>
          </cell>
          <cell r="AG82">
            <v>91205</v>
          </cell>
          <cell r="AH82">
            <v>1264</v>
          </cell>
          <cell r="AI82">
            <v>174907</v>
          </cell>
          <cell r="AJ82">
            <v>687153</v>
          </cell>
          <cell r="AK82">
            <v>306700</v>
          </cell>
          <cell r="AL82">
            <v>0</v>
          </cell>
          <cell r="AM82">
            <v>0</v>
          </cell>
          <cell r="AN82">
            <v>277893</v>
          </cell>
          <cell r="AO82">
            <v>317612</v>
          </cell>
          <cell r="AP82">
            <v>0</v>
          </cell>
          <cell r="AQ82">
            <v>81087360</v>
          </cell>
          <cell r="BV82">
            <v>44778</v>
          </cell>
          <cell r="BW82">
            <v>255197</v>
          </cell>
          <cell r="BX82">
            <v>665945</v>
          </cell>
          <cell r="BY82">
            <v>0</v>
          </cell>
          <cell r="BZ82">
            <v>0</v>
          </cell>
          <cell r="CM82">
            <v>4828704</v>
          </cell>
          <cell r="CO82">
            <v>0</v>
          </cell>
          <cell r="CP82">
            <v>0</v>
          </cell>
          <cell r="CQ82">
            <v>0</v>
          </cell>
          <cell r="CR82">
            <v>0</v>
          </cell>
          <cell r="CS82">
            <v>0</v>
          </cell>
          <cell r="CT82">
            <v>0</v>
          </cell>
          <cell r="CV82">
            <v>0</v>
          </cell>
          <cell r="CW82">
            <v>30840059</v>
          </cell>
        </row>
        <row r="83">
          <cell r="A83">
            <v>802</v>
          </cell>
          <cell r="B83">
            <v>41042817</v>
          </cell>
          <cell r="C83">
            <v>1107189</v>
          </cell>
          <cell r="D83">
            <v>3509933</v>
          </cell>
          <cell r="E83">
            <v>548332</v>
          </cell>
          <cell r="F83">
            <v>1597627</v>
          </cell>
          <cell r="G83">
            <v>0</v>
          </cell>
          <cell r="H83">
            <v>50000</v>
          </cell>
          <cell r="I83">
            <v>188031</v>
          </cell>
          <cell r="J83">
            <v>0</v>
          </cell>
          <cell r="K83">
            <v>291387</v>
          </cell>
          <cell r="L83">
            <v>39924</v>
          </cell>
          <cell r="M83">
            <v>258145</v>
          </cell>
          <cell r="N83">
            <v>0</v>
          </cell>
          <cell r="O83">
            <v>0</v>
          </cell>
          <cell r="P83">
            <v>1130851</v>
          </cell>
          <cell r="Q83">
            <v>64960</v>
          </cell>
          <cell r="R83">
            <v>345748</v>
          </cell>
          <cell r="V83">
            <v>12688</v>
          </cell>
          <cell r="Y83">
            <v>0</v>
          </cell>
          <cell r="Z83">
            <v>313730</v>
          </cell>
          <cell r="AA83">
            <v>0</v>
          </cell>
          <cell r="AB83">
            <v>0</v>
          </cell>
          <cell r="AD83">
            <v>83853</v>
          </cell>
          <cell r="AE83">
            <v>19535</v>
          </cell>
          <cell r="AF83">
            <v>65000</v>
          </cell>
          <cell r="AG83">
            <v>10869</v>
          </cell>
          <cell r="AH83">
            <v>46529</v>
          </cell>
          <cell r="AI83">
            <v>121732</v>
          </cell>
          <cell r="AJ83">
            <v>1072621</v>
          </cell>
          <cell r="AK83">
            <v>0</v>
          </cell>
          <cell r="AL83">
            <v>5500</v>
          </cell>
          <cell r="AM83">
            <v>0</v>
          </cell>
          <cell r="AN83">
            <v>81148</v>
          </cell>
          <cell r="AO83">
            <v>687439</v>
          </cell>
          <cell r="AP83">
            <v>0</v>
          </cell>
          <cell r="AQ83">
            <v>52695588</v>
          </cell>
          <cell r="BV83">
            <v>25630</v>
          </cell>
          <cell r="BW83">
            <v>163733</v>
          </cell>
          <cell r="BX83">
            <v>1473601</v>
          </cell>
          <cell r="BY83">
            <v>0</v>
          </cell>
          <cell r="BZ83">
            <v>0</v>
          </cell>
          <cell r="CM83">
            <v>6227999</v>
          </cell>
          <cell r="CO83">
            <v>93810</v>
          </cell>
          <cell r="CP83">
            <v>0</v>
          </cell>
          <cell r="CQ83">
            <v>0</v>
          </cell>
          <cell r="CR83">
            <v>0</v>
          </cell>
          <cell r="CS83">
            <v>0</v>
          </cell>
          <cell r="CT83">
            <v>0</v>
          </cell>
          <cell r="CV83">
            <v>0</v>
          </cell>
          <cell r="CW83">
            <v>6455020</v>
          </cell>
        </row>
        <row r="84">
          <cell r="A84">
            <v>803</v>
          </cell>
          <cell r="B84">
            <v>56621000</v>
          </cell>
          <cell r="C84">
            <v>1645000</v>
          </cell>
          <cell r="D84">
            <v>4190000</v>
          </cell>
          <cell r="E84">
            <v>0</v>
          </cell>
          <cell r="F84">
            <v>2353000</v>
          </cell>
          <cell r="G84">
            <v>0</v>
          </cell>
          <cell r="H84">
            <v>49000</v>
          </cell>
          <cell r="I84">
            <v>19000</v>
          </cell>
          <cell r="J84">
            <v>1000</v>
          </cell>
          <cell r="K84">
            <v>67000</v>
          </cell>
          <cell r="L84">
            <v>108000</v>
          </cell>
          <cell r="M84">
            <v>59000</v>
          </cell>
          <cell r="N84">
            <v>120000</v>
          </cell>
          <cell r="O84">
            <v>0</v>
          </cell>
          <cell r="P84">
            <v>1282000</v>
          </cell>
          <cell r="Q84">
            <v>325000</v>
          </cell>
          <cell r="R84">
            <v>723000</v>
          </cell>
          <cell r="V84">
            <v>22000</v>
          </cell>
          <cell r="Y84">
            <v>0</v>
          </cell>
          <cell r="Z84">
            <v>0</v>
          </cell>
          <cell r="AA84">
            <v>0</v>
          </cell>
          <cell r="AB84">
            <v>0</v>
          </cell>
          <cell r="AD84">
            <v>149000</v>
          </cell>
          <cell r="AE84">
            <v>1000</v>
          </cell>
          <cell r="AF84">
            <v>74000</v>
          </cell>
          <cell r="AG84">
            <v>49000</v>
          </cell>
          <cell r="AH84">
            <v>3000</v>
          </cell>
          <cell r="AI84">
            <v>171000</v>
          </cell>
          <cell r="AJ84">
            <v>769000</v>
          </cell>
          <cell r="AK84">
            <v>0</v>
          </cell>
          <cell r="AL84">
            <v>0</v>
          </cell>
          <cell r="AM84">
            <v>0</v>
          </cell>
          <cell r="AN84">
            <v>93000</v>
          </cell>
          <cell r="AO84">
            <v>0</v>
          </cell>
          <cell r="AP84">
            <v>0</v>
          </cell>
          <cell r="AQ84">
            <v>68893000</v>
          </cell>
          <cell r="BV84">
            <v>15000</v>
          </cell>
          <cell r="BW84">
            <v>216000</v>
          </cell>
          <cell r="BX84">
            <v>1225000</v>
          </cell>
          <cell r="BY84">
            <v>0</v>
          </cell>
          <cell r="BZ84">
            <v>0</v>
          </cell>
          <cell r="CM84">
            <v>10125000</v>
          </cell>
          <cell r="CO84">
            <v>0</v>
          </cell>
          <cell r="CP84">
            <v>0</v>
          </cell>
          <cell r="CQ84">
            <v>0</v>
          </cell>
          <cell r="CR84">
            <v>0</v>
          </cell>
          <cell r="CS84">
            <v>0</v>
          </cell>
          <cell r="CT84">
            <v>0</v>
          </cell>
          <cell r="CV84">
            <v>0</v>
          </cell>
          <cell r="CW84">
            <v>12655000</v>
          </cell>
        </row>
        <row r="85">
          <cell r="A85">
            <v>805</v>
          </cell>
          <cell r="B85">
            <v>21444883</v>
          </cell>
          <cell r="C85">
            <v>611713</v>
          </cell>
          <cell r="D85">
            <v>3286050</v>
          </cell>
          <cell r="E85">
            <v>1344705</v>
          </cell>
          <cell r="F85">
            <v>915621</v>
          </cell>
          <cell r="G85">
            <v>0</v>
          </cell>
          <cell r="H85">
            <v>0</v>
          </cell>
          <cell r="I85">
            <v>69547</v>
          </cell>
          <cell r="J85">
            <v>28730</v>
          </cell>
          <cell r="K85">
            <v>26910</v>
          </cell>
          <cell r="L85">
            <v>78984</v>
          </cell>
          <cell r="M85">
            <v>52621</v>
          </cell>
          <cell r="N85">
            <v>0</v>
          </cell>
          <cell r="O85">
            <v>0</v>
          </cell>
          <cell r="P85">
            <v>850136</v>
          </cell>
          <cell r="Q85">
            <v>248854</v>
          </cell>
          <cell r="R85">
            <v>42486</v>
          </cell>
          <cell r="V85">
            <v>11724</v>
          </cell>
          <cell r="Y85">
            <v>0</v>
          </cell>
          <cell r="Z85">
            <v>0</v>
          </cell>
          <cell r="AA85">
            <v>0</v>
          </cell>
          <cell r="AB85">
            <v>0</v>
          </cell>
          <cell r="AD85">
            <v>65335</v>
          </cell>
          <cell r="AE85">
            <v>13874</v>
          </cell>
          <cell r="AF85">
            <v>7695</v>
          </cell>
          <cell r="AG85">
            <v>20182</v>
          </cell>
          <cell r="AH85">
            <v>1319</v>
          </cell>
          <cell r="AI85">
            <v>29204</v>
          </cell>
          <cell r="AJ85">
            <v>545192</v>
          </cell>
          <cell r="AK85">
            <v>443415</v>
          </cell>
          <cell r="AL85">
            <v>523873</v>
          </cell>
          <cell r="AM85">
            <v>0</v>
          </cell>
          <cell r="AN85">
            <v>16135</v>
          </cell>
          <cell r="AO85">
            <v>102895</v>
          </cell>
          <cell r="AP85">
            <v>0</v>
          </cell>
          <cell r="AQ85">
            <v>30782083</v>
          </cell>
          <cell r="BV85">
            <v>3835</v>
          </cell>
          <cell r="BW85">
            <v>127231</v>
          </cell>
          <cell r="BX85">
            <v>219256</v>
          </cell>
          <cell r="BY85">
            <v>0</v>
          </cell>
          <cell r="BZ85">
            <v>25580</v>
          </cell>
          <cell r="CM85">
            <v>1236295</v>
          </cell>
          <cell r="CO85">
            <v>0</v>
          </cell>
          <cell r="CP85">
            <v>0</v>
          </cell>
          <cell r="CQ85">
            <v>0</v>
          </cell>
          <cell r="CR85">
            <v>0</v>
          </cell>
          <cell r="CS85">
            <v>0</v>
          </cell>
          <cell r="CT85">
            <v>0</v>
          </cell>
          <cell r="CV85">
            <v>0</v>
          </cell>
          <cell r="CW85">
            <v>368643</v>
          </cell>
        </row>
        <row r="86">
          <cell r="A86">
            <v>806</v>
          </cell>
          <cell r="B86">
            <v>20302144</v>
          </cell>
          <cell r="C86">
            <v>612571</v>
          </cell>
          <cell r="D86">
            <v>3516524</v>
          </cell>
          <cell r="E86">
            <v>1724495</v>
          </cell>
          <cell r="F86">
            <v>993842</v>
          </cell>
          <cell r="G86">
            <v>0</v>
          </cell>
          <cell r="H86">
            <v>0</v>
          </cell>
          <cell r="I86">
            <v>329700</v>
          </cell>
          <cell r="J86">
            <v>0</v>
          </cell>
          <cell r="K86">
            <v>406106</v>
          </cell>
          <cell r="L86">
            <v>433604</v>
          </cell>
          <cell r="M86">
            <v>13615</v>
          </cell>
          <cell r="N86">
            <v>85185</v>
          </cell>
          <cell r="O86">
            <v>0</v>
          </cell>
          <cell r="P86">
            <v>1772654</v>
          </cell>
          <cell r="Q86">
            <v>263759</v>
          </cell>
          <cell r="R86">
            <v>0</v>
          </cell>
          <cell r="V86">
            <v>11960</v>
          </cell>
          <cell r="Y86">
            <v>0</v>
          </cell>
          <cell r="Z86">
            <v>0</v>
          </cell>
          <cell r="AA86">
            <v>0</v>
          </cell>
          <cell r="AB86">
            <v>0</v>
          </cell>
          <cell r="AD86">
            <v>76591</v>
          </cell>
          <cell r="AE86">
            <v>0</v>
          </cell>
          <cell r="AF86">
            <v>0</v>
          </cell>
          <cell r="AG86">
            <v>8951</v>
          </cell>
          <cell r="AH86">
            <v>1223</v>
          </cell>
          <cell r="AI86">
            <v>33541</v>
          </cell>
          <cell r="AJ86">
            <v>969565</v>
          </cell>
          <cell r="AK86">
            <v>538689</v>
          </cell>
          <cell r="AL86">
            <v>250458</v>
          </cell>
          <cell r="AM86">
            <v>0</v>
          </cell>
          <cell r="AN86">
            <v>62205</v>
          </cell>
          <cell r="AO86">
            <v>124324</v>
          </cell>
          <cell r="AP86">
            <v>0</v>
          </cell>
          <cell r="AQ86">
            <v>32531706</v>
          </cell>
          <cell r="BV86">
            <v>68280</v>
          </cell>
          <cell r="BW86">
            <v>286331</v>
          </cell>
          <cell r="BX86">
            <v>260568</v>
          </cell>
          <cell r="BY86">
            <v>0</v>
          </cell>
          <cell r="BZ86">
            <v>0</v>
          </cell>
          <cell r="CM86">
            <v>0</v>
          </cell>
          <cell r="CO86">
            <v>0</v>
          </cell>
          <cell r="CP86">
            <v>0</v>
          </cell>
          <cell r="CQ86">
            <v>0</v>
          </cell>
          <cell r="CR86">
            <v>0</v>
          </cell>
          <cell r="CS86">
            <v>0</v>
          </cell>
          <cell r="CT86">
            <v>0</v>
          </cell>
          <cell r="CV86">
            <v>0</v>
          </cell>
          <cell r="CW86">
            <v>1488317</v>
          </cell>
        </row>
        <row r="87">
          <cell r="A87">
            <v>807</v>
          </cell>
          <cell r="B87">
            <v>32716000</v>
          </cell>
          <cell r="C87">
            <v>1110502</v>
          </cell>
          <cell r="D87">
            <v>3131387</v>
          </cell>
          <cell r="E87">
            <v>2802000</v>
          </cell>
          <cell r="F87">
            <v>0</v>
          </cell>
          <cell r="G87">
            <v>0</v>
          </cell>
          <cell r="H87">
            <v>0</v>
          </cell>
          <cell r="I87">
            <v>113747</v>
          </cell>
          <cell r="J87">
            <v>7690</v>
          </cell>
          <cell r="K87">
            <v>164103</v>
          </cell>
          <cell r="L87">
            <v>117495</v>
          </cell>
          <cell r="M87">
            <v>57687</v>
          </cell>
          <cell r="N87">
            <v>0</v>
          </cell>
          <cell r="O87">
            <v>0</v>
          </cell>
          <cell r="P87">
            <v>103670</v>
          </cell>
          <cell r="Q87">
            <v>152365</v>
          </cell>
          <cell r="R87">
            <v>716714</v>
          </cell>
          <cell r="V87">
            <v>0</v>
          </cell>
          <cell r="Y87">
            <v>0</v>
          </cell>
          <cell r="Z87">
            <v>250250</v>
          </cell>
          <cell r="AA87">
            <v>0</v>
          </cell>
          <cell r="AB87">
            <v>0</v>
          </cell>
          <cell r="AD87">
            <v>61950</v>
          </cell>
          <cell r="AE87">
            <v>17758</v>
          </cell>
          <cell r="AF87">
            <v>67732</v>
          </cell>
          <cell r="AG87">
            <v>0</v>
          </cell>
          <cell r="AH87">
            <v>17136</v>
          </cell>
          <cell r="AI87">
            <v>2904</v>
          </cell>
          <cell r="AJ87">
            <v>352715</v>
          </cell>
          <cell r="AK87">
            <v>0</v>
          </cell>
          <cell r="AL87">
            <v>0</v>
          </cell>
          <cell r="AM87">
            <v>0</v>
          </cell>
          <cell r="AN87">
            <v>1626480</v>
          </cell>
          <cell r="AO87">
            <v>481772</v>
          </cell>
          <cell r="AP87">
            <v>0</v>
          </cell>
          <cell r="AQ87">
            <v>44072057</v>
          </cell>
          <cell r="BV87">
            <v>16884</v>
          </cell>
          <cell r="BW87">
            <v>292060</v>
          </cell>
          <cell r="BX87">
            <v>119027</v>
          </cell>
          <cell r="BY87">
            <v>2126</v>
          </cell>
          <cell r="BZ87">
            <v>41392</v>
          </cell>
          <cell r="CM87">
            <v>30000</v>
          </cell>
          <cell r="CO87">
            <v>0</v>
          </cell>
          <cell r="CP87">
            <v>0</v>
          </cell>
          <cell r="CQ87">
            <v>50000</v>
          </cell>
          <cell r="CR87">
            <v>0</v>
          </cell>
          <cell r="CS87">
            <v>0</v>
          </cell>
          <cell r="CT87">
            <v>0</v>
          </cell>
          <cell r="CV87">
            <v>0</v>
          </cell>
          <cell r="CW87">
            <v>2016059</v>
          </cell>
        </row>
        <row r="88">
          <cell r="A88">
            <v>808</v>
          </cell>
          <cell r="B88">
            <v>39910719</v>
          </cell>
          <cell r="C88">
            <v>1395541</v>
          </cell>
          <cell r="D88">
            <v>4993112</v>
          </cell>
          <cell r="E88">
            <v>1772819</v>
          </cell>
          <cell r="F88">
            <v>1773414</v>
          </cell>
          <cell r="G88">
            <v>0</v>
          </cell>
          <cell r="H88">
            <v>0</v>
          </cell>
          <cell r="I88">
            <v>0</v>
          </cell>
          <cell r="J88">
            <v>13625</v>
          </cell>
          <cell r="K88">
            <v>605483</v>
          </cell>
          <cell r="L88">
            <v>105009</v>
          </cell>
          <cell r="M88">
            <v>15283</v>
          </cell>
          <cell r="N88">
            <v>219670</v>
          </cell>
          <cell r="O88">
            <v>0</v>
          </cell>
          <cell r="P88">
            <v>915606</v>
          </cell>
          <cell r="Q88">
            <v>157892</v>
          </cell>
          <cell r="R88">
            <v>98942</v>
          </cell>
          <cell r="V88">
            <v>11263</v>
          </cell>
          <cell r="Y88">
            <v>0</v>
          </cell>
          <cell r="Z88">
            <v>0</v>
          </cell>
          <cell r="AA88">
            <v>0</v>
          </cell>
          <cell r="AB88">
            <v>0</v>
          </cell>
          <cell r="AD88">
            <v>62173</v>
          </cell>
          <cell r="AE88">
            <v>20796</v>
          </cell>
          <cell r="AF88">
            <v>8224</v>
          </cell>
          <cell r="AG88">
            <v>11591</v>
          </cell>
          <cell r="AH88">
            <v>1996</v>
          </cell>
          <cell r="AI88">
            <v>2703</v>
          </cell>
          <cell r="AJ88">
            <v>543822</v>
          </cell>
          <cell r="AK88">
            <v>0</v>
          </cell>
          <cell r="AL88">
            <v>676104</v>
          </cell>
          <cell r="AM88">
            <v>0</v>
          </cell>
          <cell r="AN88">
            <v>30310</v>
          </cell>
          <cell r="AO88">
            <v>457544</v>
          </cell>
          <cell r="AP88">
            <v>0</v>
          </cell>
          <cell r="AQ88">
            <v>53803641</v>
          </cell>
          <cell r="BV88">
            <v>9268</v>
          </cell>
          <cell r="BW88">
            <v>207207</v>
          </cell>
          <cell r="BX88">
            <v>431266</v>
          </cell>
          <cell r="BY88">
            <v>0</v>
          </cell>
          <cell r="BZ88">
            <v>84590</v>
          </cell>
          <cell r="CM88">
            <v>2141954</v>
          </cell>
          <cell r="CO88">
            <v>0</v>
          </cell>
          <cell r="CP88">
            <v>0</v>
          </cell>
          <cell r="CQ88">
            <v>0</v>
          </cell>
          <cell r="CR88">
            <v>0</v>
          </cell>
          <cell r="CS88">
            <v>0</v>
          </cell>
          <cell r="CT88">
            <v>0</v>
          </cell>
          <cell r="CV88">
            <v>0</v>
          </cell>
          <cell r="CW88">
            <v>3580869</v>
          </cell>
        </row>
        <row r="89">
          <cell r="A89">
            <v>810</v>
          </cell>
          <cell r="B89">
            <v>53132999</v>
          </cell>
          <cell r="C89">
            <v>1558124</v>
          </cell>
          <cell r="D89">
            <v>6528142</v>
          </cell>
          <cell r="E89">
            <v>3395487</v>
          </cell>
          <cell r="F89">
            <v>1778142</v>
          </cell>
          <cell r="G89">
            <v>0</v>
          </cell>
          <cell r="H89">
            <v>151112</v>
          </cell>
          <cell r="I89">
            <v>1166142</v>
          </cell>
          <cell r="J89">
            <v>765712</v>
          </cell>
          <cell r="K89">
            <v>0</v>
          </cell>
          <cell r="L89">
            <v>0</v>
          </cell>
          <cell r="M89">
            <v>14662</v>
          </cell>
          <cell r="N89">
            <v>112974</v>
          </cell>
          <cell r="O89">
            <v>0</v>
          </cell>
          <cell r="P89">
            <v>1660773</v>
          </cell>
          <cell r="Q89">
            <v>18183</v>
          </cell>
          <cell r="R89">
            <v>80263</v>
          </cell>
          <cell r="V89">
            <v>27550</v>
          </cell>
          <cell r="Y89">
            <v>0</v>
          </cell>
          <cell r="Z89">
            <v>0</v>
          </cell>
          <cell r="AA89">
            <v>0</v>
          </cell>
          <cell r="AB89">
            <v>29815</v>
          </cell>
          <cell r="AD89">
            <v>99801</v>
          </cell>
          <cell r="AE89">
            <v>34128</v>
          </cell>
          <cell r="AF89">
            <v>42968</v>
          </cell>
          <cell r="AG89">
            <v>21613</v>
          </cell>
          <cell r="AH89">
            <v>2168</v>
          </cell>
          <cell r="AI89">
            <v>17549</v>
          </cell>
          <cell r="AJ89">
            <v>1178781</v>
          </cell>
          <cell r="AK89">
            <v>0</v>
          </cell>
          <cell r="AL89">
            <v>278712</v>
          </cell>
          <cell r="AM89">
            <v>0</v>
          </cell>
          <cell r="AN89">
            <v>270288</v>
          </cell>
          <cell r="AO89">
            <v>69647</v>
          </cell>
          <cell r="AP89">
            <v>0</v>
          </cell>
          <cell r="AQ89">
            <v>72435735</v>
          </cell>
          <cell r="BV89">
            <v>73362</v>
          </cell>
          <cell r="BW89">
            <v>1064208</v>
          </cell>
          <cell r="BX89">
            <v>0</v>
          </cell>
          <cell r="BY89">
            <v>0</v>
          </cell>
          <cell r="BZ89">
            <v>240120</v>
          </cell>
          <cell r="CM89">
            <v>1398850</v>
          </cell>
          <cell r="CO89">
            <v>0</v>
          </cell>
          <cell r="CP89">
            <v>0</v>
          </cell>
          <cell r="CQ89">
            <v>0</v>
          </cell>
          <cell r="CR89">
            <v>0</v>
          </cell>
          <cell r="CS89">
            <v>0</v>
          </cell>
          <cell r="CT89">
            <v>0</v>
          </cell>
          <cell r="CV89">
            <v>0</v>
          </cell>
          <cell r="CW89">
            <v>4734764</v>
          </cell>
        </row>
        <row r="90">
          <cell r="A90">
            <v>811</v>
          </cell>
          <cell r="B90">
            <v>75478456</v>
          </cell>
          <cell r="C90">
            <v>2039885</v>
          </cell>
          <cell r="D90">
            <v>6312847</v>
          </cell>
          <cell r="E90">
            <v>809794</v>
          </cell>
          <cell r="F90">
            <v>3616102</v>
          </cell>
          <cell r="G90">
            <v>0</v>
          </cell>
          <cell r="H90">
            <v>0</v>
          </cell>
          <cell r="I90">
            <v>1042960</v>
          </cell>
          <cell r="J90">
            <v>386235</v>
          </cell>
          <cell r="K90">
            <v>0</v>
          </cell>
          <cell r="L90">
            <v>0</v>
          </cell>
          <cell r="M90">
            <v>0</v>
          </cell>
          <cell r="N90">
            <v>250870</v>
          </cell>
          <cell r="O90">
            <v>0</v>
          </cell>
          <cell r="P90">
            <v>266640</v>
          </cell>
          <cell r="Q90">
            <v>401101</v>
          </cell>
          <cell r="R90">
            <v>83174</v>
          </cell>
          <cell r="V90">
            <v>0</v>
          </cell>
          <cell r="Y90">
            <v>0</v>
          </cell>
          <cell r="Z90">
            <v>95966</v>
          </cell>
          <cell r="AA90">
            <v>0</v>
          </cell>
          <cell r="AB90">
            <v>0</v>
          </cell>
          <cell r="AD90">
            <v>261771</v>
          </cell>
          <cell r="AE90">
            <v>25003</v>
          </cell>
          <cell r="AF90">
            <v>55795</v>
          </cell>
          <cell r="AG90">
            <v>0</v>
          </cell>
          <cell r="AH90">
            <v>3869</v>
          </cell>
          <cell r="AI90">
            <v>228010</v>
          </cell>
          <cell r="AJ90">
            <v>1099019</v>
          </cell>
          <cell r="AK90">
            <v>0</v>
          </cell>
          <cell r="AL90">
            <v>0</v>
          </cell>
          <cell r="AM90">
            <v>0</v>
          </cell>
          <cell r="AN90">
            <v>95287</v>
          </cell>
          <cell r="AO90">
            <v>2053454</v>
          </cell>
          <cell r="AP90">
            <v>0</v>
          </cell>
          <cell r="AQ90">
            <v>94606238</v>
          </cell>
          <cell r="BV90">
            <v>22086</v>
          </cell>
          <cell r="BW90">
            <v>1793208</v>
          </cell>
          <cell r="BX90">
            <v>2615350</v>
          </cell>
          <cell r="BY90">
            <v>0</v>
          </cell>
          <cell r="BZ90">
            <v>100000</v>
          </cell>
          <cell r="CM90">
            <v>13551489</v>
          </cell>
          <cell r="CO90">
            <v>0</v>
          </cell>
          <cell r="CP90">
            <v>0</v>
          </cell>
          <cell r="CQ90">
            <v>0</v>
          </cell>
          <cell r="CR90">
            <v>0</v>
          </cell>
          <cell r="CS90">
            <v>0</v>
          </cell>
          <cell r="CT90">
            <v>0</v>
          </cell>
          <cell r="CV90">
            <v>0</v>
          </cell>
          <cell r="CW90">
            <v>10867000</v>
          </cell>
        </row>
        <row r="91">
          <cell r="A91">
            <v>812</v>
          </cell>
          <cell r="B91">
            <v>37574806</v>
          </cell>
          <cell r="C91">
            <v>1206191</v>
          </cell>
          <cell r="D91">
            <v>2321479</v>
          </cell>
          <cell r="E91">
            <v>520855</v>
          </cell>
          <cell r="F91">
            <v>1348230</v>
          </cell>
          <cell r="G91">
            <v>89261</v>
          </cell>
          <cell r="H91">
            <v>0</v>
          </cell>
          <cell r="I91">
            <v>625376</v>
          </cell>
          <cell r="J91">
            <v>543334</v>
          </cell>
          <cell r="K91">
            <v>0</v>
          </cell>
          <cell r="L91">
            <v>0</v>
          </cell>
          <cell r="M91">
            <v>0</v>
          </cell>
          <cell r="N91">
            <v>105922</v>
          </cell>
          <cell r="O91">
            <v>0</v>
          </cell>
          <cell r="P91">
            <v>628543</v>
          </cell>
          <cell r="Q91">
            <v>19045</v>
          </cell>
          <cell r="R91">
            <v>26919</v>
          </cell>
          <cell r="V91">
            <v>10663</v>
          </cell>
          <cell r="Y91">
            <v>0</v>
          </cell>
          <cell r="Z91">
            <v>0</v>
          </cell>
          <cell r="AA91">
            <v>0</v>
          </cell>
          <cell r="AB91">
            <v>0</v>
          </cell>
          <cell r="AD91">
            <v>144432</v>
          </cell>
          <cell r="AE91">
            <v>73347</v>
          </cell>
          <cell r="AF91">
            <v>120164</v>
          </cell>
          <cell r="AG91">
            <v>25569</v>
          </cell>
          <cell r="AH91">
            <v>4842</v>
          </cell>
          <cell r="AI91">
            <v>0</v>
          </cell>
          <cell r="AJ91">
            <v>492864</v>
          </cell>
          <cell r="AK91">
            <v>0</v>
          </cell>
          <cell r="AL91">
            <v>115209</v>
          </cell>
          <cell r="AM91">
            <v>0</v>
          </cell>
          <cell r="AN91">
            <v>0</v>
          </cell>
          <cell r="AO91">
            <v>141767</v>
          </cell>
          <cell r="AP91">
            <v>0</v>
          </cell>
          <cell r="AQ91">
            <v>46138818</v>
          </cell>
          <cell r="BV91">
            <v>28576</v>
          </cell>
          <cell r="BW91">
            <v>305278</v>
          </cell>
          <cell r="BX91">
            <v>644399</v>
          </cell>
          <cell r="BY91">
            <v>89276</v>
          </cell>
          <cell r="BZ91">
            <v>7760</v>
          </cell>
          <cell r="CM91">
            <v>1722877</v>
          </cell>
          <cell r="CO91">
            <v>0</v>
          </cell>
          <cell r="CP91">
            <v>0</v>
          </cell>
          <cell r="CQ91">
            <v>0</v>
          </cell>
          <cell r="CR91">
            <v>0</v>
          </cell>
          <cell r="CS91">
            <v>0</v>
          </cell>
          <cell r="CT91">
            <v>0</v>
          </cell>
          <cell r="CV91">
            <v>0</v>
          </cell>
          <cell r="CW91">
            <v>3632500</v>
          </cell>
        </row>
        <row r="92">
          <cell r="A92">
            <v>813</v>
          </cell>
          <cell r="B92">
            <v>33880553</v>
          </cell>
          <cell r="C92">
            <v>1370718</v>
          </cell>
          <cell r="D92">
            <v>3599919</v>
          </cell>
          <cell r="E92">
            <v>511618</v>
          </cell>
          <cell r="F92">
            <v>1690155</v>
          </cell>
          <cell r="G92">
            <v>0</v>
          </cell>
          <cell r="H92">
            <v>0</v>
          </cell>
          <cell r="I92">
            <v>182854</v>
          </cell>
          <cell r="J92">
            <v>102109</v>
          </cell>
          <cell r="K92">
            <v>0</v>
          </cell>
          <cell r="L92">
            <v>0</v>
          </cell>
          <cell r="M92">
            <v>98882</v>
          </cell>
          <cell r="N92">
            <v>395459</v>
          </cell>
          <cell r="O92">
            <v>1233007</v>
          </cell>
          <cell r="P92">
            <v>469753</v>
          </cell>
          <cell r="Q92">
            <v>82910</v>
          </cell>
          <cell r="R92">
            <v>209780</v>
          </cell>
          <cell r="V92">
            <v>9121</v>
          </cell>
          <cell r="Y92">
            <v>0</v>
          </cell>
          <cell r="Z92">
            <v>0</v>
          </cell>
          <cell r="AA92">
            <v>0</v>
          </cell>
          <cell r="AB92">
            <v>8581</v>
          </cell>
          <cell r="AD92">
            <v>33496</v>
          </cell>
          <cell r="AE92">
            <v>1005</v>
          </cell>
          <cell r="AF92">
            <v>0</v>
          </cell>
          <cell r="AG92">
            <v>36418</v>
          </cell>
          <cell r="AH92">
            <v>985</v>
          </cell>
          <cell r="AI92">
            <v>65850</v>
          </cell>
          <cell r="AJ92">
            <v>255456</v>
          </cell>
          <cell r="AK92">
            <v>0</v>
          </cell>
          <cell r="AL92">
            <v>28748</v>
          </cell>
          <cell r="AM92">
            <v>0</v>
          </cell>
          <cell r="AN92">
            <v>0</v>
          </cell>
          <cell r="AO92">
            <v>1182396</v>
          </cell>
          <cell r="AP92">
            <v>10000</v>
          </cell>
          <cell r="AQ92">
            <v>45459773</v>
          </cell>
          <cell r="BV92">
            <v>48359</v>
          </cell>
          <cell r="BW92">
            <v>140567</v>
          </cell>
          <cell r="BX92">
            <v>1382740</v>
          </cell>
          <cell r="BY92">
            <v>0</v>
          </cell>
          <cell r="BZ92">
            <v>419472</v>
          </cell>
          <cell r="CM92">
            <v>961931</v>
          </cell>
          <cell r="CO92">
            <v>0</v>
          </cell>
          <cell r="CP92">
            <v>0</v>
          </cell>
          <cell r="CQ92">
            <v>0</v>
          </cell>
          <cell r="CR92">
            <v>0</v>
          </cell>
          <cell r="CS92">
            <v>0</v>
          </cell>
          <cell r="CT92">
            <v>0</v>
          </cell>
          <cell r="CV92">
            <v>0</v>
          </cell>
          <cell r="CW92">
            <v>2327253</v>
          </cell>
        </row>
        <row r="93">
          <cell r="A93">
            <v>815</v>
          </cell>
          <cell r="B93">
            <v>137129842</v>
          </cell>
          <cell r="C93">
            <v>4769244</v>
          </cell>
          <cell r="D93">
            <v>8137819</v>
          </cell>
          <cell r="E93">
            <v>0</v>
          </cell>
          <cell r="F93">
            <v>6890148</v>
          </cell>
          <cell r="G93">
            <v>0</v>
          </cell>
          <cell r="H93">
            <v>95333</v>
          </cell>
          <cell r="I93">
            <v>2762793</v>
          </cell>
          <cell r="J93">
            <v>507114</v>
          </cell>
          <cell r="K93">
            <v>0</v>
          </cell>
          <cell r="L93">
            <v>0</v>
          </cell>
          <cell r="M93">
            <v>141770</v>
          </cell>
          <cell r="N93">
            <v>8558</v>
          </cell>
          <cell r="O93">
            <v>0</v>
          </cell>
          <cell r="P93">
            <v>748975</v>
          </cell>
          <cell r="Q93">
            <v>0</v>
          </cell>
          <cell r="R93">
            <v>1616717</v>
          </cell>
          <cell r="V93">
            <v>96142</v>
          </cell>
          <cell r="Y93">
            <v>0</v>
          </cell>
          <cell r="Z93">
            <v>0</v>
          </cell>
          <cell r="AA93">
            <v>0</v>
          </cell>
          <cell r="AB93">
            <v>0</v>
          </cell>
          <cell r="AD93">
            <v>598836</v>
          </cell>
          <cell r="AE93">
            <v>65763</v>
          </cell>
          <cell r="AF93">
            <v>1117312</v>
          </cell>
          <cell r="AG93">
            <v>0</v>
          </cell>
          <cell r="AH93">
            <v>14000</v>
          </cell>
          <cell r="AI93">
            <v>51724</v>
          </cell>
          <cell r="AJ93">
            <v>210967</v>
          </cell>
          <cell r="AK93">
            <v>0</v>
          </cell>
          <cell r="AL93">
            <v>0</v>
          </cell>
          <cell r="AM93">
            <v>0</v>
          </cell>
          <cell r="AN93">
            <v>186910</v>
          </cell>
          <cell r="AO93">
            <v>7903568</v>
          </cell>
          <cell r="AP93">
            <v>0</v>
          </cell>
          <cell r="AQ93">
            <v>173053535</v>
          </cell>
          <cell r="BV93">
            <v>83471</v>
          </cell>
          <cell r="BW93">
            <v>1779441</v>
          </cell>
          <cell r="BX93">
            <v>7285465</v>
          </cell>
          <cell r="BY93">
            <v>596871</v>
          </cell>
          <cell r="BZ93">
            <v>2443736</v>
          </cell>
          <cell r="CM93">
            <v>25211378</v>
          </cell>
          <cell r="CO93">
            <v>0</v>
          </cell>
          <cell r="CP93">
            <v>0</v>
          </cell>
          <cell r="CQ93">
            <v>0</v>
          </cell>
          <cell r="CR93">
            <v>0</v>
          </cell>
          <cell r="CS93">
            <v>0</v>
          </cell>
          <cell r="CT93">
            <v>0</v>
          </cell>
          <cell r="CV93">
            <v>0</v>
          </cell>
          <cell r="CW93">
            <v>9593595</v>
          </cell>
        </row>
        <row r="94">
          <cell r="A94">
            <v>816</v>
          </cell>
          <cell r="B94">
            <v>32604311</v>
          </cell>
          <cell r="C94">
            <v>1128318</v>
          </cell>
          <cell r="D94">
            <v>3514265</v>
          </cell>
          <cell r="E94">
            <v>0</v>
          </cell>
          <cell r="F94">
            <v>1658721</v>
          </cell>
          <cell r="G94">
            <v>0</v>
          </cell>
          <cell r="H94">
            <v>0</v>
          </cell>
          <cell r="I94">
            <v>489651</v>
          </cell>
          <cell r="J94">
            <v>87056</v>
          </cell>
          <cell r="K94">
            <v>276724</v>
          </cell>
          <cell r="L94">
            <v>142186</v>
          </cell>
          <cell r="M94">
            <v>38847</v>
          </cell>
          <cell r="N94">
            <v>0</v>
          </cell>
          <cell r="O94">
            <v>0</v>
          </cell>
          <cell r="P94">
            <v>658264</v>
          </cell>
          <cell r="Q94">
            <v>416375</v>
          </cell>
          <cell r="R94">
            <v>260100</v>
          </cell>
          <cell r="V94">
            <v>28468</v>
          </cell>
          <cell r="Y94">
            <v>0</v>
          </cell>
          <cell r="Z94">
            <v>0</v>
          </cell>
          <cell r="AA94">
            <v>0</v>
          </cell>
          <cell r="AB94">
            <v>0</v>
          </cell>
          <cell r="AD94">
            <v>61865</v>
          </cell>
          <cell r="AE94">
            <v>15213</v>
          </cell>
          <cell r="AF94">
            <v>23275</v>
          </cell>
          <cell r="AG94">
            <v>0</v>
          </cell>
          <cell r="AH94">
            <v>10842</v>
          </cell>
          <cell r="AI94">
            <v>37317</v>
          </cell>
          <cell r="AJ94">
            <v>1370943</v>
          </cell>
          <cell r="AK94">
            <v>0</v>
          </cell>
          <cell r="AL94">
            <v>0</v>
          </cell>
          <cell r="AM94">
            <v>0</v>
          </cell>
          <cell r="AN94">
            <v>83379</v>
          </cell>
          <cell r="AO94">
            <v>138427</v>
          </cell>
          <cell r="AP94">
            <v>0</v>
          </cell>
          <cell r="AQ94">
            <v>43044547</v>
          </cell>
          <cell r="BV94">
            <v>16073</v>
          </cell>
          <cell r="BW94">
            <v>0</v>
          </cell>
          <cell r="BX94">
            <v>1093898</v>
          </cell>
          <cell r="BY94">
            <v>0</v>
          </cell>
          <cell r="BZ94">
            <v>73520</v>
          </cell>
          <cell r="CM94">
            <v>4323056</v>
          </cell>
          <cell r="CO94">
            <v>84736</v>
          </cell>
          <cell r="CP94">
            <v>64797</v>
          </cell>
          <cell r="CQ94">
            <v>48647</v>
          </cell>
          <cell r="CR94">
            <v>1332</v>
          </cell>
          <cell r="CS94">
            <v>0</v>
          </cell>
          <cell r="CT94">
            <v>0</v>
          </cell>
          <cell r="CV94">
            <v>0</v>
          </cell>
          <cell r="CW94">
            <v>4236000</v>
          </cell>
        </row>
        <row r="95">
          <cell r="A95">
            <v>820</v>
          </cell>
          <cell r="B95">
            <v>114613813</v>
          </cell>
          <cell r="C95">
            <v>5329910</v>
          </cell>
          <cell r="D95">
            <v>5454673</v>
          </cell>
          <cell r="E95">
            <v>894418</v>
          </cell>
          <cell r="F95">
            <v>4793033</v>
          </cell>
          <cell r="G95">
            <v>0</v>
          </cell>
          <cell r="H95">
            <v>302060</v>
          </cell>
          <cell r="I95">
            <v>872930</v>
          </cell>
          <cell r="J95">
            <v>423555</v>
          </cell>
          <cell r="K95">
            <v>283187</v>
          </cell>
          <cell r="L95">
            <v>56492</v>
          </cell>
          <cell r="M95">
            <v>128310</v>
          </cell>
          <cell r="N95">
            <v>228785</v>
          </cell>
          <cell r="O95">
            <v>29421</v>
          </cell>
          <cell r="P95">
            <v>1134034</v>
          </cell>
          <cell r="Q95">
            <v>93969</v>
          </cell>
          <cell r="R95">
            <v>2490949</v>
          </cell>
          <cell r="V95">
            <v>14958</v>
          </cell>
          <cell r="Y95">
            <v>0</v>
          </cell>
          <cell r="Z95">
            <v>0</v>
          </cell>
          <cell r="AA95">
            <v>0</v>
          </cell>
          <cell r="AB95">
            <v>0</v>
          </cell>
          <cell r="AD95">
            <v>181299</v>
          </cell>
          <cell r="AE95">
            <v>0</v>
          </cell>
          <cell r="AF95">
            <v>51696</v>
          </cell>
          <cell r="AG95">
            <v>36068</v>
          </cell>
          <cell r="AH95">
            <v>0</v>
          </cell>
          <cell r="AI95">
            <v>0</v>
          </cell>
          <cell r="AJ95">
            <v>498201</v>
          </cell>
          <cell r="AK95">
            <v>0</v>
          </cell>
          <cell r="AL95">
            <v>0</v>
          </cell>
          <cell r="AM95">
            <v>0</v>
          </cell>
          <cell r="AN95">
            <v>0</v>
          </cell>
          <cell r="AO95">
            <v>1615596</v>
          </cell>
          <cell r="AP95">
            <v>0</v>
          </cell>
          <cell r="AQ95">
            <v>139527357</v>
          </cell>
          <cell r="BV95">
            <v>9090</v>
          </cell>
          <cell r="BW95">
            <v>0</v>
          </cell>
          <cell r="BX95">
            <v>5542124</v>
          </cell>
          <cell r="BY95">
            <v>388284</v>
          </cell>
          <cell r="BZ95">
            <v>0</v>
          </cell>
          <cell r="CM95">
            <v>20398475</v>
          </cell>
          <cell r="CO95">
            <v>150937</v>
          </cell>
          <cell r="CP95">
            <v>459670</v>
          </cell>
          <cell r="CQ95">
            <v>0</v>
          </cell>
          <cell r="CR95">
            <v>0</v>
          </cell>
          <cell r="CS95">
            <v>0</v>
          </cell>
          <cell r="CT95">
            <v>0</v>
          </cell>
          <cell r="CV95">
            <v>0</v>
          </cell>
          <cell r="CW95">
            <v>8417000</v>
          </cell>
        </row>
        <row r="96">
          <cell r="A96">
            <v>821</v>
          </cell>
          <cell r="B96">
            <v>43314254</v>
          </cell>
          <cell r="C96">
            <v>1229726</v>
          </cell>
          <cell r="D96">
            <v>4043614</v>
          </cell>
          <cell r="E96">
            <v>1716698</v>
          </cell>
          <cell r="F96">
            <v>1255602</v>
          </cell>
          <cell r="G96">
            <v>0</v>
          </cell>
          <cell r="H96">
            <v>0</v>
          </cell>
          <cell r="I96">
            <v>152937</v>
          </cell>
          <cell r="J96">
            <v>152937</v>
          </cell>
          <cell r="K96">
            <v>0</v>
          </cell>
          <cell r="L96">
            <v>0</v>
          </cell>
          <cell r="M96">
            <v>76645</v>
          </cell>
          <cell r="N96">
            <v>40042</v>
          </cell>
          <cell r="O96">
            <v>0</v>
          </cell>
          <cell r="P96">
            <v>947571</v>
          </cell>
          <cell r="Q96">
            <v>147403</v>
          </cell>
          <cell r="R96">
            <v>698716</v>
          </cell>
          <cell r="V96">
            <v>30767</v>
          </cell>
          <cell r="Y96">
            <v>0</v>
          </cell>
          <cell r="Z96">
            <v>23815</v>
          </cell>
          <cell r="AA96">
            <v>0</v>
          </cell>
          <cell r="AB96">
            <v>0</v>
          </cell>
          <cell r="AD96">
            <v>144581</v>
          </cell>
          <cell r="AE96">
            <v>0</v>
          </cell>
          <cell r="AF96">
            <v>54427</v>
          </cell>
          <cell r="AG96">
            <v>40441</v>
          </cell>
          <cell r="AH96">
            <v>322</v>
          </cell>
          <cell r="AI96">
            <v>64432</v>
          </cell>
          <cell r="AJ96">
            <v>826168</v>
          </cell>
          <cell r="AK96">
            <v>0</v>
          </cell>
          <cell r="AL96">
            <v>174663</v>
          </cell>
          <cell r="AM96">
            <v>0</v>
          </cell>
          <cell r="AN96">
            <v>0</v>
          </cell>
          <cell r="AO96">
            <v>221632</v>
          </cell>
          <cell r="AP96">
            <v>0</v>
          </cell>
          <cell r="AQ96">
            <v>55357393</v>
          </cell>
          <cell r="BV96">
            <v>109226</v>
          </cell>
          <cell r="BW96">
            <v>0</v>
          </cell>
          <cell r="BX96">
            <v>483131</v>
          </cell>
          <cell r="BY96">
            <v>0</v>
          </cell>
          <cell r="BZ96">
            <v>340111</v>
          </cell>
          <cell r="CM96">
            <v>774332</v>
          </cell>
          <cell r="CO96">
            <v>0</v>
          </cell>
          <cell r="CP96">
            <v>0</v>
          </cell>
          <cell r="CQ96">
            <v>0</v>
          </cell>
          <cell r="CR96">
            <v>0</v>
          </cell>
          <cell r="CS96">
            <v>0</v>
          </cell>
          <cell r="CT96">
            <v>0</v>
          </cell>
          <cell r="CV96">
            <v>0</v>
          </cell>
          <cell r="CW96">
            <v>5428379</v>
          </cell>
        </row>
        <row r="97">
          <cell r="A97">
            <v>825</v>
          </cell>
          <cell r="B97">
            <v>110582887</v>
          </cell>
          <cell r="C97">
            <v>3611434</v>
          </cell>
          <cell r="D97">
            <v>9226771</v>
          </cell>
          <cell r="E97">
            <v>364902</v>
          </cell>
          <cell r="F97">
            <v>3594950</v>
          </cell>
          <cell r="G97">
            <v>703000</v>
          </cell>
          <cell r="H97">
            <v>440500</v>
          </cell>
          <cell r="I97">
            <v>3121571</v>
          </cell>
          <cell r="J97">
            <v>43010</v>
          </cell>
          <cell r="K97">
            <v>170170</v>
          </cell>
          <cell r="L97">
            <v>0</v>
          </cell>
          <cell r="M97">
            <v>127254</v>
          </cell>
          <cell r="N97">
            <v>138340</v>
          </cell>
          <cell r="O97">
            <v>0</v>
          </cell>
          <cell r="P97">
            <v>1414569</v>
          </cell>
          <cell r="Q97">
            <v>148314</v>
          </cell>
          <cell r="R97">
            <v>229000</v>
          </cell>
          <cell r="V97">
            <v>0</v>
          </cell>
          <cell r="Y97">
            <v>0</v>
          </cell>
          <cell r="Z97">
            <v>0</v>
          </cell>
          <cell r="AA97">
            <v>0</v>
          </cell>
          <cell r="AB97">
            <v>0</v>
          </cell>
          <cell r="AD97">
            <v>933750</v>
          </cell>
          <cell r="AE97">
            <v>89645</v>
          </cell>
          <cell r="AF97">
            <v>162252</v>
          </cell>
          <cell r="AG97">
            <v>48135</v>
          </cell>
          <cell r="AH97">
            <v>28940</v>
          </cell>
          <cell r="AI97">
            <v>46757</v>
          </cell>
          <cell r="AJ97">
            <v>1700258</v>
          </cell>
          <cell r="AK97">
            <v>0</v>
          </cell>
          <cell r="AL97">
            <v>0</v>
          </cell>
          <cell r="AM97">
            <v>0</v>
          </cell>
          <cell r="AN97">
            <v>93000</v>
          </cell>
          <cell r="AO97">
            <v>2076550</v>
          </cell>
          <cell r="AP97">
            <v>0</v>
          </cell>
          <cell r="AQ97">
            <v>139095959</v>
          </cell>
          <cell r="BV97">
            <v>0</v>
          </cell>
          <cell r="BW97">
            <v>0</v>
          </cell>
          <cell r="BX97">
            <v>9589553</v>
          </cell>
          <cell r="BY97">
            <v>380902</v>
          </cell>
          <cell r="BZ97">
            <v>122246</v>
          </cell>
          <cell r="CM97">
            <v>28875363</v>
          </cell>
          <cell r="CO97">
            <v>0</v>
          </cell>
          <cell r="CP97">
            <v>0</v>
          </cell>
          <cell r="CQ97">
            <v>0</v>
          </cell>
          <cell r="CR97">
            <v>0</v>
          </cell>
          <cell r="CS97">
            <v>0</v>
          </cell>
          <cell r="CT97">
            <v>0</v>
          </cell>
          <cell r="CV97">
            <v>0</v>
          </cell>
          <cell r="CW97">
            <v>3338656</v>
          </cell>
        </row>
        <row r="98">
          <cell r="A98">
            <v>826</v>
          </cell>
          <cell r="B98">
            <v>50798501</v>
          </cell>
          <cell r="C98">
            <v>1386197</v>
          </cell>
          <cell r="D98">
            <v>4235254</v>
          </cell>
          <cell r="E98">
            <v>543090</v>
          </cell>
          <cell r="F98">
            <v>1426665</v>
          </cell>
          <cell r="G98">
            <v>150000</v>
          </cell>
          <cell r="H98">
            <v>0</v>
          </cell>
          <cell r="I98">
            <v>30040</v>
          </cell>
          <cell r="J98">
            <v>12891</v>
          </cell>
          <cell r="K98">
            <v>0</v>
          </cell>
          <cell r="L98">
            <v>13024</v>
          </cell>
          <cell r="M98">
            <v>0</v>
          </cell>
          <cell r="N98">
            <v>42337</v>
          </cell>
          <cell r="O98">
            <v>0</v>
          </cell>
          <cell r="P98">
            <v>646854</v>
          </cell>
          <cell r="Q98">
            <v>713360</v>
          </cell>
          <cell r="R98">
            <v>465391</v>
          </cell>
          <cell r="V98">
            <v>0</v>
          </cell>
          <cell r="Y98">
            <v>0</v>
          </cell>
          <cell r="Z98">
            <v>0</v>
          </cell>
          <cell r="AA98">
            <v>0</v>
          </cell>
          <cell r="AB98">
            <v>0</v>
          </cell>
          <cell r="AD98">
            <v>116780</v>
          </cell>
          <cell r="AE98">
            <v>53952</v>
          </cell>
          <cell r="AF98">
            <v>0</v>
          </cell>
          <cell r="AG98">
            <v>95403</v>
          </cell>
          <cell r="AH98">
            <v>1835</v>
          </cell>
          <cell r="AI98">
            <v>0</v>
          </cell>
          <cell r="AJ98">
            <v>1365854</v>
          </cell>
          <cell r="AK98">
            <v>0</v>
          </cell>
          <cell r="AL98">
            <v>76736</v>
          </cell>
          <cell r="AM98">
            <v>0</v>
          </cell>
          <cell r="AN98">
            <v>44459</v>
          </cell>
          <cell r="AO98">
            <v>502136</v>
          </cell>
          <cell r="AP98">
            <v>0</v>
          </cell>
          <cell r="AQ98">
            <v>62720759</v>
          </cell>
          <cell r="BV98">
            <v>4767</v>
          </cell>
          <cell r="BW98">
            <v>6861</v>
          </cell>
          <cell r="BX98">
            <v>975281</v>
          </cell>
          <cell r="BY98">
            <v>34173</v>
          </cell>
          <cell r="BZ98">
            <v>68347</v>
          </cell>
          <cell r="CM98">
            <v>11027672</v>
          </cell>
          <cell r="CO98">
            <v>0</v>
          </cell>
          <cell r="CP98">
            <v>0</v>
          </cell>
          <cell r="CQ98">
            <v>0</v>
          </cell>
          <cell r="CR98">
            <v>0</v>
          </cell>
          <cell r="CS98">
            <v>0</v>
          </cell>
          <cell r="CT98">
            <v>0</v>
          </cell>
          <cell r="CV98">
            <v>0</v>
          </cell>
          <cell r="CW98">
            <v>2680033</v>
          </cell>
        </row>
        <row r="99">
          <cell r="A99">
            <v>830</v>
          </cell>
          <cell r="B99">
            <v>165335696</v>
          </cell>
          <cell r="C99">
            <v>5065028</v>
          </cell>
          <cell r="D99">
            <v>14174173</v>
          </cell>
          <cell r="E99">
            <v>1498534</v>
          </cell>
          <cell r="F99">
            <v>8874773</v>
          </cell>
          <cell r="G99">
            <v>0</v>
          </cell>
          <cell r="H99">
            <v>0</v>
          </cell>
          <cell r="I99">
            <v>412208</v>
          </cell>
          <cell r="J99">
            <v>181363</v>
          </cell>
          <cell r="K99">
            <v>2140</v>
          </cell>
          <cell r="L99">
            <v>7765</v>
          </cell>
          <cell r="M99">
            <v>0</v>
          </cell>
          <cell r="N99">
            <v>551893</v>
          </cell>
          <cell r="O99">
            <v>0</v>
          </cell>
          <cell r="P99">
            <v>1715773</v>
          </cell>
          <cell r="Q99">
            <v>1635641</v>
          </cell>
          <cell r="R99">
            <v>1985621</v>
          </cell>
          <cell r="V99">
            <v>39824</v>
          </cell>
          <cell r="Y99">
            <v>0</v>
          </cell>
          <cell r="Z99">
            <v>1042401</v>
          </cell>
          <cell r="AA99">
            <v>0</v>
          </cell>
          <cell r="AB99">
            <v>7410</v>
          </cell>
          <cell r="AD99">
            <v>207444</v>
          </cell>
          <cell r="AE99">
            <v>83667</v>
          </cell>
          <cell r="AF99">
            <v>126652</v>
          </cell>
          <cell r="AG99">
            <v>159736</v>
          </cell>
          <cell r="AH99">
            <v>0</v>
          </cell>
          <cell r="AI99">
            <v>375352</v>
          </cell>
          <cell r="AJ99">
            <v>948624</v>
          </cell>
          <cell r="AK99">
            <v>281364</v>
          </cell>
          <cell r="AL99">
            <v>32000</v>
          </cell>
          <cell r="AM99">
            <v>0</v>
          </cell>
          <cell r="AN99">
            <v>360138</v>
          </cell>
          <cell r="AO99">
            <v>4477530</v>
          </cell>
          <cell r="AP99">
            <v>0</v>
          </cell>
          <cell r="AQ99">
            <v>209582750</v>
          </cell>
          <cell r="BV99">
            <v>65690</v>
          </cell>
          <cell r="BW99">
            <v>473878</v>
          </cell>
          <cell r="BX99">
            <v>4780236</v>
          </cell>
          <cell r="BY99">
            <v>0</v>
          </cell>
          <cell r="BZ99">
            <v>0</v>
          </cell>
          <cell r="CM99">
            <v>22981297</v>
          </cell>
          <cell r="CO99">
            <v>53718</v>
          </cell>
          <cell r="CP99">
            <v>0</v>
          </cell>
          <cell r="CQ99">
            <v>0</v>
          </cell>
          <cell r="CR99">
            <v>0</v>
          </cell>
          <cell r="CS99">
            <v>0</v>
          </cell>
          <cell r="CT99">
            <v>0</v>
          </cell>
          <cell r="CV99">
            <v>0</v>
          </cell>
          <cell r="CW99">
            <v>20184000</v>
          </cell>
        </row>
        <row r="100">
          <cell r="A100">
            <v>831</v>
          </cell>
          <cell r="B100">
            <v>51940576</v>
          </cell>
          <cell r="C100">
            <v>1446045</v>
          </cell>
          <cell r="D100">
            <v>5832247</v>
          </cell>
          <cell r="E100">
            <v>846568</v>
          </cell>
          <cell r="F100">
            <v>1939675</v>
          </cell>
          <cell r="G100">
            <v>0</v>
          </cell>
          <cell r="H100">
            <v>47000</v>
          </cell>
          <cell r="I100">
            <v>46015</v>
          </cell>
          <cell r="J100">
            <v>3944</v>
          </cell>
          <cell r="K100">
            <v>321070</v>
          </cell>
          <cell r="L100">
            <v>321070</v>
          </cell>
          <cell r="M100">
            <v>23844</v>
          </cell>
          <cell r="N100">
            <v>138157</v>
          </cell>
          <cell r="O100">
            <v>0</v>
          </cell>
          <cell r="P100">
            <v>2325588</v>
          </cell>
          <cell r="Q100">
            <v>223299</v>
          </cell>
          <cell r="R100">
            <v>2649</v>
          </cell>
          <cell r="V100">
            <v>0</v>
          </cell>
          <cell r="Y100">
            <v>0</v>
          </cell>
          <cell r="Z100">
            <v>338424</v>
          </cell>
          <cell r="AA100">
            <v>0</v>
          </cell>
          <cell r="AB100">
            <v>4459</v>
          </cell>
          <cell r="AD100">
            <v>27740</v>
          </cell>
          <cell r="AE100">
            <v>11736</v>
          </cell>
          <cell r="AF100">
            <v>32478</v>
          </cell>
          <cell r="AG100">
            <v>22348</v>
          </cell>
          <cell r="AH100">
            <v>1125</v>
          </cell>
          <cell r="AI100">
            <v>66618</v>
          </cell>
          <cell r="AJ100">
            <v>642705</v>
          </cell>
          <cell r="AK100">
            <v>0</v>
          </cell>
          <cell r="AL100">
            <v>90481</v>
          </cell>
          <cell r="AM100">
            <v>0</v>
          </cell>
          <cell r="AN100">
            <v>182361</v>
          </cell>
          <cell r="AO100">
            <v>98323</v>
          </cell>
          <cell r="AP100">
            <v>0</v>
          </cell>
          <cell r="AQ100">
            <v>66976545</v>
          </cell>
          <cell r="BV100">
            <v>2258</v>
          </cell>
          <cell r="BW100">
            <v>276732</v>
          </cell>
          <cell r="BX100">
            <v>418807</v>
          </cell>
          <cell r="BY100">
            <v>0</v>
          </cell>
          <cell r="BZ100">
            <v>0</v>
          </cell>
          <cell r="CM100">
            <v>5482669</v>
          </cell>
          <cell r="CO100">
            <v>0</v>
          </cell>
          <cell r="CP100">
            <v>0</v>
          </cell>
          <cell r="CQ100">
            <v>48619</v>
          </cell>
          <cell r="CR100">
            <v>0</v>
          </cell>
          <cell r="CS100">
            <v>0</v>
          </cell>
          <cell r="CT100">
            <v>0</v>
          </cell>
          <cell r="CV100">
            <v>0</v>
          </cell>
          <cell r="CW100">
            <v>3771874</v>
          </cell>
        </row>
        <row r="101">
          <cell r="A101">
            <v>835</v>
          </cell>
          <cell r="B101">
            <v>93099700</v>
          </cell>
          <cell r="C101">
            <v>3518000</v>
          </cell>
          <cell r="D101">
            <v>6702500</v>
          </cell>
          <cell r="E101">
            <v>0</v>
          </cell>
          <cell r="F101">
            <v>3948200</v>
          </cell>
          <cell r="G101">
            <v>518500</v>
          </cell>
          <cell r="H101">
            <v>276078</v>
          </cell>
          <cell r="I101">
            <v>1736028</v>
          </cell>
          <cell r="J101">
            <v>0</v>
          </cell>
          <cell r="K101">
            <v>0</v>
          </cell>
          <cell r="L101">
            <v>0</v>
          </cell>
          <cell r="M101">
            <v>0</v>
          </cell>
          <cell r="N101">
            <v>0</v>
          </cell>
          <cell r="O101">
            <v>0</v>
          </cell>
          <cell r="P101">
            <v>2504609</v>
          </cell>
          <cell r="Q101">
            <v>196334</v>
          </cell>
          <cell r="R101">
            <v>51627</v>
          </cell>
          <cell r="V101">
            <v>9456</v>
          </cell>
          <cell r="Y101">
            <v>18400</v>
          </cell>
          <cell r="Z101">
            <v>35600</v>
          </cell>
          <cell r="AA101">
            <v>0</v>
          </cell>
          <cell r="AB101">
            <v>0</v>
          </cell>
          <cell r="AD101">
            <v>194923</v>
          </cell>
          <cell r="AE101">
            <v>56541</v>
          </cell>
          <cell r="AF101">
            <v>161286</v>
          </cell>
          <cell r="AG101">
            <v>19864</v>
          </cell>
          <cell r="AH101">
            <v>24074</v>
          </cell>
          <cell r="AI101">
            <v>42300</v>
          </cell>
          <cell r="AJ101">
            <v>3120811</v>
          </cell>
          <cell r="AK101">
            <v>0</v>
          </cell>
          <cell r="AL101">
            <v>0</v>
          </cell>
          <cell r="AM101">
            <v>0</v>
          </cell>
          <cell r="AN101">
            <v>113015</v>
          </cell>
          <cell r="AO101">
            <v>72995</v>
          </cell>
          <cell r="AP101">
            <v>0</v>
          </cell>
          <cell r="AQ101">
            <v>116420841</v>
          </cell>
          <cell r="BV101">
            <v>251822</v>
          </cell>
          <cell r="BW101">
            <v>99500</v>
          </cell>
          <cell r="BX101">
            <v>4302600</v>
          </cell>
          <cell r="BY101">
            <v>90000</v>
          </cell>
          <cell r="BZ101">
            <v>369200</v>
          </cell>
          <cell r="CM101">
            <v>17358200</v>
          </cell>
          <cell r="CO101">
            <v>0</v>
          </cell>
          <cell r="CP101">
            <v>0</v>
          </cell>
          <cell r="CQ101">
            <v>0</v>
          </cell>
          <cell r="CR101">
            <v>0</v>
          </cell>
          <cell r="CS101">
            <v>0</v>
          </cell>
          <cell r="CT101">
            <v>0</v>
          </cell>
          <cell r="CV101">
            <v>0</v>
          </cell>
          <cell r="CW101">
            <v>20243469</v>
          </cell>
        </row>
        <row r="102">
          <cell r="A102">
            <v>836</v>
          </cell>
          <cell r="B102">
            <v>28563532</v>
          </cell>
          <cell r="C102">
            <v>919010</v>
          </cell>
          <cell r="D102">
            <v>1757970</v>
          </cell>
          <cell r="E102">
            <v>0</v>
          </cell>
          <cell r="F102">
            <v>805958</v>
          </cell>
          <cell r="G102">
            <v>0</v>
          </cell>
          <cell r="H102">
            <v>0</v>
          </cell>
          <cell r="I102">
            <v>311910</v>
          </cell>
          <cell r="J102">
            <v>34657</v>
          </cell>
          <cell r="K102">
            <v>47720</v>
          </cell>
          <cell r="L102">
            <v>91385</v>
          </cell>
          <cell r="M102">
            <v>8468</v>
          </cell>
          <cell r="N102">
            <v>0</v>
          </cell>
          <cell r="O102">
            <v>0</v>
          </cell>
          <cell r="P102">
            <v>439976</v>
          </cell>
          <cell r="Q102">
            <v>19697</v>
          </cell>
          <cell r="R102">
            <v>71095</v>
          </cell>
          <cell r="V102">
            <v>5855</v>
          </cell>
          <cell r="Y102">
            <v>0</v>
          </cell>
          <cell r="Z102">
            <v>6930</v>
          </cell>
          <cell r="AA102">
            <v>0</v>
          </cell>
          <cell r="AB102">
            <v>3181</v>
          </cell>
          <cell r="AD102">
            <v>70389</v>
          </cell>
          <cell r="AE102">
            <v>6820</v>
          </cell>
          <cell r="AF102">
            <v>29276</v>
          </cell>
          <cell r="AG102">
            <v>0</v>
          </cell>
          <cell r="AH102">
            <v>1343</v>
          </cell>
          <cell r="AI102">
            <v>10392</v>
          </cell>
          <cell r="AJ102">
            <v>608856</v>
          </cell>
          <cell r="AK102">
            <v>226316</v>
          </cell>
          <cell r="AL102">
            <v>0</v>
          </cell>
          <cell r="AM102">
            <v>0</v>
          </cell>
          <cell r="AN102">
            <v>332797</v>
          </cell>
          <cell r="AO102">
            <v>49520</v>
          </cell>
          <cell r="AP102">
            <v>0</v>
          </cell>
          <cell r="AQ102">
            <v>34423053</v>
          </cell>
          <cell r="BV102">
            <v>8159</v>
          </cell>
          <cell r="BW102">
            <v>0</v>
          </cell>
          <cell r="BX102">
            <v>485061</v>
          </cell>
          <cell r="BY102">
            <v>0</v>
          </cell>
          <cell r="BZ102">
            <v>134956</v>
          </cell>
          <cell r="CM102">
            <v>6437207</v>
          </cell>
          <cell r="CO102">
            <v>5000</v>
          </cell>
          <cell r="CP102">
            <v>0</v>
          </cell>
          <cell r="CQ102">
            <v>0</v>
          </cell>
          <cell r="CR102">
            <v>0</v>
          </cell>
          <cell r="CS102">
            <v>0</v>
          </cell>
          <cell r="CT102">
            <v>0</v>
          </cell>
          <cell r="CV102">
            <v>0</v>
          </cell>
          <cell r="CW102">
            <v>2375061</v>
          </cell>
        </row>
        <row r="103">
          <cell r="A103">
            <v>837</v>
          </cell>
          <cell r="B103">
            <v>31742155</v>
          </cell>
          <cell r="C103">
            <v>1026651</v>
          </cell>
          <cell r="D103">
            <v>2173246</v>
          </cell>
          <cell r="E103">
            <v>0</v>
          </cell>
          <cell r="F103">
            <v>1385793</v>
          </cell>
          <cell r="G103">
            <v>99156</v>
          </cell>
          <cell r="H103">
            <v>0</v>
          </cell>
          <cell r="I103">
            <v>351987</v>
          </cell>
          <cell r="J103">
            <v>0</v>
          </cell>
          <cell r="K103">
            <v>162551</v>
          </cell>
          <cell r="L103">
            <v>413519</v>
          </cell>
          <cell r="M103">
            <v>78587</v>
          </cell>
          <cell r="N103">
            <v>0</v>
          </cell>
          <cell r="O103">
            <v>212194</v>
          </cell>
          <cell r="P103">
            <v>676068</v>
          </cell>
          <cell r="Q103">
            <v>104960</v>
          </cell>
          <cell r="R103">
            <v>60923</v>
          </cell>
          <cell r="V103">
            <v>18338</v>
          </cell>
          <cell r="Y103">
            <v>0</v>
          </cell>
          <cell r="Z103">
            <v>0</v>
          </cell>
          <cell r="AA103">
            <v>0</v>
          </cell>
          <cell r="AB103">
            <v>0</v>
          </cell>
          <cell r="AD103">
            <v>76551</v>
          </cell>
          <cell r="AE103">
            <v>0</v>
          </cell>
          <cell r="AF103">
            <v>0</v>
          </cell>
          <cell r="AG103">
            <v>12020</v>
          </cell>
          <cell r="AH103">
            <v>1670</v>
          </cell>
          <cell r="AI103">
            <v>31012</v>
          </cell>
          <cell r="AJ103">
            <v>954561</v>
          </cell>
          <cell r="AK103">
            <v>0</v>
          </cell>
          <cell r="AL103">
            <v>0</v>
          </cell>
          <cell r="AM103">
            <v>0</v>
          </cell>
          <cell r="AN103">
            <v>43032</v>
          </cell>
          <cell r="AO103">
            <v>689045</v>
          </cell>
          <cell r="AP103">
            <v>0</v>
          </cell>
          <cell r="AQ103">
            <v>40314019</v>
          </cell>
          <cell r="BV103">
            <v>90754</v>
          </cell>
          <cell r="BW103">
            <v>67777</v>
          </cell>
          <cell r="BX103">
            <v>191455</v>
          </cell>
          <cell r="BY103">
            <v>90330</v>
          </cell>
          <cell r="BZ103">
            <v>0</v>
          </cell>
          <cell r="CM103">
            <v>4709698</v>
          </cell>
          <cell r="CO103">
            <v>23822</v>
          </cell>
          <cell r="CP103">
            <v>0</v>
          </cell>
          <cell r="CQ103">
            <v>0</v>
          </cell>
          <cell r="CR103">
            <v>71465</v>
          </cell>
          <cell r="CS103">
            <v>0</v>
          </cell>
          <cell r="CT103">
            <v>0</v>
          </cell>
          <cell r="CV103">
            <v>0</v>
          </cell>
          <cell r="CW103">
            <v>0</v>
          </cell>
        </row>
        <row r="104">
          <cell r="A104">
            <v>840</v>
          </cell>
          <cell r="B104">
            <v>104643393</v>
          </cell>
          <cell r="C104">
            <v>3676462</v>
          </cell>
          <cell r="D104">
            <v>13361111</v>
          </cell>
          <cell r="E104">
            <v>4558330</v>
          </cell>
          <cell r="F104">
            <v>4591068</v>
          </cell>
          <cell r="G104">
            <v>0</v>
          </cell>
          <cell r="H104">
            <v>0</v>
          </cell>
          <cell r="I104">
            <v>1287510</v>
          </cell>
          <cell r="J104">
            <v>37500</v>
          </cell>
          <cell r="K104">
            <v>101307</v>
          </cell>
          <cell r="L104">
            <v>229843</v>
          </cell>
          <cell r="M104">
            <v>114752</v>
          </cell>
          <cell r="N104">
            <v>0</v>
          </cell>
          <cell r="O104">
            <v>0</v>
          </cell>
          <cell r="P104">
            <v>587808</v>
          </cell>
          <cell r="Q104">
            <v>691428</v>
          </cell>
          <cell r="R104">
            <v>1999108</v>
          </cell>
          <cell r="V104">
            <v>7610</v>
          </cell>
          <cell r="Y104">
            <v>0</v>
          </cell>
          <cell r="Z104">
            <v>0</v>
          </cell>
          <cell r="AA104">
            <v>0</v>
          </cell>
          <cell r="AB104">
            <v>0</v>
          </cell>
          <cell r="AD104">
            <v>523004</v>
          </cell>
          <cell r="AE104">
            <v>0</v>
          </cell>
          <cell r="AF104">
            <v>6098</v>
          </cell>
          <cell r="AG104">
            <v>1464981</v>
          </cell>
          <cell r="AH104">
            <v>12076</v>
          </cell>
          <cell r="AI104">
            <v>38640</v>
          </cell>
          <cell r="AJ104">
            <v>1650669</v>
          </cell>
          <cell r="AK104">
            <v>8281</v>
          </cell>
          <cell r="AL104">
            <v>0</v>
          </cell>
          <cell r="AM104">
            <v>0</v>
          </cell>
          <cell r="AN104">
            <v>180022</v>
          </cell>
          <cell r="AO104">
            <v>1776916</v>
          </cell>
          <cell r="AP104">
            <v>0</v>
          </cell>
          <cell r="AQ104">
            <v>141547917</v>
          </cell>
          <cell r="BV104">
            <v>7717</v>
          </cell>
          <cell r="BW104">
            <v>312828</v>
          </cell>
          <cell r="BX104">
            <v>6248509</v>
          </cell>
          <cell r="BY104">
            <v>0</v>
          </cell>
          <cell r="BZ104">
            <v>1439062</v>
          </cell>
          <cell r="CM104">
            <v>14338432</v>
          </cell>
          <cell r="CO104">
            <v>0</v>
          </cell>
          <cell r="CP104">
            <v>0</v>
          </cell>
          <cell r="CQ104">
            <v>0</v>
          </cell>
          <cell r="CR104">
            <v>0</v>
          </cell>
          <cell r="CS104">
            <v>0</v>
          </cell>
          <cell r="CT104">
            <v>0</v>
          </cell>
          <cell r="CV104">
            <v>37219</v>
          </cell>
          <cell r="CW104">
            <v>12977699</v>
          </cell>
        </row>
        <row r="105">
          <cell r="A105">
            <v>841</v>
          </cell>
          <cell r="B105">
            <v>20504810</v>
          </cell>
          <cell r="C105">
            <v>719000</v>
          </cell>
          <cell r="D105">
            <v>1773622</v>
          </cell>
          <cell r="E105">
            <v>804600</v>
          </cell>
          <cell r="F105">
            <v>762298</v>
          </cell>
          <cell r="G105">
            <v>0</v>
          </cell>
          <cell r="H105">
            <v>0</v>
          </cell>
          <cell r="I105">
            <v>20000</v>
          </cell>
          <cell r="J105">
            <v>0</v>
          </cell>
          <cell r="K105">
            <v>196712</v>
          </cell>
          <cell r="L105">
            <v>92188</v>
          </cell>
          <cell r="M105">
            <v>3986</v>
          </cell>
          <cell r="N105">
            <v>3080</v>
          </cell>
          <cell r="O105">
            <v>0</v>
          </cell>
          <cell r="P105">
            <v>509061</v>
          </cell>
          <cell r="Q105">
            <v>145190</v>
          </cell>
          <cell r="R105">
            <v>100174</v>
          </cell>
          <cell r="V105">
            <v>3131</v>
          </cell>
          <cell r="Y105">
            <v>0</v>
          </cell>
          <cell r="Z105">
            <v>33618</v>
          </cell>
          <cell r="AA105">
            <v>0</v>
          </cell>
          <cell r="AB105">
            <v>0</v>
          </cell>
          <cell r="AD105">
            <v>73403</v>
          </cell>
          <cell r="AE105">
            <v>10417</v>
          </cell>
          <cell r="AF105">
            <v>0</v>
          </cell>
          <cell r="AG105">
            <v>11234</v>
          </cell>
          <cell r="AH105">
            <v>16424</v>
          </cell>
          <cell r="AI105">
            <v>6500</v>
          </cell>
          <cell r="AJ105">
            <v>314542</v>
          </cell>
          <cell r="AK105">
            <v>13917</v>
          </cell>
          <cell r="AL105">
            <v>7030</v>
          </cell>
          <cell r="AM105">
            <v>0</v>
          </cell>
          <cell r="AN105">
            <v>13630</v>
          </cell>
          <cell r="AO105">
            <v>146254</v>
          </cell>
          <cell r="AP105">
            <v>0</v>
          </cell>
          <cell r="AQ105">
            <v>26284821</v>
          </cell>
          <cell r="BV105">
            <v>6251</v>
          </cell>
          <cell r="BW105">
            <v>36905</v>
          </cell>
          <cell r="BX105">
            <v>691486</v>
          </cell>
          <cell r="BY105">
            <v>81096</v>
          </cell>
          <cell r="BZ105">
            <v>0</v>
          </cell>
          <cell r="CM105">
            <v>700136</v>
          </cell>
          <cell r="CO105">
            <v>20000</v>
          </cell>
          <cell r="CP105">
            <v>0</v>
          </cell>
          <cell r="CQ105">
            <v>0</v>
          </cell>
          <cell r="CR105">
            <v>0</v>
          </cell>
          <cell r="CS105">
            <v>0</v>
          </cell>
          <cell r="CT105">
            <v>0</v>
          </cell>
          <cell r="CV105">
            <v>0</v>
          </cell>
          <cell r="CW105">
            <v>500416</v>
          </cell>
        </row>
        <row r="106">
          <cell r="A106">
            <v>845</v>
          </cell>
          <cell r="B106">
            <v>93131107</v>
          </cell>
          <cell r="C106">
            <v>2854861</v>
          </cell>
          <cell r="D106">
            <v>9019307</v>
          </cell>
          <cell r="E106">
            <v>0</v>
          </cell>
          <cell r="F106">
            <v>3927198</v>
          </cell>
          <cell r="G106">
            <v>561500</v>
          </cell>
          <cell r="H106">
            <v>699274</v>
          </cell>
          <cell r="I106">
            <v>328700</v>
          </cell>
          <cell r="J106">
            <v>286168</v>
          </cell>
          <cell r="K106">
            <v>0</v>
          </cell>
          <cell r="L106">
            <v>0</v>
          </cell>
          <cell r="M106">
            <v>351821</v>
          </cell>
          <cell r="N106">
            <v>136521</v>
          </cell>
          <cell r="O106">
            <v>0</v>
          </cell>
          <cell r="P106">
            <v>3627</v>
          </cell>
          <cell r="Q106">
            <v>87851</v>
          </cell>
          <cell r="R106">
            <v>182916</v>
          </cell>
          <cell r="V106">
            <v>53457</v>
          </cell>
          <cell r="Y106">
            <v>0</v>
          </cell>
          <cell r="Z106">
            <v>58297</v>
          </cell>
          <cell r="AA106">
            <v>4400</v>
          </cell>
          <cell r="AB106">
            <v>7527</v>
          </cell>
          <cell r="AD106">
            <v>255574</v>
          </cell>
          <cell r="AE106">
            <v>48004</v>
          </cell>
          <cell r="AF106">
            <v>281261</v>
          </cell>
          <cell r="AG106">
            <v>48179</v>
          </cell>
          <cell r="AH106">
            <v>9354</v>
          </cell>
          <cell r="AI106">
            <v>88143</v>
          </cell>
          <cell r="AJ106">
            <v>508260</v>
          </cell>
          <cell r="AK106">
            <v>0</v>
          </cell>
          <cell r="AL106">
            <v>1420682</v>
          </cell>
          <cell r="AM106">
            <v>0</v>
          </cell>
          <cell r="AN106">
            <v>136243</v>
          </cell>
          <cell r="AO106">
            <v>1565510</v>
          </cell>
          <cell r="AP106">
            <v>0</v>
          </cell>
          <cell r="AQ106">
            <v>116055742</v>
          </cell>
          <cell r="BV106">
            <v>0</v>
          </cell>
          <cell r="BW106">
            <v>1981222</v>
          </cell>
          <cell r="BX106">
            <v>0</v>
          </cell>
          <cell r="BY106">
            <v>278660</v>
          </cell>
          <cell r="BZ106">
            <v>0</v>
          </cell>
          <cell r="CM106">
            <v>8051705</v>
          </cell>
          <cell r="CO106">
            <v>0</v>
          </cell>
          <cell r="CP106">
            <v>0</v>
          </cell>
          <cell r="CQ106">
            <v>0</v>
          </cell>
          <cell r="CR106">
            <v>0</v>
          </cell>
          <cell r="CS106">
            <v>0</v>
          </cell>
          <cell r="CT106">
            <v>0</v>
          </cell>
          <cell r="CV106">
            <v>0</v>
          </cell>
          <cell r="CW106">
            <v>7556</v>
          </cell>
        </row>
        <row r="107">
          <cell r="A107">
            <v>846</v>
          </cell>
          <cell r="B107">
            <v>40593574</v>
          </cell>
          <cell r="C107">
            <v>1017525</v>
          </cell>
          <cell r="D107">
            <v>3903729</v>
          </cell>
          <cell r="E107">
            <v>309756</v>
          </cell>
          <cell r="F107">
            <v>1733877</v>
          </cell>
          <cell r="G107">
            <v>324088</v>
          </cell>
          <cell r="H107">
            <v>0</v>
          </cell>
          <cell r="I107">
            <v>0</v>
          </cell>
          <cell r="J107">
            <v>120</v>
          </cell>
          <cell r="K107">
            <v>366720</v>
          </cell>
          <cell r="L107">
            <v>336494</v>
          </cell>
          <cell r="M107">
            <v>0</v>
          </cell>
          <cell r="N107">
            <v>11300</v>
          </cell>
          <cell r="O107">
            <v>0</v>
          </cell>
          <cell r="P107">
            <v>0</v>
          </cell>
          <cell r="Q107">
            <v>6880</v>
          </cell>
          <cell r="R107">
            <v>62040</v>
          </cell>
          <cell r="V107">
            <v>-9670</v>
          </cell>
          <cell r="Y107">
            <v>0</v>
          </cell>
          <cell r="Z107">
            <v>318300</v>
          </cell>
          <cell r="AA107">
            <v>0</v>
          </cell>
          <cell r="AB107">
            <v>0</v>
          </cell>
          <cell r="AD107">
            <v>136700</v>
          </cell>
          <cell r="AE107">
            <v>33100</v>
          </cell>
          <cell r="AF107">
            <v>291389</v>
          </cell>
          <cell r="AG107">
            <v>0</v>
          </cell>
          <cell r="AH107">
            <v>4499</v>
          </cell>
          <cell r="AI107">
            <v>48430</v>
          </cell>
          <cell r="AJ107">
            <v>347977</v>
          </cell>
          <cell r="AK107">
            <v>0</v>
          </cell>
          <cell r="AL107">
            <v>0</v>
          </cell>
          <cell r="AM107">
            <v>0</v>
          </cell>
          <cell r="AN107">
            <v>35534</v>
          </cell>
          <cell r="AO107">
            <v>114880</v>
          </cell>
          <cell r="AP107">
            <v>0</v>
          </cell>
          <cell r="AQ107">
            <v>49987242</v>
          </cell>
          <cell r="BV107">
            <v>118880</v>
          </cell>
          <cell r="BW107">
            <v>181510</v>
          </cell>
          <cell r="BX107">
            <v>108560</v>
          </cell>
          <cell r="BY107">
            <v>13283</v>
          </cell>
          <cell r="BZ107">
            <v>132825</v>
          </cell>
          <cell r="CM107">
            <v>3497767</v>
          </cell>
          <cell r="CO107">
            <v>0</v>
          </cell>
          <cell r="CP107">
            <v>0</v>
          </cell>
          <cell r="CQ107">
            <v>0</v>
          </cell>
          <cell r="CR107">
            <v>0</v>
          </cell>
          <cell r="CS107">
            <v>0</v>
          </cell>
          <cell r="CT107">
            <v>0</v>
          </cell>
          <cell r="CV107">
            <v>0</v>
          </cell>
          <cell r="CW107">
            <v>814100</v>
          </cell>
        </row>
        <row r="108">
          <cell r="A108">
            <v>850</v>
          </cell>
          <cell r="B108">
            <v>233700000</v>
          </cell>
          <cell r="C108">
            <v>7437806</v>
          </cell>
          <cell r="D108">
            <v>19063000</v>
          </cell>
          <cell r="E108">
            <v>275000</v>
          </cell>
          <cell r="F108">
            <v>9387000</v>
          </cell>
          <cell r="G108">
            <v>1760000</v>
          </cell>
          <cell r="H108">
            <v>0</v>
          </cell>
          <cell r="I108">
            <v>1863000</v>
          </cell>
          <cell r="J108">
            <v>0</v>
          </cell>
          <cell r="K108">
            <v>273000</v>
          </cell>
          <cell r="L108">
            <v>157000</v>
          </cell>
          <cell r="M108">
            <v>13000</v>
          </cell>
          <cell r="N108">
            <v>459000</v>
          </cell>
          <cell r="O108">
            <v>0</v>
          </cell>
          <cell r="P108">
            <v>4573000</v>
          </cell>
          <cell r="Q108">
            <v>406000</v>
          </cell>
          <cell r="R108">
            <v>1849000</v>
          </cell>
          <cell r="V108">
            <v>0</v>
          </cell>
          <cell r="Y108">
            <v>0</v>
          </cell>
          <cell r="Z108">
            <v>15000</v>
          </cell>
          <cell r="AA108">
            <v>0</v>
          </cell>
          <cell r="AB108">
            <v>0</v>
          </cell>
          <cell r="AD108">
            <v>351000</v>
          </cell>
          <cell r="AE108">
            <v>145000</v>
          </cell>
          <cell r="AF108">
            <v>0</v>
          </cell>
          <cell r="AG108">
            <v>383000</v>
          </cell>
          <cell r="AH108">
            <v>12000</v>
          </cell>
          <cell r="AI108">
            <v>259000</v>
          </cell>
          <cell r="AJ108">
            <v>2519000</v>
          </cell>
          <cell r="AK108">
            <v>0</v>
          </cell>
          <cell r="AL108">
            <v>0</v>
          </cell>
          <cell r="AM108">
            <v>0</v>
          </cell>
          <cell r="AN108">
            <v>144000</v>
          </cell>
          <cell r="AO108">
            <v>3920000</v>
          </cell>
          <cell r="AP108">
            <v>0</v>
          </cell>
          <cell r="AQ108">
            <v>288963806</v>
          </cell>
          <cell r="BV108">
            <v>201000</v>
          </cell>
          <cell r="BW108">
            <v>1635000</v>
          </cell>
          <cell r="BX108">
            <v>5692000</v>
          </cell>
          <cell r="BY108">
            <v>0</v>
          </cell>
          <cell r="BZ108">
            <v>183000</v>
          </cell>
          <cell r="CM108">
            <v>7253311</v>
          </cell>
          <cell r="CO108">
            <v>70600</v>
          </cell>
          <cell r="CP108">
            <v>0</v>
          </cell>
          <cell r="CQ108">
            <v>0</v>
          </cell>
          <cell r="CR108">
            <v>0</v>
          </cell>
          <cell r="CS108">
            <v>0</v>
          </cell>
          <cell r="CT108">
            <v>0</v>
          </cell>
          <cell r="CV108">
            <v>0</v>
          </cell>
          <cell r="CW108">
            <v>20683000</v>
          </cell>
        </row>
        <row r="109">
          <cell r="A109">
            <v>851</v>
          </cell>
          <cell r="B109">
            <v>33587600</v>
          </cell>
          <cell r="C109">
            <v>1043142</v>
          </cell>
          <cell r="D109">
            <v>2926692</v>
          </cell>
          <cell r="E109">
            <v>394806</v>
          </cell>
          <cell r="F109">
            <v>1100975</v>
          </cell>
          <cell r="G109">
            <v>150000</v>
          </cell>
          <cell r="H109">
            <v>0</v>
          </cell>
          <cell r="I109">
            <v>372000</v>
          </cell>
          <cell r="J109">
            <v>0</v>
          </cell>
          <cell r="K109">
            <v>267693</v>
          </cell>
          <cell r="L109">
            <v>141708</v>
          </cell>
          <cell r="M109">
            <v>13075</v>
          </cell>
          <cell r="N109">
            <v>180800</v>
          </cell>
          <cell r="O109">
            <v>0</v>
          </cell>
          <cell r="P109">
            <v>1286187</v>
          </cell>
          <cell r="Q109">
            <v>100897</v>
          </cell>
          <cell r="R109">
            <v>116691</v>
          </cell>
          <cell r="V109">
            <v>2054</v>
          </cell>
          <cell r="Y109">
            <v>0</v>
          </cell>
          <cell r="Z109">
            <v>0</v>
          </cell>
          <cell r="AA109">
            <v>0</v>
          </cell>
          <cell r="AB109">
            <v>0</v>
          </cell>
          <cell r="AD109">
            <v>18743</v>
          </cell>
          <cell r="AE109">
            <v>5300</v>
          </cell>
          <cell r="AF109">
            <v>4100</v>
          </cell>
          <cell r="AG109">
            <v>29200</v>
          </cell>
          <cell r="AH109">
            <v>703</v>
          </cell>
          <cell r="AI109">
            <v>166500</v>
          </cell>
          <cell r="AJ109">
            <v>533677</v>
          </cell>
          <cell r="AK109">
            <v>0</v>
          </cell>
          <cell r="AL109">
            <v>13219</v>
          </cell>
          <cell r="AM109">
            <v>0</v>
          </cell>
          <cell r="AN109">
            <v>0</v>
          </cell>
          <cell r="AO109">
            <v>141450</v>
          </cell>
          <cell r="AP109">
            <v>0</v>
          </cell>
          <cell r="AQ109">
            <v>42597212</v>
          </cell>
          <cell r="BV109">
            <v>70620</v>
          </cell>
          <cell r="BW109">
            <v>156745</v>
          </cell>
          <cell r="BX109">
            <v>11798</v>
          </cell>
          <cell r="BY109">
            <v>0</v>
          </cell>
          <cell r="BZ109">
            <v>0</v>
          </cell>
          <cell r="CM109">
            <v>0</v>
          </cell>
          <cell r="CO109">
            <v>0</v>
          </cell>
          <cell r="CP109">
            <v>0</v>
          </cell>
          <cell r="CQ109">
            <v>0</v>
          </cell>
          <cell r="CR109">
            <v>0</v>
          </cell>
          <cell r="CS109">
            <v>0</v>
          </cell>
          <cell r="CT109">
            <v>0</v>
          </cell>
          <cell r="CV109">
            <v>0</v>
          </cell>
          <cell r="CW109">
            <v>199757</v>
          </cell>
        </row>
        <row r="110">
          <cell r="A110">
            <v>852</v>
          </cell>
          <cell r="B110">
            <v>40048059</v>
          </cell>
          <cell r="C110">
            <v>1391195</v>
          </cell>
          <cell r="D110">
            <v>4761306</v>
          </cell>
          <cell r="E110">
            <v>1318720</v>
          </cell>
          <cell r="F110">
            <v>196234</v>
          </cell>
          <cell r="G110">
            <v>376097</v>
          </cell>
          <cell r="H110">
            <v>0</v>
          </cell>
          <cell r="I110">
            <v>148000</v>
          </cell>
          <cell r="J110">
            <v>0</v>
          </cell>
          <cell r="K110">
            <v>0</v>
          </cell>
          <cell r="L110">
            <v>0</v>
          </cell>
          <cell r="M110">
            <v>53517</v>
          </cell>
          <cell r="N110">
            <v>96717</v>
          </cell>
          <cell r="O110">
            <v>181883</v>
          </cell>
          <cell r="P110">
            <v>1941400</v>
          </cell>
          <cell r="Q110">
            <v>879050</v>
          </cell>
          <cell r="R110">
            <v>65300</v>
          </cell>
          <cell r="V110">
            <v>0</v>
          </cell>
          <cell r="Y110">
            <v>0</v>
          </cell>
          <cell r="Z110">
            <v>59617</v>
          </cell>
          <cell r="AA110">
            <v>78433</v>
          </cell>
          <cell r="AB110">
            <v>0</v>
          </cell>
          <cell r="AD110">
            <v>64783</v>
          </cell>
          <cell r="AE110">
            <v>0</v>
          </cell>
          <cell r="AF110">
            <v>83924</v>
          </cell>
          <cell r="AG110">
            <v>400</v>
          </cell>
          <cell r="AH110">
            <v>0</v>
          </cell>
          <cell r="AI110">
            <v>24683</v>
          </cell>
          <cell r="AJ110">
            <v>1046008</v>
          </cell>
          <cell r="AK110">
            <v>39550</v>
          </cell>
          <cell r="AL110">
            <v>0</v>
          </cell>
          <cell r="AM110">
            <v>0</v>
          </cell>
          <cell r="AN110">
            <v>13463</v>
          </cell>
          <cell r="AO110">
            <v>307875</v>
          </cell>
          <cell r="AP110">
            <v>0</v>
          </cell>
          <cell r="AQ110">
            <v>53176214</v>
          </cell>
          <cell r="BV110">
            <v>9950</v>
          </cell>
          <cell r="BW110">
            <v>80700</v>
          </cell>
          <cell r="BX110">
            <v>0</v>
          </cell>
          <cell r="BY110">
            <v>44520</v>
          </cell>
          <cell r="BZ110">
            <v>0</v>
          </cell>
          <cell r="CM110">
            <v>454500</v>
          </cell>
          <cell r="CO110">
            <v>0</v>
          </cell>
          <cell r="CP110">
            <v>0</v>
          </cell>
          <cell r="CQ110">
            <v>0</v>
          </cell>
          <cell r="CR110">
            <v>0</v>
          </cell>
          <cell r="CS110">
            <v>87570</v>
          </cell>
          <cell r="CT110">
            <v>0</v>
          </cell>
          <cell r="CV110">
            <v>92</v>
          </cell>
          <cell r="CW110">
            <v>2099615</v>
          </cell>
        </row>
        <row r="111">
          <cell r="A111">
            <v>855</v>
          </cell>
          <cell r="B111">
            <v>148700144</v>
          </cell>
          <cell r="C111">
            <v>5516660</v>
          </cell>
          <cell r="D111">
            <v>7882710</v>
          </cell>
          <cell r="E111">
            <v>0</v>
          </cell>
          <cell r="F111">
            <v>5495630</v>
          </cell>
          <cell r="G111">
            <v>1105500</v>
          </cell>
          <cell r="H111">
            <v>0</v>
          </cell>
          <cell r="I111">
            <v>1855841</v>
          </cell>
          <cell r="J111">
            <v>0</v>
          </cell>
          <cell r="K111">
            <v>0</v>
          </cell>
          <cell r="L111">
            <v>1149729</v>
          </cell>
          <cell r="M111">
            <v>0</v>
          </cell>
          <cell r="N111">
            <v>0</v>
          </cell>
          <cell r="O111">
            <v>0</v>
          </cell>
          <cell r="P111">
            <v>784305</v>
          </cell>
          <cell r="Q111">
            <v>393266</v>
          </cell>
          <cell r="R111">
            <v>21390</v>
          </cell>
          <cell r="V111">
            <v>15551</v>
          </cell>
          <cell r="Y111">
            <v>0</v>
          </cell>
          <cell r="Z111">
            <v>393281</v>
          </cell>
          <cell r="AA111">
            <v>0</v>
          </cell>
          <cell r="AB111">
            <v>0</v>
          </cell>
          <cell r="AD111">
            <v>166693</v>
          </cell>
          <cell r="AE111">
            <v>10265</v>
          </cell>
          <cell r="AF111">
            <v>86269</v>
          </cell>
          <cell r="AG111">
            <v>97938</v>
          </cell>
          <cell r="AH111">
            <v>3859</v>
          </cell>
          <cell r="AI111">
            <v>421042</v>
          </cell>
          <cell r="AJ111">
            <v>1247166</v>
          </cell>
          <cell r="AK111">
            <v>574046</v>
          </cell>
          <cell r="AL111">
            <v>0</v>
          </cell>
          <cell r="AM111">
            <v>0</v>
          </cell>
          <cell r="AN111">
            <v>128862</v>
          </cell>
          <cell r="AO111">
            <v>680943</v>
          </cell>
          <cell r="AP111">
            <v>0</v>
          </cell>
          <cell r="AQ111">
            <v>176731090</v>
          </cell>
          <cell r="BV111">
            <v>0</v>
          </cell>
          <cell r="BW111">
            <v>911908</v>
          </cell>
          <cell r="BX111">
            <v>8155051</v>
          </cell>
          <cell r="BY111">
            <v>696651</v>
          </cell>
          <cell r="BZ111">
            <v>824663</v>
          </cell>
          <cell r="CM111">
            <v>30770370</v>
          </cell>
          <cell r="CO111">
            <v>566887</v>
          </cell>
          <cell r="CP111">
            <v>0</v>
          </cell>
          <cell r="CQ111">
            <v>0</v>
          </cell>
          <cell r="CR111">
            <v>0</v>
          </cell>
          <cell r="CS111">
            <v>0</v>
          </cell>
          <cell r="CT111">
            <v>0</v>
          </cell>
          <cell r="CV111">
            <v>0</v>
          </cell>
          <cell r="CW111">
            <v>31415900</v>
          </cell>
        </row>
        <row r="112">
          <cell r="A112">
            <v>856</v>
          </cell>
          <cell r="B112">
            <v>60122366</v>
          </cell>
          <cell r="C112">
            <v>1699042</v>
          </cell>
          <cell r="D112">
            <v>7013543</v>
          </cell>
          <cell r="E112">
            <v>3009210</v>
          </cell>
          <cell r="F112">
            <v>1972700</v>
          </cell>
          <cell r="G112">
            <v>0</v>
          </cell>
          <cell r="H112">
            <v>85920</v>
          </cell>
          <cell r="I112">
            <v>668769</v>
          </cell>
          <cell r="J112">
            <v>350767</v>
          </cell>
          <cell r="K112">
            <v>153259</v>
          </cell>
          <cell r="L112">
            <v>487171</v>
          </cell>
          <cell r="M112">
            <v>315998</v>
          </cell>
          <cell r="N112">
            <v>778303</v>
          </cell>
          <cell r="O112">
            <v>966383</v>
          </cell>
          <cell r="P112">
            <v>1142301</v>
          </cell>
          <cell r="Q112">
            <v>69509</v>
          </cell>
          <cell r="R112">
            <v>512467</v>
          </cell>
          <cell r="V112">
            <v>22941</v>
          </cell>
          <cell r="Y112">
            <v>0</v>
          </cell>
          <cell r="Z112">
            <v>111696</v>
          </cell>
          <cell r="AA112">
            <v>41514</v>
          </cell>
          <cell r="AB112">
            <v>20944</v>
          </cell>
          <cell r="AD112">
            <v>236491</v>
          </cell>
          <cell r="AE112">
            <v>0</v>
          </cell>
          <cell r="AF112">
            <v>534717</v>
          </cell>
          <cell r="AG112">
            <v>0</v>
          </cell>
          <cell r="AH112">
            <v>10711</v>
          </cell>
          <cell r="AI112">
            <v>72875</v>
          </cell>
          <cell r="AJ112">
            <v>1191781</v>
          </cell>
          <cell r="AK112">
            <v>0</v>
          </cell>
          <cell r="AL112">
            <v>732347</v>
          </cell>
          <cell r="AM112">
            <v>0</v>
          </cell>
          <cell r="AN112">
            <v>104200</v>
          </cell>
          <cell r="AO112">
            <v>954064</v>
          </cell>
          <cell r="AP112">
            <v>0</v>
          </cell>
          <cell r="AQ112">
            <v>83381989</v>
          </cell>
          <cell r="BV112">
            <v>29764</v>
          </cell>
          <cell r="BW112">
            <v>1299674</v>
          </cell>
          <cell r="BX112">
            <v>186282</v>
          </cell>
          <cell r="BY112">
            <v>65721</v>
          </cell>
          <cell r="BZ112">
            <v>36284</v>
          </cell>
          <cell r="CM112">
            <v>3279142</v>
          </cell>
          <cell r="CO112">
            <v>40042</v>
          </cell>
          <cell r="CP112">
            <v>30031</v>
          </cell>
          <cell r="CQ112">
            <v>10010</v>
          </cell>
          <cell r="CR112">
            <v>10010</v>
          </cell>
          <cell r="CS112">
            <v>183106</v>
          </cell>
          <cell r="CT112">
            <v>0</v>
          </cell>
          <cell r="CV112">
            <v>0</v>
          </cell>
          <cell r="CW112">
            <v>10121987</v>
          </cell>
        </row>
        <row r="113">
          <cell r="A113">
            <v>857</v>
          </cell>
          <cell r="B113">
            <v>7839700</v>
          </cell>
          <cell r="C113">
            <v>300710</v>
          </cell>
          <cell r="D113">
            <v>733235</v>
          </cell>
          <cell r="E113">
            <v>0</v>
          </cell>
          <cell r="F113">
            <v>404022</v>
          </cell>
          <cell r="G113">
            <v>0</v>
          </cell>
          <cell r="H113">
            <v>0</v>
          </cell>
          <cell r="I113">
            <v>12539</v>
          </cell>
          <cell r="J113">
            <v>4857</v>
          </cell>
          <cell r="K113">
            <v>0</v>
          </cell>
          <cell r="L113">
            <v>0</v>
          </cell>
          <cell r="M113">
            <v>9695</v>
          </cell>
          <cell r="N113">
            <v>0</v>
          </cell>
          <cell r="O113">
            <v>0</v>
          </cell>
          <cell r="P113">
            <v>0</v>
          </cell>
          <cell r="Q113">
            <v>0</v>
          </cell>
          <cell r="R113">
            <v>2798</v>
          </cell>
          <cell r="V113">
            <v>0</v>
          </cell>
          <cell r="Y113">
            <v>0</v>
          </cell>
          <cell r="Z113">
            <v>0</v>
          </cell>
          <cell r="AA113">
            <v>0</v>
          </cell>
          <cell r="AB113">
            <v>0</v>
          </cell>
          <cell r="AD113">
            <v>13110</v>
          </cell>
          <cell r="AE113">
            <v>0</v>
          </cell>
          <cell r="AF113">
            <v>0</v>
          </cell>
          <cell r="AG113">
            <v>0</v>
          </cell>
          <cell r="AH113">
            <v>1222</v>
          </cell>
          <cell r="AI113">
            <v>0</v>
          </cell>
          <cell r="AJ113">
            <v>81365</v>
          </cell>
          <cell r="AK113">
            <v>0</v>
          </cell>
          <cell r="AL113">
            <v>0</v>
          </cell>
          <cell r="AM113">
            <v>0</v>
          </cell>
          <cell r="AN113">
            <v>0</v>
          </cell>
          <cell r="AO113">
            <v>0</v>
          </cell>
          <cell r="AP113">
            <v>0</v>
          </cell>
          <cell r="AQ113">
            <v>9403253</v>
          </cell>
          <cell r="BV113">
            <v>0</v>
          </cell>
          <cell r="BW113">
            <v>0</v>
          </cell>
          <cell r="BX113">
            <v>560510</v>
          </cell>
          <cell r="BY113">
            <v>0</v>
          </cell>
          <cell r="BZ113">
            <v>220316</v>
          </cell>
          <cell r="CM113">
            <v>0</v>
          </cell>
          <cell r="CO113">
            <v>0</v>
          </cell>
          <cell r="CP113">
            <v>0</v>
          </cell>
          <cell r="CQ113">
            <v>0</v>
          </cell>
          <cell r="CR113">
            <v>0</v>
          </cell>
          <cell r="CS113">
            <v>0</v>
          </cell>
          <cell r="CT113">
            <v>0</v>
          </cell>
          <cell r="CV113">
            <v>0</v>
          </cell>
          <cell r="CW113">
            <v>798331</v>
          </cell>
        </row>
        <row r="114">
          <cell r="A114">
            <v>860</v>
          </cell>
          <cell r="B114">
            <v>195794171</v>
          </cell>
          <cell r="C114">
            <v>6854120</v>
          </cell>
          <cell r="D114">
            <v>11119250</v>
          </cell>
          <cell r="E114">
            <v>0</v>
          </cell>
          <cell r="F114">
            <v>9322130</v>
          </cell>
          <cell r="G114">
            <v>0</v>
          </cell>
          <cell r="H114">
            <v>0</v>
          </cell>
          <cell r="I114">
            <v>0</v>
          </cell>
          <cell r="J114">
            <v>265610</v>
          </cell>
          <cell r="K114">
            <v>1245670</v>
          </cell>
          <cell r="L114">
            <v>0</v>
          </cell>
          <cell r="M114">
            <v>225840</v>
          </cell>
          <cell r="N114">
            <v>980560</v>
          </cell>
          <cell r="O114">
            <v>3881440</v>
          </cell>
          <cell r="P114">
            <v>2377290</v>
          </cell>
          <cell r="Q114">
            <v>325380</v>
          </cell>
          <cell r="R114">
            <v>440970</v>
          </cell>
          <cell r="V114">
            <v>27990</v>
          </cell>
          <cell r="Y114">
            <v>0</v>
          </cell>
          <cell r="Z114">
            <v>2039240</v>
          </cell>
          <cell r="AA114">
            <v>127170</v>
          </cell>
          <cell r="AB114">
            <v>0</v>
          </cell>
          <cell r="AD114">
            <v>407300</v>
          </cell>
          <cell r="AE114">
            <v>74600</v>
          </cell>
          <cell r="AF114">
            <v>341340</v>
          </cell>
          <cell r="AG114">
            <v>51250</v>
          </cell>
          <cell r="AH114">
            <v>5000</v>
          </cell>
          <cell r="AI114">
            <v>483020</v>
          </cell>
          <cell r="AJ114">
            <v>4843320</v>
          </cell>
          <cell r="AK114">
            <v>67880</v>
          </cell>
          <cell r="AL114">
            <v>0</v>
          </cell>
          <cell r="AM114">
            <v>0</v>
          </cell>
          <cell r="AN114">
            <v>180100</v>
          </cell>
          <cell r="AO114">
            <v>2498930</v>
          </cell>
          <cell r="AP114">
            <v>0</v>
          </cell>
          <cell r="AQ114">
            <v>243979571</v>
          </cell>
          <cell r="BV114">
            <v>24050</v>
          </cell>
          <cell r="BW114">
            <v>0</v>
          </cell>
          <cell r="BX114">
            <v>6647100</v>
          </cell>
          <cell r="BY114">
            <v>0</v>
          </cell>
          <cell r="BZ114">
            <v>506330</v>
          </cell>
          <cell r="CM114">
            <v>31155731</v>
          </cell>
          <cell r="CO114">
            <v>0</v>
          </cell>
          <cell r="CP114">
            <v>0</v>
          </cell>
          <cell r="CQ114">
            <v>232990</v>
          </cell>
          <cell r="CR114">
            <v>0</v>
          </cell>
          <cell r="CS114">
            <v>485540</v>
          </cell>
          <cell r="CT114">
            <v>0</v>
          </cell>
          <cell r="CV114">
            <v>0</v>
          </cell>
          <cell r="CW114">
            <v>6917120</v>
          </cell>
        </row>
        <row r="115">
          <cell r="A115">
            <v>861</v>
          </cell>
          <cell r="B115">
            <v>48457757.299999997</v>
          </cell>
          <cell r="C115">
            <v>1684020</v>
          </cell>
          <cell r="D115">
            <v>3454910.15</v>
          </cell>
          <cell r="E115">
            <v>2502421</v>
          </cell>
          <cell r="F115">
            <v>1556318.17</v>
          </cell>
          <cell r="G115">
            <v>0</v>
          </cell>
          <cell r="H115">
            <v>0</v>
          </cell>
          <cell r="I115">
            <v>349980.76</v>
          </cell>
          <cell r="J115">
            <v>292726.36</v>
          </cell>
          <cell r="K115">
            <v>0</v>
          </cell>
          <cell r="L115">
            <v>0</v>
          </cell>
          <cell r="M115">
            <v>152760.01</v>
          </cell>
          <cell r="N115">
            <v>457410.64</v>
          </cell>
          <cell r="O115">
            <v>0</v>
          </cell>
          <cell r="P115">
            <v>463440.13</v>
          </cell>
          <cell r="Q115">
            <v>116403</v>
          </cell>
          <cell r="R115">
            <v>240921.48</v>
          </cell>
          <cell r="V115">
            <v>23882.95</v>
          </cell>
          <cell r="Y115">
            <v>0</v>
          </cell>
          <cell r="Z115">
            <v>64583.48</v>
          </cell>
          <cell r="AA115">
            <v>0</v>
          </cell>
          <cell r="AB115">
            <v>0</v>
          </cell>
          <cell r="AD115">
            <v>75168.800000000003</v>
          </cell>
          <cell r="AE115">
            <v>20600.64</v>
          </cell>
          <cell r="AF115">
            <v>0</v>
          </cell>
          <cell r="AG115">
            <v>49183.360000000001</v>
          </cell>
          <cell r="AH115">
            <v>2069.86</v>
          </cell>
          <cell r="AI115">
            <v>145372.34</v>
          </cell>
          <cell r="AJ115">
            <v>1170284.0900000001</v>
          </cell>
          <cell r="AK115">
            <v>0</v>
          </cell>
          <cell r="AL115">
            <v>467743.63</v>
          </cell>
          <cell r="AM115">
            <v>0</v>
          </cell>
          <cell r="AN115">
            <v>0</v>
          </cell>
          <cell r="AO115">
            <v>366363.67</v>
          </cell>
          <cell r="AP115">
            <v>0</v>
          </cell>
          <cell r="AQ115">
            <v>62114321.789999999</v>
          </cell>
          <cell r="BV115">
            <v>0</v>
          </cell>
          <cell r="BW115">
            <v>535115</v>
          </cell>
          <cell r="BX115">
            <v>0</v>
          </cell>
          <cell r="BY115">
            <v>0</v>
          </cell>
          <cell r="BZ115">
            <v>31843.8</v>
          </cell>
          <cell r="CM115">
            <v>2127340</v>
          </cell>
          <cell r="CO115">
            <v>0</v>
          </cell>
          <cell r="CP115">
            <v>0</v>
          </cell>
          <cell r="CQ115">
            <v>0</v>
          </cell>
          <cell r="CR115">
            <v>0</v>
          </cell>
          <cell r="CS115">
            <v>0</v>
          </cell>
          <cell r="CT115">
            <v>0</v>
          </cell>
          <cell r="CV115">
            <v>0</v>
          </cell>
          <cell r="CW115">
            <v>535983.56999999995</v>
          </cell>
        </row>
        <row r="116">
          <cell r="A116">
            <v>865</v>
          </cell>
          <cell r="B116">
            <v>92548452</v>
          </cell>
          <cell r="C116">
            <v>3144617</v>
          </cell>
          <cell r="D116">
            <v>4346583</v>
          </cell>
          <cell r="E116">
            <v>0</v>
          </cell>
          <cell r="F116">
            <v>4049711</v>
          </cell>
          <cell r="G116">
            <v>0</v>
          </cell>
          <cell r="H116">
            <v>0</v>
          </cell>
          <cell r="I116">
            <v>890128</v>
          </cell>
          <cell r="J116">
            <v>100370</v>
          </cell>
          <cell r="K116">
            <v>237177</v>
          </cell>
          <cell r="L116">
            <v>240595</v>
          </cell>
          <cell r="M116">
            <v>3328</v>
          </cell>
          <cell r="N116">
            <v>1311</v>
          </cell>
          <cell r="O116">
            <v>0</v>
          </cell>
          <cell r="P116">
            <v>2270241</v>
          </cell>
          <cell r="Q116">
            <v>2168</v>
          </cell>
          <cell r="R116">
            <v>48074</v>
          </cell>
          <cell r="V116">
            <v>12309</v>
          </cell>
          <cell r="Y116">
            <v>5154</v>
          </cell>
          <cell r="Z116">
            <v>9419</v>
          </cell>
          <cell r="AA116">
            <v>0</v>
          </cell>
          <cell r="AB116">
            <v>0</v>
          </cell>
          <cell r="AD116">
            <v>87500</v>
          </cell>
          <cell r="AE116">
            <v>133559</v>
          </cell>
          <cell r="AF116">
            <v>176284</v>
          </cell>
          <cell r="AG116">
            <v>89844</v>
          </cell>
          <cell r="AH116">
            <v>88</v>
          </cell>
          <cell r="AI116">
            <v>252283</v>
          </cell>
          <cell r="AJ116">
            <v>139971</v>
          </cell>
          <cell r="AK116">
            <v>0</v>
          </cell>
          <cell r="AL116">
            <v>0</v>
          </cell>
          <cell r="AM116">
            <v>0</v>
          </cell>
          <cell r="AN116">
            <v>70085</v>
          </cell>
          <cell r="AO116">
            <v>162188</v>
          </cell>
          <cell r="AP116">
            <v>0</v>
          </cell>
          <cell r="AQ116">
            <v>109021439</v>
          </cell>
          <cell r="BV116">
            <v>88262</v>
          </cell>
          <cell r="BW116">
            <v>1787527</v>
          </cell>
          <cell r="BX116">
            <v>6156168</v>
          </cell>
          <cell r="BY116">
            <v>13016</v>
          </cell>
          <cell r="BZ116">
            <v>1325949</v>
          </cell>
          <cell r="CM116">
            <v>15197055</v>
          </cell>
          <cell r="CO116">
            <v>108488</v>
          </cell>
          <cell r="CP116">
            <v>0</v>
          </cell>
          <cell r="CQ116">
            <v>0</v>
          </cell>
          <cell r="CR116">
            <v>0</v>
          </cell>
          <cell r="CS116">
            <v>0</v>
          </cell>
          <cell r="CT116">
            <v>0</v>
          </cell>
          <cell r="CV116">
            <v>0</v>
          </cell>
          <cell r="CW116">
            <v>6176000</v>
          </cell>
        </row>
        <row r="117">
          <cell r="A117">
            <v>866</v>
          </cell>
          <cell r="B117">
            <v>34927162</v>
          </cell>
          <cell r="C117">
            <v>1096264</v>
          </cell>
          <cell r="D117">
            <v>3427149</v>
          </cell>
          <cell r="E117">
            <v>705930</v>
          </cell>
          <cell r="F117">
            <v>1024055</v>
          </cell>
          <cell r="G117">
            <v>0</v>
          </cell>
          <cell r="H117">
            <v>150008</v>
          </cell>
          <cell r="I117">
            <v>47366</v>
          </cell>
          <cell r="J117">
            <v>83292</v>
          </cell>
          <cell r="K117">
            <v>0</v>
          </cell>
          <cell r="L117">
            <v>270408</v>
          </cell>
          <cell r="M117">
            <v>25512</v>
          </cell>
          <cell r="N117">
            <v>0</v>
          </cell>
          <cell r="O117">
            <v>0</v>
          </cell>
          <cell r="P117">
            <v>410339</v>
          </cell>
          <cell r="Q117">
            <v>634716</v>
          </cell>
          <cell r="R117">
            <v>455313</v>
          </cell>
          <cell r="V117">
            <v>12401</v>
          </cell>
          <cell r="Y117">
            <v>0</v>
          </cell>
          <cell r="Z117">
            <v>0</v>
          </cell>
          <cell r="AA117">
            <v>0</v>
          </cell>
          <cell r="AB117">
            <v>0</v>
          </cell>
          <cell r="AD117">
            <v>62027</v>
          </cell>
          <cell r="AE117">
            <v>0</v>
          </cell>
          <cell r="AF117">
            <v>194574</v>
          </cell>
          <cell r="AG117">
            <v>35000</v>
          </cell>
          <cell r="AH117">
            <v>8252</v>
          </cell>
          <cell r="AI117">
            <v>126053</v>
          </cell>
          <cell r="AJ117">
            <v>105275</v>
          </cell>
          <cell r="AK117">
            <v>0</v>
          </cell>
          <cell r="AL117">
            <v>126984</v>
          </cell>
          <cell r="AM117">
            <v>0</v>
          </cell>
          <cell r="AN117">
            <v>39902</v>
          </cell>
          <cell r="AO117">
            <v>1958741</v>
          </cell>
          <cell r="AP117">
            <v>0</v>
          </cell>
          <cell r="AQ117">
            <v>45926723</v>
          </cell>
          <cell r="BV117">
            <v>0</v>
          </cell>
          <cell r="BW117">
            <v>0</v>
          </cell>
          <cell r="BX117">
            <v>531414</v>
          </cell>
          <cell r="BY117">
            <v>0</v>
          </cell>
          <cell r="BZ117">
            <v>0</v>
          </cell>
          <cell r="CM117">
            <v>1443579</v>
          </cell>
          <cell r="CO117">
            <v>0</v>
          </cell>
          <cell r="CP117">
            <v>0</v>
          </cell>
          <cell r="CQ117">
            <v>0</v>
          </cell>
          <cell r="CR117">
            <v>0</v>
          </cell>
          <cell r="CS117">
            <v>0</v>
          </cell>
          <cell r="CT117">
            <v>0</v>
          </cell>
          <cell r="CV117">
            <v>0</v>
          </cell>
          <cell r="CW117">
            <v>1509000</v>
          </cell>
        </row>
        <row r="118">
          <cell r="A118">
            <v>867</v>
          </cell>
          <cell r="B118">
            <v>21184517</v>
          </cell>
          <cell r="C118">
            <v>620051</v>
          </cell>
          <cell r="D118">
            <v>1498881</v>
          </cell>
          <cell r="E118">
            <v>0</v>
          </cell>
          <cell r="F118">
            <v>780780</v>
          </cell>
          <cell r="G118">
            <v>0</v>
          </cell>
          <cell r="H118">
            <v>226620</v>
          </cell>
          <cell r="I118">
            <v>74578</v>
          </cell>
          <cell r="J118">
            <v>0</v>
          </cell>
          <cell r="K118">
            <v>14438</v>
          </cell>
          <cell r="L118">
            <v>0</v>
          </cell>
          <cell r="M118">
            <v>4072</v>
          </cell>
          <cell r="N118">
            <v>207131</v>
          </cell>
          <cell r="O118">
            <v>0</v>
          </cell>
          <cell r="P118">
            <v>582717</v>
          </cell>
          <cell r="Q118">
            <v>64152</v>
          </cell>
          <cell r="R118">
            <v>142717</v>
          </cell>
          <cell r="V118">
            <v>0</v>
          </cell>
          <cell r="Y118">
            <v>0</v>
          </cell>
          <cell r="Z118">
            <v>0</v>
          </cell>
          <cell r="AA118">
            <v>0</v>
          </cell>
          <cell r="AB118">
            <v>0</v>
          </cell>
          <cell r="AD118">
            <v>28963</v>
          </cell>
          <cell r="AE118">
            <v>9459</v>
          </cell>
          <cell r="AF118">
            <v>10360</v>
          </cell>
          <cell r="AG118">
            <v>10680</v>
          </cell>
          <cell r="AH118">
            <v>9792</v>
          </cell>
          <cell r="AI118">
            <v>84752</v>
          </cell>
          <cell r="AJ118">
            <v>88506</v>
          </cell>
          <cell r="AK118">
            <v>102012</v>
          </cell>
          <cell r="AL118">
            <v>0</v>
          </cell>
          <cell r="AM118">
            <v>55030</v>
          </cell>
          <cell r="AN118">
            <v>29267</v>
          </cell>
          <cell r="AO118">
            <v>168037</v>
          </cell>
          <cell r="AP118">
            <v>0</v>
          </cell>
          <cell r="AQ118">
            <v>25997512</v>
          </cell>
          <cell r="BV118">
            <v>0</v>
          </cell>
          <cell r="BW118">
            <v>212718</v>
          </cell>
          <cell r="BX118">
            <v>536031</v>
          </cell>
          <cell r="BY118">
            <v>0</v>
          </cell>
          <cell r="BZ118">
            <v>93519</v>
          </cell>
          <cell r="CM118">
            <v>3669836</v>
          </cell>
          <cell r="CO118">
            <v>0</v>
          </cell>
          <cell r="CP118">
            <v>0</v>
          </cell>
          <cell r="CQ118">
            <v>0</v>
          </cell>
          <cell r="CR118">
            <v>0</v>
          </cell>
          <cell r="CS118">
            <v>0</v>
          </cell>
          <cell r="CT118">
            <v>0</v>
          </cell>
          <cell r="CV118">
            <v>0</v>
          </cell>
          <cell r="CW118">
            <v>2741116</v>
          </cell>
        </row>
        <row r="119">
          <cell r="A119">
            <v>868</v>
          </cell>
          <cell r="B119">
            <v>35983392</v>
          </cell>
          <cell r="C119">
            <v>1256318</v>
          </cell>
          <cell r="D119">
            <v>2927505</v>
          </cell>
          <cell r="E119">
            <v>0</v>
          </cell>
          <cell r="F119">
            <v>1302517</v>
          </cell>
          <cell r="G119">
            <v>0</v>
          </cell>
          <cell r="H119">
            <v>0</v>
          </cell>
          <cell r="I119">
            <v>255468</v>
          </cell>
          <cell r="J119">
            <v>0</v>
          </cell>
          <cell r="K119">
            <v>0</v>
          </cell>
          <cell r="L119">
            <v>236727</v>
          </cell>
          <cell r="M119">
            <v>7016</v>
          </cell>
          <cell r="N119">
            <v>242130</v>
          </cell>
          <cell r="O119">
            <v>0</v>
          </cell>
          <cell r="P119">
            <v>489929</v>
          </cell>
          <cell r="Q119">
            <v>185885</v>
          </cell>
          <cell r="R119">
            <v>49727</v>
          </cell>
          <cell r="V119">
            <v>0</v>
          </cell>
          <cell r="Y119">
            <v>0</v>
          </cell>
          <cell r="Z119">
            <v>0</v>
          </cell>
          <cell r="AA119">
            <v>0</v>
          </cell>
          <cell r="AB119">
            <v>0</v>
          </cell>
          <cell r="AD119">
            <v>189696</v>
          </cell>
          <cell r="AE119">
            <v>80304</v>
          </cell>
          <cell r="AF119">
            <v>23266</v>
          </cell>
          <cell r="AG119">
            <v>41960</v>
          </cell>
          <cell r="AH119">
            <v>6933</v>
          </cell>
          <cell r="AI119">
            <v>84074</v>
          </cell>
          <cell r="AJ119">
            <v>542050</v>
          </cell>
          <cell r="AK119">
            <v>26447</v>
          </cell>
          <cell r="AL119">
            <v>0</v>
          </cell>
          <cell r="AM119">
            <v>0</v>
          </cell>
          <cell r="AN119">
            <v>56089</v>
          </cell>
          <cell r="AO119">
            <v>0</v>
          </cell>
          <cell r="AP119">
            <v>0</v>
          </cell>
          <cell r="AQ119">
            <v>43987433</v>
          </cell>
          <cell r="BV119">
            <v>0</v>
          </cell>
          <cell r="BW119">
            <v>226082</v>
          </cell>
          <cell r="BX119">
            <v>201207</v>
          </cell>
          <cell r="BY119">
            <v>0</v>
          </cell>
          <cell r="BZ119">
            <v>57476</v>
          </cell>
          <cell r="CM119">
            <v>7756518</v>
          </cell>
          <cell r="CO119">
            <v>89837</v>
          </cell>
          <cell r="CP119">
            <v>0</v>
          </cell>
          <cell r="CQ119">
            <v>0</v>
          </cell>
          <cell r="CR119">
            <v>0</v>
          </cell>
          <cell r="CS119">
            <v>0</v>
          </cell>
          <cell r="CT119">
            <v>0</v>
          </cell>
          <cell r="CV119">
            <v>0</v>
          </cell>
          <cell r="CW119">
            <v>2684009</v>
          </cell>
        </row>
        <row r="120">
          <cell r="A120">
            <v>869</v>
          </cell>
          <cell r="B120">
            <v>43127371</v>
          </cell>
          <cell r="C120">
            <v>1093979</v>
          </cell>
          <cell r="D120">
            <v>2655614</v>
          </cell>
          <cell r="E120">
            <v>0</v>
          </cell>
          <cell r="F120">
            <v>1646438</v>
          </cell>
          <cell r="G120">
            <v>0</v>
          </cell>
          <cell r="H120">
            <v>37609</v>
          </cell>
          <cell r="I120">
            <v>65801</v>
          </cell>
          <cell r="J120">
            <v>275501</v>
          </cell>
          <cell r="K120">
            <v>9386</v>
          </cell>
          <cell r="L120">
            <v>52964</v>
          </cell>
          <cell r="M120">
            <v>4518</v>
          </cell>
          <cell r="N120">
            <v>140241</v>
          </cell>
          <cell r="O120">
            <v>0</v>
          </cell>
          <cell r="P120">
            <v>892709</v>
          </cell>
          <cell r="Q120">
            <v>281048</v>
          </cell>
          <cell r="R120">
            <v>115678</v>
          </cell>
          <cell r="V120">
            <v>2409</v>
          </cell>
          <cell r="Y120">
            <v>0</v>
          </cell>
          <cell r="Z120">
            <v>0</v>
          </cell>
          <cell r="AA120">
            <v>0</v>
          </cell>
          <cell r="AB120">
            <v>2815</v>
          </cell>
          <cell r="AD120">
            <v>108848</v>
          </cell>
          <cell r="AE120">
            <v>0</v>
          </cell>
          <cell r="AF120">
            <v>43627</v>
          </cell>
          <cell r="AG120">
            <v>88025</v>
          </cell>
          <cell r="AH120">
            <v>5446</v>
          </cell>
          <cell r="AI120">
            <v>149557</v>
          </cell>
          <cell r="AJ120">
            <v>465449</v>
          </cell>
          <cell r="AK120">
            <v>172534</v>
          </cell>
          <cell r="AL120">
            <v>0</v>
          </cell>
          <cell r="AM120">
            <v>0</v>
          </cell>
          <cell r="AN120">
            <v>29629</v>
          </cell>
          <cell r="AO120">
            <v>580423</v>
          </cell>
          <cell r="AP120">
            <v>0</v>
          </cell>
          <cell r="AQ120">
            <v>52047619</v>
          </cell>
          <cell r="BV120">
            <v>37579</v>
          </cell>
          <cell r="BW120">
            <v>55885</v>
          </cell>
          <cell r="BX120">
            <v>1041679</v>
          </cell>
          <cell r="BY120">
            <v>0</v>
          </cell>
          <cell r="BZ120">
            <v>115434</v>
          </cell>
          <cell r="CM120">
            <v>10434674</v>
          </cell>
          <cell r="CO120">
            <v>0</v>
          </cell>
          <cell r="CP120">
            <v>0</v>
          </cell>
          <cell r="CQ120">
            <v>0</v>
          </cell>
          <cell r="CR120">
            <v>0</v>
          </cell>
          <cell r="CS120">
            <v>0</v>
          </cell>
          <cell r="CT120">
            <v>0</v>
          </cell>
          <cell r="CV120">
            <v>0</v>
          </cell>
          <cell r="CW120">
            <v>3236878</v>
          </cell>
        </row>
        <row r="121">
          <cell r="A121">
            <v>870</v>
          </cell>
          <cell r="B121">
            <v>22495598</v>
          </cell>
          <cell r="C121">
            <v>703346</v>
          </cell>
          <cell r="D121">
            <v>2153209</v>
          </cell>
          <cell r="E121">
            <v>0</v>
          </cell>
          <cell r="F121">
            <v>784935</v>
          </cell>
          <cell r="G121">
            <v>0</v>
          </cell>
          <cell r="H121">
            <v>0</v>
          </cell>
          <cell r="I121">
            <v>0</v>
          </cell>
          <cell r="J121">
            <v>0</v>
          </cell>
          <cell r="K121">
            <v>115945</v>
          </cell>
          <cell r="L121">
            <v>8276</v>
          </cell>
          <cell r="M121">
            <v>16332</v>
          </cell>
          <cell r="N121">
            <v>855524</v>
          </cell>
          <cell r="O121">
            <v>0</v>
          </cell>
          <cell r="P121">
            <v>1365439</v>
          </cell>
          <cell r="Q121">
            <v>0</v>
          </cell>
          <cell r="R121">
            <v>14011</v>
          </cell>
          <cell r="V121">
            <v>0</v>
          </cell>
          <cell r="Y121">
            <v>0</v>
          </cell>
          <cell r="Z121">
            <v>136</v>
          </cell>
          <cell r="AA121">
            <v>0</v>
          </cell>
          <cell r="AB121">
            <v>0</v>
          </cell>
          <cell r="AD121">
            <v>48823</v>
          </cell>
          <cell r="AE121">
            <v>7047</v>
          </cell>
          <cell r="AF121">
            <v>35295</v>
          </cell>
          <cell r="AG121">
            <v>0</v>
          </cell>
          <cell r="AH121">
            <v>0</v>
          </cell>
          <cell r="AI121">
            <v>15488</v>
          </cell>
          <cell r="AJ121">
            <v>163850</v>
          </cell>
          <cell r="AK121">
            <v>680870</v>
          </cell>
          <cell r="AL121">
            <v>0</v>
          </cell>
          <cell r="AM121">
            <v>0</v>
          </cell>
          <cell r="AN121">
            <v>66258</v>
          </cell>
          <cell r="AO121">
            <v>0</v>
          </cell>
          <cell r="AP121">
            <v>0</v>
          </cell>
          <cell r="AQ121">
            <v>29530382</v>
          </cell>
          <cell r="BV121">
            <v>0</v>
          </cell>
          <cell r="BW121">
            <v>418635</v>
          </cell>
          <cell r="BX121">
            <v>51732</v>
          </cell>
          <cell r="BY121">
            <v>0</v>
          </cell>
          <cell r="BZ121">
            <v>0</v>
          </cell>
          <cell r="CM121">
            <v>5137816</v>
          </cell>
          <cell r="CO121">
            <v>0</v>
          </cell>
          <cell r="CP121">
            <v>0</v>
          </cell>
          <cell r="CQ121">
            <v>0</v>
          </cell>
          <cell r="CR121">
            <v>0</v>
          </cell>
          <cell r="CS121">
            <v>0</v>
          </cell>
          <cell r="CT121">
            <v>0</v>
          </cell>
          <cell r="CV121">
            <v>0</v>
          </cell>
          <cell r="CW121">
            <v>870781</v>
          </cell>
        </row>
        <row r="122">
          <cell r="A122">
            <v>871</v>
          </cell>
          <cell r="B122">
            <v>32149722</v>
          </cell>
          <cell r="C122">
            <v>1115150</v>
          </cell>
          <cell r="D122">
            <v>3433804</v>
          </cell>
          <cell r="E122">
            <v>490500</v>
          </cell>
          <cell r="F122">
            <v>994229</v>
          </cell>
          <cell r="G122">
            <v>100000</v>
          </cell>
          <cell r="H122">
            <v>0</v>
          </cell>
          <cell r="I122">
            <v>32208</v>
          </cell>
          <cell r="J122">
            <v>0</v>
          </cell>
          <cell r="K122">
            <v>0</v>
          </cell>
          <cell r="L122">
            <v>71211</v>
          </cell>
          <cell r="M122">
            <v>13261</v>
          </cell>
          <cell r="N122">
            <v>0</v>
          </cell>
          <cell r="O122">
            <v>0</v>
          </cell>
          <cell r="P122">
            <v>747350</v>
          </cell>
          <cell r="Q122">
            <v>103920</v>
          </cell>
          <cell r="R122">
            <v>141137</v>
          </cell>
          <cell r="V122">
            <v>5188</v>
          </cell>
          <cell r="Y122">
            <v>0</v>
          </cell>
          <cell r="Z122">
            <v>0</v>
          </cell>
          <cell r="AA122">
            <v>0</v>
          </cell>
          <cell r="AB122">
            <v>0</v>
          </cell>
          <cell r="AD122">
            <v>101165</v>
          </cell>
          <cell r="AE122">
            <v>55347</v>
          </cell>
          <cell r="AF122">
            <v>1026</v>
          </cell>
          <cell r="AG122">
            <v>1358</v>
          </cell>
          <cell r="AH122">
            <v>9668</v>
          </cell>
          <cell r="AI122">
            <v>0</v>
          </cell>
          <cell r="AJ122">
            <v>0</v>
          </cell>
          <cell r="AK122">
            <v>0</v>
          </cell>
          <cell r="AL122">
            <v>0</v>
          </cell>
          <cell r="AM122">
            <v>0</v>
          </cell>
          <cell r="AN122">
            <v>26822</v>
          </cell>
          <cell r="AO122">
            <v>523398</v>
          </cell>
          <cell r="AP122">
            <v>0</v>
          </cell>
          <cell r="AQ122">
            <v>40116464</v>
          </cell>
          <cell r="BV122">
            <v>0</v>
          </cell>
          <cell r="BW122">
            <v>191247</v>
          </cell>
          <cell r="BX122">
            <v>0</v>
          </cell>
          <cell r="BY122">
            <v>43990</v>
          </cell>
          <cell r="BZ122">
            <v>0</v>
          </cell>
          <cell r="CM122">
            <v>5581470</v>
          </cell>
          <cell r="CO122">
            <v>0</v>
          </cell>
          <cell r="CP122">
            <v>0</v>
          </cell>
          <cell r="CQ122">
            <v>0</v>
          </cell>
          <cell r="CR122">
            <v>0</v>
          </cell>
          <cell r="CS122">
            <v>0</v>
          </cell>
          <cell r="CT122">
            <v>0</v>
          </cell>
          <cell r="CV122">
            <v>0</v>
          </cell>
          <cell r="CW122">
            <v>0</v>
          </cell>
        </row>
        <row r="123">
          <cell r="A123">
            <v>872</v>
          </cell>
          <cell r="B123">
            <v>35655128</v>
          </cell>
          <cell r="C123">
            <v>965039</v>
          </cell>
          <cell r="D123">
            <v>2944984</v>
          </cell>
          <cell r="E123">
            <v>0</v>
          </cell>
          <cell r="F123">
            <v>1628616</v>
          </cell>
          <cell r="G123">
            <v>0</v>
          </cell>
          <cell r="H123">
            <v>0</v>
          </cell>
          <cell r="I123">
            <v>123894</v>
          </cell>
          <cell r="J123">
            <v>142208</v>
          </cell>
          <cell r="K123">
            <v>0</v>
          </cell>
          <cell r="L123">
            <v>0</v>
          </cell>
          <cell r="M123">
            <v>0</v>
          </cell>
          <cell r="N123">
            <v>176309</v>
          </cell>
          <cell r="O123">
            <v>0</v>
          </cell>
          <cell r="P123">
            <v>527589</v>
          </cell>
          <cell r="Q123">
            <v>117472</v>
          </cell>
          <cell r="R123">
            <v>99408</v>
          </cell>
          <cell r="V123">
            <v>0</v>
          </cell>
          <cell r="Y123">
            <v>0</v>
          </cell>
          <cell r="Z123">
            <v>284369</v>
          </cell>
          <cell r="AA123">
            <v>0</v>
          </cell>
          <cell r="AB123">
            <v>0</v>
          </cell>
          <cell r="AD123">
            <v>39683</v>
          </cell>
          <cell r="AE123">
            <v>158362</v>
          </cell>
          <cell r="AF123">
            <v>374655</v>
          </cell>
          <cell r="AG123">
            <v>4935</v>
          </cell>
          <cell r="AH123">
            <v>2638</v>
          </cell>
          <cell r="AI123">
            <v>85680</v>
          </cell>
          <cell r="AJ123">
            <v>775663</v>
          </cell>
          <cell r="AK123">
            <v>0</v>
          </cell>
          <cell r="AL123">
            <v>0</v>
          </cell>
          <cell r="AM123">
            <v>0</v>
          </cell>
          <cell r="AN123">
            <v>19960</v>
          </cell>
          <cell r="AO123">
            <v>0</v>
          </cell>
          <cell r="AP123">
            <v>0</v>
          </cell>
          <cell r="AQ123">
            <v>44126592</v>
          </cell>
          <cell r="BV123">
            <v>0</v>
          </cell>
          <cell r="BW123">
            <v>0</v>
          </cell>
          <cell r="BX123">
            <v>896576</v>
          </cell>
          <cell r="BY123">
            <v>0</v>
          </cell>
          <cell r="BZ123">
            <v>54324</v>
          </cell>
          <cell r="CM123">
            <v>7993247</v>
          </cell>
          <cell r="CO123">
            <v>0</v>
          </cell>
          <cell r="CP123">
            <v>0</v>
          </cell>
          <cell r="CQ123">
            <v>0</v>
          </cell>
          <cell r="CR123">
            <v>0</v>
          </cell>
          <cell r="CS123">
            <v>0</v>
          </cell>
          <cell r="CT123">
            <v>0</v>
          </cell>
          <cell r="CV123">
            <v>0</v>
          </cell>
          <cell r="CW123">
            <v>3325153</v>
          </cell>
        </row>
        <row r="124">
          <cell r="A124">
            <v>873</v>
          </cell>
          <cell r="B124">
            <v>104480419</v>
          </cell>
          <cell r="C124">
            <v>3288894</v>
          </cell>
          <cell r="D124">
            <v>6136499</v>
          </cell>
          <cell r="E124">
            <v>0</v>
          </cell>
          <cell r="F124">
            <v>3926569</v>
          </cell>
          <cell r="G124">
            <v>0</v>
          </cell>
          <cell r="H124">
            <v>274000</v>
          </cell>
          <cell r="I124">
            <v>289907</v>
          </cell>
          <cell r="J124">
            <v>71424</v>
          </cell>
          <cell r="K124">
            <v>0</v>
          </cell>
          <cell r="L124">
            <v>0</v>
          </cell>
          <cell r="M124">
            <v>143497</v>
          </cell>
          <cell r="N124">
            <v>334422</v>
          </cell>
          <cell r="O124">
            <v>136429</v>
          </cell>
          <cell r="P124">
            <v>2063437</v>
          </cell>
          <cell r="Q124">
            <v>1041339</v>
          </cell>
          <cell r="R124">
            <v>1783004</v>
          </cell>
          <cell r="V124">
            <v>15339</v>
          </cell>
          <cell r="Y124">
            <v>0</v>
          </cell>
          <cell r="Z124">
            <v>0</v>
          </cell>
          <cell r="AA124">
            <v>5655</v>
          </cell>
          <cell r="AB124">
            <v>0</v>
          </cell>
          <cell r="AD124">
            <v>126022</v>
          </cell>
          <cell r="AE124">
            <v>60319</v>
          </cell>
          <cell r="AF124">
            <v>241806</v>
          </cell>
          <cell r="AG124">
            <v>11904</v>
          </cell>
          <cell r="AH124">
            <v>2198</v>
          </cell>
          <cell r="AI124">
            <v>398854</v>
          </cell>
          <cell r="AJ124">
            <v>1226181</v>
          </cell>
          <cell r="AK124">
            <v>0</v>
          </cell>
          <cell r="AL124">
            <v>0</v>
          </cell>
          <cell r="AM124">
            <v>0</v>
          </cell>
          <cell r="AN124">
            <v>350811</v>
          </cell>
          <cell r="AO124">
            <v>618428</v>
          </cell>
          <cell r="AP124">
            <v>0</v>
          </cell>
          <cell r="AQ124">
            <v>127027357</v>
          </cell>
          <cell r="BV124">
            <v>42810</v>
          </cell>
          <cell r="BW124">
            <v>97429</v>
          </cell>
          <cell r="BX124">
            <v>5574390</v>
          </cell>
          <cell r="BY124">
            <v>0</v>
          </cell>
          <cell r="BZ124">
            <v>953808</v>
          </cell>
          <cell r="CM124">
            <v>12677113</v>
          </cell>
          <cell r="CO124">
            <v>0</v>
          </cell>
          <cell r="CP124">
            <v>0</v>
          </cell>
          <cell r="CQ124">
            <v>0</v>
          </cell>
          <cell r="CR124">
            <v>0</v>
          </cell>
          <cell r="CS124">
            <v>0</v>
          </cell>
          <cell r="CT124">
            <v>0</v>
          </cell>
          <cell r="CV124">
            <v>1746122</v>
          </cell>
          <cell r="CW124">
            <v>0</v>
          </cell>
        </row>
        <row r="125">
          <cell r="A125">
            <v>874</v>
          </cell>
          <cell r="B125">
            <v>46198685</v>
          </cell>
          <cell r="C125">
            <v>1460261</v>
          </cell>
          <cell r="D125">
            <v>4864452</v>
          </cell>
          <cell r="E125">
            <v>330028</v>
          </cell>
          <cell r="F125">
            <v>1686317</v>
          </cell>
          <cell r="G125">
            <v>0</v>
          </cell>
          <cell r="H125">
            <v>0</v>
          </cell>
          <cell r="I125">
            <v>37354</v>
          </cell>
          <cell r="J125">
            <v>281914</v>
          </cell>
          <cell r="K125">
            <v>448685</v>
          </cell>
          <cell r="L125">
            <v>50028</v>
          </cell>
          <cell r="M125">
            <v>0</v>
          </cell>
          <cell r="N125">
            <v>-32875</v>
          </cell>
          <cell r="O125">
            <v>1777595</v>
          </cell>
          <cell r="P125">
            <v>1407750</v>
          </cell>
          <cell r="Q125">
            <v>25195</v>
          </cell>
          <cell r="R125">
            <v>540861</v>
          </cell>
          <cell r="V125">
            <v>0</v>
          </cell>
          <cell r="Y125">
            <v>0</v>
          </cell>
          <cell r="Z125">
            <v>0</v>
          </cell>
          <cell r="AA125">
            <v>0</v>
          </cell>
          <cell r="AB125">
            <v>0</v>
          </cell>
          <cell r="AD125">
            <v>67548</v>
          </cell>
          <cell r="AE125">
            <v>19232</v>
          </cell>
          <cell r="AF125">
            <v>0</v>
          </cell>
          <cell r="AG125">
            <v>59130</v>
          </cell>
          <cell r="AH125">
            <v>0</v>
          </cell>
          <cell r="AI125">
            <v>12402</v>
          </cell>
          <cell r="AJ125">
            <v>132673</v>
          </cell>
          <cell r="AK125">
            <v>8250</v>
          </cell>
          <cell r="AL125">
            <v>47000</v>
          </cell>
          <cell r="AM125">
            <v>0</v>
          </cell>
          <cell r="AN125">
            <v>141514</v>
          </cell>
          <cell r="AO125">
            <v>759057</v>
          </cell>
          <cell r="AP125">
            <v>0</v>
          </cell>
          <cell r="AQ125">
            <v>60323056</v>
          </cell>
          <cell r="BV125">
            <v>128233</v>
          </cell>
          <cell r="BW125">
            <v>12085</v>
          </cell>
          <cell r="BX125">
            <v>557433</v>
          </cell>
          <cell r="BY125">
            <v>0</v>
          </cell>
          <cell r="BZ125">
            <v>34700</v>
          </cell>
          <cell r="CM125">
            <v>9071002</v>
          </cell>
          <cell r="CO125">
            <v>0</v>
          </cell>
          <cell r="CP125">
            <v>0</v>
          </cell>
          <cell r="CQ125">
            <v>0</v>
          </cell>
          <cell r="CR125">
            <v>0</v>
          </cell>
          <cell r="CS125">
            <v>0</v>
          </cell>
          <cell r="CT125">
            <v>0</v>
          </cell>
          <cell r="CV125">
            <v>0</v>
          </cell>
          <cell r="CW125">
            <v>0</v>
          </cell>
        </row>
        <row r="126">
          <cell r="A126">
            <v>875</v>
          </cell>
          <cell r="B126">
            <v>151858933</v>
          </cell>
          <cell r="C126">
            <v>4663386</v>
          </cell>
          <cell r="D126">
            <v>5601397</v>
          </cell>
          <cell r="E126">
            <v>534182</v>
          </cell>
          <cell r="F126">
            <v>7604839</v>
          </cell>
          <cell r="G126">
            <v>0</v>
          </cell>
          <cell r="H126">
            <v>13383</v>
          </cell>
          <cell r="I126">
            <v>0</v>
          </cell>
          <cell r="J126">
            <v>0</v>
          </cell>
          <cell r="K126">
            <v>588777</v>
          </cell>
          <cell r="L126">
            <v>191983</v>
          </cell>
          <cell r="M126">
            <v>114189</v>
          </cell>
          <cell r="N126">
            <v>54296</v>
          </cell>
          <cell r="O126">
            <v>13154</v>
          </cell>
          <cell r="P126">
            <v>0</v>
          </cell>
          <cell r="Q126">
            <v>83697</v>
          </cell>
          <cell r="R126">
            <v>499244</v>
          </cell>
          <cell r="V126">
            <v>17689</v>
          </cell>
          <cell r="Y126">
            <v>4039425</v>
          </cell>
          <cell r="Z126">
            <v>793003</v>
          </cell>
          <cell r="AA126">
            <v>0</v>
          </cell>
          <cell r="AB126">
            <v>0</v>
          </cell>
          <cell r="AD126">
            <v>120258</v>
          </cell>
          <cell r="AE126">
            <v>80488</v>
          </cell>
          <cell r="AF126">
            <v>1308698</v>
          </cell>
          <cell r="AG126">
            <v>271285</v>
          </cell>
          <cell r="AH126">
            <v>2141</v>
          </cell>
          <cell r="AI126">
            <v>669246</v>
          </cell>
          <cell r="AJ126">
            <v>637843</v>
          </cell>
          <cell r="AK126">
            <v>0</v>
          </cell>
          <cell r="AL126">
            <v>0</v>
          </cell>
          <cell r="AM126">
            <v>0</v>
          </cell>
          <cell r="AN126">
            <v>279702</v>
          </cell>
          <cell r="AO126">
            <v>1084868</v>
          </cell>
          <cell r="AP126">
            <v>0</v>
          </cell>
          <cell r="AQ126">
            <v>181126106</v>
          </cell>
          <cell r="BV126">
            <v>135376</v>
          </cell>
          <cell r="BW126">
            <v>1062451</v>
          </cell>
          <cell r="BX126">
            <v>6168888</v>
          </cell>
          <cell r="BY126">
            <v>0</v>
          </cell>
          <cell r="BZ126">
            <v>1886625</v>
          </cell>
          <cell r="CM126">
            <v>25253433</v>
          </cell>
          <cell r="CO126">
            <v>0</v>
          </cell>
          <cell r="CP126">
            <v>0</v>
          </cell>
          <cell r="CQ126">
            <v>191017</v>
          </cell>
          <cell r="CR126">
            <v>0</v>
          </cell>
          <cell r="CS126">
            <v>0</v>
          </cell>
          <cell r="CT126">
            <v>687030</v>
          </cell>
          <cell r="CV126">
            <v>0</v>
          </cell>
          <cell r="CW126">
            <v>4223826</v>
          </cell>
        </row>
        <row r="127">
          <cell r="A127">
            <v>876</v>
          </cell>
          <cell r="B127">
            <v>27920946</v>
          </cell>
          <cell r="C127">
            <v>813610</v>
          </cell>
          <cell r="D127">
            <v>3092964</v>
          </cell>
          <cell r="E127">
            <v>1704442</v>
          </cell>
          <cell r="F127">
            <v>1106053</v>
          </cell>
          <cell r="G127">
            <v>0</v>
          </cell>
          <cell r="H127">
            <v>0</v>
          </cell>
          <cell r="I127">
            <v>95840</v>
          </cell>
          <cell r="J127">
            <v>243015</v>
          </cell>
          <cell r="K127">
            <v>52450</v>
          </cell>
          <cell r="L127">
            <v>0</v>
          </cell>
          <cell r="M127">
            <v>51600</v>
          </cell>
          <cell r="N127">
            <v>77930</v>
          </cell>
          <cell r="O127">
            <v>1640</v>
          </cell>
          <cell r="P127">
            <v>671750</v>
          </cell>
          <cell r="Q127">
            <v>6310</v>
          </cell>
          <cell r="R127">
            <v>66860</v>
          </cell>
          <cell r="V127">
            <v>1440</v>
          </cell>
          <cell r="Y127">
            <v>0</v>
          </cell>
          <cell r="Z127">
            <v>0</v>
          </cell>
          <cell r="AA127">
            <v>0</v>
          </cell>
          <cell r="AB127">
            <v>0</v>
          </cell>
          <cell r="AD127">
            <v>41050</v>
          </cell>
          <cell r="AE127">
            <v>23780</v>
          </cell>
          <cell r="AF127">
            <v>139430</v>
          </cell>
          <cell r="AG127">
            <v>26020</v>
          </cell>
          <cell r="AH127">
            <v>0</v>
          </cell>
          <cell r="AI127">
            <v>75340</v>
          </cell>
          <cell r="AJ127">
            <v>876723</v>
          </cell>
          <cell r="AK127">
            <v>0</v>
          </cell>
          <cell r="AL127">
            <v>101837</v>
          </cell>
          <cell r="AM127">
            <v>0</v>
          </cell>
          <cell r="AN127">
            <v>38138</v>
          </cell>
          <cell r="AO127">
            <v>519112</v>
          </cell>
          <cell r="AP127">
            <v>0</v>
          </cell>
          <cell r="AQ127">
            <v>37748280</v>
          </cell>
          <cell r="BV127">
            <v>0</v>
          </cell>
          <cell r="BW127">
            <v>96950</v>
          </cell>
          <cell r="BX127">
            <v>24240</v>
          </cell>
          <cell r="BY127">
            <v>16520</v>
          </cell>
          <cell r="BZ127">
            <v>0</v>
          </cell>
          <cell r="CM127">
            <v>1120433</v>
          </cell>
          <cell r="CO127">
            <v>0</v>
          </cell>
          <cell r="CP127">
            <v>0</v>
          </cell>
          <cell r="CQ127">
            <v>0</v>
          </cell>
          <cell r="CR127">
            <v>0</v>
          </cell>
          <cell r="CS127">
            <v>0</v>
          </cell>
          <cell r="CT127">
            <v>0</v>
          </cell>
          <cell r="CV127">
            <v>0</v>
          </cell>
          <cell r="CW127">
            <v>554051</v>
          </cell>
        </row>
        <row r="128">
          <cell r="A128">
            <v>877</v>
          </cell>
          <cell r="B128">
            <v>47470451</v>
          </cell>
          <cell r="C128">
            <v>1299497</v>
          </cell>
          <cell r="D128">
            <v>3274520</v>
          </cell>
          <cell r="E128">
            <v>0</v>
          </cell>
          <cell r="F128">
            <v>0</v>
          </cell>
          <cell r="G128">
            <v>0</v>
          </cell>
          <cell r="H128">
            <v>0</v>
          </cell>
          <cell r="I128">
            <v>269933</v>
          </cell>
          <cell r="J128">
            <v>53494</v>
          </cell>
          <cell r="K128">
            <v>267707</v>
          </cell>
          <cell r="L128">
            <v>0</v>
          </cell>
          <cell r="M128">
            <v>15193</v>
          </cell>
          <cell r="N128">
            <v>0</v>
          </cell>
          <cell r="O128">
            <v>0</v>
          </cell>
          <cell r="P128">
            <v>390295</v>
          </cell>
          <cell r="Q128">
            <v>120804</v>
          </cell>
          <cell r="R128">
            <v>40287</v>
          </cell>
          <cell r="V128">
            <v>9539</v>
          </cell>
          <cell r="Y128">
            <v>0</v>
          </cell>
          <cell r="Z128">
            <v>2954</v>
          </cell>
          <cell r="AA128">
            <v>93600</v>
          </cell>
          <cell r="AB128">
            <v>6732</v>
          </cell>
          <cell r="AD128">
            <v>90625</v>
          </cell>
          <cell r="AE128">
            <v>22477</v>
          </cell>
          <cell r="AF128">
            <v>27217</v>
          </cell>
          <cell r="AG128">
            <v>10846</v>
          </cell>
          <cell r="AH128">
            <v>441</v>
          </cell>
          <cell r="AI128">
            <v>246431</v>
          </cell>
          <cell r="AJ128">
            <v>208399</v>
          </cell>
          <cell r="AK128">
            <v>0</v>
          </cell>
          <cell r="AL128">
            <v>0</v>
          </cell>
          <cell r="AM128">
            <v>0</v>
          </cell>
          <cell r="AN128">
            <v>2184419</v>
          </cell>
          <cell r="AO128">
            <v>1419598</v>
          </cell>
          <cell r="AP128">
            <v>0</v>
          </cell>
          <cell r="AQ128">
            <v>57525459</v>
          </cell>
          <cell r="BV128">
            <v>0</v>
          </cell>
          <cell r="BW128">
            <v>200602</v>
          </cell>
          <cell r="BX128">
            <v>523969</v>
          </cell>
          <cell r="BY128">
            <v>0</v>
          </cell>
          <cell r="BZ128">
            <v>423226</v>
          </cell>
          <cell r="CM128">
            <v>5364358</v>
          </cell>
          <cell r="CO128">
            <v>10759</v>
          </cell>
          <cell r="CP128">
            <v>0</v>
          </cell>
          <cell r="CQ128">
            <v>0</v>
          </cell>
          <cell r="CR128">
            <v>0</v>
          </cell>
          <cell r="CS128">
            <v>0</v>
          </cell>
          <cell r="CT128">
            <v>0</v>
          </cell>
          <cell r="CV128">
            <v>0</v>
          </cell>
          <cell r="CW128">
            <v>2575000</v>
          </cell>
        </row>
        <row r="129">
          <cell r="A129">
            <v>878</v>
          </cell>
          <cell r="B129">
            <v>137828269</v>
          </cell>
          <cell r="C129">
            <v>4130286</v>
          </cell>
          <cell r="D129">
            <v>6959582</v>
          </cell>
          <cell r="E129">
            <v>0</v>
          </cell>
          <cell r="F129">
            <v>6369000</v>
          </cell>
          <cell r="G129">
            <v>0</v>
          </cell>
          <cell r="H129">
            <v>0</v>
          </cell>
          <cell r="I129">
            <v>850808</v>
          </cell>
          <cell r="J129">
            <v>91741</v>
          </cell>
          <cell r="K129">
            <v>0</v>
          </cell>
          <cell r="L129">
            <v>586784</v>
          </cell>
          <cell r="M129">
            <v>757117</v>
          </cell>
          <cell r="N129">
            <v>0</v>
          </cell>
          <cell r="O129">
            <v>0</v>
          </cell>
          <cell r="P129">
            <v>1597000</v>
          </cell>
          <cell r="Q129">
            <v>0</v>
          </cell>
          <cell r="R129">
            <v>2097102</v>
          </cell>
          <cell r="V129">
            <v>0</v>
          </cell>
          <cell r="Y129">
            <v>0</v>
          </cell>
          <cell r="Z129">
            <v>0</v>
          </cell>
          <cell r="AA129">
            <v>0</v>
          </cell>
          <cell r="AB129">
            <v>172696</v>
          </cell>
          <cell r="AD129">
            <v>0</v>
          </cell>
          <cell r="AE129">
            <v>79825</v>
          </cell>
          <cell r="AF129">
            <v>520088</v>
          </cell>
          <cell r="AG129">
            <v>123750</v>
          </cell>
          <cell r="AH129">
            <v>5000</v>
          </cell>
          <cell r="AI129">
            <v>360842</v>
          </cell>
          <cell r="AJ129">
            <v>689165</v>
          </cell>
          <cell r="AK129">
            <v>0</v>
          </cell>
          <cell r="AL129">
            <v>0</v>
          </cell>
          <cell r="AM129">
            <v>0</v>
          </cell>
          <cell r="AN129">
            <v>0</v>
          </cell>
          <cell r="AO129">
            <v>740429</v>
          </cell>
          <cell r="AP129">
            <v>0</v>
          </cell>
          <cell r="AQ129">
            <v>163959484</v>
          </cell>
          <cell r="BV129">
            <v>210600</v>
          </cell>
          <cell r="BW129">
            <v>0</v>
          </cell>
          <cell r="BX129">
            <v>11173200</v>
          </cell>
          <cell r="BY129">
            <v>0</v>
          </cell>
          <cell r="BZ129">
            <v>2235000</v>
          </cell>
          <cell r="CM129">
            <v>19466398</v>
          </cell>
          <cell r="CO129">
            <v>93000</v>
          </cell>
          <cell r="CP129">
            <v>0</v>
          </cell>
          <cell r="CQ129">
            <v>0</v>
          </cell>
          <cell r="CR129">
            <v>0</v>
          </cell>
          <cell r="CS129">
            <v>0</v>
          </cell>
          <cell r="CT129">
            <v>0</v>
          </cell>
          <cell r="CV129">
            <v>0</v>
          </cell>
          <cell r="CW129">
            <v>0</v>
          </cell>
        </row>
        <row r="130">
          <cell r="A130">
            <v>879</v>
          </cell>
          <cell r="B130">
            <v>63952300</v>
          </cell>
          <cell r="C130">
            <v>1832286</v>
          </cell>
          <cell r="D130">
            <v>6013779</v>
          </cell>
          <cell r="E130">
            <v>0</v>
          </cell>
          <cell r="F130">
            <v>2538118</v>
          </cell>
          <cell r="G130">
            <v>251698</v>
          </cell>
          <cell r="H130">
            <v>0</v>
          </cell>
          <cell r="I130">
            <v>551674</v>
          </cell>
          <cell r="J130">
            <v>377567</v>
          </cell>
          <cell r="K130">
            <v>0</v>
          </cell>
          <cell r="L130">
            <v>0</v>
          </cell>
          <cell r="M130">
            <v>89502</v>
          </cell>
          <cell r="N130">
            <v>0</v>
          </cell>
          <cell r="O130">
            <v>0</v>
          </cell>
          <cell r="P130">
            <v>858393</v>
          </cell>
          <cell r="Q130">
            <v>26324</v>
          </cell>
          <cell r="R130">
            <v>36385</v>
          </cell>
          <cell r="V130">
            <v>25776</v>
          </cell>
          <cell r="Y130">
            <v>0</v>
          </cell>
          <cell r="Z130">
            <v>0</v>
          </cell>
          <cell r="AA130">
            <v>0</v>
          </cell>
          <cell r="AB130">
            <v>0</v>
          </cell>
          <cell r="AD130">
            <v>247478</v>
          </cell>
          <cell r="AE130">
            <v>0</v>
          </cell>
          <cell r="AF130">
            <v>55000</v>
          </cell>
          <cell r="AG130">
            <v>9406</v>
          </cell>
          <cell r="AH130">
            <v>2650</v>
          </cell>
          <cell r="AI130">
            <v>473421</v>
          </cell>
          <cell r="AJ130">
            <v>1290772</v>
          </cell>
          <cell r="AK130">
            <v>0</v>
          </cell>
          <cell r="AL130">
            <v>526070</v>
          </cell>
          <cell r="AM130">
            <v>0</v>
          </cell>
          <cell r="AN130">
            <v>57181</v>
          </cell>
          <cell r="AO130">
            <v>0</v>
          </cell>
          <cell r="AP130">
            <v>0</v>
          </cell>
          <cell r="AQ130">
            <v>79215780</v>
          </cell>
          <cell r="BV130">
            <v>5811</v>
          </cell>
          <cell r="BW130">
            <v>925183</v>
          </cell>
          <cell r="BX130">
            <v>31683</v>
          </cell>
          <cell r="BY130">
            <v>0</v>
          </cell>
          <cell r="BZ130">
            <v>0</v>
          </cell>
          <cell r="CM130">
            <v>14740193</v>
          </cell>
          <cell r="CO130">
            <v>0</v>
          </cell>
          <cell r="CP130">
            <v>0</v>
          </cell>
          <cell r="CQ130">
            <v>0</v>
          </cell>
          <cell r="CR130">
            <v>0</v>
          </cell>
          <cell r="CS130">
            <v>0</v>
          </cell>
          <cell r="CT130">
            <v>0</v>
          </cell>
          <cell r="CV130">
            <v>0</v>
          </cell>
          <cell r="CW130">
            <v>7504000</v>
          </cell>
        </row>
        <row r="131">
          <cell r="A131">
            <v>880</v>
          </cell>
          <cell r="B131">
            <v>30681408</v>
          </cell>
          <cell r="C131">
            <v>851643</v>
          </cell>
          <cell r="D131">
            <v>2197339</v>
          </cell>
          <cell r="E131">
            <v>0</v>
          </cell>
          <cell r="F131">
            <v>1321114</v>
          </cell>
          <cell r="G131">
            <v>45500</v>
          </cell>
          <cell r="H131">
            <v>0</v>
          </cell>
          <cell r="I131">
            <v>13686</v>
          </cell>
          <cell r="J131">
            <v>19006</v>
          </cell>
          <cell r="K131">
            <v>47568</v>
          </cell>
          <cell r="L131">
            <v>5507</v>
          </cell>
          <cell r="M131">
            <v>110680</v>
          </cell>
          <cell r="N131">
            <v>97893</v>
          </cell>
          <cell r="O131">
            <v>0</v>
          </cell>
          <cell r="P131">
            <v>797274</v>
          </cell>
          <cell r="Q131">
            <v>93202</v>
          </cell>
          <cell r="R131">
            <v>256709</v>
          </cell>
          <cell r="V131">
            <v>3801</v>
          </cell>
          <cell r="Y131">
            <v>0</v>
          </cell>
          <cell r="Z131">
            <v>172103</v>
          </cell>
          <cell r="AA131">
            <v>0</v>
          </cell>
          <cell r="AB131">
            <v>0</v>
          </cell>
          <cell r="AD131">
            <v>98200</v>
          </cell>
          <cell r="AE131">
            <v>34401</v>
          </cell>
          <cell r="AF131">
            <v>172250</v>
          </cell>
          <cell r="AG131">
            <v>16000</v>
          </cell>
          <cell r="AH131">
            <v>8203</v>
          </cell>
          <cell r="AI131">
            <v>41955</v>
          </cell>
          <cell r="AJ131">
            <v>1183949</v>
          </cell>
          <cell r="AK131">
            <v>28176</v>
          </cell>
          <cell r="AL131">
            <v>0</v>
          </cell>
          <cell r="AM131">
            <v>0</v>
          </cell>
          <cell r="AN131">
            <v>20336</v>
          </cell>
          <cell r="AO131">
            <v>472098</v>
          </cell>
          <cell r="AP131">
            <v>0</v>
          </cell>
          <cell r="AQ131">
            <v>38790001</v>
          </cell>
          <cell r="BV131">
            <v>52493</v>
          </cell>
          <cell r="BW131">
            <v>8422</v>
          </cell>
          <cell r="BX131">
            <v>678395</v>
          </cell>
          <cell r="BY131">
            <v>0</v>
          </cell>
          <cell r="BZ131">
            <v>135852</v>
          </cell>
          <cell r="CM131">
            <v>6585675</v>
          </cell>
          <cell r="CO131">
            <v>0</v>
          </cell>
          <cell r="CP131">
            <v>0</v>
          </cell>
          <cell r="CQ131">
            <v>1634</v>
          </cell>
          <cell r="CR131">
            <v>0</v>
          </cell>
          <cell r="CS131">
            <v>0</v>
          </cell>
          <cell r="CT131">
            <v>0</v>
          </cell>
          <cell r="CV131">
            <v>0</v>
          </cell>
          <cell r="CW131">
            <v>7760313</v>
          </cell>
        </row>
        <row r="132">
          <cell r="A132">
            <v>881</v>
          </cell>
          <cell r="B132">
            <v>309515534</v>
          </cell>
          <cell r="C132">
            <v>8648898</v>
          </cell>
          <cell r="D132">
            <v>22656328</v>
          </cell>
          <cell r="E132">
            <v>1416664</v>
          </cell>
          <cell r="F132">
            <v>9757132</v>
          </cell>
          <cell r="G132">
            <v>2221926</v>
          </cell>
          <cell r="H132">
            <v>0</v>
          </cell>
          <cell r="I132">
            <v>4599987</v>
          </cell>
          <cell r="J132">
            <v>0</v>
          </cell>
          <cell r="K132">
            <v>0</v>
          </cell>
          <cell r="L132">
            <v>688516</v>
          </cell>
          <cell r="M132">
            <v>0</v>
          </cell>
          <cell r="N132">
            <v>0</v>
          </cell>
          <cell r="O132">
            <v>0</v>
          </cell>
          <cell r="P132">
            <v>1186874</v>
          </cell>
          <cell r="Q132">
            <v>1050046</v>
          </cell>
          <cell r="R132">
            <v>4149655</v>
          </cell>
          <cell r="V132">
            <v>67966</v>
          </cell>
          <cell r="Y132">
            <v>0</v>
          </cell>
          <cell r="Z132">
            <v>0</v>
          </cell>
          <cell r="AA132">
            <v>0</v>
          </cell>
          <cell r="AB132">
            <v>0</v>
          </cell>
          <cell r="AD132">
            <v>717384</v>
          </cell>
          <cell r="AE132">
            <v>151274</v>
          </cell>
          <cell r="AF132">
            <v>0</v>
          </cell>
          <cell r="AG132">
            <v>197886</v>
          </cell>
          <cell r="AH132">
            <v>9710</v>
          </cell>
          <cell r="AI132">
            <v>71991</v>
          </cell>
          <cell r="AJ132">
            <v>6517491</v>
          </cell>
          <cell r="AK132">
            <v>341483</v>
          </cell>
          <cell r="AL132">
            <v>0</v>
          </cell>
          <cell r="AM132">
            <v>0</v>
          </cell>
          <cell r="AN132">
            <v>0</v>
          </cell>
          <cell r="AO132">
            <v>493008</v>
          </cell>
          <cell r="AP132">
            <v>0</v>
          </cell>
          <cell r="AQ132">
            <v>374459753</v>
          </cell>
          <cell r="BV132">
            <v>62076</v>
          </cell>
          <cell r="BW132">
            <v>1243708</v>
          </cell>
          <cell r="BX132">
            <v>9255405</v>
          </cell>
          <cell r="BY132">
            <v>0</v>
          </cell>
          <cell r="BZ132">
            <v>1790801</v>
          </cell>
          <cell r="CM132">
            <v>41019235</v>
          </cell>
          <cell r="CO132">
            <v>701838</v>
          </cell>
          <cell r="CP132">
            <v>0</v>
          </cell>
          <cell r="CQ132">
            <v>0</v>
          </cell>
          <cell r="CR132">
            <v>0</v>
          </cell>
          <cell r="CS132">
            <v>0</v>
          </cell>
          <cell r="CT132">
            <v>0</v>
          </cell>
          <cell r="CV132">
            <v>0</v>
          </cell>
          <cell r="CW132">
            <v>36470851</v>
          </cell>
        </row>
        <row r="133">
          <cell r="A133">
            <v>882</v>
          </cell>
          <cell r="B133">
            <v>44090076</v>
          </cell>
          <cell r="C133">
            <v>1274071</v>
          </cell>
          <cell r="D133">
            <v>2945823</v>
          </cell>
          <cell r="E133">
            <v>722550</v>
          </cell>
          <cell r="F133">
            <v>1629248</v>
          </cell>
          <cell r="G133">
            <v>558419</v>
          </cell>
          <cell r="H133">
            <v>0</v>
          </cell>
          <cell r="I133">
            <v>711744</v>
          </cell>
          <cell r="J133">
            <v>0</v>
          </cell>
          <cell r="K133">
            <v>21327</v>
          </cell>
          <cell r="L133">
            <v>0</v>
          </cell>
          <cell r="M133">
            <v>51794</v>
          </cell>
          <cell r="N133">
            <v>0</v>
          </cell>
          <cell r="O133">
            <v>0</v>
          </cell>
          <cell r="P133">
            <v>251718</v>
          </cell>
          <cell r="Q133">
            <v>62457</v>
          </cell>
          <cell r="R133">
            <v>50270</v>
          </cell>
          <cell r="V133">
            <v>0</v>
          </cell>
          <cell r="Y133">
            <v>0</v>
          </cell>
          <cell r="Z133">
            <v>0</v>
          </cell>
          <cell r="AA133">
            <v>0</v>
          </cell>
          <cell r="AB133">
            <v>0</v>
          </cell>
          <cell r="AD133">
            <v>96037</v>
          </cell>
          <cell r="AE133">
            <v>0</v>
          </cell>
          <cell r="AF133">
            <v>0</v>
          </cell>
          <cell r="AG133">
            <v>0</v>
          </cell>
          <cell r="AH133">
            <v>869</v>
          </cell>
          <cell r="AI133">
            <v>30060</v>
          </cell>
          <cell r="AJ133">
            <v>1515749</v>
          </cell>
          <cell r="AK133">
            <v>0</v>
          </cell>
          <cell r="AL133">
            <v>23604</v>
          </cell>
          <cell r="AM133">
            <v>0</v>
          </cell>
          <cell r="AN133">
            <v>19352</v>
          </cell>
          <cell r="AO133">
            <v>298862</v>
          </cell>
          <cell r="AP133">
            <v>0</v>
          </cell>
          <cell r="AQ133">
            <v>54354030</v>
          </cell>
          <cell r="BV133">
            <v>51624</v>
          </cell>
          <cell r="BW133">
            <v>60778</v>
          </cell>
          <cell r="BX133">
            <v>185369</v>
          </cell>
          <cell r="BY133">
            <v>0</v>
          </cell>
          <cell r="BZ133">
            <v>113731</v>
          </cell>
          <cell r="CM133">
            <v>8314454</v>
          </cell>
          <cell r="CO133">
            <v>6703</v>
          </cell>
          <cell r="CP133">
            <v>0</v>
          </cell>
          <cell r="CQ133">
            <v>0</v>
          </cell>
          <cell r="CR133">
            <v>0</v>
          </cell>
          <cell r="CS133">
            <v>0</v>
          </cell>
          <cell r="CT133">
            <v>0</v>
          </cell>
          <cell r="CV133">
            <v>0</v>
          </cell>
          <cell r="CW133">
            <v>6331526</v>
          </cell>
        </row>
        <row r="134">
          <cell r="A134">
            <v>883</v>
          </cell>
          <cell r="B134">
            <v>30511584</v>
          </cell>
          <cell r="C134">
            <v>1047694</v>
          </cell>
          <cell r="D134">
            <v>2173556</v>
          </cell>
          <cell r="E134">
            <v>0</v>
          </cell>
          <cell r="F134">
            <v>723029</v>
          </cell>
          <cell r="G134">
            <v>397036</v>
          </cell>
          <cell r="H134">
            <v>0</v>
          </cell>
          <cell r="I134">
            <v>141541</v>
          </cell>
          <cell r="J134">
            <v>0</v>
          </cell>
          <cell r="K134">
            <v>26309</v>
          </cell>
          <cell r="L134">
            <v>0</v>
          </cell>
          <cell r="M134">
            <v>0</v>
          </cell>
          <cell r="N134">
            <v>380875</v>
          </cell>
          <cell r="O134">
            <v>0</v>
          </cell>
          <cell r="P134">
            <v>1589721</v>
          </cell>
          <cell r="Q134">
            <v>0</v>
          </cell>
          <cell r="R134">
            <v>230676</v>
          </cell>
          <cell r="V134">
            <v>12001</v>
          </cell>
          <cell r="Y134">
            <v>0</v>
          </cell>
          <cell r="Z134">
            <v>0</v>
          </cell>
          <cell r="AA134">
            <v>0</v>
          </cell>
          <cell r="AB134">
            <v>0</v>
          </cell>
          <cell r="AD134">
            <v>54446</v>
          </cell>
          <cell r="AE134">
            <v>21285</v>
          </cell>
          <cell r="AF134">
            <v>539665</v>
          </cell>
          <cell r="AG134">
            <v>0</v>
          </cell>
          <cell r="AH134">
            <v>3865</v>
          </cell>
          <cell r="AI134">
            <v>14189</v>
          </cell>
          <cell r="AJ134">
            <v>78682</v>
          </cell>
          <cell r="AK134">
            <v>0</v>
          </cell>
          <cell r="AL134">
            <v>0</v>
          </cell>
          <cell r="AM134">
            <v>0</v>
          </cell>
          <cell r="AN134">
            <v>21400</v>
          </cell>
          <cell r="AO134">
            <v>519893</v>
          </cell>
          <cell r="AP134">
            <v>0</v>
          </cell>
          <cell r="AQ134">
            <v>38487447</v>
          </cell>
          <cell r="BV134">
            <v>135318</v>
          </cell>
          <cell r="BW134">
            <v>495347</v>
          </cell>
          <cell r="BX134">
            <v>526934</v>
          </cell>
          <cell r="BY134">
            <v>0</v>
          </cell>
          <cell r="BZ134">
            <v>406445</v>
          </cell>
          <cell r="CM134">
            <v>0</v>
          </cell>
          <cell r="CO134">
            <v>0</v>
          </cell>
          <cell r="CP134">
            <v>0</v>
          </cell>
          <cell r="CQ134">
            <v>0</v>
          </cell>
          <cell r="CR134">
            <v>0</v>
          </cell>
          <cell r="CS134">
            <v>0</v>
          </cell>
          <cell r="CT134">
            <v>0</v>
          </cell>
          <cell r="CV134">
            <v>0</v>
          </cell>
          <cell r="CW134">
            <v>758574</v>
          </cell>
        </row>
        <row r="135">
          <cell r="A135">
            <v>884</v>
          </cell>
          <cell r="B135">
            <v>31861699</v>
          </cell>
          <cell r="C135">
            <v>1342848</v>
          </cell>
          <cell r="D135">
            <v>3454575</v>
          </cell>
          <cell r="E135">
            <v>210411</v>
          </cell>
          <cell r="F135">
            <v>1394359</v>
          </cell>
          <cell r="G135">
            <v>0</v>
          </cell>
          <cell r="H135">
            <v>0</v>
          </cell>
          <cell r="I135">
            <v>3296</v>
          </cell>
          <cell r="J135">
            <v>95000</v>
          </cell>
          <cell r="K135">
            <v>224795</v>
          </cell>
          <cell r="L135">
            <v>77790</v>
          </cell>
          <cell r="M135">
            <v>41444</v>
          </cell>
          <cell r="N135">
            <v>34320</v>
          </cell>
          <cell r="O135">
            <v>0</v>
          </cell>
          <cell r="P135">
            <v>758528</v>
          </cell>
          <cell r="Q135">
            <v>52589</v>
          </cell>
          <cell r="R135">
            <v>232962</v>
          </cell>
          <cell r="V135">
            <v>5986</v>
          </cell>
          <cell r="Y135">
            <v>0</v>
          </cell>
          <cell r="Z135">
            <v>0</v>
          </cell>
          <cell r="AA135">
            <v>0</v>
          </cell>
          <cell r="AB135">
            <v>0</v>
          </cell>
          <cell r="AD135">
            <v>48648</v>
          </cell>
          <cell r="AE135">
            <v>1051</v>
          </cell>
          <cell r="AF135">
            <v>17000</v>
          </cell>
          <cell r="AG135">
            <v>20674</v>
          </cell>
          <cell r="AH135">
            <v>3729</v>
          </cell>
          <cell r="AI135">
            <v>8580</v>
          </cell>
          <cell r="AJ135">
            <v>764428</v>
          </cell>
          <cell r="AK135">
            <v>0</v>
          </cell>
          <cell r="AL135">
            <v>32300</v>
          </cell>
          <cell r="AM135">
            <v>0</v>
          </cell>
          <cell r="AN135">
            <v>37696</v>
          </cell>
          <cell r="AO135">
            <v>0</v>
          </cell>
          <cell r="AP135">
            <v>0</v>
          </cell>
          <cell r="AQ135">
            <v>40724708</v>
          </cell>
          <cell r="BV135">
            <v>3937</v>
          </cell>
          <cell r="BW135">
            <v>0</v>
          </cell>
          <cell r="BX135">
            <v>2665317</v>
          </cell>
          <cell r="BY135">
            <v>0</v>
          </cell>
          <cell r="BZ135">
            <v>600099</v>
          </cell>
          <cell r="CM135">
            <v>2090124</v>
          </cell>
          <cell r="CO135">
            <v>0</v>
          </cell>
          <cell r="CP135">
            <v>0</v>
          </cell>
          <cell r="CQ135">
            <v>0</v>
          </cell>
          <cell r="CR135">
            <v>0</v>
          </cell>
          <cell r="CS135">
            <v>0</v>
          </cell>
          <cell r="CT135">
            <v>0</v>
          </cell>
          <cell r="CV135">
            <v>0</v>
          </cell>
          <cell r="CW135">
            <v>5050000</v>
          </cell>
        </row>
        <row r="136">
          <cell r="A136">
            <v>885</v>
          </cell>
          <cell r="B136">
            <v>126024402</v>
          </cell>
          <cell r="C136">
            <v>5480500</v>
          </cell>
          <cell r="D136">
            <v>10840287</v>
          </cell>
          <cell r="E136">
            <v>0</v>
          </cell>
          <cell r="F136">
            <v>6037657</v>
          </cell>
          <cell r="G136">
            <v>0</v>
          </cell>
          <cell r="H136">
            <v>0</v>
          </cell>
          <cell r="I136">
            <v>388035</v>
          </cell>
          <cell r="J136">
            <v>111425</v>
          </cell>
          <cell r="K136">
            <v>0</v>
          </cell>
          <cell r="L136">
            <v>310031</v>
          </cell>
          <cell r="M136">
            <v>59475</v>
          </cell>
          <cell r="N136">
            <v>154080</v>
          </cell>
          <cell r="O136">
            <v>0</v>
          </cell>
          <cell r="P136">
            <v>2266968</v>
          </cell>
          <cell r="Q136">
            <v>243350</v>
          </cell>
          <cell r="R136">
            <v>96614</v>
          </cell>
          <cell r="V136">
            <v>18440</v>
          </cell>
          <cell r="Y136">
            <v>0</v>
          </cell>
          <cell r="Z136">
            <v>756721</v>
          </cell>
          <cell r="AA136">
            <v>0</v>
          </cell>
          <cell r="AB136">
            <v>0</v>
          </cell>
          <cell r="AD136">
            <v>310348</v>
          </cell>
          <cell r="AE136">
            <v>55990</v>
          </cell>
          <cell r="AF136">
            <v>236518</v>
          </cell>
          <cell r="AG136">
            <v>193741</v>
          </cell>
          <cell r="AH136">
            <v>6172</v>
          </cell>
          <cell r="AI136">
            <v>189321</v>
          </cell>
          <cell r="AJ136">
            <v>470357</v>
          </cell>
          <cell r="AK136">
            <v>0</v>
          </cell>
          <cell r="AL136">
            <v>0</v>
          </cell>
          <cell r="AM136">
            <v>0</v>
          </cell>
          <cell r="AN136">
            <v>201489</v>
          </cell>
          <cell r="AO136">
            <v>2789637</v>
          </cell>
          <cell r="AP136">
            <v>0</v>
          </cell>
          <cell r="AQ136">
            <v>157241558</v>
          </cell>
          <cell r="BV136">
            <v>17129</v>
          </cell>
          <cell r="BW136">
            <v>3666410</v>
          </cell>
          <cell r="BX136">
            <v>1779711</v>
          </cell>
          <cell r="BY136">
            <v>0</v>
          </cell>
          <cell r="BZ136">
            <v>1206119</v>
          </cell>
          <cell r="CM136">
            <v>18738532</v>
          </cell>
          <cell r="CO136">
            <v>14200</v>
          </cell>
          <cell r="CP136">
            <v>0</v>
          </cell>
          <cell r="CQ136">
            <v>0</v>
          </cell>
          <cell r="CR136">
            <v>0</v>
          </cell>
          <cell r="CS136">
            <v>0</v>
          </cell>
          <cell r="CT136">
            <v>0</v>
          </cell>
          <cell r="CV136">
            <v>0</v>
          </cell>
          <cell r="CW136">
            <v>22302569</v>
          </cell>
        </row>
        <row r="137">
          <cell r="A137">
            <v>886</v>
          </cell>
          <cell r="B137">
            <v>338260094</v>
          </cell>
          <cell r="C137">
            <v>10566174</v>
          </cell>
          <cell r="D137">
            <v>25288685</v>
          </cell>
          <cell r="E137">
            <v>2252887</v>
          </cell>
          <cell r="F137">
            <v>12500880</v>
          </cell>
          <cell r="G137">
            <v>4592309</v>
          </cell>
          <cell r="H137">
            <v>250000</v>
          </cell>
          <cell r="I137">
            <v>0</v>
          </cell>
          <cell r="J137">
            <v>0</v>
          </cell>
          <cell r="K137">
            <v>2791382</v>
          </cell>
          <cell r="L137">
            <v>599113</v>
          </cell>
          <cell r="M137">
            <v>2189185</v>
          </cell>
          <cell r="N137">
            <v>377753</v>
          </cell>
          <cell r="O137">
            <v>0</v>
          </cell>
          <cell r="P137">
            <v>3456681</v>
          </cell>
          <cell r="Q137">
            <v>1670151</v>
          </cell>
          <cell r="R137">
            <v>6018726</v>
          </cell>
          <cell r="V137">
            <v>0</v>
          </cell>
          <cell r="Y137">
            <v>0</v>
          </cell>
          <cell r="Z137">
            <v>0</v>
          </cell>
          <cell r="AA137">
            <v>0</v>
          </cell>
          <cell r="AB137">
            <v>45944</v>
          </cell>
          <cell r="AD137">
            <v>627251</v>
          </cell>
          <cell r="AE137">
            <v>120052</v>
          </cell>
          <cell r="AF137">
            <v>0</v>
          </cell>
          <cell r="AG137">
            <v>0</v>
          </cell>
          <cell r="AH137">
            <v>24381</v>
          </cell>
          <cell r="AI137">
            <v>1080969</v>
          </cell>
          <cell r="AJ137">
            <v>2956454</v>
          </cell>
          <cell r="AK137">
            <v>0</v>
          </cell>
          <cell r="AL137">
            <v>0</v>
          </cell>
          <cell r="AM137">
            <v>0</v>
          </cell>
          <cell r="AN137">
            <v>555579</v>
          </cell>
          <cell r="AO137">
            <v>1380000</v>
          </cell>
          <cell r="AP137">
            <v>0</v>
          </cell>
          <cell r="AQ137">
            <v>417604650</v>
          </cell>
          <cell r="BV137">
            <v>0</v>
          </cell>
          <cell r="BW137">
            <v>3868175</v>
          </cell>
          <cell r="BX137">
            <v>7011736</v>
          </cell>
          <cell r="BY137">
            <v>152094</v>
          </cell>
          <cell r="BZ137">
            <v>861572</v>
          </cell>
          <cell r="CM137">
            <v>67510734</v>
          </cell>
          <cell r="CO137">
            <v>0</v>
          </cell>
          <cell r="CP137">
            <v>0</v>
          </cell>
          <cell r="CQ137">
            <v>524556</v>
          </cell>
          <cell r="CR137">
            <v>112585</v>
          </cell>
          <cell r="CS137">
            <v>0</v>
          </cell>
          <cell r="CT137">
            <v>0</v>
          </cell>
          <cell r="CV137">
            <v>0</v>
          </cell>
          <cell r="CW137">
            <v>121732000</v>
          </cell>
        </row>
        <row r="138">
          <cell r="A138">
            <v>887</v>
          </cell>
          <cell r="B138">
            <v>72449465</v>
          </cell>
          <cell r="C138">
            <v>2008702</v>
          </cell>
          <cell r="D138">
            <v>6762171</v>
          </cell>
          <cell r="E138">
            <v>377574</v>
          </cell>
          <cell r="F138">
            <v>2461690</v>
          </cell>
          <cell r="G138">
            <v>431363</v>
          </cell>
          <cell r="H138">
            <v>0</v>
          </cell>
          <cell r="I138">
            <v>324100</v>
          </cell>
          <cell r="J138">
            <v>0</v>
          </cell>
          <cell r="K138">
            <v>72200</v>
          </cell>
          <cell r="L138">
            <v>119000</v>
          </cell>
          <cell r="M138">
            <v>55400</v>
          </cell>
          <cell r="N138">
            <v>309400</v>
          </cell>
          <cell r="O138">
            <v>0</v>
          </cell>
          <cell r="P138">
            <v>1866609</v>
          </cell>
          <cell r="Q138">
            <v>325035</v>
          </cell>
          <cell r="R138">
            <v>302600</v>
          </cell>
          <cell r="V138">
            <v>14400</v>
          </cell>
          <cell r="Y138">
            <v>0</v>
          </cell>
          <cell r="Z138">
            <v>0</v>
          </cell>
          <cell r="AA138">
            <v>0</v>
          </cell>
          <cell r="AB138">
            <v>13000</v>
          </cell>
          <cell r="AD138">
            <v>38400</v>
          </cell>
          <cell r="AE138">
            <v>2100</v>
          </cell>
          <cell r="AF138">
            <v>111300</v>
          </cell>
          <cell r="AG138">
            <v>143500</v>
          </cell>
          <cell r="AH138">
            <v>14400</v>
          </cell>
          <cell r="AI138">
            <v>158200</v>
          </cell>
          <cell r="AJ138">
            <v>799897</v>
          </cell>
          <cell r="AK138">
            <v>0</v>
          </cell>
          <cell r="AL138">
            <v>0</v>
          </cell>
          <cell r="AM138">
            <v>0</v>
          </cell>
          <cell r="AN138">
            <v>108500</v>
          </cell>
          <cell r="AO138">
            <v>304690</v>
          </cell>
          <cell r="AP138">
            <v>0</v>
          </cell>
          <cell r="AQ138">
            <v>89573696</v>
          </cell>
          <cell r="BV138">
            <v>0</v>
          </cell>
          <cell r="BW138">
            <v>931200</v>
          </cell>
          <cell r="BX138">
            <v>571400</v>
          </cell>
          <cell r="BY138">
            <v>116100</v>
          </cell>
          <cell r="BZ138">
            <v>27900</v>
          </cell>
          <cell r="CM138">
            <v>14239034</v>
          </cell>
          <cell r="CO138">
            <v>0</v>
          </cell>
          <cell r="CP138">
            <v>0</v>
          </cell>
          <cell r="CQ138">
            <v>0</v>
          </cell>
          <cell r="CR138">
            <v>0</v>
          </cell>
          <cell r="CS138">
            <v>0</v>
          </cell>
          <cell r="CT138">
            <v>0</v>
          </cell>
          <cell r="CV138">
            <v>0</v>
          </cell>
          <cell r="CW138">
            <v>3837659</v>
          </cell>
        </row>
        <row r="139">
          <cell r="A139">
            <v>888</v>
          </cell>
          <cell r="B139">
            <v>239322938</v>
          </cell>
          <cell r="C139">
            <v>8794656</v>
          </cell>
          <cell r="D139">
            <v>23640942</v>
          </cell>
          <cell r="E139">
            <v>2200000</v>
          </cell>
          <cell r="F139">
            <v>12459998</v>
          </cell>
          <cell r="G139">
            <v>0</v>
          </cell>
          <cell r="H139">
            <v>400000</v>
          </cell>
          <cell r="I139">
            <v>960678</v>
          </cell>
          <cell r="J139">
            <v>0</v>
          </cell>
          <cell r="K139">
            <v>0</v>
          </cell>
          <cell r="L139">
            <v>0</v>
          </cell>
          <cell r="M139">
            <v>164728</v>
          </cell>
          <cell r="N139">
            <v>236240</v>
          </cell>
          <cell r="O139">
            <v>0</v>
          </cell>
          <cell r="P139">
            <v>6584410</v>
          </cell>
          <cell r="Q139">
            <v>3704199</v>
          </cell>
          <cell r="R139">
            <v>180573</v>
          </cell>
          <cell r="V139">
            <v>42360</v>
          </cell>
          <cell r="Y139">
            <v>0</v>
          </cell>
          <cell r="Z139">
            <v>1393822</v>
          </cell>
          <cell r="AA139">
            <v>0</v>
          </cell>
          <cell r="AB139">
            <v>71776</v>
          </cell>
          <cell r="AD139">
            <v>225589</v>
          </cell>
          <cell r="AE139">
            <v>66035</v>
          </cell>
          <cell r="AF139">
            <v>660370</v>
          </cell>
          <cell r="AG139">
            <v>155050</v>
          </cell>
          <cell r="AH139">
            <v>34704</v>
          </cell>
          <cell r="AI139">
            <v>339239</v>
          </cell>
          <cell r="AJ139">
            <v>3735886</v>
          </cell>
          <cell r="AK139">
            <v>430461</v>
          </cell>
          <cell r="AL139">
            <v>0</v>
          </cell>
          <cell r="AM139">
            <v>0</v>
          </cell>
          <cell r="AN139">
            <v>556000</v>
          </cell>
          <cell r="AO139">
            <v>1548197</v>
          </cell>
          <cell r="AP139">
            <v>0</v>
          </cell>
          <cell r="AQ139">
            <v>307908851</v>
          </cell>
          <cell r="BV139">
            <v>534089</v>
          </cell>
          <cell r="BW139">
            <v>4777729</v>
          </cell>
          <cell r="BX139">
            <v>3413810</v>
          </cell>
          <cell r="BY139">
            <v>68917</v>
          </cell>
          <cell r="BZ139">
            <v>0</v>
          </cell>
          <cell r="CM139">
            <v>20142000</v>
          </cell>
          <cell r="CO139">
            <v>79200</v>
          </cell>
          <cell r="CP139">
            <v>0</v>
          </cell>
          <cell r="CQ139">
            <v>0</v>
          </cell>
          <cell r="CR139">
            <v>0</v>
          </cell>
          <cell r="CS139">
            <v>0</v>
          </cell>
          <cell r="CT139">
            <v>0</v>
          </cell>
          <cell r="CV139">
            <v>0</v>
          </cell>
          <cell r="CW139">
            <v>22272000</v>
          </cell>
        </row>
        <row r="140">
          <cell r="A140">
            <v>889</v>
          </cell>
          <cell r="B140">
            <v>32635542</v>
          </cell>
          <cell r="C140">
            <v>910333</v>
          </cell>
          <cell r="D140">
            <v>3962337</v>
          </cell>
          <cell r="E140">
            <v>2995538</v>
          </cell>
          <cell r="F140">
            <v>1424633</v>
          </cell>
          <cell r="G140">
            <v>0</v>
          </cell>
          <cell r="H140">
            <v>0</v>
          </cell>
          <cell r="I140">
            <v>0</v>
          </cell>
          <cell r="J140">
            <v>0</v>
          </cell>
          <cell r="K140">
            <v>256915</v>
          </cell>
          <cell r="L140">
            <v>446622</v>
          </cell>
          <cell r="M140">
            <v>17940</v>
          </cell>
          <cell r="N140">
            <v>157851</v>
          </cell>
          <cell r="O140">
            <v>1223897</v>
          </cell>
          <cell r="P140">
            <v>1418261</v>
          </cell>
          <cell r="Q140">
            <v>356215</v>
          </cell>
          <cell r="R140">
            <v>0</v>
          </cell>
          <cell r="V140">
            <v>19360</v>
          </cell>
          <cell r="Y140">
            <v>0</v>
          </cell>
          <cell r="Z140">
            <v>0</v>
          </cell>
          <cell r="AA140">
            <v>0</v>
          </cell>
          <cell r="AB140">
            <v>0</v>
          </cell>
          <cell r="AD140">
            <v>89019</v>
          </cell>
          <cell r="AE140">
            <v>43214</v>
          </cell>
          <cell r="AF140">
            <v>39267</v>
          </cell>
          <cell r="AG140">
            <v>37834</v>
          </cell>
          <cell r="AH140">
            <v>8469</v>
          </cell>
          <cell r="AI140">
            <v>91129</v>
          </cell>
          <cell r="AJ140">
            <v>178160</v>
          </cell>
          <cell r="AK140">
            <v>0</v>
          </cell>
          <cell r="AL140">
            <v>0</v>
          </cell>
          <cell r="AM140">
            <v>0</v>
          </cell>
          <cell r="AN140">
            <v>0</v>
          </cell>
          <cell r="AO140">
            <v>332000</v>
          </cell>
          <cell r="AP140">
            <v>0</v>
          </cell>
          <cell r="AQ140">
            <v>46644536</v>
          </cell>
          <cell r="BV140">
            <v>143031</v>
          </cell>
          <cell r="BW140">
            <v>202578</v>
          </cell>
          <cell r="BX140">
            <v>0</v>
          </cell>
          <cell r="BY140">
            <v>0</v>
          </cell>
          <cell r="BZ140">
            <v>0</v>
          </cell>
          <cell r="CM140">
            <v>1418946</v>
          </cell>
          <cell r="CO140">
            <v>0</v>
          </cell>
          <cell r="CP140">
            <v>0</v>
          </cell>
          <cell r="CQ140">
            <v>0</v>
          </cell>
          <cell r="CR140">
            <v>0</v>
          </cell>
          <cell r="CS140">
            <v>195000</v>
          </cell>
          <cell r="CT140">
            <v>0</v>
          </cell>
          <cell r="CV140">
            <v>0</v>
          </cell>
          <cell r="CW140">
            <v>2410000</v>
          </cell>
        </row>
        <row r="141">
          <cell r="A141">
            <v>890</v>
          </cell>
          <cell r="B141">
            <v>27273248</v>
          </cell>
          <cell r="C141">
            <v>864723</v>
          </cell>
          <cell r="D141">
            <v>3248726</v>
          </cell>
          <cell r="E141">
            <v>1136894</v>
          </cell>
          <cell r="F141">
            <v>1097964</v>
          </cell>
          <cell r="G141">
            <v>0</v>
          </cell>
          <cell r="H141">
            <v>0</v>
          </cell>
          <cell r="I141">
            <v>648668</v>
          </cell>
          <cell r="J141">
            <v>143336</v>
          </cell>
          <cell r="K141">
            <v>0</v>
          </cell>
          <cell r="L141">
            <v>0</v>
          </cell>
          <cell r="M141">
            <v>179959</v>
          </cell>
          <cell r="N141">
            <v>19547</v>
          </cell>
          <cell r="O141">
            <v>1271163</v>
          </cell>
          <cell r="P141">
            <v>873137</v>
          </cell>
          <cell r="Q141">
            <v>183534</v>
          </cell>
          <cell r="R141">
            <v>91691</v>
          </cell>
          <cell r="V141">
            <v>8559</v>
          </cell>
          <cell r="Y141">
            <v>0</v>
          </cell>
          <cell r="Z141">
            <v>248291</v>
          </cell>
          <cell r="AA141">
            <v>0</v>
          </cell>
          <cell r="AB141">
            <v>0</v>
          </cell>
          <cell r="AD141">
            <v>79579</v>
          </cell>
          <cell r="AE141">
            <v>13484</v>
          </cell>
          <cell r="AF141">
            <v>63944</v>
          </cell>
          <cell r="AG141">
            <v>29788</v>
          </cell>
          <cell r="AH141">
            <v>2010</v>
          </cell>
          <cell r="AI141">
            <v>55109</v>
          </cell>
          <cell r="AJ141">
            <v>126215</v>
          </cell>
          <cell r="AK141">
            <v>0</v>
          </cell>
          <cell r="AL141">
            <v>432923</v>
          </cell>
          <cell r="AM141">
            <v>0</v>
          </cell>
          <cell r="AN141">
            <v>0</v>
          </cell>
          <cell r="AO141">
            <v>144709</v>
          </cell>
          <cell r="AP141">
            <v>0</v>
          </cell>
          <cell r="AQ141">
            <v>38237201</v>
          </cell>
          <cell r="BV141">
            <v>79530</v>
          </cell>
          <cell r="BW141">
            <v>107882</v>
          </cell>
          <cell r="BX141">
            <v>258058</v>
          </cell>
          <cell r="BY141">
            <v>0</v>
          </cell>
          <cell r="BZ141">
            <v>0</v>
          </cell>
          <cell r="CM141">
            <v>689181</v>
          </cell>
          <cell r="CO141">
            <v>0</v>
          </cell>
          <cell r="CP141">
            <v>0</v>
          </cell>
          <cell r="CQ141">
            <v>0</v>
          </cell>
          <cell r="CR141">
            <v>0</v>
          </cell>
          <cell r="CS141">
            <v>447426</v>
          </cell>
          <cell r="CT141">
            <v>0</v>
          </cell>
          <cell r="CV141">
            <v>0</v>
          </cell>
          <cell r="CW141">
            <v>2877000</v>
          </cell>
        </row>
        <row r="142">
          <cell r="A142">
            <v>891</v>
          </cell>
          <cell r="B142">
            <v>188743227</v>
          </cell>
          <cell r="C142">
            <v>5062911</v>
          </cell>
          <cell r="D142">
            <v>12599292</v>
          </cell>
          <cell r="E142">
            <v>340555</v>
          </cell>
          <cell r="F142">
            <v>7512380</v>
          </cell>
          <cell r="G142">
            <v>0</v>
          </cell>
          <cell r="H142">
            <v>75000</v>
          </cell>
          <cell r="I142">
            <v>238083</v>
          </cell>
          <cell r="J142">
            <v>61110</v>
          </cell>
          <cell r="K142">
            <v>414351</v>
          </cell>
          <cell r="L142">
            <v>1671693</v>
          </cell>
          <cell r="M142">
            <v>0</v>
          </cell>
          <cell r="N142">
            <v>0</v>
          </cell>
          <cell r="O142">
            <v>0</v>
          </cell>
          <cell r="P142">
            <v>2802821</v>
          </cell>
          <cell r="Q142">
            <v>983822</v>
          </cell>
          <cell r="R142">
            <v>448950</v>
          </cell>
          <cell r="V142">
            <v>91894</v>
          </cell>
          <cell r="Y142">
            <v>0</v>
          </cell>
          <cell r="Z142">
            <v>0</v>
          </cell>
          <cell r="AA142">
            <v>0</v>
          </cell>
          <cell r="AB142">
            <v>0</v>
          </cell>
          <cell r="AD142">
            <v>266094</v>
          </cell>
          <cell r="AE142">
            <v>20616</v>
          </cell>
          <cell r="AF142">
            <v>0</v>
          </cell>
          <cell r="AG142">
            <v>26463</v>
          </cell>
          <cell r="AH142">
            <v>1412</v>
          </cell>
          <cell r="AI142">
            <v>42009</v>
          </cell>
          <cell r="AJ142">
            <v>957273</v>
          </cell>
          <cell r="AK142">
            <v>0</v>
          </cell>
          <cell r="AL142">
            <v>4143</v>
          </cell>
          <cell r="AM142">
            <v>0</v>
          </cell>
          <cell r="AN142">
            <v>284982</v>
          </cell>
          <cell r="AO142">
            <v>11884730</v>
          </cell>
          <cell r="AP142">
            <v>0</v>
          </cell>
          <cell r="AQ142">
            <v>234533811</v>
          </cell>
          <cell r="BV142">
            <v>61566</v>
          </cell>
          <cell r="BW142">
            <v>0</v>
          </cell>
          <cell r="BX142">
            <v>2417955</v>
          </cell>
          <cell r="BY142">
            <v>0</v>
          </cell>
          <cell r="BZ142">
            <v>0</v>
          </cell>
          <cell r="CM142">
            <v>28629015</v>
          </cell>
          <cell r="CO142">
            <v>0</v>
          </cell>
          <cell r="CP142">
            <v>0</v>
          </cell>
          <cell r="CQ142">
            <v>0</v>
          </cell>
          <cell r="CR142">
            <v>0</v>
          </cell>
          <cell r="CS142">
            <v>0</v>
          </cell>
          <cell r="CT142">
            <v>0</v>
          </cell>
          <cell r="CV142">
            <v>0</v>
          </cell>
          <cell r="CW142">
            <v>11459720</v>
          </cell>
        </row>
        <row r="143">
          <cell r="A143">
            <v>892</v>
          </cell>
          <cell r="B143">
            <v>52645442</v>
          </cell>
          <cell r="C143">
            <v>1756525</v>
          </cell>
          <cell r="D143">
            <v>5796857</v>
          </cell>
          <cell r="E143">
            <v>1937558</v>
          </cell>
          <cell r="F143">
            <v>2001145</v>
          </cell>
          <cell r="G143">
            <v>0</v>
          </cell>
          <cell r="H143">
            <v>0</v>
          </cell>
          <cell r="I143">
            <v>29161</v>
          </cell>
          <cell r="J143">
            <v>37042</v>
          </cell>
          <cell r="K143">
            <v>0</v>
          </cell>
          <cell r="L143">
            <v>322653</v>
          </cell>
          <cell r="M143">
            <v>143494</v>
          </cell>
          <cell r="N143">
            <v>0</v>
          </cell>
          <cell r="O143">
            <v>0</v>
          </cell>
          <cell r="P143">
            <v>711727</v>
          </cell>
          <cell r="Q143">
            <v>1319587</v>
          </cell>
          <cell r="R143">
            <v>958529</v>
          </cell>
          <cell r="V143">
            <v>8486</v>
          </cell>
          <cell r="Y143">
            <v>185642</v>
          </cell>
          <cell r="Z143">
            <v>0</v>
          </cell>
          <cell r="AA143">
            <v>0</v>
          </cell>
          <cell r="AB143">
            <v>17407</v>
          </cell>
          <cell r="AD143">
            <v>109886</v>
          </cell>
          <cell r="AE143">
            <v>0</v>
          </cell>
          <cell r="AF143">
            <v>500000</v>
          </cell>
          <cell r="AG143">
            <v>0</v>
          </cell>
          <cell r="AH143">
            <v>4956</v>
          </cell>
          <cell r="AI143">
            <v>0</v>
          </cell>
          <cell r="AJ143">
            <v>1278779</v>
          </cell>
          <cell r="AK143">
            <v>0</v>
          </cell>
          <cell r="AL143">
            <v>1162432</v>
          </cell>
          <cell r="AM143">
            <v>0</v>
          </cell>
          <cell r="AN143">
            <v>144883</v>
          </cell>
          <cell r="AO143">
            <v>2355220</v>
          </cell>
          <cell r="AP143">
            <v>25000</v>
          </cell>
          <cell r="AQ143">
            <v>73452411</v>
          </cell>
          <cell r="BV143">
            <v>303176</v>
          </cell>
          <cell r="BW143">
            <v>144840</v>
          </cell>
          <cell r="BX143">
            <v>551360</v>
          </cell>
          <cell r="BY143">
            <v>0</v>
          </cell>
          <cell r="BZ143">
            <v>0</v>
          </cell>
          <cell r="CM143">
            <v>2778901</v>
          </cell>
          <cell r="CO143">
            <v>0</v>
          </cell>
          <cell r="CP143">
            <v>0</v>
          </cell>
          <cell r="CQ143">
            <v>0</v>
          </cell>
          <cell r="CR143">
            <v>0</v>
          </cell>
          <cell r="CS143">
            <v>0</v>
          </cell>
          <cell r="CT143">
            <v>174507</v>
          </cell>
          <cell r="CV143">
            <v>0</v>
          </cell>
          <cell r="CW143">
            <v>3607766</v>
          </cell>
        </row>
        <row r="144">
          <cell r="A144">
            <v>893</v>
          </cell>
          <cell r="B144">
            <v>56393259</v>
          </cell>
          <cell r="C144">
            <v>2146417.5</v>
          </cell>
          <cell r="D144">
            <v>4769355</v>
          </cell>
          <cell r="E144">
            <v>286686</v>
          </cell>
          <cell r="F144">
            <v>2856490</v>
          </cell>
          <cell r="G144">
            <v>0</v>
          </cell>
          <cell r="H144">
            <v>0</v>
          </cell>
          <cell r="I144">
            <v>695862</v>
          </cell>
          <cell r="J144">
            <v>100322</v>
          </cell>
          <cell r="K144">
            <v>1243367</v>
          </cell>
          <cell r="L144">
            <v>226829</v>
          </cell>
          <cell r="M144">
            <v>33512</v>
          </cell>
          <cell r="N144">
            <v>150630</v>
          </cell>
          <cell r="O144">
            <v>0</v>
          </cell>
          <cell r="P144">
            <v>383377</v>
          </cell>
          <cell r="Q144">
            <v>28554</v>
          </cell>
          <cell r="R144">
            <v>196816</v>
          </cell>
          <cell r="V144">
            <v>8621</v>
          </cell>
          <cell r="Y144">
            <v>0</v>
          </cell>
          <cell r="Z144">
            <v>2894</v>
          </cell>
          <cell r="AA144">
            <v>25518</v>
          </cell>
          <cell r="AB144">
            <v>0</v>
          </cell>
          <cell r="AD144">
            <v>87639</v>
          </cell>
          <cell r="AE144">
            <v>7655</v>
          </cell>
          <cell r="AF144">
            <v>79934</v>
          </cell>
          <cell r="AG144">
            <v>35359</v>
          </cell>
          <cell r="AH144">
            <v>2517</v>
          </cell>
          <cell r="AI144">
            <v>143433</v>
          </cell>
          <cell r="AJ144">
            <v>432002</v>
          </cell>
          <cell r="AK144">
            <v>0</v>
          </cell>
          <cell r="AL144">
            <v>70726</v>
          </cell>
          <cell r="AM144">
            <v>0</v>
          </cell>
          <cell r="AN144">
            <v>42424</v>
          </cell>
          <cell r="AO144">
            <v>857710</v>
          </cell>
          <cell r="AP144">
            <v>0</v>
          </cell>
          <cell r="AQ144">
            <v>71307908.5</v>
          </cell>
          <cell r="BV144">
            <v>0</v>
          </cell>
          <cell r="BW144">
            <v>280925</v>
          </cell>
          <cell r="BX144">
            <v>3515847</v>
          </cell>
          <cell r="BY144">
            <v>0</v>
          </cell>
          <cell r="BZ144">
            <v>535772</v>
          </cell>
          <cell r="CM144">
            <v>5301756</v>
          </cell>
          <cell r="CO144">
            <v>31220</v>
          </cell>
          <cell r="CP144">
            <v>0</v>
          </cell>
          <cell r="CQ144">
            <v>0</v>
          </cell>
          <cell r="CR144">
            <v>0</v>
          </cell>
          <cell r="CS144">
            <v>0</v>
          </cell>
          <cell r="CT144">
            <v>0</v>
          </cell>
          <cell r="CV144">
            <v>0</v>
          </cell>
          <cell r="CW144">
            <v>3920613</v>
          </cell>
        </row>
        <row r="145">
          <cell r="A145">
            <v>894</v>
          </cell>
          <cell r="B145">
            <v>34837355</v>
          </cell>
          <cell r="C145">
            <v>1289956</v>
          </cell>
          <cell r="D145">
            <v>2757459</v>
          </cell>
          <cell r="E145">
            <v>866657</v>
          </cell>
          <cell r="F145">
            <v>1618034</v>
          </cell>
          <cell r="G145">
            <v>0</v>
          </cell>
          <cell r="H145">
            <v>0</v>
          </cell>
          <cell r="I145">
            <v>333666</v>
          </cell>
          <cell r="J145">
            <v>0</v>
          </cell>
          <cell r="K145">
            <v>0</v>
          </cell>
          <cell r="L145">
            <v>0</v>
          </cell>
          <cell r="M145">
            <v>115941</v>
          </cell>
          <cell r="N145">
            <v>0</v>
          </cell>
          <cell r="O145">
            <v>0</v>
          </cell>
          <cell r="P145">
            <v>651490</v>
          </cell>
          <cell r="Q145">
            <v>366719</v>
          </cell>
          <cell r="R145">
            <v>172585</v>
          </cell>
          <cell r="V145">
            <v>8740</v>
          </cell>
          <cell r="Y145">
            <v>0</v>
          </cell>
          <cell r="Z145">
            <v>82526</v>
          </cell>
          <cell r="AA145">
            <v>0</v>
          </cell>
          <cell r="AB145">
            <v>17756</v>
          </cell>
          <cell r="AD145">
            <v>84766</v>
          </cell>
          <cell r="AE145">
            <v>83581</v>
          </cell>
          <cell r="AF145">
            <v>559195</v>
          </cell>
          <cell r="AG145">
            <v>0</v>
          </cell>
          <cell r="AH145">
            <v>5113</v>
          </cell>
          <cell r="AI145">
            <v>100309</v>
          </cell>
          <cell r="AJ145">
            <v>2070334</v>
          </cell>
          <cell r="AK145">
            <v>0</v>
          </cell>
          <cell r="AL145">
            <v>101006</v>
          </cell>
          <cell r="AM145">
            <v>0</v>
          </cell>
          <cell r="AN145">
            <v>94952</v>
          </cell>
          <cell r="AO145">
            <v>176648</v>
          </cell>
          <cell r="AP145">
            <v>0</v>
          </cell>
          <cell r="AQ145">
            <v>46394788</v>
          </cell>
          <cell r="BV145">
            <v>0</v>
          </cell>
          <cell r="BW145">
            <v>267420</v>
          </cell>
          <cell r="BX145">
            <v>733590</v>
          </cell>
          <cell r="BY145">
            <v>135000</v>
          </cell>
          <cell r="BZ145">
            <v>353000</v>
          </cell>
          <cell r="CM145">
            <v>1867513</v>
          </cell>
          <cell r="CO145">
            <v>0</v>
          </cell>
          <cell r="CP145">
            <v>0</v>
          </cell>
          <cell r="CQ145">
            <v>0</v>
          </cell>
          <cell r="CR145">
            <v>0</v>
          </cell>
          <cell r="CS145">
            <v>0</v>
          </cell>
          <cell r="CT145">
            <v>0</v>
          </cell>
          <cell r="CV145">
            <v>0</v>
          </cell>
          <cell r="CW145">
            <v>2379233</v>
          </cell>
        </row>
        <row r="146">
          <cell r="A146">
            <v>908</v>
          </cell>
          <cell r="B146">
            <v>108374710</v>
          </cell>
          <cell r="C146">
            <v>3265799</v>
          </cell>
          <cell r="D146">
            <v>10577707</v>
          </cell>
          <cell r="E146">
            <v>139916</v>
          </cell>
          <cell r="F146">
            <v>4695138</v>
          </cell>
          <cell r="G146">
            <v>0</v>
          </cell>
          <cell r="H146">
            <v>0</v>
          </cell>
          <cell r="I146">
            <v>661746</v>
          </cell>
          <cell r="J146">
            <v>471742</v>
          </cell>
          <cell r="K146">
            <v>0</v>
          </cell>
          <cell r="L146">
            <v>469325</v>
          </cell>
          <cell r="M146">
            <v>270000</v>
          </cell>
          <cell r="N146">
            <v>658350</v>
          </cell>
          <cell r="O146">
            <v>3562910</v>
          </cell>
          <cell r="P146">
            <v>0</v>
          </cell>
          <cell r="Q146">
            <v>172711</v>
          </cell>
          <cell r="R146">
            <v>0</v>
          </cell>
          <cell r="V146">
            <v>15624</v>
          </cell>
          <cell r="Y146">
            <v>0</v>
          </cell>
          <cell r="Z146">
            <v>0</v>
          </cell>
          <cell r="AA146">
            <v>0</v>
          </cell>
          <cell r="AB146">
            <v>0</v>
          </cell>
          <cell r="AD146">
            <v>235667</v>
          </cell>
          <cell r="AE146">
            <v>78859</v>
          </cell>
          <cell r="AF146">
            <v>110867</v>
          </cell>
          <cell r="AG146">
            <v>70974</v>
          </cell>
          <cell r="AH146">
            <v>8235</v>
          </cell>
          <cell r="AI146">
            <v>219303</v>
          </cell>
          <cell r="AJ146">
            <v>2496893</v>
          </cell>
          <cell r="AK146">
            <v>3535000</v>
          </cell>
          <cell r="AL146">
            <v>239856</v>
          </cell>
          <cell r="AM146">
            <v>0</v>
          </cell>
          <cell r="AN146">
            <v>0</v>
          </cell>
          <cell r="AO146">
            <v>0</v>
          </cell>
          <cell r="AP146">
            <v>0</v>
          </cell>
          <cell r="AQ146">
            <v>140331332</v>
          </cell>
          <cell r="BV146">
            <v>0</v>
          </cell>
          <cell r="BW146">
            <v>0</v>
          </cell>
          <cell r="BX146">
            <v>4843923</v>
          </cell>
          <cell r="BY146">
            <v>0</v>
          </cell>
          <cell r="BZ146">
            <v>390000</v>
          </cell>
          <cell r="CM146">
            <v>12442161</v>
          </cell>
          <cell r="CO146">
            <v>646866</v>
          </cell>
          <cell r="CP146">
            <v>0</v>
          </cell>
          <cell r="CQ146">
            <v>0</v>
          </cell>
          <cell r="CR146">
            <v>0</v>
          </cell>
          <cell r="CS146">
            <v>516260</v>
          </cell>
          <cell r="CT146">
            <v>0</v>
          </cell>
          <cell r="CV146">
            <v>0</v>
          </cell>
          <cell r="CW146">
            <v>20920528</v>
          </cell>
        </row>
        <row r="147">
          <cell r="A147">
            <v>909</v>
          </cell>
          <cell r="B147">
            <v>117622276</v>
          </cell>
          <cell r="C147">
            <v>4259407</v>
          </cell>
          <cell r="D147">
            <v>9535364</v>
          </cell>
          <cell r="E147">
            <v>419260</v>
          </cell>
          <cell r="F147">
            <v>4590244</v>
          </cell>
          <cell r="G147">
            <v>0</v>
          </cell>
          <cell r="H147">
            <v>411000</v>
          </cell>
          <cell r="I147">
            <v>442736</v>
          </cell>
          <cell r="J147">
            <v>66179</v>
          </cell>
          <cell r="K147">
            <v>0</v>
          </cell>
          <cell r="L147">
            <v>329574</v>
          </cell>
          <cell r="M147">
            <v>41217</v>
          </cell>
          <cell r="N147">
            <v>105123</v>
          </cell>
          <cell r="O147">
            <v>0</v>
          </cell>
          <cell r="P147">
            <v>1626282</v>
          </cell>
          <cell r="Q147">
            <v>210555</v>
          </cell>
          <cell r="R147">
            <v>290354</v>
          </cell>
          <cell r="V147">
            <v>38934</v>
          </cell>
          <cell r="Y147">
            <v>0</v>
          </cell>
          <cell r="Z147">
            <v>244549</v>
          </cell>
          <cell r="AA147">
            <v>30000</v>
          </cell>
          <cell r="AB147">
            <v>0</v>
          </cell>
          <cell r="AD147">
            <v>110884</v>
          </cell>
          <cell r="AE147">
            <v>70644</v>
          </cell>
          <cell r="AF147">
            <v>15618</v>
          </cell>
          <cell r="AG147">
            <v>63007</v>
          </cell>
          <cell r="AH147">
            <v>32354</v>
          </cell>
          <cell r="AI147">
            <v>302933</v>
          </cell>
          <cell r="AJ147">
            <v>395544</v>
          </cell>
          <cell r="AK147">
            <v>1094308</v>
          </cell>
          <cell r="AL147">
            <v>0</v>
          </cell>
          <cell r="AM147">
            <v>0</v>
          </cell>
          <cell r="AN147">
            <v>0</v>
          </cell>
          <cell r="AO147">
            <v>1198140</v>
          </cell>
          <cell r="AP147">
            <v>0</v>
          </cell>
          <cell r="AQ147">
            <v>143546486</v>
          </cell>
          <cell r="BV147">
            <v>329622</v>
          </cell>
          <cell r="BW147">
            <v>184817</v>
          </cell>
          <cell r="BX147">
            <v>5267706</v>
          </cell>
          <cell r="BY147">
            <v>104517</v>
          </cell>
          <cell r="BZ147">
            <v>1175489</v>
          </cell>
          <cell r="CM147">
            <v>20742890</v>
          </cell>
          <cell r="CO147">
            <v>0</v>
          </cell>
          <cell r="CP147">
            <v>0</v>
          </cell>
          <cell r="CQ147">
            <v>0</v>
          </cell>
          <cell r="CR147">
            <v>0</v>
          </cell>
          <cell r="CS147">
            <v>0</v>
          </cell>
          <cell r="CT147">
            <v>0</v>
          </cell>
          <cell r="CV147">
            <v>0</v>
          </cell>
          <cell r="CW147">
            <v>7998700</v>
          </cell>
        </row>
        <row r="148">
          <cell r="A148">
            <v>916</v>
          </cell>
          <cell r="B148">
            <v>131288326</v>
          </cell>
          <cell r="C148">
            <v>4383162</v>
          </cell>
          <cell r="D148">
            <v>11345320</v>
          </cell>
          <cell r="E148">
            <v>0</v>
          </cell>
          <cell r="F148">
            <v>5602508</v>
          </cell>
          <cell r="G148">
            <v>0</v>
          </cell>
          <cell r="H148">
            <v>0</v>
          </cell>
          <cell r="I148">
            <v>214150</v>
          </cell>
          <cell r="J148">
            <v>511080</v>
          </cell>
          <cell r="K148">
            <v>0</v>
          </cell>
          <cell r="L148">
            <v>0</v>
          </cell>
          <cell r="M148">
            <v>1816647</v>
          </cell>
          <cell r="N148">
            <v>0</v>
          </cell>
          <cell r="O148">
            <v>0</v>
          </cell>
          <cell r="P148">
            <v>890647</v>
          </cell>
          <cell r="Q148">
            <v>528550</v>
          </cell>
          <cell r="R148">
            <v>2545708</v>
          </cell>
          <cell r="V148">
            <v>0</v>
          </cell>
          <cell r="Y148">
            <v>0</v>
          </cell>
          <cell r="Z148">
            <v>0</v>
          </cell>
          <cell r="AA148">
            <v>0</v>
          </cell>
          <cell r="AB148">
            <v>0</v>
          </cell>
          <cell r="AD148">
            <v>388650</v>
          </cell>
          <cell r="AE148">
            <v>62500</v>
          </cell>
          <cell r="AF148">
            <v>60679</v>
          </cell>
          <cell r="AG148">
            <v>50277</v>
          </cell>
          <cell r="AH148">
            <v>1850</v>
          </cell>
          <cell r="AI148">
            <v>53000</v>
          </cell>
          <cell r="AJ148">
            <v>2353019</v>
          </cell>
          <cell r="AK148">
            <v>0</v>
          </cell>
          <cell r="AL148">
            <v>279197</v>
          </cell>
          <cell r="AM148">
            <v>0</v>
          </cell>
          <cell r="AN148">
            <v>0</v>
          </cell>
          <cell r="AO148">
            <v>4174159</v>
          </cell>
          <cell r="AP148">
            <v>0</v>
          </cell>
          <cell r="AQ148">
            <v>166549429</v>
          </cell>
          <cell r="BV148">
            <v>46075</v>
          </cell>
          <cell r="BW148">
            <v>286972</v>
          </cell>
          <cell r="BX148">
            <v>4588071</v>
          </cell>
          <cell r="BY148">
            <v>0</v>
          </cell>
          <cell r="BZ148">
            <v>733307</v>
          </cell>
          <cell r="CM148">
            <v>25605136</v>
          </cell>
          <cell r="CO148">
            <v>0</v>
          </cell>
          <cell r="CP148">
            <v>0</v>
          </cell>
          <cell r="CQ148">
            <v>0</v>
          </cell>
          <cell r="CR148">
            <v>0</v>
          </cell>
          <cell r="CS148">
            <v>0</v>
          </cell>
          <cell r="CT148">
            <v>0</v>
          </cell>
          <cell r="CV148">
            <v>0</v>
          </cell>
          <cell r="CW148">
            <v>14808000</v>
          </cell>
        </row>
        <row r="149">
          <cell r="A149">
            <v>919</v>
          </cell>
          <cell r="B149">
            <v>273298992</v>
          </cell>
          <cell r="C149">
            <v>8443135</v>
          </cell>
          <cell r="D149">
            <v>21405077</v>
          </cell>
          <cell r="E149">
            <v>0</v>
          </cell>
          <cell r="F149">
            <v>9458630</v>
          </cell>
          <cell r="G149">
            <v>1937911</v>
          </cell>
          <cell r="H149">
            <v>0</v>
          </cell>
          <cell r="I149">
            <v>2593523</v>
          </cell>
          <cell r="J149">
            <v>66920</v>
          </cell>
          <cell r="K149">
            <v>421232</v>
          </cell>
          <cell r="L149">
            <v>608717</v>
          </cell>
          <cell r="M149">
            <v>503780</v>
          </cell>
          <cell r="N149">
            <v>0</v>
          </cell>
          <cell r="O149">
            <v>0</v>
          </cell>
          <cell r="P149">
            <v>2196594</v>
          </cell>
          <cell r="Q149">
            <v>769263</v>
          </cell>
          <cell r="R149">
            <v>2032386</v>
          </cell>
          <cell r="V149">
            <v>25481</v>
          </cell>
          <cell r="Y149">
            <v>16187</v>
          </cell>
          <cell r="Z149">
            <v>0</v>
          </cell>
          <cell r="AA149">
            <v>23754</v>
          </cell>
          <cell r="AB149">
            <v>0</v>
          </cell>
          <cell r="AD149">
            <v>1420847</v>
          </cell>
          <cell r="AE149">
            <v>119448</v>
          </cell>
          <cell r="AF149">
            <v>443314</v>
          </cell>
          <cell r="AG149">
            <v>155842</v>
          </cell>
          <cell r="AH149">
            <v>12439</v>
          </cell>
          <cell r="AI149">
            <v>391969</v>
          </cell>
          <cell r="AJ149">
            <v>151080</v>
          </cell>
          <cell r="AK149">
            <v>2540475</v>
          </cell>
          <cell r="AL149">
            <v>0</v>
          </cell>
          <cell r="AM149">
            <v>0</v>
          </cell>
          <cell r="AN149">
            <v>271985</v>
          </cell>
          <cell r="AO149">
            <v>3278438</v>
          </cell>
          <cell r="AP149">
            <v>0</v>
          </cell>
          <cell r="AQ149">
            <v>332587419</v>
          </cell>
          <cell r="BV149">
            <v>522470</v>
          </cell>
          <cell r="BW149">
            <v>606503</v>
          </cell>
          <cell r="BX149">
            <v>7265624</v>
          </cell>
          <cell r="BY149">
            <v>1124739</v>
          </cell>
          <cell r="BZ149">
            <v>361285</v>
          </cell>
          <cell r="CM149">
            <v>60400830</v>
          </cell>
          <cell r="CO149">
            <v>104952</v>
          </cell>
          <cell r="CP149">
            <v>0</v>
          </cell>
          <cell r="CQ149">
            <v>0</v>
          </cell>
          <cell r="CR149">
            <v>0</v>
          </cell>
          <cell r="CS149">
            <v>0</v>
          </cell>
          <cell r="CT149">
            <v>0</v>
          </cell>
          <cell r="CV149">
            <v>0</v>
          </cell>
          <cell r="CW149">
            <v>33962977</v>
          </cell>
        </row>
        <row r="150">
          <cell r="A150">
            <v>921</v>
          </cell>
          <cell r="B150">
            <v>38083195</v>
          </cell>
          <cell r="C150">
            <v>1897625</v>
          </cell>
          <cell r="D150">
            <v>2014325</v>
          </cell>
          <cell r="E150">
            <v>0</v>
          </cell>
          <cell r="F150">
            <v>1486768</v>
          </cell>
          <cell r="G150">
            <v>197854</v>
          </cell>
          <cell r="H150">
            <v>92000</v>
          </cell>
          <cell r="I150">
            <v>1044161</v>
          </cell>
          <cell r="J150">
            <v>0</v>
          </cell>
          <cell r="K150">
            <v>389983</v>
          </cell>
          <cell r="L150">
            <v>107555</v>
          </cell>
          <cell r="M150">
            <v>34739</v>
          </cell>
          <cell r="N150">
            <v>0</v>
          </cell>
          <cell r="O150">
            <v>0</v>
          </cell>
          <cell r="P150">
            <v>406122</v>
          </cell>
          <cell r="Q150">
            <v>85320</v>
          </cell>
          <cell r="R150">
            <v>97579</v>
          </cell>
          <cell r="V150">
            <v>12411</v>
          </cell>
          <cell r="Y150">
            <v>0</v>
          </cell>
          <cell r="Z150">
            <v>7201</v>
          </cell>
          <cell r="AA150">
            <v>0</v>
          </cell>
          <cell r="AB150">
            <v>21314</v>
          </cell>
          <cell r="AD150">
            <v>124988</v>
          </cell>
          <cell r="AE150">
            <v>13926</v>
          </cell>
          <cell r="AF150">
            <v>0</v>
          </cell>
          <cell r="AG150">
            <v>0</v>
          </cell>
          <cell r="AH150">
            <v>20164</v>
          </cell>
          <cell r="AI150">
            <v>30306</v>
          </cell>
          <cell r="AJ150">
            <v>732952</v>
          </cell>
          <cell r="AK150">
            <v>0</v>
          </cell>
          <cell r="AL150">
            <v>0</v>
          </cell>
          <cell r="AM150">
            <v>0</v>
          </cell>
          <cell r="AN150">
            <v>39778</v>
          </cell>
          <cell r="AO150">
            <v>406783</v>
          </cell>
          <cell r="AP150">
            <v>0</v>
          </cell>
          <cell r="AQ150">
            <v>47347049</v>
          </cell>
          <cell r="BV150">
            <v>0</v>
          </cell>
          <cell r="BW150">
            <v>0</v>
          </cell>
          <cell r="BX150">
            <v>1164420</v>
          </cell>
          <cell r="BY150">
            <v>0</v>
          </cell>
          <cell r="BZ150">
            <v>428915</v>
          </cell>
          <cell r="CM150">
            <v>5853236</v>
          </cell>
          <cell r="CO150">
            <v>200609</v>
          </cell>
          <cell r="CP150">
            <v>0</v>
          </cell>
          <cell r="CQ150">
            <v>0</v>
          </cell>
          <cell r="CR150">
            <v>0</v>
          </cell>
          <cell r="CS150">
            <v>0</v>
          </cell>
          <cell r="CT150">
            <v>0</v>
          </cell>
          <cell r="CV150">
            <v>7820</v>
          </cell>
          <cell r="CW150">
            <v>1949055</v>
          </cell>
        </row>
        <row r="151">
          <cell r="A151">
            <v>925</v>
          </cell>
          <cell r="B151">
            <v>158560447</v>
          </cell>
          <cell r="C151">
            <v>6216960</v>
          </cell>
          <cell r="D151">
            <v>16002940</v>
          </cell>
          <cell r="E151">
            <v>1328453</v>
          </cell>
          <cell r="F151">
            <v>6252912</v>
          </cell>
          <cell r="G151">
            <v>156500</v>
          </cell>
          <cell r="H151">
            <v>0</v>
          </cell>
          <cell r="I151">
            <v>0</v>
          </cell>
          <cell r="J151">
            <v>0</v>
          </cell>
          <cell r="K151">
            <v>507844</v>
          </cell>
          <cell r="L151">
            <v>92664</v>
          </cell>
          <cell r="M151">
            <v>660629</v>
          </cell>
          <cell r="N151">
            <v>258138</v>
          </cell>
          <cell r="O151">
            <v>0</v>
          </cell>
          <cell r="P151">
            <v>2260865</v>
          </cell>
          <cell r="Q151">
            <v>127079</v>
          </cell>
          <cell r="R151">
            <v>547624</v>
          </cell>
          <cell r="V151">
            <v>12576</v>
          </cell>
          <cell r="Y151">
            <v>2037039</v>
          </cell>
          <cell r="Z151">
            <v>431</v>
          </cell>
          <cell r="AA151">
            <v>0</v>
          </cell>
          <cell r="AB151">
            <v>0</v>
          </cell>
          <cell r="AD151">
            <v>309186</v>
          </cell>
          <cell r="AE151">
            <v>5248</v>
          </cell>
          <cell r="AF151">
            <v>0</v>
          </cell>
          <cell r="AG151">
            <v>0</v>
          </cell>
          <cell r="AH151">
            <v>2189</v>
          </cell>
          <cell r="AI151">
            <v>32346</v>
          </cell>
          <cell r="AJ151">
            <v>2081536</v>
          </cell>
          <cell r="AK151">
            <v>505770</v>
          </cell>
          <cell r="AL151">
            <v>147606</v>
          </cell>
          <cell r="AM151">
            <v>0</v>
          </cell>
          <cell r="AN151">
            <v>206463</v>
          </cell>
          <cell r="AO151">
            <v>1810143</v>
          </cell>
          <cell r="AP151">
            <v>0</v>
          </cell>
          <cell r="AQ151">
            <v>200123588</v>
          </cell>
          <cell r="BV151">
            <v>17134</v>
          </cell>
          <cell r="BW151">
            <v>1564973</v>
          </cell>
          <cell r="BX151">
            <v>12331168</v>
          </cell>
          <cell r="BY151">
            <v>372301</v>
          </cell>
          <cell r="BZ151">
            <v>1746361</v>
          </cell>
          <cell r="CM151">
            <v>28699000</v>
          </cell>
          <cell r="CO151">
            <v>0</v>
          </cell>
          <cell r="CP151">
            <v>0</v>
          </cell>
          <cell r="CQ151">
            <v>0</v>
          </cell>
          <cell r="CR151">
            <v>0</v>
          </cell>
          <cell r="CS151">
            <v>0</v>
          </cell>
          <cell r="CT151">
            <v>0</v>
          </cell>
          <cell r="CV151">
            <v>0</v>
          </cell>
          <cell r="CW151">
            <v>14743000</v>
          </cell>
        </row>
        <row r="152">
          <cell r="A152">
            <v>926</v>
          </cell>
          <cell r="B152">
            <v>152567173</v>
          </cell>
          <cell r="C152">
            <v>5366941</v>
          </cell>
          <cell r="D152">
            <v>11437292</v>
          </cell>
          <cell r="E152">
            <v>2466246</v>
          </cell>
          <cell r="F152">
            <v>6871317</v>
          </cell>
          <cell r="G152">
            <v>1586361</v>
          </cell>
          <cell r="H152">
            <v>0</v>
          </cell>
          <cell r="I152">
            <v>0</v>
          </cell>
          <cell r="J152">
            <v>0</v>
          </cell>
          <cell r="K152">
            <v>724084</v>
          </cell>
          <cell r="L152">
            <v>260646</v>
          </cell>
          <cell r="M152">
            <v>11054</v>
          </cell>
          <cell r="N152">
            <v>0</v>
          </cell>
          <cell r="O152">
            <v>0</v>
          </cell>
          <cell r="P152">
            <v>2493701</v>
          </cell>
          <cell r="Q152">
            <v>930769</v>
          </cell>
          <cell r="R152">
            <v>928055</v>
          </cell>
          <cell r="V152">
            <v>10999</v>
          </cell>
          <cell r="Y152">
            <v>0</v>
          </cell>
          <cell r="Z152">
            <v>0</v>
          </cell>
          <cell r="AA152">
            <v>77543</v>
          </cell>
          <cell r="AB152">
            <v>0</v>
          </cell>
          <cell r="AD152">
            <v>264051</v>
          </cell>
          <cell r="AE152">
            <v>26574</v>
          </cell>
          <cell r="AF152">
            <v>181290</v>
          </cell>
          <cell r="AG152">
            <v>22940</v>
          </cell>
          <cell r="AH152">
            <v>7928</v>
          </cell>
          <cell r="AI152">
            <v>626131</v>
          </cell>
          <cell r="AJ152">
            <v>2941225</v>
          </cell>
          <cell r="AK152">
            <v>0</v>
          </cell>
          <cell r="AL152">
            <v>30000</v>
          </cell>
          <cell r="AM152">
            <v>0</v>
          </cell>
          <cell r="AN152">
            <v>365102</v>
          </cell>
          <cell r="AO152">
            <v>2067349</v>
          </cell>
          <cell r="AP152">
            <v>0</v>
          </cell>
          <cell r="AQ152">
            <v>192264771</v>
          </cell>
          <cell r="BV152">
            <v>59243</v>
          </cell>
          <cell r="BW152">
            <v>480435</v>
          </cell>
          <cell r="BX152">
            <v>11086951</v>
          </cell>
          <cell r="BY152">
            <v>739130</v>
          </cell>
          <cell r="BZ152">
            <v>1724637</v>
          </cell>
          <cell r="CM152">
            <v>21875245</v>
          </cell>
          <cell r="CO152">
            <v>0</v>
          </cell>
          <cell r="CP152">
            <v>0</v>
          </cell>
          <cell r="CQ152">
            <v>0</v>
          </cell>
          <cell r="CR152">
            <v>0</v>
          </cell>
          <cell r="CS152">
            <v>0</v>
          </cell>
          <cell r="CT152">
            <v>0</v>
          </cell>
          <cell r="CV152">
            <v>0</v>
          </cell>
          <cell r="CW152">
            <v>10836000</v>
          </cell>
        </row>
        <row r="153">
          <cell r="A153">
            <v>928</v>
          </cell>
          <cell r="B153">
            <v>153961190</v>
          </cell>
          <cell r="C153">
            <v>4532690</v>
          </cell>
          <cell r="D153">
            <v>12169030</v>
          </cell>
          <cell r="E153">
            <v>781270</v>
          </cell>
          <cell r="F153">
            <v>5923910</v>
          </cell>
          <cell r="G153">
            <v>0</v>
          </cell>
          <cell r="H153">
            <v>0</v>
          </cell>
          <cell r="I153">
            <v>723590</v>
          </cell>
          <cell r="J153">
            <v>0</v>
          </cell>
          <cell r="K153">
            <v>0</v>
          </cell>
          <cell r="L153">
            <v>643300</v>
          </cell>
          <cell r="M153">
            <v>19190</v>
          </cell>
          <cell r="N153">
            <v>0</v>
          </cell>
          <cell r="O153">
            <v>0</v>
          </cell>
          <cell r="P153">
            <v>2621630</v>
          </cell>
          <cell r="Q153">
            <v>63120</v>
          </cell>
          <cell r="R153">
            <v>176490</v>
          </cell>
          <cell r="V153">
            <v>11610</v>
          </cell>
          <cell r="Y153">
            <v>0</v>
          </cell>
          <cell r="Z153">
            <v>0</v>
          </cell>
          <cell r="AA153">
            <v>0</v>
          </cell>
          <cell r="AB153">
            <v>0</v>
          </cell>
          <cell r="AD153">
            <v>162420</v>
          </cell>
          <cell r="AE153">
            <v>60860</v>
          </cell>
          <cell r="AF153">
            <v>1352190</v>
          </cell>
          <cell r="AG153">
            <v>518000</v>
          </cell>
          <cell r="AH153">
            <v>2340</v>
          </cell>
          <cell r="AI153">
            <v>120570</v>
          </cell>
          <cell r="AJ153">
            <v>1268390</v>
          </cell>
          <cell r="AK153">
            <v>0</v>
          </cell>
          <cell r="AL153">
            <v>149700</v>
          </cell>
          <cell r="AM153">
            <v>0</v>
          </cell>
          <cell r="AN153">
            <v>264980</v>
          </cell>
          <cell r="AO153">
            <v>1201070</v>
          </cell>
          <cell r="AP153">
            <v>0</v>
          </cell>
          <cell r="AQ153">
            <v>186727540</v>
          </cell>
          <cell r="BV153">
            <v>0</v>
          </cell>
          <cell r="BW153">
            <v>1971410</v>
          </cell>
          <cell r="BX153">
            <v>3388150</v>
          </cell>
          <cell r="BY153">
            <v>689310</v>
          </cell>
          <cell r="BZ153">
            <v>0</v>
          </cell>
          <cell r="CM153">
            <v>25824220</v>
          </cell>
          <cell r="CO153">
            <v>0</v>
          </cell>
          <cell r="CP153">
            <v>0</v>
          </cell>
          <cell r="CQ153">
            <v>0</v>
          </cell>
          <cell r="CR153">
            <v>0</v>
          </cell>
          <cell r="CS153">
            <v>0</v>
          </cell>
          <cell r="CT153">
            <v>0</v>
          </cell>
          <cell r="CV153">
            <v>0</v>
          </cell>
          <cell r="CW153">
            <v>13145000</v>
          </cell>
        </row>
        <row r="154">
          <cell r="A154">
            <v>929</v>
          </cell>
          <cell r="B154">
            <v>90464750</v>
          </cell>
          <cell r="C154">
            <v>5350584</v>
          </cell>
          <cell r="D154">
            <v>7939850</v>
          </cell>
          <cell r="E154">
            <v>1106190</v>
          </cell>
          <cell r="F154">
            <v>4408940</v>
          </cell>
          <cell r="G154">
            <v>0</v>
          </cell>
          <cell r="H154">
            <v>0</v>
          </cell>
          <cell r="I154">
            <v>565700</v>
          </cell>
          <cell r="J154">
            <v>93770</v>
          </cell>
          <cell r="K154">
            <v>0</v>
          </cell>
          <cell r="L154">
            <v>0</v>
          </cell>
          <cell r="M154">
            <v>0</v>
          </cell>
          <cell r="N154">
            <v>276230</v>
          </cell>
          <cell r="O154">
            <v>0</v>
          </cell>
          <cell r="P154">
            <v>268910</v>
          </cell>
          <cell r="Q154">
            <v>121570</v>
          </cell>
          <cell r="R154">
            <v>1092210</v>
          </cell>
          <cell r="V154">
            <v>15680</v>
          </cell>
          <cell r="Y154">
            <v>9670</v>
          </cell>
          <cell r="Z154">
            <v>0</v>
          </cell>
          <cell r="AA154">
            <v>0</v>
          </cell>
          <cell r="AB154">
            <v>0</v>
          </cell>
          <cell r="AD154">
            <v>108500</v>
          </cell>
          <cell r="AE154">
            <v>8510</v>
          </cell>
          <cell r="AF154">
            <v>158850</v>
          </cell>
          <cell r="AG154">
            <v>0</v>
          </cell>
          <cell r="AH154">
            <v>4500</v>
          </cell>
          <cell r="AI154">
            <v>34010</v>
          </cell>
          <cell r="AJ154">
            <v>5159460</v>
          </cell>
          <cell r="AK154">
            <v>578080</v>
          </cell>
          <cell r="AL154">
            <v>191590</v>
          </cell>
          <cell r="AM154">
            <v>0</v>
          </cell>
          <cell r="AN154">
            <v>106690</v>
          </cell>
          <cell r="AO154">
            <v>0</v>
          </cell>
          <cell r="AP154">
            <v>0</v>
          </cell>
          <cell r="AQ154">
            <v>118064244</v>
          </cell>
          <cell r="BV154">
            <v>0</v>
          </cell>
          <cell r="BW154">
            <v>0</v>
          </cell>
          <cell r="BX154">
            <v>4166200</v>
          </cell>
          <cell r="BY154">
            <v>0</v>
          </cell>
          <cell r="BZ154">
            <v>1118880</v>
          </cell>
          <cell r="CM154">
            <v>18130100</v>
          </cell>
          <cell r="CO154">
            <v>375440</v>
          </cell>
          <cell r="CP154">
            <v>0</v>
          </cell>
          <cell r="CQ154">
            <v>0</v>
          </cell>
          <cell r="CR154">
            <v>0</v>
          </cell>
          <cell r="CS154">
            <v>0</v>
          </cell>
          <cell r="CT154">
            <v>0</v>
          </cell>
          <cell r="CV154">
            <v>0</v>
          </cell>
          <cell r="CW154">
            <v>11261180</v>
          </cell>
        </row>
        <row r="155">
          <cell r="A155">
            <v>931</v>
          </cell>
          <cell r="B155">
            <v>125559200</v>
          </cell>
          <cell r="C155">
            <v>3665444</v>
          </cell>
          <cell r="D155">
            <v>8327263</v>
          </cell>
          <cell r="E155">
            <v>328374</v>
          </cell>
          <cell r="F155">
            <v>3725418</v>
          </cell>
          <cell r="G155">
            <v>1184545</v>
          </cell>
          <cell r="H155">
            <v>0</v>
          </cell>
          <cell r="I155">
            <v>1028728</v>
          </cell>
          <cell r="J155">
            <v>2296</v>
          </cell>
          <cell r="K155">
            <v>1186020</v>
          </cell>
          <cell r="L155">
            <v>447969</v>
          </cell>
          <cell r="M155">
            <v>529299</v>
          </cell>
          <cell r="N155">
            <v>4297</v>
          </cell>
          <cell r="O155">
            <v>2155523</v>
          </cell>
          <cell r="P155">
            <v>877730</v>
          </cell>
          <cell r="Q155">
            <v>267290</v>
          </cell>
          <cell r="R155">
            <v>468193</v>
          </cell>
          <cell r="V155">
            <v>0</v>
          </cell>
          <cell r="Y155">
            <v>0</v>
          </cell>
          <cell r="Z155">
            <v>28801</v>
          </cell>
          <cell r="AA155">
            <v>390</v>
          </cell>
          <cell r="AB155">
            <v>0</v>
          </cell>
          <cell r="AD155">
            <v>188333</v>
          </cell>
          <cell r="AE155">
            <v>59509</v>
          </cell>
          <cell r="AF155">
            <v>91694</v>
          </cell>
          <cell r="AG155">
            <v>49492</v>
          </cell>
          <cell r="AH155">
            <v>4076</v>
          </cell>
          <cell r="AI155">
            <v>0</v>
          </cell>
          <cell r="AJ155">
            <v>3384613</v>
          </cell>
          <cell r="AK155">
            <v>0</v>
          </cell>
          <cell r="AL155">
            <v>0</v>
          </cell>
          <cell r="AM155">
            <v>0</v>
          </cell>
          <cell r="AN155">
            <v>177093</v>
          </cell>
          <cell r="AO155">
            <v>3493022</v>
          </cell>
          <cell r="AP155">
            <v>0</v>
          </cell>
          <cell r="AQ155">
            <v>157234612</v>
          </cell>
          <cell r="BV155">
            <v>7019</v>
          </cell>
          <cell r="BW155">
            <v>2067600</v>
          </cell>
          <cell r="BX155">
            <v>3475997</v>
          </cell>
          <cell r="BY155">
            <v>632270</v>
          </cell>
          <cell r="BZ155">
            <v>192874</v>
          </cell>
          <cell r="CM155">
            <v>22239000</v>
          </cell>
          <cell r="CO155">
            <v>170500</v>
          </cell>
          <cell r="CP155">
            <v>0</v>
          </cell>
          <cell r="CQ155">
            <v>0</v>
          </cell>
          <cell r="CR155">
            <v>0</v>
          </cell>
          <cell r="CS155">
            <v>267800</v>
          </cell>
          <cell r="CT155">
            <v>0</v>
          </cell>
          <cell r="CV155">
            <v>0</v>
          </cell>
          <cell r="CW155">
            <v>22277000</v>
          </cell>
        </row>
        <row r="156">
          <cell r="A156">
            <v>933</v>
          </cell>
          <cell r="B156">
            <v>102748745</v>
          </cell>
          <cell r="C156">
            <v>3886460</v>
          </cell>
          <cell r="D156">
            <v>8550654</v>
          </cell>
          <cell r="E156">
            <v>335512</v>
          </cell>
          <cell r="F156">
            <v>4735798</v>
          </cell>
          <cell r="G156">
            <v>736678</v>
          </cell>
          <cell r="H156">
            <v>0</v>
          </cell>
          <cell r="I156">
            <v>973828</v>
          </cell>
          <cell r="J156">
            <v>77229</v>
          </cell>
          <cell r="K156">
            <v>271671</v>
          </cell>
          <cell r="L156">
            <v>271671</v>
          </cell>
          <cell r="M156">
            <v>140516</v>
          </cell>
          <cell r="N156">
            <v>110400</v>
          </cell>
          <cell r="O156">
            <v>0</v>
          </cell>
          <cell r="P156">
            <v>1141862</v>
          </cell>
          <cell r="Q156">
            <v>316950</v>
          </cell>
          <cell r="R156">
            <v>544745</v>
          </cell>
          <cell r="V156">
            <v>6201</v>
          </cell>
          <cell r="Y156">
            <v>0</v>
          </cell>
          <cell r="Z156">
            <v>442632</v>
          </cell>
          <cell r="AA156">
            <v>0</v>
          </cell>
          <cell r="AB156">
            <v>0</v>
          </cell>
          <cell r="AD156">
            <v>124308</v>
          </cell>
          <cell r="AE156">
            <v>136351</v>
          </cell>
          <cell r="AF156">
            <v>24390</v>
          </cell>
          <cell r="AG156">
            <v>0</v>
          </cell>
          <cell r="AH156">
            <v>8658</v>
          </cell>
          <cell r="AI156">
            <v>388547</v>
          </cell>
          <cell r="AJ156">
            <v>367660</v>
          </cell>
          <cell r="AK156">
            <v>0</v>
          </cell>
          <cell r="AL156">
            <v>0</v>
          </cell>
          <cell r="AM156">
            <v>0</v>
          </cell>
          <cell r="AN156">
            <v>0</v>
          </cell>
          <cell r="AO156">
            <v>1315699</v>
          </cell>
          <cell r="AP156">
            <v>0</v>
          </cell>
          <cell r="AQ156">
            <v>127657165</v>
          </cell>
          <cell r="BV156">
            <v>0</v>
          </cell>
          <cell r="BW156">
            <v>323456</v>
          </cell>
          <cell r="BX156">
            <v>6390042</v>
          </cell>
          <cell r="BY156">
            <v>0</v>
          </cell>
          <cell r="BZ156">
            <v>681405</v>
          </cell>
          <cell r="CM156">
            <v>7695765</v>
          </cell>
          <cell r="CO156">
            <v>0</v>
          </cell>
          <cell r="CP156">
            <v>0</v>
          </cell>
          <cell r="CQ156">
            <v>0</v>
          </cell>
          <cell r="CR156">
            <v>0</v>
          </cell>
          <cell r="CS156">
            <v>0</v>
          </cell>
          <cell r="CT156">
            <v>0</v>
          </cell>
          <cell r="CV156">
            <v>0</v>
          </cell>
          <cell r="CW156">
            <v>18047782</v>
          </cell>
        </row>
        <row r="157">
          <cell r="A157">
            <v>935</v>
          </cell>
          <cell r="B157">
            <v>170885079</v>
          </cell>
          <cell r="C157">
            <v>7319731</v>
          </cell>
          <cell r="D157">
            <v>11631159</v>
          </cell>
          <cell r="E157">
            <v>0</v>
          </cell>
          <cell r="F157">
            <v>7568157</v>
          </cell>
          <cell r="G157">
            <v>44517</v>
          </cell>
          <cell r="H157">
            <v>0</v>
          </cell>
          <cell r="I157">
            <v>0</v>
          </cell>
          <cell r="J157">
            <v>0</v>
          </cell>
          <cell r="K157">
            <v>670866</v>
          </cell>
          <cell r="L157">
            <v>412247</v>
          </cell>
          <cell r="M157">
            <v>51345</v>
          </cell>
          <cell r="N157">
            <v>0</v>
          </cell>
          <cell r="O157">
            <v>0</v>
          </cell>
          <cell r="P157">
            <v>1700848</v>
          </cell>
          <cell r="Q157">
            <v>544252</v>
          </cell>
          <cell r="R157">
            <v>1298828</v>
          </cell>
          <cell r="V157">
            <v>28159</v>
          </cell>
          <cell r="Y157">
            <v>0</v>
          </cell>
          <cell r="Z157">
            <v>0</v>
          </cell>
          <cell r="AA157">
            <v>0</v>
          </cell>
          <cell r="AB157">
            <v>0</v>
          </cell>
          <cell r="AD157">
            <v>202092</v>
          </cell>
          <cell r="AE157">
            <v>55145</v>
          </cell>
          <cell r="AF157">
            <v>75800</v>
          </cell>
          <cell r="AG157">
            <v>30320</v>
          </cell>
          <cell r="AH157">
            <v>3980</v>
          </cell>
          <cell r="AI157">
            <v>52567</v>
          </cell>
          <cell r="AJ157">
            <v>248168</v>
          </cell>
          <cell r="AK157">
            <v>0</v>
          </cell>
          <cell r="AL157">
            <v>0</v>
          </cell>
          <cell r="AM157">
            <v>0</v>
          </cell>
          <cell r="AN157">
            <v>0</v>
          </cell>
          <cell r="AO157">
            <v>0</v>
          </cell>
          <cell r="AP157">
            <v>0</v>
          </cell>
          <cell r="AQ157">
            <v>202823260</v>
          </cell>
          <cell r="BV157">
            <v>81949</v>
          </cell>
          <cell r="BW157">
            <v>1853377</v>
          </cell>
          <cell r="BX157">
            <v>3613606</v>
          </cell>
          <cell r="BY157">
            <v>0</v>
          </cell>
          <cell r="BZ157">
            <v>533924</v>
          </cell>
          <cell r="CM157">
            <v>27522900</v>
          </cell>
          <cell r="CO157">
            <v>0</v>
          </cell>
          <cell r="CP157">
            <v>0</v>
          </cell>
          <cell r="CQ157">
            <v>175100</v>
          </cell>
          <cell r="CR157">
            <v>0</v>
          </cell>
          <cell r="CS157">
            <v>0</v>
          </cell>
          <cell r="CT157">
            <v>0</v>
          </cell>
          <cell r="CV157">
            <v>0</v>
          </cell>
          <cell r="CW157">
            <v>15872600</v>
          </cell>
        </row>
        <row r="158">
          <cell r="A158">
            <v>936</v>
          </cell>
          <cell r="B158">
            <v>196470171</v>
          </cell>
          <cell r="C158">
            <v>5711294</v>
          </cell>
          <cell r="D158">
            <v>10676886</v>
          </cell>
          <cell r="E158">
            <v>0</v>
          </cell>
          <cell r="F158">
            <v>6274589</v>
          </cell>
          <cell r="G158">
            <v>0</v>
          </cell>
          <cell r="H158">
            <v>0</v>
          </cell>
          <cell r="I158">
            <v>563375</v>
          </cell>
          <cell r="J158">
            <v>0</v>
          </cell>
          <cell r="K158">
            <v>434151</v>
          </cell>
          <cell r="L158">
            <v>556230</v>
          </cell>
          <cell r="M158">
            <v>84750</v>
          </cell>
          <cell r="N158">
            <v>306295</v>
          </cell>
          <cell r="O158">
            <v>0</v>
          </cell>
          <cell r="P158">
            <v>3094702</v>
          </cell>
          <cell r="Q158">
            <v>535888</v>
          </cell>
          <cell r="R158">
            <v>832451</v>
          </cell>
          <cell r="V158">
            <v>0</v>
          </cell>
          <cell r="Y158">
            <v>14346</v>
          </cell>
          <cell r="Z158">
            <v>0</v>
          </cell>
          <cell r="AA158">
            <v>0</v>
          </cell>
          <cell r="AB158">
            <v>0</v>
          </cell>
          <cell r="AD158">
            <v>389828</v>
          </cell>
          <cell r="AE158">
            <v>124123</v>
          </cell>
          <cell r="AF158">
            <v>279832</v>
          </cell>
          <cell r="AG158">
            <v>148410</v>
          </cell>
          <cell r="AH158">
            <v>6954</v>
          </cell>
          <cell r="AI158">
            <v>196113</v>
          </cell>
          <cell r="AJ158">
            <v>1635276</v>
          </cell>
          <cell r="AK158">
            <v>0</v>
          </cell>
          <cell r="AL158">
            <v>0</v>
          </cell>
          <cell r="AM158">
            <v>0</v>
          </cell>
          <cell r="AN158">
            <v>153314</v>
          </cell>
          <cell r="AO158">
            <v>1674831</v>
          </cell>
          <cell r="AP158">
            <v>0</v>
          </cell>
          <cell r="AQ158">
            <v>230163809</v>
          </cell>
          <cell r="BV158">
            <v>9214</v>
          </cell>
          <cell r="BW158">
            <v>1707178</v>
          </cell>
          <cell r="BX158">
            <v>6250513</v>
          </cell>
          <cell r="BY158">
            <v>518455</v>
          </cell>
          <cell r="BZ158">
            <v>364328</v>
          </cell>
          <cell r="CM158">
            <v>31096865</v>
          </cell>
          <cell r="CO158">
            <v>0</v>
          </cell>
          <cell r="CP158">
            <v>0</v>
          </cell>
          <cell r="CQ158">
            <v>0</v>
          </cell>
          <cell r="CR158">
            <v>0</v>
          </cell>
          <cell r="CS158">
            <v>0</v>
          </cell>
          <cell r="CT158">
            <v>0</v>
          </cell>
          <cell r="CV158">
            <v>0</v>
          </cell>
          <cell r="CW158">
            <v>14999361</v>
          </cell>
        </row>
        <row r="159">
          <cell r="A159">
            <v>937</v>
          </cell>
          <cell r="B159">
            <v>107867315</v>
          </cell>
          <cell r="C159">
            <v>3806201</v>
          </cell>
          <cell r="D159">
            <v>4115003</v>
          </cell>
          <cell r="E159">
            <v>0</v>
          </cell>
          <cell r="F159">
            <v>0</v>
          </cell>
          <cell r="G159">
            <v>0</v>
          </cell>
          <cell r="H159">
            <v>200098</v>
          </cell>
          <cell r="I159">
            <v>900434</v>
          </cell>
          <cell r="J159">
            <v>0</v>
          </cell>
          <cell r="K159">
            <v>44291</v>
          </cell>
          <cell r="L159">
            <v>1020014</v>
          </cell>
          <cell r="M159">
            <v>13008</v>
          </cell>
          <cell r="N159">
            <v>0</v>
          </cell>
          <cell r="O159">
            <v>0</v>
          </cell>
          <cell r="P159">
            <v>1373105</v>
          </cell>
          <cell r="Q159">
            <v>3823</v>
          </cell>
          <cell r="R159">
            <v>237355</v>
          </cell>
          <cell r="V159">
            <v>19937</v>
          </cell>
          <cell r="Y159">
            <v>0</v>
          </cell>
          <cell r="Z159">
            <v>16491</v>
          </cell>
          <cell r="AA159">
            <v>10005</v>
          </cell>
          <cell r="AB159">
            <v>0</v>
          </cell>
          <cell r="AD159">
            <v>151472</v>
          </cell>
          <cell r="AE159">
            <v>39449</v>
          </cell>
          <cell r="AF159">
            <v>345214</v>
          </cell>
          <cell r="AG159">
            <v>105467</v>
          </cell>
          <cell r="AH159">
            <v>20010</v>
          </cell>
          <cell r="AI159">
            <v>295273</v>
          </cell>
          <cell r="AJ159">
            <v>338369</v>
          </cell>
          <cell r="AK159">
            <v>0</v>
          </cell>
          <cell r="AL159">
            <v>0</v>
          </cell>
          <cell r="AM159">
            <v>0</v>
          </cell>
          <cell r="AN159">
            <v>4276390</v>
          </cell>
          <cell r="AO159">
            <v>1749890</v>
          </cell>
          <cell r="AP159">
            <v>0</v>
          </cell>
          <cell r="AQ159">
            <v>126948614</v>
          </cell>
          <cell r="BV159">
            <v>0</v>
          </cell>
          <cell r="BW159">
            <v>897770</v>
          </cell>
          <cell r="BX159">
            <v>4922958</v>
          </cell>
          <cell r="BY159">
            <v>150992</v>
          </cell>
          <cell r="BZ159">
            <v>1107208</v>
          </cell>
          <cell r="CM159">
            <v>16448521</v>
          </cell>
          <cell r="CO159">
            <v>0</v>
          </cell>
          <cell r="CP159">
            <v>0</v>
          </cell>
          <cell r="CQ159">
            <v>0</v>
          </cell>
          <cell r="CR159">
            <v>0</v>
          </cell>
          <cell r="CS159">
            <v>0</v>
          </cell>
          <cell r="CT159">
            <v>0</v>
          </cell>
          <cell r="CV159">
            <v>0</v>
          </cell>
          <cell r="CW159">
            <v>11604810</v>
          </cell>
        </row>
        <row r="160">
          <cell r="A160">
            <v>938</v>
          </cell>
          <cell r="B160">
            <v>153474661</v>
          </cell>
          <cell r="C160">
            <v>4374422</v>
          </cell>
          <cell r="D160">
            <v>8821834</v>
          </cell>
          <cell r="E160">
            <v>0</v>
          </cell>
          <cell r="F160">
            <v>6168231</v>
          </cell>
          <cell r="G160">
            <v>1322990</v>
          </cell>
          <cell r="H160">
            <v>677890</v>
          </cell>
          <cell r="I160">
            <v>1681131</v>
          </cell>
          <cell r="J160">
            <v>833522</v>
          </cell>
          <cell r="K160">
            <v>0</v>
          </cell>
          <cell r="L160">
            <v>0</v>
          </cell>
          <cell r="M160">
            <v>784572</v>
          </cell>
          <cell r="N160">
            <v>0</v>
          </cell>
          <cell r="O160">
            <v>0</v>
          </cell>
          <cell r="P160">
            <v>1230129</v>
          </cell>
          <cell r="Q160">
            <v>286889</v>
          </cell>
          <cell r="R160">
            <v>1204997</v>
          </cell>
          <cell r="V160">
            <v>18609</v>
          </cell>
          <cell r="Y160">
            <v>36202</v>
          </cell>
          <cell r="Z160">
            <v>0</v>
          </cell>
          <cell r="AA160">
            <v>0</v>
          </cell>
          <cell r="AB160">
            <v>0</v>
          </cell>
          <cell r="AD160">
            <v>375660</v>
          </cell>
          <cell r="AE160">
            <v>147830</v>
          </cell>
          <cell r="AF160">
            <v>99356</v>
          </cell>
          <cell r="AG160">
            <v>0</v>
          </cell>
          <cell r="AH160">
            <v>21751</v>
          </cell>
          <cell r="AI160">
            <v>85744</v>
          </cell>
          <cell r="AJ160">
            <v>261865</v>
          </cell>
          <cell r="AK160">
            <v>0</v>
          </cell>
          <cell r="AL160">
            <v>0</v>
          </cell>
          <cell r="AM160">
            <v>0</v>
          </cell>
          <cell r="AN160">
            <v>0</v>
          </cell>
          <cell r="AO160">
            <v>3729199</v>
          </cell>
          <cell r="AP160">
            <v>0</v>
          </cell>
          <cell r="AQ160">
            <v>185637484</v>
          </cell>
          <cell r="BV160">
            <v>64249</v>
          </cell>
          <cell r="BW160">
            <v>4849457</v>
          </cell>
          <cell r="BX160">
            <v>0</v>
          </cell>
          <cell r="BY160">
            <v>0</v>
          </cell>
          <cell r="BZ160">
            <v>0</v>
          </cell>
          <cell r="CM160">
            <v>20424500</v>
          </cell>
          <cell r="CO160">
            <v>0</v>
          </cell>
          <cell r="CP160">
            <v>0</v>
          </cell>
          <cell r="CQ160">
            <v>0</v>
          </cell>
          <cell r="CR160">
            <v>0</v>
          </cell>
          <cell r="CS160">
            <v>0</v>
          </cell>
          <cell r="CT160">
            <v>0</v>
          </cell>
          <cell r="CV160">
            <v>6163768</v>
          </cell>
          <cell r="CW160">
            <v>52978</v>
          </cell>
        </row>
        <row r="161">
          <cell r="A161" t="str">
            <v>Grand Total</v>
          </cell>
          <cell r="B161">
            <v>11238835542.08</v>
          </cell>
          <cell r="C161">
            <v>350334011.88</v>
          </cell>
          <cell r="D161">
            <v>982998925.61000001</v>
          </cell>
          <cell r="E161">
            <v>189900332</v>
          </cell>
          <cell r="F161">
            <v>446711994.17000002</v>
          </cell>
          <cell r="G161">
            <v>30036189</v>
          </cell>
          <cell r="H161">
            <v>9403061</v>
          </cell>
          <cell r="I161">
            <v>74369457.75999999</v>
          </cell>
          <cell r="J161">
            <v>14917331.359999999</v>
          </cell>
          <cell r="K161">
            <v>28128392</v>
          </cell>
          <cell r="L161">
            <v>24496494</v>
          </cell>
          <cell r="M161">
            <v>18748016.009999998</v>
          </cell>
          <cell r="N161">
            <v>21190057.640000001</v>
          </cell>
          <cell r="O161">
            <v>23789379</v>
          </cell>
          <cell r="P161">
            <v>187869918.13</v>
          </cell>
          <cell r="Q161">
            <v>46576410</v>
          </cell>
          <cell r="R161">
            <v>71078095.479999989</v>
          </cell>
          <cell r="V161">
            <v>2269484.9500000002</v>
          </cell>
          <cell r="Y161">
            <v>7464371</v>
          </cell>
          <cell r="Z161">
            <v>14745342.48</v>
          </cell>
          <cell r="AA161">
            <v>994697</v>
          </cell>
          <cell r="AB161">
            <v>968523</v>
          </cell>
          <cell r="AD161">
            <v>23891750.800000001</v>
          </cell>
          <cell r="AE161">
            <v>4710173.6399999997</v>
          </cell>
          <cell r="AF161">
            <v>24656930</v>
          </cell>
          <cell r="AG161">
            <v>8209246.3600000003</v>
          </cell>
          <cell r="AH161">
            <v>1143432.8600000001</v>
          </cell>
          <cell r="AI161">
            <v>21534980.34</v>
          </cell>
          <cell r="AJ161">
            <v>155596720.56999999</v>
          </cell>
          <cell r="AK161">
            <v>61191648</v>
          </cell>
          <cell r="AL161">
            <v>33394087.099999998</v>
          </cell>
          <cell r="AM161">
            <v>108374</v>
          </cell>
          <cell r="AN161">
            <v>27222546</v>
          </cell>
          <cell r="AO161">
            <v>143716434.44</v>
          </cell>
          <cell r="AP161">
            <v>35000</v>
          </cell>
          <cell r="AQ161">
            <v>14291237349.630001</v>
          </cell>
          <cell r="BV161">
            <v>12445768</v>
          </cell>
          <cell r="BW161">
            <v>70430576</v>
          </cell>
          <cell r="BX161">
            <v>229881903</v>
          </cell>
          <cell r="BY161">
            <v>10341136</v>
          </cell>
          <cell r="BZ161">
            <v>33061129.800000001</v>
          </cell>
          <cell r="CM161">
            <v>1576454035</v>
          </cell>
          <cell r="CO161">
            <v>5714048</v>
          </cell>
          <cell r="CP161">
            <v>554498</v>
          </cell>
          <cell r="CQ161">
            <v>2008136</v>
          </cell>
          <cell r="CR161">
            <v>210831</v>
          </cell>
          <cell r="CS161">
            <v>3535261</v>
          </cell>
          <cell r="CT161">
            <v>1044456</v>
          </cell>
          <cell r="CV161">
            <v>8022761</v>
          </cell>
          <cell r="CW161">
            <v>1177262777.5700002</v>
          </cell>
        </row>
      </sheetData>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LS info"/>
      <sheetName val="Holdback- all LEAs"/>
      <sheetName val="LEA Summary"/>
      <sheetName val="FTEall"/>
      <sheetName val="SEN"/>
      <sheetName val="S52 Gross"/>
      <sheetName val="S52 Sec"/>
      <sheetName val="Section52"/>
      <sheetName val="Thres T"/>
      <sheetName val="Thres G"/>
      <sheetName val="2005-06 SFG"/>
      <sheetName val="Grants pro rated"/>
      <sheetName val="Grant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PupilDataChecking_925"/>
      <sheetName val="PlaceDataChecking_925 (12-13)"/>
      <sheetName val="HopsitalSchoolData_925"/>
      <sheetName val="PlaceDataChecking_925 (13-14)"/>
      <sheetName val="CodeSet"/>
    </sheetNames>
    <sheetDataSet>
      <sheetData sheetId="0" refreshError="1"/>
      <sheetData sheetId="1" refreshError="1"/>
      <sheetData sheetId="2" refreshError="1"/>
      <sheetData sheetId="3" refreshError="1"/>
      <sheetData sheetId="4" refreshError="1"/>
      <sheetData sheetId="5">
        <row r="1">
          <cell r="A1" t="str">
            <v>N</v>
          </cell>
          <cell r="C1" t="str">
            <v>Nursery</v>
          </cell>
        </row>
        <row r="2">
          <cell r="A2" t="str">
            <v>Y</v>
          </cell>
          <cell r="C2" t="str">
            <v>Primary</v>
          </cell>
        </row>
        <row r="3">
          <cell r="C3" t="str">
            <v>Secondary</v>
          </cell>
        </row>
        <row r="4">
          <cell r="A4" t="str">
            <v>N</v>
          </cell>
          <cell r="C4" t="str">
            <v>Recoupment Academy</v>
          </cell>
        </row>
        <row r="5">
          <cell r="A5" t="str">
            <v>Y</v>
          </cell>
          <cell r="C5" t="str">
            <v>Non Recoupment Academy</v>
          </cell>
        </row>
        <row r="6">
          <cell r="A6" t="str">
            <v>n/a</v>
          </cell>
          <cell r="C6" t="str">
            <v>PRU</v>
          </cell>
        </row>
        <row r="7">
          <cell r="C7" t="str">
            <v>AP Academy</v>
          </cell>
        </row>
        <row r="8">
          <cell r="C8" t="str">
            <v>Other Maintained AP</v>
          </cell>
        </row>
        <row r="9">
          <cell r="C9" t="str">
            <v>Maintained Special</v>
          </cell>
        </row>
        <row r="10">
          <cell r="C10" t="str">
            <v>Special Academy</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ummary"/>
      <sheetName val="Academies"/>
      <sheetName val="Transferring schools"/>
      <sheetName val="Background data"/>
    </sheetNames>
    <sheetDataSet>
      <sheetData sheetId="0">
        <row r="20">
          <cell r="E20" t="str">
            <v>Lincolnshire</v>
          </cell>
        </row>
      </sheetData>
      <sheetData sheetId="1" refreshError="1"/>
      <sheetData sheetId="2"/>
      <sheetData sheetId="3"/>
      <sheetData sheetId="4">
        <row r="6">
          <cell r="A6" t="str">
            <v>Please Select Authority</v>
          </cell>
          <cell r="B6" t="str">
            <v>-</v>
          </cell>
        </row>
        <row r="7">
          <cell r="A7" t="str">
            <v>Barking and Dagenham</v>
          </cell>
          <cell r="B7">
            <v>301</v>
          </cell>
          <cell r="C7">
            <v>4215</v>
          </cell>
          <cell r="D7">
            <v>14361</v>
          </cell>
          <cell r="E7">
            <v>11151</v>
          </cell>
          <cell r="F7">
            <v>4311</v>
          </cell>
          <cell r="G7">
            <v>14482</v>
          </cell>
          <cell r="H7">
            <v>11201</v>
          </cell>
          <cell r="I7">
            <v>4258</v>
          </cell>
          <cell r="J7">
            <v>14821</v>
          </cell>
          <cell r="K7">
            <v>11199</v>
          </cell>
          <cell r="L7">
            <v>4563.09</v>
          </cell>
          <cell r="M7">
            <v>4725.08</v>
          </cell>
          <cell r="N7">
            <v>4917.01</v>
          </cell>
          <cell r="O7">
            <v>135.64699999999999</v>
          </cell>
          <cell r="P7">
            <v>141.72399999999999</v>
          </cell>
          <cell r="Q7">
            <v>148.87700000000001</v>
          </cell>
        </row>
        <row r="8">
          <cell r="A8" t="str">
            <v>Barnet</v>
          </cell>
          <cell r="B8">
            <v>302</v>
          </cell>
          <cell r="C8">
            <v>6430</v>
          </cell>
          <cell r="D8">
            <v>20692</v>
          </cell>
          <cell r="E8">
            <v>15967</v>
          </cell>
          <cell r="F8">
            <v>6625</v>
          </cell>
          <cell r="G8">
            <v>20943</v>
          </cell>
          <cell r="H8">
            <v>15830</v>
          </cell>
          <cell r="I8">
            <v>6842</v>
          </cell>
          <cell r="J8">
            <v>21255</v>
          </cell>
          <cell r="K8">
            <v>15775</v>
          </cell>
          <cell r="L8">
            <v>4559.1899999999996</v>
          </cell>
          <cell r="M8">
            <v>4722.53</v>
          </cell>
          <cell r="N8">
            <v>4916.66</v>
          </cell>
          <cell r="O8">
            <v>196.45099999999999</v>
          </cell>
          <cell r="P8">
            <v>204.94800000000001</v>
          </cell>
          <cell r="Q8">
            <v>215.70400000000001</v>
          </cell>
        </row>
        <row r="9">
          <cell r="A9" t="str">
            <v>Barnsley</v>
          </cell>
          <cell r="B9">
            <v>370</v>
          </cell>
          <cell r="C9">
            <v>4046</v>
          </cell>
          <cell r="D9">
            <v>15108</v>
          </cell>
          <cell r="E9">
            <v>13148</v>
          </cell>
          <cell r="F9">
            <v>4170</v>
          </cell>
          <cell r="G9">
            <v>14756</v>
          </cell>
          <cell r="H9">
            <v>12884</v>
          </cell>
          <cell r="I9">
            <v>4144</v>
          </cell>
          <cell r="J9">
            <v>14715</v>
          </cell>
          <cell r="K9">
            <v>12702</v>
          </cell>
          <cell r="L9">
            <v>3848.14</v>
          </cell>
          <cell r="M9">
            <v>3987.39</v>
          </cell>
          <cell r="N9">
            <v>4154.01</v>
          </cell>
          <cell r="O9">
            <v>124.303</v>
          </cell>
          <cell r="P9">
            <v>126.839</v>
          </cell>
          <cell r="Q9">
            <v>131.10499999999999</v>
          </cell>
        </row>
        <row r="10">
          <cell r="A10" t="str">
            <v>Bath and North East Somerset</v>
          </cell>
          <cell r="B10">
            <v>800</v>
          </cell>
          <cell r="C10">
            <v>2664</v>
          </cell>
          <cell r="D10">
            <v>10141</v>
          </cell>
          <cell r="E10">
            <v>10955</v>
          </cell>
          <cell r="F10">
            <v>2731</v>
          </cell>
          <cell r="G10">
            <v>9972</v>
          </cell>
          <cell r="H10">
            <v>10938</v>
          </cell>
          <cell r="I10">
            <v>2851</v>
          </cell>
          <cell r="J10">
            <v>9872</v>
          </cell>
          <cell r="K10">
            <v>10844</v>
          </cell>
          <cell r="L10">
            <v>3891.05</v>
          </cell>
          <cell r="M10">
            <v>4033.16</v>
          </cell>
          <cell r="N10">
            <v>4203.7700000000004</v>
          </cell>
          <cell r="O10">
            <v>92.450999999999993</v>
          </cell>
          <cell r="P10">
            <v>95.347999999999999</v>
          </cell>
          <cell r="Q10">
            <v>99.07</v>
          </cell>
        </row>
        <row r="11">
          <cell r="A11" t="str">
            <v>Bedfordshire</v>
          </cell>
          <cell r="B11">
            <v>820</v>
          </cell>
          <cell r="C11">
            <v>7428</v>
          </cell>
          <cell r="D11">
            <v>28146</v>
          </cell>
          <cell r="E11">
            <v>24167</v>
          </cell>
          <cell r="F11">
            <v>7675</v>
          </cell>
          <cell r="G11">
            <v>27918</v>
          </cell>
          <cell r="H11">
            <v>24008</v>
          </cell>
          <cell r="I11">
            <v>7892</v>
          </cell>
          <cell r="J11">
            <v>27907</v>
          </cell>
          <cell r="K11">
            <v>23926</v>
          </cell>
          <cell r="L11">
            <v>3817.39</v>
          </cell>
          <cell r="M11">
            <v>3961.21</v>
          </cell>
          <cell r="N11">
            <v>4133.6899999999996</v>
          </cell>
          <cell r="O11">
            <v>228.05500000000001</v>
          </cell>
          <cell r="P11">
            <v>236.09200000000001</v>
          </cell>
          <cell r="Q11">
            <v>246.88499999999999</v>
          </cell>
        </row>
        <row r="12">
          <cell r="A12" t="str">
            <v>Bexley</v>
          </cell>
          <cell r="B12">
            <v>303</v>
          </cell>
          <cell r="C12">
            <v>4299</v>
          </cell>
          <cell r="D12">
            <v>16230</v>
          </cell>
          <cell r="E12">
            <v>15848</v>
          </cell>
          <cell r="F12">
            <v>4451</v>
          </cell>
          <cell r="G12">
            <v>16182</v>
          </cell>
          <cell r="H12">
            <v>15707</v>
          </cell>
          <cell r="I12">
            <v>4518</v>
          </cell>
          <cell r="J12">
            <v>16257</v>
          </cell>
          <cell r="K12">
            <v>15621</v>
          </cell>
          <cell r="L12">
            <v>4150.54</v>
          </cell>
          <cell r="M12">
            <v>4301.3100000000004</v>
          </cell>
          <cell r="N12">
            <v>4482</v>
          </cell>
          <cell r="O12">
            <v>150.98400000000001</v>
          </cell>
          <cell r="P12">
            <v>156.31</v>
          </cell>
          <cell r="Q12">
            <v>163.12700000000001</v>
          </cell>
        </row>
        <row r="13">
          <cell r="A13" t="str">
            <v>Birmingham</v>
          </cell>
          <cell r="B13">
            <v>330</v>
          </cell>
          <cell r="C13">
            <v>23257</v>
          </cell>
          <cell r="D13">
            <v>81019</v>
          </cell>
          <cell r="E13">
            <v>64991</v>
          </cell>
          <cell r="F13">
            <v>24031</v>
          </cell>
          <cell r="G13">
            <v>81269</v>
          </cell>
          <cell r="H13">
            <v>64547</v>
          </cell>
          <cell r="I13">
            <v>24641</v>
          </cell>
          <cell r="J13">
            <v>82161</v>
          </cell>
          <cell r="K13">
            <v>64299</v>
          </cell>
          <cell r="L13">
            <v>4448.33</v>
          </cell>
          <cell r="M13">
            <v>4605.1099999999997</v>
          </cell>
          <cell r="N13">
            <v>4789.74</v>
          </cell>
          <cell r="O13">
            <v>752.95500000000004</v>
          </cell>
          <cell r="P13">
            <v>782.16399999999999</v>
          </cell>
          <cell r="Q13">
            <v>819.529</v>
          </cell>
        </row>
        <row r="14">
          <cell r="A14" t="str">
            <v>Blackburn with Darwen</v>
          </cell>
          <cell r="B14">
            <v>889</v>
          </cell>
          <cell r="C14">
            <v>3350</v>
          </cell>
          <cell r="D14">
            <v>12035</v>
          </cell>
          <cell r="E14">
            <v>9646</v>
          </cell>
          <cell r="F14">
            <v>3449</v>
          </cell>
          <cell r="G14">
            <v>11944</v>
          </cell>
          <cell r="H14">
            <v>9588</v>
          </cell>
          <cell r="I14">
            <v>3530</v>
          </cell>
          <cell r="J14">
            <v>11973</v>
          </cell>
          <cell r="K14">
            <v>9521</v>
          </cell>
          <cell r="L14">
            <v>4254.05</v>
          </cell>
          <cell r="M14">
            <v>4404.8500000000004</v>
          </cell>
          <cell r="N14">
            <v>4583</v>
          </cell>
          <cell r="O14">
            <v>106.483</v>
          </cell>
          <cell r="P14">
            <v>110.038</v>
          </cell>
          <cell r="Q14">
            <v>114.685</v>
          </cell>
        </row>
        <row r="15">
          <cell r="A15" t="str">
            <v>Blackpool</v>
          </cell>
          <cell r="B15">
            <v>890</v>
          </cell>
          <cell r="C15">
            <v>2515</v>
          </cell>
          <cell r="D15">
            <v>9591</v>
          </cell>
          <cell r="E15">
            <v>8747</v>
          </cell>
          <cell r="F15">
            <v>2674</v>
          </cell>
          <cell r="G15">
            <v>9329</v>
          </cell>
          <cell r="H15">
            <v>8729</v>
          </cell>
          <cell r="I15">
            <v>2647</v>
          </cell>
          <cell r="J15">
            <v>9441</v>
          </cell>
          <cell r="K15">
            <v>8563</v>
          </cell>
          <cell r="L15">
            <v>3982.25</v>
          </cell>
          <cell r="M15">
            <v>4125.45</v>
          </cell>
          <cell r="N15">
            <v>4296.25</v>
          </cell>
          <cell r="O15">
            <v>83.042000000000002</v>
          </cell>
          <cell r="P15">
            <v>85.528999999999996</v>
          </cell>
          <cell r="Q15">
            <v>88.721999999999994</v>
          </cell>
        </row>
        <row r="16">
          <cell r="A16" t="str">
            <v>Bolton</v>
          </cell>
          <cell r="B16">
            <v>350</v>
          </cell>
          <cell r="C16">
            <v>5608</v>
          </cell>
          <cell r="D16">
            <v>19843</v>
          </cell>
          <cell r="E16">
            <v>18003</v>
          </cell>
          <cell r="F16">
            <v>5831</v>
          </cell>
          <cell r="G16">
            <v>19616</v>
          </cell>
          <cell r="H16">
            <v>17896</v>
          </cell>
          <cell r="I16">
            <v>5810</v>
          </cell>
          <cell r="J16">
            <v>19750</v>
          </cell>
          <cell r="K16">
            <v>17762</v>
          </cell>
          <cell r="L16">
            <v>3978.07</v>
          </cell>
          <cell r="M16">
            <v>4125.3599999999997</v>
          </cell>
          <cell r="N16">
            <v>4300.6400000000003</v>
          </cell>
          <cell r="O16">
            <v>172.863</v>
          </cell>
          <cell r="P16">
            <v>178.80500000000001</v>
          </cell>
          <cell r="Q16">
            <v>186.31200000000001</v>
          </cell>
        </row>
        <row r="17">
          <cell r="A17" t="str">
            <v>Bournemouth</v>
          </cell>
          <cell r="B17">
            <v>837</v>
          </cell>
          <cell r="C17">
            <v>2309</v>
          </cell>
          <cell r="D17">
            <v>8667</v>
          </cell>
          <cell r="E17">
            <v>8759</v>
          </cell>
          <cell r="F17">
            <v>2405</v>
          </cell>
          <cell r="G17">
            <v>8458</v>
          </cell>
          <cell r="H17">
            <v>8673</v>
          </cell>
          <cell r="I17">
            <v>2426</v>
          </cell>
          <cell r="J17">
            <v>8289</v>
          </cell>
          <cell r="K17">
            <v>8628</v>
          </cell>
          <cell r="L17">
            <v>3824.79</v>
          </cell>
          <cell r="M17">
            <v>3963.62</v>
          </cell>
          <cell r="N17">
            <v>4129.8900000000003</v>
          </cell>
          <cell r="O17">
            <v>75.481999999999999</v>
          </cell>
          <cell r="P17">
            <v>77.433000000000007</v>
          </cell>
          <cell r="Q17">
            <v>79.884</v>
          </cell>
        </row>
        <row r="18">
          <cell r="A18" t="str">
            <v>Bracknell Forest</v>
          </cell>
          <cell r="B18">
            <v>867</v>
          </cell>
          <cell r="C18">
            <v>1976</v>
          </cell>
          <cell r="D18">
            <v>7029</v>
          </cell>
          <cell r="E18">
            <v>5686</v>
          </cell>
          <cell r="F18">
            <v>2014</v>
          </cell>
          <cell r="G18">
            <v>6921</v>
          </cell>
          <cell r="H18">
            <v>5645</v>
          </cell>
          <cell r="I18">
            <v>2045</v>
          </cell>
          <cell r="J18">
            <v>6744</v>
          </cell>
          <cell r="K18">
            <v>5682</v>
          </cell>
          <cell r="L18">
            <v>4016.88</v>
          </cell>
          <cell r="M18">
            <v>4176.67</v>
          </cell>
          <cell r="N18">
            <v>4367.28</v>
          </cell>
          <cell r="O18">
            <v>59.012</v>
          </cell>
          <cell r="P18">
            <v>60.896000000000001</v>
          </cell>
          <cell r="Q18">
            <v>63.198999999999998</v>
          </cell>
        </row>
        <row r="19">
          <cell r="A19" t="str">
            <v>Bradford</v>
          </cell>
          <cell r="B19">
            <v>380</v>
          </cell>
          <cell r="C19">
            <v>11920</v>
          </cell>
          <cell r="D19">
            <v>40072</v>
          </cell>
          <cell r="E19">
            <v>28621</v>
          </cell>
          <cell r="F19">
            <v>12333</v>
          </cell>
          <cell r="G19">
            <v>40894</v>
          </cell>
          <cell r="H19">
            <v>28357</v>
          </cell>
          <cell r="I19">
            <v>12580</v>
          </cell>
          <cell r="J19">
            <v>41922</v>
          </cell>
          <cell r="K19">
            <v>28257</v>
          </cell>
          <cell r="L19">
            <v>4107.0200000000004</v>
          </cell>
          <cell r="M19">
            <v>4274.96</v>
          </cell>
          <cell r="N19">
            <v>4470.38</v>
          </cell>
          <cell r="O19">
            <v>331.07900000000001</v>
          </cell>
          <cell r="P19">
            <v>348.76799999999997</v>
          </cell>
          <cell r="Q19">
            <v>369.964</v>
          </cell>
        </row>
        <row r="20">
          <cell r="A20" t="str">
            <v>Brent</v>
          </cell>
          <cell r="B20">
            <v>304</v>
          </cell>
          <cell r="C20">
            <v>5746</v>
          </cell>
          <cell r="D20">
            <v>18707</v>
          </cell>
          <cell r="E20">
            <v>13914</v>
          </cell>
          <cell r="F20">
            <v>5814</v>
          </cell>
          <cell r="G20">
            <v>19354</v>
          </cell>
          <cell r="H20">
            <v>14058</v>
          </cell>
          <cell r="I20">
            <v>5867</v>
          </cell>
          <cell r="J20">
            <v>19942</v>
          </cell>
          <cell r="K20">
            <v>14194</v>
          </cell>
          <cell r="L20">
            <v>4894.3900000000003</v>
          </cell>
          <cell r="M20">
            <v>5102.4799999999996</v>
          </cell>
          <cell r="N20">
            <v>5342.44</v>
          </cell>
          <cell r="O20">
            <v>187.78299999999999</v>
          </cell>
          <cell r="P20">
            <v>200.15</v>
          </cell>
          <cell r="Q20">
            <v>213.714</v>
          </cell>
        </row>
        <row r="21">
          <cell r="A21" t="str">
            <v>Brighton and Hove</v>
          </cell>
          <cell r="B21">
            <v>846</v>
          </cell>
          <cell r="C21">
            <v>4191</v>
          </cell>
          <cell r="D21">
            <v>14133</v>
          </cell>
          <cell r="E21">
            <v>11654</v>
          </cell>
          <cell r="F21">
            <v>4329</v>
          </cell>
          <cell r="G21">
            <v>14166</v>
          </cell>
          <cell r="H21">
            <v>11608</v>
          </cell>
          <cell r="I21">
            <v>4412</v>
          </cell>
          <cell r="J21">
            <v>14267</v>
          </cell>
          <cell r="K21">
            <v>11622</v>
          </cell>
          <cell r="L21">
            <v>4102.84</v>
          </cell>
          <cell r="M21">
            <v>4249.4399999999996</v>
          </cell>
          <cell r="N21">
            <v>4423.5</v>
          </cell>
          <cell r="O21">
            <v>122.995</v>
          </cell>
          <cell r="P21">
            <v>127.92100000000001</v>
          </cell>
          <cell r="Q21">
            <v>134.036</v>
          </cell>
        </row>
        <row r="22">
          <cell r="A22" t="str">
            <v>Bristol, City of</v>
          </cell>
          <cell r="B22">
            <v>801</v>
          </cell>
          <cell r="C22">
            <v>7012</v>
          </cell>
          <cell r="D22">
            <v>23365</v>
          </cell>
          <cell r="E22">
            <v>13963</v>
          </cell>
          <cell r="F22">
            <v>7306</v>
          </cell>
          <cell r="G22">
            <v>23109</v>
          </cell>
          <cell r="H22">
            <v>13615</v>
          </cell>
          <cell r="I22">
            <v>7441</v>
          </cell>
          <cell r="J22">
            <v>23205</v>
          </cell>
          <cell r="K22">
            <v>13381</v>
          </cell>
          <cell r="L22">
            <v>4365.67</v>
          </cell>
          <cell r="M22">
            <v>4519.88</v>
          </cell>
          <cell r="N22">
            <v>4701.68</v>
          </cell>
          <cell r="O22">
            <v>193.57400000000001</v>
          </cell>
          <cell r="P22">
            <v>199.01</v>
          </cell>
          <cell r="Q22">
            <v>207.001</v>
          </cell>
        </row>
        <row r="23">
          <cell r="A23" t="str">
            <v>Bromley</v>
          </cell>
          <cell r="B23">
            <v>305</v>
          </cell>
          <cell r="C23">
            <v>5553</v>
          </cell>
          <cell r="D23">
            <v>19829</v>
          </cell>
          <cell r="E23">
            <v>18126</v>
          </cell>
          <cell r="F23">
            <v>5704</v>
          </cell>
          <cell r="G23">
            <v>19635</v>
          </cell>
          <cell r="H23">
            <v>17996</v>
          </cell>
          <cell r="I23">
            <v>5784</v>
          </cell>
          <cell r="J23">
            <v>19592</v>
          </cell>
          <cell r="K23">
            <v>17766</v>
          </cell>
          <cell r="L23">
            <v>3965.78</v>
          </cell>
          <cell r="M23">
            <v>4123.4799999999996</v>
          </cell>
          <cell r="N23">
            <v>4311.05</v>
          </cell>
          <cell r="O23">
            <v>172.54300000000001</v>
          </cell>
          <cell r="P23">
            <v>178.691</v>
          </cell>
          <cell r="Q23">
            <v>185.98699999999999</v>
          </cell>
        </row>
        <row r="24">
          <cell r="A24" t="str">
            <v>Buckinghamshire</v>
          </cell>
          <cell r="B24">
            <v>825</v>
          </cell>
          <cell r="C24">
            <v>8476</v>
          </cell>
          <cell r="D24">
            <v>32639</v>
          </cell>
          <cell r="E24">
            <v>28754</v>
          </cell>
          <cell r="F24">
            <v>8859</v>
          </cell>
          <cell r="G24">
            <v>32287</v>
          </cell>
          <cell r="H24">
            <v>28447</v>
          </cell>
          <cell r="I24">
            <v>9013</v>
          </cell>
          <cell r="J24">
            <v>32057</v>
          </cell>
          <cell r="K24">
            <v>28379</v>
          </cell>
          <cell r="L24">
            <v>3898.99</v>
          </cell>
          <cell r="M24">
            <v>4042.49</v>
          </cell>
          <cell r="N24">
            <v>4215.68</v>
          </cell>
          <cell r="O24">
            <v>272.41899999999998</v>
          </cell>
          <cell r="P24">
            <v>281.32900000000001</v>
          </cell>
          <cell r="Q24">
            <v>292.77499999999998</v>
          </cell>
        </row>
        <row r="25">
          <cell r="A25" t="str">
            <v>Bury</v>
          </cell>
          <cell r="B25">
            <v>351</v>
          </cell>
          <cell r="C25">
            <v>3473</v>
          </cell>
          <cell r="D25">
            <v>12541</v>
          </cell>
          <cell r="E25">
            <v>11535</v>
          </cell>
          <cell r="F25">
            <v>3588</v>
          </cell>
          <cell r="G25">
            <v>12435</v>
          </cell>
          <cell r="H25">
            <v>11302</v>
          </cell>
          <cell r="I25">
            <v>3584</v>
          </cell>
          <cell r="J25">
            <v>12460</v>
          </cell>
          <cell r="K25">
            <v>11225</v>
          </cell>
          <cell r="L25">
            <v>3926.18</v>
          </cell>
          <cell r="M25">
            <v>4068.21</v>
          </cell>
          <cell r="N25">
            <v>4238.13</v>
          </cell>
          <cell r="O25">
            <v>108.16200000000001</v>
          </cell>
          <cell r="P25">
            <v>111.164</v>
          </cell>
          <cell r="Q25">
            <v>115.57</v>
          </cell>
        </row>
        <row r="26">
          <cell r="A26" t="str">
            <v>Calderdale</v>
          </cell>
          <cell r="B26">
            <v>381</v>
          </cell>
          <cell r="C26">
            <v>4056</v>
          </cell>
          <cell r="D26">
            <v>14668</v>
          </cell>
          <cell r="E26">
            <v>13300</v>
          </cell>
          <cell r="F26">
            <v>4234</v>
          </cell>
          <cell r="G26">
            <v>14613</v>
          </cell>
          <cell r="H26">
            <v>13111</v>
          </cell>
          <cell r="I26">
            <v>4229</v>
          </cell>
          <cell r="J26">
            <v>14702</v>
          </cell>
          <cell r="K26">
            <v>12960</v>
          </cell>
          <cell r="L26">
            <v>3912.16</v>
          </cell>
          <cell r="M26">
            <v>4053.42</v>
          </cell>
          <cell r="N26">
            <v>4222.25</v>
          </cell>
          <cell r="O26">
            <v>125.283</v>
          </cell>
          <cell r="P26">
            <v>129.53899999999999</v>
          </cell>
          <cell r="Q26">
            <v>134.65199999999999</v>
          </cell>
        </row>
        <row r="27">
          <cell r="A27" t="str">
            <v>Cambridgeshire</v>
          </cell>
          <cell r="B27">
            <v>873</v>
          </cell>
          <cell r="C27">
            <v>10190</v>
          </cell>
          <cell r="D27">
            <v>37081</v>
          </cell>
          <cell r="E27">
            <v>30751</v>
          </cell>
          <cell r="F27">
            <v>10535</v>
          </cell>
          <cell r="G27">
            <v>36915</v>
          </cell>
          <cell r="H27">
            <v>30647</v>
          </cell>
          <cell r="I27">
            <v>10759</v>
          </cell>
          <cell r="J27">
            <v>37019</v>
          </cell>
          <cell r="K27">
            <v>30706</v>
          </cell>
          <cell r="L27">
            <v>3787.15</v>
          </cell>
          <cell r="M27">
            <v>3925.87</v>
          </cell>
          <cell r="N27">
            <v>4092.86</v>
          </cell>
          <cell r="O27">
            <v>295.48099999999999</v>
          </cell>
          <cell r="P27">
            <v>306.59899999999999</v>
          </cell>
          <cell r="Q27">
            <v>321.22399999999999</v>
          </cell>
        </row>
        <row r="28">
          <cell r="A28" t="str">
            <v>Camden</v>
          </cell>
          <cell r="B28">
            <v>202</v>
          </cell>
          <cell r="C28">
            <v>3537</v>
          </cell>
          <cell r="D28">
            <v>9028</v>
          </cell>
          <cell r="E28">
            <v>7809</v>
          </cell>
          <cell r="F28">
            <v>3813</v>
          </cell>
          <cell r="G28">
            <v>9176</v>
          </cell>
          <cell r="H28">
            <v>7816</v>
          </cell>
          <cell r="I28">
            <v>4115</v>
          </cell>
          <cell r="J28">
            <v>9424</v>
          </cell>
          <cell r="K28">
            <v>7819</v>
          </cell>
          <cell r="L28">
            <v>6160.89</v>
          </cell>
          <cell r="M28">
            <v>6372.72</v>
          </cell>
          <cell r="N28">
            <v>6617.99</v>
          </cell>
          <cell r="O28">
            <v>125.52200000000001</v>
          </cell>
          <cell r="P28">
            <v>132.584</v>
          </cell>
          <cell r="Q28">
            <v>141.34700000000001</v>
          </cell>
        </row>
        <row r="29">
          <cell r="A29" t="str">
            <v>Cheshire</v>
          </cell>
          <cell r="B29">
            <v>875</v>
          </cell>
          <cell r="C29">
            <v>11720</v>
          </cell>
          <cell r="D29">
            <v>43918</v>
          </cell>
          <cell r="E29">
            <v>40933</v>
          </cell>
          <cell r="F29">
            <v>11972</v>
          </cell>
          <cell r="G29">
            <v>43083</v>
          </cell>
          <cell r="H29">
            <v>40146</v>
          </cell>
          <cell r="I29">
            <v>12033</v>
          </cell>
          <cell r="J29">
            <v>42760</v>
          </cell>
          <cell r="K29">
            <v>39494</v>
          </cell>
          <cell r="L29">
            <v>3880.42</v>
          </cell>
          <cell r="M29">
            <v>4021.24</v>
          </cell>
          <cell r="N29">
            <v>4189.92</v>
          </cell>
          <cell r="O29">
            <v>374.73599999999999</v>
          </cell>
          <cell r="P29">
            <v>382.82600000000002</v>
          </cell>
          <cell r="Q29">
            <v>395.05500000000001</v>
          </cell>
        </row>
        <row r="30">
          <cell r="A30" t="str">
            <v>City of London</v>
          </cell>
          <cell r="B30">
            <v>201</v>
          </cell>
          <cell r="C30">
            <v>79</v>
          </cell>
          <cell r="D30">
            <v>171</v>
          </cell>
          <cell r="E30">
            <v>3</v>
          </cell>
          <cell r="F30">
            <v>114</v>
          </cell>
          <cell r="G30">
            <v>166</v>
          </cell>
          <cell r="H30">
            <v>3</v>
          </cell>
          <cell r="I30">
            <v>143</v>
          </cell>
          <cell r="J30">
            <v>169</v>
          </cell>
          <cell r="K30">
            <v>3</v>
          </cell>
          <cell r="L30">
            <v>7362.03</v>
          </cell>
          <cell r="M30">
            <v>7603.38</v>
          </cell>
          <cell r="N30">
            <v>7870.84</v>
          </cell>
          <cell r="O30">
            <v>1.863</v>
          </cell>
          <cell r="P30">
            <v>2.1520000000000001</v>
          </cell>
          <cell r="Q30">
            <v>2.4790000000000001</v>
          </cell>
        </row>
        <row r="31">
          <cell r="A31" t="str">
            <v>Cornwall</v>
          </cell>
          <cell r="B31">
            <v>908</v>
          </cell>
          <cell r="C31">
            <v>8211</v>
          </cell>
          <cell r="D31">
            <v>32273</v>
          </cell>
          <cell r="E31">
            <v>29872</v>
          </cell>
          <cell r="F31">
            <v>8450</v>
          </cell>
          <cell r="G31">
            <v>31676</v>
          </cell>
          <cell r="H31">
            <v>29723</v>
          </cell>
          <cell r="I31">
            <v>8657</v>
          </cell>
          <cell r="J31">
            <v>31273</v>
          </cell>
          <cell r="K31">
            <v>29529</v>
          </cell>
          <cell r="L31">
            <v>3742.36</v>
          </cell>
          <cell r="M31">
            <v>3878.86</v>
          </cell>
          <cell r="N31">
            <v>4042.72</v>
          </cell>
          <cell r="O31">
            <v>263.29700000000003</v>
          </cell>
          <cell r="P31">
            <v>270.93400000000003</v>
          </cell>
          <cell r="Q31">
            <v>280.803</v>
          </cell>
        </row>
        <row r="32">
          <cell r="A32" t="str">
            <v>Coventry</v>
          </cell>
          <cell r="B32">
            <v>331</v>
          </cell>
          <cell r="C32">
            <v>5902</v>
          </cell>
          <cell r="D32">
            <v>21322</v>
          </cell>
          <cell r="E32">
            <v>18255</v>
          </cell>
          <cell r="F32">
            <v>6145</v>
          </cell>
          <cell r="G32">
            <v>21112</v>
          </cell>
          <cell r="H32">
            <v>18161</v>
          </cell>
          <cell r="I32">
            <v>6191</v>
          </cell>
          <cell r="J32">
            <v>21335</v>
          </cell>
          <cell r="K32">
            <v>17955</v>
          </cell>
          <cell r="L32">
            <v>4110.4399999999996</v>
          </cell>
          <cell r="M32">
            <v>4257.62</v>
          </cell>
          <cell r="N32">
            <v>4432.6400000000003</v>
          </cell>
          <cell r="O32">
            <v>186.93899999999999</v>
          </cell>
          <cell r="P32">
            <v>193.37299999999999</v>
          </cell>
          <cell r="Q32">
            <v>201.601</v>
          </cell>
        </row>
        <row r="33">
          <cell r="A33" t="str">
            <v>Croydon</v>
          </cell>
          <cell r="B33">
            <v>306</v>
          </cell>
          <cell r="C33">
            <v>6888</v>
          </cell>
          <cell r="D33">
            <v>23373</v>
          </cell>
          <cell r="E33">
            <v>17535</v>
          </cell>
          <cell r="F33">
            <v>7091</v>
          </cell>
          <cell r="G33">
            <v>23229</v>
          </cell>
          <cell r="H33">
            <v>17376</v>
          </cell>
          <cell r="I33">
            <v>7066</v>
          </cell>
          <cell r="J33">
            <v>23237</v>
          </cell>
          <cell r="K33">
            <v>17303</v>
          </cell>
          <cell r="L33">
            <v>4266.71</v>
          </cell>
          <cell r="M33">
            <v>4432.0200000000004</v>
          </cell>
          <cell r="N33">
            <v>4627.0600000000004</v>
          </cell>
          <cell r="O33">
            <v>203.93199999999999</v>
          </cell>
          <cell r="P33">
            <v>211.39</v>
          </cell>
          <cell r="Q33">
            <v>220.27600000000001</v>
          </cell>
        </row>
        <row r="34">
          <cell r="A34" t="str">
            <v>Cumbria</v>
          </cell>
          <cell r="B34">
            <v>909</v>
          </cell>
          <cell r="C34">
            <v>8020</v>
          </cell>
          <cell r="D34">
            <v>30924</v>
          </cell>
          <cell r="E34">
            <v>30600</v>
          </cell>
          <cell r="F34">
            <v>8275</v>
          </cell>
          <cell r="G34">
            <v>30213</v>
          </cell>
          <cell r="H34">
            <v>29940</v>
          </cell>
          <cell r="I34">
            <v>8225</v>
          </cell>
          <cell r="J34">
            <v>30078</v>
          </cell>
          <cell r="K34">
            <v>29304</v>
          </cell>
          <cell r="L34">
            <v>3830.76</v>
          </cell>
          <cell r="M34">
            <v>3969.83</v>
          </cell>
          <cell r="N34">
            <v>4136.5</v>
          </cell>
          <cell r="O34">
            <v>266.40600000000001</v>
          </cell>
          <cell r="P34">
            <v>271.73400000000004</v>
          </cell>
          <cell r="Q34">
            <v>279.65600000000001</v>
          </cell>
        </row>
        <row r="35">
          <cell r="A35" t="str">
            <v>Darlington</v>
          </cell>
          <cell r="B35">
            <v>841</v>
          </cell>
          <cell r="C35">
            <v>1982</v>
          </cell>
          <cell r="D35">
            <v>6873</v>
          </cell>
          <cell r="E35">
            <v>5489</v>
          </cell>
          <cell r="F35">
            <v>1989</v>
          </cell>
          <cell r="G35">
            <v>6905</v>
          </cell>
          <cell r="H35">
            <v>5345</v>
          </cell>
          <cell r="I35">
            <v>1968</v>
          </cell>
          <cell r="J35">
            <v>6999</v>
          </cell>
          <cell r="K35">
            <v>5208</v>
          </cell>
          <cell r="L35">
            <v>3943.86</v>
          </cell>
          <cell r="M35">
            <v>4085.61</v>
          </cell>
          <cell r="N35">
            <v>4254.63</v>
          </cell>
          <cell r="O35">
            <v>56.570999999999998</v>
          </cell>
          <cell r="P35">
            <v>58.174999999999997</v>
          </cell>
          <cell r="Q35">
            <v>60.308999999999997</v>
          </cell>
        </row>
        <row r="36">
          <cell r="A36" t="str">
            <v>Derby</v>
          </cell>
          <cell r="B36">
            <v>831</v>
          </cell>
          <cell r="C36">
            <v>4742</v>
          </cell>
          <cell r="D36">
            <v>16987</v>
          </cell>
          <cell r="E36">
            <v>14584</v>
          </cell>
          <cell r="F36">
            <v>4974</v>
          </cell>
          <cell r="G36">
            <v>16832</v>
          </cell>
          <cell r="H36">
            <v>14428</v>
          </cell>
          <cell r="I36">
            <v>4979</v>
          </cell>
          <cell r="J36">
            <v>16952</v>
          </cell>
          <cell r="K36">
            <v>14347</v>
          </cell>
          <cell r="L36">
            <v>3977.6</v>
          </cell>
          <cell r="M36">
            <v>4120.41</v>
          </cell>
          <cell r="N36">
            <v>4290.53</v>
          </cell>
          <cell r="O36">
            <v>144.43899999999999</v>
          </cell>
          <cell r="P36">
            <v>149.29900000000001</v>
          </cell>
          <cell r="Q36">
            <v>155.65199999999999</v>
          </cell>
        </row>
        <row r="37">
          <cell r="A37" t="str">
            <v>Derbyshire</v>
          </cell>
          <cell r="B37">
            <v>830</v>
          </cell>
          <cell r="C37">
            <v>12622</v>
          </cell>
          <cell r="D37">
            <v>48827</v>
          </cell>
          <cell r="E37">
            <v>45117</v>
          </cell>
          <cell r="F37">
            <v>12946</v>
          </cell>
          <cell r="G37">
            <v>47938</v>
          </cell>
          <cell r="H37">
            <v>44242</v>
          </cell>
          <cell r="I37">
            <v>13060</v>
          </cell>
          <cell r="J37">
            <v>47318</v>
          </cell>
          <cell r="K37">
            <v>43699</v>
          </cell>
          <cell r="L37">
            <v>3825.11</v>
          </cell>
          <cell r="M37">
            <v>3963.94</v>
          </cell>
          <cell r="N37">
            <v>4130.22</v>
          </cell>
          <cell r="O37">
            <v>407.62700000000001</v>
          </cell>
          <cell r="P37">
            <v>416.71300000000002</v>
          </cell>
          <cell r="Q37">
            <v>429.86099999999999</v>
          </cell>
        </row>
        <row r="38">
          <cell r="A38" t="str">
            <v>Devon</v>
          </cell>
          <cell r="B38">
            <v>878</v>
          </cell>
          <cell r="C38">
            <v>11204</v>
          </cell>
          <cell r="D38">
            <v>43994</v>
          </cell>
          <cell r="E38">
            <v>38808</v>
          </cell>
          <cell r="F38">
            <v>11510</v>
          </cell>
          <cell r="G38">
            <v>43419</v>
          </cell>
          <cell r="H38">
            <v>38827</v>
          </cell>
          <cell r="I38">
            <v>11732</v>
          </cell>
          <cell r="J38">
            <v>43398</v>
          </cell>
          <cell r="K38">
            <v>38465</v>
          </cell>
          <cell r="L38">
            <v>3707.09</v>
          </cell>
          <cell r="M38">
            <v>3842.51</v>
          </cell>
          <cell r="N38">
            <v>4005.27</v>
          </cell>
          <cell r="O38">
            <v>348.48899999999998</v>
          </cell>
          <cell r="P38">
            <v>360.25799999999998</v>
          </cell>
          <cell r="Q38">
            <v>374.87299999999999</v>
          </cell>
        </row>
        <row r="39">
          <cell r="A39" t="str">
            <v>Doncaster</v>
          </cell>
          <cell r="B39">
            <v>371</v>
          </cell>
          <cell r="C39">
            <v>5290</v>
          </cell>
          <cell r="D39">
            <v>20210</v>
          </cell>
          <cell r="E39">
            <v>17511</v>
          </cell>
          <cell r="F39">
            <v>5427</v>
          </cell>
          <cell r="G39">
            <v>19810</v>
          </cell>
          <cell r="H39">
            <v>17125</v>
          </cell>
          <cell r="I39">
            <v>5422</v>
          </cell>
          <cell r="J39">
            <v>19690</v>
          </cell>
          <cell r="K39">
            <v>16728</v>
          </cell>
          <cell r="L39">
            <v>3940.93</v>
          </cell>
          <cell r="M39">
            <v>4082.96</v>
          </cell>
          <cell r="N39">
            <v>4252.45</v>
          </cell>
          <cell r="O39">
            <v>169.50299999999999</v>
          </cell>
          <cell r="P39">
            <v>172.96199999999999</v>
          </cell>
          <cell r="Q39">
            <v>177.923</v>
          </cell>
        </row>
        <row r="40">
          <cell r="A40" t="str">
            <v>Dorset</v>
          </cell>
          <cell r="B40">
            <v>835</v>
          </cell>
          <cell r="C40">
            <v>6128</v>
          </cell>
          <cell r="D40">
            <v>23936</v>
          </cell>
          <cell r="E40">
            <v>23114</v>
          </cell>
          <cell r="F40">
            <v>6151</v>
          </cell>
          <cell r="G40">
            <v>23750</v>
          </cell>
          <cell r="H40">
            <v>23047</v>
          </cell>
          <cell r="I40">
            <v>6178</v>
          </cell>
          <cell r="J40">
            <v>23544</v>
          </cell>
          <cell r="K40">
            <v>23156</v>
          </cell>
          <cell r="L40">
            <v>3799.26</v>
          </cell>
          <cell r="M40">
            <v>3937.57</v>
          </cell>
          <cell r="N40">
            <v>4103.59</v>
          </cell>
          <cell r="O40">
            <v>202.03700000000001</v>
          </cell>
          <cell r="P40">
            <v>208.48599999999999</v>
          </cell>
          <cell r="Q40">
            <v>216.99</v>
          </cell>
        </row>
        <row r="41">
          <cell r="A41" t="str">
            <v>Dudley</v>
          </cell>
          <cell r="B41">
            <v>332</v>
          </cell>
          <cell r="C41">
            <v>5811</v>
          </cell>
          <cell r="D41">
            <v>21851</v>
          </cell>
          <cell r="E41">
            <v>20403</v>
          </cell>
          <cell r="F41">
            <v>5972</v>
          </cell>
          <cell r="G41">
            <v>21560</v>
          </cell>
          <cell r="H41">
            <v>20011</v>
          </cell>
          <cell r="I41">
            <v>5990</v>
          </cell>
          <cell r="J41">
            <v>21572</v>
          </cell>
          <cell r="K41">
            <v>19700</v>
          </cell>
          <cell r="L41">
            <v>3949.4</v>
          </cell>
          <cell r="M41">
            <v>4092.23</v>
          </cell>
          <cell r="N41">
            <v>4263.01</v>
          </cell>
          <cell r="O41">
            <v>189.828</v>
          </cell>
          <cell r="P41">
            <v>194.55699999999999</v>
          </cell>
          <cell r="Q41">
            <v>201.47800000000001</v>
          </cell>
        </row>
        <row r="42">
          <cell r="A42" t="str">
            <v>Durham</v>
          </cell>
          <cell r="B42">
            <v>840</v>
          </cell>
          <cell r="C42">
            <v>8478</v>
          </cell>
          <cell r="D42">
            <v>31878</v>
          </cell>
          <cell r="E42">
            <v>28820</v>
          </cell>
          <cell r="F42">
            <v>8731</v>
          </cell>
          <cell r="G42">
            <v>31316</v>
          </cell>
          <cell r="H42">
            <v>28113</v>
          </cell>
          <cell r="I42">
            <v>8680</v>
          </cell>
          <cell r="J42">
            <v>31239</v>
          </cell>
          <cell r="K42">
            <v>27743</v>
          </cell>
          <cell r="L42">
            <v>3981.55</v>
          </cell>
          <cell r="M42">
            <v>4124.76</v>
          </cell>
          <cell r="N42">
            <v>4295.54</v>
          </cell>
          <cell r="O42">
            <v>275.428</v>
          </cell>
          <cell r="P42">
            <v>281.14400000000001</v>
          </cell>
          <cell r="Q42">
            <v>290.64499999999998</v>
          </cell>
        </row>
        <row r="43">
          <cell r="A43" t="str">
            <v>Ealing</v>
          </cell>
          <cell r="B43">
            <v>307</v>
          </cell>
          <cell r="C43">
            <v>6134</v>
          </cell>
          <cell r="D43">
            <v>20405</v>
          </cell>
          <cell r="E43">
            <v>13921</v>
          </cell>
          <cell r="F43">
            <v>6269</v>
          </cell>
          <cell r="G43">
            <v>20764</v>
          </cell>
          <cell r="H43">
            <v>14067</v>
          </cell>
          <cell r="I43">
            <v>6302</v>
          </cell>
          <cell r="J43">
            <v>21155</v>
          </cell>
          <cell r="K43">
            <v>14183</v>
          </cell>
          <cell r="L43">
            <v>4832.16</v>
          </cell>
          <cell r="M43">
            <v>5006.8900000000003</v>
          </cell>
          <cell r="N43">
            <v>5213</v>
          </cell>
          <cell r="O43">
            <v>195.50899999999999</v>
          </cell>
          <cell r="P43">
            <v>205.78299999999999</v>
          </cell>
          <cell r="Q43">
            <v>217.06899999999999</v>
          </cell>
        </row>
        <row r="44">
          <cell r="A44" t="str">
            <v>East Riding of Yorkshire</v>
          </cell>
          <cell r="B44">
            <v>811</v>
          </cell>
          <cell r="C44">
            <v>5330</v>
          </cell>
          <cell r="D44">
            <v>21176</v>
          </cell>
          <cell r="E44">
            <v>20331</v>
          </cell>
          <cell r="F44">
            <v>5548</v>
          </cell>
          <cell r="G44">
            <v>20865</v>
          </cell>
          <cell r="H44">
            <v>20085</v>
          </cell>
          <cell r="I44">
            <v>5572</v>
          </cell>
          <cell r="J44">
            <v>20704</v>
          </cell>
          <cell r="K44">
            <v>19942</v>
          </cell>
          <cell r="L44">
            <v>3715.47</v>
          </cell>
          <cell r="M44">
            <v>3851.25</v>
          </cell>
          <cell r="N44">
            <v>4014.55</v>
          </cell>
          <cell r="O44">
            <v>174.02099999999999</v>
          </cell>
          <cell r="P44">
            <v>179.07499999999999</v>
          </cell>
          <cell r="Q44">
            <v>185.54400000000001</v>
          </cell>
        </row>
        <row r="45">
          <cell r="A45" t="str">
            <v>East Sussex</v>
          </cell>
          <cell r="B45">
            <v>845</v>
          </cell>
          <cell r="C45">
            <v>7340</v>
          </cell>
          <cell r="D45">
            <v>30464</v>
          </cell>
          <cell r="E45">
            <v>26889</v>
          </cell>
          <cell r="F45">
            <v>7662</v>
          </cell>
          <cell r="G45">
            <v>30007</v>
          </cell>
          <cell r="H45">
            <v>26635</v>
          </cell>
          <cell r="I45">
            <v>7901</v>
          </cell>
          <cell r="J45">
            <v>29650</v>
          </cell>
          <cell r="K45">
            <v>26631</v>
          </cell>
          <cell r="L45">
            <v>3996.51</v>
          </cell>
          <cell r="M45">
            <v>4140.83</v>
          </cell>
          <cell r="N45">
            <v>4313.08</v>
          </cell>
          <cell r="O45">
            <v>258.54599999999999</v>
          </cell>
          <cell r="P45">
            <v>266.27199999999999</v>
          </cell>
          <cell r="Q45">
            <v>276.822</v>
          </cell>
        </row>
        <row r="46">
          <cell r="A46" t="str">
            <v>Enfield</v>
          </cell>
          <cell r="B46">
            <v>308</v>
          </cell>
          <cell r="C46">
            <v>6344</v>
          </cell>
          <cell r="D46">
            <v>22258</v>
          </cell>
          <cell r="E46">
            <v>19091</v>
          </cell>
          <cell r="F46">
            <v>6435</v>
          </cell>
          <cell r="G46">
            <v>22572</v>
          </cell>
          <cell r="H46">
            <v>19154</v>
          </cell>
          <cell r="I46">
            <v>6447</v>
          </cell>
          <cell r="J46">
            <v>23012</v>
          </cell>
          <cell r="K46">
            <v>19295</v>
          </cell>
          <cell r="L46">
            <v>4437.41</v>
          </cell>
          <cell r="M46">
            <v>4596.1099999999997</v>
          </cell>
          <cell r="N46">
            <v>4784.84</v>
          </cell>
          <cell r="O46">
            <v>211.63300000000001</v>
          </cell>
          <cell r="P46">
            <v>221.35300000000001</v>
          </cell>
          <cell r="Q46">
            <v>233.28</v>
          </cell>
        </row>
        <row r="47">
          <cell r="A47" t="str">
            <v>Essex</v>
          </cell>
          <cell r="B47">
            <v>881</v>
          </cell>
          <cell r="C47">
            <v>23186</v>
          </cell>
          <cell r="D47">
            <v>89035</v>
          </cell>
          <cell r="E47">
            <v>81879</v>
          </cell>
          <cell r="F47">
            <v>23987</v>
          </cell>
          <cell r="G47">
            <v>87928</v>
          </cell>
          <cell r="H47">
            <v>80982</v>
          </cell>
          <cell r="I47">
            <v>24223</v>
          </cell>
          <cell r="J47">
            <v>87609</v>
          </cell>
          <cell r="K47">
            <v>80336</v>
          </cell>
          <cell r="L47">
            <v>3924.08</v>
          </cell>
          <cell r="M47">
            <v>4066.74</v>
          </cell>
          <cell r="N47">
            <v>4237.8</v>
          </cell>
          <cell r="O47">
            <v>761.66399999999999</v>
          </cell>
          <cell r="P47">
            <v>784.46199999999999</v>
          </cell>
          <cell r="Q47">
            <v>814.37</v>
          </cell>
        </row>
        <row r="48">
          <cell r="A48" t="str">
            <v>Gateshead</v>
          </cell>
          <cell r="B48">
            <v>390</v>
          </cell>
          <cell r="C48">
            <v>3235</v>
          </cell>
          <cell r="D48">
            <v>12138</v>
          </cell>
          <cell r="E48">
            <v>10354</v>
          </cell>
          <cell r="F48">
            <v>3295</v>
          </cell>
          <cell r="G48">
            <v>11837</v>
          </cell>
          <cell r="H48">
            <v>10201</v>
          </cell>
          <cell r="I48">
            <v>3333</v>
          </cell>
          <cell r="J48">
            <v>11634</v>
          </cell>
          <cell r="K48">
            <v>10062</v>
          </cell>
          <cell r="L48">
            <v>3985.81</v>
          </cell>
          <cell r="M48">
            <v>4129.08</v>
          </cell>
          <cell r="N48">
            <v>4299.6899999999996</v>
          </cell>
          <cell r="O48">
            <v>102.54300000000001</v>
          </cell>
          <cell r="P48">
            <v>104.602</v>
          </cell>
          <cell r="Q48">
            <v>107.617</v>
          </cell>
        </row>
        <row r="49">
          <cell r="A49" t="str">
            <v>Gloucestershire</v>
          </cell>
          <cell r="B49">
            <v>916</v>
          </cell>
          <cell r="C49">
            <v>9804</v>
          </cell>
          <cell r="D49">
            <v>36606</v>
          </cell>
          <cell r="E49">
            <v>35195</v>
          </cell>
          <cell r="F49">
            <v>10036</v>
          </cell>
          <cell r="G49">
            <v>36000</v>
          </cell>
          <cell r="H49">
            <v>34951</v>
          </cell>
          <cell r="I49">
            <v>10028</v>
          </cell>
          <cell r="J49">
            <v>35733</v>
          </cell>
          <cell r="K49">
            <v>34611</v>
          </cell>
          <cell r="L49">
            <v>3743.69</v>
          </cell>
          <cell r="M49">
            <v>3880.69</v>
          </cell>
          <cell r="N49">
            <v>4045.62</v>
          </cell>
          <cell r="O49">
            <v>305.50400000000002</v>
          </cell>
          <cell r="P49">
            <v>314.28500000000003</v>
          </cell>
          <cell r="Q49">
            <v>325.15499999999997</v>
          </cell>
        </row>
        <row r="50">
          <cell r="A50" t="str">
            <v>Greenwich</v>
          </cell>
          <cell r="B50">
            <v>203</v>
          </cell>
          <cell r="C50">
            <v>4992</v>
          </cell>
          <cell r="D50">
            <v>16222</v>
          </cell>
          <cell r="E50">
            <v>11754</v>
          </cell>
          <cell r="F50">
            <v>5159</v>
          </cell>
          <cell r="G50">
            <v>16268</v>
          </cell>
          <cell r="H50">
            <v>11641</v>
          </cell>
          <cell r="I50">
            <v>5248</v>
          </cell>
          <cell r="J50">
            <v>16435</v>
          </cell>
          <cell r="K50">
            <v>11611</v>
          </cell>
          <cell r="L50">
            <v>5360.86</v>
          </cell>
          <cell r="M50">
            <v>5576.31</v>
          </cell>
          <cell r="N50">
            <v>5826.65</v>
          </cell>
          <cell r="O50">
            <v>176.73699999999999</v>
          </cell>
          <cell r="P50">
            <v>184.39699999999999</v>
          </cell>
          <cell r="Q50">
            <v>193.99199999999999</v>
          </cell>
        </row>
        <row r="51">
          <cell r="A51" t="str">
            <v>Hackney</v>
          </cell>
          <cell r="B51">
            <v>204</v>
          </cell>
          <cell r="C51">
            <v>5157</v>
          </cell>
          <cell r="D51">
            <v>13722</v>
          </cell>
          <cell r="E51">
            <v>6656</v>
          </cell>
          <cell r="F51">
            <v>5219</v>
          </cell>
          <cell r="G51">
            <v>13941</v>
          </cell>
          <cell r="H51">
            <v>6863</v>
          </cell>
          <cell r="I51">
            <v>5220</v>
          </cell>
          <cell r="J51">
            <v>14202</v>
          </cell>
          <cell r="K51">
            <v>6914</v>
          </cell>
          <cell r="L51">
            <v>6169.97</v>
          </cell>
          <cell r="M51">
            <v>6408.88</v>
          </cell>
          <cell r="N51">
            <v>6681.98</v>
          </cell>
          <cell r="O51">
            <v>157.55000000000001</v>
          </cell>
          <cell r="P51">
            <v>166.77799999999999</v>
          </cell>
          <cell r="Q51">
            <v>175.977</v>
          </cell>
        </row>
        <row r="52">
          <cell r="A52" t="str">
            <v>Halton</v>
          </cell>
          <cell r="B52">
            <v>876</v>
          </cell>
          <cell r="C52">
            <v>2294</v>
          </cell>
          <cell r="D52">
            <v>8516</v>
          </cell>
          <cell r="E52">
            <v>7658</v>
          </cell>
          <cell r="F52">
            <v>2390</v>
          </cell>
          <cell r="G52">
            <v>8468</v>
          </cell>
          <cell r="H52">
            <v>7416</v>
          </cell>
          <cell r="I52">
            <v>2405</v>
          </cell>
          <cell r="J52">
            <v>8483</v>
          </cell>
          <cell r="K52">
            <v>7276</v>
          </cell>
          <cell r="L52">
            <v>4225.6499999999996</v>
          </cell>
          <cell r="M52">
            <v>4376.32</v>
          </cell>
          <cell r="N52">
            <v>4555.01</v>
          </cell>
          <cell r="O52">
            <v>78.039000000000001</v>
          </cell>
          <cell r="P52">
            <v>79.972999999999999</v>
          </cell>
          <cell r="Q52">
            <v>82.736999999999995</v>
          </cell>
        </row>
        <row r="53">
          <cell r="A53" t="str">
            <v>Hammersmith and Fulham</v>
          </cell>
          <cell r="B53">
            <v>205</v>
          </cell>
          <cell r="C53">
            <v>2849</v>
          </cell>
          <cell r="D53">
            <v>7310</v>
          </cell>
          <cell r="E53">
            <v>5050</v>
          </cell>
          <cell r="F53">
            <v>3007</v>
          </cell>
          <cell r="G53">
            <v>7234</v>
          </cell>
          <cell r="H53">
            <v>5020</v>
          </cell>
          <cell r="I53">
            <v>3157</v>
          </cell>
          <cell r="J53">
            <v>7300</v>
          </cell>
          <cell r="K53">
            <v>4965</v>
          </cell>
          <cell r="L53">
            <v>5634.59</v>
          </cell>
          <cell r="M53">
            <v>5830.6</v>
          </cell>
          <cell r="N53">
            <v>6059.25</v>
          </cell>
          <cell r="O53">
            <v>85.695999999999998</v>
          </cell>
          <cell r="P53">
            <v>88.980999999999995</v>
          </cell>
          <cell r="Q53">
            <v>93.445999999999998</v>
          </cell>
        </row>
        <row r="54">
          <cell r="A54" t="str">
            <v>Hampshire</v>
          </cell>
          <cell r="B54">
            <v>850</v>
          </cell>
          <cell r="C54">
            <v>22000</v>
          </cell>
          <cell r="D54">
            <v>82329</v>
          </cell>
          <cell r="E54">
            <v>71492</v>
          </cell>
          <cell r="F54">
            <v>22581</v>
          </cell>
          <cell r="G54">
            <v>81279</v>
          </cell>
          <cell r="H54">
            <v>70956</v>
          </cell>
          <cell r="I54">
            <v>22732</v>
          </cell>
          <cell r="J54">
            <v>80896</v>
          </cell>
          <cell r="K54">
            <v>70421</v>
          </cell>
          <cell r="L54">
            <v>3823.78</v>
          </cell>
          <cell r="M54">
            <v>3963.63</v>
          </cell>
          <cell r="N54">
            <v>4131.8900000000003</v>
          </cell>
          <cell r="O54">
            <v>672.30100000000004</v>
          </cell>
          <cell r="P54">
            <v>692.90599999999995</v>
          </cell>
          <cell r="Q54">
            <v>719.15099999999995</v>
          </cell>
        </row>
        <row r="55">
          <cell r="A55" t="str">
            <v>Haringey</v>
          </cell>
          <cell r="B55">
            <v>309</v>
          </cell>
          <cell r="C55">
            <v>5173</v>
          </cell>
          <cell r="D55">
            <v>17022</v>
          </cell>
          <cell r="E55">
            <v>10845</v>
          </cell>
          <cell r="F55">
            <v>5268</v>
          </cell>
          <cell r="G55">
            <v>17391</v>
          </cell>
          <cell r="H55">
            <v>10931</v>
          </cell>
          <cell r="I55">
            <v>5292</v>
          </cell>
          <cell r="J55">
            <v>17856</v>
          </cell>
          <cell r="K55">
            <v>10945</v>
          </cell>
          <cell r="L55">
            <v>4986.83</v>
          </cell>
          <cell r="M55">
            <v>5160.66</v>
          </cell>
          <cell r="N55">
            <v>5364.29</v>
          </cell>
          <cell r="O55">
            <v>164.76499999999999</v>
          </cell>
          <cell r="P55">
            <v>173.34700000000001</v>
          </cell>
          <cell r="Q55">
            <v>182.88499999999999</v>
          </cell>
        </row>
        <row r="56">
          <cell r="A56" t="str">
            <v>Harrow</v>
          </cell>
          <cell r="B56">
            <v>310</v>
          </cell>
          <cell r="C56">
            <v>4299</v>
          </cell>
          <cell r="D56">
            <v>14709</v>
          </cell>
          <cell r="E56">
            <v>11062</v>
          </cell>
          <cell r="F56">
            <v>4410</v>
          </cell>
          <cell r="G56">
            <v>14949</v>
          </cell>
          <cell r="H56">
            <v>11114</v>
          </cell>
          <cell r="I56">
            <v>4403</v>
          </cell>
          <cell r="J56">
            <v>15425</v>
          </cell>
          <cell r="K56">
            <v>11133</v>
          </cell>
          <cell r="L56">
            <v>4506.68</v>
          </cell>
          <cell r="M56">
            <v>4668.79</v>
          </cell>
          <cell r="N56">
            <v>4862.29</v>
          </cell>
          <cell r="O56">
            <v>135.51599999999999</v>
          </cell>
          <cell r="P56">
            <v>142.27199999999999</v>
          </cell>
          <cell r="Q56">
            <v>150.541</v>
          </cell>
        </row>
        <row r="57">
          <cell r="A57" t="str">
            <v>Hartlepool</v>
          </cell>
          <cell r="B57">
            <v>805</v>
          </cell>
          <cell r="C57">
            <v>1787</v>
          </cell>
          <cell r="D57">
            <v>6566</v>
          </cell>
          <cell r="E57">
            <v>6272</v>
          </cell>
          <cell r="F57">
            <v>1854</v>
          </cell>
          <cell r="G57">
            <v>6429</v>
          </cell>
          <cell r="H57">
            <v>6147</v>
          </cell>
          <cell r="I57">
            <v>1882</v>
          </cell>
          <cell r="J57">
            <v>6382</v>
          </cell>
          <cell r="K57">
            <v>6019</v>
          </cell>
          <cell r="L57">
            <v>4028.78</v>
          </cell>
          <cell r="M57">
            <v>4173.3500000000004</v>
          </cell>
          <cell r="N57">
            <v>4345.33</v>
          </cell>
          <cell r="O57">
            <v>58.920999999999999</v>
          </cell>
          <cell r="P57">
            <v>60.220999999999997</v>
          </cell>
          <cell r="Q57">
            <v>62.064</v>
          </cell>
        </row>
        <row r="58">
          <cell r="A58" t="str">
            <v>Havering</v>
          </cell>
          <cell r="B58">
            <v>311</v>
          </cell>
          <cell r="C58">
            <v>4077</v>
          </cell>
          <cell r="D58">
            <v>15826</v>
          </cell>
          <cell r="E58">
            <v>15673</v>
          </cell>
          <cell r="F58">
            <v>4190</v>
          </cell>
          <cell r="G58">
            <v>15622</v>
          </cell>
          <cell r="H58">
            <v>15593</v>
          </cell>
          <cell r="I58">
            <v>4258</v>
          </cell>
          <cell r="J58">
            <v>15539</v>
          </cell>
          <cell r="K58">
            <v>15433</v>
          </cell>
          <cell r="L58">
            <v>4136.8100000000004</v>
          </cell>
          <cell r="M58">
            <v>4287.32</v>
          </cell>
          <cell r="N58">
            <v>4467.82</v>
          </cell>
          <cell r="O58">
            <v>147.17099999999999</v>
          </cell>
          <cell r="P58">
            <v>151.79300000000001</v>
          </cell>
          <cell r="Q58">
            <v>157.40100000000001</v>
          </cell>
        </row>
        <row r="59">
          <cell r="A59" t="str">
            <v>Herefordshire</v>
          </cell>
          <cell r="B59">
            <v>884</v>
          </cell>
          <cell r="C59">
            <v>2706</v>
          </cell>
          <cell r="D59">
            <v>10514</v>
          </cell>
          <cell r="E59">
            <v>9697</v>
          </cell>
          <cell r="F59">
            <v>2785</v>
          </cell>
          <cell r="G59">
            <v>10286</v>
          </cell>
          <cell r="H59">
            <v>9452</v>
          </cell>
          <cell r="I59">
            <v>2755</v>
          </cell>
          <cell r="J59">
            <v>10116</v>
          </cell>
          <cell r="K59">
            <v>9362</v>
          </cell>
          <cell r="L59">
            <v>3686.51</v>
          </cell>
          <cell r="M59">
            <v>3830.4</v>
          </cell>
          <cell r="N59">
            <v>4002.11</v>
          </cell>
          <cell r="O59">
            <v>84.483999999999995</v>
          </cell>
          <cell r="P59">
            <v>86.272000000000006</v>
          </cell>
          <cell r="Q59">
            <v>88.978999999999999</v>
          </cell>
        </row>
        <row r="60">
          <cell r="A60" t="str">
            <v>Hertfordshire</v>
          </cell>
          <cell r="B60">
            <v>919</v>
          </cell>
          <cell r="C60">
            <v>20333</v>
          </cell>
          <cell r="D60">
            <v>72981</v>
          </cell>
          <cell r="E60">
            <v>66415</v>
          </cell>
          <cell r="F60">
            <v>21084</v>
          </cell>
          <cell r="G60">
            <v>72469</v>
          </cell>
          <cell r="H60">
            <v>65747</v>
          </cell>
          <cell r="I60">
            <v>21500</v>
          </cell>
          <cell r="J60">
            <v>72411</v>
          </cell>
          <cell r="K60">
            <v>65377</v>
          </cell>
          <cell r="L60">
            <v>3895.74</v>
          </cell>
          <cell r="M60">
            <v>4038.96</v>
          </cell>
          <cell r="N60">
            <v>4211.6899999999996</v>
          </cell>
          <cell r="O60">
            <v>622.26300000000003</v>
          </cell>
          <cell r="P60">
            <v>643.40599999999995</v>
          </cell>
          <cell r="Q60">
            <v>670.87199999999996</v>
          </cell>
        </row>
        <row r="61">
          <cell r="A61" t="str">
            <v>Hillingdon</v>
          </cell>
          <cell r="B61">
            <v>312</v>
          </cell>
          <cell r="C61">
            <v>5291</v>
          </cell>
          <cell r="D61">
            <v>18514</v>
          </cell>
          <cell r="E61">
            <v>14266</v>
          </cell>
          <cell r="F61">
            <v>5454</v>
          </cell>
          <cell r="G61">
            <v>18659</v>
          </cell>
          <cell r="H61">
            <v>14139</v>
          </cell>
          <cell r="I61">
            <v>5482</v>
          </cell>
          <cell r="J61">
            <v>18825</v>
          </cell>
          <cell r="K61">
            <v>14301</v>
          </cell>
          <cell r="L61">
            <v>4361.3999999999996</v>
          </cell>
          <cell r="M61">
            <v>4519.38</v>
          </cell>
          <cell r="N61">
            <v>4708.57</v>
          </cell>
          <cell r="O61">
            <v>166.04300000000001</v>
          </cell>
          <cell r="P61">
            <v>172.875</v>
          </cell>
          <cell r="Q61">
            <v>181.78800000000001</v>
          </cell>
        </row>
        <row r="62">
          <cell r="A62" t="str">
            <v>Hounslow</v>
          </cell>
          <cell r="B62">
            <v>313</v>
          </cell>
          <cell r="C62">
            <v>4484</v>
          </cell>
          <cell r="D62">
            <v>14876</v>
          </cell>
          <cell r="E62">
            <v>13696</v>
          </cell>
          <cell r="F62">
            <v>4572</v>
          </cell>
          <cell r="G62">
            <v>14977</v>
          </cell>
          <cell r="H62">
            <v>13809</v>
          </cell>
          <cell r="I62">
            <v>4492</v>
          </cell>
          <cell r="J62">
            <v>15395</v>
          </cell>
          <cell r="K62">
            <v>13821</v>
          </cell>
          <cell r="L62">
            <v>4651.17</v>
          </cell>
          <cell r="M62">
            <v>4821.79</v>
          </cell>
          <cell r="N62">
            <v>5024.34</v>
          </cell>
          <cell r="O62">
            <v>153.749</v>
          </cell>
          <cell r="P62">
            <v>160.845</v>
          </cell>
          <cell r="Q62">
            <v>169.36</v>
          </cell>
        </row>
        <row r="63">
          <cell r="A63" t="str">
            <v>Isle of Wight</v>
          </cell>
          <cell r="B63">
            <v>921</v>
          </cell>
          <cell r="C63">
            <v>2099</v>
          </cell>
          <cell r="D63">
            <v>8253</v>
          </cell>
          <cell r="E63">
            <v>7818</v>
          </cell>
          <cell r="F63">
            <v>2179</v>
          </cell>
          <cell r="G63">
            <v>8054</v>
          </cell>
          <cell r="H63">
            <v>7799</v>
          </cell>
          <cell r="I63">
            <v>2201</v>
          </cell>
          <cell r="J63">
            <v>7996</v>
          </cell>
          <cell r="K63">
            <v>7745</v>
          </cell>
          <cell r="L63">
            <v>4050.83</v>
          </cell>
          <cell r="M63">
            <v>4197.54</v>
          </cell>
          <cell r="N63">
            <v>4373.07</v>
          </cell>
          <cell r="O63">
            <v>73.603999999999999</v>
          </cell>
          <cell r="P63">
            <v>75.69</v>
          </cell>
          <cell r="Q63">
            <v>78.462000000000003</v>
          </cell>
        </row>
        <row r="64">
          <cell r="A64" t="str">
            <v>Islington</v>
          </cell>
          <cell r="B64">
            <v>206</v>
          </cell>
          <cell r="C64">
            <v>3383</v>
          </cell>
          <cell r="D64">
            <v>10774</v>
          </cell>
          <cell r="E64">
            <v>7858</v>
          </cell>
          <cell r="F64">
            <v>3514</v>
          </cell>
          <cell r="G64">
            <v>10706</v>
          </cell>
          <cell r="H64">
            <v>7782</v>
          </cell>
          <cell r="I64">
            <v>3681</v>
          </cell>
          <cell r="J64">
            <v>10687</v>
          </cell>
          <cell r="K64">
            <v>7691</v>
          </cell>
          <cell r="L64">
            <v>5812.09</v>
          </cell>
          <cell r="M64">
            <v>6043.46</v>
          </cell>
          <cell r="N64">
            <v>6309.74</v>
          </cell>
          <cell r="O64">
            <v>127.953</v>
          </cell>
          <cell r="P64">
            <v>132.96799999999999</v>
          </cell>
          <cell r="Q64">
            <v>139.18700000000001</v>
          </cell>
        </row>
        <row r="65">
          <cell r="A65" t="str">
            <v>Kensington and Chelsea</v>
          </cell>
          <cell r="B65">
            <v>207</v>
          </cell>
          <cell r="C65">
            <v>2209</v>
          </cell>
          <cell r="D65">
            <v>5447</v>
          </cell>
          <cell r="E65">
            <v>3191</v>
          </cell>
          <cell r="F65">
            <v>2359</v>
          </cell>
          <cell r="G65">
            <v>5372</v>
          </cell>
          <cell r="H65">
            <v>3226</v>
          </cell>
          <cell r="I65">
            <v>2528</v>
          </cell>
          <cell r="J65">
            <v>5296</v>
          </cell>
          <cell r="K65">
            <v>3242</v>
          </cell>
          <cell r="L65">
            <v>5756.93</v>
          </cell>
          <cell r="M65">
            <v>5955.75</v>
          </cell>
          <cell r="N65">
            <v>6186.25</v>
          </cell>
          <cell r="O65">
            <v>62.445</v>
          </cell>
          <cell r="P65">
            <v>65.257000000000005</v>
          </cell>
          <cell r="Q65">
            <v>68.456999999999994</v>
          </cell>
        </row>
        <row r="66">
          <cell r="A66" t="str">
            <v>Kent</v>
          </cell>
          <cell r="B66">
            <v>886</v>
          </cell>
          <cell r="C66">
            <v>25019</v>
          </cell>
          <cell r="D66">
            <v>93516</v>
          </cell>
          <cell r="E66">
            <v>79254</v>
          </cell>
          <cell r="F66">
            <v>25874</v>
          </cell>
          <cell r="G66">
            <v>92697</v>
          </cell>
          <cell r="H66">
            <v>78720</v>
          </cell>
          <cell r="I66">
            <v>26283</v>
          </cell>
          <cell r="J66">
            <v>92646</v>
          </cell>
          <cell r="K66">
            <v>78254</v>
          </cell>
          <cell r="L66">
            <v>3938.26</v>
          </cell>
          <cell r="M66">
            <v>4080.7</v>
          </cell>
          <cell r="N66">
            <v>4250.97</v>
          </cell>
          <cell r="O66">
            <v>778.94500000000005</v>
          </cell>
          <cell r="P66">
            <v>805.08500000000004</v>
          </cell>
          <cell r="Q66">
            <v>838.21900000000005</v>
          </cell>
        </row>
        <row r="67">
          <cell r="A67" t="str">
            <v>Kingston Upon Hull, City of</v>
          </cell>
          <cell r="B67">
            <v>810</v>
          </cell>
          <cell r="C67">
            <v>4260</v>
          </cell>
          <cell r="D67">
            <v>16502</v>
          </cell>
          <cell r="E67">
            <v>14859</v>
          </cell>
          <cell r="F67">
            <v>4511</v>
          </cell>
          <cell r="G67">
            <v>16066</v>
          </cell>
          <cell r="H67">
            <v>14443</v>
          </cell>
          <cell r="I67">
            <v>4496</v>
          </cell>
          <cell r="J67">
            <v>15989</v>
          </cell>
          <cell r="K67">
            <v>14000</v>
          </cell>
          <cell r="L67">
            <v>4168.1400000000003</v>
          </cell>
          <cell r="M67">
            <v>4316.74</v>
          </cell>
          <cell r="N67">
            <v>4492.96</v>
          </cell>
          <cell r="O67">
            <v>149.36600000000001</v>
          </cell>
          <cell r="P67">
            <v>152.35300000000001</v>
          </cell>
          <cell r="Q67">
            <v>155.4</v>
          </cell>
        </row>
        <row r="68">
          <cell r="A68" t="str">
            <v>Kingston upon Thames</v>
          </cell>
          <cell r="B68">
            <v>314</v>
          </cell>
          <cell r="C68">
            <v>2654</v>
          </cell>
          <cell r="D68">
            <v>9010</v>
          </cell>
          <cell r="E68">
            <v>7651</v>
          </cell>
          <cell r="F68">
            <v>2790</v>
          </cell>
          <cell r="G68">
            <v>8970</v>
          </cell>
          <cell r="H68">
            <v>7626</v>
          </cell>
          <cell r="I68">
            <v>2839</v>
          </cell>
          <cell r="J68">
            <v>9048</v>
          </cell>
          <cell r="K68">
            <v>7646</v>
          </cell>
          <cell r="L68">
            <v>4255.53</v>
          </cell>
          <cell r="M68">
            <v>4410.3900000000003</v>
          </cell>
          <cell r="N68">
            <v>4596.1899999999996</v>
          </cell>
          <cell r="O68">
            <v>82.195999999999998</v>
          </cell>
          <cell r="P68">
            <v>85.5</v>
          </cell>
          <cell r="Q68">
            <v>89.777000000000001</v>
          </cell>
        </row>
        <row r="69">
          <cell r="A69" t="str">
            <v>Kirklees</v>
          </cell>
          <cell r="B69">
            <v>382</v>
          </cell>
          <cell r="C69">
            <v>8259</v>
          </cell>
          <cell r="D69">
            <v>28851</v>
          </cell>
          <cell r="E69">
            <v>24195</v>
          </cell>
          <cell r="F69">
            <v>8413</v>
          </cell>
          <cell r="G69">
            <v>28766</v>
          </cell>
          <cell r="H69">
            <v>23891</v>
          </cell>
          <cell r="I69">
            <v>8458</v>
          </cell>
          <cell r="J69">
            <v>28829</v>
          </cell>
          <cell r="K69">
            <v>23702</v>
          </cell>
          <cell r="L69">
            <v>3947.35</v>
          </cell>
          <cell r="M69">
            <v>4092.96</v>
          </cell>
          <cell r="N69">
            <v>4266.08</v>
          </cell>
          <cell r="O69">
            <v>241.99199999999999</v>
          </cell>
          <cell r="P69">
            <v>249.95699999999999</v>
          </cell>
          <cell r="Q69">
            <v>260.18400000000003</v>
          </cell>
        </row>
        <row r="70">
          <cell r="A70" t="str">
            <v>Knowsley</v>
          </cell>
          <cell r="B70">
            <v>340</v>
          </cell>
          <cell r="C70">
            <v>2971</v>
          </cell>
          <cell r="D70">
            <v>11159</v>
          </cell>
          <cell r="E70">
            <v>8713</v>
          </cell>
          <cell r="F70">
            <v>3019</v>
          </cell>
          <cell r="G70">
            <v>10936</v>
          </cell>
          <cell r="H70">
            <v>8322</v>
          </cell>
          <cell r="I70">
            <v>3110</v>
          </cell>
          <cell r="J70">
            <v>10810</v>
          </cell>
          <cell r="K70">
            <v>8091</v>
          </cell>
          <cell r="L70">
            <v>4235.97</v>
          </cell>
          <cell r="M70">
            <v>4414.38</v>
          </cell>
          <cell r="N70">
            <v>4621.1899999999996</v>
          </cell>
          <cell r="O70">
            <v>96.763999999999996</v>
          </cell>
          <cell r="P70">
            <v>98.698999999999998</v>
          </cell>
          <cell r="Q70">
            <v>101.717</v>
          </cell>
        </row>
        <row r="71">
          <cell r="A71" t="str">
            <v>Lambeth</v>
          </cell>
          <cell r="B71">
            <v>208</v>
          </cell>
          <cell r="C71">
            <v>5442</v>
          </cell>
          <cell r="D71">
            <v>15594</v>
          </cell>
          <cell r="E71">
            <v>8318</v>
          </cell>
          <cell r="F71">
            <v>5550</v>
          </cell>
          <cell r="G71">
            <v>15945</v>
          </cell>
          <cell r="H71">
            <v>8497</v>
          </cell>
          <cell r="I71">
            <v>5451</v>
          </cell>
          <cell r="J71">
            <v>16438</v>
          </cell>
          <cell r="K71">
            <v>8544</v>
          </cell>
          <cell r="L71">
            <v>5848.36</v>
          </cell>
          <cell r="M71">
            <v>6075.26</v>
          </cell>
          <cell r="N71">
            <v>6336.77</v>
          </cell>
          <cell r="O71">
            <v>171.673</v>
          </cell>
          <cell r="P71">
            <v>182.209</v>
          </cell>
          <cell r="Q71">
            <v>192.84700000000001</v>
          </cell>
        </row>
        <row r="72">
          <cell r="A72" t="str">
            <v>Lancashire</v>
          </cell>
          <cell r="B72">
            <v>888</v>
          </cell>
          <cell r="C72">
            <v>20365</v>
          </cell>
          <cell r="D72">
            <v>76429</v>
          </cell>
          <cell r="E72">
            <v>69470</v>
          </cell>
          <cell r="F72">
            <v>21069</v>
          </cell>
          <cell r="G72">
            <v>75169</v>
          </cell>
          <cell r="H72">
            <v>68143</v>
          </cell>
          <cell r="I72">
            <v>21314</v>
          </cell>
          <cell r="J72">
            <v>74763</v>
          </cell>
          <cell r="K72">
            <v>66880</v>
          </cell>
          <cell r="L72">
            <v>3927.39</v>
          </cell>
          <cell r="M72">
            <v>4069.03</v>
          </cell>
          <cell r="N72">
            <v>4238.04</v>
          </cell>
          <cell r="O72">
            <v>652.98400000000004</v>
          </cell>
          <cell r="P72">
            <v>668.87099999999998</v>
          </cell>
          <cell r="Q72">
            <v>690.61800000000005</v>
          </cell>
        </row>
        <row r="73">
          <cell r="A73" t="str">
            <v>Leeds</v>
          </cell>
          <cell r="B73">
            <v>383</v>
          </cell>
          <cell r="C73">
            <v>13031</v>
          </cell>
          <cell r="D73">
            <v>46159</v>
          </cell>
          <cell r="E73">
            <v>40845</v>
          </cell>
          <cell r="F73">
            <v>13562</v>
          </cell>
          <cell r="G73">
            <v>45798</v>
          </cell>
          <cell r="H73">
            <v>40039</v>
          </cell>
          <cell r="I73">
            <v>13933</v>
          </cell>
          <cell r="J73">
            <v>45841</v>
          </cell>
          <cell r="K73">
            <v>39475</v>
          </cell>
          <cell r="L73">
            <v>3926.32</v>
          </cell>
          <cell r="M73">
            <v>4067.87</v>
          </cell>
          <cell r="N73">
            <v>4236.66</v>
          </cell>
          <cell r="O73">
            <v>392.76900000000001</v>
          </cell>
          <cell r="P73">
            <v>404.34199999999998</v>
          </cell>
          <cell r="Q73">
            <v>420.48399999999998</v>
          </cell>
        </row>
        <row r="74">
          <cell r="A74" t="str">
            <v>Leicester</v>
          </cell>
          <cell r="B74">
            <v>856</v>
          </cell>
          <cell r="C74">
            <v>6378</v>
          </cell>
          <cell r="D74">
            <v>21948</v>
          </cell>
          <cell r="E74">
            <v>17529</v>
          </cell>
          <cell r="F74">
            <v>6645</v>
          </cell>
          <cell r="G74">
            <v>21936</v>
          </cell>
          <cell r="H74">
            <v>17550</v>
          </cell>
          <cell r="I74">
            <v>6599</v>
          </cell>
          <cell r="J74">
            <v>22324</v>
          </cell>
          <cell r="K74">
            <v>17440</v>
          </cell>
          <cell r="L74">
            <v>4151.2299999999996</v>
          </cell>
          <cell r="M74">
            <v>4310.33</v>
          </cell>
          <cell r="N74">
            <v>4497.21</v>
          </cell>
          <cell r="O74">
            <v>190.35499999999999</v>
          </cell>
          <cell r="P74">
            <v>198.84</v>
          </cell>
          <cell r="Q74">
            <v>208.50399999999999</v>
          </cell>
        </row>
        <row r="75">
          <cell r="A75" t="str">
            <v>Leicestershire</v>
          </cell>
          <cell r="B75">
            <v>855</v>
          </cell>
          <cell r="C75">
            <v>11273</v>
          </cell>
          <cell r="D75">
            <v>41945</v>
          </cell>
          <cell r="E75">
            <v>37636</v>
          </cell>
          <cell r="F75">
            <v>11642</v>
          </cell>
          <cell r="G75">
            <v>41663</v>
          </cell>
          <cell r="H75">
            <v>37129</v>
          </cell>
          <cell r="I75">
            <v>11641</v>
          </cell>
          <cell r="J75">
            <v>41610</v>
          </cell>
          <cell r="K75">
            <v>36912</v>
          </cell>
          <cell r="L75">
            <v>3595.88</v>
          </cell>
          <cell r="M75">
            <v>3728.05</v>
          </cell>
          <cell r="N75">
            <v>3887.56</v>
          </cell>
          <cell r="O75">
            <v>326.7</v>
          </cell>
          <cell r="P75">
            <v>337.142</v>
          </cell>
          <cell r="Q75">
            <v>350.51400000000001</v>
          </cell>
        </row>
        <row r="76">
          <cell r="A76" t="str">
            <v>Lewisham</v>
          </cell>
          <cell r="B76">
            <v>209</v>
          </cell>
          <cell r="C76">
            <v>4971</v>
          </cell>
          <cell r="D76">
            <v>16558</v>
          </cell>
          <cell r="E76">
            <v>9956</v>
          </cell>
          <cell r="F76">
            <v>5131</v>
          </cell>
          <cell r="G76">
            <v>16444</v>
          </cell>
          <cell r="H76">
            <v>10055</v>
          </cell>
          <cell r="I76">
            <v>5125</v>
          </cell>
          <cell r="J76">
            <v>16586</v>
          </cell>
          <cell r="K76">
            <v>10083</v>
          </cell>
          <cell r="L76">
            <v>5556.2</v>
          </cell>
          <cell r="M76">
            <v>5751.35</v>
          </cell>
          <cell r="N76">
            <v>5980.96</v>
          </cell>
          <cell r="O76">
            <v>174.93700000000001</v>
          </cell>
          <cell r="P76">
            <v>181.91499999999999</v>
          </cell>
          <cell r="Q76">
            <v>190.15899999999999</v>
          </cell>
        </row>
        <row r="77">
          <cell r="A77" t="str">
            <v>Lincolnshire</v>
          </cell>
          <cell r="B77">
            <v>925</v>
          </cell>
          <cell r="C77">
            <v>10984</v>
          </cell>
          <cell r="D77">
            <v>43408</v>
          </cell>
          <cell r="E77">
            <v>43489</v>
          </cell>
          <cell r="F77">
            <v>11426</v>
          </cell>
          <cell r="G77">
            <v>42862</v>
          </cell>
          <cell r="H77">
            <v>43248</v>
          </cell>
          <cell r="I77">
            <v>11654</v>
          </cell>
          <cell r="J77">
            <v>42580</v>
          </cell>
          <cell r="K77">
            <v>42940</v>
          </cell>
          <cell r="L77">
            <v>3795.01</v>
          </cell>
          <cell r="M77">
            <v>3933.16</v>
          </cell>
          <cell r="N77">
            <v>4098.87</v>
          </cell>
          <cell r="O77">
            <v>371.459</v>
          </cell>
          <cell r="P77">
            <v>383.625</v>
          </cell>
          <cell r="Q77">
            <v>398.30399999999997</v>
          </cell>
        </row>
        <row r="78">
          <cell r="A78" t="str">
            <v>Liverpool</v>
          </cell>
          <cell r="B78">
            <v>341</v>
          </cell>
          <cell r="C78">
            <v>7800</v>
          </cell>
          <cell r="D78">
            <v>28595</v>
          </cell>
          <cell r="E78">
            <v>25218</v>
          </cell>
          <cell r="F78">
            <v>7986</v>
          </cell>
          <cell r="G78">
            <v>27938</v>
          </cell>
          <cell r="H78">
            <v>24601</v>
          </cell>
          <cell r="I78">
            <v>8219</v>
          </cell>
          <cell r="J78">
            <v>27712</v>
          </cell>
          <cell r="K78">
            <v>23851</v>
          </cell>
          <cell r="L78">
            <v>4320.2299999999996</v>
          </cell>
          <cell r="M78">
            <v>4483.6899999999996</v>
          </cell>
          <cell r="N78">
            <v>4675.01</v>
          </cell>
          <cell r="O78">
            <v>266.18200000000002</v>
          </cell>
          <cell r="P78">
            <v>271.50599999999997</v>
          </cell>
          <cell r="Q78">
            <v>279.48099999999999</v>
          </cell>
        </row>
        <row r="79">
          <cell r="A79" t="str">
            <v>Luton</v>
          </cell>
          <cell r="B79">
            <v>821</v>
          </cell>
          <cell r="C79">
            <v>4577</v>
          </cell>
          <cell r="D79">
            <v>15287</v>
          </cell>
          <cell r="E79">
            <v>10689</v>
          </cell>
          <cell r="F79">
            <v>4649</v>
          </cell>
          <cell r="G79">
            <v>15553</v>
          </cell>
          <cell r="H79">
            <v>10597</v>
          </cell>
          <cell r="I79">
            <v>4697</v>
          </cell>
          <cell r="J79">
            <v>15814</v>
          </cell>
          <cell r="K79">
            <v>10530</v>
          </cell>
          <cell r="L79">
            <v>4250.55</v>
          </cell>
          <cell r="M79">
            <v>4402.34</v>
          </cell>
          <cell r="N79">
            <v>4582.59</v>
          </cell>
          <cell r="O79">
            <v>129.86699999999999</v>
          </cell>
          <cell r="P79">
            <v>135.58799999999999</v>
          </cell>
          <cell r="Q79">
            <v>142.24799999999999</v>
          </cell>
        </row>
        <row r="80">
          <cell r="A80" t="str">
            <v>Manchester</v>
          </cell>
          <cell r="B80">
            <v>352</v>
          </cell>
          <cell r="C80">
            <v>9064</v>
          </cell>
          <cell r="D80">
            <v>30579</v>
          </cell>
          <cell r="E80">
            <v>22630</v>
          </cell>
          <cell r="F80">
            <v>9441</v>
          </cell>
          <cell r="G80">
            <v>30769</v>
          </cell>
          <cell r="H80">
            <v>22334</v>
          </cell>
          <cell r="I80">
            <v>9698</v>
          </cell>
          <cell r="J80">
            <v>31476</v>
          </cell>
          <cell r="K80">
            <v>21987</v>
          </cell>
          <cell r="L80">
            <v>4571.18</v>
          </cell>
          <cell r="M80">
            <v>4731.28</v>
          </cell>
          <cell r="N80">
            <v>4919.1099999999997</v>
          </cell>
          <cell r="O80">
            <v>284.661</v>
          </cell>
          <cell r="P80">
            <v>295.91300000000001</v>
          </cell>
          <cell r="Q80">
            <v>310.69600000000003</v>
          </cell>
        </row>
        <row r="81">
          <cell r="A81" t="str">
            <v>Medway</v>
          </cell>
          <cell r="B81">
            <v>887</v>
          </cell>
          <cell r="C81">
            <v>5067</v>
          </cell>
          <cell r="D81">
            <v>18415</v>
          </cell>
          <cell r="E81">
            <v>17280</v>
          </cell>
          <cell r="F81">
            <v>5215</v>
          </cell>
          <cell r="G81">
            <v>18068</v>
          </cell>
          <cell r="H81">
            <v>16999</v>
          </cell>
          <cell r="I81">
            <v>5274</v>
          </cell>
          <cell r="J81">
            <v>18059</v>
          </cell>
          <cell r="K81">
            <v>16598</v>
          </cell>
          <cell r="L81">
            <v>4033.77</v>
          </cell>
          <cell r="M81">
            <v>4178.7299999999996</v>
          </cell>
          <cell r="N81">
            <v>4351.3599999999997</v>
          </cell>
          <cell r="O81">
            <v>164.42500000000001</v>
          </cell>
          <cell r="P81">
            <v>168.328</v>
          </cell>
          <cell r="Q81">
            <v>173.75399999999999</v>
          </cell>
        </row>
        <row r="82">
          <cell r="A82" t="str">
            <v>Merton</v>
          </cell>
          <cell r="B82">
            <v>315</v>
          </cell>
          <cell r="C82">
            <v>3550</v>
          </cell>
          <cell r="D82">
            <v>10940</v>
          </cell>
          <cell r="E82">
            <v>6766</v>
          </cell>
          <cell r="F82">
            <v>3738</v>
          </cell>
          <cell r="G82">
            <v>10907</v>
          </cell>
          <cell r="H82">
            <v>6840</v>
          </cell>
          <cell r="I82">
            <v>3809</v>
          </cell>
          <cell r="J82">
            <v>11002</v>
          </cell>
          <cell r="K82">
            <v>6916</v>
          </cell>
          <cell r="L82">
            <v>4452.28</v>
          </cell>
          <cell r="M82">
            <v>4611.74</v>
          </cell>
          <cell r="N82">
            <v>4801.3500000000004</v>
          </cell>
          <cell r="O82">
            <v>94.638000000000005</v>
          </cell>
          <cell r="P82">
            <v>99.082999999999998</v>
          </cell>
          <cell r="Q82">
            <v>104.319</v>
          </cell>
        </row>
        <row r="83">
          <cell r="A83" t="str">
            <v>Middlesbrough</v>
          </cell>
          <cell r="B83">
            <v>806</v>
          </cell>
          <cell r="C83">
            <v>2870</v>
          </cell>
          <cell r="D83">
            <v>9995</v>
          </cell>
          <cell r="E83">
            <v>5870</v>
          </cell>
          <cell r="F83">
            <v>2985</v>
          </cell>
          <cell r="G83">
            <v>9858</v>
          </cell>
          <cell r="H83">
            <v>5863</v>
          </cell>
          <cell r="I83">
            <v>2926</v>
          </cell>
          <cell r="J83">
            <v>9927</v>
          </cell>
          <cell r="K83">
            <v>5735</v>
          </cell>
          <cell r="L83">
            <v>4181.8599999999997</v>
          </cell>
          <cell r="M83">
            <v>4330.3500000000004</v>
          </cell>
          <cell r="N83">
            <v>4505.8500000000004</v>
          </cell>
          <cell r="O83">
            <v>78.346999999999994</v>
          </cell>
          <cell r="P83">
            <v>81.004000000000005</v>
          </cell>
          <cell r="Q83">
            <v>83.754999999999995</v>
          </cell>
        </row>
        <row r="84">
          <cell r="A84" t="str">
            <v>Milton Keynes</v>
          </cell>
          <cell r="B84">
            <v>826</v>
          </cell>
          <cell r="C84">
            <v>4947</v>
          </cell>
          <cell r="D84">
            <v>17389</v>
          </cell>
          <cell r="E84">
            <v>14044</v>
          </cell>
          <cell r="F84">
            <v>5077</v>
          </cell>
          <cell r="G84">
            <v>17738</v>
          </cell>
          <cell r="H84">
            <v>14069</v>
          </cell>
          <cell r="I84">
            <v>5071</v>
          </cell>
          <cell r="J84">
            <v>18168</v>
          </cell>
          <cell r="K84">
            <v>14267</v>
          </cell>
          <cell r="L84">
            <v>4079.74</v>
          </cell>
          <cell r="M84">
            <v>4231.47</v>
          </cell>
          <cell r="N84">
            <v>4412.99</v>
          </cell>
          <cell r="O84">
            <v>148.42099999999999</v>
          </cell>
          <cell r="P84">
            <v>156.07400000000001</v>
          </cell>
          <cell r="Q84">
            <v>165.51400000000001</v>
          </cell>
        </row>
        <row r="85">
          <cell r="A85" t="str">
            <v>Newcastle upon Tyne</v>
          </cell>
          <cell r="B85">
            <v>391</v>
          </cell>
          <cell r="C85">
            <v>4402</v>
          </cell>
          <cell r="D85">
            <v>15649</v>
          </cell>
          <cell r="E85">
            <v>13603</v>
          </cell>
          <cell r="F85">
            <v>4488</v>
          </cell>
          <cell r="G85">
            <v>15311</v>
          </cell>
          <cell r="H85">
            <v>13476</v>
          </cell>
          <cell r="I85">
            <v>4645</v>
          </cell>
          <cell r="J85">
            <v>15218</v>
          </cell>
          <cell r="K85">
            <v>13133</v>
          </cell>
          <cell r="L85">
            <v>4095.7</v>
          </cell>
          <cell r="M85">
            <v>4255.62</v>
          </cell>
          <cell r="N85">
            <v>4443.18</v>
          </cell>
          <cell r="O85">
            <v>137.83699999999999</v>
          </cell>
          <cell r="P85">
            <v>141.60599999999999</v>
          </cell>
          <cell r="Q85">
            <v>146.607</v>
          </cell>
        </row>
        <row r="86">
          <cell r="A86" t="str">
            <v>Newham</v>
          </cell>
          <cell r="B86">
            <v>316</v>
          </cell>
          <cell r="C86">
            <v>7035</v>
          </cell>
          <cell r="D86">
            <v>23247</v>
          </cell>
          <cell r="E86">
            <v>18102</v>
          </cell>
          <cell r="F86">
            <v>7227</v>
          </cell>
          <cell r="G86">
            <v>23443</v>
          </cell>
          <cell r="H86">
            <v>18136</v>
          </cell>
          <cell r="I86">
            <v>7441</v>
          </cell>
          <cell r="J86">
            <v>23829</v>
          </cell>
          <cell r="K86">
            <v>18033</v>
          </cell>
          <cell r="L86">
            <v>5070.99</v>
          </cell>
          <cell r="M86">
            <v>5259.4</v>
          </cell>
          <cell r="N86">
            <v>5477.89</v>
          </cell>
          <cell r="O86">
            <v>245.35499999999999</v>
          </cell>
          <cell r="P86">
            <v>256.69</v>
          </cell>
          <cell r="Q86">
            <v>270.07600000000002</v>
          </cell>
        </row>
        <row r="87">
          <cell r="A87" t="str">
            <v>Norfolk</v>
          </cell>
          <cell r="B87">
            <v>926</v>
          </cell>
          <cell r="C87">
            <v>13297</v>
          </cell>
          <cell r="D87">
            <v>49763</v>
          </cell>
          <cell r="E87">
            <v>45874</v>
          </cell>
          <cell r="F87">
            <v>13684</v>
          </cell>
          <cell r="G87">
            <v>49131</v>
          </cell>
          <cell r="H87">
            <v>45644</v>
          </cell>
          <cell r="I87">
            <v>13885</v>
          </cell>
          <cell r="J87">
            <v>49105</v>
          </cell>
          <cell r="K87">
            <v>45335</v>
          </cell>
          <cell r="L87">
            <v>3807.06</v>
          </cell>
          <cell r="M87">
            <v>3945.27</v>
          </cell>
          <cell r="N87">
            <v>4110.8500000000004</v>
          </cell>
          <cell r="O87">
            <v>414.71800000000002</v>
          </cell>
          <cell r="P87">
            <v>427.9</v>
          </cell>
          <cell r="Q87">
            <v>445.30799999999999</v>
          </cell>
        </row>
        <row r="88">
          <cell r="A88" t="str">
            <v>North East Lincolnshire</v>
          </cell>
          <cell r="B88">
            <v>812</v>
          </cell>
          <cell r="C88">
            <v>2921</v>
          </cell>
          <cell r="D88">
            <v>10692</v>
          </cell>
          <cell r="E88">
            <v>8064</v>
          </cell>
          <cell r="F88">
            <v>3016</v>
          </cell>
          <cell r="G88">
            <v>10349</v>
          </cell>
          <cell r="H88">
            <v>7717</v>
          </cell>
          <cell r="I88">
            <v>3009</v>
          </cell>
          <cell r="J88">
            <v>10249</v>
          </cell>
          <cell r="K88">
            <v>7491</v>
          </cell>
          <cell r="L88">
            <v>4133.95</v>
          </cell>
          <cell r="M88">
            <v>4281.1099999999997</v>
          </cell>
          <cell r="N88">
            <v>4455.4399999999996</v>
          </cell>
          <cell r="O88">
            <v>91.128999999999991</v>
          </cell>
          <cell r="P88">
            <v>92.951999999999998</v>
          </cell>
          <cell r="Q88">
            <v>94.810999999999993</v>
          </cell>
        </row>
        <row r="89">
          <cell r="A89" t="str">
            <v>North Lincolnshire</v>
          </cell>
          <cell r="B89">
            <v>813</v>
          </cell>
          <cell r="C89">
            <v>2782</v>
          </cell>
          <cell r="D89">
            <v>10896</v>
          </cell>
          <cell r="E89">
            <v>10467</v>
          </cell>
          <cell r="F89">
            <v>2879</v>
          </cell>
          <cell r="G89">
            <v>10739</v>
          </cell>
          <cell r="H89">
            <v>10286</v>
          </cell>
          <cell r="I89">
            <v>2935</v>
          </cell>
          <cell r="J89">
            <v>10744</v>
          </cell>
          <cell r="K89">
            <v>10144</v>
          </cell>
          <cell r="L89">
            <v>3822.03</v>
          </cell>
          <cell r="M89">
            <v>3960.86</v>
          </cell>
          <cell r="N89">
            <v>4127.18</v>
          </cell>
          <cell r="O89">
            <v>92.283000000000001</v>
          </cell>
          <cell r="P89">
            <v>94.68</v>
          </cell>
          <cell r="Q89">
            <v>98.322000000000003</v>
          </cell>
        </row>
        <row r="90">
          <cell r="A90" t="str">
            <v>North Somerset</v>
          </cell>
          <cell r="B90">
            <v>802</v>
          </cell>
          <cell r="C90">
            <v>3460</v>
          </cell>
          <cell r="D90">
            <v>12654</v>
          </cell>
          <cell r="E90">
            <v>11857</v>
          </cell>
          <cell r="F90">
            <v>3562</v>
          </cell>
          <cell r="G90">
            <v>12694</v>
          </cell>
          <cell r="H90">
            <v>11834</v>
          </cell>
          <cell r="I90">
            <v>3600</v>
          </cell>
          <cell r="J90">
            <v>12800</v>
          </cell>
          <cell r="K90">
            <v>11866</v>
          </cell>
          <cell r="L90">
            <v>3756.97</v>
          </cell>
          <cell r="M90">
            <v>3894.82</v>
          </cell>
          <cell r="N90">
            <v>4061.03</v>
          </cell>
          <cell r="O90">
            <v>105.086</v>
          </cell>
          <cell r="P90">
            <v>109.405</v>
          </cell>
          <cell r="Q90">
            <v>114.789</v>
          </cell>
        </row>
        <row r="91">
          <cell r="A91" t="str">
            <v>North Tyneside</v>
          </cell>
          <cell r="B91">
            <v>392</v>
          </cell>
          <cell r="C91">
            <v>3527</v>
          </cell>
          <cell r="D91">
            <v>12585</v>
          </cell>
          <cell r="E91">
            <v>11272</v>
          </cell>
          <cell r="F91">
            <v>3660</v>
          </cell>
          <cell r="G91">
            <v>12454</v>
          </cell>
          <cell r="H91">
            <v>10996</v>
          </cell>
          <cell r="I91">
            <v>3708</v>
          </cell>
          <cell r="J91">
            <v>12400</v>
          </cell>
          <cell r="K91">
            <v>10828</v>
          </cell>
          <cell r="L91">
            <v>3835.61</v>
          </cell>
          <cell r="M91">
            <v>3974.37</v>
          </cell>
          <cell r="N91">
            <v>4140.2299999999996</v>
          </cell>
          <cell r="O91">
            <v>105.03400000000001</v>
          </cell>
          <cell r="P91">
            <v>107.745</v>
          </cell>
          <cell r="Q91">
            <v>111.521</v>
          </cell>
        </row>
        <row r="92">
          <cell r="A92" t="str">
            <v>North Yorkshire</v>
          </cell>
          <cell r="B92">
            <v>815</v>
          </cell>
          <cell r="C92">
            <v>9660</v>
          </cell>
          <cell r="D92">
            <v>35707</v>
          </cell>
          <cell r="E92">
            <v>35370</v>
          </cell>
          <cell r="F92">
            <v>9905</v>
          </cell>
          <cell r="G92">
            <v>35244</v>
          </cell>
          <cell r="H92">
            <v>34824</v>
          </cell>
          <cell r="I92">
            <v>10013</v>
          </cell>
          <cell r="J92">
            <v>35088</v>
          </cell>
          <cell r="K92">
            <v>34327</v>
          </cell>
          <cell r="L92">
            <v>3853.69</v>
          </cell>
          <cell r="M92">
            <v>3993.33</v>
          </cell>
          <cell r="N92">
            <v>4160.42</v>
          </cell>
          <cell r="O92">
            <v>311.13499999999999</v>
          </cell>
          <cell r="P92">
            <v>319.35899999999998</v>
          </cell>
          <cell r="Q92">
            <v>330.45400000000001</v>
          </cell>
        </row>
        <row r="93">
          <cell r="A93" t="str">
            <v>Northamptonshire</v>
          </cell>
          <cell r="B93">
            <v>928</v>
          </cell>
          <cell r="C93">
            <v>13130</v>
          </cell>
          <cell r="D93">
            <v>47370</v>
          </cell>
          <cell r="E93">
            <v>38803</v>
          </cell>
          <cell r="F93">
            <v>13619</v>
          </cell>
          <cell r="G93">
            <v>47309</v>
          </cell>
          <cell r="H93">
            <v>38268</v>
          </cell>
          <cell r="I93">
            <v>13728</v>
          </cell>
          <cell r="J93">
            <v>47732</v>
          </cell>
          <cell r="K93">
            <v>38068</v>
          </cell>
          <cell r="L93">
            <v>3784.96</v>
          </cell>
          <cell r="M93">
            <v>3922.7</v>
          </cell>
          <cell r="N93">
            <v>4088.01</v>
          </cell>
          <cell r="O93">
            <v>375.858</v>
          </cell>
          <cell r="P93">
            <v>389.11599999999999</v>
          </cell>
          <cell r="Q93">
            <v>406.87099999999998</v>
          </cell>
        </row>
        <row r="94">
          <cell r="A94" t="str">
            <v>Northumberland</v>
          </cell>
          <cell r="B94">
            <v>929</v>
          </cell>
          <cell r="C94">
            <v>5265</v>
          </cell>
          <cell r="D94">
            <v>20266</v>
          </cell>
          <cell r="E94">
            <v>18784</v>
          </cell>
          <cell r="F94">
            <v>5446</v>
          </cell>
          <cell r="G94">
            <v>19961</v>
          </cell>
          <cell r="H94">
            <v>18470</v>
          </cell>
          <cell r="I94">
            <v>5409</v>
          </cell>
          <cell r="J94">
            <v>19911</v>
          </cell>
          <cell r="K94">
            <v>18120</v>
          </cell>
          <cell r="L94">
            <v>3711.26</v>
          </cell>
          <cell r="M94">
            <v>3850.08</v>
          </cell>
          <cell r="N94">
            <v>4016.46</v>
          </cell>
          <cell r="O94">
            <v>164.464</v>
          </cell>
          <cell r="P94">
            <v>168.93</v>
          </cell>
          <cell r="Q94">
            <v>174.47499999999999</v>
          </cell>
        </row>
        <row r="95">
          <cell r="A95" t="str">
            <v>Nottingham</v>
          </cell>
          <cell r="B95">
            <v>892</v>
          </cell>
          <cell r="C95">
            <v>4679</v>
          </cell>
          <cell r="D95">
            <v>17755</v>
          </cell>
          <cell r="E95">
            <v>12841</v>
          </cell>
          <cell r="F95">
            <v>4863</v>
          </cell>
          <cell r="G95">
            <v>17706</v>
          </cell>
          <cell r="H95">
            <v>12509</v>
          </cell>
          <cell r="I95">
            <v>5117</v>
          </cell>
          <cell r="J95">
            <v>17787</v>
          </cell>
          <cell r="K95">
            <v>12207</v>
          </cell>
          <cell r="L95">
            <v>4500.08</v>
          </cell>
          <cell r="M95">
            <v>4657.99</v>
          </cell>
          <cell r="N95">
            <v>4843.21</v>
          </cell>
          <cell r="O95">
            <v>158.74</v>
          </cell>
          <cell r="P95">
            <v>163.393</v>
          </cell>
          <cell r="Q95">
            <v>170.05</v>
          </cell>
        </row>
        <row r="96">
          <cell r="A96" t="str">
            <v>Nottinghamshire</v>
          </cell>
          <cell r="B96">
            <v>891</v>
          </cell>
          <cell r="C96">
            <v>13074</v>
          </cell>
          <cell r="D96">
            <v>49769</v>
          </cell>
          <cell r="E96">
            <v>46489</v>
          </cell>
          <cell r="F96">
            <v>13486</v>
          </cell>
          <cell r="G96">
            <v>49205</v>
          </cell>
          <cell r="H96">
            <v>45550</v>
          </cell>
          <cell r="I96">
            <v>13684</v>
          </cell>
          <cell r="J96">
            <v>49052</v>
          </cell>
          <cell r="K96">
            <v>44855</v>
          </cell>
          <cell r="L96">
            <v>3842.21</v>
          </cell>
          <cell r="M96">
            <v>3981.49</v>
          </cell>
          <cell r="N96">
            <v>4148.18</v>
          </cell>
          <cell r="O96">
            <v>420.077</v>
          </cell>
          <cell r="P96">
            <v>430.96</v>
          </cell>
          <cell r="Q96">
            <v>446.30700000000002</v>
          </cell>
        </row>
        <row r="97">
          <cell r="A97" t="str">
            <v>Oldham</v>
          </cell>
          <cell r="B97">
            <v>353</v>
          </cell>
          <cell r="C97">
            <v>5050</v>
          </cell>
          <cell r="D97">
            <v>18055</v>
          </cell>
          <cell r="E97">
            <v>15531</v>
          </cell>
          <cell r="F97">
            <v>5190</v>
          </cell>
          <cell r="G97">
            <v>17970</v>
          </cell>
          <cell r="H97">
            <v>15410</v>
          </cell>
          <cell r="I97">
            <v>5211</v>
          </cell>
          <cell r="J97">
            <v>18106</v>
          </cell>
          <cell r="K97">
            <v>15287</v>
          </cell>
          <cell r="L97">
            <v>4118.01</v>
          </cell>
          <cell r="M97">
            <v>4271.46</v>
          </cell>
          <cell r="N97">
            <v>4453.0200000000004</v>
          </cell>
          <cell r="O97">
            <v>159.10300000000001</v>
          </cell>
          <cell r="P97">
            <v>164.75</v>
          </cell>
          <cell r="Q97">
            <v>171.904</v>
          </cell>
        </row>
        <row r="98">
          <cell r="A98" t="str">
            <v>Oxfordshire</v>
          </cell>
          <cell r="B98">
            <v>931</v>
          </cell>
          <cell r="C98">
            <v>10272</v>
          </cell>
          <cell r="D98">
            <v>38607</v>
          </cell>
          <cell r="E98">
            <v>31346</v>
          </cell>
          <cell r="F98">
            <v>10707</v>
          </cell>
          <cell r="G98">
            <v>38637</v>
          </cell>
          <cell r="H98">
            <v>30907</v>
          </cell>
          <cell r="I98">
            <v>10908</v>
          </cell>
          <cell r="J98">
            <v>38948</v>
          </cell>
          <cell r="K98">
            <v>30775</v>
          </cell>
          <cell r="L98">
            <v>3869.59</v>
          </cell>
          <cell r="M98">
            <v>4011.45</v>
          </cell>
          <cell r="N98">
            <v>4182.34</v>
          </cell>
          <cell r="O98">
            <v>310.43799999999999</v>
          </cell>
          <cell r="P98">
            <v>321.923</v>
          </cell>
          <cell r="Q98">
            <v>337.226</v>
          </cell>
        </row>
        <row r="99">
          <cell r="A99" t="str">
            <v>Peterborough</v>
          </cell>
          <cell r="B99">
            <v>874</v>
          </cell>
          <cell r="C99">
            <v>3613</v>
          </cell>
          <cell r="D99">
            <v>13155</v>
          </cell>
          <cell r="E99">
            <v>9727</v>
          </cell>
          <cell r="F99">
            <v>3798</v>
          </cell>
          <cell r="G99">
            <v>13203</v>
          </cell>
          <cell r="H99">
            <v>9830</v>
          </cell>
          <cell r="I99">
            <v>3777</v>
          </cell>
          <cell r="J99">
            <v>13437</v>
          </cell>
          <cell r="K99">
            <v>9747</v>
          </cell>
          <cell r="L99">
            <v>4098.12</v>
          </cell>
          <cell r="M99">
            <v>4245.63</v>
          </cell>
          <cell r="N99">
            <v>4421.71</v>
          </cell>
          <cell r="O99">
            <v>108.58</v>
          </cell>
          <cell r="P99">
            <v>113.914</v>
          </cell>
          <cell r="Q99">
            <v>119.214</v>
          </cell>
        </row>
        <row r="100">
          <cell r="A100" t="str">
            <v>Plymouth</v>
          </cell>
          <cell r="B100">
            <v>879</v>
          </cell>
          <cell r="C100">
            <v>4332</v>
          </cell>
          <cell r="D100">
            <v>15677</v>
          </cell>
          <cell r="E100">
            <v>15351</v>
          </cell>
          <cell r="F100">
            <v>4419</v>
          </cell>
          <cell r="G100">
            <v>15544</v>
          </cell>
          <cell r="H100">
            <v>15086</v>
          </cell>
          <cell r="I100">
            <v>4436</v>
          </cell>
          <cell r="J100">
            <v>15606</v>
          </cell>
          <cell r="K100">
            <v>14812</v>
          </cell>
          <cell r="L100">
            <v>3889.35</v>
          </cell>
          <cell r="M100">
            <v>4029.95</v>
          </cell>
          <cell r="N100">
            <v>4198.04</v>
          </cell>
          <cell r="O100">
            <v>137.52699999999999</v>
          </cell>
          <cell r="P100">
            <v>141.24600000000001</v>
          </cell>
          <cell r="Q100">
            <v>146.31800000000001</v>
          </cell>
        </row>
        <row r="101">
          <cell r="A101" t="str">
            <v>Poole</v>
          </cell>
          <cell r="B101">
            <v>836</v>
          </cell>
          <cell r="C101">
            <v>2215</v>
          </cell>
          <cell r="D101">
            <v>7909</v>
          </cell>
          <cell r="E101">
            <v>7831</v>
          </cell>
          <cell r="F101">
            <v>2278</v>
          </cell>
          <cell r="G101">
            <v>7808</v>
          </cell>
          <cell r="H101">
            <v>7780</v>
          </cell>
          <cell r="I101">
            <v>2221</v>
          </cell>
          <cell r="J101">
            <v>7883</v>
          </cell>
          <cell r="K101">
            <v>7647</v>
          </cell>
          <cell r="L101">
            <v>3724.44</v>
          </cell>
          <cell r="M101">
            <v>3860.22</v>
          </cell>
          <cell r="N101">
            <v>4023.51</v>
          </cell>
          <cell r="O101">
            <v>66.872</v>
          </cell>
          <cell r="P101">
            <v>68.966999999999999</v>
          </cell>
          <cell r="Q101">
            <v>71.421000000000006</v>
          </cell>
        </row>
        <row r="102">
          <cell r="A102" t="str">
            <v>Portsmouth</v>
          </cell>
          <cell r="B102">
            <v>851</v>
          </cell>
          <cell r="C102">
            <v>3273</v>
          </cell>
          <cell r="D102">
            <v>11375</v>
          </cell>
          <cell r="E102">
            <v>9942</v>
          </cell>
          <cell r="F102">
            <v>3476</v>
          </cell>
          <cell r="G102">
            <v>11189</v>
          </cell>
          <cell r="H102">
            <v>9740</v>
          </cell>
          <cell r="I102">
            <v>3612</v>
          </cell>
          <cell r="J102">
            <v>11134</v>
          </cell>
          <cell r="K102">
            <v>9548</v>
          </cell>
          <cell r="L102">
            <v>4060.7</v>
          </cell>
          <cell r="M102">
            <v>4206.9799999999996</v>
          </cell>
          <cell r="N102">
            <v>4381.1899999999996</v>
          </cell>
          <cell r="O102">
            <v>99.852999999999994</v>
          </cell>
          <cell r="P102">
            <v>102.67100000000001</v>
          </cell>
          <cell r="Q102">
            <v>106.437</v>
          </cell>
        </row>
        <row r="103">
          <cell r="A103" t="str">
            <v>Reading</v>
          </cell>
          <cell r="B103">
            <v>870</v>
          </cell>
          <cell r="C103">
            <v>2390</v>
          </cell>
          <cell r="D103">
            <v>8435</v>
          </cell>
          <cell r="E103">
            <v>4705</v>
          </cell>
          <cell r="F103">
            <v>2464</v>
          </cell>
          <cell r="G103">
            <v>8517</v>
          </cell>
          <cell r="H103">
            <v>4729</v>
          </cell>
          <cell r="I103">
            <v>2496</v>
          </cell>
          <cell r="J103">
            <v>8621</v>
          </cell>
          <cell r="K103">
            <v>4762</v>
          </cell>
          <cell r="L103">
            <v>4259.57</v>
          </cell>
          <cell r="M103">
            <v>4427.96</v>
          </cell>
          <cell r="N103">
            <v>4626.8</v>
          </cell>
          <cell r="O103">
            <v>66.150999999999996</v>
          </cell>
          <cell r="P103">
            <v>69.563000000000002</v>
          </cell>
          <cell r="Q103">
            <v>73.468999999999994</v>
          </cell>
        </row>
        <row r="104">
          <cell r="A104" t="str">
            <v>Redbridge</v>
          </cell>
          <cell r="B104">
            <v>317</v>
          </cell>
          <cell r="C104">
            <v>5606</v>
          </cell>
          <cell r="D104">
            <v>19272</v>
          </cell>
          <cell r="E104">
            <v>16558</v>
          </cell>
          <cell r="F104">
            <v>5736</v>
          </cell>
          <cell r="G104">
            <v>19738</v>
          </cell>
          <cell r="H104">
            <v>16667</v>
          </cell>
          <cell r="I104">
            <v>5836</v>
          </cell>
          <cell r="J104">
            <v>20320</v>
          </cell>
          <cell r="K104">
            <v>16663</v>
          </cell>
          <cell r="L104">
            <v>4214.3999999999996</v>
          </cell>
          <cell r="M104">
            <v>4379.6400000000003</v>
          </cell>
          <cell r="N104">
            <v>4574.72</v>
          </cell>
          <cell r="O104">
            <v>174.62799999999999</v>
          </cell>
          <cell r="P104">
            <v>184.56200000000001</v>
          </cell>
          <cell r="Q104">
            <v>195.88499999999999</v>
          </cell>
        </row>
        <row r="105">
          <cell r="A105" t="str">
            <v>Redcar and Cleveland</v>
          </cell>
          <cell r="B105">
            <v>807</v>
          </cell>
          <cell r="C105">
            <v>2552</v>
          </cell>
          <cell r="D105">
            <v>9531</v>
          </cell>
          <cell r="E105">
            <v>9809</v>
          </cell>
          <cell r="F105">
            <v>2635</v>
          </cell>
          <cell r="G105">
            <v>9401</v>
          </cell>
          <cell r="H105">
            <v>9485</v>
          </cell>
          <cell r="I105">
            <v>2614</v>
          </cell>
          <cell r="J105">
            <v>9441</v>
          </cell>
          <cell r="K105">
            <v>9231</v>
          </cell>
          <cell r="L105">
            <v>3989.76</v>
          </cell>
          <cell r="M105">
            <v>4133.3900000000003</v>
          </cell>
          <cell r="N105">
            <v>4304.74</v>
          </cell>
          <cell r="O105">
            <v>87.343999999999994</v>
          </cell>
          <cell r="P105">
            <v>89.090999999999994</v>
          </cell>
          <cell r="Q105">
            <v>91.631</v>
          </cell>
        </row>
        <row r="106">
          <cell r="A106" t="str">
            <v>Richmond upon Thames</v>
          </cell>
          <cell r="B106">
            <v>318</v>
          </cell>
          <cell r="C106">
            <v>3121</v>
          </cell>
          <cell r="D106">
            <v>10533</v>
          </cell>
          <cell r="E106">
            <v>7214</v>
          </cell>
          <cell r="F106">
            <v>3221</v>
          </cell>
          <cell r="G106">
            <v>10729</v>
          </cell>
          <cell r="H106">
            <v>7163</v>
          </cell>
          <cell r="I106">
            <v>3328</v>
          </cell>
          <cell r="J106">
            <v>10786</v>
          </cell>
          <cell r="K106">
            <v>7248</v>
          </cell>
          <cell r="L106">
            <v>4311.24</v>
          </cell>
          <cell r="M106">
            <v>4467.3999999999996</v>
          </cell>
          <cell r="N106">
            <v>4654.1400000000003</v>
          </cell>
          <cell r="O106">
            <v>89.966999999999999</v>
          </cell>
          <cell r="P106">
            <v>94.32</v>
          </cell>
          <cell r="Q106">
            <v>99.421999999999997</v>
          </cell>
        </row>
        <row r="107">
          <cell r="A107" t="str">
            <v>Rochdale</v>
          </cell>
          <cell r="B107">
            <v>354</v>
          </cell>
          <cell r="C107">
            <v>4288</v>
          </cell>
          <cell r="D107">
            <v>15489</v>
          </cell>
          <cell r="E107">
            <v>12520</v>
          </cell>
          <cell r="F107">
            <v>4427</v>
          </cell>
          <cell r="G107">
            <v>15327</v>
          </cell>
          <cell r="H107">
            <v>12243</v>
          </cell>
          <cell r="I107">
            <v>4449</v>
          </cell>
          <cell r="J107">
            <v>15272</v>
          </cell>
          <cell r="K107">
            <v>12053</v>
          </cell>
          <cell r="L107">
            <v>4171.25</v>
          </cell>
          <cell r="M107">
            <v>4321.45</v>
          </cell>
          <cell r="N107">
            <v>4499.5</v>
          </cell>
          <cell r="O107">
            <v>134.71899999999999</v>
          </cell>
          <cell r="P107">
            <v>138.273</v>
          </cell>
          <cell r="Q107">
            <v>142.96700000000001</v>
          </cell>
        </row>
        <row r="108">
          <cell r="A108" t="str">
            <v>Rotherham</v>
          </cell>
          <cell r="B108">
            <v>372</v>
          </cell>
          <cell r="C108">
            <v>4729</v>
          </cell>
          <cell r="D108">
            <v>18173</v>
          </cell>
          <cell r="E108">
            <v>18538</v>
          </cell>
          <cell r="F108">
            <v>4861</v>
          </cell>
          <cell r="G108">
            <v>17793</v>
          </cell>
          <cell r="H108">
            <v>18168</v>
          </cell>
          <cell r="I108">
            <v>4908</v>
          </cell>
          <cell r="J108">
            <v>17579</v>
          </cell>
          <cell r="K108">
            <v>17845</v>
          </cell>
          <cell r="L108">
            <v>4044.75</v>
          </cell>
          <cell r="M108">
            <v>4190.08</v>
          </cell>
          <cell r="N108">
            <v>4363.1400000000003</v>
          </cell>
          <cell r="O108">
            <v>167.614</v>
          </cell>
          <cell r="P108">
            <v>171.047</v>
          </cell>
          <cell r="Q108">
            <v>175.97399999999999</v>
          </cell>
        </row>
        <row r="109">
          <cell r="A109" t="str">
            <v>Rutland</v>
          </cell>
          <cell r="B109">
            <v>857</v>
          </cell>
          <cell r="C109">
            <v>539</v>
          </cell>
          <cell r="D109">
            <v>2009</v>
          </cell>
          <cell r="E109">
            <v>2353</v>
          </cell>
          <cell r="F109">
            <v>573</v>
          </cell>
          <cell r="G109">
            <v>1931</v>
          </cell>
          <cell r="H109">
            <v>2326</v>
          </cell>
          <cell r="I109">
            <v>595</v>
          </cell>
          <cell r="J109">
            <v>1879</v>
          </cell>
          <cell r="K109">
            <v>2306</v>
          </cell>
          <cell r="L109">
            <v>3897.53</v>
          </cell>
          <cell r="M109">
            <v>4038.77</v>
          </cell>
          <cell r="N109">
            <v>4207.57</v>
          </cell>
          <cell r="O109">
            <v>19.102</v>
          </cell>
          <cell r="P109">
            <v>19.507000000000001</v>
          </cell>
          <cell r="Q109">
            <v>20.111999999999998</v>
          </cell>
        </row>
        <row r="110">
          <cell r="A110" t="str">
            <v>Salford</v>
          </cell>
          <cell r="B110">
            <v>355</v>
          </cell>
          <cell r="C110">
            <v>4140</v>
          </cell>
          <cell r="D110">
            <v>14668</v>
          </cell>
          <cell r="E110">
            <v>11380</v>
          </cell>
          <cell r="F110">
            <v>4280</v>
          </cell>
          <cell r="G110">
            <v>14472</v>
          </cell>
          <cell r="H110">
            <v>11037</v>
          </cell>
          <cell r="I110">
            <v>4347</v>
          </cell>
          <cell r="J110">
            <v>14540</v>
          </cell>
          <cell r="K110">
            <v>10684</v>
          </cell>
          <cell r="L110">
            <v>4309.1499999999996</v>
          </cell>
          <cell r="M110">
            <v>4461.8900000000003</v>
          </cell>
          <cell r="N110">
            <v>4642.3</v>
          </cell>
          <cell r="O110">
            <v>130.08500000000001</v>
          </cell>
          <cell r="P110">
            <v>132.91499999999999</v>
          </cell>
          <cell r="Q110">
            <v>137.27699999999999</v>
          </cell>
        </row>
        <row r="111">
          <cell r="A111" t="str">
            <v>Sandwell</v>
          </cell>
          <cell r="B111">
            <v>333</v>
          </cell>
          <cell r="C111">
            <v>6236</v>
          </cell>
          <cell r="D111">
            <v>22226</v>
          </cell>
          <cell r="E111">
            <v>16601</v>
          </cell>
          <cell r="F111">
            <v>6413</v>
          </cell>
          <cell r="G111">
            <v>22216</v>
          </cell>
          <cell r="H111">
            <v>16318</v>
          </cell>
          <cell r="I111">
            <v>6439</v>
          </cell>
          <cell r="J111">
            <v>22430</v>
          </cell>
          <cell r="K111">
            <v>16172</v>
          </cell>
          <cell r="L111">
            <v>4213.7700000000004</v>
          </cell>
          <cell r="M111">
            <v>4371.58</v>
          </cell>
          <cell r="N111">
            <v>4557.34</v>
          </cell>
          <cell r="O111">
            <v>189.88499999999999</v>
          </cell>
          <cell r="P111">
            <v>196.489</v>
          </cell>
          <cell r="Q111">
            <v>205.267</v>
          </cell>
        </row>
        <row r="112">
          <cell r="A112" t="str">
            <v>Sefton</v>
          </cell>
          <cell r="B112">
            <v>343</v>
          </cell>
          <cell r="C112">
            <v>4745</v>
          </cell>
          <cell r="D112">
            <v>17695</v>
          </cell>
          <cell r="E112">
            <v>17805</v>
          </cell>
          <cell r="F112">
            <v>4896</v>
          </cell>
          <cell r="G112">
            <v>17221</v>
          </cell>
          <cell r="H112">
            <v>17489</v>
          </cell>
          <cell r="I112">
            <v>4846</v>
          </cell>
          <cell r="J112">
            <v>17019</v>
          </cell>
          <cell r="K112">
            <v>17116</v>
          </cell>
          <cell r="L112">
            <v>3916.81</v>
          </cell>
          <cell r="M112">
            <v>4058.29</v>
          </cell>
          <cell r="N112">
            <v>4227.37</v>
          </cell>
          <cell r="O112">
            <v>157.64600000000002</v>
          </cell>
          <cell r="P112">
            <v>160.79900000000001</v>
          </cell>
          <cell r="Q112">
            <v>164.78700000000001</v>
          </cell>
        </row>
        <row r="113">
          <cell r="A113" t="str">
            <v>Sheffield</v>
          </cell>
          <cell r="B113">
            <v>373</v>
          </cell>
          <cell r="C113">
            <v>9323</v>
          </cell>
          <cell r="D113">
            <v>33492</v>
          </cell>
          <cell r="E113">
            <v>26843</v>
          </cell>
          <cell r="F113">
            <v>9832</v>
          </cell>
          <cell r="G113">
            <v>33087</v>
          </cell>
          <cell r="H113">
            <v>26496</v>
          </cell>
          <cell r="I113">
            <v>9828</v>
          </cell>
          <cell r="J113">
            <v>33288</v>
          </cell>
          <cell r="K113">
            <v>26071</v>
          </cell>
          <cell r="L113">
            <v>3947.23</v>
          </cell>
          <cell r="M113">
            <v>4096.05</v>
          </cell>
          <cell r="N113">
            <v>4272.24</v>
          </cell>
          <cell r="O113">
            <v>274.95600000000002</v>
          </cell>
          <cell r="P113">
            <v>284.327</v>
          </cell>
          <cell r="Q113">
            <v>295.58300000000003</v>
          </cell>
        </row>
        <row r="114">
          <cell r="A114" t="str">
            <v>Shropshire</v>
          </cell>
          <cell r="B114">
            <v>893</v>
          </cell>
          <cell r="C114">
            <v>4689</v>
          </cell>
          <cell r="D114">
            <v>17375</v>
          </cell>
          <cell r="E114">
            <v>16432</v>
          </cell>
          <cell r="F114">
            <v>4761</v>
          </cell>
          <cell r="G114">
            <v>16908</v>
          </cell>
          <cell r="H114">
            <v>16370</v>
          </cell>
          <cell r="I114">
            <v>4840</v>
          </cell>
          <cell r="J114">
            <v>16631</v>
          </cell>
          <cell r="K114">
            <v>16216</v>
          </cell>
          <cell r="L114">
            <v>3714.5</v>
          </cell>
          <cell r="M114">
            <v>3850.06</v>
          </cell>
          <cell r="N114">
            <v>4012.86</v>
          </cell>
          <cell r="O114">
            <v>142.99299999999999</v>
          </cell>
          <cell r="P114">
            <v>146.452</v>
          </cell>
          <cell r="Q114">
            <v>151.233</v>
          </cell>
        </row>
        <row r="115">
          <cell r="A115" t="str">
            <v>Slough</v>
          </cell>
          <cell r="B115">
            <v>871</v>
          </cell>
          <cell r="C115">
            <v>2769</v>
          </cell>
          <cell r="D115">
            <v>9346</v>
          </cell>
          <cell r="E115">
            <v>8158</v>
          </cell>
          <cell r="F115">
            <v>2801</v>
          </cell>
          <cell r="G115">
            <v>9582</v>
          </cell>
          <cell r="H115">
            <v>8257</v>
          </cell>
          <cell r="I115">
            <v>2717</v>
          </cell>
          <cell r="J115">
            <v>9896</v>
          </cell>
          <cell r="K115">
            <v>8374</v>
          </cell>
          <cell r="L115">
            <v>4403.6000000000004</v>
          </cell>
          <cell r="M115">
            <v>4582.01</v>
          </cell>
          <cell r="N115">
            <v>4792.07</v>
          </cell>
          <cell r="O115">
            <v>89.274000000000001</v>
          </cell>
          <cell r="P115">
            <v>94.572999999999993</v>
          </cell>
          <cell r="Q115">
            <v>100.571</v>
          </cell>
        </row>
        <row r="116">
          <cell r="A116" t="str">
            <v>Solihull</v>
          </cell>
          <cell r="B116">
            <v>334</v>
          </cell>
          <cell r="C116">
            <v>3892</v>
          </cell>
          <cell r="D116">
            <v>14946</v>
          </cell>
          <cell r="E116">
            <v>13724</v>
          </cell>
          <cell r="F116">
            <v>4004</v>
          </cell>
          <cell r="G116">
            <v>14674</v>
          </cell>
          <cell r="H116">
            <v>13594</v>
          </cell>
          <cell r="I116">
            <v>4098</v>
          </cell>
          <cell r="J116">
            <v>14630</v>
          </cell>
          <cell r="K116">
            <v>13329</v>
          </cell>
          <cell r="L116">
            <v>3749.79</v>
          </cell>
          <cell r="M116">
            <v>3886.88</v>
          </cell>
          <cell r="N116">
            <v>4051.64</v>
          </cell>
          <cell r="O116">
            <v>122.101</v>
          </cell>
          <cell r="P116">
            <v>125.437</v>
          </cell>
          <cell r="Q116">
            <v>129.88300000000001</v>
          </cell>
        </row>
        <row r="117">
          <cell r="A117" t="str">
            <v>Somerset</v>
          </cell>
          <cell r="B117">
            <v>933</v>
          </cell>
          <cell r="C117">
            <v>8805</v>
          </cell>
          <cell r="D117">
            <v>32724</v>
          </cell>
          <cell r="E117">
            <v>28867</v>
          </cell>
          <cell r="F117">
            <v>8936</v>
          </cell>
          <cell r="G117">
            <v>32315</v>
          </cell>
          <cell r="H117">
            <v>28569</v>
          </cell>
          <cell r="I117">
            <v>9045</v>
          </cell>
          <cell r="J117">
            <v>32052</v>
          </cell>
          <cell r="K117">
            <v>28386</v>
          </cell>
          <cell r="L117">
            <v>3751.97</v>
          </cell>
          <cell r="M117">
            <v>3888.53</v>
          </cell>
          <cell r="N117">
            <v>4052.34</v>
          </cell>
          <cell r="O117">
            <v>264.12400000000002</v>
          </cell>
          <cell r="P117">
            <v>271.49700000000001</v>
          </cell>
          <cell r="Q117">
            <v>281.56900000000002</v>
          </cell>
        </row>
        <row r="118">
          <cell r="A118" t="str">
            <v>South Gloucestershire</v>
          </cell>
          <cell r="B118">
            <v>803</v>
          </cell>
          <cell r="C118">
            <v>4780</v>
          </cell>
          <cell r="D118">
            <v>18328</v>
          </cell>
          <cell r="E118">
            <v>15434</v>
          </cell>
          <cell r="F118">
            <v>4927</v>
          </cell>
          <cell r="G118">
            <v>18006</v>
          </cell>
          <cell r="H118">
            <v>15442</v>
          </cell>
          <cell r="I118">
            <v>4970</v>
          </cell>
          <cell r="J118">
            <v>17760</v>
          </cell>
          <cell r="K118">
            <v>15449</v>
          </cell>
          <cell r="L118">
            <v>3646.62</v>
          </cell>
          <cell r="M118">
            <v>3781.22</v>
          </cell>
          <cell r="N118">
            <v>3943.96</v>
          </cell>
          <cell r="O118">
            <v>140.548</v>
          </cell>
          <cell r="P118">
            <v>145.10400000000001</v>
          </cell>
          <cell r="Q118">
            <v>150.57599999999999</v>
          </cell>
        </row>
        <row r="119">
          <cell r="A119" t="str">
            <v>South Tyneside</v>
          </cell>
          <cell r="B119">
            <v>393</v>
          </cell>
          <cell r="C119">
            <v>2392</v>
          </cell>
          <cell r="D119">
            <v>9378</v>
          </cell>
          <cell r="E119">
            <v>9454</v>
          </cell>
          <cell r="F119">
            <v>2513</v>
          </cell>
          <cell r="G119">
            <v>9041</v>
          </cell>
          <cell r="H119">
            <v>9208</v>
          </cell>
          <cell r="I119">
            <v>2527</v>
          </cell>
          <cell r="J119">
            <v>8869</v>
          </cell>
          <cell r="K119">
            <v>8929</v>
          </cell>
          <cell r="L119">
            <v>4092.34</v>
          </cell>
          <cell r="M119">
            <v>4240.95</v>
          </cell>
          <cell r="N119">
            <v>4417.33</v>
          </cell>
          <cell r="O119">
            <v>87.717999999999989</v>
          </cell>
          <cell r="P119">
            <v>89.472000000000008</v>
          </cell>
          <cell r="Q119">
            <v>91.260999999999996</v>
          </cell>
        </row>
        <row r="120">
          <cell r="A120" t="str">
            <v>Southampton</v>
          </cell>
          <cell r="B120">
            <v>852</v>
          </cell>
          <cell r="C120">
            <v>3786</v>
          </cell>
          <cell r="D120">
            <v>13261</v>
          </cell>
          <cell r="E120">
            <v>11111</v>
          </cell>
          <cell r="F120">
            <v>3939</v>
          </cell>
          <cell r="G120">
            <v>13071</v>
          </cell>
          <cell r="H120">
            <v>10834</v>
          </cell>
          <cell r="I120">
            <v>4099</v>
          </cell>
          <cell r="J120">
            <v>13091</v>
          </cell>
          <cell r="K120">
            <v>10564</v>
          </cell>
          <cell r="L120">
            <v>4116.8999999999996</v>
          </cell>
          <cell r="M120">
            <v>4264.84</v>
          </cell>
          <cell r="N120">
            <v>4440.79</v>
          </cell>
          <cell r="O120">
            <v>115.92400000000001</v>
          </cell>
          <cell r="P120">
            <v>118.75</v>
          </cell>
          <cell r="Q120">
            <v>123.25</v>
          </cell>
        </row>
        <row r="121">
          <cell r="A121" t="str">
            <v>Southend-on-Sea</v>
          </cell>
          <cell r="B121">
            <v>882</v>
          </cell>
          <cell r="C121">
            <v>3116</v>
          </cell>
          <cell r="D121">
            <v>11394</v>
          </cell>
          <cell r="E121">
            <v>11097</v>
          </cell>
          <cell r="F121">
            <v>3170</v>
          </cell>
          <cell r="G121">
            <v>11195</v>
          </cell>
          <cell r="H121">
            <v>11072</v>
          </cell>
          <cell r="I121">
            <v>3197</v>
          </cell>
          <cell r="J121">
            <v>11084</v>
          </cell>
          <cell r="K121">
            <v>10974</v>
          </cell>
          <cell r="L121">
            <v>4026.04</v>
          </cell>
          <cell r="M121">
            <v>4170.9799999999996</v>
          </cell>
          <cell r="N121">
            <v>4343.8</v>
          </cell>
          <cell r="O121">
            <v>103.095</v>
          </cell>
          <cell r="P121">
            <v>106.09699999999999</v>
          </cell>
          <cell r="Q121">
            <v>109.703</v>
          </cell>
        </row>
        <row r="122">
          <cell r="A122" t="str">
            <v>Southwark</v>
          </cell>
          <cell r="B122">
            <v>210</v>
          </cell>
          <cell r="C122">
            <v>5666</v>
          </cell>
          <cell r="D122">
            <v>17582</v>
          </cell>
          <cell r="E122">
            <v>6797</v>
          </cell>
          <cell r="F122">
            <v>5840</v>
          </cell>
          <cell r="G122">
            <v>17637</v>
          </cell>
          <cell r="H122">
            <v>6729</v>
          </cell>
          <cell r="I122">
            <v>5903</v>
          </cell>
          <cell r="J122">
            <v>17882</v>
          </cell>
          <cell r="K122">
            <v>6627</v>
          </cell>
          <cell r="L122">
            <v>5755.83</v>
          </cell>
          <cell r="M122">
            <v>5961.29</v>
          </cell>
          <cell r="N122">
            <v>6200.27</v>
          </cell>
          <cell r="O122">
            <v>172.934</v>
          </cell>
          <cell r="P122">
            <v>180.06700000000001</v>
          </cell>
          <cell r="Q122">
            <v>188.56299999999999</v>
          </cell>
        </row>
        <row r="123">
          <cell r="A123" t="str">
            <v>St Helens</v>
          </cell>
          <cell r="B123">
            <v>342</v>
          </cell>
          <cell r="C123">
            <v>3183</v>
          </cell>
          <cell r="D123">
            <v>12078</v>
          </cell>
          <cell r="E123">
            <v>10573</v>
          </cell>
          <cell r="F123">
            <v>3339</v>
          </cell>
          <cell r="G123">
            <v>11793</v>
          </cell>
          <cell r="H123">
            <v>10325</v>
          </cell>
          <cell r="I123">
            <v>3304</v>
          </cell>
          <cell r="J123">
            <v>11777</v>
          </cell>
          <cell r="K123">
            <v>10058</v>
          </cell>
          <cell r="L123">
            <v>3976.86</v>
          </cell>
          <cell r="M123">
            <v>4119.84</v>
          </cell>
          <cell r="N123">
            <v>4290.29</v>
          </cell>
          <cell r="O123">
            <v>102.738</v>
          </cell>
          <cell r="P123">
            <v>104.879</v>
          </cell>
          <cell r="Q123">
            <v>107.854</v>
          </cell>
        </row>
        <row r="124">
          <cell r="A124" t="str">
            <v>Staffordshire</v>
          </cell>
          <cell r="B124">
            <v>860</v>
          </cell>
          <cell r="C124">
            <v>13872</v>
          </cell>
          <cell r="D124">
            <v>53234</v>
          </cell>
          <cell r="E124">
            <v>49929</v>
          </cell>
          <cell r="F124">
            <v>14350</v>
          </cell>
          <cell r="G124">
            <v>51778</v>
          </cell>
          <cell r="H124">
            <v>49083</v>
          </cell>
          <cell r="I124">
            <v>14268</v>
          </cell>
          <cell r="J124">
            <v>51208</v>
          </cell>
          <cell r="K124">
            <v>48443</v>
          </cell>
          <cell r="L124">
            <v>3775.81</v>
          </cell>
          <cell r="M124">
            <v>3913.17</v>
          </cell>
          <cell r="N124">
            <v>4077.99</v>
          </cell>
          <cell r="O124">
            <v>441.90199999999999</v>
          </cell>
          <cell r="P124">
            <v>450.84</v>
          </cell>
          <cell r="Q124">
            <v>464.56099999999998</v>
          </cell>
        </row>
        <row r="125">
          <cell r="A125" t="str">
            <v>Stockport</v>
          </cell>
          <cell r="B125">
            <v>356</v>
          </cell>
          <cell r="C125">
            <v>5042</v>
          </cell>
          <cell r="D125">
            <v>18094</v>
          </cell>
          <cell r="E125">
            <v>15135</v>
          </cell>
          <cell r="F125">
            <v>5272</v>
          </cell>
          <cell r="G125">
            <v>17585</v>
          </cell>
          <cell r="H125">
            <v>14585</v>
          </cell>
          <cell r="I125">
            <v>5243</v>
          </cell>
          <cell r="J125">
            <v>17366</v>
          </cell>
          <cell r="K125">
            <v>14353</v>
          </cell>
          <cell r="L125">
            <v>3901.6</v>
          </cell>
          <cell r="M125">
            <v>4042.61</v>
          </cell>
          <cell r="N125">
            <v>4211.16</v>
          </cell>
          <cell r="O125">
            <v>149.31800000000001</v>
          </cell>
          <cell r="P125">
            <v>152.304</v>
          </cell>
          <cell r="Q125">
            <v>155.65299999999999</v>
          </cell>
        </row>
        <row r="126">
          <cell r="A126" t="str">
            <v>Stockton-on-Tees</v>
          </cell>
          <cell r="B126">
            <v>808</v>
          </cell>
          <cell r="C126">
            <v>3497</v>
          </cell>
          <cell r="D126">
            <v>12471</v>
          </cell>
          <cell r="E126">
            <v>11943</v>
          </cell>
          <cell r="F126">
            <v>3636</v>
          </cell>
          <cell r="G126">
            <v>12248</v>
          </cell>
          <cell r="H126">
            <v>11596</v>
          </cell>
          <cell r="I126">
            <v>3655</v>
          </cell>
          <cell r="J126">
            <v>12241</v>
          </cell>
          <cell r="K126">
            <v>11218</v>
          </cell>
          <cell r="L126">
            <v>3959.77</v>
          </cell>
          <cell r="M126">
            <v>4102.22</v>
          </cell>
          <cell r="N126">
            <v>4271.96</v>
          </cell>
          <cell r="O126">
            <v>110.521</v>
          </cell>
          <cell r="P126">
            <v>112.73099999999999</v>
          </cell>
          <cell r="Q126">
            <v>115.83</v>
          </cell>
        </row>
        <row r="127">
          <cell r="A127" t="str">
            <v>Stoke-on-Trent</v>
          </cell>
          <cell r="B127">
            <v>861</v>
          </cell>
          <cell r="C127">
            <v>4593</v>
          </cell>
          <cell r="D127">
            <v>15902</v>
          </cell>
          <cell r="E127">
            <v>13617</v>
          </cell>
          <cell r="F127">
            <v>4731</v>
          </cell>
          <cell r="G127">
            <v>15720</v>
          </cell>
          <cell r="H127">
            <v>13453</v>
          </cell>
          <cell r="I127">
            <v>4607</v>
          </cell>
          <cell r="J127">
            <v>15991</v>
          </cell>
          <cell r="K127">
            <v>13166</v>
          </cell>
          <cell r="L127">
            <v>4069.74</v>
          </cell>
          <cell r="M127">
            <v>4215.1499999999996</v>
          </cell>
          <cell r="N127">
            <v>4388.07</v>
          </cell>
          <cell r="O127">
            <v>138.827</v>
          </cell>
          <cell r="P127">
            <v>142.91</v>
          </cell>
          <cell r="Q127">
            <v>148.15899999999999</v>
          </cell>
        </row>
        <row r="128">
          <cell r="A128" t="str">
            <v>Suffolk</v>
          </cell>
          <cell r="B128">
            <v>935</v>
          </cell>
          <cell r="C128">
            <v>11137</v>
          </cell>
          <cell r="D128">
            <v>44655</v>
          </cell>
          <cell r="E128">
            <v>39819</v>
          </cell>
          <cell r="F128">
            <v>11673</v>
          </cell>
          <cell r="G128">
            <v>44218</v>
          </cell>
          <cell r="H128">
            <v>39799</v>
          </cell>
          <cell r="I128">
            <v>11831</v>
          </cell>
          <cell r="J128">
            <v>44620</v>
          </cell>
          <cell r="K128">
            <v>39543</v>
          </cell>
          <cell r="L128">
            <v>3763.11</v>
          </cell>
          <cell r="M128">
            <v>3900.18</v>
          </cell>
          <cell r="N128">
            <v>4064.74</v>
          </cell>
          <cell r="O128">
            <v>359.79500000000002</v>
          </cell>
          <cell r="P128">
            <v>373.20800000000003</v>
          </cell>
          <cell r="Q128">
            <v>390.19099999999997</v>
          </cell>
        </row>
        <row r="129">
          <cell r="A129" t="str">
            <v>Sunderland</v>
          </cell>
          <cell r="B129">
            <v>394</v>
          </cell>
          <cell r="C129">
            <v>4954</v>
          </cell>
          <cell r="D129">
            <v>18195</v>
          </cell>
          <cell r="E129">
            <v>17530</v>
          </cell>
          <cell r="F129">
            <v>4984</v>
          </cell>
          <cell r="G129">
            <v>17926</v>
          </cell>
          <cell r="H129">
            <v>16945</v>
          </cell>
          <cell r="I129">
            <v>5049</v>
          </cell>
          <cell r="J129">
            <v>17760</v>
          </cell>
          <cell r="K129">
            <v>16487</v>
          </cell>
          <cell r="L129">
            <v>3990.02</v>
          </cell>
          <cell r="M129">
            <v>4136.51</v>
          </cell>
          <cell r="N129">
            <v>4310.59</v>
          </cell>
          <cell r="O129">
            <v>162.31</v>
          </cell>
          <cell r="P129">
            <v>165.55599999999998</v>
          </cell>
          <cell r="Q129">
            <v>169.38900000000001</v>
          </cell>
        </row>
        <row r="130">
          <cell r="A130" t="str">
            <v>Surrey</v>
          </cell>
          <cell r="B130">
            <v>936</v>
          </cell>
          <cell r="C130">
            <v>19192</v>
          </cell>
          <cell r="D130">
            <v>65112</v>
          </cell>
          <cell r="E130">
            <v>54935</v>
          </cell>
          <cell r="F130">
            <v>19747</v>
          </cell>
          <cell r="G130">
            <v>65260</v>
          </cell>
          <cell r="H130">
            <v>54581</v>
          </cell>
          <cell r="I130">
            <v>19929</v>
          </cell>
          <cell r="J130">
            <v>65598</v>
          </cell>
          <cell r="K130">
            <v>54759</v>
          </cell>
          <cell r="L130">
            <v>3976.37</v>
          </cell>
          <cell r="M130">
            <v>4129.25</v>
          </cell>
          <cell r="N130">
            <v>4312.7</v>
          </cell>
          <cell r="O130">
            <v>553.66600000000005</v>
          </cell>
          <cell r="P130">
            <v>576.39400000000001</v>
          </cell>
          <cell r="Q130">
            <v>605.01099999999997</v>
          </cell>
        </row>
        <row r="131">
          <cell r="A131" t="str">
            <v>Sutton</v>
          </cell>
          <cell r="B131">
            <v>319</v>
          </cell>
          <cell r="C131">
            <v>3130</v>
          </cell>
          <cell r="D131">
            <v>11417</v>
          </cell>
          <cell r="E131">
            <v>13447</v>
          </cell>
          <cell r="F131">
            <v>3186</v>
          </cell>
          <cell r="G131">
            <v>11236</v>
          </cell>
          <cell r="H131">
            <v>13450</v>
          </cell>
          <cell r="I131">
            <v>3279</v>
          </cell>
          <cell r="J131">
            <v>11077</v>
          </cell>
          <cell r="K131">
            <v>13445</v>
          </cell>
          <cell r="L131">
            <v>4252.88</v>
          </cell>
          <cell r="M131">
            <v>4408.75</v>
          </cell>
          <cell r="N131">
            <v>4596.3599999999997</v>
          </cell>
          <cell r="O131">
            <v>119.05500000000001</v>
          </cell>
          <cell r="P131">
            <v>122.881</v>
          </cell>
          <cell r="Q131">
            <v>127.783</v>
          </cell>
        </row>
        <row r="132">
          <cell r="A132" t="str">
            <v>Swindon</v>
          </cell>
          <cell r="B132">
            <v>866</v>
          </cell>
          <cell r="C132">
            <v>3596</v>
          </cell>
          <cell r="D132">
            <v>13692</v>
          </cell>
          <cell r="E132">
            <v>10796</v>
          </cell>
          <cell r="F132">
            <v>3640</v>
          </cell>
          <cell r="G132">
            <v>13672</v>
          </cell>
          <cell r="H132">
            <v>10785</v>
          </cell>
          <cell r="I132">
            <v>3636</v>
          </cell>
          <cell r="J132">
            <v>13715</v>
          </cell>
          <cell r="K132">
            <v>10795</v>
          </cell>
          <cell r="L132">
            <v>3774.89</v>
          </cell>
          <cell r="M132">
            <v>3912.8</v>
          </cell>
          <cell r="N132">
            <v>4078.73</v>
          </cell>
          <cell r="O132">
            <v>106.014</v>
          </cell>
          <cell r="P132">
            <v>109.938</v>
          </cell>
          <cell r="Q132">
            <v>114.8</v>
          </cell>
        </row>
        <row r="133">
          <cell r="A133" t="str">
            <v>Tameside</v>
          </cell>
          <cell r="B133">
            <v>357</v>
          </cell>
          <cell r="C133">
            <v>4095</v>
          </cell>
          <cell r="D133">
            <v>15206</v>
          </cell>
          <cell r="E133">
            <v>15091</v>
          </cell>
          <cell r="F133">
            <v>4262</v>
          </cell>
          <cell r="G133">
            <v>15017</v>
          </cell>
          <cell r="H133">
            <v>14645</v>
          </cell>
          <cell r="I133">
            <v>4287</v>
          </cell>
          <cell r="J133">
            <v>14969</v>
          </cell>
          <cell r="K133">
            <v>14368</v>
          </cell>
          <cell r="L133">
            <v>3982.51</v>
          </cell>
          <cell r="M133">
            <v>4126.3599999999997</v>
          </cell>
          <cell r="N133">
            <v>4298.2</v>
          </cell>
          <cell r="O133">
            <v>136.96600000000001</v>
          </cell>
          <cell r="P133">
            <v>139.983</v>
          </cell>
          <cell r="Q133">
            <v>144.523</v>
          </cell>
        </row>
        <row r="134">
          <cell r="A134" t="str">
            <v>Telford and Wrekin</v>
          </cell>
          <cell r="B134">
            <v>894</v>
          </cell>
          <cell r="C134">
            <v>3341</v>
          </cell>
          <cell r="D134">
            <v>11888</v>
          </cell>
          <cell r="E134">
            <v>9554</v>
          </cell>
          <cell r="F134">
            <v>3479</v>
          </cell>
          <cell r="G134">
            <v>11560</v>
          </cell>
          <cell r="H134">
            <v>9450</v>
          </cell>
          <cell r="I134">
            <v>3428</v>
          </cell>
          <cell r="J134">
            <v>11519</v>
          </cell>
          <cell r="K134">
            <v>9332</v>
          </cell>
          <cell r="L134">
            <v>3910.83</v>
          </cell>
          <cell r="M134">
            <v>4051.55</v>
          </cell>
          <cell r="N134">
            <v>4219.45</v>
          </cell>
          <cell r="O134">
            <v>96.921999999999997</v>
          </cell>
          <cell r="P134">
            <v>99.218000000000004</v>
          </cell>
          <cell r="Q134">
            <v>102.444</v>
          </cell>
        </row>
        <row r="135">
          <cell r="A135" t="str">
            <v>Thurrock</v>
          </cell>
          <cell r="B135">
            <v>883</v>
          </cell>
          <cell r="C135">
            <v>2922</v>
          </cell>
          <cell r="D135">
            <v>11191</v>
          </cell>
          <cell r="E135">
            <v>8257</v>
          </cell>
          <cell r="F135">
            <v>3025</v>
          </cell>
          <cell r="G135">
            <v>11009</v>
          </cell>
          <cell r="H135">
            <v>8369</v>
          </cell>
          <cell r="I135">
            <v>2990</v>
          </cell>
          <cell r="J135">
            <v>11040</v>
          </cell>
          <cell r="K135">
            <v>8268</v>
          </cell>
          <cell r="L135">
            <v>4140.75</v>
          </cell>
          <cell r="M135">
            <v>4290.71</v>
          </cell>
          <cell r="N135">
            <v>4470.3</v>
          </cell>
          <cell r="O135">
            <v>92.629000000000005</v>
          </cell>
          <cell r="P135">
            <v>96.125</v>
          </cell>
          <cell r="Q135">
            <v>99.679000000000002</v>
          </cell>
        </row>
        <row r="136">
          <cell r="A136" t="str">
            <v>Torbay</v>
          </cell>
          <cell r="B136">
            <v>880</v>
          </cell>
          <cell r="C136">
            <v>2205</v>
          </cell>
          <cell r="D136">
            <v>7712</v>
          </cell>
          <cell r="E136">
            <v>7791</v>
          </cell>
          <cell r="F136">
            <v>2234</v>
          </cell>
          <cell r="G136">
            <v>7699</v>
          </cell>
          <cell r="H136">
            <v>7651</v>
          </cell>
          <cell r="I136">
            <v>2203</v>
          </cell>
          <cell r="J136">
            <v>7715</v>
          </cell>
          <cell r="K136">
            <v>7575</v>
          </cell>
          <cell r="L136">
            <v>3922</v>
          </cell>
          <cell r="M136">
            <v>4063.52</v>
          </cell>
          <cell r="N136">
            <v>4232.66</v>
          </cell>
          <cell r="O136">
            <v>69.450999999999993</v>
          </cell>
          <cell r="P136">
            <v>71.453000000000003</v>
          </cell>
          <cell r="Q136">
            <v>74.042000000000002</v>
          </cell>
        </row>
        <row r="137">
          <cell r="A137" t="str">
            <v>Tower Hamlets</v>
          </cell>
          <cell r="B137">
            <v>211</v>
          </cell>
          <cell r="C137">
            <v>5502</v>
          </cell>
          <cell r="D137">
            <v>17384</v>
          </cell>
          <cell r="E137">
            <v>13509</v>
          </cell>
          <cell r="F137">
            <v>5713</v>
          </cell>
          <cell r="G137">
            <v>17749</v>
          </cell>
          <cell r="H137">
            <v>13691</v>
          </cell>
          <cell r="I137">
            <v>5918</v>
          </cell>
          <cell r="J137">
            <v>18149</v>
          </cell>
          <cell r="K137">
            <v>13940</v>
          </cell>
          <cell r="L137">
            <v>6288.87</v>
          </cell>
          <cell r="M137">
            <v>6522.66</v>
          </cell>
          <cell r="N137">
            <v>6791.71</v>
          </cell>
          <cell r="O137">
            <v>228.88300000000001</v>
          </cell>
          <cell r="P137">
            <v>242.33600000000001</v>
          </cell>
          <cell r="Q137">
            <v>258.13299999999998</v>
          </cell>
        </row>
        <row r="138">
          <cell r="A138" t="str">
            <v>Trafford</v>
          </cell>
          <cell r="B138">
            <v>358</v>
          </cell>
          <cell r="C138">
            <v>4199</v>
          </cell>
          <cell r="D138">
            <v>14840</v>
          </cell>
          <cell r="E138">
            <v>14418</v>
          </cell>
          <cell r="F138">
            <v>4253</v>
          </cell>
          <cell r="G138">
            <v>14978</v>
          </cell>
          <cell r="H138">
            <v>14160</v>
          </cell>
          <cell r="I138">
            <v>4292</v>
          </cell>
          <cell r="J138">
            <v>15196</v>
          </cell>
          <cell r="K138">
            <v>14035</v>
          </cell>
          <cell r="L138">
            <v>3852.14</v>
          </cell>
          <cell r="M138">
            <v>3992.15</v>
          </cell>
          <cell r="N138">
            <v>4160.07</v>
          </cell>
          <cell r="O138">
            <v>128.881</v>
          </cell>
          <cell r="P138">
            <v>133.30199999999999</v>
          </cell>
          <cell r="Q138">
            <v>139.458</v>
          </cell>
        </row>
        <row r="139">
          <cell r="A139" t="str">
            <v>Wakefield</v>
          </cell>
          <cell r="B139">
            <v>384</v>
          </cell>
          <cell r="C139">
            <v>5403</v>
          </cell>
          <cell r="D139">
            <v>21160</v>
          </cell>
          <cell r="E139">
            <v>20452</v>
          </cell>
          <cell r="F139">
            <v>5695</v>
          </cell>
          <cell r="G139">
            <v>20777</v>
          </cell>
          <cell r="H139">
            <v>19910</v>
          </cell>
          <cell r="I139">
            <v>5658</v>
          </cell>
          <cell r="J139">
            <v>20860</v>
          </cell>
          <cell r="K139">
            <v>19339</v>
          </cell>
          <cell r="L139">
            <v>3881.2</v>
          </cell>
          <cell r="M139">
            <v>4021.88</v>
          </cell>
          <cell r="N139">
            <v>4190.34</v>
          </cell>
          <cell r="O139">
            <v>182.47499999999999</v>
          </cell>
          <cell r="P139">
            <v>186.54300000000001</v>
          </cell>
          <cell r="Q139">
            <v>192.15600000000001</v>
          </cell>
        </row>
        <row r="140">
          <cell r="A140" t="str">
            <v>Walsall</v>
          </cell>
          <cell r="B140">
            <v>335</v>
          </cell>
          <cell r="C140">
            <v>5483</v>
          </cell>
          <cell r="D140">
            <v>19861</v>
          </cell>
          <cell r="E140">
            <v>17752</v>
          </cell>
          <cell r="F140">
            <v>5632</v>
          </cell>
          <cell r="G140">
            <v>19769</v>
          </cell>
          <cell r="H140">
            <v>17397</v>
          </cell>
          <cell r="I140">
            <v>5647</v>
          </cell>
          <cell r="J140">
            <v>19795</v>
          </cell>
          <cell r="K140">
            <v>17221</v>
          </cell>
          <cell r="L140">
            <v>4023.23</v>
          </cell>
          <cell r="M140">
            <v>4183.1000000000004</v>
          </cell>
          <cell r="N140">
            <v>4371.33</v>
          </cell>
          <cell r="O140">
            <v>173.38499999999999</v>
          </cell>
          <cell r="P140">
            <v>179.02799999999999</v>
          </cell>
          <cell r="Q140">
            <v>186.494</v>
          </cell>
        </row>
        <row r="141">
          <cell r="A141" t="str">
            <v>Waltham Forest</v>
          </cell>
          <cell r="B141">
            <v>320</v>
          </cell>
          <cell r="C141">
            <v>5077</v>
          </cell>
          <cell r="D141">
            <v>17037</v>
          </cell>
          <cell r="E141">
            <v>13029</v>
          </cell>
          <cell r="F141">
            <v>5192</v>
          </cell>
          <cell r="G141">
            <v>17315</v>
          </cell>
          <cell r="H141">
            <v>12992</v>
          </cell>
          <cell r="I141">
            <v>5092</v>
          </cell>
          <cell r="J141">
            <v>17849</v>
          </cell>
          <cell r="K141">
            <v>12849</v>
          </cell>
          <cell r="L141">
            <v>4584.3100000000004</v>
          </cell>
          <cell r="M141">
            <v>4747.41</v>
          </cell>
          <cell r="N141">
            <v>4940.45</v>
          </cell>
          <cell r="O141">
            <v>161.10599999999999</v>
          </cell>
          <cell r="P141">
            <v>168.52799999999999</v>
          </cell>
          <cell r="Q141">
            <v>176.81899999999999</v>
          </cell>
        </row>
        <row r="142">
          <cell r="A142" t="str">
            <v>Wandsworth</v>
          </cell>
          <cell r="B142">
            <v>212</v>
          </cell>
          <cell r="C142">
            <v>5189</v>
          </cell>
          <cell r="D142">
            <v>13421</v>
          </cell>
          <cell r="E142">
            <v>9337</v>
          </cell>
          <cell r="F142">
            <v>5410</v>
          </cell>
          <cell r="G142">
            <v>13644</v>
          </cell>
          <cell r="H142">
            <v>9245</v>
          </cell>
          <cell r="I142">
            <v>5579</v>
          </cell>
          <cell r="J142">
            <v>14012</v>
          </cell>
          <cell r="K142">
            <v>9159</v>
          </cell>
          <cell r="L142">
            <v>5145.71</v>
          </cell>
          <cell r="M142">
            <v>5375.71</v>
          </cell>
          <cell r="N142">
            <v>5639.14</v>
          </cell>
          <cell r="O142">
            <v>143.80699999999999</v>
          </cell>
          <cell r="P142">
            <v>152.12700000000001</v>
          </cell>
          <cell r="Q142">
            <v>162.125</v>
          </cell>
        </row>
        <row r="143">
          <cell r="A143" t="str">
            <v>Warrington</v>
          </cell>
          <cell r="B143">
            <v>877</v>
          </cell>
          <cell r="C143">
            <v>3726</v>
          </cell>
          <cell r="D143">
            <v>13890</v>
          </cell>
          <cell r="E143">
            <v>12723</v>
          </cell>
          <cell r="F143">
            <v>3827</v>
          </cell>
          <cell r="G143">
            <v>13688</v>
          </cell>
          <cell r="H143">
            <v>12568</v>
          </cell>
          <cell r="I143">
            <v>3805</v>
          </cell>
          <cell r="J143">
            <v>13673</v>
          </cell>
          <cell r="K143">
            <v>12351</v>
          </cell>
          <cell r="L143">
            <v>3818.9</v>
          </cell>
          <cell r="M143">
            <v>3957.89</v>
          </cell>
          <cell r="N143">
            <v>4124.7299999999996</v>
          </cell>
          <cell r="O143">
            <v>115.86199999999999</v>
          </cell>
          <cell r="P143">
            <v>119.065</v>
          </cell>
          <cell r="Q143">
            <v>123.03700000000001</v>
          </cell>
        </row>
        <row r="144">
          <cell r="A144" t="str">
            <v>Warwickshire</v>
          </cell>
          <cell r="B144">
            <v>937</v>
          </cell>
          <cell r="C144">
            <v>9277</v>
          </cell>
          <cell r="D144">
            <v>33874</v>
          </cell>
          <cell r="E144">
            <v>30716</v>
          </cell>
          <cell r="F144">
            <v>9592</v>
          </cell>
          <cell r="G144">
            <v>33606</v>
          </cell>
          <cell r="H144">
            <v>30620</v>
          </cell>
          <cell r="I144">
            <v>9709</v>
          </cell>
          <cell r="J144">
            <v>33677</v>
          </cell>
          <cell r="K144">
            <v>30542</v>
          </cell>
          <cell r="L144">
            <v>3789.11</v>
          </cell>
          <cell r="M144">
            <v>3927.26</v>
          </cell>
          <cell r="N144">
            <v>4093.2</v>
          </cell>
          <cell r="O144">
            <v>279.89</v>
          </cell>
          <cell r="P144">
            <v>289.90199999999999</v>
          </cell>
          <cell r="Q144">
            <v>302.60199999999998</v>
          </cell>
        </row>
        <row r="145">
          <cell r="A145" t="str">
            <v>West Berkshire</v>
          </cell>
          <cell r="B145">
            <v>869</v>
          </cell>
          <cell r="C145">
            <v>2745</v>
          </cell>
          <cell r="D145">
            <v>10224</v>
          </cell>
          <cell r="E145">
            <v>10245</v>
          </cell>
          <cell r="F145">
            <v>2727</v>
          </cell>
          <cell r="G145">
            <v>10291</v>
          </cell>
          <cell r="H145">
            <v>10155</v>
          </cell>
          <cell r="I145">
            <v>2730</v>
          </cell>
          <cell r="J145">
            <v>10432</v>
          </cell>
          <cell r="K145">
            <v>10089</v>
          </cell>
          <cell r="L145">
            <v>3984.23</v>
          </cell>
          <cell r="M145">
            <v>4137.1499999999996</v>
          </cell>
          <cell r="N145">
            <v>4321.45</v>
          </cell>
          <cell r="O145">
            <v>92.49</v>
          </cell>
          <cell r="P145">
            <v>95.87</v>
          </cell>
          <cell r="Q145">
            <v>100.47799999999999</v>
          </cell>
        </row>
        <row r="146">
          <cell r="A146" t="str">
            <v>West Sussex</v>
          </cell>
          <cell r="B146">
            <v>938</v>
          </cell>
          <cell r="C146">
            <v>12933</v>
          </cell>
          <cell r="D146">
            <v>47645</v>
          </cell>
          <cell r="E146">
            <v>42685</v>
          </cell>
          <cell r="F146">
            <v>13269</v>
          </cell>
          <cell r="G146">
            <v>47162</v>
          </cell>
          <cell r="H146">
            <v>42219</v>
          </cell>
          <cell r="I146">
            <v>13343</v>
          </cell>
          <cell r="J146">
            <v>46924</v>
          </cell>
          <cell r="K146">
            <v>42170</v>
          </cell>
          <cell r="L146">
            <v>3876.86</v>
          </cell>
          <cell r="M146">
            <v>4017.63</v>
          </cell>
          <cell r="N146">
            <v>4186.3500000000004</v>
          </cell>
          <cell r="O146">
            <v>400.33600000000001</v>
          </cell>
          <cell r="P146">
            <v>412.41</v>
          </cell>
          <cell r="Q146">
            <v>428.83699999999999</v>
          </cell>
        </row>
        <row r="147">
          <cell r="A147" t="str">
            <v>Westminster</v>
          </cell>
          <cell r="B147">
            <v>213</v>
          </cell>
          <cell r="C147">
            <v>3270</v>
          </cell>
          <cell r="D147">
            <v>8587</v>
          </cell>
          <cell r="E147">
            <v>5714</v>
          </cell>
          <cell r="F147">
            <v>3550</v>
          </cell>
          <cell r="G147">
            <v>8622</v>
          </cell>
          <cell r="H147">
            <v>5880</v>
          </cell>
          <cell r="I147">
            <v>3866</v>
          </cell>
          <cell r="J147">
            <v>8775</v>
          </cell>
          <cell r="K147">
            <v>5981</v>
          </cell>
          <cell r="L147">
            <v>5439.21</v>
          </cell>
          <cell r="M147">
            <v>5649.99</v>
          </cell>
          <cell r="N147">
            <v>5892.98</v>
          </cell>
          <cell r="O147">
            <v>95.572000000000003</v>
          </cell>
          <cell r="P147">
            <v>101.994</v>
          </cell>
          <cell r="Q147">
            <v>109.739</v>
          </cell>
        </row>
        <row r="148">
          <cell r="A148" t="str">
            <v>Wigan</v>
          </cell>
          <cell r="B148">
            <v>359</v>
          </cell>
          <cell r="C148">
            <v>5652</v>
          </cell>
          <cell r="D148">
            <v>20732</v>
          </cell>
          <cell r="E148">
            <v>20005</v>
          </cell>
          <cell r="F148">
            <v>5792</v>
          </cell>
          <cell r="G148">
            <v>20418</v>
          </cell>
          <cell r="H148">
            <v>19506</v>
          </cell>
          <cell r="I148">
            <v>5758</v>
          </cell>
          <cell r="J148">
            <v>20505</v>
          </cell>
          <cell r="K148">
            <v>19079</v>
          </cell>
          <cell r="L148">
            <v>3948.04</v>
          </cell>
          <cell r="M148">
            <v>4090.85</v>
          </cell>
          <cell r="N148">
            <v>4261.6899999999996</v>
          </cell>
          <cell r="O148">
            <v>183.14599999999999</v>
          </cell>
          <cell r="P148">
            <v>187.017</v>
          </cell>
          <cell r="Q148">
            <v>193.23400000000001</v>
          </cell>
        </row>
        <row r="149">
          <cell r="A149" t="str">
            <v>Wiltshire</v>
          </cell>
          <cell r="B149">
            <v>865</v>
          </cell>
          <cell r="C149">
            <v>7926</v>
          </cell>
          <cell r="D149">
            <v>29572</v>
          </cell>
          <cell r="E149">
            <v>26103</v>
          </cell>
          <cell r="F149">
            <v>8122</v>
          </cell>
          <cell r="G149">
            <v>28955</v>
          </cell>
          <cell r="H149">
            <v>26083</v>
          </cell>
          <cell r="I149">
            <v>8134</v>
          </cell>
          <cell r="J149">
            <v>28621</v>
          </cell>
          <cell r="K149">
            <v>26008</v>
          </cell>
          <cell r="L149">
            <v>3713.26</v>
          </cell>
          <cell r="M149">
            <v>3849.41</v>
          </cell>
          <cell r="N149">
            <v>4013.48</v>
          </cell>
          <cell r="O149">
            <v>236.167</v>
          </cell>
          <cell r="P149">
            <v>243.12899999999999</v>
          </cell>
          <cell r="Q149">
            <v>251.898</v>
          </cell>
        </row>
        <row r="150">
          <cell r="A150" t="str">
            <v>Windsor and Maidenhead</v>
          </cell>
          <cell r="B150">
            <v>868</v>
          </cell>
          <cell r="C150">
            <v>2173</v>
          </cell>
          <cell r="D150">
            <v>8093</v>
          </cell>
          <cell r="E150">
            <v>7912</v>
          </cell>
          <cell r="F150">
            <v>2276</v>
          </cell>
          <cell r="G150">
            <v>8100</v>
          </cell>
          <cell r="H150">
            <v>7910</v>
          </cell>
          <cell r="I150">
            <v>2337</v>
          </cell>
          <cell r="J150">
            <v>8175</v>
          </cell>
          <cell r="K150">
            <v>7934</v>
          </cell>
          <cell r="L150">
            <v>4039.62</v>
          </cell>
          <cell r="M150">
            <v>4193.25</v>
          </cell>
          <cell r="N150">
            <v>4377.8599999999997</v>
          </cell>
          <cell r="O150">
            <v>73.432000000000002</v>
          </cell>
          <cell r="P150">
            <v>76.677999999999997</v>
          </cell>
          <cell r="Q150">
            <v>80.754000000000005</v>
          </cell>
        </row>
        <row r="151">
          <cell r="A151" t="str">
            <v>Wirral</v>
          </cell>
          <cell r="B151">
            <v>344</v>
          </cell>
          <cell r="C151">
            <v>5791</v>
          </cell>
          <cell r="D151">
            <v>21049</v>
          </cell>
          <cell r="E151">
            <v>20095</v>
          </cell>
          <cell r="F151">
            <v>5926</v>
          </cell>
          <cell r="G151">
            <v>20814</v>
          </cell>
          <cell r="H151">
            <v>19583</v>
          </cell>
          <cell r="I151">
            <v>5965</v>
          </cell>
          <cell r="J151">
            <v>20857</v>
          </cell>
          <cell r="K151">
            <v>19062</v>
          </cell>
          <cell r="L151">
            <v>3937.12</v>
          </cell>
          <cell r="M151">
            <v>4088.94</v>
          </cell>
          <cell r="N151">
            <v>4268.5600000000004</v>
          </cell>
          <cell r="O151">
            <v>184.78899999999999</v>
          </cell>
          <cell r="P151">
            <v>189.41200000000001</v>
          </cell>
          <cell r="Q151">
            <v>195.85900000000001</v>
          </cell>
        </row>
        <row r="152">
          <cell r="A152" t="str">
            <v>Wokingham</v>
          </cell>
          <cell r="B152">
            <v>872</v>
          </cell>
          <cell r="C152">
            <v>2460</v>
          </cell>
          <cell r="D152">
            <v>10469</v>
          </cell>
          <cell r="E152">
            <v>9085</v>
          </cell>
          <cell r="F152">
            <v>2604</v>
          </cell>
          <cell r="G152">
            <v>10472</v>
          </cell>
          <cell r="H152">
            <v>8874</v>
          </cell>
          <cell r="I152">
            <v>2620</v>
          </cell>
          <cell r="J152">
            <v>10545</v>
          </cell>
          <cell r="K152">
            <v>8874</v>
          </cell>
          <cell r="L152">
            <v>3843.66</v>
          </cell>
          <cell r="M152">
            <v>4005.12</v>
          </cell>
          <cell r="N152">
            <v>4198.08</v>
          </cell>
          <cell r="O152">
            <v>84.614000000000004</v>
          </cell>
          <cell r="P152">
            <v>87.912000000000006</v>
          </cell>
          <cell r="Q152">
            <v>92.521000000000001</v>
          </cell>
        </row>
        <row r="153">
          <cell r="A153" t="str">
            <v>Wolverhampton</v>
          </cell>
          <cell r="B153">
            <v>336</v>
          </cell>
          <cell r="C153">
            <v>4827</v>
          </cell>
          <cell r="D153">
            <v>17240</v>
          </cell>
          <cell r="E153">
            <v>14327</v>
          </cell>
          <cell r="F153">
            <v>4965</v>
          </cell>
          <cell r="G153">
            <v>17147</v>
          </cell>
          <cell r="H153">
            <v>14070</v>
          </cell>
          <cell r="I153">
            <v>4955</v>
          </cell>
          <cell r="J153">
            <v>17270</v>
          </cell>
          <cell r="K153">
            <v>13867</v>
          </cell>
          <cell r="L153">
            <v>4145.16</v>
          </cell>
          <cell r="M153">
            <v>4309.2700000000004</v>
          </cell>
          <cell r="N153">
            <v>4501.74</v>
          </cell>
          <cell r="O153">
            <v>150.85900000000001</v>
          </cell>
          <cell r="P153">
            <v>155.91800000000001</v>
          </cell>
          <cell r="Q153">
            <v>162.477</v>
          </cell>
        </row>
        <row r="154">
          <cell r="A154" t="str">
            <v>Worcestershire</v>
          </cell>
          <cell r="B154">
            <v>885</v>
          </cell>
          <cell r="C154">
            <v>9543</v>
          </cell>
          <cell r="D154">
            <v>35185</v>
          </cell>
          <cell r="E154">
            <v>31264</v>
          </cell>
          <cell r="F154">
            <v>9836</v>
          </cell>
          <cell r="G154">
            <v>34724</v>
          </cell>
          <cell r="H154">
            <v>30902</v>
          </cell>
          <cell r="I154">
            <v>9800</v>
          </cell>
          <cell r="J154">
            <v>34719</v>
          </cell>
          <cell r="K154">
            <v>30663</v>
          </cell>
          <cell r="L154">
            <v>3728.79</v>
          </cell>
          <cell r="M154">
            <v>3864.6</v>
          </cell>
          <cell r="N154">
            <v>4027.71</v>
          </cell>
          <cell r="O154">
            <v>283.358</v>
          </cell>
          <cell r="P154">
            <v>291.63</v>
          </cell>
          <cell r="Q154">
            <v>302.81099999999998</v>
          </cell>
        </row>
        <row r="155">
          <cell r="A155" t="str">
            <v>York</v>
          </cell>
          <cell r="B155">
            <v>816</v>
          </cell>
          <cell r="C155">
            <v>2895</v>
          </cell>
          <cell r="D155">
            <v>10676</v>
          </cell>
          <cell r="E155">
            <v>9195</v>
          </cell>
          <cell r="F155">
            <v>3024</v>
          </cell>
          <cell r="G155">
            <v>10473</v>
          </cell>
          <cell r="H155">
            <v>9108</v>
          </cell>
          <cell r="I155">
            <v>3167</v>
          </cell>
          <cell r="J155">
            <v>10409</v>
          </cell>
          <cell r="K155">
            <v>9108</v>
          </cell>
          <cell r="L155">
            <v>3800.73</v>
          </cell>
          <cell r="M155">
            <v>3938.52</v>
          </cell>
          <cell r="N155">
            <v>4103.2299999999996</v>
          </cell>
          <cell r="O155">
            <v>86.527000000000001</v>
          </cell>
          <cell r="P155">
            <v>89.03</v>
          </cell>
          <cell r="Q155">
            <v>93.078000000000003</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ol"/>
      <sheetName val="Instructions"/>
      <sheetName val="LAs"/>
      <sheetName val="Schools Census"/>
      <sheetName val="Form 8b"/>
      <sheetName val="EYC"/>
      <sheetName val="EYC Calculation"/>
      <sheetName val="3yo adjustment"/>
      <sheetName val="Summary"/>
    </sheetNames>
    <sheetDataSet>
      <sheetData sheetId="0"/>
      <sheetData sheetId="1" refreshError="1">
        <row r="6">
          <cell r="D6" t="str">
            <v>Lincolnshire</v>
          </cell>
        </row>
      </sheetData>
      <sheetData sheetId="2" refreshError="1"/>
      <sheetData sheetId="3"/>
      <sheetData sheetId="4"/>
      <sheetData sheetId="5"/>
      <sheetData sheetId="6"/>
      <sheetData sheetId="7"/>
      <sheetData sheetId="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entation"/>
      <sheetName val="Issues"/>
      <sheetName val="S52 Gross"/>
      <sheetName val="S52 Sec"/>
      <sheetName val="LIG"/>
      <sheetName val="Spec G"/>
      <sheetName val="Thres T"/>
      <sheetName val="Thres G"/>
      <sheetName val="all_asc"/>
      <sheetName val="sec_asc"/>
      <sheetName val="ctc_asc"/>
      <sheetName val="acad_asc"/>
      <sheetName val="Form7"/>
      <sheetName val="Form7 Acad"/>
      <sheetName val="Section52"/>
      <sheetName val="ACA"/>
      <sheetName val="STPCD"/>
      <sheetName val="Basket"/>
      <sheetName val="RPIX"/>
      <sheetName val="S52 ACA deflated"/>
      <sheetName val="UoF Breakdown"/>
      <sheetName val="Validation"/>
      <sheetName val="CTC_UoF"/>
      <sheetName val="Meals"/>
      <sheetName val="AA"/>
      <sheetName val="AA Summary"/>
      <sheetName val="Information"/>
      <sheetName val="Summary"/>
      <sheetName val="UoFs by LEA"/>
    </sheetNames>
    <sheetDataSet>
      <sheetData sheetId="0"/>
      <sheetData sheetId="1"/>
      <sheetData sheetId="2" refreshError="1"/>
      <sheetData sheetId="3" refreshError="1">
        <row r="11">
          <cell r="A11">
            <v>201</v>
          </cell>
          <cell r="B11">
            <v>0</v>
          </cell>
          <cell r="C11">
            <v>0</v>
          </cell>
          <cell r="D11">
            <v>0</v>
          </cell>
          <cell r="E11">
            <v>0</v>
          </cell>
          <cell r="F11">
            <v>0</v>
          </cell>
          <cell r="G11">
            <v>0</v>
          </cell>
          <cell r="H11">
            <v>0</v>
          </cell>
          <cell r="I11">
            <v>0</v>
          </cell>
          <cell r="J11">
            <v>0</v>
          </cell>
          <cell r="K11">
            <v>0</v>
          </cell>
          <cell r="L11">
            <v>0</v>
          </cell>
          <cell r="M11">
            <v>58100</v>
          </cell>
          <cell r="N11">
            <v>0</v>
          </cell>
          <cell r="O11">
            <v>0</v>
          </cell>
          <cell r="P11">
            <v>0</v>
          </cell>
          <cell r="Q11">
            <v>0</v>
          </cell>
          <cell r="U11">
            <v>0</v>
          </cell>
          <cell r="X11">
            <v>15100</v>
          </cell>
          <cell r="Y11">
            <v>0</v>
          </cell>
          <cell r="Z11">
            <v>0</v>
          </cell>
          <cell r="AA11">
            <v>0</v>
          </cell>
          <cell r="AC11">
            <v>0</v>
          </cell>
          <cell r="AD11">
            <v>0</v>
          </cell>
          <cell r="AE11">
            <v>0</v>
          </cell>
          <cell r="AF11">
            <v>0</v>
          </cell>
          <cell r="AG11">
            <v>0</v>
          </cell>
          <cell r="AH11">
            <v>0</v>
          </cell>
          <cell r="AI11">
            <v>0</v>
          </cell>
          <cell r="AJ11">
            <v>0</v>
          </cell>
          <cell r="AK11">
            <v>0</v>
          </cell>
          <cell r="AL11">
            <v>0</v>
          </cell>
          <cell r="AM11">
            <v>0</v>
          </cell>
          <cell r="AN11">
            <v>73200</v>
          </cell>
          <cell r="BO11">
            <v>10300</v>
          </cell>
          <cell r="BP11">
            <v>19000</v>
          </cell>
          <cell r="CF11">
            <v>0</v>
          </cell>
          <cell r="CH11">
            <v>0</v>
          </cell>
          <cell r="CI11">
            <v>0</v>
          </cell>
          <cell r="CJ11">
            <v>0</v>
          </cell>
          <cell r="CK11">
            <v>0</v>
          </cell>
          <cell r="CL11">
            <v>0</v>
          </cell>
          <cell r="CN11">
            <v>0</v>
          </cell>
          <cell r="CO11">
            <v>175700</v>
          </cell>
        </row>
        <row r="12">
          <cell r="A12">
            <v>202</v>
          </cell>
          <cell r="B12">
            <v>42011916</v>
          </cell>
          <cell r="C12">
            <v>898026</v>
          </cell>
          <cell r="D12">
            <v>4131147</v>
          </cell>
          <cell r="E12">
            <v>1308920</v>
          </cell>
          <cell r="F12">
            <v>876000</v>
          </cell>
          <cell r="G12">
            <v>0</v>
          </cell>
          <cell r="H12">
            <v>0</v>
          </cell>
          <cell r="I12">
            <v>1477375</v>
          </cell>
          <cell r="J12">
            <v>522194</v>
          </cell>
          <cell r="K12">
            <v>0</v>
          </cell>
          <cell r="L12">
            <v>0</v>
          </cell>
          <cell r="M12">
            <v>666699</v>
          </cell>
          <cell r="N12">
            <v>1007420</v>
          </cell>
          <cell r="O12">
            <v>554221</v>
          </cell>
          <cell r="P12">
            <v>0</v>
          </cell>
          <cell r="Q12">
            <v>77394</v>
          </cell>
          <cell r="U12">
            <v>0</v>
          </cell>
          <cell r="X12">
            <v>0</v>
          </cell>
          <cell r="Y12">
            <v>375407</v>
          </cell>
          <cell r="Z12">
            <v>0</v>
          </cell>
          <cell r="AA12">
            <v>0</v>
          </cell>
          <cell r="AC12">
            <v>61395</v>
          </cell>
          <cell r="AD12">
            <v>0</v>
          </cell>
          <cell r="AE12">
            <v>20077</v>
          </cell>
          <cell r="AF12">
            <v>0</v>
          </cell>
          <cell r="AG12">
            <v>6722</v>
          </cell>
          <cell r="AH12">
            <v>27874</v>
          </cell>
          <cell r="AI12">
            <v>1083718</v>
          </cell>
          <cell r="AJ12">
            <v>625604</v>
          </cell>
          <cell r="AK12">
            <v>292681</v>
          </cell>
          <cell r="AL12">
            <v>0</v>
          </cell>
          <cell r="AM12">
            <v>735390</v>
          </cell>
          <cell r="AN12">
            <v>56760180</v>
          </cell>
          <cell r="BO12">
            <v>0</v>
          </cell>
          <cell r="BP12">
            <v>231480</v>
          </cell>
          <cell r="CF12">
            <v>11766287</v>
          </cell>
          <cell r="CH12">
            <v>0</v>
          </cell>
          <cell r="CI12">
            <v>352997</v>
          </cell>
          <cell r="CJ12">
            <v>0</v>
          </cell>
          <cell r="CK12">
            <v>0</v>
          </cell>
          <cell r="CL12">
            <v>0</v>
          </cell>
          <cell r="CN12">
            <v>4036740</v>
          </cell>
          <cell r="CO12">
            <v>129907864</v>
          </cell>
        </row>
        <row r="13">
          <cell r="A13">
            <v>203</v>
          </cell>
          <cell r="B13">
            <v>60750390</v>
          </cell>
          <cell r="C13">
            <v>1495570</v>
          </cell>
          <cell r="D13">
            <v>6654705</v>
          </cell>
          <cell r="E13">
            <v>2344524</v>
          </cell>
          <cell r="F13">
            <v>0</v>
          </cell>
          <cell r="G13">
            <v>0</v>
          </cell>
          <cell r="H13">
            <v>0</v>
          </cell>
          <cell r="I13">
            <v>462742</v>
          </cell>
          <cell r="J13">
            <v>0</v>
          </cell>
          <cell r="K13">
            <v>0</v>
          </cell>
          <cell r="L13">
            <v>47765</v>
          </cell>
          <cell r="M13">
            <v>262309</v>
          </cell>
          <cell r="N13">
            <v>0</v>
          </cell>
          <cell r="O13">
            <v>1878293</v>
          </cell>
          <cell r="P13">
            <v>1238302</v>
          </cell>
          <cell r="Q13">
            <v>0</v>
          </cell>
          <cell r="U13">
            <v>0</v>
          </cell>
          <cell r="X13">
            <v>0</v>
          </cell>
          <cell r="Y13">
            <v>0</v>
          </cell>
          <cell r="Z13">
            <v>0</v>
          </cell>
          <cell r="AA13">
            <v>0</v>
          </cell>
          <cell r="AC13">
            <v>110531</v>
          </cell>
          <cell r="AD13">
            <v>21452</v>
          </cell>
          <cell r="AE13">
            <v>223181</v>
          </cell>
          <cell r="AF13">
            <v>21135</v>
          </cell>
          <cell r="AG13">
            <v>6340</v>
          </cell>
          <cell r="AH13">
            <v>32470</v>
          </cell>
          <cell r="AI13">
            <v>215425</v>
          </cell>
          <cell r="AJ13">
            <v>1687646</v>
          </cell>
          <cell r="AK13">
            <v>71560</v>
          </cell>
          <cell r="AL13">
            <v>0</v>
          </cell>
          <cell r="AM13">
            <v>500000</v>
          </cell>
          <cell r="AN13">
            <v>78024340</v>
          </cell>
          <cell r="BO13">
            <v>354848</v>
          </cell>
          <cell r="BP13">
            <v>206584</v>
          </cell>
          <cell r="CF13">
            <v>10632560</v>
          </cell>
          <cell r="CH13">
            <v>0</v>
          </cell>
          <cell r="CI13">
            <v>0</v>
          </cell>
          <cell r="CJ13">
            <v>0</v>
          </cell>
          <cell r="CK13">
            <v>0</v>
          </cell>
          <cell r="CL13">
            <v>0</v>
          </cell>
          <cell r="CN13">
            <v>2868634</v>
          </cell>
          <cell r="CO13">
            <v>170111306</v>
          </cell>
        </row>
        <row r="14">
          <cell r="A14">
            <v>204</v>
          </cell>
          <cell r="B14">
            <v>29141896</v>
          </cell>
          <cell r="C14">
            <v>806629</v>
          </cell>
          <cell r="D14">
            <v>3184214</v>
          </cell>
          <cell r="E14">
            <v>1199839</v>
          </cell>
          <cell r="F14">
            <v>0</v>
          </cell>
          <cell r="G14">
            <v>0</v>
          </cell>
          <cell r="H14">
            <v>87736</v>
          </cell>
          <cell r="I14">
            <v>116981</v>
          </cell>
          <cell r="J14">
            <v>0</v>
          </cell>
          <cell r="K14">
            <v>0</v>
          </cell>
          <cell r="L14">
            <v>0</v>
          </cell>
          <cell r="M14">
            <v>0</v>
          </cell>
          <cell r="N14">
            <v>0</v>
          </cell>
          <cell r="O14">
            <v>1499720</v>
          </cell>
          <cell r="P14">
            <v>45732</v>
          </cell>
          <cell r="Q14">
            <v>2198381</v>
          </cell>
          <cell r="U14">
            <v>28023</v>
          </cell>
          <cell r="X14">
            <v>0</v>
          </cell>
          <cell r="Y14">
            <v>0</v>
          </cell>
          <cell r="Z14">
            <v>0</v>
          </cell>
          <cell r="AA14">
            <v>0</v>
          </cell>
          <cell r="AC14">
            <v>101349</v>
          </cell>
          <cell r="AD14">
            <v>10236</v>
          </cell>
          <cell r="AE14">
            <v>0</v>
          </cell>
          <cell r="AF14">
            <v>0</v>
          </cell>
          <cell r="AG14">
            <v>13158</v>
          </cell>
          <cell r="AH14">
            <v>191302</v>
          </cell>
          <cell r="AI14">
            <v>1169891</v>
          </cell>
          <cell r="AJ14">
            <v>840547</v>
          </cell>
          <cell r="AK14">
            <v>111169</v>
          </cell>
          <cell r="AL14">
            <v>0</v>
          </cell>
          <cell r="AM14">
            <v>262385</v>
          </cell>
          <cell r="AN14">
            <v>41009188</v>
          </cell>
          <cell r="BO14">
            <v>46641</v>
          </cell>
          <cell r="BP14">
            <v>1004595</v>
          </cell>
          <cell r="CF14">
            <v>2351385</v>
          </cell>
          <cell r="CH14">
            <v>0</v>
          </cell>
          <cell r="CI14">
            <v>0</v>
          </cell>
          <cell r="CJ14">
            <v>0</v>
          </cell>
          <cell r="CK14">
            <v>0</v>
          </cell>
          <cell r="CL14">
            <v>0</v>
          </cell>
          <cell r="CN14">
            <v>384721</v>
          </cell>
          <cell r="CO14">
            <v>85805718</v>
          </cell>
        </row>
        <row r="15">
          <cell r="A15">
            <v>205</v>
          </cell>
          <cell r="B15">
            <v>28860155</v>
          </cell>
          <cell r="C15">
            <v>864000</v>
          </cell>
          <cell r="D15">
            <v>2884376</v>
          </cell>
          <cell r="E15">
            <v>672107</v>
          </cell>
          <cell r="F15">
            <v>801409</v>
          </cell>
          <cell r="G15">
            <v>0</v>
          </cell>
          <cell r="H15">
            <v>142589</v>
          </cell>
          <cell r="I15">
            <v>190100</v>
          </cell>
          <cell r="J15">
            <v>31616</v>
          </cell>
          <cell r="K15">
            <v>0</v>
          </cell>
          <cell r="L15">
            <v>63091</v>
          </cell>
          <cell r="M15">
            <v>476967</v>
          </cell>
          <cell r="N15">
            <v>0</v>
          </cell>
          <cell r="O15">
            <v>2425173</v>
          </cell>
          <cell r="P15">
            <v>11405</v>
          </cell>
          <cell r="Q15">
            <v>0</v>
          </cell>
          <cell r="U15">
            <v>10750</v>
          </cell>
          <cell r="X15">
            <v>0</v>
          </cell>
          <cell r="Y15">
            <v>0</v>
          </cell>
          <cell r="Z15">
            <v>0</v>
          </cell>
          <cell r="AA15">
            <v>0</v>
          </cell>
          <cell r="AC15">
            <v>66315</v>
          </cell>
          <cell r="AD15">
            <v>0</v>
          </cell>
          <cell r="AE15">
            <v>52635</v>
          </cell>
          <cell r="AF15">
            <v>0</v>
          </cell>
          <cell r="AG15">
            <v>7500</v>
          </cell>
          <cell r="AH15">
            <v>66195</v>
          </cell>
          <cell r="AI15">
            <v>1151050</v>
          </cell>
          <cell r="AJ15">
            <v>703148</v>
          </cell>
          <cell r="AK15">
            <v>429075</v>
          </cell>
          <cell r="AL15">
            <v>0</v>
          </cell>
          <cell r="AM15">
            <v>585919</v>
          </cell>
          <cell r="AN15">
            <v>40495575</v>
          </cell>
          <cell r="BO15">
            <v>171418</v>
          </cell>
          <cell r="BP15">
            <v>0</v>
          </cell>
          <cell r="CF15">
            <v>6053160</v>
          </cell>
          <cell r="CH15">
            <v>0</v>
          </cell>
          <cell r="CI15">
            <v>0</v>
          </cell>
          <cell r="CJ15">
            <v>0</v>
          </cell>
          <cell r="CK15">
            <v>0</v>
          </cell>
          <cell r="CL15">
            <v>0</v>
          </cell>
          <cell r="CN15">
            <v>1620752</v>
          </cell>
          <cell r="CO15">
            <v>88836480</v>
          </cell>
        </row>
        <row r="16">
          <cell r="A16">
            <v>206</v>
          </cell>
          <cell r="B16">
            <v>33631396</v>
          </cell>
          <cell r="C16">
            <v>897211</v>
          </cell>
          <cell r="D16">
            <v>3481193</v>
          </cell>
          <cell r="E16">
            <v>945049</v>
          </cell>
          <cell r="F16">
            <v>0</v>
          </cell>
          <cell r="G16">
            <v>88819</v>
          </cell>
          <cell r="H16">
            <v>221975</v>
          </cell>
          <cell r="I16">
            <v>580721</v>
          </cell>
          <cell r="J16">
            <v>72670</v>
          </cell>
          <cell r="K16">
            <v>0</v>
          </cell>
          <cell r="L16">
            <v>46356</v>
          </cell>
          <cell r="M16">
            <v>1043920</v>
          </cell>
          <cell r="N16">
            <v>0</v>
          </cell>
          <cell r="O16">
            <v>1913760</v>
          </cell>
          <cell r="P16">
            <v>70909</v>
          </cell>
          <cell r="Q16">
            <v>72140</v>
          </cell>
          <cell r="U16">
            <v>18127</v>
          </cell>
          <cell r="X16">
            <v>0</v>
          </cell>
          <cell r="Y16">
            <v>0</v>
          </cell>
          <cell r="Z16">
            <v>0</v>
          </cell>
          <cell r="AA16">
            <v>0</v>
          </cell>
          <cell r="AC16">
            <v>108040</v>
          </cell>
          <cell r="AD16">
            <v>16947</v>
          </cell>
          <cell r="AE16">
            <v>0</v>
          </cell>
          <cell r="AF16">
            <v>3704</v>
          </cell>
          <cell r="AG16">
            <v>5064</v>
          </cell>
          <cell r="AH16">
            <v>45954</v>
          </cell>
          <cell r="AI16">
            <v>116095</v>
          </cell>
          <cell r="AJ16">
            <v>1310120</v>
          </cell>
          <cell r="AK16">
            <v>764380</v>
          </cell>
          <cell r="AL16">
            <v>0</v>
          </cell>
          <cell r="AM16">
            <v>285446</v>
          </cell>
          <cell r="AN16">
            <v>45739996</v>
          </cell>
          <cell r="BO16">
            <v>1855</v>
          </cell>
          <cell r="BP16">
            <v>11195</v>
          </cell>
          <cell r="CF16">
            <v>1158129</v>
          </cell>
          <cell r="CH16">
            <v>0</v>
          </cell>
          <cell r="CI16">
            <v>0</v>
          </cell>
          <cell r="CJ16">
            <v>0</v>
          </cell>
          <cell r="CK16">
            <v>0</v>
          </cell>
          <cell r="CL16">
            <v>0</v>
          </cell>
          <cell r="CN16">
            <v>2120000</v>
          </cell>
          <cell r="CO16">
            <v>94771171</v>
          </cell>
        </row>
        <row r="17">
          <cell r="A17">
            <v>207</v>
          </cell>
          <cell r="B17">
            <v>15876967</v>
          </cell>
          <cell r="C17">
            <v>384000</v>
          </cell>
          <cell r="D17">
            <v>1336713</v>
          </cell>
          <cell r="E17">
            <v>736700</v>
          </cell>
          <cell r="F17">
            <v>0</v>
          </cell>
          <cell r="G17">
            <v>0</v>
          </cell>
          <cell r="H17">
            <v>0</v>
          </cell>
          <cell r="I17">
            <v>40166</v>
          </cell>
          <cell r="J17">
            <v>1199</v>
          </cell>
          <cell r="K17">
            <v>0</v>
          </cell>
          <cell r="L17">
            <v>88174</v>
          </cell>
          <cell r="M17">
            <v>46596</v>
          </cell>
          <cell r="N17">
            <v>0</v>
          </cell>
          <cell r="O17">
            <v>1028229</v>
          </cell>
          <cell r="P17">
            <v>39262</v>
          </cell>
          <cell r="Q17">
            <v>7505</v>
          </cell>
          <cell r="U17">
            <v>73</v>
          </cell>
          <cell r="X17">
            <v>0</v>
          </cell>
          <cell r="Y17">
            <v>0</v>
          </cell>
          <cell r="Z17">
            <v>0</v>
          </cell>
          <cell r="AA17">
            <v>0</v>
          </cell>
          <cell r="AC17">
            <v>0</v>
          </cell>
          <cell r="AD17">
            <v>0</v>
          </cell>
          <cell r="AE17">
            <v>105778</v>
          </cell>
          <cell r="AF17">
            <v>17614</v>
          </cell>
          <cell r="AG17">
            <v>1100</v>
          </cell>
          <cell r="AH17">
            <v>0</v>
          </cell>
          <cell r="AI17">
            <v>468365</v>
          </cell>
          <cell r="AJ17">
            <v>380568</v>
          </cell>
          <cell r="AK17">
            <v>144850</v>
          </cell>
          <cell r="AL17">
            <v>0</v>
          </cell>
          <cell r="AM17">
            <v>819115</v>
          </cell>
          <cell r="AN17">
            <v>21522974</v>
          </cell>
          <cell r="BO17">
            <v>704</v>
          </cell>
          <cell r="BP17">
            <v>64413</v>
          </cell>
          <cell r="CF17">
            <v>2400107</v>
          </cell>
          <cell r="CH17">
            <v>0</v>
          </cell>
          <cell r="CI17">
            <v>0</v>
          </cell>
          <cell r="CJ17">
            <v>0</v>
          </cell>
          <cell r="CK17">
            <v>0</v>
          </cell>
          <cell r="CL17">
            <v>0</v>
          </cell>
          <cell r="CN17">
            <v>0</v>
          </cell>
          <cell r="CO17">
            <v>45511172</v>
          </cell>
        </row>
        <row r="18">
          <cell r="A18">
            <v>208</v>
          </cell>
          <cell r="B18">
            <v>33902339</v>
          </cell>
          <cell r="C18">
            <v>977559</v>
          </cell>
          <cell r="D18">
            <v>2385534</v>
          </cell>
          <cell r="E18">
            <v>943280</v>
          </cell>
          <cell r="F18">
            <v>1197000</v>
          </cell>
          <cell r="G18">
            <v>0</v>
          </cell>
          <cell r="H18">
            <v>0</v>
          </cell>
          <cell r="I18">
            <v>57750</v>
          </cell>
          <cell r="J18">
            <v>78035</v>
          </cell>
          <cell r="K18">
            <v>0</v>
          </cell>
          <cell r="L18">
            <v>88489</v>
          </cell>
          <cell r="M18">
            <v>0</v>
          </cell>
          <cell r="N18">
            <v>0</v>
          </cell>
          <cell r="O18">
            <v>1221113</v>
          </cell>
          <cell r="P18">
            <v>46388</v>
          </cell>
          <cell r="Q18">
            <v>0</v>
          </cell>
          <cell r="U18">
            <v>3750</v>
          </cell>
          <cell r="X18">
            <v>0</v>
          </cell>
          <cell r="Y18">
            <v>0</v>
          </cell>
          <cell r="Z18">
            <v>0</v>
          </cell>
          <cell r="AA18">
            <v>0</v>
          </cell>
          <cell r="AC18">
            <v>39063</v>
          </cell>
          <cell r="AD18">
            <v>0</v>
          </cell>
          <cell r="AE18">
            <v>135000</v>
          </cell>
          <cell r="AF18">
            <v>0</v>
          </cell>
          <cell r="AG18">
            <v>0</v>
          </cell>
          <cell r="AH18">
            <v>135000</v>
          </cell>
          <cell r="AI18">
            <v>1850143</v>
          </cell>
          <cell r="AJ18">
            <v>0</v>
          </cell>
          <cell r="AK18">
            <v>274959</v>
          </cell>
          <cell r="AL18">
            <v>0</v>
          </cell>
          <cell r="AM18">
            <v>166956</v>
          </cell>
          <cell r="AN18">
            <v>43502358</v>
          </cell>
          <cell r="BO18">
            <v>0</v>
          </cell>
          <cell r="BP18">
            <v>0</v>
          </cell>
          <cell r="CF18">
            <v>0</v>
          </cell>
          <cell r="CH18">
            <v>0</v>
          </cell>
          <cell r="CI18">
            <v>0</v>
          </cell>
          <cell r="CJ18">
            <v>0</v>
          </cell>
          <cell r="CK18">
            <v>0</v>
          </cell>
          <cell r="CL18">
            <v>0</v>
          </cell>
          <cell r="CN18">
            <v>3817446</v>
          </cell>
          <cell r="CO18">
            <v>90822162</v>
          </cell>
        </row>
        <row r="19">
          <cell r="A19">
            <v>209</v>
          </cell>
          <cell r="B19">
            <v>48830509</v>
          </cell>
          <cell r="C19">
            <v>1264838</v>
          </cell>
          <cell r="D19">
            <v>3675764</v>
          </cell>
          <cell r="E19">
            <v>1912540</v>
          </cell>
          <cell r="F19">
            <v>38869</v>
          </cell>
          <cell r="G19">
            <v>0</v>
          </cell>
          <cell r="H19">
            <v>361131</v>
          </cell>
          <cell r="I19">
            <v>114764</v>
          </cell>
          <cell r="J19">
            <v>0</v>
          </cell>
          <cell r="K19">
            <v>0</v>
          </cell>
          <cell r="L19">
            <v>29307</v>
          </cell>
          <cell r="M19">
            <v>391324</v>
          </cell>
          <cell r="N19">
            <v>0</v>
          </cell>
          <cell r="O19">
            <v>927172</v>
          </cell>
          <cell r="P19">
            <v>127541</v>
          </cell>
          <cell r="Q19">
            <v>42905</v>
          </cell>
          <cell r="U19">
            <v>14243</v>
          </cell>
          <cell r="X19">
            <v>0</v>
          </cell>
          <cell r="Y19">
            <v>0</v>
          </cell>
          <cell r="Z19">
            <v>0</v>
          </cell>
          <cell r="AA19">
            <v>0</v>
          </cell>
          <cell r="AC19">
            <v>79280</v>
          </cell>
          <cell r="AD19">
            <v>22494</v>
          </cell>
          <cell r="AE19">
            <v>101844</v>
          </cell>
          <cell r="AF19">
            <v>0</v>
          </cell>
          <cell r="AG19">
            <v>11079</v>
          </cell>
          <cell r="AH19">
            <v>160562</v>
          </cell>
          <cell r="AI19">
            <v>24110</v>
          </cell>
          <cell r="AJ19">
            <v>0</v>
          </cell>
          <cell r="AK19">
            <v>423352</v>
          </cell>
          <cell r="AL19">
            <v>0</v>
          </cell>
          <cell r="AM19">
            <v>1102181</v>
          </cell>
          <cell r="AN19">
            <v>59655809</v>
          </cell>
          <cell r="BO19">
            <v>120603</v>
          </cell>
          <cell r="BP19">
            <v>223476</v>
          </cell>
          <cell r="CF19">
            <v>5726402</v>
          </cell>
          <cell r="CH19">
            <v>20508</v>
          </cell>
          <cell r="CI19">
            <v>0</v>
          </cell>
          <cell r="CJ19">
            <v>0</v>
          </cell>
          <cell r="CK19">
            <v>0</v>
          </cell>
          <cell r="CL19">
            <v>0</v>
          </cell>
          <cell r="CN19">
            <v>1311832</v>
          </cell>
          <cell r="CO19">
            <v>126714439</v>
          </cell>
        </row>
        <row r="20">
          <cell r="A20">
            <v>210</v>
          </cell>
          <cell r="B20">
            <v>42177147</v>
          </cell>
          <cell r="C20">
            <v>1152000</v>
          </cell>
          <cell r="D20">
            <v>5716950</v>
          </cell>
          <cell r="E20">
            <v>1629167</v>
          </cell>
          <cell r="F20">
            <v>0</v>
          </cell>
          <cell r="G20">
            <v>0</v>
          </cell>
          <cell r="H20">
            <v>250536</v>
          </cell>
          <cell r="I20">
            <v>341524</v>
          </cell>
          <cell r="J20">
            <v>0</v>
          </cell>
          <cell r="K20">
            <v>333293</v>
          </cell>
          <cell r="L20">
            <v>177068</v>
          </cell>
          <cell r="M20">
            <v>880980</v>
          </cell>
          <cell r="N20">
            <v>1130670</v>
          </cell>
          <cell r="O20">
            <v>904826</v>
          </cell>
          <cell r="P20">
            <v>136693</v>
          </cell>
          <cell r="Q20">
            <v>71799</v>
          </cell>
          <cell r="U20">
            <v>11148</v>
          </cell>
          <cell r="X20">
            <v>0</v>
          </cell>
          <cell r="Y20">
            <v>0</v>
          </cell>
          <cell r="Z20">
            <v>0</v>
          </cell>
          <cell r="AA20">
            <v>0</v>
          </cell>
          <cell r="AC20">
            <v>74708</v>
          </cell>
          <cell r="AD20">
            <v>19044</v>
          </cell>
          <cell r="AE20">
            <v>279800</v>
          </cell>
          <cell r="AF20">
            <v>0</v>
          </cell>
          <cell r="AG20">
            <v>7766</v>
          </cell>
          <cell r="AH20">
            <v>69363</v>
          </cell>
          <cell r="AI20">
            <v>890629</v>
          </cell>
          <cell r="AJ20">
            <v>952231</v>
          </cell>
          <cell r="AK20">
            <v>456526</v>
          </cell>
          <cell r="AL20">
            <v>0</v>
          </cell>
          <cell r="AM20">
            <v>71218</v>
          </cell>
          <cell r="AN20">
            <v>57735086</v>
          </cell>
          <cell r="BO20">
            <v>27486</v>
          </cell>
          <cell r="BP20">
            <v>312801</v>
          </cell>
          <cell r="CF20">
            <v>1567353</v>
          </cell>
          <cell r="CH20">
            <v>100000</v>
          </cell>
          <cell r="CI20">
            <v>0</v>
          </cell>
          <cell r="CJ20">
            <v>100000</v>
          </cell>
          <cell r="CK20">
            <v>682020</v>
          </cell>
          <cell r="CL20">
            <v>0</v>
          </cell>
          <cell r="CN20">
            <v>8905698</v>
          </cell>
          <cell r="CO20">
            <v>127165530</v>
          </cell>
        </row>
        <row r="21">
          <cell r="A21">
            <v>211</v>
          </cell>
          <cell r="B21">
            <v>66955245</v>
          </cell>
          <cell r="C21">
            <v>1540250</v>
          </cell>
          <cell r="D21">
            <v>6988545</v>
          </cell>
          <cell r="E21">
            <v>2294451</v>
          </cell>
          <cell r="F21">
            <v>367340</v>
          </cell>
          <cell r="G21">
            <v>0</v>
          </cell>
          <cell r="H21">
            <v>230000</v>
          </cell>
          <cell r="I21">
            <v>618710</v>
          </cell>
          <cell r="J21">
            <v>212535</v>
          </cell>
          <cell r="K21">
            <v>30063</v>
          </cell>
          <cell r="L21">
            <v>17214</v>
          </cell>
          <cell r="M21">
            <v>0</v>
          </cell>
          <cell r="N21">
            <v>0</v>
          </cell>
          <cell r="O21">
            <v>2206501</v>
          </cell>
          <cell r="P21">
            <v>0</v>
          </cell>
          <cell r="Q21">
            <v>266260</v>
          </cell>
          <cell r="U21">
            <v>57039</v>
          </cell>
          <cell r="X21">
            <v>36913</v>
          </cell>
          <cell r="Y21">
            <v>0</v>
          </cell>
          <cell r="Z21">
            <v>0</v>
          </cell>
          <cell r="AA21">
            <v>0</v>
          </cell>
          <cell r="AC21">
            <v>61244</v>
          </cell>
          <cell r="AD21">
            <v>0</v>
          </cell>
          <cell r="AE21">
            <v>324297</v>
          </cell>
          <cell r="AF21">
            <v>5000</v>
          </cell>
          <cell r="AG21">
            <v>0</v>
          </cell>
          <cell r="AH21">
            <v>80115</v>
          </cell>
          <cell r="AI21">
            <v>694545</v>
          </cell>
          <cell r="AJ21">
            <v>2388330</v>
          </cell>
          <cell r="AK21">
            <v>608307</v>
          </cell>
          <cell r="AL21">
            <v>0</v>
          </cell>
          <cell r="AM21">
            <v>631058</v>
          </cell>
          <cell r="AN21">
            <v>86613962</v>
          </cell>
          <cell r="BO21">
            <v>0</v>
          </cell>
          <cell r="BP21">
            <v>46248</v>
          </cell>
          <cell r="CF21">
            <v>6605498</v>
          </cell>
          <cell r="CH21">
            <v>30870</v>
          </cell>
          <cell r="CI21">
            <v>0</v>
          </cell>
          <cell r="CJ21">
            <v>0</v>
          </cell>
          <cell r="CK21">
            <v>0</v>
          </cell>
          <cell r="CL21">
            <v>0</v>
          </cell>
          <cell r="CN21">
            <v>9221697</v>
          </cell>
          <cell r="CO21">
            <v>189132237</v>
          </cell>
        </row>
        <row r="22">
          <cell r="A22">
            <v>212</v>
          </cell>
          <cell r="B22">
            <v>37168896</v>
          </cell>
          <cell r="C22">
            <v>1027815</v>
          </cell>
          <cell r="D22">
            <v>5644153</v>
          </cell>
          <cell r="E22">
            <v>1226573</v>
          </cell>
          <cell r="F22">
            <v>0</v>
          </cell>
          <cell r="G22">
            <v>0</v>
          </cell>
          <cell r="H22">
            <v>363325</v>
          </cell>
          <cell r="I22">
            <v>49957</v>
          </cell>
          <cell r="J22">
            <v>0</v>
          </cell>
          <cell r="K22">
            <v>6176</v>
          </cell>
          <cell r="L22">
            <v>55931</v>
          </cell>
          <cell r="M22">
            <v>252136</v>
          </cell>
          <cell r="N22">
            <v>0</v>
          </cell>
          <cell r="O22">
            <v>842559</v>
          </cell>
          <cell r="P22">
            <v>16740</v>
          </cell>
          <cell r="Q22">
            <v>291766</v>
          </cell>
          <cell r="U22">
            <v>0</v>
          </cell>
          <cell r="X22">
            <v>0</v>
          </cell>
          <cell r="Y22">
            <v>1324</v>
          </cell>
          <cell r="Z22">
            <v>0</v>
          </cell>
          <cell r="AA22">
            <v>0</v>
          </cell>
          <cell r="AC22">
            <v>89040</v>
          </cell>
          <cell r="AD22">
            <v>0</v>
          </cell>
          <cell r="AE22">
            <v>30689</v>
          </cell>
          <cell r="AF22">
            <v>0</v>
          </cell>
          <cell r="AG22">
            <v>513</v>
          </cell>
          <cell r="AH22">
            <v>150589</v>
          </cell>
          <cell r="AI22">
            <v>401816</v>
          </cell>
          <cell r="AJ22">
            <v>2137895</v>
          </cell>
          <cell r="AK22">
            <v>187256</v>
          </cell>
          <cell r="AL22">
            <v>0</v>
          </cell>
          <cell r="AM22">
            <v>0</v>
          </cell>
          <cell r="AN22">
            <v>49945149</v>
          </cell>
          <cell r="BO22">
            <v>8348</v>
          </cell>
          <cell r="BP22">
            <v>145269</v>
          </cell>
          <cell r="CF22">
            <v>7063817</v>
          </cell>
          <cell r="CH22">
            <v>0</v>
          </cell>
          <cell r="CI22">
            <v>0</v>
          </cell>
          <cell r="CJ22">
            <v>0</v>
          </cell>
          <cell r="CK22">
            <v>0</v>
          </cell>
          <cell r="CL22">
            <v>0</v>
          </cell>
          <cell r="CN22">
            <v>7309898</v>
          </cell>
          <cell r="CO22">
            <v>114417630</v>
          </cell>
        </row>
        <row r="23">
          <cell r="A23">
            <v>213</v>
          </cell>
          <cell r="B23">
            <v>33491715</v>
          </cell>
          <cell r="C23">
            <v>818417</v>
          </cell>
          <cell r="D23">
            <v>5160949</v>
          </cell>
          <cell r="E23">
            <v>939910</v>
          </cell>
          <cell r="F23">
            <v>0</v>
          </cell>
          <cell r="G23">
            <v>0</v>
          </cell>
          <cell r="H23">
            <v>324146</v>
          </cell>
          <cell r="I23">
            <v>103845</v>
          </cell>
          <cell r="J23">
            <v>0</v>
          </cell>
          <cell r="K23">
            <v>103845</v>
          </cell>
          <cell r="L23">
            <v>0</v>
          </cell>
          <cell r="M23">
            <v>0</v>
          </cell>
          <cell r="N23">
            <v>1686215</v>
          </cell>
          <cell r="O23">
            <v>345146</v>
          </cell>
          <cell r="P23">
            <v>0</v>
          </cell>
          <cell r="Q23">
            <v>972153</v>
          </cell>
          <cell r="U23">
            <v>0</v>
          </cell>
          <cell r="X23">
            <v>0</v>
          </cell>
          <cell r="Y23">
            <v>0</v>
          </cell>
          <cell r="Z23">
            <v>0</v>
          </cell>
          <cell r="AA23">
            <v>0</v>
          </cell>
          <cell r="AC23">
            <v>217197</v>
          </cell>
          <cell r="AD23">
            <v>0</v>
          </cell>
          <cell r="AE23">
            <v>0</v>
          </cell>
          <cell r="AF23">
            <v>0</v>
          </cell>
          <cell r="AG23">
            <v>22084</v>
          </cell>
          <cell r="AH23">
            <v>34434</v>
          </cell>
          <cell r="AI23">
            <v>0</v>
          </cell>
          <cell r="AJ23">
            <v>888085</v>
          </cell>
          <cell r="AK23">
            <v>52269</v>
          </cell>
          <cell r="AL23">
            <v>0</v>
          </cell>
          <cell r="AM23">
            <v>0</v>
          </cell>
          <cell r="AN23">
            <v>45160410</v>
          </cell>
          <cell r="BO23">
            <v>297700</v>
          </cell>
          <cell r="BP23">
            <v>11520</v>
          </cell>
          <cell r="CF23">
            <v>6449349</v>
          </cell>
          <cell r="CH23">
            <v>0</v>
          </cell>
          <cell r="CI23">
            <v>0</v>
          </cell>
          <cell r="CJ23">
            <v>0</v>
          </cell>
          <cell r="CK23">
            <v>595500</v>
          </cell>
          <cell r="CL23">
            <v>0</v>
          </cell>
          <cell r="CN23">
            <v>6522000</v>
          </cell>
          <cell r="CO23">
            <v>104196889</v>
          </cell>
        </row>
        <row r="24">
          <cell r="A24">
            <v>301</v>
          </cell>
          <cell r="B24">
            <v>44390102</v>
          </cell>
          <cell r="C24">
            <v>963427</v>
          </cell>
          <cell r="D24">
            <v>3608318</v>
          </cell>
          <cell r="E24">
            <v>1306565</v>
          </cell>
          <cell r="F24">
            <v>516000</v>
          </cell>
          <cell r="G24">
            <v>0</v>
          </cell>
          <cell r="H24">
            <v>50000</v>
          </cell>
          <cell r="I24">
            <v>211720</v>
          </cell>
          <cell r="J24">
            <v>264510</v>
          </cell>
          <cell r="K24">
            <v>0</v>
          </cell>
          <cell r="L24">
            <v>66000</v>
          </cell>
          <cell r="M24">
            <v>200000</v>
          </cell>
          <cell r="N24">
            <v>0</v>
          </cell>
          <cell r="O24">
            <v>639237</v>
          </cell>
          <cell r="P24">
            <v>127270</v>
          </cell>
          <cell r="Q24">
            <v>780000</v>
          </cell>
          <cell r="U24">
            <v>15390</v>
          </cell>
          <cell r="X24">
            <v>0</v>
          </cell>
          <cell r="Y24">
            <v>0</v>
          </cell>
          <cell r="Z24">
            <v>0</v>
          </cell>
          <cell r="AA24">
            <v>0</v>
          </cell>
          <cell r="AC24">
            <v>196840</v>
          </cell>
          <cell r="AD24">
            <v>0</v>
          </cell>
          <cell r="AE24">
            <v>469400</v>
          </cell>
          <cell r="AF24">
            <v>37200</v>
          </cell>
          <cell r="AG24">
            <v>0</v>
          </cell>
          <cell r="AH24">
            <v>0</v>
          </cell>
          <cell r="AI24">
            <v>831024</v>
          </cell>
          <cell r="AJ24">
            <v>0</v>
          </cell>
          <cell r="AK24">
            <v>0</v>
          </cell>
          <cell r="AL24">
            <v>0</v>
          </cell>
          <cell r="AM24">
            <v>1483337</v>
          </cell>
          <cell r="AN24">
            <v>56156340</v>
          </cell>
          <cell r="BO24">
            <v>255912</v>
          </cell>
          <cell r="BP24">
            <v>671904</v>
          </cell>
          <cell r="CF24">
            <v>6470053</v>
          </cell>
          <cell r="CH24">
            <v>0</v>
          </cell>
          <cell r="CI24">
            <v>0</v>
          </cell>
          <cell r="CJ24">
            <v>0</v>
          </cell>
          <cell r="CK24">
            <v>0</v>
          </cell>
          <cell r="CL24">
            <v>0</v>
          </cell>
          <cell r="CN24">
            <v>15733834</v>
          </cell>
          <cell r="CO24">
            <v>135444383</v>
          </cell>
        </row>
        <row r="25">
          <cell r="A25">
            <v>302</v>
          </cell>
          <cell r="B25">
            <v>74253920</v>
          </cell>
          <cell r="C25">
            <v>1972711</v>
          </cell>
          <cell r="D25">
            <v>4661423</v>
          </cell>
          <cell r="E25">
            <v>704157</v>
          </cell>
          <cell r="F25">
            <v>0</v>
          </cell>
          <cell r="G25">
            <v>0</v>
          </cell>
          <cell r="H25">
            <v>940000</v>
          </cell>
          <cell r="I25">
            <v>338096</v>
          </cell>
          <cell r="J25">
            <v>0</v>
          </cell>
          <cell r="K25">
            <v>0</v>
          </cell>
          <cell r="L25">
            <v>163536</v>
          </cell>
          <cell r="M25">
            <v>1362860</v>
          </cell>
          <cell r="N25">
            <v>0</v>
          </cell>
          <cell r="O25">
            <v>1071616</v>
          </cell>
          <cell r="P25">
            <v>0</v>
          </cell>
          <cell r="Q25">
            <v>108444</v>
          </cell>
          <cell r="U25">
            <v>0</v>
          </cell>
          <cell r="X25">
            <v>0</v>
          </cell>
          <cell r="Y25">
            <v>0</v>
          </cell>
          <cell r="Z25">
            <v>0</v>
          </cell>
          <cell r="AA25">
            <v>0</v>
          </cell>
          <cell r="AC25">
            <v>119626</v>
          </cell>
          <cell r="AD25">
            <v>0</v>
          </cell>
          <cell r="AE25">
            <v>114696</v>
          </cell>
          <cell r="AF25">
            <v>0</v>
          </cell>
          <cell r="AG25">
            <v>4000</v>
          </cell>
          <cell r="AH25">
            <v>0</v>
          </cell>
          <cell r="AI25">
            <v>1011780</v>
          </cell>
          <cell r="AJ25">
            <v>2320240</v>
          </cell>
          <cell r="AK25">
            <v>10000</v>
          </cell>
          <cell r="AL25">
            <v>0</v>
          </cell>
          <cell r="AM25">
            <v>483240</v>
          </cell>
          <cell r="AN25">
            <v>89640345</v>
          </cell>
          <cell r="BO25">
            <v>0</v>
          </cell>
          <cell r="BP25">
            <v>1014873</v>
          </cell>
          <cell r="CF25">
            <v>17091573</v>
          </cell>
          <cell r="CH25">
            <v>64862</v>
          </cell>
          <cell r="CI25">
            <v>0</v>
          </cell>
          <cell r="CJ25">
            <v>0</v>
          </cell>
          <cell r="CK25">
            <v>0</v>
          </cell>
          <cell r="CL25">
            <v>0</v>
          </cell>
          <cell r="CN25">
            <v>6678000</v>
          </cell>
          <cell r="CO25">
            <v>204129998</v>
          </cell>
        </row>
        <row r="26">
          <cell r="A26">
            <v>303</v>
          </cell>
          <cell r="B26">
            <v>59321109</v>
          </cell>
          <cell r="C26">
            <v>1609335</v>
          </cell>
          <cell r="D26">
            <v>2648000</v>
          </cell>
          <cell r="E26">
            <v>784000</v>
          </cell>
          <cell r="F26">
            <v>700000</v>
          </cell>
          <cell r="G26">
            <v>0</v>
          </cell>
          <cell r="H26">
            <v>0</v>
          </cell>
          <cell r="I26">
            <v>1715000</v>
          </cell>
          <cell r="J26">
            <v>0</v>
          </cell>
          <cell r="K26">
            <v>251000</v>
          </cell>
          <cell r="L26">
            <v>3000</v>
          </cell>
          <cell r="M26">
            <v>261000</v>
          </cell>
          <cell r="N26">
            <v>0</v>
          </cell>
          <cell r="O26">
            <v>1023000</v>
          </cell>
          <cell r="P26">
            <v>230000</v>
          </cell>
          <cell r="Q26">
            <v>109000</v>
          </cell>
          <cell r="U26">
            <v>18000</v>
          </cell>
          <cell r="X26">
            <v>0</v>
          </cell>
          <cell r="Y26">
            <v>0</v>
          </cell>
          <cell r="Z26">
            <v>0</v>
          </cell>
          <cell r="AA26">
            <v>0</v>
          </cell>
          <cell r="AC26">
            <v>161000</v>
          </cell>
          <cell r="AD26">
            <v>6000</v>
          </cell>
          <cell r="AE26">
            <v>82000</v>
          </cell>
          <cell r="AF26">
            <v>0</v>
          </cell>
          <cell r="AG26">
            <v>15000</v>
          </cell>
          <cell r="AH26">
            <v>101000</v>
          </cell>
          <cell r="AI26">
            <v>229000</v>
          </cell>
          <cell r="AJ26">
            <v>1452000</v>
          </cell>
          <cell r="AK26">
            <v>0</v>
          </cell>
          <cell r="AL26">
            <v>0</v>
          </cell>
          <cell r="AM26">
            <v>339000</v>
          </cell>
          <cell r="AN26">
            <v>71057444</v>
          </cell>
          <cell r="BO26">
            <v>129000</v>
          </cell>
          <cell r="BP26">
            <v>216000</v>
          </cell>
          <cell r="CF26">
            <v>11091000</v>
          </cell>
          <cell r="CH26">
            <v>93000</v>
          </cell>
          <cell r="CI26">
            <v>0</v>
          </cell>
          <cell r="CJ26">
            <v>0</v>
          </cell>
          <cell r="CK26">
            <v>0</v>
          </cell>
          <cell r="CL26">
            <v>0</v>
          </cell>
          <cell r="CN26">
            <v>5705000</v>
          </cell>
          <cell r="CO26">
            <v>159348888</v>
          </cell>
        </row>
        <row r="27">
          <cell r="A27">
            <v>304</v>
          </cell>
          <cell r="B27">
            <v>61923000</v>
          </cell>
          <cell r="C27">
            <v>1363000</v>
          </cell>
          <cell r="D27">
            <v>5717000</v>
          </cell>
          <cell r="E27">
            <v>2215000</v>
          </cell>
          <cell r="F27">
            <v>0</v>
          </cell>
          <cell r="G27">
            <v>0</v>
          </cell>
          <cell r="H27">
            <v>0</v>
          </cell>
          <cell r="I27">
            <v>614000</v>
          </cell>
          <cell r="J27">
            <v>21000</v>
          </cell>
          <cell r="K27">
            <v>0</v>
          </cell>
          <cell r="L27">
            <v>14000</v>
          </cell>
          <cell r="M27">
            <v>0</v>
          </cell>
          <cell r="N27">
            <v>0</v>
          </cell>
          <cell r="O27">
            <v>1201000</v>
          </cell>
          <cell r="P27">
            <v>60000</v>
          </cell>
          <cell r="Q27">
            <v>379000</v>
          </cell>
          <cell r="U27">
            <v>13000</v>
          </cell>
          <cell r="X27">
            <v>0</v>
          </cell>
          <cell r="Y27">
            <v>0</v>
          </cell>
          <cell r="Z27">
            <v>0</v>
          </cell>
          <cell r="AA27">
            <v>0</v>
          </cell>
          <cell r="AC27">
            <v>0</v>
          </cell>
          <cell r="AD27">
            <v>19000</v>
          </cell>
          <cell r="AE27">
            <v>52000</v>
          </cell>
          <cell r="AF27">
            <v>0</v>
          </cell>
          <cell r="AG27">
            <v>0</v>
          </cell>
          <cell r="AH27">
            <v>125000</v>
          </cell>
          <cell r="AI27">
            <v>0</v>
          </cell>
          <cell r="AJ27">
            <v>3760000</v>
          </cell>
          <cell r="AK27">
            <v>0</v>
          </cell>
          <cell r="AL27">
            <v>0</v>
          </cell>
          <cell r="AM27">
            <v>0</v>
          </cell>
          <cell r="AN27">
            <v>77476000</v>
          </cell>
          <cell r="BO27">
            <v>0</v>
          </cell>
          <cell r="BP27">
            <v>27000</v>
          </cell>
          <cell r="CF27">
            <v>15497000</v>
          </cell>
          <cell r="CH27">
            <v>60000</v>
          </cell>
          <cell r="CI27">
            <v>0</v>
          </cell>
          <cell r="CJ27">
            <v>0</v>
          </cell>
          <cell r="CK27">
            <v>0</v>
          </cell>
          <cell r="CL27">
            <v>0</v>
          </cell>
          <cell r="CN27">
            <v>3126000</v>
          </cell>
          <cell r="CO27">
            <v>173662000</v>
          </cell>
        </row>
        <row r="28">
          <cell r="A28">
            <v>305</v>
          </cell>
          <cell r="B28">
            <v>73761408</v>
          </cell>
          <cell r="C28">
            <v>1944820</v>
          </cell>
          <cell r="D28">
            <v>3936700</v>
          </cell>
          <cell r="E28">
            <v>0</v>
          </cell>
          <cell r="F28">
            <v>1337230</v>
          </cell>
          <cell r="G28">
            <v>0</v>
          </cell>
          <cell r="H28">
            <v>0</v>
          </cell>
          <cell r="I28">
            <v>391725</v>
          </cell>
          <cell r="J28">
            <v>103847</v>
          </cell>
          <cell r="K28">
            <v>31396</v>
          </cell>
          <cell r="L28">
            <v>40422</v>
          </cell>
          <cell r="M28">
            <v>0</v>
          </cell>
          <cell r="N28">
            <v>0</v>
          </cell>
          <cell r="O28">
            <v>650744</v>
          </cell>
          <cell r="P28">
            <v>17263</v>
          </cell>
          <cell r="Q28">
            <v>194167</v>
          </cell>
          <cell r="U28">
            <v>8775</v>
          </cell>
          <cell r="X28">
            <v>0</v>
          </cell>
          <cell r="Y28">
            <v>0</v>
          </cell>
          <cell r="Z28">
            <v>0</v>
          </cell>
          <cell r="AA28">
            <v>0</v>
          </cell>
          <cell r="AC28">
            <v>121834</v>
          </cell>
          <cell r="AD28">
            <v>0</v>
          </cell>
          <cell r="AE28">
            <v>0</v>
          </cell>
          <cell r="AF28">
            <v>32340</v>
          </cell>
          <cell r="AG28">
            <v>17234</v>
          </cell>
          <cell r="AH28">
            <v>136132</v>
          </cell>
          <cell r="AI28">
            <v>529527</v>
          </cell>
          <cell r="AJ28">
            <v>2911792</v>
          </cell>
          <cell r="AK28">
            <v>0</v>
          </cell>
          <cell r="AL28">
            <v>0</v>
          </cell>
          <cell r="AM28">
            <v>426935</v>
          </cell>
          <cell r="AN28">
            <v>86594291</v>
          </cell>
          <cell r="BO28">
            <v>329843</v>
          </cell>
          <cell r="BP28">
            <v>253195</v>
          </cell>
          <cell r="CF28">
            <v>19011257</v>
          </cell>
          <cell r="CH28">
            <v>0</v>
          </cell>
          <cell r="CI28">
            <v>0</v>
          </cell>
          <cell r="CJ28">
            <v>0</v>
          </cell>
          <cell r="CK28">
            <v>0</v>
          </cell>
          <cell r="CL28">
            <v>0</v>
          </cell>
          <cell r="CN28">
            <v>7749590</v>
          </cell>
          <cell r="CO28">
            <v>200532467</v>
          </cell>
        </row>
        <row r="29">
          <cell r="A29">
            <v>306</v>
          </cell>
          <cell r="B29">
            <v>61500012</v>
          </cell>
          <cell r="C29">
            <v>2023719</v>
          </cell>
          <cell r="D29">
            <v>10524716</v>
          </cell>
          <cell r="E29">
            <v>874844</v>
          </cell>
          <cell r="F29">
            <v>1660000</v>
          </cell>
          <cell r="G29">
            <v>0</v>
          </cell>
          <cell r="H29">
            <v>0</v>
          </cell>
          <cell r="I29">
            <v>1074111</v>
          </cell>
          <cell r="J29">
            <v>433839</v>
          </cell>
          <cell r="K29">
            <v>0</v>
          </cell>
          <cell r="L29">
            <v>0</v>
          </cell>
          <cell r="M29">
            <v>0</v>
          </cell>
          <cell r="N29">
            <v>671171</v>
          </cell>
          <cell r="O29">
            <v>2215987</v>
          </cell>
          <cell r="P29">
            <v>0</v>
          </cell>
          <cell r="Q29">
            <v>1065842</v>
          </cell>
          <cell r="U29">
            <v>0</v>
          </cell>
          <cell r="X29">
            <v>0</v>
          </cell>
          <cell r="Y29">
            <v>0</v>
          </cell>
          <cell r="Z29">
            <v>0</v>
          </cell>
          <cell r="AA29">
            <v>0</v>
          </cell>
          <cell r="AC29">
            <v>90565</v>
          </cell>
          <cell r="AD29">
            <v>0</v>
          </cell>
          <cell r="AE29">
            <v>0</v>
          </cell>
          <cell r="AF29">
            <v>0</v>
          </cell>
          <cell r="AG29">
            <v>0</v>
          </cell>
          <cell r="AH29">
            <v>0</v>
          </cell>
          <cell r="AI29">
            <v>608495</v>
          </cell>
          <cell r="AJ29">
            <v>0</v>
          </cell>
          <cell r="AK29">
            <v>0</v>
          </cell>
          <cell r="AL29">
            <v>0</v>
          </cell>
          <cell r="AM29">
            <v>281017</v>
          </cell>
          <cell r="AN29">
            <v>83024318</v>
          </cell>
          <cell r="BO29">
            <v>30194</v>
          </cell>
          <cell r="BP29">
            <v>421625</v>
          </cell>
          <cell r="CF29">
            <v>3655665</v>
          </cell>
          <cell r="CH29">
            <v>0</v>
          </cell>
          <cell r="CI29">
            <v>0</v>
          </cell>
          <cell r="CJ29">
            <v>0</v>
          </cell>
          <cell r="CK29">
            <v>0</v>
          </cell>
          <cell r="CL29">
            <v>0</v>
          </cell>
          <cell r="CN29">
            <v>4981000</v>
          </cell>
          <cell r="CO29">
            <v>175137120</v>
          </cell>
        </row>
        <row r="30">
          <cell r="A30">
            <v>307</v>
          </cell>
          <cell r="B30">
            <v>56312300</v>
          </cell>
          <cell r="C30">
            <v>1357900</v>
          </cell>
          <cell r="D30">
            <v>4823700</v>
          </cell>
          <cell r="E30">
            <v>2270100</v>
          </cell>
          <cell r="F30">
            <v>0</v>
          </cell>
          <cell r="G30">
            <v>0</v>
          </cell>
          <cell r="H30">
            <v>0</v>
          </cell>
          <cell r="I30">
            <v>851100</v>
          </cell>
          <cell r="J30">
            <v>117600</v>
          </cell>
          <cell r="K30">
            <v>176500</v>
          </cell>
          <cell r="L30">
            <v>0</v>
          </cell>
          <cell r="M30">
            <v>0</v>
          </cell>
          <cell r="N30">
            <v>0</v>
          </cell>
          <cell r="O30">
            <v>1097100</v>
          </cell>
          <cell r="P30">
            <v>415600</v>
          </cell>
          <cell r="Q30">
            <v>171300</v>
          </cell>
          <cell r="U30">
            <v>0</v>
          </cell>
          <cell r="X30">
            <v>0</v>
          </cell>
          <cell r="Y30">
            <v>0</v>
          </cell>
          <cell r="Z30">
            <v>0</v>
          </cell>
          <cell r="AA30">
            <v>44100</v>
          </cell>
          <cell r="AC30">
            <v>105000</v>
          </cell>
          <cell r="AD30">
            <v>21600</v>
          </cell>
          <cell r="AE30">
            <v>355800</v>
          </cell>
          <cell r="AF30">
            <v>8700</v>
          </cell>
          <cell r="AG30">
            <v>0</v>
          </cell>
          <cell r="AH30">
            <v>45700</v>
          </cell>
          <cell r="AI30">
            <v>1097900</v>
          </cell>
          <cell r="AJ30">
            <v>0</v>
          </cell>
          <cell r="AK30">
            <v>0</v>
          </cell>
          <cell r="AL30">
            <v>0</v>
          </cell>
          <cell r="AM30">
            <v>508600</v>
          </cell>
          <cell r="AN30">
            <v>69780600</v>
          </cell>
          <cell r="BO30">
            <v>216700</v>
          </cell>
          <cell r="BP30">
            <v>241700</v>
          </cell>
          <cell r="CF30">
            <v>10349300</v>
          </cell>
          <cell r="CH30">
            <v>101700</v>
          </cell>
          <cell r="CI30">
            <v>0</v>
          </cell>
          <cell r="CJ30">
            <v>0</v>
          </cell>
          <cell r="CK30">
            <v>0</v>
          </cell>
          <cell r="CL30">
            <v>0</v>
          </cell>
          <cell r="CN30">
            <v>7580700</v>
          </cell>
          <cell r="CO30">
            <v>158051300</v>
          </cell>
        </row>
        <row r="31">
          <cell r="A31">
            <v>308</v>
          </cell>
          <cell r="B31">
            <v>77464933</v>
          </cell>
          <cell r="C31">
            <v>1808000</v>
          </cell>
          <cell r="D31">
            <v>5058632</v>
          </cell>
          <cell r="E31">
            <v>2452647</v>
          </cell>
          <cell r="F31">
            <v>970264</v>
          </cell>
          <cell r="G31">
            <v>0</v>
          </cell>
          <cell r="H31">
            <v>0</v>
          </cell>
          <cell r="I31">
            <v>594608</v>
          </cell>
          <cell r="J31">
            <v>55316</v>
          </cell>
          <cell r="K31">
            <v>1512</v>
          </cell>
          <cell r="L31">
            <v>12234</v>
          </cell>
          <cell r="M31">
            <v>0</v>
          </cell>
          <cell r="N31">
            <v>358975</v>
          </cell>
          <cell r="O31">
            <v>997717</v>
          </cell>
          <cell r="P31">
            <v>12094</v>
          </cell>
          <cell r="Q31">
            <v>288110</v>
          </cell>
          <cell r="U31">
            <v>18837</v>
          </cell>
          <cell r="X31">
            <v>0</v>
          </cell>
          <cell r="Y31">
            <v>11320</v>
          </cell>
          <cell r="Z31">
            <v>0</v>
          </cell>
          <cell r="AA31">
            <v>0</v>
          </cell>
          <cell r="AC31">
            <v>298311</v>
          </cell>
          <cell r="AD31">
            <v>7928</v>
          </cell>
          <cell r="AE31">
            <v>11220</v>
          </cell>
          <cell r="AF31">
            <v>190797</v>
          </cell>
          <cell r="AG31">
            <v>3362</v>
          </cell>
          <cell r="AH31">
            <v>116595</v>
          </cell>
          <cell r="AI31">
            <v>0</v>
          </cell>
          <cell r="AJ31">
            <v>2611020</v>
          </cell>
          <cell r="AK31">
            <v>254237</v>
          </cell>
          <cell r="AL31">
            <v>0</v>
          </cell>
          <cell r="AM31">
            <v>130760</v>
          </cell>
          <cell r="AN31">
            <v>93729429</v>
          </cell>
          <cell r="BO31">
            <v>360609</v>
          </cell>
          <cell r="BP31">
            <v>458086</v>
          </cell>
          <cell r="CF31">
            <v>13980210</v>
          </cell>
          <cell r="CH31">
            <v>237673</v>
          </cell>
          <cell r="CI31">
            <v>0</v>
          </cell>
          <cell r="CJ31">
            <v>0</v>
          </cell>
          <cell r="CK31">
            <v>0</v>
          </cell>
          <cell r="CL31">
            <v>0</v>
          </cell>
          <cell r="CN31">
            <v>9798000</v>
          </cell>
          <cell r="CO31">
            <v>212293436</v>
          </cell>
        </row>
        <row r="32">
          <cell r="A32">
            <v>309</v>
          </cell>
          <cell r="B32">
            <v>44287077</v>
          </cell>
          <cell r="C32">
            <v>1017575</v>
          </cell>
          <cell r="D32">
            <v>4230711</v>
          </cell>
          <cell r="E32">
            <v>1354705</v>
          </cell>
          <cell r="F32">
            <v>874662</v>
          </cell>
          <cell r="G32">
            <v>0</v>
          </cell>
          <cell r="H32">
            <v>334509</v>
          </cell>
          <cell r="I32">
            <v>283297</v>
          </cell>
          <cell r="J32">
            <v>34119</v>
          </cell>
          <cell r="K32">
            <v>0</v>
          </cell>
          <cell r="L32">
            <v>81537</v>
          </cell>
          <cell r="M32">
            <v>109460</v>
          </cell>
          <cell r="N32">
            <v>0</v>
          </cell>
          <cell r="O32">
            <v>2622566</v>
          </cell>
          <cell r="P32">
            <v>269735</v>
          </cell>
          <cell r="Q32">
            <v>646709</v>
          </cell>
          <cell r="U32">
            <v>41372</v>
          </cell>
          <cell r="X32">
            <v>0</v>
          </cell>
          <cell r="Y32">
            <v>0</v>
          </cell>
          <cell r="Z32">
            <v>0</v>
          </cell>
          <cell r="AA32">
            <v>0</v>
          </cell>
          <cell r="AC32">
            <v>131144</v>
          </cell>
          <cell r="AD32">
            <v>0</v>
          </cell>
          <cell r="AE32">
            <v>74129</v>
          </cell>
          <cell r="AF32">
            <v>0</v>
          </cell>
          <cell r="AG32">
            <v>9200</v>
          </cell>
          <cell r="AH32">
            <v>187753</v>
          </cell>
          <cell r="AI32">
            <v>1056302</v>
          </cell>
          <cell r="AJ32">
            <v>1688000</v>
          </cell>
          <cell r="AK32">
            <v>413287</v>
          </cell>
          <cell r="AL32">
            <v>0</v>
          </cell>
          <cell r="AM32">
            <v>0</v>
          </cell>
          <cell r="AN32">
            <v>59747849</v>
          </cell>
          <cell r="BO32">
            <v>39514</v>
          </cell>
          <cell r="BP32">
            <v>427</v>
          </cell>
          <cell r="CF32">
            <v>5740733</v>
          </cell>
          <cell r="CH32">
            <v>0</v>
          </cell>
          <cell r="CI32">
            <v>0</v>
          </cell>
          <cell r="CJ32">
            <v>0</v>
          </cell>
          <cell r="CK32">
            <v>0</v>
          </cell>
          <cell r="CL32">
            <v>0</v>
          </cell>
          <cell r="CN32">
            <v>14630000</v>
          </cell>
          <cell r="CO32">
            <v>139906372</v>
          </cell>
        </row>
        <row r="33">
          <cell r="A33">
            <v>310</v>
          </cell>
          <cell r="B33">
            <v>33689324</v>
          </cell>
          <cell r="C33">
            <v>991846</v>
          </cell>
          <cell r="D33">
            <v>982333</v>
          </cell>
          <cell r="E33">
            <v>0</v>
          </cell>
          <cell r="F33">
            <v>0</v>
          </cell>
          <cell r="G33">
            <v>0</v>
          </cell>
          <cell r="H33">
            <v>0</v>
          </cell>
          <cell r="I33">
            <v>63950</v>
          </cell>
          <cell r="J33">
            <v>175011</v>
          </cell>
          <cell r="K33">
            <v>6300</v>
          </cell>
          <cell r="L33">
            <v>36231</v>
          </cell>
          <cell r="M33">
            <v>67946</v>
          </cell>
          <cell r="N33">
            <v>402830</v>
          </cell>
          <cell r="O33">
            <v>75111</v>
          </cell>
          <cell r="P33">
            <v>19545</v>
          </cell>
          <cell r="Q33">
            <v>83950</v>
          </cell>
          <cell r="U33">
            <v>198</v>
          </cell>
          <cell r="X33">
            <v>0</v>
          </cell>
          <cell r="Y33">
            <v>0</v>
          </cell>
          <cell r="Z33">
            <v>0</v>
          </cell>
          <cell r="AA33">
            <v>0</v>
          </cell>
          <cell r="AC33">
            <v>51210</v>
          </cell>
          <cell r="AD33">
            <v>1649</v>
          </cell>
          <cell r="AE33">
            <v>3571</v>
          </cell>
          <cell r="AF33">
            <v>0</v>
          </cell>
          <cell r="AG33">
            <v>294</v>
          </cell>
          <cell r="AH33">
            <v>0</v>
          </cell>
          <cell r="AI33">
            <v>125316</v>
          </cell>
          <cell r="AJ33">
            <v>336874</v>
          </cell>
          <cell r="AK33">
            <v>0</v>
          </cell>
          <cell r="AL33">
            <v>0</v>
          </cell>
          <cell r="AM33">
            <v>502722</v>
          </cell>
          <cell r="AN33">
            <v>37616211</v>
          </cell>
          <cell r="BO33">
            <v>23469</v>
          </cell>
          <cell r="BP33">
            <v>693142</v>
          </cell>
          <cell r="CF33">
            <v>0</v>
          </cell>
          <cell r="CH33">
            <v>0</v>
          </cell>
          <cell r="CI33">
            <v>0</v>
          </cell>
          <cell r="CJ33">
            <v>0</v>
          </cell>
          <cell r="CK33">
            <v>211380</v>
          </cell>
          <cell r="CL33">
            <v>0</v>
          </cell>
          <cell r="CN33">
            <v>1073700</v>
          </cell>
          <cell r="CO33">
            <v>77234113</v>
          </cell>
        </row>
        <row r="34">
          <cell r="A34">
            <v>311</v>
          </cell>
          <cell r="B34">
            <v>60023854</v>
          </cell>
          <cell r="C34">
            <v>1747988</v>
          </cell>
          <cell r="D34">
            <v>3417344</v>
          </cell>
          <cell r="E34">
            <v>631941</v>
          </cell>
          <cell r="F34">
            <v>400000</v>
          </cell>
          <cell r="G34">
            <v>0</v>
          </cell>
          <cell r="H34">
            <v>0</v>
          </cell>
          <cell r="I34">
            <v>125755</v>
          </cell>
          <cell r="J34">
            <v>83007</v>
          </cell>
          <cell r="K34">
            <v>97758</v>
          </cell>
          <cell r="L34">
            <v>0</v>
          </cell>
          <cell r="M34">
            <v>103017</v>
          </cell>
          <cell r="N34">
            <v>0</v>
          </cell>
          <cell r="O34">
            <v>586786</v>
          </cell>
          <cell r="P34">
            <v>357785</v>
          </cell>
          <cell r="Q34">
            <v>25110</v>
          </cell>
          <cell r="U34">
            <v>12981</v>
          </cell>
          <cell r="X34">
            <v>0</v>
          </cell>
          <cell r="Y34">
            <v>418710</v>
          </cell>
          <cell r="Z34">
            <v>0</v>
          </cell>
          <cell r="AA34">
            <v>0</v>
          </cell>
          <cell r="AC34">
            <v>100441</v>
          </cell>
          <cell r="AD34">
            <v>11319</v>
          </cell>
          <cell r="AE34">
            <v>11202</v>
          </cell>
          <cell r="AF34">
            <v>89601</v>
          </cell>
          <cell r="AG34">
            <v>4381</v>
          </cell>
          <cell r="AH34">
            <v>73132</v>
          </cell>
          <cell r="AI34">
            <v>202624</v>
          </cell>
          <cell r="AJ34">
            <v>1405078</v>
          </cell>
          <cell r="AK34">
            <v>0</v>
          </cell>
          <cell r="AL34">
            <v>0</v>
          </cell>
          <cell r="AM34">
            <v>227982</v>
          </cell>
          <cell r="AN34">
            <v>70157796</v>
          </cell>
          <cell r="BO34">
            <v>10557</v>
          </cell>
          <cell r="BP34">
            <v>271040</v>
          </cell>
          <cell r="CF34">
            <v>4919230</v>
          </cell>
          <cell r="CH34">
            <v>0</v>
          </cell>
          <cell r="CI34">
            <v>0</v>
          </cell>
          <cell r="CJ34">
            <v>0</v>
          </cell>
          <cell r="CK34">
            <v>0</v>
          </cell>
          <cell r="CL34">
            <v>0</v>
          </cell>
          <cell r="CN34">
            <v>3251803</v>
          </cell>
          <cell r="CO34">
            <v>148768222</v>
          </cell>
        </row>
        <row r="35">
          <cell r="A35">
            <v>312</v>
          </cell>
          <cell r="B35">
            <v>64685140</v>
          </cell>
          <cell r="C35">
            <v>1743991</v>
          </cell>
          <cell r="D35">
            <v>3655659</v>
          </cell>
          <cell r="E35">
            <v>625325</v>
          </cell>
          <cell r="F35">
            <v>0</v>
          </cell>
          <cell r="G35">
            <v>0</v>
          </cell>
          <cell r="H35">
            <v>0</v>
          </cell>
          <cell r="I35">
            <v>262509</v>
          </cell>
          <cell r="J35">
            <v>274173</v>
          </cell>
          <cell r="K35">
            <v>0</v>
          </cell>
          <cell r="L35">
            <v>0</v>
          </cell>
          <cell r="M35">
            <v>328913</v>
          </cell>
          <cell r="N35">
            <v>0</v>
          </cell>
          <cell r="O35">
            <v>41959</v>
          </cell>
          <cell r="P35">
            <v>185048</v>
          </cell>
          <cell r="Q35">
            <v>79809</v>
          </cell>
          <cell r="U35">
            <v>0</v>
          </cell>
          <cell r="X35">
            <v>0</v>
          </cell>
          <cell r="Y35">
            <v>0</v>
          </cell>
          <cell r="Z35">
            <v>10309</v>
          </cell>
          <cell r="AA35">
            <v>0</v>
          </cell>
          <cell r="AC35">
            <v>88296</v>
          </cell>
          <cell r="AD35">
            <v>0</v>
          </cell>
          <cell r="AE35">
            <v>0</v>
          </cell>
          <cell r="AF35">
            <v>104320</v>
          </cell>
          <cell r="AG35">
            <v>2168</v>
          </cell>
          <cell r="AH35">
            <v>291970</v>
          </cell>
          <cell r="AI35">
            <v>831470</v>
          </cell>
          <cell r="AJ35">
            <v>2804371</v>
          </cell>
          <cell r="AK35">
            <v>0</v>
          </cell>
          <cell r="AL35">
            <v>0</v>
          </cell>
          <cell r="AM35">
            <v>1836961</v>
          </cell>
          <cell r="AN35">
            <v>77852391</v>
          </cell>
          <cell r="BO35">
            <v>41092</v>
          </cell>
          <cell r="BP35">
            <v>353100</v>
          </cell>
          <cell r="CF35">
            <v>12937858</v>
          </cell>
          <cell r="CH35">
            <v>0</v>
          </cell>
          <cell r="CI35">
            <v>0</v>
          </cell>
          <cell r="CJ35">
            <v>0</v>
          </cell>
          <cell r="CK35">
            <v>0</v>
          </cell>
          <cell r="CL35">
            <v>0</v>
          </cell>
          <cell r="CN35">
            <v>0</v>
          </cell>
          <cell r="CO35">
            <v>169036832</v>
          </cell>
        </row>
        <row r="36">
          <cell r="A36">
            <v>313</v>
          </cell>
          <cell r="B36">
            <v>60387358</v>
          </cell>
          <cell r="C36">
            <v>1480826</v>
          </cell>
          <cell r="D36">
            <v>7601334</v>
          </cell>
          <cell r="E36">
            <v>2391086</v>
          </cell>
          <cell r="F36">
            <v>0</v>
          </cell>
          <cell r="G36">
            <v>0</v>
          </cell>
          <cell r="H36">
            <v>0</v>
          </cell>
          <cell r="I36">
            <v>245012</v>
          </cell>
          <cell r="J36">
            <v>0</v>
          </cell>
          <cell r="K36">
            <v>183634</v>
          </cell>
          <cell r="L36">
            <v>30531</v>
          </cell>
          <cell r="M36">
            <v>257259</v>
          </cell>
          <cell r="N36">
            <v>0</v>
          </cell>
          <cell r="O36">
            <v>1038455</v>
          </cell>
          <cell r="P36">
            <v>119543</v>
          </cell>
          <cell r="Q36">
            <v>146604</v>
          </cell>
          <cell r="U36">
            <v>32230</v>
          </cell>
          <cell r="X36">
            <v>0</v>
          </cell>
          <cell r="Y36">
            <v>0</v>
          </cell>
          <cell r="Z36">
            <v>0</v>
          </cell>
          <cell r="AA36">
            <v>0</v>
          </cell>
          <cell r="AC36">
            <v>80762</v>
          </cell>
          <cell r="AD36">
            <v>14148</v>
          </cell>
          <cell r="AE36">
            <v>45700</v>
          </cell>
          <cell r="AF36">
            <v>48300</v>
          </cell>
          <cell r="AG36">
            <v>19253</v>
          </cell>
          <cell r="AH36">
            <v>211927</v>
          </cell>
          <cell r="AI36">
            <v>1493827</v>
          </cell>
          <cell r="AJ36">
            <v>1407496</v>
          </cell>
          <cell r="AK36">
            <v>336273</v>
          </cell>
          <cell r="AL36">
            <v>0</v>
          </cell>
          <cell r="AM36">
            <v>326215</v>
          </cell>
          <cell r="AN36">
            <v>77897773</v>
          </cell>
          <cell r="BO36">
            <v>162155</v>
          </cell>
          <cell r="BP36">
            <v>123366</v>
          </cell>
          <cell r="CF36">
            <v>14332859</v>
          </cell>
          <cell r="CH36">
            <v>0</v>
          </cell>
          <cell r="CI36">
            <v>0</v>
          </cell>
          <cell r="CJ36">
            <v>0</v>
          </cell>
          <cell r="CK36">
            <v>0</v>
          </cell>
          <cell r="CL36">
            <v>0</v>
          </cell>
          <cell r="CN36">
            <v>3669846</v>
          </cell>
          <cell r="CO36">
            <v>174083772</v>
          </cell>
        </row>
        <row r="37">
          <cell r="A37">
            <v>314</v>
          </cell>
          <cell r="B37">
            <v>32568029</v>
          </cell>
          <cell r="C37">
            <v>988603</v>
          </cell>
          <cell r="D37">
            <v>2008349</v>
          </cell>
          <cell r="E37">
            <v>0</v>
          </cell>
          <cell r="F37">
            <v>0</v>
          </cell>
          <cell r="G37">
            <v>0</v>
          </cell>
          <cell r="H37">
            <v>85000</v>
          </cell>
          <cell r="I37">
            <v>42401</v>
          </cell>
          <cell r="J37">
            <v>14544</v>
          </cell>
          <cell r="K37">
            <v>39173</v>
          </cell>
          <cell r="L37">
            <v>10870</v>
          </cell>
          <cell r="M37">
            <v>98511</v>
          </cell>
          <cell r="N37">
            <v>0</v>
          </cell>
          <cell r="O37">
            <v>323088</v>
          </cell>
          <cell r="P37">
            <v>92362</v>
          </cell>
          <cell r="Q37">
            <v>184166</v>
          </cell>
          <cell r="U37">
            <v>11913</v>
          </cell>
          <cell r="X37">
            <v>0</v>
          </cell>
          <cell r="Y37">
            <v>0</v>
          </cell>
          <cell r="Z37">
            <v>0</v>
          </cell>
          <cell r="AA37">
            <v>0</v>
          </cell>
          <cell r="AC37">
            <v>113367</v>
          </cell>
          <cell r="AD37">
            <v>0</v>
          </cell>
          <cell r="AE37">
            <v>67600</v>
          </cell>
          <cell r="AF37">
            <v>0</v>
          </cell>
          <cell r="AG37">
            <v>2706</v>
          </cell>
          <cell r="AH37">
            <v>0</v>
          </cell>
          <cell r="AI37">
            <v>180958</v>
          </cell>
          <cell r="AJ37">
            <v>957566</v>
          </cell>
          <cell r="AK37">
            <v>0</v>
          </cell>
          <cell r="AL37">
            <v>0</v>
          </cell>
          <cell r="AM37">
            <v>0</v>
          </cell>
          <cell r="AN37">
            <v>37789206</v>
          </cell>
          <cell r="BO37">
            <v>14894</v>
          </cell>
          <cell r="BP37">
            <v>76894</v>
          </cell>
          <cell r="CF37">
            <v>8966900</v>
          </cell>
          <cell r="CH37">
            <v>0</v>
          </cell>
          <cell r="CI37">
            <v>0</v>
          </cell>
          <cell r="CJ37">
            <v>0</v>
          </cell>
          <cell r="CK37">
            <v>0</v>
          </cell>
          <cell r="CL37">
            <v>0</v>
          </cell>
          <cell r="CN37">
            <v>4964</v>
          </cell>
          <cell r="CO37">
            <v>84642064</v>
          </cell>
        </row>
        <row r="38">
          <cell r="A38">
            <v>315</v>
          </cell>
          <cell r="B38">
            <v>29349639</v>
          </cell>
          <cell r="C38">
            <v>818939</v>
          </cell>
          <cell r="D38">
            <v>2189152</v>
          </cell>
          <cell r="E38">
            <v>0</v>
          </cell>
          <cell r="F38">
            <v>0</v>
          </cell>
          <cell r="G38">
            <v>0</v>
          </cell>
          <cell r="H38">
            <v>0</v>
          </cell>
          <cell r="I38">
            <v>122520</v>
          </cell>
          <cell r="J38">
            <v>0</v>
          </cell>
          <cell r="K38">
            <v>25788</v>
          </cell>
          <cell r="L38">
            <v>394722</v>
          </cell>
          <cell r="M38">
            <v>561755</v>
          </cell>
          <cell r="N38">
            <v>0</v>
          </cell>
          <cell r="O38">
            <v>746930</v>
          </cell>
          <cell r="P38">
            <v>0</v>
          </cell>
          <cell r="Q38">
            <v>118232</v>
          </cell>
          <cell r="U38">
            <v>0</v>
          </cell>
          <cell r="X38">
            <v>0</v>
          </cell>
          <cell r="Y38">
            <v>0</v>
          </cell>
          <cell r="Z38">
            <v>0</v>
          </cell>
          <cell r="AA38">
            <v>0</v>
          </cell>
          <cell r="AC38">
            <v>113138</v>
          </cell>
          <cell r="AD38">
            <v>10418</v>
          </cell>
          <cell r="AE38">
            <v>104390</v>
          </cell>
          <cell r="AF38">
            <v>0</v>
          </cell>
          <cell r="AG38">
            <v>4933</v>
          </cell>
          <cell r="AH38">
            <v>84126</v>
          </cell>
          <cell r="AI38">
            <v>0</v>
          </cell>
          <cell r="AJ38">
            <v>0</v>
          </cell>
          <cell r="AK38">
            <v>0</v>
          </cell>
          <cell r="AL38">
            <v>0</v>
          </cell>
          <cell r="AM38">
            <v>401498</v>
          </cell>
          <cell r="AN38">
            <v>35046180</v>
          </cell>
          <cell r="BO38">
            <v>0</v>
          </cell>
          <cell r="BP38">
            <v>0</v>
          </cell>
          <cell r="CF38">
            <v>2983010</v>
          </cell>
          <cell r="CH38">
            <v>0</v>
          </cell>
          <cell r="CI38">
            <v>0</v>
          </cell>
          <cell r="CJ38">
            <v>0</v>
          </cell>
          <cell r="CK38">
            <v>0</v>
          </cell>
          <cell r="CL38">
            <v>0</v>
          </cell>
          <cell r="CN38">
            <v>0</v>
          </cell>
          <cell r="CO38">
            <v>73075370</v>
          </cell>
        </row>
        <row r="39">
          <cell r="A39">
            <v>316</v>
          </cell>
          <cell r="B39">
            <v>71914958</v>
          </cell>
          <cell r="C39">
            <v>1580800</v>
          </cell>
          <cell r="D39">
            <v>5610899</v>
          </cell>
          <cell r="E39">
            <v>2470852</v>
          </cell>
          <cell r="F39">
            <v>1320000</v>
          </cell>
          <cell r="G39">
            <v>0</v>
          </cell>
          <cell r="H39">
            <v>0</v>
          </cell>
          <cell r="I39">
            <v>230000</v>
          </cell>
          <cell r="J39">
            <v>1530244</v>
          </cell>
          <cell r="K39">
            <v>0</v>
          </cell>
          <cell r="L39">
            <v>70378</v>
          </cell>
          <cell r="M39">
            <v>400000</v>
          </cell>
          <cell r="N39">
            <v>0</v>
          </cell>
          <cell r="O39">
            <v>2464725</v>
          </cell>
          <cell r="P39">
            <v>369343</v>
          </cell>
          <cell r="Q39">
            <v>174621</v>
          </cell>
          <cell r="U39">
            <v>0</v>
          </cell>
          <cell r="X39">
            <v>0</v>
          </cell>
          <cell r="Y39">
            <v>0</v>
          </cell>
          <cell r="Z39">
            <v>0</v>
          </cell>
          <cell r="AA39">
            <v>0</v>
          </cell>
          <cell r="AC39">
            <v>163498</v>
          </cell>
          <cell r="AD39">
            <v>0</v>
          </cell>
          <cell r="AE39">
            <v>247987</v>
          </cell>
          <cell r="AF39">
            <v>30000</v>
          </cell>
          <cell r="AG39">
            <v>12997</v>
          </cell>
          <cell r="AH39">
            <v>41000</v>
          </cell>
          <cell r="AI39">
            <v>1658369</v>
          </cell>
          <cell r="AJ39">
            <v>1525477</v>
          </cell>
          <cell r="AK39">
            <v>551676</v>
          </cell>
          <cell r="AL39">
            <v>0</v>
          </cell>
          <cell r="AM39">
            <v>893301</v>
          </cell>
          <cell r="AN39">
            <v>93261125</v>
          </cell>
          <cell r="BO39">
            <v>0</v>
          </cell>
          <cell r="BP39">
            <v>929611</v>
          </cell>
          <cell r="CF39">
            <v>3034336</v>
          </cell>
          <cell r="CH39">
            <v>0</v>
          </cell>
          <cell r="CI39">
            <v>0</v>
          </cell>
          <cell r="CJ39">
            <v>0</v>
          </cell>
          <cell r="CK39">
            <v>0</v>
          </cell>
          <cell r="CL39">
            <v>0</v>
          </cell>
          <cell r="CN39">
            <v>5511100</v>
          </cell>
          <cell r="CO39">
            <v>195997297</v>
          </cell>
        </row>
        <row r="40">
          <cell r="A40">
            <v>317</v>
          </cell>
          <cell r="B40">
            <v>70284947</v>
          </cell>
          <cell r="C40">
            <v>1784597</v>
          </cell>
          <cell r="D40">
            <v>3863287</v>
          </cell>
          <cell r="E40">
            <v>0</v>
          </cell>
          <cell r="F40">
            <v>1010716</v>
          </cell>
          <cell r="G40">
            <v>0</v>
          </cell>
          <cell r="H40">
            <v>0</v>
          </cell>
          <cell r="I40">
            <v>24430</v>
          </cell>
          <cell r="J40">
            <v>0</v>
          </cell>
          <cell r="K40">
            <v>5447</v>
          </cell>
          <cell r="L40">
            <v>17529</v>
          </cell>
          <cell r="M40">
            <v>72739</v>
          </cell>
          <cell r="N40">
            <v>0</v>
          </cell>
          <cell r="O40">
            <v>664271</v>
          </cell>
          <cell r="P40">
            <v>235577</v>
          </cell>
          <cell r="Q40">
            <v>392728</v>
          </cell>
          <cell r="U40">
            <v>0</v>
          </cell>
          <cell r="X40">
            <v>0</v>
          </cell>
          <cell r="Y40">
            <v>322750</v>
          </cell>
          <cell r="Z40">
            <v>0</v>
          </cell>
          <cell r="AA40">
            <v>0</v>
          </cell>
          <cell r="AC40">
            <v>229734</v>
          </cell>
          <cell r="AD40">
            <v>0</v>
          </cell>
          <cell r="AE40">
            <v>134158</v>
          </cell>
          <cell r="AF40">
            <v>5280</v>
          </cell>
          <cell r="AG40">
            <v>0</v>
          </cell>
          <cell r="AH40">
            <v>35406</v>
          </cell>
          <cell r="AI40">
            <v>353279</v>
          </cell>
          <cell r="AJ40">
            <v>2143860</v>
          </cell>
          <cell r="AK40">
            <v>0</v>
          </cell>
          <cell r="AL40">
            <v>0</v>
          </cell>
          <cell r="AM40">
            <v>5470013</v>
          </cell>
          <cell r="AN40">
            <v>87050748</v>
          </cell>
          <cell r="BO40">
            <v>172757</v>
          </cell>
          <cell r="BP40">
            <v>237274</v>
          </cell>
          <cell r="CF40">
            <v>19138161</v>
          </cell>
          <cell r="CH40">
            <v>5000</v>
          </cell>
          <cell r="CI40">
            <v>0</v>
          </cell>
          <cell r="CJ40">
            <v>0</v>
          </cell>
          <cell r="CK40">
            <v>0</v>
          </cell>
          <cell r="CL40">
            <v>0</v>
          </cell>
          <cell r="CN40">
            <v>3058481</v>
          </cell>
          <cell r="CO40">
            <v>196713169</v>
          </cell>
        </row>
        <row r="41">
          <cell r="A41">
            <v>318</v>
          </cell>
          <cell r="B41">
            <v>25915100</v>
          </cell>
          <cell r="C41">
            <v>763400</v>
          </cell>
          <cell r="D41">
            <v>1135000</v>
          </cell>
          <cell r="E41">
            <v>0</v>
          </cell>
          <cell r="F41">
            <v>492000</v>
          </cell>
          <cell r="G41">
            <v>0</v>
          </cell>
          <cell r="H41">
            <v>0</v>
          </cell>
          <cell r="I41">
            <v>313300</v>
          </cell>
          <cell r="J41">
            <v>0</v>
          </cell>
          <cell r="K41">
            <v>54600</v>
          </cell>
          <cell r="L41">
            <v>10900</v>
          </cell>
          <cell r="M41">
            <v>93000</v>
          </cell>
          <cell r="N41">
            <v>0</v>
          </cell>
          <cell r="O41">
            <v>628500</v>
          </cell>
          <cell r="P41">
            <v>6500</v>
          </cell>
          <cell r="Q41">
            <v>62400</v>
          </cell>
          <cell r="U41">
            <v>10300</v>
          </cell>
          <cell r="X41">
            <v>0</v>
          </cell>
          <cell r="Y41">
            <v>0</v>
          </cell>
          <cell r="Z41">
            <v>0</v>
          </cell>
          <cell r="AA41">
            <v>0</v>
          </cell>
          <cell r="AC41">
            <v>89900</v>
          </cell>
          <cell r="AD41">
            <v>13400</v>
          </cell>
          <cell r="AE41">
            <v>100300</v>
          </cell>
          <cell r="AF41">
            <v>18700</v>
          </cell>
          <cell r="AG41">
            <v>3200</v>
          </cell>
          <cell r="AH41">
            <v>0</v>
          </cell>
          <cell r="AI41">
            <v>100800</v>
          </cell>
          <cell r="AJ41">
            <v>591300</v>
          </cell>
          <cell r="AK41">
            <v>0</v>
          </cell>
          <cell r="AL41">
            <v>0</v>
          </cell>
          <cell r="AM41">
            <v>205800</v>
          </cell>
          <cell r="AN41">
            <v>30608400</v>
          </cell>
          <cell r="BO41">
            <v>25600</v>
          </cell>
          <cell r="BP41">
            <v>113700</v>
          </cell>
          <cell r="CF41">
            <v>0</v>
          </cell>
          <cell r="CH41">
            <v>0</v>
          </cell>
          <cell r="CI41">
            <v>0</v>
          </cell>
          <cell r="CJ41">
            <v>0</v>
          </cell>
          <cell r="CK41">
            <v>0</v>
          </cell>
          <cell r="CL41">
            <v>0</v>
          </cell>
          <cell r="CN41">
            <v>2065500</v>
          </cell>
          <cell r="CO41">
            <v>63421600</v>
          </cell>
        </row>
        <row r="42">
          <cell r="A42">
            <v>319</v>
          </cell>
          <cell r="B42">
            <v>53894319</v>
          </cell>
          <cell r="C42">
            <v>1441491</v>
          </cell>
          <cell r="D42">
            <v>1418805</v>
          </cell>
          <cell r="E42">
            <v>0</v>
          </cell>
          <cell r="F42">
            <v>544000</v>
          </cell>
          <cell r="G42">
            <v>0</v>
          </cell>
          <cell r="H42">
            <v>50000</v>
          </cell>
          <cell r="I42">
            <v>328496</v>
          </cell>
          <cell r="J42">
            <v>0</v>
          </cell>
          <cell r="K42">
            <v>0</v>
          </cell>
          <cell r="L42">
            <v>300000</v>
          </cell>
          <cell r="M42">
            <v>147200</v>
          </cell>
          <cell r="N42">
            <v>0</v>
          </cell>
          <cell r="O42">
            <v>441895</v>
          </cell>
          <cell r="P42">
            <v>217280</v>
          </cell>
          <cell r="Q42">
            <v>492812</v>
          </cell>
          <cell r="U42">
            <v>4105</v>
          </cell>
          <cell r="X42">
            <v>0</v>
          </cell>
          <cell r="Y42">
            <v>350400</v>
          </cell>
          <cell r="Z42">
            <v>0</v>
          </cell>
          <cell r="AA42">
            <v>0</v>
          </cell>
          <cell r="AC42">
            <v>97188</v>
          </cell>
          <cell r="AD42">
            <v>16511</v>
          </cell>
          <cell r="AE42">
            <v>281819</v>
          </cell>
          <cell r="AF42">
            <v>4000</v>
          </cell>
          <cell r="AG42">
            <v>36507</v>
          </cell>
          <cell r="AH42">
            <v>12000</v>
          </cell>
          <cell r="AI42">
            <v>132479</v>
          </cell>
          <cell r="AJ42">
            <v>1543117</v>
          </cell>
          <cell r="AK42">
            <v>0</v>
          </cell>
          <cell r="AL42">
            <v>0</v>
          </cell>
          <cell r="AM42">
            <v>0</v>
          </cell>
          <cell r="AN42">
            <v>61754424</v>
          </cell>
          <cell r="BO42">
            <v>20250</v>
          </cell>
          <cell r="BP42">
            <v>192063</v>
          </cell>
          <cell r="CF42">
            <v>13267611</v>
          </cell>
          <cell r="CH42">
            <v>0</v>
          </cell>
          <cell r="CI42">
            <v>0</v>
          </cell>
          <cell r="CJ42">
            <v>0</v>
          </cell>
          <cell r="CK42">
            <v>0</v>
          </cell>
          <cell r="CL42">
            <v>0</v>
          </cell>
          <cell r="CN42">
            <v>6319617</v>
          </cell>
          <cell r="CO42">
            <v>143308389</v>
          </cell>
        </row>
        <row r="43">
          <cell r="A43">
            <v>320</v>
          </cell>
          <cell r="B43">
            <v>49517559</v>
          </cell>
          <cell r="C43">
            <v>1605317</v>
          </cell>
          <cell r="D43">
            <v>5562316</v>
          </cell>
          <cell r="E43">
            <v>1451341</v>
          </cell>
          <cell r="F43">
            <v>912067</v>
          </cell>
          <cell r="G43">
            <v>0</v>
          </cell>
          <cell r="H43">
            <v>0</v>
          </cell>
          <cell r="I43">
            <v>294135</v>
          </cell>
          <cell r="J43">
            <v>131119</v>
          </cell>
          <cell r="K43">
            <v>0</v>
          </cell>
          <cell r="L43">
            <v>5213</v>
          </cell>
          <cell r="M43">
            <v>0</v>
          </cell>
          <cell r="N43">
            <v>0</v>
          </cell>
          <cell r="O43">
            <v>319275</v>
          </cell>
          <cell r="P43">
            <v>173328</v>
          </cell>
          <cell r="Q43">
            <v>267745</v>
          </cell>
          <cell r="U43">
            <v>19053</v>
          </cell>
          <cell r="X43">
            <v>0</v>
          </cell>
          <cell r="Y43">
            <v>0</v>
          </cell>
          <cell r="Z43">
            <v>0</v>
          </cell>
          <cell r="AA43">
            <v>0</v>
          </cell>
          <cell r="AC43">
            <v>87800</v>
          </cell>
          <cell r="AD43">
            <v>0</v>
          </cell>
          <cell r="AE43">
            <v>229362</v>
          </cell>
          <cell r="AF43">
            <v>0</v>
          </cell>
          <cell r="AG43">
            <v>12168</v>
          </cell>
          <cell r="AH43">
            <v>69987</v>
          </cell>
          <cell r="AI43">
            <v>1819480</v>
          </cell>
          <cell r="AJ43">
            <v>0</v>
          </cell>
          <cell r="AK43">
            <v>150000</v>
          </cell>
          <cell r="AL43">
            <v>0</v>
          </cell>
          <cell r="AM43">
            <v>2243649</v>
          </cell>
          <cell r="AN43">
            <v>64870914</v>
          </cell>
          <cell r="BO43">
            <v>0</v>
          </cell>
          <cell r="BP43">
            <v>0</v>
          </cell>
          <cell r="CF43">
            <v>4038310</v>
          </cell>
          <cell r="CH43">
            <v>0</v>
          </cell>
          <cell r="CI43">
            <v>0</v>
          </cell>
          <cell r="CJ43">
            <v>0</v>
          </cell>
          <cell r="CK43">
            <v>0</v>
          </cell>
          <cell r="CL43">
            <v>0</v>
          </cell>
          <cell r="CN43">
            <v>2879562</v>
          </cell>
          <cell r="CO43">
            <v>136659700</v>
          </cell>
        </row>
        <row r="44">
          <cell r="A44">
            <v>330</v>
          </cell>
          <cell r="B44">
            <v>242945796</v>
          </cell>
          <cell r="C44">
            <v>7456064</v>
          </cell>
          <cell r="D44">
            <v>28365788</v>
          </cell>
          <cell r="E44">
            <v>10461637</v>
          </cell>
          <cell r="F44">
            <v>0</v>
          </cell>
          <cell r="G44">
            <v>0</v>
          </cell>
          <cell r="H44">
            <v>196382</v>
          </cell>
          <cell r="I44">
            <v>5390590</v>
          </cell>
          <cell r="J44">
            <v>0</v>
          </cell>
          <cell r="K44">
            <v>551806</v>
          </cell>
          <cell r="L44">
            <v>788358</v>
          </cell>
          <cell r="M44">
            <v>0</v>
          </cell>
          <cell r="N44">
            <v>1817</v>
          </cell>
          <cell r="O44">
            <v>3650713</v>
          </cell>
          <cell r="P44">
            <v>580</v>
          </cell>
          <cell r="Q44">
            <v>804369</v>
          </cell>
          <cell r="U44">
            <v>0</v>
          </cell>
          <cell r="X44">
            <v>0</v>
          </cell>
          <cell r="Y44">
            <v>664259</v>
          </cell>
          <cell r="Z44">
            <v>0</v>
          </cell>
          <cell r="AA44">
            <v>66640</v>
          </cell>
          <cell r="AC44">
            <v>212606</v>
          </cell>
          <cell r="AD44">
            <v>57307</v>
          </cell>
          <cell r="AE44">
            <v>783590</v>
          </cell>
          <cell r="AF44">
            <v>0</v>
          </cell>
          <cell r="AG44">
            <v>2114</v>
          </cell>
          <cell r="AH44">
            <v>630964</v>
          </cell>
          <cell r="AI44">
            <v>1980255</v>
          </cell>
          <cell r="AJ44">
            <v>5240085</v>
          </cell>
          <cell r="AK44">
            <v>280000</v>
          </cell>
          <cell r="AL44">
            <v>0</v>
          </cell>
          <cell r="AM44">
            <v>1085260</v>
          </cell>
          <cell r="AN44">
            <v>311616980</v>
          </cell>
          <cell r="BO44">
            <v>0</v>
          </cell>
          <cell r="BP44">
            <v>1623224</v>
          </cell>
          <cell r="CF44">
            <v>31497060</v>
          </cell>
          <cell r="CH44">
            <v>0</v>
          </cell>
          <cell r="CI44">
            <v>0</v>
          </cell>
          <cell r="CJ44">
            <v>0</v>
          </cell>
          <cell r="CK44">
            <v>0</v>
          </cell>
          <cell r="CL44">
            <v>0</v>
          </cell>
          <cell r="CN44">
            <v>23550622</v>
          </cell>
          <cell r="CO44">
            <v>679904866</v>
          </cell>
        </row>
        <row r="45">
          <cell r="A45">
            <v>331</v>
          </cell>
          <cell r="B45">
            <v>68815316</v>
          </cell>
          <cell r="C45">
            <v>1909028</v>
          </cell>
          <cell r="D45">
            <v>5927091</v>
          </cell>
          <cell r="E45">
            <v>676300</v>
          </cell>
          <cell r="F45">
            <v>0</v>
          </cell>
          <cell r="G45">
            <v>0</v>
          </cell>
          <cell r="H45">
            <v>208819</v>
          </cell>
          <cell r="I45">
            <v>720725</v>
          </cell>
          <cell r="J45">
            <v>0</v>
          </cell>
          <cell r="K45">
            <v>345607</v>
          </cell>
          <cell r="L45">
            <v>26033</v>
          </cell>
          <cell r="M45">
            <v>92996</v>
          </cell>
          <cell r="N45">
            <v>0</v>
          </cell>
          <cell r="O45">
            <v>476132</v>
          </cell>
          <cell r="P45">
            <v>175421</v>
          </cell>
          <cell r="Q45">
            <v>530581</v>
          </cell>
          <cell r="U45">
            <v>12308</v>
          </cell>
          <cell r="X45">
            <v>0</v>
          </cell>
          <cell r="Y45">
            <v>176462</v>
          </cell>
          <cell r="Z45">
            <v>0</v>
          </cell>
          <cell r="AA45">
            <v>0</v>
          </cell>
          <cell r="AC45">
            <v>241467</v>
          </cell>
          <cell r="AD45">
            <v>29797</v>
          </cell>
          <cell r="AE45">
            <v>0</v>
          </cell>
          <cell r="AF45">
            <v>217519</v>
          </cell>
          <cell r="AG45">
            <v>1096</v>
          </cell>
          <cell r="AH45">
            <v>343024</v>
          </cell>
          <cell r="AI45">
            <v>1427498</v>
          </cell>
          <cell r="AJ45">
            <v>2670986</v>
          </cell>
          <cell r="AK45">
            <v>0</v>
          </cell>
          <cell r="AL45">
            <v>0</v>
          </cell>
          <cell r="AM45">
            <v>0</v>
          </cell>
          <cell r="AN45">
            <v>85024206</v>
          </cell>
          <cell r="BO45">
            <v>176867</v>
          </cell>
          <cell r="BP45">
            <v>406057</v>
          </cell>
          <cell r="CF45">
            <v>12324522</v>
          </cell>
          <cell r="CH45">
            <v>0</v>
          </cell>
          <cell r="CI45">
            <v>0</v>
          </cell>
          <cell r="CJ45">
            <v>0</v>
          </cell>
          <cell r="CK45">
            <v>0</v>
          </cell>
          <cell r="CL45">
            <v>0</v>
          </cell>
          <cell r="CN45">
            <v>1936547</v>
          </cell>
          <cell r="CO45">
            <v>184892405</v>
          </cell>
        </row>
        <row r="46">
          <cell r="A46">
            <v>332</v>
          </cell>
          <cell r="B46">
            <v>62833477</v>
          </cell>
          <cell r="C46">
            <v>2149821</v>
          </cell>
          <cell r="D46">
            <v>5306576</v>
          </cell>
          <cell r="E46">
            <v>93930</v>
          </cell>
          <cell r="F46">
            <v>0</v>
          </cell>
          <cell r="G46">
            <v>0</v>
          </cell>
          <cell r="H46">
            <v>0</v>
          </cell>
          <cell r="I46">
            <v>1673418</v>
          </cell>
          <cell r="J46">
            <v>0</v>
          </cell>
          <cell r="K46">
            <v>558892</v>
          </cell>
          <cell r="L46">
            <v>54164</v>
          </cell>
          <cell r="M46">
            <v>0</v>
          </cell>
          <cell r="N46">
            <v>0</v>
          </cell>
          <cell r="O46">
            <v>1992412</v>
          </cell>
          <cell r="P46">
            <v>65427</v>
          </cell>
          <cell r="Q46">
            <v>987587</v>
          </cell>
          <cell r="U46">
            <v>25113</v>
          </cell>
          <cell r="X46">
            <v>0</v>
          </cell>
          <cell r="Y46">
            <v>0</v>
          </cell>
          <cell r="Z46">
            <v>0</v>
          </cell>
          <cell r="AA46">
            <v>0</v>
          </cell>
          <cell r="AC46">
            <v>54632</v>
          </cell>
          <cell r="AD46">
            <v>0</v>
          </cell>
          <cell r="AE46">
            <v>69118</v>
          </cell>
          <cell r="AF46">
            <v>0</v>
          </cell>
          <cell r="AG46">
            <v>18617</v>
          </cell>
          <cell r="AH46">
            <v>204068</v>
          </cell>
          <cell r="AI46">
            <v>430097</v>
          </cell>
          <cell r="AJ46">
            <v>4225606</v>
          </cell>
          <cell r="AK46">
            <v>0</v>
          </cell>
          <cell r="AL46">
            <v>0</v>
          </cell>
          <cell r="AM46">
            <v>24808</v>
          </cell>
          <cell r="AN46">
            <v>80767763</v>
          </cell>
          <cell r="BO46">
            <v>0</v>
          </cell>
          <cell r="BP46">
            <v>833142</v>
          </cell>
          <cell r="CF46">
            <v>1674638</v>
          </cell>
          <cell r="CH46">
            <v>0</v>
          </cell>
          <cell r="CI46">
            <v>0</v>
          </cell>
          <cell r="CJ46">
            <v>0</v>
          </cell>
          <cell r="CK46">
            <v>0</v>
          </cell>
          <cell r="CL46">
            <v>0</v>
          </cell>
          <cell r="CN46">
            <v>10176000</v>
          </cell>
          <cell r="CO46">
            <v>174219306</v>
          </cell>
        </row>
        <row r="47">
          <cell r="A47">
            <v>333</v>
          </cell>
          <cell r="B47">
            <v>64918900</v>
          </cell>
          <cell r="C47">
            <v>1825900</v>
          </cell>
          <cell r="D47">
            <v>4516400</v>
          </cell>
          <cell r="E47">
            <v>2637700</v>
          </cell>
          <cell r="F47">
            <v>0</v>
          </cell>
          <cell r="G47">
            <v>0</v>
          </cell>
          <cell r="H47">
            <v>0</v>
          </cell>
          <cell r="I47">
            <v>613265</v>
          </cell>
          <cell r="J47">
            <v>348200</v>
          </cell>
          <cell r="K47">
            <v>0</v>
          </cell>
          <cell r="L47">
            <v>141000</v>
          </cell>
          <cell r="M47">
            <v>0</v>
          </cell>
          <cell r="N47">
            <v>0</v>
          </cell>
          <cell r="O47">
            <v>3052700</v>
          </cell>
          <cell r="P47">
            <v>202160</v>
          </cell>
          <cell r="Q47">
            <v>0</v>
          </cell>
          <cell r="U47">
            <v>29250</v>
          </cell>
          <cell r="X47">
            <v>0</v>
          </cell>
          <cell r="Y47">
            <v>0</v>
          </cell>
          <cell r="Z47">
            <v>0</v>
          </cell>
          <cell r="AA47">
            <v>0</v>
          </cell>
          <cell r="AC47">
            <v>108400</v>
          </cell>
          <cell r="AD47">
            <v>0</v>
          </cell>
          <cell r="AE47">
            <v>45000</v>
          </cell>
          <cell r="AF47">
            <v>567100</v>
          </cell>
          <cell r="AG47">
            <v>0</v>
          </cell>
          <cell r="AH47">
            <v>156500</v>
          </cell>
          <cell r="AI47">
            <v>0</v>
          </cell>
          <cell r="AJ47">
            <v>0</v>
          </cell>
          <cell r="AK47">
            <v>274300</v>
          </cell>
          <cell r="AL47">
            <v>0</v>
          </cell>
          <cell r="AM47">
            <v>3781400</v>
          </cell>
          <cell r="AN47">
            <v>83218175</v>
          </cell>
          <cell r="BO47">
            <v>261810</v>
          </cell>
          <cell r="BP47">
            <v>349240</v>
          </cell>
          <cell r="CF47">
            <v>5190900</v>
          </cell>
          <cell r="CH47">
            <v>44000</v>
          </cell>
          <cell r="CI47">
            <v>0</v>
          </cell>
          <cell r="CJ47">
            <v>0</v>
          </cell>
          <cell r="CK47">
            <v>0</v>
          </cell>
          <cell r="CL47">
            <v>0</v>
          </cell>
          <cell r="CN47">
            <v>13640000</v>
          </cell>
          <cell r="CO47">
            <v>185922300</v>
          </cell>
        </row>
        <row r="48">
          <cell r="A48">
            <v>334</v>
          </cell>
          <cell r="B48">
            <v>45687473</v>
          </cell>
          <cell r="C48">
            <v>1392000</v>
          </cell>
          <cell r="D48">
            <v>3186908</v>
          </cell>
          <cell r="E48">
            <v>834634</v>
          </cell>
          <cell r="F48">
            <v>0</v>
          </cell>
          <cell r="G48">
            <v>0</v>
          </cell>
          <cell r="H48">
            <v>0</v>
          </cell>
          <cell r="I48">
            <v>873747</v>
          </cell>
          <cell r="J48">
            <v>0</v>
          </cell>
          <cell r="K48">
            <v>481576</v>
          </cell>
          <cell r="L48">
            <v>36330</v>
          </cell>
          <cell r="M48">
            <v>0</v>
          </cell>
          <cell r="N48">
            <v>0</v>
          </cell>
          <cell r="O48">
            <v>583226</v>
          </cell>
          <cell r="P48">
            <v>61550</v>
          </cell>
          <cell r="Q48">
            <v>46595</v>
          </cell>
          <cell r="U48">
            <v>13692</v>
          </cell>
          <cell r="X48">
            <v>0</v>
          </cell>
          <cell r="Y48">
            <v>267075</v>
          </cell>
          <cell r="Z48">
            <v>0</v>
          </cell>
          <cell r="AA48">
            <v>0</v>
          </cell>
          <cell r="AC48">
            <v>81025</v>
          </cell>
          <cell r="AD48">
            <v>28730</v>
          </cell>
          <cell r="AE48">
            <v>0</v>
          </cell>
          <cell r="AF48">
            <v>22176</v>
          </cell>
          <cell r="AG48">
            <v>26483</v>
          </cell>
          <cell r="AH48">
            <v>38577</v>
          </cell>
          <cell r="AI48">
            <v>603305</v>
          </cell>
          <cell r="AJ48">
            <v>2275248</v>
          </cell>
          <cell r="AK48">
            <v>4405</v>
          </cell>
          <cell r="AL48">
            <v>51730</v>
          </cell>
          <cell r="AM48">
            <v>1363796</v>
          </cell>
          <cell r="AN48">
            <v>57960281</v>
          </cell>
          <cell r="BO48">
            <v>0</v>
          </cell>
          <cell r="BP48">
            <v>561630</v>
          </cell>
          <cell r="CF48">
            <v>2979145</v>
          </cell>
          <cell r="CH48">
            <v>0</v>
          </cell>
          <cell r="CI48">
            <v>0</v>
          </cell>
          <cell r="CJ48">
            <v>0</v>
          </cell>
          <cell r="CK48">
            <v>0</v>
          </cell>
          <cell r="CL48">
            <v>0</v>
          </cell>
          <cell r="CN48">
            <v>8916000</v>
          </cell>
          <cell r="CO48">
            <v>128377337</v>
          </cell>
        </row>
        <row r="49">
          <cell r="A49">
            <v>335</v>
          </cell>
          <cell r="B49">
            <v>64330398</v>
          </cell>
          <cell r="C49">
            <v>1941219</v>
          </cell>
          <cell r="D49">
            <v>4311210</v>
          </cell>
          <cell r="E49">
            <v>695818</v>
          </cell>
          <cell r="F49">
            <v>0</v>
          </cell>
          <cell r="G49">
            <v>0</v>
          </cell>
          <cell r="H49">
            <v>0</v>
          </cell>
          <cell r="I49">
            <v>2144600</v>
          </cell>
          <cell r="J49">
            <v>122093</v>
          </cell>
          <cell r="K49">
            <v>283954</v>
          </cell>
          <cell r="L49">
            <v>0</v>
          </cell>
          <cell r="M49">
            <v>0</v>
          </cell>
          <cell r="N49">
            <v>0</v>
          </cell>
          <cell r="O49">
            <v>449145</v>
          </cell>
          <cell r="P49">
            <v>237</v>
          </cell>
          <cell r="Q49">
            <v>434787</v>
          </cell>
          <cell r="U49">
            <v>0</v>
          </cell>
          <cell r="X49">
            <v>175740</v>
          </cell>
          <cell r="Y49">
            <v>333856</v>
          </cell>
          <cell r="Z49">
            <v>0</v>
          </cell>
          <cell r="AA49">
            <v>4673</v>
          </cell>
          <cell r="AC49">
            <v>54075</v>
          </cell>
          <cell r="AD49">
            <v>15813</v>
          </cell>
          <cell r="AE49">
            <v>84431</v>
          </cell>
          <cell r="AF49">
            <v>0</v>
          </cell>
          <cell r="AG49">
            <v>4528</v>
          </cell>
          <cell r="AH49">
            <v>90281</v>
          </cell>
          <cell r="AI49">
            <v>595636</v>
          </cell>
          <cell r="AJ49">
            <v>2603966</v>
          </cell>
          <cell r="AK49">
            <v>233892</v>
          </cell>
          <cell r="AL49">
            <v>0</v>
          </cell>
          <cell r="AM49">
            <v>0</v>
          </cell>
          <cell r="AN49">
            <v>78910352</v>
          </cell>
          <cell r="BO49">
            <v>0</v>
          </cell>
          <cell r="BP49">
            <v>355143</v>
          </cell>
          <cell r="CF49">
            <v>11290138</v>
          </cell>
          <cell r="CH49">
            <v>62286</v>
          </cell>
          <cell r="CI49">
            <v>0</v>
          </cell>
          <cell r="CJ49">
            <v>0</v>
          </cell>
          <cell r="CK49">
            <v>0</v>
          </cell>
          <cell r="CL49">
            <v>175740</v>
          </cell>
          <cell r="CN49">
            <v>0</v>
          </cell>
          <cell r="CO49">
            <v>169704011</v>
          </cell>
        </row>
        <row r="50">
          <cell r="A50">
            <v>336</v>
          </cell>
          <cell r="B50">
            <v>54889400</v>
          </cell>
          <cell r="C50">
            <v>1797800</v>
          </cell>
          <cell r="D50">
            <v>5227000</v>
          </cell>
          <cell r="E50">
            <v>2100300</v>
          </cell>
          <cell r="F50">
            <v>0</v>
          </cell>
          <cell r="G50">
            <v>0</v>
          </cell>
          <cell r="H50">
            <v>25000</v>
          </cell>
          <cell r="I50">
            <v>251900</v>
          </cell>
          <cell r="J50">
            <v>0</v>
          </cell>
          <cell r="K50">
            <v>272500</v>
          </cell>
          <cell r="L50">
            <v>12400</v>
          </cell>
          <cell r="M50">
            <v>0</v>
          </cell>
          <cell r="N50">
            <v>0</v>
          </cell>
          <cell r="O50">
            <v>0</v>
          </cell>
          <cell r="P50">
            <v>0</v>
          </cell>
          <cell r="Q50">
            <v>0</v>
          </cell>
          <cell r="U50">
            <v>19400</v>
          </cell>
          <cell r="X50">
            <v>0</v>
          </cell>
          <cell r="Y50">
            <v>0</v>
          </cell>
          <cell r="Z50">
            <v>0</v>
          </cell>
          <cell r="AA50">
            <v>0</v>
          </cell>
          <cell r="AC50">
            <v>80900</v>
          </cell>
          <cell r="AD50">
            <v>58600</v>
          </cell>
          <cell r="AE50">
            <v>0</v>
          </cell>
          <cell r="AF50">
            <v>50000</v>
          </cell>
          <cell r="AG50">
            <v>0</v>
          </cell>
          <cell r="AH50">
            <v>231900</v>
          </cell>
          <cell r="AI50">
            <v>448400</v>
          </cell>
          <cell r="AJ50">
            <v>0</v>
          </cell>
          <cell r="AK50">
            <v>420600</v>
          </cell>
          <cell r="AL50">
            <v>0</v>
          </cell>
          <cell r="AM50">
            <v>0</v>
          </cell>
          <cell r="AN50">
            <v>65886100</v>
          </cell>
          <cell r="BO50">
            <v>0</v>
          </cell>
          <cell r="BP50">
            <v>364500</v>
          </cell>
          <cell r="CF50">
            <v>9758200</v>
          </cell>
          <cell r="CH50">
            <v>0</v>
          </cell>
          <cell r="CI50">
            <v>0</v>
          </cell>
          <cell r="CJ50">
            <v>0</v>
          </cell>
          <cell r="CK50">
            <v>0</v>
          </cell>
          <cell r="CL50">
            <v>0</v>
          </cell>
          <cell r="CN50">
            <v>9951300</v>
          </cell>
          <cell r="CO50">
            <v>151846200</v>
          </cell>
        </row>
        <row r="51">
          <cell r="A51">
            <v>340</v>
          </cell>
          <cell r="B51">
            <v>32777012</v>
          </cell>
          <cell r="C51">
            <v>1089442</v>
          </cell>
          <cell r="D51">
            <v>1149280</v>
          </cell>
          <cell r="E51">
            <v>812163</v>
          </cell>
          <cell r="F51">
            <v>256478</v>
          </cell>
          <cell r="G51">
            <v>0</v>
          </cell>
          <cell r="H51">
            <v>0</v>
          </cell>
          <cell r="I51">
            <v>195503</v>
          </cell>
          <cell r="J51">
            <v>110204</v>
          </cell>
          <cell r="K51">
            <v>0</v>
          </cell>
          <cell r="L51">
            <v>674130</v>
          </cell>
          <cell r="M51">
            <v>182044</v>
          </cell>
          <cell r="N51">
            <v>0</v>
          </cell>
          <cell r="O51">
            <v>213749</v>
          </cell>
          <cell r="P51">
            <v>262001</v>
          </cell>
          <cell r="Q51">
            <v>39013</v>
          </cell>
          <cell r="U51">
            <v>15553</v>
          </cell>
          <cell r="X51">
            <v>0</v>
          </cell>
          <cell r="Y51">
            <v>0</v>
          </cell>
          <cell r="Z51">
            <v>0</v>
          </cell>
          <cell r="AA51">
            <v>0</v>
          </cell>
          <cell r="AC51">
            <v>71658</v>
          </cell>
          <cell r="AD51">
            <v>14178</v>
          </cell>
          <cell r="AE51">
            <v>0</v>
          </cell>
          <cell r="AF51">
            <v>129716</v>
          </cell>
          <cell r="AG51">
            <v>13569</v>
          </cell>
          <cell r="AH51">
            <v>150522</v>
          </cell>
          <cell r="AI51">
            <v>2196448</v>
          </cell>
          <cell r="AJ51">
            <v>1077638</v>
          </cell>
          <cell r="AK51">
            <v>1174247</v>
          </cell>
          <cell r="AL51">
            <v>0</v>
          </cell>
          <cell r="AM51">
            <v>605301</v>
          </cell>
          <cell r="AN51">
            <v>43209849</v>
          </cell>
          <cell r="BO51">
            <v>261857</v>
          </cell>
          <cell r="BP51">
            <v>226283</v>
          </cell>
          <cell r="CF51">
            <v>1461643</v>
          </cell>
          <cell r="CH51">
            <v>0</v>
          </cell>
          <cell r="CI51">
            <v>0</v>
          </cell>
          <cell r="CJ51">
            <v>0</v>
          </cell>
          <cell r="CK51">
            <v>0</v>
          </cell>
          <cell r="CL51">
            <v>0</v>
          </cell>
          <cell r="CN51">
            <v>2168000</v>
          </cell>
          <cell r="CO51">
            <v>90537481</v>
          </cell>
        </row>
        <row r="52">
          <cell r="A52">
            <v>341</v>
          </cell>
          <cell r="B52">
            <v>111118330</v>
          </cell>
          <cell r="C52">
            <v>3221600</v>
          </cell>
          <cell r="D52">
            <v>9858712</v>
          </cell>
          <cell r="E52">
            <v>4641665</v>
          </cell>
          <cell r="F52">
            <v>314000</v>
          </cell>
          <cell r="G52">
            <v>0</v>
          </cell>
          <cell r="H52">
            <v>0</v>
          </cell>
          <cell r="I52">
            <v>1636766</v>
          </cell>
          <cell r="J52">
            <v>464792</v>
          </cell>
          <cell r="K52">
            <v>130683</v>
          </cell>
          <cell r="L52">
            <v>37761</v>
          </cell>
          <cell r="M52">
            <v>0</v>
          </cell>
          <cell r="N52">
            <v>0</v>
          </cell>
          <cell r="O52">
            <v>1145067</v>
          </cell>
          <cell r="P52">
            <v>1046660</v>
          </cell>
          <cell r="Q52">
            <v>649868</v>
          </cell>
          <cell r="U52">
            <v>58298</v>
          </cell>
          <cell r="X52">
            <v>0</v>
          </cell>
          <cell r="Y52">
            <v>0</v>
          </cell>
          <cell r="Z52">
            <v>0</v>
          </cell>
          <cell r="AA52">
            <v>0</v>
          </cell>
          <cell r="AC52">
            <v>318090</v>
          </cell>
          <cell r="AD52">
            <v>0</v>
          </cell>
          <cell r="AE52">
            <v>469543</v>
          </cell>
          <cell r="AF52">
            <v>29318</v>
          </cell>
          <cell r="AG52">
            <v>9270</v>
          </cell>
          <cell r="AH52">
            <v>273199</v>
          </cell>
          <cell r="AI52">
            <v>836780</v>
          </cell>
          <cell r="AJ52">
            <v>3277311</v>
          </cell>
          <cell r="AK52">
            <v>461342</v>
          </cell>
          <cell r="AL52">
            <v>0</v>
          </cell>
          <cell r="AM52">
            <v>881515</v>
          </cell>
          <cell r="AN52">
            <v>140880570</v>
          </cell>
          <cell r="BO52">
            <v>1584862</v>
          </cell>
          <cell r="BP52">
            <v>745477</v>
          </cell>
          <cell r="CF52">
            <v>20279521</v>
          </cell>
          <cell r="CH52">
            <v>20000</v>
          </cell>
          <cell r="CI52">
            <v>0</v>
          </cell>
          <cell r="CJ52">
            <v>0</v>
          </cell>
          <cell r="CK52">
            <v>0</v>
          </cell>
          <cell r="CL52">
            <v>0</v>
          </cell>
          <cell r="CN52">
            <v>9005000</v>
          </cell>
          <cell r="CO52">
            <v>313396000</v>
          </cell>
        </row>
        <row r="53">
          <cell r="A53">
            <v>342</v>
          </cell>
          <cell r="B53">
            <v>38488706</v>
          </cell>
          <cell r="C53">
            <v>1137050</v>
          </cell>
          <cell r="D53">
            <v>4147680</v>
          </cell>
          <cell r="E53">
            <v>1930349</v>
          </cell>
          <cell r="F53">
            <v>0</v>
          </cell>
          <cell r="G53">
            <v>0</v>
          </cell>
          <cell r="H53">
            <v>0</v>
          </cell>
          <cell r="I53">
            <v>551908</v>
          </cell>
          <cell r="J53">
            <v>35344</v>
          </cell>
          <cell r="K53">
            <v>0</v>
          </cell>
          <cell r="L53">
            <v>5746</v>
          </cell>
          <cell r="M53">
            <v>77665</v>
          </cell>
          <cell r="N53">
            <v>0</v>
          </cell>
          <cell r="O53">
            <v>580479</v>
          </cell>
          <cell r="P53">
            <v>20032</v>
          </cell>
          <cell r="Q53">
            <v>55471</v>
          </cell>
          <cell r="U53">
            <v>26679</v>
          </cell>
          <cell r="X53">
            <v>0</v>
          </cell>
          <cell r="Y53">
            <v>0</v>
          </cell>
          <cell r="Z53">
            <v>3392</v>
          </cell>
          <cell r="AA53">
            <v>0</v>
          </cell>
          <cell r="AC53">
            <v>66170</v>
          </cell>
          <cell r="AD53">
            <v>34243</v>
          </cell>
          <cell r="AE53">
            <v>155045</v>
          </cell>
          <cell r="AF53">
            <v>75748</v>
          </cell>
          <cell r="AG53">
            <v>16130</v>
          </cell>
          <cell r="AH53">
            <v>0</v>
          </cell>
          <cell r="AI53">
            <v>655298</v>
          </cell>
          <cell r="AJ53">
            <v>2408926</v>
          </cell>
          <cell r="AK53">
            <v>117783</v>
          </cell>
          <cell r="AL53">
            <v>0</v>
          </cell>
          <cell r="AM53">
            <v>643946</v>
          </cell>
          <cell r="AN53">
            <v>51233790</v>
          </cell>
          <cell r="BO53">
            <v>218084</v>
          </cell>
          <cell r="BP53">
            <v>486492</v>
          </cell>
          <cell r="CF53">
            <v>4284785</v>
          </cell>
          <cell r="CH53">
            <v>0</v>
          </cell>
          <cell r="CI53">
            <v>0</v>
          </cell>
          <cell r="CJ53">
            <v>0</v>
          </cell>
          <cell r="CK53">
            <v>0</v>
          </cell>
          <cell r="CL53">
            <v>0</v>
          </cell>
          <cell r="CN53">
            <v>2377000</v>
          </cell>
          <cell r="CO53">
            <v>109833941</v>
          </cell>
        </row>
        <row r="54">
          <cell r="A54">
            <v>343</v>
          </cell>
          <cell r="B54">
            <v>67589952</v>
          </cell>
          <cell r="C54">
            <v>2172878</v>
          </cell>
          <cell r="D54">
            <v>6227632</v>
          </cell>
          <cell r="E54">
            <v>2423806</v>
          </cell>
          <cell r="F54">
            <v>0</v>
          </cell>
          <cell r="G54">
            <v>0</v>
          </cell>
          <cell r="H54">
            <v>0</v>
          </cell>
          <cell r="I54">
            <v>236950</v>
          </cell>
          <cell r="J54">
            <v>0</v>
          </cell>
          <cell r="K54">
            <v>529422</v>
          </cell>
          <cell r="L54">
            <v>15085</v>
          </cell>
          <cell r="M54">
            <v>26250</v>
          </cell>
          <cell r="N54">
            <v>0</v>
          </cell>
          <cell r="O54">
            <v>566069</v>
          </cell>
          <cell r="P54">
            <v>739193</v>
          </cell>
          <cell r="Q54">
            <v>424388</v>
          </cell>
          <cell r="U54">
            <v>10057</v>
          </cell>
          <cell r="X54">
            <v>0</v>
          </cell>
          <cell r="Y54">
            <v>431964</v>
          </cell>
          <cell r="Z54">
            <v>0</v>
          </cell>
          <cell r="AA54">
            <v>0</v>
          </cell>
          <cell r="AC54">
            <v>4114</v>
          </cell>
          <cell r="AD54">
            <v>10871</v>
          </cell>
          <cell r="AE54">
            <v>618598</v>
          </cell>
          <cell r="AF54">
            <v>22400</v>
          </cell>
          <cell r="AG54">
            <v>10635</v>
          </cell>
          <cell r="AH54">
            <v>50357</v>
          </cell>
          <cell r="AI54">
            <v>571838</v>
          </cell>
          <cell r="AJ54">
            <v>2885895</v>
          </cell>
          <cell r="AK54">
            <v>852280</v>
          </cell>
          <cell r="AL54">
            <v>0</v>
          </cell>
          <cell r="AM54">
            <v>366831</v>
          </cell>
          <cell r="AN54">
            <v>86787465</v>
          </cell>
          <cell r="BO54">
            <v>177664</v>
          </cell>
          <cell r="BP54">
            <v>344821</v>
          </cell>
          <cell r="CF54">
            <v>9484764</v>
          </cell>
          <cell r="CH54">
            <v>0</v>
          </cell>
          <cell r="CI54">
            <v>0</v>
          </cell>
          <cell r="CJ54">
            <v>0</v>
          </cell>
          <cell r="CK54">
            <v>0</v>
          </cell>
          <cell r="CL54">
            <v>0</v>
          </cell>
          <cell r="CN54">
            <v>559344</v>
          </cell>
          <cell r="CO54">
            <v>184141523</v>
          </cell>
        </row>
        <row r="55">
          <cell r="A55">
            <v>344</v>
          </cell>
          <cell r="B55">
            <v>77452400</v>
          </cell>
          <cell r="C55">
            <v>2253400</v>
          </cell>
          <cell r="D55">
            <v>5896000</v>
          </cell>
          <cell r="E55">
            <v>3727700</v>
          </cell>
          <cell r="F55">
            <v>20000</v>
          </cell>
          <cell r="G55">
            <v>0</v>
          </cell>
          <cell r="H55">
            <v>0</v>
          </cell>
          <cell r="I55">
            <v>1564400</v>
          </cell>
          <cell r="J55">
            <v>0</v>
          </cell>
          <cell r="K55">
            <v>89800</v>
          </cell>
          <cell r="L55">
            <v>0</v>
          </cell>
          <cell r="M55">
            <v>0</v>
          </cell>
          <cell r="N55">
            <v>0</v>
          </cell>
          <cell r="O55">
            <v>616900</v>
          </cell>
          <cell r="P55">
            <v>10200</v>
          </cell>
          <cell r="Q55">
            <v>2700</v>
          </cell>
          <cell r="U55">
            <v>5700</v>
          </cell>
          <cell r="X55">
            <v>0</v>
          </cell>
          <cell r="Y55">
            <v>0</v>
          </cell>
          <cell r="Z55">
            <v>0</v>
          </cell>
          <cell r="AA55">
            <v>0</v>
          </cell>
          <cell r="AC55">
            <v>304200</v>
          </cell>
          <cell r="AD55">
            <v>19700</v>
          </cell>
          <cell r="AE55">
            <v>39600</v>
          </cell>
          <cell r="AF55">
            <v>41200</v>
          </cell>
          <cell r="AG55">
            <v>0</v>
          </cell>
          <cell r="AH55">
            <v>344100</v>
          </cell>
          <cell r="AI55">
            <v>1744200</v>
          </cell>
          <cell r="AJ55">
            <v>3586800</v>
          </cell>
          <cell r="AK55">
            <v>297000</v>
          </cell>
          <cell r="AL55">
            <v>0</v>
          </cell>
          <cell r="AM55">
            <v>1420000</v>
          </cell>
          <cell r="AN55">
            <v>99436000</v>
          </cell>
          <cell r="BO55">
            <v>140600</v>
          </cell>
          <cell r="BP55">
            <v>809900</v>
          </cell>
          <cell r="CF55">
            <v>13944600</v>
          </cell>
          <cell r="CH55">
            <v>39600</v>
          </cell>
          <cell r="CI55">
            <v>0</v>
          </cell>
          <cell r="CJ55">
            <v>0</v>
          </cell>
          <cell r="CK55">
            <v>0</v>
          </cell>
          <cell r="CL55">
            <v>0</v>
          </cell>
          <cell r="CN55">
            <v>8520000</v>
          </cell>
          <cell r="CO55">
            <v>222326700</v>
          </cell>
        </row>
        <row r="56">
          <cell r="A56">
            <v>350</v>
          </cell>
          <cell r="B56">
            <v>61213613</v>
          </cell>
          <cell r="C56">
            <v>1681686</v>
          </cell>
          <cell r="D56">
            <v>5869331</v>
          </cell>
          <cell r="E56">
            <v>119200</v>
          </cell>
          <cell r="F56">
            <v>0</v>
          </cell>
          <cell r="G56">
            <v>0</v>
          </cell>
          <cell r="H56">
            <v>139992</v>
          </cell>
          <cell r="I56">
            <v>1070961</v>
          </cell>
          <cell r="J56">
            <v>10233</v>
          </cell>
          <cell r="K56">
            <v>2157</v>
          </cell>
          <cell r="L56">
            <v>176099</v>
          </cell>
          <cell r="M56">
            <v>-244675</v>
          </cell>
          <cell r="N56">
            <v>0</v>
          </cell>
          <cell r="O56">
            <v>525708</v>
          </cell>
          <cell r="P56">
            <v>718720</v>
          </cell>
          <cell r="Q56">
            <v>222108</v>
          </cell>
          <cell r="U56">
            <v>21779</v>
          </cell>
          <cell r="X56">
            <v>5400</v>
          </cell>
          <cell r="Y56">
            <v>460613</v>
          </cell>
          <cell r="Z56">
            <v>0</v>
          </cell>
          <cell r="AA56">
            <v>3200</v>
          </cell>
          <cell r="AC56">
            <v>67184</v>
          </cell>
          <cell r="AD56">
            <v>32800</v>
          </cell>
          <cell r="AE56">
            <v>66552</v>
          </cell>
          <cell r="AF56">
            <v>25217</v>
          </cell>
          <cell r="AG56">
            <v>6910</v>
          </cell>
          <cell r="AH56">
            <v>209500</v>
          </cell>
          <cell r="AI56">
            <v>586641</v>
          </cell>
          <cell r="AJ56">
            <v>1952116</v>
          </cell>
          <cell r="AK56">
            <v>0</v>
          </cell>
          <cell r="AL56">
            <v>0</v>
          </cell>
          <cell r="AM56">
            <v>990255</v>
          </cell>
          <cell r="AN56">
            <v>75933300</v>
          </cell>
          <cell r="BO56">
            <v>78354</v>
          </cell>
          <cell r="BP56">
            <v>893130</v>
          </cell>
          <cell r="CF56">
            <v>6399918</v>
          </cell>
          <cell r="CH56">
            <v>1856</v>
          </cell>
          <cell r="CI56">
            <v>0</v>
          </cell>
          <cell r="CJ56">
            <v>0</v>
          </cell>
          <cell r="CK56">
            <v>0</v>
          </cell>
          <cell r="CL56">
            <v>0</v>
          </cell>
          <cell r="CN56">
            <v>6789520</v>
          </cell>
          <cell r="CO56">
            <v>166029378</v>
          </cell>
        </row>
        <row r="57">
          <cell r="A57">
            <v>351</v>
          </cell>
          <cell r="B57">
            <v>36762176</v>
          </cell>
          <cell r="C57">
            <v>1411440</v>
          </cell>
          <cell r="D57">
            <v>1717122</v>
          </cell>
          <cell r="E57">
            <v>0</v>
          </cell>
          <cell r="F57">
            <v>0</v>
          </cell>
          <cell r="G57">
            <v>0</v>
          </cell>
          <cell r="H57">
            <v>0</v>
          </cell>
          <cell r="I57">
            <v>13000</v>
          </cell>
          <cell r="J57">
            <v>0</v>
          </cell>
          <cell r="K57">
            <v>84200</v>
          </cell>
          <cell r="L57">
            <v>138600</v>
          </cell>
          <cell r="M57">
            <v>118600</v>
          </cell>
          <cell r="N57">
            <v>0</v>
          </cell>
          <cell r="O57">
            <v>1465300</v>
          </cell>
          <cell r="P57">
            <v>35650</v>
          </cell>
          <cell r="Q57">
            <v>78500</v>
          </cell>
          <cell r="U57">
            <v>0</v>
          </cell>
          <cell r="X57">
            <v>12600</v>
          </cell>
          <cell r="Y57">
            <v>0</v>
          </cell>
          <cell r="Z57">
            <v>0</v>
          </cell>
          <cell r="AA57">
            <v>0</v>
          </cell>
          <cell r="AC57">
            <v>14300</v>
          </cell>
          <cell r="AD57">
            <v>0</v>
          </cell>
          <cell r="AE57">
            <v>318376</v>
          </cell>
          <cell r="AF57">
            <v>0</v>
          </cell>
          <cell r="AG57">
            <v>400</v>
          </cell>
          <cell r="AH57">
            <v>179900</v>
          </cell>
          <cell r="AI57">
            <v>408239</v>
          </cell>
          <cell r="AJ57">
            <v>0</v>
          </cell>
          <cell r="AK57">
            <v>0</v>
          </cell>
          <cell r="AL57">
            <v>0</v>
          </cell>
          <cell r="AM57">
            <v>0</v>
          </cell>
          <cell r="AN57">
            <v>42758403</v>
          </cell>
          <cell r="BO57">
            <v>0</v>
          </cell>
          <cell r="BP57">
            <v>186205</v>
          </cell>
          <cell r="CF57">
            <v>0</v>
          </cell>
          <cell r="CH57">
            <v>0</v>
          </cell>
          <cell r="CI57">
            <v>0</v>
          </cell>
          <cell r="CJ57">
            <v>0</v>
          </cell>
          <cell r="CK57">
            <v>0</v>
          </cell>
          <cell r="CL57">
            <v>0</v>
          </cell>
          <cell r="CN57">
            <v>3713990</v>
          </cell>
          <cell r="CO57">
            <v>89417001</v>
          </cell>
        </row>
        <row r="58">
          <cell r="A58">
            <v>352</v>
          </cell>
          <cell r="B58">
            <v>80221590</v>
          </cell>
          <cell r="C58">
            <v>2055000</v>
          </cell>
          <cell r="D58">
            <v>8094150</v>
          </cell>
          <cell r="E58">
            <v>3275920</v>
          </cell>
          <cell r="F58">
            <v>0</v>
          </cell>
          <cell r="G58">
            <v>0</v>
          </cell>
          <cell r="H58">
            <v>0</v>
          </cell>
          <cell r="I58">
            <v>0</v>
          </cell>
          <cell r="J58">
            <v>756540</v>
          </cell>
          <cell r="K58">
            <v>0</v>
          </cell>
          <cell r="L58">
            <v>15560</v>
          </cell>
          <cell r="M58">
            <v>0</v>
          </cell>
          <cell r="N58">
            <v>0</v>
          </cell>
          <cell r="O58">
            <v>2103000</v>
          </cell>
          <cell r="P58">
            <v>735800</v>
          </cell>
          <cell r="Q58">
            <v>0</v>
          </cell>
          <cell r="U58">
            <v>17610</v>
          </cell>
          <cell r="X58">
            <v>0</v>
          </cell>
          <cell r="Y58">
            <v>29140</v>
          </cell>
          <cell r="Z58">
            <v>0</v>
          </cell>
          <cell r="AA58">
            <v>0</v>
          </cell>
          <cell r="AC58">
            <v>122720</v>
          </cell>
          <cell r="AD58">
            <v>9720</v>
          </cell>
          <cell r="AE58">
            <v>201420</v>
          </cell>
          <cell r="AF58">
            <v>72740</v>
          </cell>
          <cell r="AG58">
            <v>5460</v>
          </cell>
          <cell r="AH58">
            <v>92620</v>
          </cell>
          <cell r="AI58">
            <v>1488530</v>
          </cell>
          <cell r="AJ58">
            <v>0</v>
          </cell>
          <cell r="AK58">
            <v>302950</v>
          </cell>
          <cell r="AL58">
            <v>0</v>
          </cell>
          <cell r="AM58">
            <v>1413220</v>
          </cell>
          <cell r="AN58">
            <v>101013690</v>
          </cell>
          <cell r="BO58">
            <v>692210</v>
          </cell>
          <cell r="BP58">
            <v>369570</v>
          </cell>
          <cell r="CF58">
            <v>3876090</v>
          </cell>
          <cell r="CH58">
            <v>0</v>
          </cell>
          <cell r="CI58">
            <v>0</v>
          </cell>
          <cell r="CJ58">
            <v>0</v>
          </cell>
          <cell r="CK58">
            <v>0</v>
          </cell>
          <cell r="CL58">
            <v>0</v>
          </cell>
          <cell r="CN58">
            <v>15962140</v>
          </cell>
          <cell r="CO58">
            <v>222927390</v>
          </cell>
        </row>
        <row r="59">
          <cell r="A59">
            <v>353</v>
          </cell>
          <cell r="B59">
            <v>52995952</v>
          </cell>
          <cell r="C59">
            <v>1561605</v>
          </cell>
          <cell r="D59">
            <v>6406467</v>
          </cell>
          <cell r="E59">
            <v>2627333</v>
          </cell>
          <cell r="F59">
            <v>0</v>
          </cell>
          <cell r="G59">
            <v>0</v>
          </cell>
          <cell r="H59">
            <v>201718</v>
          </cell>
          <cell r="I59">
            <v>796630</v>
          </cell>
          <cell r="J59">
            <v>0</v>
          </cell>
          <cell r="K59">
            <v>457710</v>
          </cell>
          <cell r="L59">
            <v>72970</v>
          </cell>
          <cell r="M59">
            <v>0</v>
          </cell>
          <cell r="N59">
            <v>0</v>
          </cell>
          <cell r="O59">
            <v>915010</v>
          </cell>
          <cell r="P59">
            <v>847330</v>
          </cell>
          <cell r="Q59">
            <v>210190</v>
          </cell>
          <cell r="U59">
            <v>12670</v>
          </cell>
          <cell r="X59">
            <v>0</v>
          </cell>
          <cell r="Y59">
            <v>618160</v>
          </cell>
          <cell r="Z59">
            <v>24920</v>
          </cell>
          <cell r="AA59">
            <v>0</v>
          </cell>
          <cell r="AC59">
            <v>273360</v>
          </cell>
          <cell r="AD59">
            <v>10760</v>
          </cell>
          <cell r="AE59">
            <v>35560</v>
          </cell>
          <cell r="AF59">
            <v>22870</v>
          </cell>
          <cell r="AG59">
            <v>3220</v>
          </cell>
          <cell r="AH59">
            <v>74530</v>
          </cell>
          <cell r="AI59">
            <v>814500</v>
          </cell>
          <cell r="AJ59">
            <v>114720</v>
          </cell>
          <cell r="AK59">
            <v>181347</v>
          </cell>
          <cell r="AL59">
            <v>0</v>
          </cell>
          <cell r="AM59">
            <v>809660</v>
          </cell>
          <cell r="AN59">
            <v>70089192</v>
          </cell>
          <cell r="BO59">
            <v>54940</v>
          </cell>
          <cell r="BP59">
            <v>220540</v>
          </cell>
          <cell r="CF59">
            <v>3281452</v>
          </cell>
          <cell r="CH59">
            <v>0</v>
          </cell>
          <cell r="CI59">
            <v>0</v>
          </cell>
          <cell r="CJ59">
            <v>0</v>
          </cell>
          <cell r="CK59">
            <v>0</v>
          </cell>
          <cell r="CL59">
            <v>0</v>
          </cell>
          <cell r="CN59">
            <v>1788514</v>
          </cell>
          <cell r="CO59">
            <v>145523830</v>
          </cell>
        </row>
        <row r="60">
          <cell r="A60">
            <v>354</v>
          </cell>
          <cell r="B60">
            <v>45555148</v>
          </cell>
          <cell r="C60">
            <v>1377551</v>
          </cell>
          <cell r="D60">
            <v>4897818</v>
          </cell>
          <cell r="E60">
            <v>2144980</v>
          </cell>
          <cell r="F60">
            <v>0</v>
          </cell>
          <cell r="G60">
            <v>0</v>
          </cell>
          <cell r="H60">
            <v>0</v>
          </cell>
          <cell r="I60">
            <v>712042</v>
          </cell>
          <cell r="J60">
            <v>54926</v>
          </cell>
          <cell r="K60">
            <v>67968</v>
          </cell>
          <cell r="L60">
            <v>35398</v>
          </cell>
          <cell r="M60">
            <v>0</v>
          </cell>
          <cell r="N60">
            <v>0</v>
          </cell>
          <cell r="O60">
            <v>1181255</v>
          </cell>
          <cell r="P60">
            <v>71933</v>
          </cell>
          <cell r="Q60">
            <v>36810</v>
          </cell>
          <cell r="U60">
            <v>47442</v>
          </cell>
          <cell r="X60">
            <v>0</v>
          </cell>
          <cell r="Y60">
            <v>396002</v>
          </cell>
          <cell r="Z60">
            <v>2140</v>
          </cell>
          <cell r="AA60">
            <v>0</v>
          </cell>
          <cell r="AC60">
            <v>52996</v>
          </cell>
          <cell r="AD60">
            <v>32598</v>
          </cell>
          <cell r="AE60">
            <v>146542</v>
          </cell>
          <cell r="AF60">
            <v>0</v>
          </cell>
          <cell r="AG60">
            <v>1796</v>
          </cell>
          <cell r="AH60">
            <v>177646</v>
          </cell>
          <cell r="AI60">
            <v>663256</v>
          </cell>
          <cell r="AJ60">
            <v>2240045</v>
          </cell>
          <cell r="AK60">
            <v>225200</v>
          </cell>
          <cell r="AL60">
            <v>0</v>
          </cell>
          <cell r="AM60">
            <v>496666</v>
          </cell>
          <cell r="AN60">
            <v>60618158</v>
          </cell>
          <cell r="BO60">
            <v>116075</v>
          </cell>
          <cell r="BP60">
            <v>341688</v>
          </cell>
          <cell r="CF60">
            <v>2992328</v>
          </cell>
          <cell r="CH60">
            <v>0</v>
          </cell>
          <cell r="CI60">
            <v>0</v>
          </cell>
          <cell r="CJ60">
            <v>0</v>
          </cell>
          <cell r="CK60">
            <v>0</v>
          </cell>
          <cell r="CL60">
            <v>0</v>
          </cell>
          <cell r="CN60">
            <v>7295842</v>
          </cell>
          <cell r="CO60">
            <v>131982249</v>
          </cell>
        </row>
        <row r="61">
          <cell r="A61">
            <v>355</v>
          </cell>
          <cell r="B61">
            <v>39623398</v>
          </cell>
          <cell r="C61">
            <v>1428734</v>
          </cell>
          <cell r="D61">
            <v>3555437</v>
          </cell>
          <cell r="E61">
            <v>2095642</v>
          </cell>
          <cell r="F61">
            <v>0</v>
          </cell>
          <cell r="G61">
            <v>0</v>
          </cell>
          <cell r="H61">
            <v>0</v>
          </cell>
          <cell r="I61">
            <v>876150</v>
          </cell>
          <cell r="J61">
            <v>230991</v>
          </cell>
          <cell r="K61">
            <v>0</v>
          </cell>
          <cell r="L61">
            <v>19346</v>
          </cell>
          <cell r="M61">
            <v>0</v>
          </cell>
          <cell r="N61">
            <v>0</v>
          </cell>
          <cell r="O61">
            <v>2071407</v>
          </cell>
          <cell r="P61">
            <v>224740</v>
          </cell>
          <cell r="Q61">
            <v>321081</v>
          </cell>
          <cell r="U61">
            <v>0</v>
          </cell>
          <cell r="X61">
            <v>0</v>
          </cell>
          <cell r="Y61">
            <v>0</v>
          </cell>
          <cell r="Z61">
            <v>0</v>
          </cell>
          <cell r="AA61">
            <v>20295</v>
          </cell>
          <cell r="AC61">
            <v>52477</v>
          </cell>
          <cell r="AD61">
            <v>0</v>
          </cell>
          <cell r="AE61">
            <v>42379</v>
          </cell>
          <cell r="AF61">
            <v>25477</v>
          </cell>
          <cell r="AG61">
            <v>4994</v>
          </cell>
          <cell r="AH61">
            <v>161703</v>
          </cell>
          <cell r="AI61">
            <v>2059982</v>
          </cell>
          <cell r="AJ61">
            <v>1252280</v>
          </cell>
          <cell r="AK61">
            <v>0</v>
          </cell>
          <cell r="AL61">
            <v>0</v>
          </cell>
          <cell r="AM61">
            <v>346044</v>
          </cell>
          <cell r="AN61">
            <v>54412557</v>
          </cell>
          <cell r="BO61">
            <v>36123</v>
          </cell>
          <cell r="BP61">
            <v>80811</v>
          </cell>
          <cell r="CF61">
            <v>0</v>
          </cell>
          <cell r="CH61">
            <v>0</v>
          </cell>
          <cell r="CI61">
            <v>0</v>
          </cell>
          <cell r="CJ61">
            <v>0</v>
          </cell>
          <cell r="CK61">
            <v>0</v>
          </cell>
          <cell r="CL61">
            <v>0</v>
          </cell>
          <cell r="CN61">
            <v>5480881</v>
          </cell>
          <cell r="CO61">
            <v>114422929</v>
          </cell>
        </row>
        <row r="62">
          <cell r="A62">
            <v>356</v>
          </cell>
          <cell r="B62">
            <v>49874597</v>
          </cell>
          <cell r="C62">
            <v>1472000</v>
          </cell>
          <cell r="D62">
            <v>1426089</v>
          </cell>
          <cell r="E62">
            <v>0</v>
          </cell>
          <cell r="F62">
            <v>0</v>
          </cell>
          <cell r="G62">
            <v>0</v>
          </cell>
          <cell r="H62">
            <v>0</v>
          </cell>
          <cell r="I62">
            <v>2028807</v>
          </cell>
          <cell r="J62">
            <v>0</v>
          </cell>
          <cell r="K62">
            <v>181642</v>
          </cell>
          <cell r="L62">
            <v>248974</v>
          </cell>
          <cell r="M62">
            <v>373845</v>
          </cell>
          <cell r="N62">
            <v>0</v>
          </cell>
          <cell r="O62">
            <v>2214645</v>
          </cell>
          <cell r="P62">
            <v>0</v>
          </cell>
          <cell r="Q62">
            <v>5118</v>
          </cell>
          <cell r="U62">
            <v>22201</v>
          </cell>
          <cell r="X62">
            <v>0</v>
          </cell>
          <cell r="Y62">
            <v>0</v>
          </cell>
          <cell r="Z62">
            <v>0</v>
          </cell>
          <cell r="AA62">
            <v>0</v>
          </cell>
          <cell r="AC62">
            <v>237065</v>
          </cell>
          <cell r="AD62">
            <v>13662</v>
          </cell>
          <cell r="AE62">
            <v>341226</v>
          </cell>
          <cell r="AF62">
            <v>36844</v>
          </cell>
          <cell r="AG62">
            <v>2050</v>
          </cell>
          <cell r="AH62">
            <v>187683</v>
          </cell>
          <cell r="AI62">
            <v>1406482</v>
          </cell>
          <cell r="AJ62">
            <v>0</v>
          </cell>
          <cell r="AK62">
            <v>614707</v>
          </cell>
          <cell r="AL62">
            <v>0</v>
          </cell>
          <cell r="AM62">
            <v>1213962</v>
          </cell>
          <cell r="AN62">
            <v>61901599</v>
          </cell>
          <cell r="BO62">
            <v>40730</v>
          </cell>
          <cell r="BP62">
            <v>137606</v>
          </cell>
          <cell r="CF62">
            <v>0</v>
          </cell>
          <cell r="CH62">
            <v>0</v>
          </cell>
          <cell r="CI62">
            <v>0</v>
          </cell>
          <cell r="CJ62">
            <v>0</v>
          </cell>
          <cell r="CK62">
            <v>0</v>
          </cell>
          <cell r="CL62">
            <v>0</v>
          </cell>
          <cell r="CN62">
            <v>1611112</v>
          </cell>
          <cell r="CO62">
            <v>125592646</v>
          </cell>
        </row>
        <row r="63">
          <cell r="A63">
            <v>357</v>
          </cell>
          <cell r="B63">
            <v>47706500</v>
          </cell>
          <cell r="C63">
            <v>1736090</v>
          </cell>
          <cell r="D63">
            <v>4487280</v>
          </cell>
          <cell r="E63">
            <v>445860</v>
          </cell>
          <cell r="F63">
            <v>0</v>
          </cell>
          <cell r="G63">
            <v>0</v>
          </cell>
          <cell r="H63">
            <v>190000</v>
          </cell>
          <cell r="I63">
            <v>0</v>
          </cell>
          <cell r="J63">
            <v>0</v>
          </cell>
          <cell r="K63">
            <v>0</v>
          </cell>
          <cell r="L63">
            <v>0</v>
          </cell>
          <cell r="M63">
            <v>0</v>
          </cell>
          <cell r="N63">
            <v>0</v>
          </cell>
          <cell r="O63">
            <v>836330</v>
          </cell>
          <cell r="P63">
            <v>80000</v>
          </cell>
          <cell r="Q63">
            <v>208000</v>
          </cell>
          <cell r="U63">
            <v>7000</v>
          </cell>
          <cell r="X63">
            <v>0</v>
          </cell>
          <cell r="Y63">
            <v>380000</v>
          </cell>
          <cell r="Z63">
            <v>0</v>
          </cell>
          <cell r="AA63">
            <v>13000</v>
          </cell>
          <cell r="AC63">
            <v>125000</v>
          </cell>
          <cell r="AD63">
            <v>16000</v>
          </cell>
          <cell r="AE63">
            <v>215000</v>
          </cell>
          <cell r="AF63">
            <v>60000</v>
          </cell>
          <cell r="AG63">
            <v>5000</v>
          </cell>
          <cell r="AH63">
            <v>360000</v>
          </cell>
          <cell r="AI63">
            <v>1215000</v>
          </cell>
          <cell r="AJ63">
            <v>1769580</v>
          </cell>
          <cell r="AK63">
            <v>30270</v>
          </cell>
          <cell r="AL63">
            <v>0</v>
          </cell>
          <cell r="AM63">
            <v>810000</v>
          </cell>
          <cell r="AN63">
            <v>60695910</v>
          </cell>
          <cell r="BO63">
            <v>190000</v>
          </cell>
          <cell r="BP63">
            <v>225000</v>
          </cell>
          <cell r="CF63">
            <v>1190580</v>
          </cell>
          <cell r="CH63">
            <v>0</v>
          </cell>
          <cell r="CI63">
            <v>0</v>
          </cell>
          <cell r="CJ63">
            <v>0</v>
          </cell>
          <cell r="CK63">
            <v>0</v>
          </cell>
          <cell r="CL63">
            <v>0</v>
          </cell>
          <cell r="CN63">
            <v>0</v>
          </cell>
          <cell r="CO63">
            <v>122997400</v>
          </cell>
        </row>
        <row r="64">
          <cell r="A64">
            <v>358</v>
          </cell>
          <cell r="B64">
            <v>50293375</v>
          </cell>
          <cell r="C64">
            <v>1743204</v>
          </cell>
          <cell r="D64">
            <v>1159105</v>
          </cell>
          <cell r="E64">
            <v>686400</v>
          </cell>
          <cell r="F64">
            <v>0</v>
          </cell>
          <cell r="G64">
            <v>0</v>
          </cell>
          <cell r="H64">
            <v>0</v>
          </cell>
          <cell r="I64">
            <v>370230</v>
          </cell>
          <cell r="J64">
            <v>343514</v>
          </cell>
          <cell r="K64">
            <v>459193</v>
          </cell>
          <cell r="L64">
            <v>0</v>
          </cell>
          <cell r="M64">
            <v>0</v>
          </cell>
          <cell r="N64">
            <v>0</v>
          </cell>
          <cell r="O64">
            <v>305488</v>
          </cell>
          <cell r="P64">
            <v>109577</v>
          </cell>
          <cell r="Q64">
            <v>0</v>
          </cell>
          <cell r="U64">
            <v>6929</v>
          </cell>
          <cell r="X64">
            <v>296366</v>
          </cell>
          <cell r="Y64">
            <v>15</v>
          </cell>
          <cell r="Z64">
            <v>0</v>
          </cell>
          <cell r="AA64">
            <v>0</v>
          </cell>
          <cell r="AC64">
            <v>233515</v>
          </cell>
          <cell r="AD64">
            <v>8535</v>
          </cell>
          <cell r="AE64">
            <v>0</v>
          </cell>
          <cell r="AF64">
            <v>52594</v>
          </cell>
          <cell r="AG64">
            <v>2166</v>
          </cell>
          <cell r="AH64">
            <v>50600</v>
          </cell>
          <cell r="AI64">
            <v>997877</v>
          </cell>
          <cell r="AJ64">
            <v>1613195</v>
          </cell>
          <cell r="AK64">
            <v>0</v>
          </cell>
          <cell r="AL64">
            <v>0</v>
          </cell>
          <cell r="AM64">
            <v>0</v>
          </cell>
          <cell r="AN64">
            <v>58731878</v>
          </cell>
          <cell r="BO64">
            <v>0</v>
          </cell>
          <cell r="BP64">
            <v>490985</v>
          </cell>
          <cell r="CF64">
            <v>6980665</v>
          </cell>
          <cell r="CH64">
            <v>0</v>
          </cell>
          <cell r="CI64">
            <v>0</v>
          </cell>
          <cell r="CJ64">
            <v>0</v>
          </cell>
          <cell r="CK64">
            <v>0</v>
          </cell>
          <cell r="CL64">
            <v>0</v>
          </cell>
          <cell r="CN64">
            <v>5655000</v>
          </cell>
          <cell r="CO64">
            <v>130590406</v>
          </cell>
        </row>
        <row r="65">
          <cell r="A65">
            <v>359</v>
          </cell>
          <cell r="B65">
            <v>67570718</v>
          </cell>
          <cell r="C65">
            <v>2091639</v>
          </cell>
          <cell r="D65">
            <v>5218511</v>
          </cell>
          <cell r="E65">
            <v>656907</v>
          </cell>
          <cell r="F65">
            <v>0</v>
          </cell>
          <cell r="G65">
            <v>0</v>
          </cell>
          <cell r="H65">
            <v>0</v>
          </cell>
          <cell r="I65">
            <v>211555</v>
          </cell>
          <cell r="J65">
            <v>91144</v>
          </cell>
          <cell r="K65">
            <v>259800</v>
          </cell>
          <cell r="L65">
            <v>0</v>
          </cell>
          <cell r="M65">
            <v>91765</v>
          </cell>
          <cell r="N65">
            <v>0</v>
          </cell>
          <cell r="O65">
            <v>349569</v>
          </cell>
          <cell r="P65">
            <v>348289</v>
          </cell>
          <cell r="Q65">
            <v>270754</v>
          </cell>
          <cell r="U65">
            <v>10882</v>
          </cell>
          <cell r="X65">
            <v>0</v>
          </cell>
          <cell r="Y65">
            <v>2985</v>
          </cell>
          <cell r="Z65">
            <v>68767</v>
          </cell>
          <cell r="AA65">
            <v>16230</v>
          </cell>
          <cell r="AC65">
            <v>65392</v>
          </cell>
          <cell r="AD65">
            <v>29101</v>
          </cell>
          <cell r="AE65">
            <v>146528</v>
          </cell>
          <cell r="AF65">
            <v>34407</v>
          </cell>
          <cell r="AG65">
            <v>13034</v>
          </cell>
          <cell r="AH65">
            <v>131595</v>
          </cell>
          <cell r="AI65">
            <v>597148</v>
          </cell>
          <cell r="AJ65">
            <v>5591557</v>
          </cell>
          <cell r="AK65">
            <v>0</v>
          </cell>
          <cell r="AL65">
            <v>0</v>
          </cell>
          <cell r="AM65">
            <v>0</v>
          </cell>
          <cell r="AN65">
            <v>83868277</v>
          </cell>
          <cell r="BO65">
            <v>144524</v>
          </cell>
          <cell r="BP65">
            <v>168124</v>
          </cell>
          <cell r="CF65">
            <v>2145281</v>
          </cell>
          <cell r="CH65">
            <v>0</v>
          </cell>
          <cell r="CI65">
            <v>0</v>
          </cell>
          <cell r="CJ65">
            <v>0</v>
          </cell>
          <cell r="CK65">
            <v>0</v>
          </cell>
          <cell r="CL65">
            <v>0</v>
          </cell>
          <cell r="CN65">
            <v>11955300</v>
          </cell>
          <cell r="CO65">
            <v>182149783</v>
          </cell>
        </row>
        <row r="66">
          <cell r="A66">
            <v>370</v>
          </cell>
          <cell r="B66">
            <v>40620608</v>
          </cell>
          <cell r="C66">
            <v>1401520</v>
          </cell>
          <cell r="D66">
            <v>5317979</v>
          </cell>
          <cell r="E66">
            <v>1976891</v>
          </cell>
          <cell r="F66">
            <v>0</v>
          </cell>
          <cell r="G66">
            <v>0</v>
          </cell>
          <cell r="H66">
            <v>0</v>
          </cell>
          <cell r="I66">
            <v>328510</v>
          </cell>
          <cell r="J66">
            <v>0</v>
          </cell>
          <cell r="K66">
            <v>185440</v>
          </cell>
          <cell r="L66">
            <v>165991</v>
          </cell>
          <cell r="M66">
            <v>0</v>
          </cell>
          <cell r="N66">
            <v>0</v>
          </cell>
          <cell r="O66">
            <v>1042980</v>
          </cell>
          <cell r="P66">
            <v>0</v>
          </cell>
          <cell r="Q66">
            <v>126824</v>
          </cell>
          <cell r="U66">
            <v>14688</v>
          </cell>
          <cell r="X66">
            <v>0</v>
          </cell>
          <cell r="Y66">
            <v>7453</v>
          </cell>
          <cell r="Z66">
            <v>0</v>
          </cell>
          <cell r="AA66">
            <v>0</v>
          </cell>
          <cell r="AC66">
            <v>79834</v>
          </cell>
          <cell r="AD66">
            <v>16834</v>
          </cell>
          <cell r="AE66">
            <v>0</v>
          </cell>
          <cell r="AF66">
            <v>28284</v>
          </cell>
          <cell r="AG66">
            <v>5481</v>
          </cell>
          <cell r="AH66">
            <v>81020</v>
          </cell>
          <cell r="AI66">
            <v>1112910</v>
          </cell>
          <cell r="AJ66">
            <v>2821013</v>
          </cell>
          <cell r="AK66">
            <v>557950</v>
          </cell>
          <cell r="AL66">
            <v>0</v>
          </cell>
          <cell r="AM66">
            <v>334715</v>
          </cell>
          <cell r="AN66">
            <v>56226925</v>
          </cell>
          <cell r="BO66">
            <v>0</v>
          </cell>
          <cell r="BP66">
            <v>243880</v>
          </cell>
          <cell r="CF66">
            <v>952678</v>
          </cell>
          <cell r="CH66">
            <v>0</v>
          </cell>
          <cell r="CI66">
            <v>0</v>
          </cell>
          <cell r="CJ66">
            <v>0</v>
          </cell>
          <cell r="CK66">
            <v>0</v>
          </cell>
          <cell r="CL66">
            <v>0</v>
          </cell>
          <cell r="CN66">
            <v>5804752</v>
          </cell>
          <cell r="CO66">
            <v>119455160</v>
          </cell>
        </row>
        <row r="67">
          <cell r="A67">
            <v>371</v>
          </cell>
          <cell r="B67">
            <v>70796721</v>
          </cell>
          <cell r="C67">
            <v>1820589</v>
          </cell>
          <cell r="D67">
            <v>4745880</v>
          </cell>
          <cell r="E67">
            <v>2526650</v>
          </cell>
          <cell r="F67">
            <v>0</v>
          </cell>
          <cell r="G67">
            <v>0</v>
          </cell>
          <cell r="H67">
            <v>124190</v>
          </cell>
          <cell r="I67">
            <v>533750</v>
          </cell>
          <cell r="J67">
            <v>0</v>
          </cell>
          <cell r="K67">
            <v>0</v>
          </cell>
          <cell r="L67">
            <v>90900</v>
          </cell>
          <cell r="M67">
            <v>0</v>
          </cell>
          <cell r="N67">
            <v>0</v>
          </cell>
          <cell r="O67">
            <v>2163850</v>
          </cell>
          <cell r="P67">
            <v>1219200</v>
          </cell>
          <cell r="Q67">
            <v>27920</v>
          </cell>
          <cell r="U67">
            <v>61170</v>
          </cell>
          <cell r="X67">
            <v>0</v>
          </cell>
          <cell r="Y67">
            <v>15600</v>
          </cell>
          <cell r="Z67">
            <v>0</v>
          </cell>
          <cell r="AA67">
            <v>5610</v>
          </cell>
          <cell r="AC67">
            <v>152210</v>
          </cell>
          <cell r="AD67">
            <v>0</v>
          </cell>
          <cell r="AE67">
            <v>25420</v>
          </cell>
          <cell r="AF67">
            <v>17130</v>
          </cell>
          <cell r="AG67">
            <v>3290</v>
          </cell>
          <cell r="AH67">
            <v>183120</v>
          </cell>
          <cell r="AI67">
            <v>231200</v>
          </cell>
          <cell r="AJ67">
            <v>2729202</v>
          </cell>
          <cell r="AK67">
            <v>819340</v>
          </cell>
          <cell r="AL67">
            <v>0</v>
          </cell>
          <cell r="AM67">
            <v>1229900</v>
          </cell>
          <cell r="AN67">
            <v>89522842</v>
          </cell>
          <cell r="BO67">
            <v>37870</v>
          </cell>
          <cell r="BP67">
            <v>1057060</v>
          </cell>
          <cell r="CF67">
            <v>11922890</v>
          </cell>
          <cell r="CH67">
            <v>184170</v>
          </cell>
          <cell r="CI67">
            <v>0</v>
          </cell>
          <cell r="CJ67">
            <v>0</v>
          </cell>
          <cell r="CK67">
            <v>0</v>
          </cell>
          <cell r="CL67">
            <v>0</v>
          </cell>
          <cell r="CN67">
            <v>9378880</v>
          </cell>
          <cell r="CO67">
            <v>201626554</v>
          </cell>
        </row>
        <row r="68">
          <cell r="A68">
            <v>372</v>
          </cell>
          <cell r="B68">
            <v>64736395</v>
          </cell>
          <cell r="C68">
            <v>1716325</v>
          </cell>
          <cell r="D68">
            <v>5118690</v>
          </cell>
          <cell r="E68">
            <v>4869463</v>
          </cell>
          <cell r="F68">
            <v>0</v>
          </cell>
          <cell r="G68">
            <v>0</v>
          </cell>
          <cell r="H68">
            <v>0</v>
          </cell>
          <cell r="I68">
            <v>188139</v>
          </cell>
          <cell r="J68">
            <v>210795</v>
          </cell>
          <cell r="K68">
            <v>39894</v>
          </cell>
          <cell r="L68">
            <v>91122</v>
          </cell>
          <cell r="M68">
            <v>374268</v>
          </cell>
          <cell r="N68">
            <v>0</v>
          </cell>
          <cell r="O68">
            <v>1117412</v>
          </cell>
          <cell r="P68">
            <v>1746499</v>
          </cell>
          <cell r="Q68">
            <v>180860</v>
          </cell>
          <cell r="U68">
            <v>18473</v>
          </cell>
          <cell r="X68">
            <v>0</v>
          </cell>
          <cell r="Y68">
            <v>0</v>
          </cell>
          <cell r="Z68">
            <v>0</v>
          </cell>
          <cell r="AA68">
            <v>24886</v>
          </cell>
          <cell r="AC68">
            <v>111943</v>
          </cell>
          <cell r="AD68">
            <v>50337</v>
          </cell>
          <cell r="AE68">
            <v>320606</v>
          </cell>
          <cell r="AF68">
            <v>0</v>
          </cell>
          <cell r="AG68">
            <v>2138</v>
          </cell>
          <cell r="AH68">
            <v>12258</v>
          </cell>
          <cell r="AI68">
            <v>2544296</v>
          </cell>
          <cell r="AJ68">
            <v>0</v>
          </cell>
          <cell r="AK68">
            <v>0</v>
          </cell>
          <cell r="AL68">
            <v>0</v>
          </cell>
          <cell r="AM68">
            <v>1801685</v>
          </cell>
          <cell r="AN68">
            <v>85276484</v>
          </cell>
          <cell r="BO68">
            <v>12031</v>
          </cell>
          <cell r="BP68">
            <v>344623</v>
          </cell>
          <cell r="CF68">
            <v>7587404</v>
          </cell>
          <cell r="CH68">
            <v>150692</v>
          </cell>
          <cell r="CI68">
            <v>0</v>
          </cell>
          <cell r="CJ68">
            <v>0</v>
          </cell>
          <cell r="CK68">
            <v>0</v>
          </cell>
          <cell r="CL68">
            <v>0</v>
          </cell>
          <cell r="CN68">
            <v>2593080</v>
          </cell>
          <cell r="CO68">
            <v>181240798</v>
          </cell>
        </row>
        <row r="69">
          <cell r="A69">
            <v>373</v>
          </cell>
          <cell r="B69">
            <v>93609413</v>
          </cell>
          <cell r="C69">
            <v>2773802</v>
          </cell>
          <cell r="D69">
            <v>8595898</v>
          </cell>
          <cell r="E69">
            <v>4986952</v>
          </cell>
          <cell r="F69">
            <v>0</v>
          </cell>
          <cell r="G69">
            <v>0</v>
          </cell>
          <cell r="H69">
            <v>0</v>
          </cell>
          <cell r="I69">
            <v>1061250</v>
          </cell>
          <cell r="J69">
            <v>0</v>
          </cell>
          <cell r="K69">
            <v>585288</v>
          </cell>
          <cell r="L69">
            <v>1279867</v>
          </cell>
          <cell r="M69">
            <v>0</v>
          </cell>
          <cell r="N69">
            <v>0</v>
          </cell>
          <cell r="O69">
            <v>2146252</v>
          </cell>
          <cell r="P69">
            <v>28878</v>
          </cell>
          <cell r="Q69">
            <v>400233</v>
          </cell>
          <cell r="U69">
            <v>0</v>
          </cell>
          <cell r="X69">
            <v>0</v>
          </cell>
          <cell r="Y69">
            <v>1172604</v>
          </cell>
          <cell r="Z69">
            <v>0</v>
          </cell>
          <cell r="AA69">
            <v>10761</v>
          </cell>
          <cell r="AC69">
            <v>154322</v>
          </cell>
          <cell r="AD69">
            <v>200915</v>
          </cell>
          <cell r="AE69">
            <v>204346</v>
          </cell>
          <cell r="AF69">
            <v>304132</v>
          </cell>
          <cell r="AG69">
            <v>30005</v>
          </cell>
          <cell r="AH69">
            <v>441544</v>
          </cell>
          <cell r="AI69">
            <v>2446458</v>
          </cell>
          <cell r="AJ69">
            <v>22568858</v>
          </cell>
          <cell r="AK69">
            <v>0</v>
          </cell>
          <cell r="AL69">
            <v>0</v>
          </cell>
          <cell r="AM69">
            <v>1064899</v>
          </cell>
          <cell r="AN69">
            <v>144066677</v>
          </cell>
          <cell r="BO69">
            <v>176563</v>
          </cell>
          <cell r="BP69">
            <v>597273</v>
          </cell>
          <cell r="CF69">
            <v>9049665</v>
          </cell>
          <cell r="CH69">
            <v>70742</v>
          </cell>
          <cell r="CI69">
            <v>0</v>
          </cell>
          <cell r="CJ69">
            <v>0</v>
          </cell>
          <cell r="CK69">
            <v>0</v>
          </cell>
          <cell r="CL69">
            <v>0</v>
          </cell>
          <cell r="CN69">
            <v>8863291</v>
          </cell>
          <cell r="CO69">
            <v>306890888</v>
          </cell>
        </row>
        <row r="70">
          <cell r="A70">
            <v>380</v>
          </cell>
          <cell r="B70">
            <v>112807936</v>
          </cell>
          <cell r="C70">
            <v>2993237</v>
          </cell>
          <cell r="D70">
            <v>11138399</v>
          </cell>
          <cell r="E70">
            <v>2394603</v>
          </cell>
          <cell r="F70">
            <v>0</v>
          </cell>
          <cell r="G70">
            <v>0</v>
          </cell>
          <cell r="H70">
            <v>209775</v>
          </cell>
          <cell r="I70">
            <v>387523</v>
          </cell>
          <cell r="J70">
            <v>0</v>
          </cell>
          <cell r="K70">
            <v>398150</v>
          </cell>
          <cell r="L70">
            <v>21422</v>
          </cell>
          <cell r="M70">
            <v>375396</v>
          </cell>
          <cell r="N70">
            <v>0</v>
          </cell>
          <cell r="O70">
            <v>1842399</v>
          </cell>
          <cell r="P70">
            <v>140355</v>
          </cell>
          <cell r="Q70">
            <v>516942</v>
          </cell>
          <cell r="U70">
            <v>50914</v>
          </cell>
          <cell r="X70">
            <v>0</v>
          </cell>
          <cell r="Y70">
            <v>0</v>
          </cell>
          <cell r="Z70">
            <v>0</v>
          </cell>
          <cell r="AA70">
            <v>0</v>
          </cell>
          <cell r="AC70">
            <v>124245</v>
          </cell>
          <cell r="AD70">
            <v>0</v>
          </cell>
          <cell r="AE70">
            <v>316151</v>
          </cell>
          <cell r="AF70">
            <v>90200</v>
          </cell>
          <cell r="AG70">
            <v>3500</v>
          </cell>
          <cell r="AH70">
            <v>315700</v>
          </cell>
          <cell r="AI70">
            <v>1816000</v>
          </cell>
          <cell r="AJ70">
            <v>4069966</v>
          </cell>
          <cell r="AK70">
            <v>1818521</v>
          </cell>
          <cell r="AL70">
            <v>0</v>
          </cell>
          <cell r="AM70">
            <v>103033</v>
          </cell>
          <cell r="AN70">
            <v>141934367</v>
          </cell>
          <cell r="BO70">
            <v>193746</v>
          </cell>
          <cell r="BP70">
            <v>2080160</v>
          </cell>
          <cell r="CF70">
            <v>21793371</v>
          </cell>
          <cell r="CH70">
            <v>0</v>
          </cell>
          <cell r="CI70">
            <v>0</v>
          </cell>
          <cell r="CJ70">
            <v>0</v>
          </cell>
          <cell r="CK70">
            <v>0</v>
          </cell>
          <cell r="CL70">
            <v>0</v>
          </cell>
          <cell r="CN70">
            <v>8060540</v>
          </cell>
          <cell r="CO70">
            <v>315996551</v>
          </cell>
        </row>
        <row r="71">
          <cell r="A71">
            <v>381</v>
          </cell>
          <cell r="B71">
            <v>49496056</v>
          </cell>
          <cell r="C71">
            <v>1503415</v>
          </cell>
          <cell r="D71">
            <v>2296681</v>
          </cell>
          <cell r="E71">
            <v>487760</v>
          </cell>
          <cell r="F71">
            <v>0</v>
          </cell>
          <cell r="G71">
            <v>0</v>
          </cell>
          <cell r="H71">
            <v>0</v>
          </cell>
          <cell r="I71">
            <v>917614</v>
          </cell>
          <cell r="J71">
            <v>59857</v>
          </cell>
          <cell r="K71">
            <v>90215</v>
          </cell>
          <cell r="L71">
            <v>0</v>
          </cell>
          <cell r="M71">
            <v>0</v>
          </cell>
          <cell r="N71">
            <v>0</v>
          </cell>
          <cell r="O71">
            <v>4400</v>
          </cell>
          <cell r="P71">
            <v>257422</v>
          </cell>
          <cell r="Q71">
            <v>694338</v>
          </cell>
          <cell r="U71">
            <v>0</v>
          </cell>
          <cell r="X71">
            <v>0</v>
          </cell>
          <cell r="Y71">
            <v>95687</v>
          </cell>
          <cell r="Z71">
            <v>0</v>
          </cell>
          <cell r="AA71">
            <v>0</v>
          </cell>
          <cell r="AC71">
            <v>37470</v>
          </cell>
          <cell r="AD71">
            <v>21505</v>
          </cell>
          <cell r="AE71">
            <v>243450</v>
          </cell>
          <cell r="AF71">
            <v>94752</v>
          </cell>
          <cell r="AG71">
            <v>13358</v>
          </cell>
          <cell r="AH71">
            <v>13435</v>
          </cell>
          <cell r="AI71">
            <v>264865</v>
          </cell>
          <cell r="AJ71">
            <v>2001136</v>
          </cell>
          <cell r="AK71">
            <v>0</v>
          </cell>
          <cell r="AL71">
            <v>0</v>
          </cell>
          <cell r="AM71">
            <v>658880</v>
          </cell>
          <cell r="AN71">
            <v>59252296</v>
          </cell>
          <cell r="BO71">
            <v>68017</v>
          </cell>
          <cell r="BP71">
            <v>912363</v>
          </cell>
          <cell r="CF71">
            <v>9574893</v>
          </cell>
          <cell r="CH71">
            <v>0</v>
          </cell>
          <cell r="CI71">
            <v>0</v>
          </cell>
          <cell r="CJ71">
            <v>0</v>
          </cell>
          <cell r="CK71">
            <v>0</v>
          </cell>
          <cell r="CL71">
            <v>0</v>
          </cell>
          <cell r="CN71">
            <v>7684011</v>
          </cell>
          <cell r="CO71">
            <v>136743876</v>
          </cell>
        </row>
        <row r="72">
          <cell r="A72">
            <v>382</v>
          </cell>
          <cell r="B72">
            <v>83762000</v>
          </cell>
          <cell r="C72">
            <v>3020700</v>
          </cell>
          <cell r="D72">
            <v>5821100</v>
          </cell>
          <cell r="E72">
            <v>881600</v>
          </cell>
          <cell r="F72">
            <v>0</v>
          </cell>
          <cell r="G72">
            <v>0</v>
          </cell>
          <cell r="H72">
            <v>92800</v>
          </cell>
          <cell r="I72">
            <v>13900</v>
          </cell>
          <cell r="J72">
            <v>76800</v>
          </cell>
          <cell r="K72">
            <v>0</v>
          </cell>
          <cell r="L72">
            <v>10100</v>
          </cell>
          <cell r="M72">
            <v>0</v>
          </cell>
          <cell r="N72">
            <v>0</v>
          </cell>
          <cell r="O72">
            <v>637900</v>
          </cell>
          <cell r="P72">
            <v>423400</v>
          </cell>
          <cell r="Q72">
            <v>881000</v>
          </cell>
          <cell r="U72">
            <v>37900</v>
          </cell>
          <cell r="X72">
            <v>0</v>
          </cell>
          <cell r="Y72">
            <v>0</v>
          </cell>
          <cell r="Z72">
            <v>0</v>
          </cell>
          <cell r="AA72">
            <v>0</v>
          </cell>
          <cell r="AC72">
            <v>239700</v>
          </cell>
          <cell r="AD72">
            <v>0</v>
          </cell>
          <cell r="AE72">
            <v>238900</v>
          </cell>
          <cell r="AF72">
            <v>5100</v>
          </cell>
          <cell r="AG72">
            <v>900</v>
          </cell>
          <cell r="AH72">
            <v>292600</v>
          </cell>
          <cell r="AI72">
            <v>1517000</v>
          </cell>
          <cell r="AJ72">
            <v>7057493</v>
          </cell>
          <cell r="AK72">
            <v>168697</v>
          </cell>
          <cell r="AL72">
            <v>0</v>
          </cell>
          <cell r="AM72">
            <v>0</v>
          </cell>
          <cell r="AN72">
            <v>105179590</v>
          </cell>
          <cell r="BO72">
            <v>205000</v>
          </cell>
          <cell r="BP72">
            <v>315100</v>
          </cell>
          <cell r="CF72">
            <v>6823095</v>
          </cell>
          <cell r="CH72">
            <v>0</v>
          </cell>
          <cell r="CI72">
            <v>0</v>
          </cell>
          <cell r="CJ72">
            <v>0</v>
          </cell>
          <cell r="CK72">
            <v>0</v>
          </cell>
          <cell r="CL72">
            <v>0</v>
          </cell>
          <cell r="CN72">
            <v>7158500</v>
          </cell>
          <cell r="CO72">
            <v>224860875</v>
          </cell>
        </row>
        <row r="73">
          <cell r="A73">
            <v>383</v>
          </cell>
          <cell r="B73">
            <v>154836880</v>
          </cell>
          <cell r="C73">
            <v>4309351</v>
          </cell>
          <cell r="D73">
            <v>16070620</v>
          </cell>
          <cell r="E73">
            <v>4564050</v>
          </cell>
          <cell r="F73">
            <v>0</v>
          </cell>
          <cell r="G73">
            <v>0</v>
          </cell>
          <cell r="H73">
            <v>250000</v>
          </cell>
          <cell r="I73">
            <v>844280</v>
          </cell>
          <cell r="J73">
            <v>0</v>
          </cell>
          <cell r="K73">
            <v>138820</v>
          </cell>
          <cell r="L73">
            <v>181020</v>
          </cell>
          <cell r="M73">
            <v>0</v>
          </cell>
          <cell r="N73">
            <v>0</v>
          </cell>
          <cell r="O73">
            <v>4035580</v>
          </cell>
          <cell r="P73">
            <v>107080</v>
          </cell>
          <cell r="Q73">
            <v>665740</v>
          </cell>
          <cell r="U73">
            <v>46190</v>
          </cell>
          <cell r="X73">
            <v>21580</v>
          </cell>
          <cell r="Y73">
            <v>0</v>
          </cell>
          <cell r="Z73">
            <v>0</v>
          </cell>
          <cell r="AA73">
            <v>72690</v>
          </cell>
          <cell r="AC73">
            <v>258670</v>
          </cell>
          <cell r="AD73">
            <v>153710</v>
          </cell>
          <cell r="AE73">
            <v>148000</v>
          </cell>
          <cell r="AF73">
            <v>68640</v>
          </cell>
          <cell r="AG73">
            <v>1460</v>
          </cell>
          <cell r="AH73">
            <v>741650</v>
          </cell>
          <cell r="AI73">
            <v>4731790</v>
          </cell>
          <cell r="AJ73">
            <v>5936590</v>
          </cell>
          <cell r="AK73">
            <v>1368520</v>
          </cell>
          <cell r="AL73">
            <v>0</v>
          </cell>
          <cell r="AM73">
            <v>0</v>
          </cell>
          <cell r="AN73">
            <v>199552911</v>
          </cell>
          <cell r="BO73">
            <v>201700</v>
          </cell>
          <cell r="BP73">
            <v>3586040</v>
          </cell>
          <cell r="CF73">
            <v>22919760</v>
          </cell>
          <cell r="CH73">
            <v>0</v>
          </cell>
          <cell r="CI73">
            <v>0</v>
          </cell>
          <cell r="CJ73">
            <v>0</v>
          </cell>
          <cell r="CK73">
            <v>0</v>
          </cell>
          <cell r="CL73">
            <v>0</v>
          </cell>
          <cell r="CN73">
            <v>19924540</v>
          </cell>
          <cell r="CO73">
            <v>445737862</v>
          </cell>
        </row>
        <row r="74">
          <cell r="A74">
            <v>384</v>
          </cell>
          <cell r="B74">
            <v>66360708</v>
          </cell>
          <cell r="C74">
            <v>1876010</v>
          </cell>
          <cell r="D74">
            <v>3808496</v>
          </cell>
          <cell r="E74">
            <v>234000</v>
          </cell>
          <cell r="F74">
            <v>0</v>
          </cell>
          <cell r="G74">
            <v>0</v>
          </cell>
          <cell r="H74">
            <v>0</v>
          </cell>
          <cell r="I74">
            <v>933915</v>
          </cell>
          <cell r="J74">
            <v>0</v>
          </cell>
          <cell r="K74">
            <v>0</v>
          </cell>
          <cell r="L74">
            <v>50000</v>
          </cell>
          <cell r="M74">
            <v>0</v>
          </cell>
          <cell r="N74">
            <v>0</v>
          </cell>
          <cell r="O74">
            <v>1273900</v>
          </cell>
          <cell r="P74">
            <v>134600</v>
          </cell>
          <cell r="Q74">
            <v>278800</v>
          </cell>
          <cell r="U74">
            <v>0</v>
          </cell>
          <cell r="X74">
            <v>0</v>
          </cell>
          <cell r="Y74">
            <v>0</v>
          </cell>
          <cell r="Z74">
            <v>0</v>
          </cell>
          <cell r="AA74">
            <v>129796</v>
          </cell>
          <cell r="AC74">
            <v>67721</v>
          </cell>
          <cell r="AD74">
            <v>9546</v>
          </cell>
          <cell r="AE74">
            <v>180662</v>
          </cell>
          <cell r="AF74">
            <v>37895</v>
          </cell>
          <cell r="AG74">
            <v>0</v>
          </cell>
          <cell r="AH74">
            <v>55833</v>
          </cell>
          <cell r="AI74">
            <v>1497476</v>
          </cell>
          <cell r="AJ74">
            <v>0</v>
          </cell>
          <cell r="AK74">
            <v>0</v>
          </cell>
          <cell r="AL74">
            <v>0</v>
          </cell>
          <cell r="AM74">
            <v>0</v>
          </cell>
          <cell r="AN74">
            <v>76929358</v>
          </cell>
          <cell r="BO74">
            <v>148327</v>
          </cell>
          <cell r="BP74">
            <v>726888</v>
          </cell>
          <cell r="CF74">
            <v>5445480</v>
          </cell>
          <cell r="CH74">
            <v>461660</v>
          </cell>
          <cell r="CI74">
            <v>0</v>
          </cell>
          <cell r="CJ74">
            <v>0</v>
          </cell>
          <cell r="CK74">
            <v>0</v>
          </cell>
          <cell r="CL74">
            <v>0</v>
          </cell>
          <cell r="CN74">
            <v>0</v>
          </cell>
          <cell r="CO74">
            <v>160641071</v>
          </cell>
        </row>
        <row r="75">
          <cell r="A75">
            <v>390</v>
          </cell>
          <cell r="B75">
            <v>35561184</v>
          </cell>
          <cell r="C75">
            <v>1059358</v>
          </cell>
          <cell r="D75">
            <v>5358077</v>
          </cell>
          <cell r="E75">
            <v>1834583</v>
          </cell>
          <cell r="F75">
            <v>0</v>
          </cell>
          <cell r="G75">
            <v>0</v>
          </cell>
          <cell r="H75">
            <v>0</v>
          </cell>
          <cell r="I75">
            <v>309822</v>
          </cell>
          <cell r="J75">
            <v>377534</v>
          </cell>
          <cell r="K75">
            <v>286847</v>
          </cell>
          <cell r="L75">
            <v>12293</v>
          </cell>
          <cell r="M75">
            <v>0</v>
          </cell>
          <cell r="N75">
            <v>0</v>
          </cell>
          <cell r="O75">
            <v>614352</v>
          </cell>
          <cell r="P75">
            <v>258440</v>
          </cell>
          <cell r="Q75">
            <v>289176</v>
          </cell>
          <cell r="U75">
            <v>0</v>
          </cell>
          <cell r="X75">
            <v>0</v>
          </cell>
          <cell r="Y75">
            <v>0</v>
          </cell>
          <cell r="Z75">
            <v>0</v>
          </cell>
          <cell r="AA75">
            <v>0</v>
          </cell>
          <cell r="AC75">
            <v>85862</v>
          </cell>
          <cell r="AD75">
            <v>0</v>
          </cell>
          <cell r="AE75">
            <v>167599</v>
          </cell>
          <cell r="AF75">
            <v>5085</v>
          </cell>
          <cell r="AG75">
            <v>4444</v>
          </cell>
          <cell r="AH75">
            <v>151864</v>
          </cell>
          <cell r="AI75">
            <v>213442</v>
          </cell>
          <cell r="AJ75">
            <v>1573690</v>
          </cell>
          <cell r="AK75">
            <v>442625</v>
          </cell>
          <cell r="AL75">
            <v>0</v>
          </cell>
          <cell r="AM75">
            <v>0</v>
          </cell>
          <cell r="AN75">
            <v>48606277</v>
          </cell>
          <cell r="BO75">
            <v>0</v>
          </cell>
          <cell r="BP75">
            <v>0</v>
          </cell>
          <cell r="CF75">
            <v>6446605</v>
          </cell>
          <cell r="CH75">
            <v>0</v>
          </cell>
          <cell r="CI75">
            <v>0</v>
          </cell>
          <cell r="CJ75">
            <v>0</v>
          </cell>
          <cell r="CK75">
            <v>0</v>
          </cell>
          <cell r="CL75">
            <v>0</v>
          </cell>
          <cell r="CN75">
            <v>0</v>
          </cell>
          <cell r="CO75">
            <v>103659159</v>
          </cell>
        </row>
        <row r="76">
          <cell r="A76">
            <v>391</v>
          </cell>
          <cell r="B76">
            <v>52862729</v>
          </cell>
          <cell r="C76">
            <v>1685453</v>
          </cell>
          <cell r="D76">
            <v>6418641</v>
          </cell>
          <cell r="E76">
            <v>1792200</v>
          </cell>
          <cell r="F76">
            <v>0</v>
          </cell>
          <cell r="G76">
            <v>0</v>
          </cell>
          <cell r="H76">
            <v>0</v>
          </cell>
          <cell r="I76">
            <v>1249880</v>
          </cell>
          <cell r="J76">
            <v>0</v>
          </cell>
          <cell r="K76">
            <v>0</v>
          </cell>
          <cell r="L76">
            <v>0</v>
          </cell>
          <cell r="M76">
            <v>0</v>
          </cell>
          <cell r="N76">
            <v>0</v>
          </cell>
          <cell r="O76">
            <v>797710</v>
          </cell>
          <cell r="P76">
            <v>387670</v>
          </cell>
          <cell r="Q76">
            <v>6530</v>
          </cell>
          <cell r="U76">
            <v>36080</v>
          </cell>
          <cell r="X76">
            <v>0</v>
          </cell>
          <cell r="Y76">
            <v>0</v>
          </cell>
          <cell r="Z76">
            <v>0</v>
          </cell>
          <cell r="AA76">
            <v>0</v>
          </cell>
          <cell r="AC76">
            <v>60840</v>
          </cell>
          <cell r="AD76">
            <v>14810</v>
          </cell>
          <cell r="AE76">
            <v>281800</v>
          </cell>
          <cell r="AF76">
            <v>31280</v>
          </cell>
          <cell r="AG76">
            <v>18420</v>
          </cell>
          <cell r="AH76">
            <v>11540</v>
          </cell>
          <cell r="AI76">
            <v>1518212</v>
          </cell>
          <cell r="AJ76">
            <v>2664680</v>
          </cell>
          <cell r="AK76">
            <v>587660</v>
          </cell>
          <cell r="AL76">
            <v>0</v>
          </cell>
          <cell r="AM76">
            <v>348320</v>
          </cell>
          <cell r="AN76">
            <v>70774455</v>
          </cell>
          <cell r="BO76">
            <v>0</v>
          </cell>
          <cell r="BP76">
            <v>290990</v>
          </cell>
          <cell r="CF76">
            <v>9996290</v>
          </cell>
          <cell r="CH76">
            <v>0</v>
          </cell>
          <cell r="CI76">
            <v>0</v>
          </cell>
          <cell r="CJ76">
            <v>0</v>
          </cell>
          <cell r="CK76">
            <v>0</v>
          </cell>
          <cell r="CL76">
            <v>0</v>
          </cell>
          <cell r="CN76">
            <v>1784000</v>
          </cell>
          <cell r="CO76">
            <v>153620190</v>
          </cell>
        </row>
        <row r="77">
          <cell r="A77">
            <v>392</v>
          </cell>
          <cell r="B77">
            <v>41353170</v>
          </cell>
          <cell r="C77">
            <v>1450453</v>
          </cell>
          <cell r="D77">
            <v>4619318</v>
          </cell>
          <cell r="E77">
            <v>2023363</v>
          </cell>
          <cell r="F77">
            <v>0</v>
          </cell>
          <cell r="G77">
            <v>0</v>
          </cell>
          <cell r="H77">
            <v>135898</v>
          </cell>
          <cell r="I77">
            <v>411215</v>
          </cell>
          <cell r="J77">
            <v>0</v>
          </cell>
          <cell r="K77">
            <v>304075</v>
          </cell>
          <cell r="L77">
            <v>0</v>
          </cell>
          <cell r="M77">
            <v>36886</v>
          </cell>
          <cell r="N77">
            <v>0</v>
          </cell>
          <cell r="O77">
            <v>603176</v>
          </cell>
          <cell r="P77">
            <v>519501</v>
          </cell>
          <cell r="Q77">
            <v>48471</v>
          </cell>
          <cell r="U77">
            <v>0</v>
          </cell>
          <cell r="X77">
            <v>0</v>
          </cell>
          <cell r="Y77">
            <v>121893</v>
          </cell>
          <cell r="Z77">
            <v>0</v>
          </cell>
          <cell r="AA77">
            <v>0</v>
          </cell>
          <cell r="AC77">
            <v>67486</v>
          </cell>
          <cell r="AD77">
            <v>4124</v>
          </cell>
          <cell r="AE77">
            <v>71154</v>
          </cell>
          <cell r="AF77">
            <v>49169</v>
          </cell>
          <cell r="AG77">
            <v>962</v>
          </cell>
          <cell r="AH77">
            <v>123548</v>
          </cell>
          <cell r="AI77">
            <v>441506</v>
          </cell>
          <cell r="AJ77">
            <v>0</v>
          </cell>
          <cell r="AK77">
            <v>164056</v>
          </cell>
          <cell r="AL77">
            <v>0</v>
          </cell>
          <cell r="AM77">
            <v>0</v>
          </cell>
          <cell r="AN77">
            <v>52549424</v>
          </cell>
          <cell r="BO77">
            <v>1639</v>
          </cell>
          <cell r="BP77">
            <v>86409</v>
          </cell>
          <cell r="CF77">
            <v>6043440</v>
          </cell>
          <cell r="CH77">
            <v>131328</v>
          </cell>
          <cell r="CI77">
            <v>0</v>
          </cell>
          <cell r="CJ77">
            <v>0</v>
          </cell>
          <cell r="CK77">
            <v>0</v>
          </cell>
          <cell r="CL77">
            <v>0</v>
          </cell>
          <cell r="CN77">
            <v>6957124</v>
          </cell>
          <cell r="CO77">
            <v>118318788</v>
          </cell>
        </row>
        <row r="78">
          <cell r="A78">
            <v>393</v>
          </cell>
          <cell r="B78">
            <v>32418577</v>
          </cell>
          <cell r="C78">
            <v>965050</v>
          </cell>
          <cell r="D78">
            <v>3033620</v>
          </cell>
          <cell r="E78">
            <v>1520259</v>
          </cell>
          <cell r="F78">
            <v>0</v>
          </cell>
          <cell r="G78">
            <v>0</v>
          </cell>
          <cell r="H78">
            <v>0</v>
          </cell>
          <cell r="I78">
            <v>363846</v>
          </cell>
          <cell r="J78">
            <v>231799</v>
          </cell>
          <cell r="K78">
            <v>37518</v>
          </cell>
          <cell r="L78">
            <v>0</v>
          </cell>
          <cell r="M78">
            <v>0</v>
          </cell>
          <cell r="N78">
            <v>0</v>
          </cell>
          <cell r="O78">
            <v>1385540</v>
          </cell>
          <cell r="P78">
            <v>0</v>
          </cell>
          <cell r="Q78">
            <v>0</v>
          </cell>
          <cell r="U78">
            <v>4037</v>
          </cell>
          <cell r="X78">
            <v>0</v>
          </cell>
          <cell r="Y78">
            <v>12552</v>
          </cell>
          <cell r="Z78">
            <v>0</v>
          </cell>
          <cell r="AA78">
            <v>0</v>
          </cell>
          <cell r="AC78">
            <v>65591</v>
          </cell>
          <cell r="AD78">
            <v>12231</v>
          </cell>
          <cell r="AE78">
            <v>183355</v>
          </cell>
          <cell r="AF78">
            <v>14363</v>
          </cell>
          <cell r="AG78">
            <v>2338</v>
          </cell>
          <cell r="AH78">
            <v>0</v>
          </cell>
          <cell r="AI78">
            <v>1780238</v>
          </cell>
          <cell r="AJ78">
            <v>1092836</v>
          </cell>
          <cell r="AK78">
            <v>770467</v>
          </cell>
          <cell r="AL78">
            <v>0</v>
          </cell>
          <cell r="AM78">
            <v>0</v>
          </cell>
          <cell r="AN78">
            <v>43894217</v>
          </cell>
          <cell r="BO78">
            <v>61548</v>
          </cell>
          <cell r="BP78">
            <v>150294</v>
          </cell>
          <cell r="CF78">
            <v>1457965</v>
          </cell>
          <cell r="CH78">
            <v>0</v>
          </cell>
          <cell r="CI78">
            <v>0</v>
          </cell>
          <cell r="CJ78">
            <v>0</v>
          </cell>
          <cell r="CK78">
            <v>0</v>
          </cell>
          <cell r="CL78">
            <v>0</v>
          </cell>
          <cell r="CN78">
            <v>909500</v>
          </cell>
          <cell r="CO78">
            <v>90367741</v>
          </cell>
        </row>
        <row r="79">
          <cell r="A79">
            <v>394</v>
          </cell>
          <cell r="B79">
            <v>64096187</v>
          </cell>
          <cell r="C79">
            <v>1798090</v>
          </cell>
          <cell r="D79">
            <v>4605403</v>
          </cell>
          <cell r="E79">
            <v>2499056</v>
          </cell>
          <cell r="F79">
            <v>0</v>
          </cell>
          <cell r="G79">
            <v>0</v>
          </cell>
          <cell r="H79">
            <v>82915</v>
          </cell>
          <cell r="I79">
            <v>41329</v>
          </cell>
          <cell r="J79">
            <v>44456</v>
          </cell>
          <cell r="K79">
            <v>103202</v>
          </cell>
          <cell r="L79">
            <v>227797</v>
          </cell>
          <cell r="M79">
            <v>30660</v>
          </cell>
          <cell r="N79">
            <v>0</v>
          </cell>
          <cell r="O79">
            <v>894963</v>
          </cell>
          <cell r="P79">
            <v>133304</v>
          </cell>
          <cell r="Q79">
            <v>159556</v>
          </cell>
          <cell r="U79">
            <v>4642</v>
          </cell>
          <cell r="X79">
            <v>0</v>
          </cell>
          <cell r="Y79">
            <v>182265</v>
          </cell>
          <cell r="Z79">
            <v>0</v>
          </cell>
          <cell r="AA79">
            <v>0</v>
          </cell>
          <cell r="AC79">
            <v>4960</v>
          </cell>
          <cell r="AD79">
            <v>27257</v>
          </cell>
          <cell r="AE79">
            <v>0</v>
          </cell>
          <cell r="AF79">
            <v>0</v>
          </cell>
          <cell r="AG79">
            <v>3318</v>
          </cell>
          <cell r="AH79">
            <v>69168</v>
          </cell>
          <cell r="AI79">
            <v>686135</v>
          </cell>
          <cell r="AJ79">
            <v>158509</v>
          </cell>
          <cell r="AK79">
            <v>906820</v>
          </cell>
          <cell r="AL79">
            <v>0</v>
          </cell>
          <cell r="AM79">
            <v>229198</v>
          </cell>
          <cell r="AN79">
            <v>76989190</v>
          </cell>
          <cell r="BO79">
            <v>0</v>
          </cell>
          <cell r="BP79">
            <v>272900</v>
          </cell>
          <cell r="CF79">
            <v>4755790</v>
          </cell>
          <cell r="CH79">
            <v>0</v>
          </cell>
          <cell r="CI79">
            <v>0</v>
          </cell>
          <cell r="CJ79">
            <v>0</v>
          </cell>
          <cell r="CK79">
            <v>0</v>
          </cell>
          <cell r="CL79">
            <v>0</v>
          </cell>
          <cell r="CN79">
            <v>6904000</v>
          </cell>
          <cell r="CO79">
            <v>165911070</v>
          </cell>
        </row>
        <row r="80">
          <cell r="A80">
            <v>420</v>
          </cell>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U80">
            <v>0</v>
          </cell>
          <cell r="X80">
            <v>0</v>
          </cell>
          <cell r="Y80">
            <v>0</v>
          </cell>
          <cell r="Z80">
            <v>0</v>
          </cell>
          <cell r="AA80">
            <v>0</v>
          </cell>
          <cell r="AC80">
            <v>0</v>
          </cell>
          <cell r="AD80">
            <v>0</v>
          </cell>
          <cell r="AE80">
            <v>0</v>
          </cell>
          <cell r="AF80">
            <v>0</v>
          </cell>
          <cell r="AG80">
            <v>0</v>
          </cell>
          <cell r="AH80">
            <v>0</v>
          </cell>
          <cell r="AI80">
            <v>0</v>
          </cell>
          <cell r="AJ80">
            <v>0</v>
          </cell>
          <cell r="AK80">
            <v>0</v>
          </cell>
          <cell r="AL80">
            <v>0</v>
          </cell>
          <cell r="AM80">
            <v>0</v>
          </cell>
          <cell r="AN80">
            <v>0</v>
          </cell>
          <cell r="BO80">
            <v>0</v>
          </cell>
          <cell r="BP80">
            <v>0</v>
          </cell>
          <cell r="CF80">
            <v>0</v>
          </cell>
          <cell r="CH80">
            <v>0</v>
          </cell>
          <cell r="CI80">
            <v>0</v>
          </cell>
          <cell r="CJ80">
            <v>0</v>
          </cell>
          <cell r="CK80">
            <v>0</v>
          </cell>
          <cell r="CL80">
            <v>0</v>
          </cell>
          <cell r="CN80">
            <v>0</v>
          </cell>
          <cell r="CO80">
            <v>0</v>
          </cell>
        </row>
        <row r="81">
          <cell r="A81">
            <v>800</v>
          </cell>
          <cell r="B81">
            <v>39289305</v>
          </cell>
          <cell r="C81">
            <v>1261771</v>
          </cell>
          <cell r="D81">
            <v>1238503</v>
          </cell>
          <cell r="E81">
            <v>0</v>
          </cell>
          <cell r="F81">
            <v>0</v>
          </cell>
          <cell r="G81">
            <v>0</v>
          </cell>
          <cell r="H81">
            <v>0</v>
          </cell>
          <cell r="I81">
            <v>83171</v>
          </cell>
          <cell r="J81">
            <v>324054</v>
          </cell>
          <cell r="K81">
            <v>175867</v>
          </cell>
          <cell r="L81">
            <v>171929</v>
          </cell>
          <cell r="M81">
            <v>170759</v>
          </cell>
          <cell r="N81">
            <v>574671</v>
          </cell>
          <cell r="O81">
            <v>31797</v>
          </cell>
          <cell r="P81">
            <v>17239</v>
          </cell>
          <cell r="Q81">
            <v>136131</v>
          </cell>
          <cell r="U81">
            <v>11112</v>
          </cell>
          <cell r="X81">
            <v>0</v>
          </cell>
          <cell r="Y81">
            <v>0</v>
          </cell>
          <cell r="Z81">
            <v>0</v>
          </cell>
          <cell r="AA81">
            <v>0</v>
          </cell>
          <cell r="AC81">
            <v>10333</v>
          </cell>
          <cell r="AD81">
            <v>0</v>
          </cell>
          <cell r="AE81">
            <v>854</v>
          </cell>
          <cell r="AF81">
            <v>0</v>
          </cell>
          <cell r="AG81">
            <v>0</v>
          </cell>
          <cell r="AH81">
            <v>117176</v>
          </cell>
          <cell r="AI81">
            <v>1008667</v>
          </cell>
          <cell r="AJ81">
            <v>838473</v>
          </cell>
          <cell r="AK81">
            <v>0</v>
          </cell>
          <cell r="AL81">
            <v>0</v>
          </cell>
          <cell r="AM81">
            <v>250701</v>
          </cell>
          <cell r="AN81">
            <v>45712513</v>
          </cell>
          <cell r="BO81">
            <v>285</v>
          </cell>
          <cell r="BP81">
            <v>1447143</v>
          </cell>
          <cell r="CF81">
            <v>6494082</v>
          </cell>
          <cell r="CH81">
            <v>12435</v>
          </cell>
          <cell r="CI81">
            <v>14022</v>
          </cell>
          <cell r="CJ81">
            <v>13790</v>
          </cell>
          <cell r="CK81">
            <v>198520</v>
          </cell>
          <cell r="CL81">
            <v>0</v>
          </cell>
          <cell r="CN81">
            <v>2977135</v>
          </cell>
          <cell r="CO81">
            <v>102582438</v>
          </cell>
        </row>
        <row r="82">
          <cell r="A82">
            <v>801</v>
          </cell>
          <cell r="B82">
            <v>55746645</v>
          </cell>
          <cell r="C82">
            <v>1669330</v>
          </cell>
          <cell r="D82">
            <v>5884933</v>
          </cell>
          <cell r="E82">
            <v>3243996</v>
          </cell>
          <cell r="F82">
            <v>0</v>
          </cell>
          <cell r="G82">
            <v>0</v>
          </cell>
          <cell r="H82">
            <v>77000</v>
          </cell>
          <cell r="I82">
            <v>128378</v>
          </cell>
          <cell r="J82">
            <v>0</v>
          </cell>
          <cell r="K82">
            <v>111709</v>
          </cell>
          <cell r="L82">
            <v>29259</v>
          </cell>
          <cell r="M82">
            <v>608893</v>
          </cell>
          <cell r="N82">
            <v>0</v>
          </cell>
          <cell r="O82">
            <v>1889546</v>
          </cell>
          <cell r="P82">
            <v>253679</v>
          </cell>
          <cell r="Q82">
            <v>699057</v>
          </cell>
          <cell r="U82">
            <v>26348</v>
          </cell>
          <cell r="X82">
            <v>0</v>
          </cell>
          <cell r="Y82">
            <v>364160</v>
          </cell>
          <cell r="Z82">
            <v>0</v>
          </cell>
          <cell r="AA82">
            <v>0</v>
          </cell>
          <cell r="AC82">
            <v>142902</v>
          </cell>
          <cell r="AD82">
            <v>8251</v>
          </cell>
          <cell r="AE82">
            <v>34172</v>
          </cell>
          <cell r="AF82">
            <v>81428</v>
          </cell>
          <cell r="AG82">
            <v>1255</v>
          </cell>
          <cell r="AH82">
            <v>284164</v>
          </cell>
          <cell r="AI82">
            <v>385037</v>
          </cell>
          <cell r="AJ82">
            <v>1293198</v>
          </cell>
          <cell r="AK82">
            <v>0</v>
          </cell>
          <cell r="AL82">
            <v>0</v>
          </cell>
          <cell r="AM82">
            <v>257221</v>
          </cell>
          <cell r="AN82">
            <v>73220561</v>
          </cell>
          <cell r="BO82">
            <v>47221</v>
          </cell>
          <cell r="BP82">
            <v>779096</v>
          </cell>
          <cell r="CF82">
            <v>4915169</v>
          </cell>
          <cell r="CH82">
            <v>0</v>
          </cell>
          <cell r="CI82">
            <v>0</v>
          </cell>
          <cell r="CJ82">
            <v>0</v>
          </cell>
          <cell r="CK82">
            <v>0</v>
          </cell>
          <cell r="CL82">
            <v>0</v>
          </cell>
          <cell r="CN82">
            <v>36144575</v>
          </cell>
          <cell r="CO82">
            <v>188327183</v>
          </cell>
        </row>
        <row r="83">
          <cell r="A83">
            <v>802</v>
          </cell>
          <cell r="B83">
            <v>38822272</v>
          </cell>
          <cell r="C83">
            <v>1061571</v>
          </cell>
          <cell r="D83">
            <v>1444236</v>
          </cell>
          <cell r="E83">
            <v>585247</v>
          </cell>
          <cell r="F83">
            <v>0</v>
          </cell>
          <cell r="G83">
            <v>0</v>
          </cell>
          <cell r="H83">
            <v>75000</v>
          </cell>
          <cell r="I83">
            <v>383915</v>
          </cell>
          <cell r="J83">
            <v>0</v>
          </cell>
          <cell r="K83">
            <v>57966</v>
          </cell>
          <cell r="L83">
            <v>231767</v>
          </cell>
          <cell r="M83">
            <v>0</v>
          </cell>
          <cell r="N83">
            <v>0</v>
          </cell>
          <cell r="O83">
            <v>841345</v>
          </cell>
          <cell r="P83">
            <v>6139</v>
          </cell>
          <cell r="Q83">
            <v>382367</v>
          </cell>
          <cell r="U83">
            <v>11667</v>
          </cell>
          <cell r="X83">
            <v>0</v>
          </cell>
          <cell r="Y83">
            <v>291420</v>
          </cell>
          <cell r="Z83">
            <v>0</v>
          </cell>
          <cell r="AA83">
            <v>0</v>
          </cell>
          <cell r="AC83">
            <v>85630</v>
          </cell>
          <cell r="AD83">
            <v>19057</v>
          </cell>
          <cell r="AE83">
            <v>62700</v>
          </cell>
          <cell r="AF83">
            <v>10591</v>
          </cell>
          <cell r="AG83">
            <v>39246</v>
          </cell>
          <cell r="AH83">
            <v>119143</v>
          </cell>
          <cell r="AI83">
            <v>786041</v>
          </cell>
          <cell r="AJ83">
            <v>1162719</v>
          </cell>
          <cell r="AK83">
            <v>0</v>
          </cell>
          <cell r="AL83">
            <v>0</v>
          </cell>
          <cell r="AM83">
            <v>616433</v>
          </cell>
          <cell r="AN83">
            <v>47096472</v>
          </cell>
          <cell r="BO83">
            <v>31760</v>
          </cell>
          <cell r="BP83">
            <v>1581230</v>
          </cell>
          <cell r="CF83">
            <v>5868166</v>
          </cell>
          <cell r="CH83">
            <v>90105</v>
          </cell>
          <cell r="CI83">
            <v>0</v>
          </cell>
          <cell r="CJ83">
            <v>0</v>
          </cell>
          <cell r="CK83">
            <v>0</v>
          </cell>
          <cell r="CL83">
            <v>0</v>
          </cell>
          <cell r="CN83">
            <v>6979230</v>
          </cell>
          <cell r="CO83">
            <v>108743435</v>
          </cell>
        </row>
        <row r="84">
          <cell r="A84">
            <v>803</v>
          </cell>
          <cell r="B84">
            <v>52985000</v>
          </cell>
          <cell r="C84">
            <v>1477000</v>
          </cell>
          <cell r="D84">
            <v>2268000</v>
          </cell>
          <cell r="E84">
            <v>0</v>
          </cell>
          <cell r="F84">
            <v>0</v>
          </cell>
          <cell r="G84">
            <v>0</v>
          </cell>
          <cell r="H84">
            <v>47000</v>
          </cell>
          <cell r="I84">
            <v>122000</v>
          </cell>
          <cell r="J84">
            <v>0</v>
          </cell>
          <cell r="K84">
            <v>148000</v>
          </cell>
          <cell r="L84">
            <v>14000</v>
          </cell>
          <cell r="M84">
            <v>93000</v>
          </cell>
          <cell r="N84">
            <v>0</v>
          </cell>
          <cell r="O84">
            <v>1112000</v>
          </cell>
          <cell r="P84">
            <v>285000</v>
          </cell>
          <cell r="Q84">
            <v>728000</v>
          </cell>
          <cell r="U84">
            <v>21000</v>
          </cell>
          <cell r="X84">
            <v>0</v>
          </cell>
          <cell r="Y84">
            <v>0</v>
          </cell>
          <cell r="Z84">
            <v>0</v>
          </cell>
          <cell r="AA84">
            <v>0</v>
          </cell>
          <cell r="AC84">
            <v>136000</v>
          </cell>
          <cell r="AD84">
            <v>0</v>
          </cell>
          <cell r="AE84">
            <v>209000</v>
          </cell>
          <cell r="AF84">
            <v>18000</v>
          </cell>
          <cell r="AG84">
            <v>3000</v>
          </cell>
          <cell r="AH84">
            <v>168000</v>
          </cell>
          <cell r="AI84">
            <v>490000</v>
          </cell>
          <cell r="AJ84">
            <v>1446000</v>
          </cell>
          <cell r="AK84">
            <v>0</v>
          </cell>
          <cell r="AL84">
            <v>0</v>
          </cell>
          <cell r="AM84">
            <v>0</v>
          </cell>
          <cell r="AN84">
            <v>61770000</v>
          </cell>
          <cell r="BO84">
            <v>12000</v>
          </cell>
          <cell r="BP84">
            <v>1301000</v>
          </cell>
          <cell r="CF84">
            <v>9330000</v>
          </cell>
          <cell r="CH84">
            <v>0</v>
          </cell>
          <cell r="CI84">
            <v>0</v>
          </cell>
          <cell r="CJ84">
            <v>0</v>
          </cell>
          <cell r="CK84">
            <v>0</v>
          </cell>
          <cell r="CL84">
            <v>0</v>
          </cell>
          <cell r="CN84">
            <v>16063000</v>
          </cell>
          <cell r="CO84">
            <v>150246000</v>
          </cell>
        </row>
        <row r="85">
          <cell r="A85">
            <v>805</v>
          </cell>
          <cell r="B85">
            <v>20569658</v>
          </cell>
          <cell r="C85">
            <v>592000</v>
          </cell>
          <cell r="D85">
            <v>2784946</v>
          </cell>
          <cell r="E85">
            <v>1157984</v>
          </cell>
          <cell r="F85">
            <v>0</v>
          </cell>
          <cell r="G85">
            <v>0</v>
          </cell>
          <cell r="H85">
            <v>200000</v>
          </cell>
          <cell r="I85">
            <v>77620</v>
          </cell>
          <cell r="J85">
            <v>10279</v>
          </cell>
          <cell r="K85">
            <v>52408</v>
          </cell>
          <cell r="L85">
            <v>48212</v>
          </cell>
          <cell r="M85">
            <v>0</v>
          </cell>
          <cell r="N85">
            <v>0</v>
          </cell>
          <cell r="O85">
            <v>804089</v>
          </cell>
          <cell r="P85">
            <v>186681</v>
          </cell>
          <cell r="Q85">
            <v>73390</v>
          </cell>
          <cell r="U85">
            <v>11234</v>
          </cell>
          <cell r="X85">
            <v>0</v>
          </cell>
          <cell r="Y85">
            <v>0</v>
          </cell>
          <cell r="Z85">
            <v>0</v>
          </cell>
          <cell r="AA85">
            <v>0</v>
          </cell>
          <cell r="AC85">
            <v>48510</v>
          </cell>
          <cell r="AD85">
            <v>13825</v>
          </cell>
          <cell r="AE85">
            <v>7668</v>
          </cell>
          <cell r="AF85">
            <v>19947</v>
          </cell>
          <cell r="AG85">
            <v>875</v>
          </cell>
          <cell r="AH85">
            <v>22223</v>
          </cell>
          <cell r="AI85">
            <v>211298</v>
          </cell>
          <cell r="AJ85">
            <v>438182</v>
          </cell>
          <cell r="AK85">
            <v>0</v>
          </cell>
          <cell r="AL85">
            <v>0</v>
          </cell>
          <cell r="AM85">
            <v>287608</v>
          </cell>
          <cell r="AN85">
            <v>27618637</v>
          </cell>
          <cell r="BO85">
            <v>3439</v>
          </cell>
          <cell r="BP85">
            <v>243191</v>
          </cell>
          <cell r="CF85">
            <v>1247681</v>
          </cell>
          <cell r="CH85">
            <v>0</v>
          </cell>
          <cell r="CI85">
            <v>0</v>
          </cell>
          <cell r="CJ85">
            <v>0</v>
          </cell>
          <cell r="CK85">
            <v>0</v>
          </cell>
          <cell r="CL85">
            <v>0</v>
          </cell>
          <cell r="CN85">
            <v>1157190</v>
          </cell>
          <cell r="CO85">
            <v>57888775</v>
          </cell>
        </row>
        <row r="86">
          <cell r="A86">
            <v>806</v>
          </cell>
          <cell r="B86">
            <v>18682663</v>
          </cell>
          <cell r="C86">
            <v>592000</v>
          </cell>
          <cell r="D86">
            <v>3563359</v>
          </cell>
          <cell r="E86">
            <v>1192734</v>
          </cell>
          <cell r="F86">
            <v>0</v>
          </cell>
          <cell r="G86">
            <v>0</v>
          </cell>
          <cell r="H86">
            <v>0</v>
          </cell>
          <cell r="I86">
            <v>1431377</v>
          </cell>
          <cell r="J86">
            <v>0</v>
          </cell>
          <cell r="K86">
            <v>377583</v>
          </cell>
          <cell r="L86">
            <v>12950</v>
          </cell>
          <cell r="M86">
            <v>82657</v>
          </cell>
          <cell r="N86">
            <v>0</v>
          </cell>
          <cell r="O86">
            <v>1509551</v>
          </cell>
          <cell r="P86">
            <v>254326</v>
          </cell>
          <cell r="Q86">
            <v>0</v>
          </cell>
          <cell r="U86">
            <v>11500</v>
          </cell>
          <cell r="X86">
            <v>0</v>
          </cell>
          <cell r="Y86">
            <v>0</v>
          </cell>
          <cell r="Z86">
            <v>0</v>
          </cell>
          <cell r="AA86">
            <v>0</v>
          </cell>
          <cell r="AC86">
            <v>68899</v>
          </cell>
          <cell r="AD86">
            <v>0</v>
          </cell>
          <cell r="AE86">
            <v>0</v>
          </cell>
          <cell r="AF86">
            <v>9608</v>
          </cell>
          <cell r="AG86">
            <v>1210</v>
          </cell>
          <cell r="AH86">
            <v>31637</v>
          </cell>
          <cell r="AI86">
            <v>1059129</v>
          </cell>
          <cell r="AJ86">
            <v>732607</v>
          </cell>
          <cell r="AK86">
            <v>1032342</v>
          </cell>
          <cell r="AL86">
            <v>0</v>
          </cell>
          <cell r="AM86">
            <v>121844</v>
          </cell>
          <cell r="AN86">
            <v>30767976</v>
          </cell>
          <cell r="BO86">
            <v>66357</v>
          </cell>
          <cell r="BP86">
            <v>537076</v>
          </cell>
          <cell r="CF86">
            <v>0</v>
          </cell>
          <cell r="CH86">
            <v>0</v>
          </cell>
          <cell r="CI86">
            <v>0</v>
          </cell>
          <cell r="CJ86">
            <v>0</v>
          </cell>
          <cell r="CK86">
            <v>0</v>
          </cell>
          <cell r="CL86">
            <v>0</v>
          </cell>
          <cell r="CN86">
            <v>4078390</v>
          </cell>
          <cell r="CO86">
            <v>66217775</v>
          </cell>
        </row>
        <row r="87">
          <cell r="A87">
            <v>807</v>
          </cell>
          <cell r="B87">
            <v>31763994</v>
          </cell>
          <cell r="C87">
            <v>1060641</v>
          </cell>
          <cell r="D87">
            <v>2958100</v>
          </cell>
          <cell r="E87">
            <v>2133640</v>
          </cell>
          <cell r="F87">
            <v>0</v>
          </cell>
          <cell r="G87">
            <v>0</v>
          </cell>
          <cell r="H87">
            <v>0</v>
          </cell>
          <cell r="I87">
            <v>246650</v>
          </cell>
          <cell r="J87">
            <v>7140</v>
          </cell>
          <cell r="K87">
            <v>56312</v>
          </cell>
          <cell r="L87">
            <v>48300</v>
          </cell>
          <cell r="M87">
            <v>0</v>
          </cell>
          <cell r="N87">
            <v>0</v>
          </cell>
          <cell r="O87">
            <v>333256</v>
          </cell>
          <cell r="P87">
            <v>142527</v>
          </cell>
          <cell r="Q87">
            <v>689500</v>
          </cell>
          <cell r="U87">
            <v>19320</v>
          </cell>
          <cell r="X87">
            <v>0</v>
          </cell>
          <cell r="Y87">
            <v>216740</v>
          </cell>
          <cell r="Z87">
            <v>0</v>
          </cell>
          <cell r="AA87">
            <v>0</v>
          </cell>
          <cell r="AC87">
            <v>58796</v>
          </cell>
          <cell r="AD87">
            <v>17724</v>
          </cell>
          <cell r="AE87">
            <v>48524</v>
          </cell>
          <cell r="AF87">
            <v>27300</v>
          </cell>
          <cell r="AG87">
            <v>6300</v>
          </cell>
          <cell r="AH87">
            <v>2669</v>
          </cell>
          <cell r="AI87">
            <v>109708</v>
          </cell>
          <cell r="AJ87">
            <v>1098902</v>
          </cell>
          <cell r="AK87">
            <v>71150</v>
          </cell>
          <cell r="AL87">
            <v>0</v>
          </cell>
          <cell r="AM87">
            <v>829342</v>
          </cell>
          <cell r="AN87">
            <v>41946535</v>
          </cell>
          <cell r="BO87">
            <v>44688</v>
          </cell>
          <cell r="BP87">
            <v>427333</v>
          </cell>
          <cell r="CF87">
            <v>542475</v>
          </cell>
          <cell r="CH87">
            <v>0</v>
          </cell>
          <cell r="CI87">
            <v>0</v>
          </cell>
          <cell r="CJ87">
            <v>0</v>
          </cell>
          <cell r="CK87">
            <v>0</v>
          </cell>
          <cell r="CL87">
            <v>0</v>
          </cell>
          <cell r="CN87">
            <v>5254400</v>
          </cell>
          <cell r="CO87">
            <v>90161966</v>
          </cell>
        </row>
        <row r="88">
          <cell r="A88">
            <v>808</v>
          </cell>
          <cell r="B88">
            <v>38345927</v>
          </cell>
          <cell r="C88">
            <v>1352696</v>
          </cell>
          <cell r="D88">
            <v>3647728</v>
          </cell>
          <cell r="E88">
            <v>1423856</v>
          </cell>
          <cell r="F88">
            <v>0</v>
          </cell>
          <cell r="G88">
            <v>0</v>
          </cell>
          <cell r="H88">
            <v>0</v>
          </cell>
          <cell r="I88">
            <v>601732</v>
          </cell>
          <cell r="J88">
            <v>0</v>
          </cell>
          <cell r="K88">
            <v>108824</v>
          </cell>
          <cell r="L88">
            <v>16685</v>
          </cell>
          <cell r="M88">
            <v>262929</v>
          </cell>
          <cell r="N88">
            <v>0</v>
          </cell>
          <cell r="O88">
            <v>859187</v>
          </cell>
          <cell r="P88">
            <v>168490</v>
          </cell>
          <cell r="Q88">
            <v>94761</v>
          </cell>
          <cell r="U88">
            <v>10930</v>
          </cell>
          <cell r="X88">
            <v>0</v>
          </cell>
          <cell r="Y88">
            <v>0</v>
          </cell>
          <cell r="Z88">
            <v>0</v>
          </cell>
          <cell r="AA88">
            <v>0</v>
          </cell>
          <cell r="AC88">
            <v>51844</v>
          </cell>
          <cell r="AD88">
            <v>20672</v>
          </cell>
          <cell r="AE88">
            <v>18096</v>
          </cell>
          <cell r="AF88">
            <v>12096</v>
          </cell>
          <cell r="AG88">
            <v>1847</v>
          </cell>
          <cell r="AH88">
            <v>2407</v>
          </cell>
          <cell r="AI88">
            <v>27570</v>
          </cell>
          <cell r="AJ88">
            <v>1157916</v>
          </cell>
          <cell r="AK88">
            <v>738378</v>
          </cell>
          <cell r="AL88">
            <v>0</v>
          </cell>
          <cell r="AM88">
            <v>463583</v>
          </cell>
          <cell r="AN88">
            <v>49388154</v>
          </cell>
          <cell r="BO88">
            <v>53044</v>
          </cell>
          <cell r="BP88">
            <v>657698</v>
          </cell>
          <cell r="CF88">
            <v>1975973</v>
          </cell>
          <cell r="CH88">
            <v>0</v>
          </cell>
          <cell r="CI88">
            <v>0</v>
          </cell>
          <cell r="CJ88">
            <v>0</v>
          </cell>
          <cell r="CK88">
            <v>0</v>
          </cell>
          <cell r="CL88">
            <v>0</v>
          </cell>
          <cell r="CN88">
            <v>3968584</v>
          </cell>
          <cell r="CO88">
            <v>105431607</v>
          </cell>
        </row>
        <row r="89">
          <cell r="A89">
            <v>810</v>
          </cell>
          <cell r="B89">
            <v>51736081</v>
          </cell>
          <cell r="C89">
            <v>1504827</v>
          </cell>
          <cell r="D89">
            <v>5623107</v>
          </cell>
          <cell r="E89">
            <v>2977124</v>
          </cell>
          <cell r="F89">
            <v>0</v>
          </cell>
          <cell r="G89">
            <v>0</v>
          </cell>
          <cell r="H89">
            <v>102363</v>
          </cell>
          <cell r="I89">
            <v>1129207</v>
          </cell>
          <cell r="J89">
            <v>750909</v>
          </cell>
          <cell r="K89">
            <v>0</v>
          </cell>
          <cell r="L89">
            <v>0</v>
          </cell>
          <cell r="M89">
            <v>330365</v>
          </cell>
          <cell r="N89">
            <v>0</v>
          </cell>
          <cell r="O89">
            <v>1659884</v>
          </cell>
          <cell r="P89">
            <v>18256</v>
          </cell>
          <cell r="Q89">
            <v>52755</v>
          </cell>
          <cell r="U89">
            <v>30651</v>
          </cell>
          <cell r="X89">
            <v>0</v>
          </cell>
          <cell r="Y89">
            <v>0</v>
          </cell>
          <cell r="Z89">
            <v>0</v>
          </cell>
          <cell r="AA89">
            <v>29598</v>
          </cell>
          <cell r="AC89">
            <v>145633</v>
          </cell>
          <cell r="AD89">
            <v>34145</v>
          </cell>
          <cell r="AE89">
            <v>28653</v>
          </cell>
          <cell r="AF89">
            <v>4588</v>
          </cell>
          <cell r="AG89">
            <v>2159</v>
          </cell>
          <cell r="AH89">
            <v>17527</v>
          </cell>
          <cell r="AI89">
            <v>431788</v>
          </cell>
          <cell r="AJ89">
            <v>1438672</v>
          </cell>
          <cell r="AK89">
            <v>246971</v>
          </cell>
          <cell r="AL89">
            <v>0</v>
          </cell>
          <cell r="AM89">
            <v>0</v>
          </cell>
          <cell r="AN89">
            <v>68295263</v>
          </cell>
          <cell r="BO89">
            <v>80494</v>
          </cell>
          <cell r="BP89">
            <v>970129</v>
          </cell>
          <cell r="CF89">
            <v>1266857</v>
          </cell>
          <cell r="CH89">
            <v>0</v>
          </cell>
          <cell r="CI89">
            <v>0</v>
          </cell>
          <cell r="CJ89">
            <v>0</v>
          </cell>
          <cell r="CK89">
            <v>0</v>
          </cell>
          <cell r="CL89">
            <v>0</v>
          </cell>
          <cell r="CN89">
            <v>6370087</v>
          </cell>
          <cell r="CO89">
            <v>145278093</v>
          </cell>
        </row>
        <row r="90">
          <cell r="A90">
            <v>811</v>
          </cell>
          <cell r="B90">
            <v>71290930</v>
          </cell>
          <cell r="C90">
            <v>1954072</v>
          </cell>
          <cell r="D90">
            <v>4822701</v>
          </cell>
          <cell r="E90">
            <v>0</v>
          </cell>
          <cell r="F90">
            <v>0</v>
          </cell>
          <cell r="G90">
            <v>0</v>
          </cell>
          <cell r="H90">
            <v>0</v>
          </cell>
          <cell r="I90">
            <v>1019438</v>
          </cell>
          <cell r="J90">
            <v>361685</v>
          </cell>
          <cell r="K90">
            <v>0</v>
          </cell>
          <cell r="L90">
            <v>0</v>
          </cell>
          <cell r="M90">
            <v>218938</v>
          </cell>
          <cell r="N90">
            <v>0</v>
          </cell>
          <cell r="O90">
            <v>179808</v>
          </cell>
          <cell r="P90">
            <v>397435</v>
          </cell>
          <cell r="Q90">
            <v>117629</v>
          </cell>
          <cell r="U90">
            <v>0</v>
          </cell>
          <cell r="X90">
            <v>0</v>
          </cell>
          <cell r="Y90">
            <v>97459</v>
          </cell>
          <cell r="Z90">
            <v>0</v>
          </cell>
          <cell r="AA90">
            <v>0</v>
          </cell>
          <cell r="AC90">
            <v>256480</v>
          </cell>
          <cell r="AD90">
            <v>24706</v>
          </cell>
          <cell r="AE90">
            <v>54312</v>
          </cell>
          <cell r="AF90">
            <v>0</v>
          </cell>
          <cell r="AG90">
            <v>3792</v>
          </cell>
          <cell r="AH90">
            <v>222120</v>
          </cell>
          <cell r="AI90">
            <v>993042</v>
          </cell>
          <cell r="AJ90">
            <v>2554795</v>
          </cell>
          <cell r="AK90">
            <v>0</v>
          </cell>
          <cell r="AL90">
            <v>0</v>
          </cell>
          <cell r="AM90">
            <v>622901</v>
          </cell>
          <cell r="AN90">
            <v>85192243</v>
          </cell>
          <cell r="BO90">
            <v>39709</v>
          </cell>
          <cell r="BP90">
            <v>3585490</v>
          </cell>
          <cell r="CF90">
            <v>12150084</v>
          </cell>
          <cell r="CH90">
            <v>0</v>
          </cell>
          <cell r="CI90">
            <v>0</v>
          </cell>
          <cell r="CJ90">
            <v>0</v>
          </cell>
          <cell r="CK90">
            <v>0</v>
          </cell>
          <cell r="CL90">
            <v>0</v>
          </cell>
          <cell r="CN90">
            <v>9972000</v>
          </cell>
          <cell r="CO90">
            <v>196131769</v>
          </cell>
        </row>
        <row r="91">
          <cell r="A91">
            <v>812</v>
          </cell>
          <cell r="B91">
            <v>36998670</v>
          </cell>
          <cell r="C91">
            <v>1170603</v>
          </cell>
          <cell r="D91">
            <v>1690215</v>
          </cell>
          <cell r="E91">
            <v>414276</v>
          </cell>
          <cell r="F91">
            <v>202679</v>
          </cell>
          <cell r="G91">
            <v>0</v>
          </cell>
          <cell r="H91">
            <v>0</v>
          </cell>
          <cell r="I91">
            <v>720496</v>
          </cell>
          <cell r="J91">
            <v>477203</v>
          </cell>
          <cell r="K91">
            <v>0</v>
          </cell>
          <cell r="L91">
            <v>0</v>
          </cell>
          <cell r="M91">
            <v>79228</v>
          </cell>
          <cell r="N91">
            <v>0</v>
          </cell>
          <cell r="O91">
            <v>430562</v>
          </cell>
          <cell r="P91">
            <v>18533</v>
          </cell>
          <cell r="Q91">
            <v>100717</v>
          </cell>
          <cell r="U91">
            <v>29426</v>
          </cell>
          <cell r="X91">
            <v>0</v>
          </cell>
          <cell r="Y91">
            <v>179034</v>
          </cell>
          <cell r="Z91">
            <v>0</v>
          </cell>
          <cell r="AA91">
            <v>0</v>
          </cell>
          <cell r="AC91">
            <v>122009</v>
          </cell>
          <cell r="AD91">
            <v>115497</v>
          </cell>
          <cell r="AE91">
            <v>253613</v>
          </cell>
          <cell r="AF91">
            <v>69450</v>
          </cell>
          <cell r="AG91">
            <v>4944</v>
          </cell>
          <cell r="AH91">
            <v>82484</v>
          </cell>
          <cell r="AI91">
            <v>928965</v>
          </cell>
          <cell r="AJ91">
            <v>868377</v>
          </cell>
          <cell r="AK91">
            <v>185871</v>
          </cell>
          <cell r="AL91">
            <v>0</v>
          </cell>
          <cell r="AM91">
            <v>131875</v>
          </cell>
          <cell r="AN91">
            <v>45274727</v>
          </cell>
          <cell r="BO91">
            <v>248922</v>
          </cell>
          <cell r="BP91">
            <v>289342</v>
          </cell>
          <cell r="CF91">
            <v>1620722</v>
          </cell>
          <cell r="CH91">
            <v>0</v>
          </cell>
          <cell r="CI91">
            <v>0</v>
          </cell>
          <cell r="CJ91">
            <v>0</v>
          </cell>
          <cell r="CK91">
            <v>0</v>
          </cell>
          <cell r="CL91">
            <v>0</v>
          </cell>
          <cell r="CN91">
            <v>4307965</v>
          </cell>
          <cell r="CO91">
            <v>97016405</v>
          </cell>
        </row>
        <row r="92">
          <cell r="A92">
            <v>813</v>
          </cell>
          <cell r="B92">
            <v>32288485</v>
          </cell>
          <cell r="C92">
            <v>1315386</v>
          </cell>
          <cell r="D92">
            <v>1895017</v>
          </cell>
          <cell r="E92">
            <v>558266</v>
          </cell>
          <cell r="F92">
            <v>0</v>
          </cell>
          <cell r="G92">
            <v>0</v>
          </cell>
          <cell r="H92">
            <v>462077</v>
          </cell>
          <cell r="I92">
            <v>223354</v>
          </cell>
          <cell r="J92">
            <v>131822</v>
          </cell>
          <cell r="K92">
            <v>0</v>
          </cell>
          <cell r="L92">
            <v>73722</v>
          </cell>
          <cell r="M92">
            <v>338457</v>
          </cell>
          <cell r="N92">
            <v>1056021</v>
          </cell>
          <cell r="O92">
            <v>414861</v>
          </cell>
          <cell r="P92">
            <v>81432</v>
          </cell>
          <cell r="Q92">
            <v>186815</v>
          </cell>
          <cell r="U92">
            <v>9108</v>
          </cell>
          <cell r="X92">
            <v>0</v>
          </cell>
          <cell r="Y92">
            <v>0</v>
          </cell>
          <cell r="Z92">
            <v>0</v>
          </cell>
          <cell r="AA92">
            <v>8473</v>
          </cell>
          <cell r="AC92">
            <v>29707</v>
          </cell>
          <cell r="AD92">
            <v>28323</v>
          </cell>
          <cell r="AE92">
            <v>0</v>
          </cell>
          <cell r="AF92">
            <v>20643</v>
          </cell>
          <cell r="AG92">
            <v>1018</v>
          </cell>
          <cell r="AH92">
            <v>67914</v>
          </cell>
          <cell r="AI92">
            <v>293067</v>
          </cell>
          <cell r="AJ92">
            <v>1058644</v>
          </cell>
          <cell r="AK92">
            <v>27641</v>
          </cell>
          <cell r="AL92">
            <v>0</v>
          </cell>
          <cell r="AM92">
            <v>1171971</v>
          </cell>
          <cell r="AN92">
            <v>41742224</v>
          </cell>
          <cell r="BO92">
            <v>58952</v>
          </cell>
          <cell r="BP92">
            <v>1535277</v>
          </cell>
          <cell r="CF92">
            <v>908992</v>
          </cell>
          <cell r="CH92">
            <v>0</v>
          </cell>
          <cell r="CI92">
            <v>0</v>
          </cell>
          <cell r="CJ92">
            <v>0</v>
          </cell>
          <cell r="CK92">
            <v>188043</v>
          </cell>
          <cell r="CL92">
            <v>0</v>
          </cell>
          <cell r="CN92">
            <v>2881122</v>
          </cell>
          <cell r="CO92">
            <v>89056834</v>
          </cell>
        </row>
        <row r="93">
          <cell r="A93">
            <v>815</v>
          </cell>
          <cell r="B93">
            <v>130641632</v>
          </cell>
          <cell r="C93">
            <v>4524010</v>
          </cell>
          <cell r="D93">
            <v>4055264</v>
          </cell>
          <cell r="E93">
            <v>0</v>
          </cell>
          <cell r="F93">
            <v>0</v>
          </cell>
          <cell r="G93">
            <v>0</v>
          </cell>
          <cell r="H93">
            <v>143000</v>
          </cell>
          <cell r="I93">
            <v>2567569</v>
          </cell>
          <cell r="J93">
            <v>385987</v>
          </cell>
          <cell r="K93">
            <v>0</v>
          </cell>
          <cell r="L93">
            <v>82945</v>
          </cell>
          <cell r="M93">
            <v>7784</v>
          </cell>
          <cell r="N93">
            <v>0</v>
          </cell>
          <cell r="O93">
            <v>723272</v>
          </cell>
          <cell r="P93">
            <v>154979</v>
          </cell>
          <cell r="Q93">
            <v>1319014</v>
          </cell>
          <cell r="U93">
            <v>93093</v>
          </cell>
          <cell r="X93">
            <v>0</v>
          </cell>
          <cell r="Y93">
            <v>0</v>
          </cell>
          <cell r="Z93">
            <v>0</v>
          </cell>
          <cell r="AA93">
            <v>0</v>
          </cell>
          <cell r="AC93">
            <v>574319</v>
          </cell>
          <cell r="AD93">
            <v>61094</v>
          </cell>
          <cell r="AE93">
            <v>844516</v>
          </cell>
          <cell r="AF93">
            <v>0</v>
          </cell>
          <cell r="AG93">
            <v>14000</v>
          </cell>
          <cell r="AH93">
            <v>50289</v>
          </cell>
          <cell r="AI93">
            <v>210967</v>
          </cell>
          <cell r="AJ93">
            <v>0</v>
          </cell>
          <cell r="AK93">
            <v>0</v>
          </cell>
          <cell r="AL93">
            <v>0</v>
          </cell>
          <cell r="AM93">
            <v>7985068</v>
          </cell>
          <cell r="AN93">
            <v>154438802</v>
          </cell>
          <cell r="BO93">
            <v>80284</v>
          </cell>
          <cell r="BP93">
            <v>8470573</v>
          </cell>
          <cell r="CF93">
            <v>23797703</v>
          </cell>
          <cell r="CH93">
            <v>0</v>
          </cell>
          <cell r="CI93">
            <v>0</v>
          </cell>
          <cell r="CJ93">
            <v>0</v>
          </cell>
          <cell r="CK93">
            <v>0</v>
          </cell>
          <cell r="CL93">
            <v>0</v>
          </cell>
          <cell r="CN93">
            <v>15883000</v>
          </cell>
          <cell r="CO93">
            <v>357109164</v>
          </cell>
        </row>
        <row r="94">
          <cell r="A94">
            <v>816</v>
          </cell>
          <cell r="B94">
            <v>31377508</v>
          </cell>
          <cell r="C94">
            <v>1082842</v>
          </cell>
          <cell r="D94">
            <v>2967115</v>
          </cell>
          <cell r="E94">
            <v>0</v>
          </cell>
          <cell r="F94">
            <v>0</v>
          </cell>
          <cell r="G94">
            <v>0</v>
          </cell>
          <cell r="H94">
            <v>291923</v>
          </cell>
          <cell r="I94">
            <v>799443</v>
          </cell>
          <cell r="J94">
            <v>374209</v>
          </cell>
          <cell r="K94">
            <v>6127</v>
          </cell>
          <cell r="L94">
            <v>79014</v>
          </cell>
          <cell r="M94">
            <v>0</v>
          </cell>
          <cell r="N94">
            <v>0</v>
          </cell>
          <cell r="O94">
            <v>798117</v>
          </cell>
          <cell r="P94">
            <v>166877</v>
          </cell>
          <cell r="Q94">
            <v>131575</v>
          </cell>
          <cell r="U94">
            <v>25184</v>
          </cell>
          <cell r="X94">
            <v>0</v>
          </cell>
          <cell r="Y94">
            <v>37953</v>
          </cell>
          <cell r="Z94">
            <v>0</v>
          </cell>
          <cell r="AA94">
            <v>0</v>
          </cell>
          <cell r="AC94">
            <v>61341</v>
          </cell>
          <cell r="AD94">
            <v>13965</v>
          </cell>
          <cell r="AE94">
            <v>23363</v>
          </cell>
          <cell r="AF94">
            <v>0</v>
          </cell>
          <cell r="AG94">
            <v>8706</v>
          </cell>
          <cell r="AH94">
            <v>41818</v>
          </cell>
          <cell r="AI94">
            <v>684001</v>
          </cell>
          <cell r="AJ94">
            <v>1119280</v>
          </cell>
          <cell r="AK94">
            <v>0</v>
          </cell>
          <cell r="AL94">
            <v>0</v>
          </cell>
          <cell r="AM94">
            <v>164975</v>
          </cell>
          <cell r="AN94">
            <v>40255336</v>
          </cell>
          <cell r="BO94">
            <v>17141</v>
          </cell>
          <cell r="BP94">
            <v>1148153</v>
          </cell>
          <cell r="CF94">
            <v>4132030</v>
          </cell>
          <cell r="CH94">
            <v>126732</v>
          </cell>
          <cell r="CI94">
            <v>61568</v>
          </cell>
          <cell r="CJ94">
            <v>1266</v>
          </cell>
          <cell r="CK94">
            <v>0</v>
          </cell>
          <cell r="CL94">
            <v>0</v>
          </cell>
          <cell r="CN94">
            <v>5723119</v>
          </cell>
          <cell r="CO94">
            <v>91720681</v>
          </cell>
        </row>
        <row r="95">
          <cell r="A95">
            <v>820</v>
          </cell>
          <cell r="B95">
            <v>106723721</v>
          </cell>
          <cell r="C95">
            <v>5078971</v>
          </cell>
          <cell r="D95">
            <v>3015266</v>
          </cell>
          <cell r="E95">
            <v>234000</v>
          </cell>
          <cell r="F95">
            <v>1350452</v>
          </cell>
          <cell r="G95">
            <v>0</v>
          </cell>
          <cell r="H95">
            <v>304019</v>
          </cell>
          <cell r="I95">
            <v>1378384</v>
          </cell>
          <cell r="J95">
            <v>465684</v>
          </cell>
          <cell r="K95">
            <v>0</v>
          </cell>
          <cell r="L95">
            <v>131614</v>
          </cell>
          <cell r="M95">
            <v>183749</v>
          </cell>
          <cell r="N95">
            <v>28823</v>
          </cell>
          <cell r="O95">
            <v>1293060</v>
          </cell>
          <cell r="P95">
            <v>103900</v>
          </cell>
          <cell r="Q95">
            <v>2067646</v>
          </cell>
          <cell r="U95">
            <v>14697</v>
          </cell>
          <cell r="X95">
            <v>0</v>
          </cell>
          <cell r="Y95">
            <v>0</v>
          </cell>
          <cell r="Z95">
            <v>0</v>
          </cell>
          <cell r="AA95">
            <v>0</v>
          </cell>
          <cell r="AC95">
            <v>18645</v>
          </cell>
          <cell r="AD95">
            <v>0</v>
          </cell>
          <cell r="AE95">
            <v>66040</v>
          </cell>
          <cell r="AF95">
            <v>40336</v>
          </cell>
          <cell r="AG95">
            <v>5539</v>
          </cell>
          <cell r="AH95">
            <v>87468</v>
          </cell>
          <cell r="AI95">
            <v>439535</v>
          </cell>
          <cell r="AJ95">
            <v>3448539</v>
          </cell>
          <cell r="AK95">
            <v>0</v>
          </cell>
          <cell r="AL95">
            <v>0</v>
          </cell>
          <cell r="AM95">
            <v>1687362</v>
          </cell>
          <cell r="AN95">
            <v>128167450</v>
          </cell>
          <cell r="BO95">
            <v>17001</v>
          </cell>
          <cell r="BP95">
            <v>5268406</v>
          </cell>
          <cell r="CF95">
            <v>18470294</v>
          </cell>
          <cell r="CH95">
            <v>138923</v>
          </cell>
          <cell r="CI95">
            <v>423085</v>
          </cell>
          <cell r="CJ95">
            <v>0</v>
          </cell>
          <cell r="CK95">
            <v>0</v>
          </cell>
          <cell r="CL95">
            <v>0</v>
          </cell>
          <cell r="CN95">
            <v>5158627</v>
          </cell>
          <cell r="CO95">
            <v>285811236</v>
          </cell>
        </row>
        <row r="96">
          <cell r="A96">
            <v>821</v>
          </cell>
          <cell r="B96">
            <v>41651435</v>
          </cell>
          <cell r="C96">
            <v>1184078</v>
          </cell>
          <cell r="D96">
            <v>4623949</v>
          </cell>
          <cell r="E96">
            <v>1719889</v>
          </cell>
          <cell r="F96">
            <v>0</v>
          </cell>
          <cell r="G96">
            <v>0</v>
          </cell>
          <cell r="H96">
            <v>0</v>
          </cell>
          <cell r="I96">
            <v>134582</v>
          </cell>
          <cell r="J96">
            <v>134582</v>
          </cell>
          <cell r="K96">
            <v>0</v>
          </cell>
          <cell r="L96">
            <v>64833</v>
          </cell>
          <cell r="M96">
            <v>48447</v>
          </cell>
          <cell r="N96">
            <v>0</v>
          </cell>
          <cell r="O96">
            <v>780814</v>
          </cell>
          <cell r="P96">
            <v>124239</v>
          </cell>
          <cell r="Q96">
            <v>644010</v>
          </cell>
          <cell r="U96">
            <v>39122</v>
          </cell>
          <cell r="X96">
            <v>0</v>
          </cell>
          <cell r="Y96">
            <v>55185</v>
          </cell>
          <cell r="Z96">
            <v>0</v>
          </cell>
          <cell r="AA96">
            <v>0</v>
          </cell>
          <cell r="AC96">
            <v>126361</v>
          </cell>
          <cell r="AD96">
            <v>0</v>
          </cell>
          <cell r="AE96">
            <v>63542</v>
          </cell>
          <cell r="AF96">
            <v>923</v>
          </cell>
          <cell r="AG96">
            <v>472</v>
          </cell>
          <cell r="AH96">
            <v>75221</v>
          </cell>
          <cell r="AI96">
            <v>794600</v>
          </cell>
          <cell r="AJ96">
            <v>0</v>
          </cell>
          <cell r="AK96">
            <v>163547</v>
          </cell>
          <cell r="AL96">
            <v>0</v>
          </cell>
          <cell r="AM96">
            <v>134976</v>
          </cell>
          <cell r="AN96">
            <v>52564807</v>
          </cell>
          <cell r="BO96">
            <v>105946</v>
          </cell>
          <cell r="BP96">
            <v>516577</v>
          </cell>
          <cell r="CF96">
            <v>794000</v>
          </cell>
          <cell r="CH96">
            <v>0</v>
          </cell>
          <cell r="CI96">
            <v>0</v>
          </cell>
          <cell r="CJ96">
            <v>0</v>
          </cell>
          <cell r="CK96">
            <v>0</v>
          </cell>
          <cell r="CL96">
            <v>0</v>
          </cell>
          <cell r="CN96">
            <v>5729635</v>
          </cell>
          <cell r="CO96">
            <v>112275772</v>
          </cell>
        </row>
        <row r="97">
          <cell r="A97">
            <v>825</v>
          </cell>
          <cell r="B97">
            <v>103509572</v>
          </cell>
          <cell r="C97">
            <v>3438335</v>
          </cell>
          <cell r="D97">
            <v>6824052</v>
          </cell>
          <cell r="E97">
            <v>350000</v>
          </cell>
          <cell r="F97">
            <v>1400000</v>
          </cell>
          <cell r="G97">
            <v>0</v>
          </cell>
          <cell r="H97">
            <v>0</v>
          </cell>
          <cell r="I97">
            <v>1407880</v>
          </cell>
          <cell r="J97">
            <v>42500</v>
          </cell>
          <cell r="K97">
            <v>0</v>
          </cell>
          <cell r="L97">
            <v>72000</v>
          </cell>
          <cell r="M97">
            <v>125200</v>
          </cell>
          <cell r="N97">
            <v>0</v>
          </cell>
          <cell r="O97">
            <v>1116577</v>
          </cell>
          <cell r="P97">
            <v>80000</v>
          </cell>
          <cell r="Q97">
            <v>123000</v>
          </cell>
          <cell r="U97">
            <v>0</v>
          </cell>
          <cell r="X97">
            <v>0</v>
          </cell>
          <cell r="Y97">
            <v>0</v>
          </cell>
          <cell r="Z97">
            <v>0</v>
          </cell>
          <cell r="AA97">
            <v>0</v>
          </cell>
          <cell r="AC97">
            <v>909410</v>
          </cell>
          <cell r="AD97">
            <v>91100</v>
          </cell>
          <cell r="AE97">
            <v>156810</v>
          </cell>
          <cell r="AF97">
            <v>48290</v>
          </cell>
          <cell r="AG97">
            <v>17465</v>
          </cell>
          <cell r="AH97">
            <v>52770</v>
          </cell>
          <cell r="AI97">
            <v>1424240</v>
          </cell>
          <cell r="AJ97">
            <v>4245000</v>
          </cell>
          <cell r="AK97">
            <v>0</v>
          </cell>
          <cell r="AL97">
            <v>0</v>
          </cell>
          <cell r="AM97">
            <v>2159900</v>
          </cell>
          <cell r="AN97">
            <v>127594101</v>
          </cell>
          <cell r="BO97">
            <v>0</v>
          </cell>
          <cell r="BP97">
            <v>9082000</v>
          </cell>
          <cell r="CF97">
            <v>26834286</v>
          </cell>
          <cell r="CH97">
            <v>0</v>
          </cell>
          <cell r="CI97">
            <v>0</v>
          </cell>
          <cell r="CJ97">
            <v>0</v>
          </cell>
          <cell r="CK97">
            <v>0</v>
          </cell>
          <cell r="CL97">
            <v>0</v>
          </cell>
          <cell r="CN97">
            <v>9787000</v>
          </cell>
          <cell r="CO97">
            <v>300891488</v>
          </cell>
        </row>
        <row r="98">
          <cell r="A98">
            <v>826</v>
          </cell>
          <cell r="B98">
            <v>42868018</v>
          </cell>
          <cell r="C98">
            <v>1127218</v>
          </cell>
          <cell r="D98">
            <v>1783824</v>
          </cell>
          <cell r="E98">
            <v>522201</v>
          </cell>
          <cell r="F98">
            <v>195000</v>
          </cell>
          <cell r="G98">
            <v>0</v>
          </cell>
          <cell r="H98">
            <v>0</v>
          </cell>
          <cell r="I98">
            <v>30040</v>
          </cell>
          <cell r="J98">
            <v>12865</v>
          </cell>
          <cell r="K98">
            <v>12995</v>
          </cell>
          <cell r="L98">
            <v>0</v>
          </cell>
          <cell r="M98">
            <v>39396</v>
          </cell>
          <cell r="N98">
            <v>0</v>
          </cell>
          <cell r="O98">
            <v>598167</v>
          </cell>
          <cell r="P98">
            <v>568400</v>
          </cell>
          <cell r="Q98">
            <v>529618</v>
          </cell>
          <cell r="U98">
            <v>0</v>
          </cell>
          <cell r="X98">
            <v>0</v>
          </cell>
          <cell r="Y98">
            <v>0</v>
          </cell>
          <cell r="Z98">
            <v>0</v>
          </cell>
          <cell r="AA98">
            <v>0</v>
          </cell>
          <cell r="AC98">
            <v>114188</v>
          </cell>
          <cell r="AD98">
            <v>21702</v>
          </cell>
          <cell r="AE98">
            <v>0</v>
          </cell>
          <cell r="AF98">
            <v>71997</v>
          </cell>
          <cell r="AG98">
            <v>1798</v>
          </cell>
          <cell r="AH98">
            <v>0</v>
          </cell>
          <cell r="AI98">
            <v>1266681</v>
          </cell>
          <cell r="AJ98">
            <v>1415964</v>
          </cell>
          <cell r="AK98">
            <v>73785</v>
          </cell>
          <cell r="AL98">
            <v>0</v>
          </cell>
          <cell r="AM98">
            <v>253424</v>
          </cell>
          <cell r="AN98">
            <v>51507281</v>
          </cell>
          <cell r="BO98">
            <v>13671</v>
          </cell>
          <cell r="BP98">
            <v>848034</v>
          </cell>
          <cell r="CF98">
            <v>9367352</v>
          </cell>
          <cell r="CH98">
            <v>0</v>
          </cell>
          <cell r="CI98">
            <v>0</v>
          </cell>
          <cell r="CJ98">
            <v>0</v>
          </cell>
          <cell r="CK98">
            <v>0</v>
          </cell>
          <cell r="CL98">
            <v>0</v>
          </cell>
          <cell r="CN98">
            <v>10451718</v>
          </cell>
          <cell r="CO98">
            <v>123695337</v>
          </cell>
        </row>
        <row r="99">
          <cell r="A99">
            <v>830</v>
          </cell>
          <cell r="B99">
            <v>155354629</v>
          </cell>
          <cell r="C99">
            <v>4813969</v>
          </cell>
          <cell r="D99">
            <v>7973408</v>
          </cell>
          <cell r="E99">
            <v>1261259</v>
          </cell>
          <cell r="F99">
            <v>0</v>
          </cell>
          <cell r="G99">
            <v>0</v>
          </cell>
          <cell r="H99">
            <v>0</v>
          </cell>
          <cell r="I99">
            <v>426294</v>
          </cell>
          <cell r="J99">
            <v>171794</v>
          </cell>
          <cell r="K99">
            <v>9493</v>
          </cell>
          <cell r="L99">
            <v>0</v>
          </cell>
          <cell r="M99">
            <v>541741</v>
          </cell>
          <cell r="N99">
            <v>0</v>
          </cell>
          <cell r="O99">
            <v>1231429</v>
          </cell>
          <cell r="P99">
            <v>2038534</v>
          </cell>
          <cell r="Q99">
            <v>1835658</v>
          </cell>
          <cell r="U99">
            <v>37781</v>
          </cell>
          <cell r="X99">
            <v>0</v>
          </cell>
          <cell r="Y99">
            <v>853873</v>
          </cell>
          <cell r="Z99">
            <v>0</v>
          </cell>
          <cell r="AA99">
            <v>7595</v>
          </cell>
          <cell r="AC99">
            <v>178097</v>
          </cell>
          <cell r="AD99">
            <v>83128</v>
          </cell>
          <cell r="AE99">
            <v>73674</v>
          </cell>
          <cell r="AF99">
            <v>157387</v>
          </cell>
          <cell r="AG99">
            <v>0</v>
          </cell>
          <cell r="AH99">
            <v>359831</v>
          </cell>
          <cell r="AI99">
            <v>440001</v>
          </cell>
          <cell r="AJ99">
            <v>7105513</v>
          </cell>
          <cell r="AK99">
            <v>10391</v>
          </cell>
          <cell r="AL99">
            <v>0</v>
          </cell>
          <cell r="AM99">
            <v>4377258</v>
          </cell>
          <cell r="AN99">
            <v>189342737</v>
          </cell>
          <cell r="BO99">
            <v>65815</v>
          </cell>
          <cell r="BP99">
            <v>5010354</v>
          </cell>
          <cell r="CF99">
            <v>21276033</v>
          </cell>
          <cell r="CH99">
            <v>49145</v>
          </cell>
          <cell r="CI99">
            <v>0</v>
          </cell>
          <cell r="CJ99">
            <v>0</v>
          </cell>
          <cell r="CK99">
            <v>0</v>
          </cell>
          <cell r="CL99">
            <v>0</v>
          </cell>
          <cell r="CN99">
            <v>19388000</v>
          </cell>
          <cell r="CO99">
            <v>424474821</v>
          </cell>
        </row>
        <row r="100">
          <cell r="A100">
            <v>831</v>
          </cell>
          <cell r="B100">
            <v>49789761</v>
          </cell>
          <cell r="C100">
            <v>1341149</v>
          </cell>
          <cell r="D100">
            <v>4723609</v>
          </cell>
          <cell r="E100">
            <v>490899</v>
          </cell>
          <cell r="F100">
            <v>0</v>
          </cell>
          <cell r="G100">
            <v>0</v>
          </cell>
          <cell r="H100">
            <v>47000</v>
          </cell>
          <cell r="I100">
            <v>44245</v>
          </cell>
          <cell r="J100">
            <v>4022</v>
          </cell>
          <cell r="K100">
            <v>0</v>
          </cell>
          <cell r="L100">
            <v>22703</v>
          </cell>
          <cell r="M100">
            <v>134133</v>
          </cell>
          <cell r="N100">
            <v>0</v>
          </cell>
          <cell r="O100">
            <v>1929323</v>
          </cell>
          <cell r="P100">
            <v>53807</v>
          </cell>
          <cell r="Q100">
            <v>2523</v>
          </cell>
          <cell r="U100">
            <v>0</v>
          </cell>
          <cell r="X100">
            <v>0</v>
          </cell>
          <cell r="Y100">
            <v>469251</v>
          </cell>
          <cell r="Z100">
            <v>0</v>
          </cell>
          <cell r="AA100">
            <v>16107</v>
          </cell>
          <cell r="AC100">
            <v>26952</v>
          </cell>
          <cell r="AD100">
            <v>11464</v>
          </cell>
          <cell r="AE100">
            <v>13675</v>
          </cell>
          <cell r="AF100">
            <v>22787</v>
          </cell>
          <cell r="AG100">
            <v>1093</v>
          </cell>
          <cell r="AH100">
            <v>64678</v>
          </cell>
          <cell r="AI100">
            <v>330139</v>
          </cell>
          <cell r="AJ100">
            <v>411718</v>
          </cell>
          <cell r="AK100">
            <v>85679</v>
          </cell>
          <cell r="AL100">
            <v>0</v>
          </cell>
          <cell r="AM100">
            <v>87645</v>
          </cell>
          <cell r="AN100">
            <v>60124362</v>
          </cell>
          <cell r="BO100">
            <v>2355</v>
          </cell>
          <cell r="BP100">
            <v>558559</v>
          </cell>
          <cell r="CF100">
            <v>5595208</v>
          </cell>
          <cell r="CH100">
            <v>41775</v>
          </cell>
          <cell r="CI100">
            <v>3798</v>
          </cell>
          <cell r="CJ100">
            <v>0</v>
          </cell>
          <cell r="CK100">
            <v>0</v>
          </cell>
          <cell r="CL100">
            <v>0</v>
          </cell>
          <cell r="CN100">
            <v>3771874</v>
          </cell>
          <cell r="CO100">
            <v>130222293</v>
          </cell>
        </row>
        <row r="101">
          <cell r="A101">
            <v>835</v>
          </cell>
          <cell r="B101">
            <v>88499900</v>
          </cell>
          <cell r="C101">
            <v>3444900</v>
          </cell>
          <cell r="D101">
            <v>6360500</v>
          </cell>
          <cell r="E101">
            <v>0</v>
          </cell>
          <cell r="F101">
            <v>1037000</v>
          </cell>
          <cell r="G101">
            <v>0</v>
          </cell>
          <cell r="H101">
            <v>0</v>
          </cell>
          <cell r="I101">
            <v>1723560</v>
          </cell>
          <cell r="J101">
            <v>0</v>
          </cell>
          <cell r="K101">
            <v>24200</v>
          </cell>
          <cell r="L101">
            <v>5755</v>
          </cell>
          <cell r="M101">
            <v>0</v>
          </cell>
          <cell r="N101">
            <v>0</v>
          </cell>
          <cell r="O101">
            <v>2313126</v>
          </cell>
          <cell r="P101">
            <v>122326</v>
          </cell>
          <cell r="Q101">
            <v>23882</v>
          </cell>
          <cell r="U101">
            <v>4582</v>
          </cell>
          <cell r="X101">
            <v>48100</v>
          </cell>
          <cell r="Y101">
            <v>486700</v>
          </cell>
          <cell r="Z101">
            <v>0</v>
          </cell>
          <cell r="AA101">
            <v>440</v>
          </cell>
          <cell r="AC101">
            <v>163277</v>
          </cell>
          <cell r="AD101">
            <v>54697</v>
          </cell>
          <cell r="AE101">
            <v>119852</v>
          </cell>
          <cell r="AF101">
            <v>21853</v>
          </cell>
          <cell r="AG101">
            <v>27294</v>
          </cell>
          <cell r="AH101">
            <v>40900</v>
          </cell>
          <cell r="AI101">
            <v>1769047</v>
          </cell>
          <cell r="AJ101">
            <v>3383600</v>
          </cell>
          <cell r="AK101">
            <v>0</v>
          </cell>
          <cell r="AL101">
            <v>0</v>
          </cell>
          <cell r="AM101">
            <v>81661</v>
          </cell>
          <cell r="AN101">
            <v>109757152</v>
          </cell>
          <cell r="BO101">
            <v>216700</v>
          </cell>
          <cell r="BP101">
            <v>4546800</v>
          </cell>
          <cell r="CF101">
            <v>16375500</v>
          </cell>
          <cell r="CH101">
            <v>0</v>
          </cell>
          <cell r="CI101">
            <v>0</v>
          </cell>
          <cell r="CJ101">
            <v>0</v>
          </cell>
          <cell r="CK101">
            <v>0</v>
          </cell>
          <cell r="CL101">
            <v>0</v>
          </cell>
          <cell r="CN101">
            <v>21708005</v>
          </cell>
          <cell r="CO101">
            <v>262361309</v>
          </cell>
        </row>
        <row r="102">
          <cell r="A102">
            <v>836</v>
          </cell>
          <cell r="B102">
            <v>26838080</v>
          </cell>
          <cell r="C102">
            <v>789069</v>
          </cell>
          <cell r="D102">
            <v>963434</v>
          </cell>
          <cell r="E102">
            <v>0</v>
          </cell>
          <cell r="F102">
            <v>0</v>
          </cell>
          <cell r="G102">
            <v>0</v>
          </cell>
          <cell r="H102">
            <v>65000</v>
          </cell>
          <cell r="I102">
            <v>280476</v>
          </cell>
          <cell r="J102">
            <v>58667</v>
          </cell>
          <cell r="K102">
            <v>29334</v>
          </cell>
          <cell r="L102">
            <v>4389</v>
          </cell>
          <cell r="M102">
            <v>0</v>
          </cell>
          <cell r="N102">
            <v>0</v>
          </cell>
          <cell r="O102">
            <v>475668</v>
          </cell>
          <cell r="P102">
            <v>63828</v>
          </cell>
          <cell r="Q102">
            <v>68603</v>
          </cell>
          <cell r="U102">
            <v>5187</v>
          </cell>
          <cell r="X102">
            <v>0</v>
          </cell>
          <cell r="Y102">
            <v>36750</v>
          </cell>
          <cell r="Z102">
            <v>0</v>
          </cell>
          <cell r="AA102">
            <v>3150</v>
          </cell>
          <cell r="AC102">
            <v>60648</v>
          </cell>
          <cell r="AD102">
            <v>8221</v>
          </cell>
          <cell r="AE102">
            <v>21945</v>
          </cell>
          <cell r="AF102">
            <v>0</v>
          </cell>
          <cell r="AG102">
            <v>1286</v>
          </cell>
          <cell r="AH102">
            <v>3793</v>
          </cell>
          <cell r="AI102">
            <v>374892</v>
          </cell>
          <cell r="AJ102">
            <v>974268</v>
          </cell>
          <cell r="AK102">
            <v>0</v>
          </cell>
          <cell r="AL102">
            <v>0</v>
          </cell>
          <cell r="AM102">
            <v>23330</v>
          </cell>
          <cell r="AN102">
            <v>31150018</v>
          </cell>
          <cell r="BO102">
            <v>5478</v>
          </cell>
          <cell r="BP102">
            <v>546037</v>
          </cell>
          <cell r="CF102">
            <v>6306792</v>
          </cell>
          <cell r="CH102">
            <v>5000</v>
          </cell>
          <cell r="CI102">
            <v>0</v>
          </cell>
          <cell r="CJ102">
            <v>0</v>
          </cell>
          <cell r="CK102">
            <v>0</v>
          </cell>
          <cell r="CL102">
            <v>0</v>
          </cell>
          <cell r="CN102">
            <v>6593000</v>
          </cell>
          <cell r="CO102">
            <v>75756343</v>
          </cell>
        </row>
        <row r="103">
          <cell r="A103">
            <v>837</v>
          </cell>
          <cell r="B103">
            <v>29925718</v>
          </cell>
          <cell r="C103">
            <v>980118</v>
          </cell>
          <cell r="D103">
            <v>1196720</v>
          </cell>
          <cell r="E103">
            <v>0</v>
          </cell>
          <cell r="F103">
            <v>502500</v>
          </cell>
          <cell r="G103">
            <v>0</v>
          </cell>
          <cell r="H103">
            <v>0</v>
          </cell>
          <cell r="I103">
            <v>338816</v>
          </cell>
          <cell r="J103">
            <v>0</v>
          </cell>
          <cell r="K103">
            <v>552070</v>
          </cell>
          <cell r="L103">
            <v>76187</v>
          </cell>
          <cell r="M103">
            <v>0</v>
          </cell>
          <cell r="N103">
            <v>222979</v>
          </cell>
          <cell r="O103">
            <v>621281</v>
          </cell>
          <cell r="P103">
            <v>103464</v>
          </cell>
          <cell r="Q103">
            <v>60923</v>
          </cell>
          <cell r="U103">
            <v>17762</v>
          </cell>
          <cell r="X103">
            <v>22641</v>
          </cell>
          <cell r="Y103">
            <v>0</v>
          </cell>
          <cell r="Z103">
            <v>0</v>
          </cell>
          <cell r="AA103">
            <v>0</v>
          </cell>
          <cell r="AC103">
            <v>67943</v>
          </cell>
          <cell r="AD103">
            <v>0</v>
          </cell>
          <cell r="AE103">
            <v>39719</v>
          </cell>
          <cell r="AF103">
            <v>11584</v>
          </cell>
          <cell r="AG103">
            <v>3340</v>
          </cell>
          <cell r="AH103">
            <v>29024</v>
          </cell>
          <cell r="AI103">
            <v>708831</v>
          </cell>
          <cell r="AJ103">
            <v>940400</v>
          </cell>
          <cell r="AK103">
            <v>0</v>
          </cell>
          <cell r="AL103">
            <v>0</v>
          </cell>
          <cell r="AM103">
            <v>664043</v>
          </cell>
          <cell r="AN103">
            <v>37086063</v>
          </cell>
          <cell r="BO103">
            <v>88750</v>
          </cell>
          <cell r="BP103">
            <v>323438</v>
          </cell>
          <cell r="CF103">
            <v>4435496</v>
          </cell>
          <cell r="CH103">
            <v>30500</v>
          </cell>
          <cell r="CI103">
            <v>0</v>
          </cell>
          <cell r="CJ103">
            <v>108990</v>
          </cell>
          <cell r="CK103">
            <v>0</v>
          </cell>
          <cell r="CL103">
            <v>0</v>
          </cell>
          <cell r="CN103">
            <v>824533</v>
          </cell>
          <cell r="CO103">
            <v>79983833</v>
          </cell>
        </row>
        <row r="104">
          <cell r="A104">
            <v>840</v>
          </cell>
          <cell r="B104">
            <v>100640804</v>
          </cell>
          <cell r="C104">
            <v>3536808</v>
          </cell>
          <cell r="D104">
            <v>10249786</v>
          </cell>
          <cell r="E104">
            <v>708000</v>
          </cell>
          <cell r="F104">
            <v>0</v>
          </cell>
          <cell r="G104">
            <v>0</v>
          </cell>
          <cell r="H104">
            <v>0</v>
          </cell>
          <cell r="I104">
            <v>1261268</v>
          </cell>
          <cell r="J104">
            <v>667840</v>
          </cell>
          <cell r="K104">
            <v>51999</v>
          </cell>
          <cell r="L104">
            <v>119982</v>
          </cell>
          <cell r="M104">
            <v>0</v>
          </cell>
          <cell r="N104">
            <v>0</v>
          </cell>
          <cell r="O104">
            <v>521737</v>
          </cell>
          <cell r="P104">
            <v>495266</v>
          </cell>
          <cell r="Q104">
            <v>1382416</v>
          </cell>
          <cell r="U104">
            <v>0</v>
          </cell>
          <cell r="X104">
            <v>0</v>
          </cell>
          <cell r="Y104">
            <v>0</v>
          </cell>
          <cell r="Z104">
            <v>0</v>
          </cell>
          <cell r="AA104">
            <v>0</v>
          </cell>
          <cell r="AC104">
            <v>56662</v>
          </cell>
          <cell r="AD104">
            <v>0</v>
          </cell>
          <cell r="AE104">
            <v>5000</v>
          </cell>
          <cell r="AF104">
            <v>196311</v>
          </cell>
          <cell r="AG104">
            <v>13380</v>
          </cell>
          <cell r="AH104">
            <v>39343</v>
          </cell>
          <cell r="AI104">
            <v>1719153</v>
          </cell>
          <cell r="AJ104">
            <v>0</v>
          </cell>
          <cell r="AK104">
            <v>0</v>
          </cell>
          <cell r="AL104">
            <v>0</v>
          </cell>
          <cell r="AM104">
            <v>1700000</v>
          </cell>
          <cell r="AN104">
            <v>123365755</v>
          </cell>
          <cell r="BO104">
            <v>23639</v>
          </cell>
          <cell r="BP104">
            <v>5844439</v>
          </cell>
          <cell r="CF104">
            <v>13212778</v>
          </cell>
          <cell r="CH104">
            <v>0</v>
          </cell>
          <cell r="CI104">
            <v>0</v>
          </cell>
          <cell r="CJ104">
            <v>0</v>
          </cell>
          <cell r="CK104">
            <v>0</v>
          </cell>
          <cell r="CL104">
            <v>0</v>
          </cell>
          <cell r="CN104">
            <v>6839678</v>
          </cell>
          <cell r="CO104">
            <v>272652044</v>
          </cell>
        </row>
        <row r="105">
          <cell r="A105">
            <v>841</v>
          </cell>
          <cell r="B105">
            <v>19287992</v>
          </cell>
          <cell r="C105">
            <v>693743</v>
          </cell>
          <cell r="D105">
            <v>755490</v>
          </cell>
          <cell r="E105">
            <v>0</v>
          </cell>
          <cell r="F105">
            <v>0</v>
          </cell>
          <cell r="G105">
            <v>0</v>
          </cell>
          <cell r="H105">
            <v>150000</v>
          </cell>
          <cell r="I105">
            <v>238462</v>
          </cell>
          <cell r="J105">
            <v>39831</v>
          </cell>
          <cell r="K105">
            <v>11563</v>
          </cell>
          <cell r="L105">
            <v>33339</v>
          </cell>
          <cell r="M105">
            <v>73630</v>
          </cell>
          <cell r="N105">
            <v>0</v>
          </cell>
          <cell r="O105">
            <v>379356</v>
          </cell>
          <cell r="P105">
            <v>132673</v>
          </cell>
          <cell r="Q105">
            <v>97165</v>
          </cell>
          <cell r="U105">
            <v>644</v>
          </cell>
          <cell r="X105">
            <v>2144</v>
          </cell>
          <cell r="Y105">
            <v>31443</v>
          </cell>
          <cell r="Z105">
            <v>0</v>
          </cell>
          <cell r="AA105">
            <v>0</v>
          </cell>
          <cell r="AC105">
            <v>25235</v>
          </cell>
          <cell r="AD105">
            <v>10222</v>
          </cell>
          <cell r="AE105">
            <v>40000</v>
          </cell>
          <cell r="AF105">
            <v>10804</v>
          </cell>
          <cell r="AG105">
            <v>6577</v>
          </cell>
          <cell r="AH105">
            <v>6500</v>
          </cell>
          <cell r="AI105">
            <v>406849</v>
          </cell>
          <cell r="AJ105">
            <v>14374</v>
          </cell>
          <cell r="AK105">
            <v>0</v>
          </cell>
          <cell r="AL105">
            <v>0</v>
          </cell>
          <cell r="AM105">
            <v>81123</v>
          </cell>
          <cell r="AN105">
            <v>22529159</v>
          </cell>
          <cell r="BO105">
            <v>7656</v>
          </cell>
          <cell r="BP105">
            <v>660684</v>
          </cell>
          <cell r="CF105">
            <v>639439</v>
          </cell>
          <cell r="CH105">
            <v>82618</v>
          </cell>
          <cell r="CI105">
            <v>0</v>
          </cell>
          <cell r="CJ105">
            <v>0</v>
          </cell>
          <cell r="CK105">
            <v>0</v>
          </cell>
          <cell r="CL105">
            <v>0</v>
          </cell>
          <cell r="CN105">
            <v>1104418</v>
          </cell>
          <cell r="CO105">
            <v>47553133</v>
          </cell>
        </row>
        <row r="106">
          <cell r="A106">
            <v>845</v>
          </cell>
          <cell r="B106">
            <v>90149259</v>
          </cell>
          <cell r="C106">
            <v>2746175</v>
          </cell>
          <cell r="D106">
            <v>4734473</v>
          </cell>
          <cell r="E106">
            <v>0</v>
          </cell>
          <cell r="F106">
            <v>1123000</v>
          </cell>
          <cell r="G106">
            <v>0</v>
          </cell>
          <cell r="H106">
            <v>629274</v>
          </cell>
          <cell r="I106">
            <v>425903</v>
          </cell>
          <cell r="J106">
            <v>0</v>
          </cell>
          <cell r="K106">
            <v>175594</v>
          </cell>
          <cell r="L106">
            <v>914642</v>
          </cell>
          <cell r="M106">
            <v>187771</v>
          </cell>
          <cell r="N106">
            <v>0</v>
          </cell>
          <cell r="O106">
            <v>2500</v>
          </cell>
          <cell r="P106">
            <v>0</v>
          </cell>
          <cell r="Q106">
            <v>299644</v>
          </cell>
          <cell r="U106">
            <v>56926</v>
          </cell>
          <cell r="X106">
            <v>0</v>
          </cell>
          <cell r="Y106">
            <v>19200</v>
          </cell>
          <cell r="Z106">
            <v>0</v>
          </cell>
          <cell r="AA106">
            <v>105259</v>
          </cell>
          <cell r="AC106">
            <v>274916</v>
          </cell>
          <cell r="AD106">
            <v>50197</v>
          </cell>
          <cell r="AE106">
            <v>272471</v>
          </cell>
          <cell r="AF106">
            <v>32372</v>
          </cell>
          <cell r="AG106">
            <v>10837</v>
          </cell>
          <cell r="AH106">
            <v>64679</v>
          </cell>
          <cell r="AI106">
            <v>728777</v>
          </cell>
          <cell r="AJ106">
            <v>0</v>
          </cell>
          <cell r="AK106">
            <v>312000</v>
          </cell>
          <cell r="AL106">
            <v>0</v>
          </cell>
          <cell r="AM106">
            <v>1674053</v>
          </cell>
          <cell r="AN106">
            <v>104989922</v>
          </cell>
          <cell r="BO106">
            <v>0</v>
          </cell>
          <cell r="BP106">
            <v>1867644</v>
          </cell>
          <cell r="CF106">
            <v>8061000</v>
          </cell>
          <cell r="CH106">
            <v>0</v>
          </cell>
          <cell r="CI106">
            <v>0</v>
          </cell>
          <cell r="CJ106">
            <v>0</v>
          </cell>
          <cell r="CK106">
            <v>0</v>
          </cell>
          <cell r="CL106">
            <v>0</v>
          </cell>
          <cell r="CN106">
            <v>13935000</v>
          </cell>
          <cell r="CO106">
            <v>233843488</v>
          </cell>
        </row>
        <row r="107">
          <cell r="A107">
            <v>846</v>
          </cell>
          <cell r="B107">
            <v>39439538</v>
          </cell>
          <cell r="C107">
            <v>1050068</v>
          </cell>
          <cell r="D107">
            <v>2291240</v>
          </cell>
          <cell r="E107">
            <v>297903</v>
          </cell>
          <cell r="F107">
            <v>648176</v>
          </cell>
          <cell r="G107">
            <v>0</v>
          </cell>
          <cell r="H107">
            <v>0</v>
          </cell>
          <cell r="I107">
            <v>306860</v>
          </cell>
          <cell r="J107">
            <v>80</v>
          </cell>
          <cell r="K107">
            <v>301830</v>
          </cell>
          <cell r="L107">
            <v>0</v>
          </cell>
          <cell r="M107">
            <v>8730</v>
          </cell>
          <cell r="N107">
            <v>0</v>
          </cell>
          <cell r="O107">
            <v>0</v>
          </cell>
          <cell r="P107">
            <v>6760</v>
          </cell>
          <cell r="Q107">
            <v>127280</v>
          </cell>
          <cell r="U107">
            <v>-10890</v>
          </cell>
          <cell r="X107">
            <v>0</v>
          </cell>
          <cell r="Y107">
            <v>186000</v>
          </cell>
          <cell r="Z107">
            <v>0</v>
          </cell>
          <cell r="AA107">
            <v>0</v>
          </cell>
          <cell r="AC107">
            <v>151180</v>
          </cell>
          <cell r="AD107">
            <v>21850</v>
          </cell>
          <cell r="AE107">
            <v>246991</v>
          </cell>
          <cell r="AF107">
            <v>0</v>
          </cell>
          <cell r="AG107">
            <v>4531</v>
          </cell>
          <cell r="AH107">
            <v>244050</v>
          </cell>
          <cell r="AI107">
            <v>84770</v>
          </cell>
          <cell r="AJ107">
            <v>0</v>
          </cell>
          <cell r="AK107">
            <v>0</v>
          </cell>
          <cell r="AL107">
            <v>0</v>
          </cell>
          <cell r="AM107">
            <v>31414</v>
          </cell>
          <cell r="AN107">
            <v>45438361</v>
          </cell>
          <cell r="BO107">
            <v>107580</v>
          </cell>
          <cell r="BP107">
            <v>184950</v>
          </cell>
          <cell r="CF107">
            <v>3353459</v>
          </cell>
          <cell r="CH107">
            <v>0</v>
          </cell>
          <cell r="CI107">
            <v>0</v>
          </cell>
          <cell r="CJ107">
            <v>0</v>
          </cell>
          <cell r="CK107">
            <v>0</v>
          </cell>
          <cell r="CL107">
            <v>0</v>
          </cell>
          <cell r="CN107">
            <v>4302345</v>
          </cell>
          <cell r="CO107">
            <v>98825056</v>
          </cell>
        </row>
        <row r="108">
          <cell r="A108">
            <v>850</v>
          </cell>
          <cell r="B108">
            <v>221921000</v>
          </cell>
          <cell r="C108">
            <v>7091000</v>
          </cell>
          <cell r="D108">
            <v>12250000</v>
          </cell>
          <cell r="E108">
            <v>105000</v>
          </cell>
          <cell r="F108">
            <v>3816000</v>
          </cell>
          <cell r="G108">
            <v>0</v>
          </cell>
          <cell r="H108">
            <v>0</v>
          </cell>
          <cell r="I108">
            <v>2196000</v>
          </cell>
          <cell r="J108">
            <v>162000</v>
          </cell>
          <cell r="K108">
            <v>0</v>
          </cell>
          <cell r="L108">
            <v>76000</v>
          </cell>
          <cell r="M108">
            <v>593000</v>
          </cell>
          <cell r="N108">
            <v>0</v>
          </cell>
          <cell r="O108">
            <v>3852000</v>
          </cell>
          <cell r="P108">
            <v>186000</v>
          </cell>
          <cell r="Q108">
            <v>1802000</v>
          </cell>
          <cell r="U108">
            <v>0</v>
          </cell>
          <cell r="X108">
            <v>0</v>
          </cell>
          <cell r="Y108">
            <v>25000</v>
          </cell>
          <cell r="Z108">
            <v>0</v>
          </cell>
          <cell r="AA108">
            <v>0</v>
          </cell>
          <cell r="AC108">
            <v>234000</v>
          </cell>
          <cell r="AD108">
            <v>136000</v>
          </cell>
          <cell r="AE108">
            <v>0</v>
          </cell>
          <cell r="AF108">
            <v>0</v>
          </cell>
          <cell r="AG108">
            <v>11000</v>
          </cell>
          <cell r="AH108">
            <v>259000</v>
          </cell>
          <cell r="AI108">
            <v>2358000</v>
          </cell>
          <cell r="AJ108">
            <v>8878000</v>
          </cell>
          <cell r="AK108">
            <v>0</v>
          </cell>
          <cell r="AL108">
            <v>0</v>
          </cell>
          <cell r="AM108">
            <v>3824000</v>
          </cell>
          <cell r="AN108">
            <v>269775000</v>
          </cell>
          <cell r="BO108">
            <v>219000</v>
          </cell>
          <cell r="BP108">
            <v>6618000</v>
          </cell>
          <cell r="CF108">
            <v>6621000</v>
          </cell>
          <cell r="CH108">
            <v>65800</v>
          </cell>
          <cell r="CI108">
            <v>0</v>
          </cell>
          <cell r="CJ108">
            <v>0</v>
          </cell>
          <cell r="CK108">
            <v>0</v>
          </cell>
          <cell r="CL108">
            <v>0</v>
          </cell>
          <cell r="CN108">
            <v>18434000</v>
          </cell>
          <cell r="CO108">
            <v>571507800</v>
          </cell>
        </row>
        <row r="109">
          <cell r="A109">
            <v>851</v>
          </cell>
          <cell r="B109">
            <v>32530800</v>
          </cell>
          <cell r="C109">
            <v>1010313</v>
          </cell>
          <cell r="D109">
            <v>1661321</v>
          </cell>
          <cell r="E109">
            <v>426451</v>
          </cell>
          <cell r="F109">
            <v>488250</v>
          </cell>
          <cell r="G109">
            <v>0</v>
          </cell>
          <cell r="H109">
            <v>0</v>
          </cell>
          <cell r="I109">
            <v>181000</v>
          </cell>
          <cell r="J109">
            <v>0</v>
          </cell>
          <cell r="K109">
            <v>180392</v>
          </cell>
          <cell r="L109">
            <v>13946</v>
          </cell>
          <cell r="M109">
            <v>180800</v>
          </cell>
          <cell r="N109">
            <v>0</v>
          </cell>
          <cell r="O109">
            <v>1328888</v>
          </cell>
          <cell r="P109">
            <v>84875</v>
          </cell>
          <cell r="Q109">
            <v>96086</v>
          </cell>
          <cell r="U109">
            <v>1947</v>
          </cell>
          <cell r="X109">
            <v>0</v>
          </cell>
          <cell r="Y109">
            <v>0</v>
          </cell>
          <cell r="Z109">
            <v>0</v>
          </cell>
          <cell r="AA109">
            <v>0</v>
          </cell>
          <cell r="AC109">
            <v>9429</v>
          </cell>
          <cell r="AD109">
            <v>5300</v>
          </cell>
          <cell r="AE109">
            <v>4000</v>
          </cell>
          <cell r="AF109">
            <v>18143</v>
          </cell>
          <cell r="AG109">
            <v>582</v>
          </cell>
          <cell r="AH109">
            <v>162100</v>
          </cell>
          <cell r="AI109">
            <v>746284</v>
          </cell>
          <cell r="AJ109">
            <v>947022</v>
          </cell>
          <cell r="AK109">
            <v>0</v>
          </cell>
          <cell r="AL109">
            <v>0</v>
          </cell>
          <cell r="AM109">
            <v>504468</v>
          </cell>
          <cell r="AN109">
            <v>40582397</v>
          </cell>
          <cell r="BO109">
            <v>90740</v>
          </cell>
          <cell r="BP109">
            <v>145565</v>
          </cell>
          <cell r="CF109">
            <v>0</v>
          </cell>
          <cell r="CH109">
            <v>0</v>
          </cell>
          <cell r="CI109">
            <v>0</v>
          </cell>
          <cell r="CJ109">
            <v>0</v>
          </cell>
          <cell r="CK109">
            <v>0</v>
          </cell>
          <cell r="CL109">
            <v>0</v>
          </cell>
          <cell r="CN109">
            <v>3823400</v>
          </cell>
          <cell r="CO109">
            <v>85224499</v>
          </cell>
        </row>
        <row r="110">
          <cell r="A110">
            <v>852</v>
          </cell>
          <cell r="B110">
            <v>40358574</v>
          </cell>
          <cell r="C110">
            <v>1356645</v>
          </cell>
          <cell r="D110">
            <v>3724720</v>
          </cell>
          <cell r="E110">
            <v>0</v>
          </cell>
          <cell r="F110">
            <v>276333</v>
          </cell>
          <cell r="G110">
            <v>0</v>
          </cell>
          <cell r="H110">
            <v>0</v>
          </cell>
          <cell r="I110">
            <v>200500</v>
          </cell>
          <cell r="J110">
            <v>0</v>
          </cell>
          <cell r="K110">
            <v>0</v>
          </cell>
          <cell r="L110">
            <v>53000</v>
          </cell>
          <cell r="M110">
            <v>94083</v>
          </cell>
          <cell r="N110">
            <v>146650</v>
          </cell>
          <cell r="O110">
            <v>1780000</v>
          </cell>
          <cell r="P110">
            <v>779183</v>
          </cell>
          <cell r="Q110">
            <v>74300</v>
          </cell>
          <cell r="U110">
            <v>0</v>
          </cell>
          <cell r="X110">
            <v>0</v>
          </cell>
          <cell r="Y110">
            <v>52367</v>
          </cell>
          <cell r="Z110">
            <v>137000</v>
          </cell>
          <cell r="AA110">
            <v>0</v>
          </cell>
          <cell r="AC110">
            <v>62900</v>
          </cell>
          <cell r="AD110">
            <v>25200</v>
          </cell>
          <cell r="AE110">
            <v>119297</v>
          </cell>
          <cell r="AF110">
            <v>1500</v>
          </cell>
          <cell r="AG110">
            <v>250</v>
          </cell>
          <cell r="AH110">
            <v>64900</v>
          </cell>
          <cell r="AI110">
            <v>692140</v>
          </cell>
          <cell r="AJ110">
            <v>1075100</v>
          </cell>
          <cell r="AK110">
            <v>0</v>
          </cell>
          <cell r="AL110">
            <v>0</v>
          </cell>
          <cell r="AM110">
            <v>0</v>
          </cell>
          <cell r="AN110">
            <v>51074642</v>
          </cell>
          <cell r="BO110">
            <v>9967</v>
          </cell>
          <cell r="BP110">
            <v>87817</v>
          </cell>
          <cell r="CF110">
            <v>411100</v>
          </cell>
          <cell r="CH110">
            <v>0</v>
          </cell>
          <cell r="CI110">
            <v>0</v>
          </cell>
          <cell r="CJ110">
            <v>0</v>
          </cell>
          <cell r="CK110">
            <v>83930</v>
          </cell>
          <cell r="CL110">
            <v>0</v>
          </cell>
          <cell r="CN110">
            <v>502489</v>
          </cell>
          <cell r="CO110">
            <v>103244587</v>
          </cell>
        </row>
        <row r="111">
          <cell r="A111">
            <v>855</v>
          </cell>
          <cell r="B111">
            <v>139930689</v>
          </cell>
          <cell r="C111">
            <v>5243818</v>
          </cell>
          <cell r="D111">
            <v>5229771</v>
          </cell>
          <cell r="E111">
            <v>0</v>
          </cell>
          <cell r="F111">
            <v>1789184</v>
          </cell>
          <cell r="G111">
            <v>0</v>
          </cell>
          <cell r="H111">
            <v>0</v>
          </cell>
          <cell r="I111">
            <v>1762880</v>
          </cell>
          <cell r="J111">
            <v>0</v>
          </cell>
          <cell r="K111">
            <v>1019850</v>
          </cell>
          <cell r="L111">
            <v>0</v>
          </cell>
          <cell r="M111">
            <v>0</v>
          </cell>
          <cell r="N111">
            <v>0</v>
          </cell>
          <cell r="O111">
            <v>968378</v>
          </cell>
          <cell r="P111">
            <v>223058</v>
          </cell>
          <cell r="Q111">
            <v>10875</v>
          </cell>
          <cell r="U111">
            <v>15504</v>
          </cell>
          <cell r="X111">
            <v>0</v>
          </cell>
          <cell r="Y111">
            <v>381305</v>
          </cell>
          <cell r="Z111">
            <v>0</v>
          </cell>
          <cell r="AA111">
            <v>0</v>
          </cell>
          <cell r="AC111">
            <v>159925</v>
          </cell>
          <cell r="AD111">
            <v>9951</v>
          </cell>
          <cell r="AE111">
            <v>109424</v>
          </cell>
          <cell r="AF111">
            <v>0</v>
          </cell>
          <cell r="AG111">
            <v>3742</v>
          </cell>
          <cell r="AH111">
            <v>410207</v>
          </cell>
          <cell r="AI111">
            <v>1013203</v>
          </cell>
          <cell r="AJ111">
            <v>5320537</v>
          </cell>
          <cell r="AK111">
            <v>0</v>
          </cell>
          <cell r="AL111">
            <v>0</v>
          </cell>
          <cell r="AM111">
            <v>573273</v>
          </cell>
          <cell r="AN111">
            <v>164175574</v>
          </cell>
          <cell r="BO111">
            <v>0</v>
          </cell>
          <cell r="BP111">
            <v>7473076</v>
          </cell>
          <cell r="CF111">
            <v>27804710</v>
          </cell>
          <cell r="CH111">
            <v>535631</v>
          </cell>
          <cell r="CI111">
            <v>0</v>
          </cell>
          <cell r="CJ111">
            <v>0</v>
          </cell>
          <cell r="CK111">
            <v>0</v>
          </cell>
          <cell r="CL111">
            <v>0</v>
          </cell>
          <cell r="CN111">
            <v>19291000</v>
          </cell>
          <cell r="CO111">
            <v>383455565</v>
          </cell>
        </row>
        <row r="112">
          <cell r="A112">
            <v>856</v>
          </cell>
          <cell r="B112">
            <v>56245199</v>
          </cell>
          <cell r="C112">
            <v>1632903</v>
          </cell>
          <cell r="D112">
            <v>6588099</v>
          </cell>
          <cell r="E112">
            <v>2922707</v>
          </cell>
          <cell r="F112">
            <v>0</v>
          </cell>
          <cell r="G112">
            <v>0</v>
          </cell>
          <cell r="H112">
            <v>76488</v>
          </cell>
          <cell r="I112">
            <v>959154</v>
          </cell>
          <cell r="J112">
            <v>384600</v>
          </cell>
          <cell r="K112">
            <v>330703</v>
          </cell>
          <cell r="L112">
            <v>253511</v>
          </cell>
          <cell r="M112">
            <v>616797</v>
          </cell>
          <cell r="N112">
            <v>633241</v>
          </cell>
          <cell r="O112">
            <v>754772</v>
          </cell>
          <cell r="P112">
            <v>146321</v>
          </cell>
          <cell r="Q112">
            <v>414678</v>
          </cell>
          <cell r="U112">
            <v>24132</v>
          </cell>
          <cell r="X112">
            <v>0</v>
          </cell>
          <cell r="Y112">
            <v>133853</v>
          </cell>
          <cell r="Z112">
            <v>51094</v>
          </cell>
          <cell r="AA112">
            <v>18232</v>
          </cell>
          <cell r="AC112">
            <v>202884</v>
          </cell>
          <cell r="AD112">
            <v>0</v>
          </cell>
          <cell r="AE112">
            <v>342703</v>
          </cell>
          <cell r="AF112">
            <v>10864</v>
          </cell>
          <cell r="AG112">
            <v>9561</v>
          </cell>
          <cell r="AH112">
            <v>85513</v>
          </cell>
          <cell r="AI112">
            <v>927013</v>
          </cell>
          <cell r="AJ112">
            <v>1538873</v>
          </cell>
          <cell r="AK112">
            <v>219262</v>
          </cell>
          <cell r="AL112">
            <v>0</v>
          </cell>
          <cell r="AM112">
            <v>2740986</v>
          </cell>
          <cell r="AN112">
            <v>78264143</v>
          </cell>
          <cell r="BO112">
            <v>7419</v>
          </cell>
          <cell r="BP112">
            <v>1749936</v>
          </cell>
          <cell r="CF112">
            <v>3090773</v>
          </cell>
          <cell r="CH112">
            <v>69018</v>
          </cell>
          <cell r="CI112">
            <v>30734</v>
          </cell>
          <cell r="CJ112">
            <v>27564</v>
          </cell>
          <cell r="CK112">
            <v>0</v>
          </cell>
          <cell r="CL112">
            <v>0</v>
          </cell>
          <cell r="CN112">
            <v>6804180</v>
          </cell>
          <cell r="CO112">
            <v>168307910</v>
          </cell>
        </row>
        <row r="113">
          <cell r="A113">
            <v>857</v>
          </cell>
          <cell r="B113">
            <v>7427043</v>
          </cell>
          <cell r="C113">
            <v>289614</v>
          </cell>
          <cell r="D113">
            <v>560679</v>
          </cell>
          <cell r="E113">
            <v>0</v>
          </cell>
          <cell r="F113">
            <v>0</v>
          </cell>
          <cell r="G113">
            <v>0</v>
          </cell>
          <cell r="H113">
            <v>0</v>
          </cell>
          <cell r="I113">
            <v>14549</v>
          </cell>
          <cell r="J113">
            <v>5555</v>
          </cell>
          <cell r="K113">
            <v>0</v>
          </cell>
          <cell r="L113">
            <v>12460</v>
          </cell>
          <cell r="M113">
            <v>0</v>
          </cell>
          <cell r="N113">
            <v>0</v>
          </cell>
          <cell r="O113">
            <v>0</v>
          </cell>
          <cell r="P113">
            <v>0</v>
          </cell>
          <cell r="Q113">
            <v>2751</v>
          </cell>
          <cell r="U113">
            <v>0</v>
          </cell>
          <cell r="X113">
            <v>0</v>
          </cell>
          <cell r="Y113">
            <v>0</v>
          </cell>
          <cell r="Z113">
            <v>0</v>
          </cell>
          <cell r="AA113">
            <v>0</v>
          </cell>
          <cell r="AC113">
            <v>9390</v>
          </cell>
          <cell r="AD113">
            <v>0</v>
          </cell>
          <cell r="AE113">
            <v>0</v>
          </cell>
          <cell r="AF113">
            <v>0</v>
          </cell>
          <cell r="AG113">
            <v>1200</v>
          </cell>
          <cell r="AH113">
            <v>0</v>
          </cell>
          <cell r="AI113">
            <v>92510</v>
          </cell>
          <cell r="AJ113">
            <v>0</v>
          </cell>
          <cell r="AK113">
            <v>0</v>
          </cell>
          <cell r="AL113">
            <v>0</v>
          </cell>
          <cell r="AM113">
            <v>0</v>
          </cell>
          <cell r="AN113">
            <v>8415751</v>
          </cell>
          <cell r="BO113">
            <v>0</v>
          </cell>
          <cell r="BP113">
            <v>550476</v>
          </cell>
          <cell r="CF113">
            <v>0</v>
          </cell>
          <cell r="CH113">
            <v>0</v>
          </cell>
          <cell r="CI113">
            <v>0</v>
          </cell>
          <cell r="CJ113">
            <v>0</v>
          </cell>
          <cell r="CK113">
            <v>0</v>
          </cell>
          <cell r="CL113">
            <v>0</v>
          </cell>
          <cell r="CN113">
            <v>595473</v>
          </cell>
          <cell r="CO113">
            <v>17977451</v>
          </cell>
        </row>
        <row r="114">
          <cell r="A114">
            <v>860</v>
          </cell>
          <cell r="B114">
            <v>186271039</v>
          </cell>
          <cell r="C114">
            <v>6632660</v>
          </cell>
          <cell r="D114">
            <v>9357026</v>
          </cell>
          <cell r="E114">
            <v>0</v>
          </cell>
          <cell r="F114">
            <v>0</v>
          </cell>
          <cell r="G114">
            <v>0</v>
          </cell>
          <cell r="H114">
            <v>0</v>
          </cell>
          <cell r="I114">
            <v>1788701</v>
          </cell>
          <cell r="J114">
            <v>149144</v>
          </cell>
          <cell r="K114">
            <v>0</v>
          </cell>
          <cell r="L114">
            <v>555003</v>
          </cell>
          <cell r="M114">
            <v>312941</v>
          </cell>
          <cell r="N114">
            <v>3697140</v>
          </cell>
          <cell r="O114">
            <v>1993975</v>
          </cell>
          <cell r="P114">
            <v>496291</v>
          </cell>
          <cell r="Q114">
            <v>849510</v>
          </cell>
          <cell r="U114">
            <v>28387</v>
          </cell>
          <cell r="X114">
            <v>0</v>
          </cell>
          <cell r="Y114">
            <v>677435</v>
          </cell>
          <cell r="Z114">
            <v>124021</v>
          </cell>
          <cell r="AA114">
            <v>0</v>
          </cell>
          <cell r="AC114">
            <v>326170</v>
          </cell>
          <cell r="AD114">
            <v>67984</v>
          </cell>
          <cell r="AE114">
            <v>327600</v>
          </cell>
          <cell r="AF114">
            <v>75865</v>
          </cell>
          <cell r="AG114">
            <v>4872</v>
          </cell>
          <cell r="AH114">
            <v>462899</v>
          </cell>
          <cell r="AI114">
            <v>2812875</v>
          </cell>
          <cell r="AJ114">
            <v>8758609</v>
          </cell>
          <cell r="AK114">
            <v>0</v>
          </cell>
          <cell r="AL114">
            <v>0</v>
          </cell>
          <cell r="AM114">
            <v>2711927</v>
          </cell>
          <cell r="AN114">
            <v>228482074</v>
          </cell>
          <cell r="BO114">
            <v>90159</v>
          </cell>
          <cell r="BP114">
            <v>7029627</v>
          </cell>
          <cell r="CF114">
            <v>29629390</v>
          </cell>
          <cell r="CH114">
            <v>118612</v>
          </cell>
          <cell r="CI114">
            <v>9889</v>
          </cell>
          <cell r="CJ114">
            <v>0</v>
          </cell>
          <cell r="CK114">
            <v>473694</v>
          </cell>
          <cell r="CL114">
            <v>0</v>
          </cell>
          <cell r="CN114">
            <v>23211263</v>
          </cell>
          <cell r="CO114">
            <v>517526782</v>
          </cell>
        </row>
        <row r="115">
          <cell r="A115">
            <v>861</v>
          </cell>
          <cell r="B115">
            <v>47556429</v>
          </cell>
          <cell r="C115">
            <v>1616548</v>
          </cell>
          <cell r="D115">
            <v>4900381</v>
          </cell>
          <cell r="E115">
            <v>2230638</v>
          </cell>
          <cell r="F115">
            <v>0</v>
          </cell>
          <cell r="G115">
            <v>0</v>
          </cell>
          <cell r="H115">
            <v>0</v>
          </cell>
          <cell r="I115">
            <v>259611</v>
          </cell>
          <cell r="J115">
            <v>249187</v>
          </cell>
          <cell r="K115">
            <v>145476</v>
          </cell>
          <cell r="L115">
            <v>304965</v>
          </cell>
          <cell r="M115">
            <v>0</v>
          </cell>
          <cell r="N115">
            <v>0</v>
          </cell>
          <cell r="O115">
            <v>384317</v>
          </cell>
          <cell r="P115">
            <v>54455</v>
          </cell>
          <cell r="Q115">
            <v>105068</v>
          </cell>
          <cell r="U115">
            <v>26769</v>
          </cell>
          <cell r="X115">
            <v>0</v>
          </cell>
          <cell r="Y115">
            <v>82434</v>
          </cell>
          <cell r="Z115">
            <v>0</v>
          </cell>
          <cell r="AA115">
            <v>0</v>
          </cell>
          <cell r="AC115">
            <v>70172</v>
          </cell>
          <cell r="AD115">
            <v>44944</v>
          </cell>
          <cell r="AE115">
            <v>0</v>
          </cell>
          <cell r="AF115">
            <v>45520</v>
          </cell>
          <cell r="AG115">
            <v>1200</v>
          </cell>
          <cell r="AH115">
            <v>123297</v>
          </cell>
          <cell r="AI115">
            <v>858177</v>
          </cell>
          <cell r="AJ115">
            <v>0</v>
          </cell>
          <cell r="AK115">
            <v>433290</v>
          </cell>
          <cell r="AL115">
            <v>0</v>
          </cell>
          <cell r="AM115">
            <v>143305</v>
          </cell>
          <cell r="AN115">
            <v>59636183</v>
          </cell>
          <cell r="BO115">
            <v>2348</v>
          </cell>
          <cell r="BP115">
            <v>723611</v>
          </cell>
          <cell r="CF115">
            <v>1803473</v>
          </cell>
          <cell r="CH115">
            <v>0</v>
          </cell>
          <cell r="CI115">
            <v>0</v>
          </cell>
          <cell r="CJ115">
            <v>0</v>
          </cell>
          <cell r="CK115">
            <v>0</v>
          </cell>
          <cell r="CL115">
            <v>0</v>
          </cell>
          <cell r="CN115">
            <v>3665805</v>
          </cell>
          <cell r="CO115">
            <v>125467603</v>
          </cell>
        </row>
        <row r="116">
          <cell r="A116">
            <v>865</v>
          </cell>
          <cell r="B116">
            <v>86440000</v>
          </cell>
          <cell r="C116">
            <v>3202334</v>
          </cell>
          <cell r="D116">
            <v>3915034</v>
          </cell>
          <cell r="E116">
            <v>0</v>
          </cell>
          <cell r="F116">
            <v>0</v>
          </cell>
          <cell r="G116">
            <v>0</v>
          </cell>
          <cell r="H116">
            <v>0</v>
          </cell>
          <cell r="I116">
            <v>1187764</v>
          </cell>
          <cell r="J116">
            <v>279884</v>
          </cell>
          <cell r="K116">
            <v>188916</v>
          </cell>
          <cell r="L116">
            <v>513</v>
          </cell>
          <cell r="M116">
            <v>0</v>
          </cell>
          <cell r="N116">
            <v>1983</v>
          </cell>
          <cell r="O116">
            <v>1519246</v>
          </cell>
          <cell r="P116">
            <v>1223</v>
          </cell>
          <cell r="Q116">
            <v>331177</v>
          </cell>
          <cell r="U116">
            <v>18462</v>
          </cell>
          <cell r="X116">
            <v>4729</v>
          </cell>
          <cell r="Y116">
            <v>9852</v>
          </cell>
          <cell r="Z116">
            <v>0</v>
          </cell>
          <cell r="AA116">
            <v>0</v>
          </cell>
          <cell r="AC116">
            <v>72194</v>
          </cell>
          <cell r="AD116">
            <v>91153</v>
          </cell>
          <cell r="AE116">
            <v>172487</v>
          </cell>
          <cell r="AF116">
            <v>7776</v>
          </cell>
          <cell r="AG116">
            <v>339</v>
          </cell>
          <cell r="AH116">
            <v>139233</v>
          </cell>
          <cell r="AI116">
            <v>0</v>
          </cell>
          <cell r="AJ116">
            <v>1975020</v>
          </cell>
          <cell r="AK116">
            <v>0</v>
          </cell>
          <cell r="AL116">
            <v>0</v>
          </cell>
          <cell r="AM116">
            <v>167683</v>
          </cell>
          <cell r="AN116">
            <v>99727002</v>
          </cell>
          <cell r="BO116">
            <v>93599</v>
          </cell>
          <cell r="BP116">
            <v>6723883</v>
          </cell>
          <cell r="CF116">
            <v>13104032</v>
          </cell>
          <cell r="CH116">
            <v>101013</v>
          </cell>
          <cell r="CI116">
            <v>0</v>
          </cell>
          <cell r="CJ116">
            <v>0</v>
          </cell>
          <cell r="CK116">
            <v>0</v>
          </cell>
          <cell r="CL116">
            <v>0</v>
          </cell>
          <cell r="CN116">
            <v>6176000</v>
          </cell>
          <cell r="CO116">
            <v>225652531</v>
          </cell>
        </row>
        <row r="117">
          <cell r="A117">
            <v>866</v>
          </cell>
          <cell r="B117">
            <v>33215062</v>
          </cell>
          <cell r="C117">
            <v>1056000</v>
          </cell>
          <cell r="D117">
            <v>1949818</v>
          </cell>
          <cell r="E117">
            <v>400369</v>
          </cell>
          <cell r="F117">
            <v>0</v>
          </cell>
          <cell r="G117">
            <v>0</v>
          </cell>
          <cell r="H117">
            <v>250000</v>
          </cell>
          <cell r="I117">
            <v>82812</v>
          </cell>
          <cell r="J117">
            <v>266685</v>
          </cell>
          <cell r="K117">
            <v>326577</v>
          </cell>
          <cell r="L117">
            <v>11345</v>
          </cell>
          <cell r="M117">
            <v>0</v>
          </cell>
          <cell r="N117">
            <v>0</v>
          </cell>
          <cell r="O117">
            <v>466306</v>
          </cell>
          <cell r="P117">
            <v>0</v>
          </cell>
          <cell r="Q117">
            <v>486850</v>
          </cell>
          <cell r="U117">
            <v>12000</v>
          </cell>
          <cell r="X117">
            <v>0</v>
          </cell>
          <cell r="Y117">
            <v>0</v>
          </cell>
          <cell r="Z117">
            <v>0</v>
          </cell>
          <cell r="AA117">
            <v>0</v>
          </cell>
          <cell r="AC117">
            <v>81667</v>
          </cell>
          <cell r="AD117">
            <v>0</v>
          </cell>
          <cell r="AE117">
            <v>169421</v>
          </cell>
          <cell r="AF117">
            <v>30000</v>
          </cell>
          <cell r="AG117">
            <v>20516</v>
          </cell>
          <cell r="AH117">
            <v>118328</v>
          </cell>
          <cell r="AI117">
            <v>0</v>
          </cell>
          <cell r="AJ117">
            <v>0</v>
          </cell>
          <cell r="AK117">
            <v>0</v>
          </cell>
          <cell r="AL117">
            <v>0</v>
          </cell>
          <cell r="AM117">
            <v>1172832</v>
          </cell>
          <cell r="AN117">
            <v>40116588</v>
          </cell>
          <cell r="BO117">
            <v>0</v>
          </cell>
          <cell r="BP117">
            <v>542941</v>
          </cell>
          <cell r="CF117">
            <v>1435579</v>
          </cell>
          <cell r="CH117">
            <v>0</v>
          </cell>
          <cell r="CI117">
            <v>0</v>
          </cell>
          <cell r="CJ117">
            <v>0</v>
          </cell>
          <cell r="CK117">
            <v>0</v>
          </cell>
          <cell r="CL117">
            <v>0</v>
          </cell>
          <cell r="CN117">
            <v>4442566</v>
          </cell>
          <cell r="CO117">
            <v>86654262</v>
          </cell>
        </row>
        <row r="118">
          <cell r="A118">
            <v>867</v>
          </cell>
          <cell r="B118">
            <v>19587755</v>
          </cell>
          <cell r="C118">
            <v>596305</v>
          </cell>
          <cell r="D118">
            <v>919339</v>
          </cell>
          <cell r="E118">
            <v>0</v>
          </cell>
          <cell r="F118">
            <v>0</v>
          </cell>
          <cell r="G118">
            <v>0</v>
          </cell>
          <cell r="H118">
            <v>208000</v>
          </cell>
          <cell r="I118">
            <v>79565</v>
          </cell>
          <cell r="J118">
            <v>0</v>
          </cell>
          <cell r="K118">
            <v>37433</v>
          </cell>
          <cell r="L118">
            <v>2780</v>
          </cell>
          <cell r="M118">
            <v>203454</v>
          </cell>
          <cell r="N118">
            <v>0</v>
          </cell>
          <cell r="O118">
            <v>527241</v>
          </cell>
          <cell r="P118">
            <v>62451</v>
          </cell>
          <cell r="Q118">
            <v>108128</v>
          </cell>
          <cell r="U118">
            <v>0</v>
          </cell>
          <cell r="X118">
            <v>0</v>
          </cell>
          <cell r="Y118">
            <v>0</v>
          </cell>
          <cell r="Z118">
            <v>0</v>
          </cell>
          <cell r="AA118">
            <v>0</v>
          </cell>
          <cell r="AC118">
            <v>22391</v>
          </cell>
          <cell r="AD118">
            <v>4531</v>
          </cell>
          <cell r="AE118">
            <v>9966</v>
          </cell>
          <cell r="AF118">
            <v>27922</v>
          </cell>
          <cell r="AG118">
            <v>3307</v>
          </cell>
          <cell r="AH118">
            <v>57400</v>
          </cell>
          <cell r="AI118">
            <v>17500</v>
          </cell>
          <cell r="AJ118">
            <v>649000</v>
          </cell>
          <cell r="AK118">
            <v>0</v>
          </cell>
          <cell r="AL118">
            <v>104215</v>
          </cell>
          <cell r="AM118">
            <v>122239</v>
          </cell>
          <cell r="AN118">
            <v>23350922</v>
          </cell>
          <cell r="BO118">
            <v>0</v>
          </cell>
          <cell r="BP118">
            <v>650971</v>
          </cell>
          <cell r="CF118">
            <v>3323893</v>
          </cell>
          <cell r="CH118">
            <v>0</v>
          </cell>
          <cell r="CI118">
            <v>0</v>
          </cell>
          <cell r="CJ118">
            <v>0</v>
          </cell>
          <cell r="CK118">
            <v>0</v>
          </cell>
          <cell r="CL118">
            <v>0</v>
          </cell>
          <cell r="CN118">
            <v>4076247</v>
          </cell>
          <cell r="CO118">
            <v>54752955</v>
          </cell>
        </row>
        <row r="119">
          <cell r="A119">
            <v>868</v>
          </cell>
          <cell r="B119">
            <v>33914055</v>
          </cell>
          <cell r="C119">
            <v>1207492</v>
          </cell>
          <cell r="D119">
            <v>2460184</v>
          </cell>
          <cell r="E119">
            <v>0</v>
          </cell>
          <cell r="F119">
            <v>0</v>
          </cell>
          <cell r="G119">
            <v>0</v>
          </cell>
          <cell r="H119">
            <v>0</v>
          </cell>
          <cell r="I119">
            <v>205034</v>
          </cell>
          <cell r="J119">
            <v>0</v>
          </cell>
          <cell r="K119">
            <v>257056</v>
          </cell>
          <cell r="L119">
            <v>0</v>
          </cell>
          <cell r="M119">
            <v>227630</v>
          </cell>
          <cell r="N119">
            <v>0</v>
          </cell>
          <cell r="O119">
            <v>369411</v>
          </cell>
          <cell r="P119">
            <v>82258</v>
          </cell>
          <cell r="Q119">
            <v>65797</v>
          </cell>
          <cell r="U119">
            <v>0</v>
          </cell>
          <cell r="X119">
            <v>0</v>
          </cell>
          <cell r="Y119">
            <v>0</v>
          </cell>
          <cell r="Z119">
            <v>0</v>
          </cell>
          <cell r="AA119">
            <v>0</v>
          </cell>
          <cell r="AC119">
            <v>177300</v>
          </cell>
          <cell r="AD119">
            <v>78417</v>
          </cell>
          <cell r="AE119">
            <v>23340</v>
          </cell>
          <cell r="AF119">
            <v>41882</v>
          </cell>
          <cell r="AG119">
            <v>6405</v>
          </cell>
          <cell r="AH119">
            <v>70819</v>
          </cell>
          <cell r="AI119">
            <v>442993</v>
          </cell>
          <cell r="AJ119">
            <v>1288202</v>
          </cell>
          <cell r="AK119">
            <v>0</v>
          </cell>
          <cell r="AL119">
            <v>0</v>
          </cell>
          <cell r="AM119">
            <v>0</v>
          </cell>
          <cell r="AN119">
            <v>40918275</v>
          </cell>
          <cell r="BO119">
            <v>0</v>
          </cell>
          <cell r="BP119">
            <v>551681</v>
          </cell>
          <cell r="CF119">
            <v>7265759</v>
          </cell>
          <cell r="CH119">
            <v>0</v>
          </cell>
          <cell r="CI119">
            <v>0</v>
          </cell>
          <cell r="CJ119">
            <v>86033</v>
          </cell>
          <cell r="CK119">
            <v>0</v>
          </cell>
          <cell r="CL119">
            <v>0</v>
          </cell>
          <cell r="CN119">
            <v>3841775</v>
          </cell>
          <cell r="CO119">
            <v>93581798</v>
          </cell>
        </row>
        <row r="120">
          <cell r="A120">
            <v>869</v>
          </cell>
          <cell r="B120">
            <v>39388527</v>
          </cell>
          <cell r="C120">
            <v>1046613</v>
          </cell>
          <cell r="D120">
            <v>1961193</v>
          </cell>
          <cell r="E120">
            <v>0</v>
          </cell>
          <cell r="F120">
            <v>0</v>
          </cell>
          <cell r="G120">
            <v>0</v>
          </cell>
          <cell r="H120">
            <v>36117</v>
          </cell>
          <cell r="I120">
            <v>48434</v>
          </cell>
          <cell r="J120">
            <v>201068</v>
          </cell>
          <cell r="K120">
            <v>33384</v>
          </cell>
          <cell r="L120">
            <v>0</v>
          </cell>
          <cell r="M120">
            <v>90857</v>
          </cell>
          <cell r="N120">
            <v>0</v>
          </cell>
          <cell r="O120">
            <v>760942</v>
          </cell>
          <cell r="P120">
            <v>264445</v>
          </cell>
          <cell r="Q120">
            <v>134365</v>
          </cell>
          <cell r="U120">
            <v>6028</v>
          </cell>
          <cell r="X120">
            <v>0</v>
          </cell>
          <cell r="Y120">
            <v>36604</v>
          </cell>
          <cell r="Z120">
            <v>0</v>
          </cell>
          <cell r="AA120">
            <v>2728</v>
          </cell>
          <cell r="AC120">
            <v>110861</v>
          </cell>
          <cell r="AD120">
            <v>0</v>
          </cell>
          <cell r="AE120">
            <v>13963</v>
          </cell>
          <cell r="AF120">
            <v>97556</v>
          </cell>
          <cell r="AG120">
            <v>6464</v>
          </cell>
          <cell r="AH120">
            <v>78092</v>
          </cell>
          <cell r="AI120">
            <v>431815</v>
          </cell>
          <cell r="AJ120">
            <v>1670030</v>
          </cell>
          <cell r="AK120">
            <v>0</v>
          </cell>
          <cell r="AL120">
            <v>0</v>
          </cell>
          <cell r="AM120">
            <v>565892</v>
          </cell>
          <cell r="AN120">
            <v>46985978</v>
          </cell>
          <cell r="BO120">
            <v>60519</v>
          </cell>
          <cell r="BP120">
            <v>1041447</v>
          </cell>
          <cell r="CF120">
            <v>9056165</v>
          </cell>
          <cell r="CH120">
            <v>0</v>
          </cell>
          <cell r="CI120">
            <v>0</v>
          </cell>
          <cell r="CJ120">
            <v>0</v>
          </cell>
          <cell r="CK120">
            <v>0</v>
          </cell>
          <cell r="CL120">
            <v>0</v>
          </cell>
          <cell r="CN120">
            <v>4344707</v>
          </cell>
          <cell r="CO120">
            <v>108474794</v>
          </cell>
        </row>
        <row r="121">
          <cell r="A121">
            <v>870</v>
          </cell>
          <cell r="B121">
            <v>21294282</v>
          </cell>
          <cell r="C121">
            <v>673016</v>
          </cell>
          <cell r="D121">
            <v>2053206</v>
          </cell>
          <cell r="E121">
            <v>0</v>
          </cell>
          <cell r="F121">
            <v>0</v>
          </cell>
          <cell r="G121">
            <v>0</v>
          </cell>
          <cell r="H121">
            <v>0</v>
          </cell>
          <cell r="I121">
            <v>92983</v>
          </cell>
          <cell r="J121">
            <v>0</v>
          </cell>
          <cell r="K121">
            <v>11720</v>
          </cell>
          <cell r="L121">
            <v>28695</v>
          </cell>
          <cell r="M121">
            <v>758164</v>
          </cell>
          <cell r="N121">
            <v>0</v>
          </cell>
          <cell r="O121">
            <v>29789</v>
          </cell>
          <cell r="P121">
            <v>0</v>
          </cell>
          <cell r="Q121">
            <v>868337</v>
          </cell>
          <cell r="U121">
            <v>0</v>
          </cell>
          <cell r="X121">
            <v>0</v>
          </cell>
          <cell r="Y121">
            <v>0</v>
          </cell>
          <cell r="Z121">
            <v>0</v>
          </cell>
          <cell r="AA121">
            <v>18705</v>
          </cell>
          <cell r="AC121">
            <v>43406</v>
          </cell>
          <cell r="AD121">
            <v>6933</v>
          </cell>
          <cell r="AE121">
            <v>55950</v>
          </cell>
          <cell r="AF121">
            <v>18256</v>
          </cell>
          <cell r="AG121">
            <v>0</v>
          </cell>
          <cell r="AH121">
            <v>22516</v>
          </cell>
          <cell r="AI121">
            <v>59638</v>
          </cell>
          <cell r="AJ121">
            <v>726309</v>
          </cell>
          <cell r="AK121">
            <v>0</v>
          </cell>
          <cell r="AL121">
            <v>0</v>
          </cell>
          <cell r="AM121">
            <v>0</v>
          </cell>
          <cell r="AN121">
            <v>26761905</v>
          </cell>
          <cell r="BO121">
            <v>0</v>
          </cell>
          <cell r="BP121">
            <v>490673</v>
          </cell>
          <cell r="CF121">
            <v>4827176</v>
          </cell>
          <cell r="CH121">
            <v>0</v>
          </cell>
          <cell r="CI121">
            <v>0</v>
          </cell>
          <cell r="CJ121">
            <v>0</v>
          </cell>
          <cell r="CK121">
            <v>0</v>
          </cell>
          <cell r="CL121">
            <v>0</v>
          </cell>
          <cell r="CN121">
            <v>1537101</v>
          </cell>
          <cell r="CO121">
            <v>60378760</v>
          </cell>
        </row>
        <row r="122">
          <cell r="A122">
            <v>871</v>
          </cell>
          <cell r="B122">
            <v>30391472</v>
          </cell>
          <cell r="C122">
            <v>1059139</v>
          </cell>
          <cell r="D122">
            <v>2516760</v>
          </cell>
          <cell r="E122">
            <v>312000</v>
          </cell>
          <cell r="F122">
            <v>262133</v>
          </cell>
          <cell r="G122">
            <v>0</v>
          </cell>
          <cell r="H122">
            <v>0</v>
          </cell>
          <cell r="I122">
            <v>27433</v>
          </cell>
          <cell r="J122">
            <v>0</v>
          </cell>
          <cell r="K122">
            <v>50102</v>
          </cell>
          <cell r="L122">
            <v>10338</v>
          </cell>
          <cell r="M122">
            <v>0</v>
          </cell>
          <cell r="N122">
            <v>0</v>
          </cell>
          <cell r="O122">
            <v>525539</v>
          </cell>
          <cell r="P122">
            <v>89541</v>
          </cell>
          <cell r="Q122">
            <v>234539</v>
          </cell>
          <cell r="U122">
            <v>5905</v>
          </cell>
          <cell r="X122">
            <v>0</v>
          </cell>
          <cell r="Y122">
            <v>0</v>
          </cell>
          <cell r="Z122">
            <v>0</v>
          </cell>
          <cell r="AA122">
            <v>0</v>
          </cell>
          <cell r="AC122">
            <v>115149</v>
          </cell>
          <cell r="AD122">
            <v>12913</v>
          </cell>
          <cell r="AE122">
            <v>130252</v>
          </cell>
          <cell r="AF122">
            <v>1326</v>
          </cell>
          <cell r="AG122">
            <v>9640</v>
          </cell>
          <cell r="AH122">
            <v>0</v>
          </cell>
          <cell r="AI122">
            <v>0</v>
          </cell>
          <cell r="AJ122">
            <v>870510</v>
          </cell>
          <cell r="AK122">
            <v>0</v>
          </cell>
          <cell r="AL122">
            <v>0</v>
          </cell>
          <cell r="AM122">
            <v>388714</v>
          </cell>
          <cell r="AN122">
            <v>37013405</v>
          </cell>
          <cell r="BO122">
            <v>0</v>
          </cell>
          <cell r="BP122">
            <v>144790</v>
          </cell>
          <cell r="CF122">
            <v>5264314</v>
          </cell>
          <cell r="CH122">
            <v>0</v>
          </cell>
          <cell r="CI122">
            <v>0</v>
          </cell>
          <cell r="CJ122">
            <v>0</v>
          </cell>
          <cell r="CK122">
            <v>0</v>
          </cell>
          <cell r="CL122">
            <v>0</v>
          </cell>
          <cell r="CN122">
            <v>0</v>
          </cell>
          <cell r="CO122">
            <v>79435914</v>
          </cell>
        </row>
        <row r="123">
          <cell r="A123">
            <v>872</v>
          </cell>
          <cell r="B123">
            <v>33977877</v>
          </cell>
          <cell r="C123">
            <v>933480</v>
          </cell>
          <cell r="D123">
            <v>1387364</v>
          </cell>
          <cell r="E123">
            <v>0</v>
          </cell>
          <cell r="F123">
            <v>0</v>
          </cell>
          <cell r="G123">
            <v>0</v>
          </cell>
          <cell r="H123">
            <v>0</v>
          </cell>
          <cell r="I123">
            <v>182593</v>
          </cell>
          <cell r="J123">
            <v>190310</v>
          </cell>
          <cell r="K123">
            <v>0</v>
          </cell>
          <cell r="L123">
            <v>0</v>
          </cell>
          <cell r="M123">
            <v>305002</v>
          </cell>
          <cell r="N123">
            <v>0</v>
          </cell>
          <cell r="O123">
            <v>206397</v>
          </cell>
          <cell r="P123">
            <v>117141</v>
          </cell>
          <cell r="Q123">
            <v>317533</v>
          </cell>
          <cell r="U123">
            <v>0</v>
          </cell>
          <cell r="X123">
            <v>0</v>
          </cell>
          <cell r="Y123">
            <v>261327</v>
          </cell>
          <cell r="Z123">
            <v>0</v>
          </cell>
          <cell r="AA123">
            <v>0</v>
          </cell>
          <cell r="AC123">
            <v>40420</v>
          </cell>
          <cell r="AD123">
            <v>159030</v>
          </cell>
          <cell r="AE123">
            <v>259887</v>
          </cell>
          <cell r="AF123">
            <v>4955</v>
          </cell>
          <cell r="AG123">
            <v>2648</v>
          </cell>
          <cell r="AH123">
            <v>76903</v>
          </cell>
          <cell r="AI123">
            <v>717453</v>
          </cell>
          <cell r="AJ123">
            <v>856238</v>
          </cell>
          <cell r="AK123">
            <v>0</v>
          </cell>
          <cell r="AL123">
            <v>0</v>
          </cell>
          <cell r="AM123">
            <v>0</v>
          </cell>
          <cell r="AN123">
            <v>39996558</v>
          </cell>
          <cell r="BO123">
            <v>0</v>
          </cell>
          <cell r="BP123">
            <v>1181394</v>
          </cell>
          <cell r="CF123">
            <v>7648561</v>
          </cell>
          <cell r="CH123">
            <v>0</v>
          </cell>
          <cell r="CI123">
            <v>0</v>
          </cell>
          <cell r="CJ123">
            <v>0</v>
          </cell>
          <cell r="CK123">
            <v>0</v>
          </cell>
          <cell r="CL123">
            <v>0</v>
          </cell>
          <cell r="CN123">
            <v>4462224</v>
          </cell>
          <cell r="CO123">
            <v>93285295</v>
          </cell>
        </row>
        <row r="124">
          <cell r="A124">
            <v>873</v>
          </cell>
          <cell r="B124">
            <v>98128643</v>
          </cell>
          <cell r="C124">
            <v>3143021</v>
          </cell>
          <cell r="D124">
            <v>4351929</v>
          </cell>
          <cell r="E124">
            <v>0</v>
          </cell>
          <cell r="F124">
            <v>0</v>
          </cell>
          <cell r="G124">
            <v>1099984</v>
          </cell>
          <cell r="H124">
            <v>0</v>
          </cell>
          <cell r="I124">
            <v>393915</v>
          </cell>
          <cell r="J124">
            <v>63801</v>
          </cell>
          <cell r="K124">
            <v>0</v>
          </cell>
          <cell r="L124">
            <v>172902</v>
          </cell>
          <cell r="M124">
            <v>251484</v>
          </cell>
          <cell r="N124">
            <v>110917</v>
          </cell>
          <cell r="O124">
            <v>1763410</v>
          </cell>
          <cell r="P124">
            <v>891279</v>
          </cell>
          <cell r="Q124">
            <v>1318372</v>
          </cell>
          <cell r="U124">
            <v>17629</v>
          </cell>
          <cell r="X124">
            <v>0</v>
          </cell>
          <cell r="Y124">
            <v>0</v>
          </cell>
          <cell r="Z124">
            <v>0</v>
          </cell>
          <cell r="AA124">
            <v>0</v>
          </cell>
          <cell r="AC124">
            <v>111640</v>
          </cell>
          <cell r="AD124">
            <v>59001</v>
          </cell>
          <cell r="AE124">
            <v>365463</v>
          </cell>
          <cell r="AF124">
            <v>11249</v>
          </cell>
          <cell r="AG124">
            <v>2068</v>
          </cell>
          <cell r="AH124">
            <v>145733</v>
          </cell>
          <cell r="AI124">
            <v>908151</v>
          </cell>
          <cell r="AJ124">
            <v>0</v>
          </cell>
          <cell r="AK124">
            <v>0</v>
          </cell>
          <cell r="AL124">
            <v>0</v>
          </cell>
          <cell r="AM124">
            <v>865078</v>
          </cell>
          <cell r="AN124">
            <v>114175669</v>
          </cell>
          <cell r="BO124">
            <v>60500</v>
          </cell>
          <cell r="BP124">
            <v>5225253</v>
          </cell>
          <cell r="CF124">
            <v>11681150</v>
          </cell>
          <cell r="CH124">
            <v>0</v>
          </cell>
          <cell r="CI124">
            <v>0</v>
          </cell>
          <cell r="CJ124">
            <v>0</v>
          </cell>
          <cell r="CK124">
            <v>0</v>
          </cell>
          <cell r="CL124">
            <v>0</v>
          </cell>
          <cell r="CN124">
            <v>1740268</v>
          </cell>
          <cell r="CO124">
            <v>247058509</v>
          </cell>
        </row>
        <row r="125">
          <cell r="A125">
            <v>874</v>
          </cell>
          <cell r="B125">
            <v>42566676</v>
          </cell>
          <cell r="C125">
            <v>1312000</v>
          </cell>
          <cell r="D125">
            <v>3312399</v>
          </cell>
          <cell r="E125">
            <v>273151</v>
          </cell>
          <cell r="F125">
            <v>0</v>
          </cell>
          <cell r="G125">
            <v>0</v>
          </cell>
          <cell r="H125">
            <v>0</v>
          </cell>
          <cell r="I125">
            <v>469670</v>
          </cell>
          <cell r="J125">
            <v>169379</v>
          </cell>
          <cell r="K125">
            <v>43260</v>
          </cell>
          <cell r="L125">
            <v>306316</v>
          </cell>
          <cell r="M125">
            <v>0</v>
          </cell>
          <cell r="N125">
            <v>0</v>
          </cell>
          <cell r="O125">
            <v>319713</v>
          </cell>
          <cell r="P125">
            <v>389465</v>
          </cell>
          <cell r="Q125">
            <v>1262230</v>
          </cell>
          <cell r="U125">
            <v>0</v>
          </cell>
          <cell r="X125">
            <v>0</v>
          </cell>
          <cell r="Y125">
            <v>0</v>
          </cell>
          <cell r="Z125">
            <v>0</v>
          </cell>
          <cell r="AA125">
            <v>0</v>
          </cell>
          <cell r="AC125">
            <v>79494</v>
          </cell>
          <cell r="AD125">
            <v>20477</v>
          </cell>
          <cell r="AE125">
            <v>0</v>
          </cell>
          <cell r="AF125">
            <v>1212</v>
          </cell>
          <cell r="AG125">
            <v>0</v>
          </cell>
          <cell r="AH125">
            <v>42977</v>
          </cell>
          <cell r="AI125">
            <v>105357</v>
          </cell>
          <cell r="AJ125">
            <v>0</v>
          </cell>
          <cell r="AK125">
            <v>45453</v>
          </cell>
          <cell r="AL125">
            <v>0</v>
          </cell>
          <cell r="AM125">
            <v>694349</v>
          </cell>
          <cell r="AN125">
            <v>51413578</v>
          </cell>
          <cell r="BO125">
            <v>141309</v>
          </cell>
          <cell r="BP125">
            <v>536314</v>
          </cell>
          <cell r="CF125">
            <v>8097676</v>
          </cell>
          <cell r="CH125">
            <v>0</v>
          </cell>
          <cell r="CI125">
            <v>0</v>
          </cell>
          <cell r="CJ125">
            <v>0</v>
          </cell>
          <cell r="CK125">
            <v>0</v>
          </cell>
          <cell r="CL125">
            <v>0</v>
          </cell>
          <cell r="CN125">
            <v>487736</v>
          </cell>
          <cell r="CO125">
            <v>112090191</v>
          </cell>
        </row>
        <row r="126">
          <cell r="A126">
            <v>875</v>
          </cell>
          <cell r="B126">
            <v>144418791</v>
          </cell>
          <cell r="C126">
            <v>4446000</v>
          </cell>
          <cell r="D126">
            <v>3716698</v>
          </cell>
          <cell r="E126">
            <v>343655</v>
          </cell>
          <cell r="F126">
            <v>0</v>
          </cell>
          <cell r="G126">
            <v>0</v>
          </cell>
          <cell r="H126">
            <v>12990</v>
          </cell>
          <cell r="I126">
            <v>668730</v>
          </cell>
          <cell r="J126">
            <v>178069</v>
          </cell>
          <cell r="K126">
            <v>0</v>
          </cell>
          <cell r="L126">
            <v>113218</v>
          </cell>
          <cell r="M126">
            <v>44187</v>
          </cell>
          <cell r="N126">
            <v>13048</v>
          </cell>
          <cell r="O126">
            <v>0</v>
          </cell>
          <cell r="P126">
            <v>40610</v>
          </cell>
          <cell r="Q126">
            <v>426499</v>
          </cell>
          <cell r="U126">
            <v>9650</v>
          </cell>
          <cell r="X126">
            <v>3864210</v>
          </cell>
          <cell r="Y126">
            <v>844578</v>
          </cell>
          <cell r="Z126">
            <v>0</v>
          </cell>
          <cell r="AA126">
            <v>0</v>
          </cell>
          <cell r="AC126">
            <v>108670</v>
          </cell>
          <cell r="AD126">
            <v>75823</v>
          </cell>
          <cell r="AE126">
            <v>1365409</v>
          </cell>
          <cell r="AF126">
            <v>31785</v>
          </cell>
          <cell r="AG126">
            <v>2097</v>
          </cell>
          <cell r="AH126">
            <v>548948</v>
          </cell>
          <cell r="AI126">
            <v>527509</v>
          </cell>
          <cell r="AJ126">
            <v>5485130</v>
          </cell>
          <cell r="AK126">
            <v>0</v>
          </cell>
          <cell r="AL126">
            <v>0</v>
          </cell>
          <cell r="AM126">
            <v>986886</v>
          </cell>
          <cell r="AN126">
            <v>168273190</v>
          </cell>
          <cell r="BO126">
            <v>132590</v>
          </cell>
          <cell r="BP126">
            <v>6301843</v>
          </cell>
          <cell r="CF126">
            <v>23662279</v>
          </cell>
          <cell r="CH126">
            <v>180508</v>
          </cell>
          <cell r="CI126">
            <v>0</v>
          </cell>
          <cell r="CJ126">
            <v>0</v>
          </cell>
          <cell r="CK126">
            <v>0</v>
          </cell>
          <cell r="CL126">
            <v>733933</v>
          </cell>
          <cell r="CN126">
            <v>5352958</v>
          </cell>
          <cell r="CO126">
            <v>372910491</v>
          </cell>
        </row>
        <row r="127">
          <cell r="A127">
            <v>876</v>
          </cell>
          <cell r="B127">
            <v>27115575</v>
          </cell>
          <cell r="C127">
            <v>786556</v>
          </cell>
          <cell r="D127">
            <v>1622914</v>
          </cell>
          <cell r="E127">
            <v>1631219</v>
          </cell>
          <cell r="F127">
            <v>0</v>
          </cell>
          <cell r="G127">
            <v>0</v>
          </cell>
          <cell r="H127">
            <v>0</v>
          </cell>
          <cell r="I127">
            <v>95772</v>
          </cell>
          <cell r="J127">
            <v>238115</v>
          </cell>
          <cell r="K127">
            <v>5567</v>
          </cell>
          <cell r="L127">
            <v>54566</v>
          </cell>
          <cell r="M127">
            <v>82059</v>
          </cell>
          <cell r="N127">
            <v>3671</v>
          </cell>
          <cell r="O127">
            <v>518785</v>
          </cell>
          <cell r="P127">
            <v>7502</v>
          </cell>
          <cell r="Q127">
            <v>123887</v>
          </cell>
          <cell r="U127">
            <v>1636</v>
          </cell>
          <cell r="X127">
            <v>0</v>
          </cell>
          <cell r="Y127">
            <v>343540</v>
          </cell>
          <cell r="Z127">
            <v>0</v>
          </cell>
          <cell r="AA127">
            <v>0</v>
          </cell>
          <cell r="AC127">
            <v>43368</v>
          </cell>
          <cell r="AD127">
            <v>23100</v>
          </cell>
          <cell r="AE127">
            <v>0</v>
          </cell>
          <cell r="AF127">
            <v>25275</v>
          </cell>
          <cell r="AG127">
            <v>5996</v>
          </cell>
          <cell r="AH127">
            <v>73441</v>
          </cell>
          <cell r="AI127">
            <v>1391103</v>
          </cell>
          <cell r="AJ127">
            <v>889560</v>
          </cell>
          <cell r="AK127">
            <v>429360</v>
          </cell>
          <cell r="AL127">
            <v>0</v>
          </cell>
          <cell r="AM127">
            <v>162228</v>
          </cell>
          <cell r="AN127">
            <v>35674795</v>
          </cell>
          <cell r="BO127">
            <v>0</v>
          </cell>
          <cell r="BP127">
            <v>113770</v>
          </cell>
          <cell r="CF127">
            <v>990704</v>
          </cell>
          <cell r="CH127">
            <v>0</v>
          </cell>
          <cell r="CI127">
            <v>0</v>
          </cell>
          <cell r="CJ127">
            <v>0</v>
          </cell>
          <cell r="CK127">
            <v>0</v>
          </cell>
          <cell r="CL127">
            <v>0</v>
          </cell>
          <cell r="CN127">
            <v>267067</v>
          </cell>
          <cell r="CO127">
            <v>72721131</v>
          </cell>
        </row>
        <row r="128">
          <cell r="A128">
            <v>877</v>
          </cell>
          <cell r="B128">
            <v>44784943</v>
          </cell>
          <cell r="C128">
            <v>1249132</v>
          </cell>
          <cell r="D128">
            <v>1469925</v>
          </cell>
          <cell r="E128">
            <v>0</v>
          </cell>
          <cell r="F128">
            <v>0</v>
          </cell>
          <cell r="G128">
            <v>0</v>
          </cell>
          <cell r="H128">
            <v>0</v>
          </cell>
          <cell r="I128">
            <v>238462</v>
          </cell>
          <cell r="J128">
            <v>39078</v>
          </cell>
          <cell r="K128">
            <v>256257</v>
          </cell>
          <cell r="L128">
            <v>14474</v>
          </cell>
          <cell r="M128">
            <v>0</v>
          </cell>
          <cell r="N128">
            <v>0</v>
          </cell>
          <cell r="O128">
            <v>385099</v>
          </cell>
          <cell r="P128">
            <v>127769</v>
          </cell>
          <cell r="Q128">
            <v>43535</v>
          </cell>
          <cell r="U128">
            <v>9027</v>
          </cell>
          <cell r="X128">
            <v>0</v>
          </cell>
          <cell r="Y128">
            <v>2622</v>
          </cell>
          <cell r="Z128">
            <v>93600</v>
          </cell>
          <cell r="AA128">
            <v>6600</v>
          </cell>
          <cell r="AC128">
            <v>85762</v>
          </cell>
          <cell r="AD128">
            <v>17069</v>
          </cell>
          <cell r="AE128">
            <v>27217</v>
          </cell>
          <cell r="AF128">
            <v>10626</v>
          </cell>
          <cell r="AG128">
            <v>428</v>
          </cell>
          <cell r="AH128">
            <v>157068</v>
          </cell>
          <cell r="AI128">
            <v>187000</v>
          </cell>
          <cell r="AJ128">
            <v>1031880</v>
          </cell>
          <cell r="AK128">
            <v>0</v>
          </cell>
          <cell r="AL128">
            <v>0</v>
          </cell>
          <cell r="AM128">
            <v>1290747</v>
          </cell>
          <cell r="AN128">
            <v>51528320</v>
          </cell>
          <cell r="BO128">
            <v>0</v>
          </cell>
          <cell r="BP128">
            <v>643068</v>
          </cell>
          <cell r="CF128">
            <v>5345029</v>
          </cell>
          <cell r="CH128">
            <v>53820</v>
          </cell>
          <cell r="CI128">
            <v>0</v>
          </cell>
          <cell r="CJ128">
            <v>0</v>
          </cell>
          <cell r="CK128">
            <v>0</v>
          </cell>
          <cell r="CL128">
            <v>0</v>
          </cell>
          <cell r="CN128">
            <v>2569000</v>
          </cell>
          <cell r="CO128">
            <v>111667557</v>
          </cell>
        </row>
        <row r="129">
          <cell r="A129">
            <v>878</v>
          </cell>
          <cell r="B129">
            <v>128038000</v>
          </cell>
          <cell r="C129">
            <v>3837000</v>
          </cell>
          <cell r="D129">
            <v>2847000</v>
          </cell>
          <cell r="E129">
            <v>0</v>
          </cell>
          <cell r="F129">
            <v>0</v>
          </cell>
          <cell r="G129">
            <v>0</v>
          </cell>
          <cell r="H129">
            <v>0</v>
          </cell>
          <cell r="I129">
            <v>715000</v>
          </cell>
          <cell r="J129">
            <v>83000</v>
          </cell>
          <cell r="K129">
            <v>459000</v>
          </cell>
          <cell r="L129">
            <v>683000</v>
          </cell>
          <cell r="M129">
            <v>0</v>
          </cell>
          <cell r="N129">
            <v>0</v>
          </cell>
          <cell r="O129">
            <v>1378000</v>
          </cell>
          <cell r="P129">
            <v>0</v>
          </cell>
          <cell r="Q129">
            <v>1687000</v>
          </cell>
          <cell r="U129">
            <v>0</v>
          </cell>
          <cell r="X129">
            <v>0</v>
          </cell>
          <cell r="Y129">
            <v>0</v>
          </cell>
          <cell r="Z129">
            <v>0</v>
          </cell>
          <cell r="AA129">
            <v>157000</v>
          </cell>
          <cell r="AC129">
            <v>0</v>
          </cell>
          <cell r="AD129">
            <v>75000</v>
          </cell>
          <cell r="AE129">
            <v>189000</v>
          </cell>
          <cell r="AF129">
            <v>126000</v>
          </cell>
          <cell r="AG129">
            <v>4000</v>
          </cell>
          <cell r="AH129">
            <v>390000</v>
          </cell>
          <cell r="AI129">
            <v>2541000</v>
          </cell>
          <cell r="AJ129">
            <v>0</v>
          </cell>
          <cell r="AK129">
            <v>0</v>
          </cell>
          <cell r="AL129">
            <v>0</v>
          </cell>
          <cell r="AM129">
            <v>719000</v>
          </cell>
          <cell r="AN129">
            <v>143928000</v>
          </cell>
          <cell r="BO129">
            <v>183000</v>
          </cell>
          <cell r="BP129">
            <v>10419000</v>
          </cell>
          <cell r="CF129">
            <v>17964000</v>
          </cell>
          <cell r="CH129">
            <v>90000</v>
          </cell>
          <cell r="CI129">
            <v>0</v>
          </cell>
          <cell r="CJ129">
            <v>0</v>
          </cell>
          <cell r="CK129">
            <v>0</v>
          </cell>
          <cell r="CL129">
            <v>0</v>
          </cell>
          <cell r="CN129">
            <v>14120000</v>
          </cell>
          <cell r="CO129">
            <v>330632000</v>
          </cell>
        </row>
        <row r="130">
          <cell r="A130">
            <v>879</v>
          </cell>
          <cell r="B130">
            <v>60208484</v>
          </cell>
          <cell r="C130">
            <v>1760280</v>
          </cell>
          <cell r="D130">
            <v>4245759</v>
          </cell>
          <cell r="E130">
            <v>0</v>
          </cell>
          <cell r="F130">
            <v>523836</v>
          </cell>
          <cell r="G130">
            <v>0</v>
          </cell>
          <cell r="H130">
            <v>0</v>
          </cell>
          <cell r="I130">
            <v>628302</v>
          </cell>
          <cell r="J130">
            <v>0</v>
          </cell>
          <cell r="K130">
            <v>162225</v>
          </cell>
          <cell r="L130">
            <v>138852</v>
          </cell>
          <cell r="M130">
            <v>0</v>
          </cell>
          <cell r="N130">
            <v>0</v>
          </cell>
          <cell r="O130">
            <v>845259</v>
          </cell>
          <cell r="P130">
            <v>21979</v>
          </cell>
          <cell r="Q130">
            <v>183022</v>
          </cell>
          <cell r="U130">
            <v>24164</v>
          </cell>
          <cell r="X130">
            <v>0</v>
          </cell>
          <cell r="Y130">
            <v>0</v>
          </cell>
          <cell r="Z130">
            <v>0</v>
          </cell>
          <cell r="AA130">
            <v>0</v>
          </cell>
          <cell r="AC130">
            <v>195345</v>
          </cell>
          <cell r="AD130">
            <v>0</v>
          </cell>
          <cell r="AE130">
            <v>18080</v>
          </cell>
          <cell r="AF130">
            <v>9609</v>
          </cell>
          <cell r="AG130">
            <v>2650</v>
          </cell>
          <cell r="AH130">
            <v>233617</v>
          </cell>
          <cell r="AI130">
            <v>1475741</v>
          </cell>
          <cell r="AJ130">
            <v>2467380</v>
          </cell>
          <cell r="AK130">
            <v>449238</v>
          </cell>
          <cell r="AL130">
            <v>0</v>
          </cell>
          <cell r="AM130">
            <v>0</v>
          </cell>
          <cell r="AN130">
            <v>73593822</v>
          </cell>
          <cell r="BO130">
            <v>12840</v>
          </cell>
          <cell r="BP130">
            <v>1753156</v>
          </cell>
          <cell r="CF130">
            <v>13351810</v>
          </cell>
          <cell r="CH130">
            <v>0</v>
          </cell>
          <cell r="CI130">
            <v>0</v>
          </cell>
          <cell r="CJ130">
            <v>0</v>
          </cell>
          <cell r="CK130">
            <v>0</v>
          </cell>
          <cell r="CL130">
            <v>0</v>
          </cell>
          <cell r="CN130">
            <v>10215560</v>
          </cell>
          <cell r="CO130">
            <v>172521010</v>
          </cell>
        </row>
        <row r="131">
          <cell r="A131">
            <v>880</v>
          </cell>
          <cell r="B131">
            <v>29009223</v>
          </cell>
          <cell r="C131">
            <v>818676</v>
          </cell>
          <cell r="D131">
            <v>1558239</v>
          </cell>
          <cell r="E131">
            <v>0</v>
          </cell>
          <cell r="F131">
            <v>100618</v>
          </cell>
          <cell r="G131">
            <v>0</v>
          </cell>
          <cell r="H131">
            <v>0</v>
          </cell>
          <cell r="I131">
            <v>101634</v>
          </cell>
          <cell r="J131">
            <v>75304</v>
          </cell>
          <cell r="K131">
            <v>6106</v>
          </cell>
          <cell r="L131">
            <v>145500</v>
          </cell>
          <cell r="M131">
            <v>87938</v>
          </cell>
          <cell r="N131">
            <v>0</v>
          </cell>
          <cell r="O131">
            <v>827332</v>
          </cell>
          <cell r="P131">
            <v>89744</v>
          </cell>
          <cell r="Q131">
            <v>244479</v>
          </cell>
          <cell r="U131">
            <v>3775</v>
          </cell>
          <cell r="X131">
            <v>0</v>
          </cell>
          <cell r="Y131">
            <v>168058</v>
          </cell>
          <cell r="Z131">
            <v>0</v>
          </cell>
          <cell r="AA131">
            <v>0</v>
          </cell>
          <cell r="AC131">
            <v>72803</v>
          </cell>
          <cell r="AD131">
            <v>30248</v>
          </cell>
          <cell r="AE131">
            <v>166000</v>
          </cell>
          <cell r="AF131">
            <v>7078</v>
          </cell>
          <cell r="AG131">
            <v>5511</v>
          </cell>
          <cell r="AH131">
            <v>43869</v>
          </cell>
          <cell r="AI131">
            <v>842670</v>
          </cell>
          <cell r="AJ131">
            <v>1300908</v>
          </cell>
          <cell r="AK131">
            <v>0</v>
          </cell>
          <cell r="AL131">
            <v>0</v>
          </cell>
          <cell r="AM131">
            <v>245761</v>
          </cell>
          <cell r="AN131">
            <v>35951474</v>
          </cell>
          <cell r="BO131">
            <v>43622</v>
          </cell>
          <cell r="BP131">
            <v>871037</v>
          </cell>
          <cell r="CF131">
            <v>6450567</v>
          </cell>
          <cell r="CH131">
            <v>53612</v>
          </cell>
          <cell r="CI131">
            <v>40208</v>
          </cell>
          <cell r="CJ131">
            <v>3260</v>
          </cell>
          <cell r="CK131">
            <v>0</v>
          </cell>
          <cell r="CL131">
            <v>0</v>
          </cell>
          <cell r="CN131">
            <v>7572405</v>
          </cell>
          <cell r="CO131">
            <v>86937659</v>
          </cell>
        </row>
        <row r="132">
          <cell r="A132">
            <v>881</v>
          </cell>
          <cell r="B132">
            <v>292200887</v>
          </cell>
          <cell r="C132">
            <v>8246058</v>
          </cell>
          <cell r="D132">
            <v>16743819</v>
          </cell>
          <cell r="E132">
            <v>865604</v>
          </cell>
          <cell r="F132">
            <v>4407597</v>
          </cell>
          <cell r="G132">
            <v>0</v>
          </cell>
          <cell r="H132">
            <v>448268</v>
          </cell>
          <cell r="I132">
            <v>4156388</v>
          </cell>
          <cell r="J132">
            <v>0</v>
          </cell>
          <cell r="K132">
            <v>645706</v>
          </cell>
          <cell r="L132">
            <v>0</v>
          </cell>
          <cell r="M132">
            <v>0</v>
          </cell>
          <cell r="N132">
            <v>0</v>
          </cell>
          <cell r="O132">
            <v>1087998</v>
          </cell>
          <cell r="P132">
            <v>999745</v>
          </cell>
          <cell r="Q132">
            <v>4279192</v>
          </cell>
          <cell r="U132">
            <v>16364</v>
          </cell>
          <cell r="X132">
            <v>0</v>
          </cell>
          <cell r="Y132">
            <v>0</v>
          </cell>
          <cell r="Z132">
            <v>0</v>
          </cell>
          <cell r="AA132">
            <v>0</v>
          </cell>
          <cell r="AC132">
            <v>20241</v>
          </cell>
          <cell r="AD132">
            <v>173924</v>
          </cell>
          <cell r="AE132">
            <v>0</v>
          </cell>
          <cell r="AF132">
            <v>129326</v>
          </cell>
          <cell r="AG132">
            <v>9348</v>
          </cell>
          <cell r="AH132">
            <v>70300</v>
          </cell>
          <cell r="AI132">
            <v>5047134</v>
          </cell>
          <cell r="AJ132">
            <v>6115096</v>
          </cell>
          <cell r="AK132">
            <v>0</v>
          </cell>
          <cell r="AL132">
            <v>0</v>
          </cell>
          <cell r="AM132">
            <v>470232</v>
          </cell>
          <cell r="AN132">
            <v>346133227</v>
          </cell>
          <cell r="BO132">
            <v>36059</v>
          </cell>
          <cell r="BP132">
            <v>9989737</v>
          </cell>
          <cell r="CF132">
            <v>37483489</v>
          </cell>
          <cell r="CH132">
            <v>644577</v>
          </cell>
          <cell r="CI132">
            <v>0</v>
          </cell>
          <cell r="CJ132">
            <v>0</v>
          </cell>
          <cell r="CK132">
            <v>0</v>
          </cell>
          <cell r="CL132">
            <v>0</v>
          </cell>
          <cell r="CN132">
            <v>31531547</v>
          </cell>
          <cell r="CO132">
            <v>771951863</v>
          </cell>
        </row>
        <row r="133">
          <cell r="A133">
            <v>882</v>
          </cell>
          <cell r="B133">
            <v>41163719</v>
          </cell>
          <cell r="C133">
            <v>1203388</v>
          </cell>
          <cell r="D133">
            <v>1146292</v>
          </cell>
          <cell r="E133">
            <v>0</v>
          </cell>
          <cell r="F133">
            <v>904253</v>
          </cell>
          <cell r="G133">
            <v>0</v>
          </cell>
          <cell r="H133">
            <v>0</v>
          </cell>
          <cell r="I133">
            <v>683981</v>
          </cell>
          <cell r="J133">
            <v>0</v>
          </cell>
          <cell r="K133">
            <v>0</v>
          </cell>
          <cell r="L133">
            <v>48797</v>
          </cell>
          <cell r="M133">
            <v>0</v>
          </cell>
          <cell r="N133">
            <v>0</v>
          </cell>
          <cell r="O133">
            <v>380218</v>
          </cell>
          <cell r="P133">
            <v>59401</v>
          </cell>
          <cell r="Q133">
            <v>106406</v>
          </cell>
          <cell r="U133">
            <v>0</v>
          </cell>
          <cell r="X133">
            <v>0</v>
          </cell>
          <cell r="Y133">
            <v>0</v>
          </cell>
          <cell r="Z133">
            <v>0</v>
          </cell>
          <cell r="AA133">
            <v>0</v>
          </cell>
          <cell r="AC133">
            <v>94267</v>
          </cell>
          <cell r="AD133">
            <v>0</v>
          </cell>
          <cell r="AE133">
            <v>0</v>
          </cell>
          <cell r="AF133">
            <v>0</v>
          </cell>
          <cell r="AG133">
            <v>809</v>
          </cell>
          <cell r="AH133">
            <v>28608</v>
          </cell>
          <cell r="AI133">
            <v>1212989</v>
          </cell>
          <cell r="AJ133">
            <v>1170000</v>
          </cell>
          <cell r="AK133">
            <v>140868</v>
          </cell>
          <cell r="AL133">
            <v>0</v>
          </cell>
          <cell r="AM133">
            <v>839150</v>
          </cell>
          <cell r="AN133">
            <v>49183146</v>
          </cell>
          <cell r="BO133">
            <v>95257</v>
          </cell>
          <cell r="BP133">
            <v>195480</v>
          </cell>
          <cell r="CF133">
            <v>7459264</v>
          </cell>
          <cell r="CH133">
            <v>6445</v>
          </cell>
          <cell r="CI133">
            <v>0</v>
          </cell>
          <cell r="CJ133">
            <v>0</v>
          </cell>
          <cell r="CK133">
            <v>0</v>
          </cell>
          <cell r="CL133">
            <v>0</v>
          </cell>
          <cell r="CN133">
            <v>4916484</v>
          </cell>
          <cell r="CO133">
            <v>111039222</v>
          </cell>
        </row>
        <row r="134">
          <cell r="A134">
            <v>883</v>
          </cell>
          <cell r="B134">
            <v>28445785</v>
          </cell>
          <cell r="C134">
            <v>994527</v>
          </cell>
          <cell r="D134">
            <v>2241729</v>
          </cell>
          <cell r="E134">
            <v>0</v>
          </cell>
          <cell r="F134">
            <v>690702</v>
          </cell>
          <cell r="G134">
            <v>0</v>
          </cell>
          <cell r="H134">
            <v>0</v>
          </cell>
          <cell r="I134">
            <v>148585</v>
          </cell>
          <cell r="J134">
            <v>0</v>
          </cell>
          <cell r="K134">
            <v>26678</v>
          </cell>
          <cell r="L134">
            <v>0</v>
          </cell>
          <cell r="M134">
            <v>411836</v>
          </cell>
          <cell r="N134">
            <v>0</v>
          </cell>
          <cell r="O134">
            <v>1059007</v>
          </cell>
          <cell r="P134">
            <v>0</v>
          </cell>
          <cell r="Q134">
            <v>203995</v>
          </cell>
          <cell r="U134">
            <v>16210</v>
          </cell>
          <cell r="X134">
            <v>0</v>
          </cell>
          <cell r="Y134">
            <v>0</v>
          </cell>
          <cell r="Z134">
            <v>0</v>
          </cell>
          <cell r="AA134">
            <v>0</v>
          </cell>
          <cell r="AC134">
            <v>72359</v>
          </cell>
          <cell r="AD134">
            <v>28507</v>
          </cell>
          <cell r="AE134">
            <v>555524</v>
          </cell>
          <cell r="AF134">
            <v>0</v>
          </cell>
          <cell r="AG134">
            <v>2639</v>
          </cell>
          <cell r="AH134">
            <v>17640</v>
          </cell>
          <cell r="AI134">
            <v>87274</v>
          </cell>
          <cell r="AJ134">
            <v>0</v>
          </cell>
          <cell r="AK134">
            <v>0</v>
          </cell>
          <cell r="AL134">
            <v>0</v>
          </cell>
          <cell r="AM134">
            <v>188496</v>
          </cell>
          <cell r="AN134">
            <v>35191493</v>
          </cell>
          <cell r="BO134">
            <v>112963</v>
          </cell>
          <cell r="BP134">
            <v>514082</v>
          </cell>
          <cell r="CF134">
            <v>0</v>
          </cell>
          <cell r="CH134">
            <v>0</v>
          </cell>
          <cell r="CI134">
            <v>0</v>
          </cell>
          <cell r="CJ134">
            <v>0</v>
          </cell>
          <cell r="CK134">
            <v>0</v>
          </cell>
          <cell r="CL134">
            <v>0</v>
          </cell>
          <cell r="CN134">
            <v>1102130</v>
          </cell>
          <cell r="CO134">
            <v>72112161</v>
          </cell>
        </row>
        <row r="135">
          <cell r="A135">
            <v>884</v>
          </cell>
          <cell r="B135">
            <v>29531433</v>
          </cell>
          <cell r="C135">
            <v>1286509</v>
          </cell>
          <cell r="D135">
            <v>1780121</v>
          </cell>
          <cell r="E135">
            <v>161750</v>
          </cell>
          <cell r="F135">
            <v>0</v>
          </cell>
          <cell r="G135">
            <v>0</v>
          </cell>
          <cell r="H135">
            <v>127885</v>
          </cell>
          <cell r="I135">
            <v>20000</v>
          </cell>
          <cell r="J135">
            <v>197160</v>
          </cell>
          <cell r="K135">
            <v>131750</v>
          </cell>
          <cell r="L135">
            <v>38750</v>
          </cell>
          <cell r="M135">
            <v>33320</v>
          </cell>
          <cell r="N135">
            <v>0</v>
          </cell>
          <cell r="O135">
            <v>884560</v>
          </cell>
          <cell r="P135">
            <v>71540</v>
          </cell>
          <cell r="Q135">
            <v>257088</v>
          </cell>
          <cell r="U135">
            <v>4420</v>
          </cell>
          <cell r="X135">
            <v>0</v>
          </cell>
          <cell r="Y135">
            <v>34000</v>
          </cell>
          <cell r="Z135">
            <v>5780</v>
          </cell>
          <cell r="AA135">
            <v>0</v>
          </cell>
          <cell r="AC135">
            <v>46240</v>
          </cell>
          <cell r="AD135">
            <v>4420</v>
          </cell>
          <cell r="AE135">
            <v>44200</v>
          </cell>
          <cell r="AF135">
            <v>22100</v>
          </cell>
          <cell r="AG135">
            <v>3400</v>
          </cell>
          <cell r="AH135">
            <v>3740</v>
          </cell>
          <cell r="AI135">
            <v>931615</v>
          </cell>
          <cell r="AJ135">
            <v>0</v>
          </cell>
          <cell r="AK135">
            <v>74659</v>
          </cell>
          <cell r="AL135">
            <v>0</v>
          </cell>
          <cell r="AM135">
            <v>44200</v>
          </cell>
          <cell r="AN135">
            <v>35740640</v>
          </cell>
          <cell r="BO135">
            <v>2809</v>
          </cell>
          <cell r="BP135">
            <v>2600000</v>
          </cell>
          <cell r="CF135">
            <v>1735919</v>
          </cell>
          <cell r="CH135">
            <v>0</v>
          </cell>
          <cell r="CI135">
            <v>0</v>
          </cell>
          <cell r="CJ135">
            <v>0</v>
          </cell>
          <cell r="CK135">
            <v>0</v>
          </cell>
          <cell r="CL135">
            <v>0</v>
          </cell>
          <cell r="CN135">
            <v>2384910</v>
          </cell>
          <cell r="CO135">
            <v>78204918</v>
          </cell>
        </row>
        <row r="136">
          <cell r="A136">
            <v>885</v>
          </cell>
          <cell r="B136">
            <v>118528827</v>
          </cell>
          <cell r="C136">
            <v>5183953</v>
          </cell>
          <cell r="D136">
            <v>7560120</v>
          </cell>
          <cell r="E136">
            <v>0</v>
          </cell>
          <cell r="F136">
            <v>0</v>
          </cell>
          <cell r="G136">
            <v>0</v>
          </cell>
          <cell r="H136">
            <v>0</v>
          </cell>
          <cell r="I136">
            <v>391102</v>
          </cell>
          <cell r="J136">
            <v>118859</v>
          </cell>
          <cell r="K136">
            <v>233398</v>
          </cell>
          <cell r="L136">
            <v>40800</v>
          </cell>
          <cell r="M136">
            <v>145370</v>
          </cell>
          <cell r="N136">
            <v>0</v>
          </cell>
          <cell r="O136">
            <v>2254789</v>
          </cell>
          <cell r="P136">
            <v>198232</v>
          </cell>
          <cell r="Q136">
            <v>79939</v>
          </cell>
          <cell r="U136">
            <v>19166</v>
          </cell>
          <cell r="X136">
            <v>0</v>
          </cell>
          <cell r="Y136">
            <v>719261</v>
          </cell>
          <cell r="Z136">
            <v>0</v>
          </cell>
          <cell r="AA136">
            <v>0</v>
          </cell>
          <cell r="AC136">
            <v>224035</v>
          </cell>
          <cell r="AD136">
            <v>43110</v>
          </cell>
          <cell r="AE136">
            <v>117644</v>
          </cell>
          <cell r="AF136">
            <v>130431</v>
          </cell>
          <cell r="AG136">
            <v>2565</v>
          </cell>
          <cell r="AH136">
            <v>169657</v>
          </cell>
          <cell r="AI136">
            <v>377810</v>
          </cell>
          <cell r="AJ136">
            <v>5365319</v>
          </cell>
          <cell r="AK136">
            <v>0</v>
          </cell>
          <cell r="AL136">
            <v>0</v>
          </cell>
          <cell r="AM136">
            <v>2855048</v>
          </cell>
          <cell r="AN136">
            <v>144759435</v>
          </cell>
          <cell r="BO136">
            <v>11012</v>
          </cell>
          <cell r="BP136">
            <v>3970588</v>
          </cell>
          <cell r="CF136">
            <v>16970500</v>
          </cell>
          <cell r="CH136">
            <v>14200</v>
          </cell>
          <cell r="CI136">
            <v>0</v>
          </cell>
          <cell r="CJ136">
            <v>0</v>
          </cell>
          <cell r="CK136">
            <v>0</v>
          </cell>
          <cell r="CL136">
            <v>0</v>
          </cell>
          <cell r="CN136">
            <v>18271016</v>
          </cell>
          <cell r="CO136">
            <v>328756186</v>
          </cell>
        </row>
        <row r="137">
          <cell r="A137">
            <v>886</v>
          </cell>
          <cell r="B137">
            <v>320140685</v>
          </cell>
          <cell r="C137">
            <v>10123752</v>
          </cell>
          <cell r="D137">
            <v>16948918</v>
          </cell>
          <cell r="E137">
            <v>3190782</v>
          </cell>
          <cell r="F137">
            <v>4980000</v>
          </cell>
          <cell r="G137">
            <v>0</v>
          </cell>
          <cell r="H137">
            <v>0</v>
          </cell>
          <cell r="I137">
            <v>1735377</v>
          </cell>
          <cell r="J137">
            <v>0</v>
          </cell>
          <cell r="K137">
            <v>1386065</v>
          </cell>
          <cell r="L137">
            <v>2924580</v>
          </cell>
          <cell r="M137">
            <v>82493</v>
          </cell>
          <cell r="N137">
            <v>0</v>
          </cell>
          <cell r="O137">
            <v>3000814</v>
          </cell>
          <cell r="P137">
            <v>1453334</v>
          </cell>
          <cell r="Q137">
            <v>1641336</v>
          </cell>
          <cell r="U137">
            <v>955849</v>
          </cell>
          <cell r="X137">
            <v>0</v>
          </cell>
          <cell r="Y137">
            <v>0</v>
          </cell>
          <cell r="Z137">
            <v>0</v>
          </cell>
          <cell r="AA137">
            <v>42946</v>
          </cell>
          <cell r="AC137">
            <v>591422</v>
          </cell>
          <cell r="AD137">
            <v>86791</v>
          </cell>
          <cell r="AE137">
            <v>284213</v>
          </cell>
          <cell r="AF137">
            <v>410827</v>
          </cell>
          <cell r="AG137">
            <v>23949</v>
          </cell>
          <cell r="AH137">
            <v>402135</v>
          </cell>
          <cell r="AI137">
            <v>2986142</v>
          </cell>
          <cell r="AJ137">
            <v>10044870</v>
          </cell>
          <cell r="AK137">
            <v>0</v>
          </cell>
          <cell r="AL137">
            <v>0</v>
          </cell>
          <cell r="AM137">
            <v>1380000</v>
          </cell>
          <cell r="AN137">
            <v>384817280</v>
          </cell>
          <cell r="BO137">
            <v>0</v>
          </cell>
          <cell r="BP137">
            <v>18767281</v>
          </cell>
          <cell r="CF137">
            <v>62083570</v>
          </cell>
          <cell r="CH137">
            <v>287882</v>
          </cell>
          <cell r="CI137">
            <v>0</v>
          </cell>
          <cell r="CJ137">
            <v>229934</v>
          </cell>
          <cell r="CK137">
            <v>0</v>
          </cell>
          <cell r="CL137">
            <v>0</v>
          </cell>
          <cell r="CN137">
            <v>36721611</v>
          </cell>
          <cell r="CO137">
            <v>887724838</v>
          </cell>
        </row>
        <row r="138">
          <cell r="A138">
            <v>887</v>
          </cell>
          <cell r="B138">
            <v>69119611</v>
          </cell>
          <cell r="C138">
            <v>1901059</v>
          </cell>
          <cell r="D138">
            <v>4056719</v>
          </cell>
          <cell r="E138">
            <v>109608</v>
          </cell>
          <cell r="F138">
            <v>853841</v>
          </cell>
          <cell r="G138">
            <v>0</v>
          </cell>
          <cell r="H138">
            <v>0</v>
          </cell>
          <cell r="I138">
            <v>557700</v>
          </cell>
          <cell r="J138">
            <v>0</v>
          </cell>
          <cell r="K138">
            <v>62200</v>
          </cell>
          <cell r="L138">
            <v>58900</v>
          </cell>
          <cell r="M138">
            <v>345000</v>
          </cell>
          <cell r="N138">
            <v>0</v>
          </cell>
          <cell r="O138">
            <v>1814400</v>
          </cell>
          <cell r="P138">
            <v>97300</v>
          </cell>
          <cell r="Q138">
            <v>292100</v>
          </cell>
          <cell r="U138">
            <v>15000</v>
          </cell>
          <cell r="X138">
            <v>0</v>
          </cell>
          <cell r="Y138">
            <v>0</v>
          </cell>
          <cell r="Z138">
            <v>0</v>
          </cell>
          <cell r="AA138">
            <v>12700</v>
          </cell>
          <cell r="AC138">
            <v>39900</v>
          </cell>
          <cell r="AD138">
            <v>79800</v>
          </cell>
          <cell r="AE138">
            <v>167400</v>
          </cell>
          <cell r="AF138">
            <v>463100</v>
          </cell>
          <cell r="AG138">
            <v>2500</v>
          </cell>
          <cell r="AH138">
            <v>137200</v>
          </cell>
          <cell r="AI138">
            <v>876296</v>
          </cell>
          <cell r="AJ138">
            <v>1387600</v>
          </cell>
          <cell r="AK138">
            <v>0</v>
          </cell>
          <cell r="AL138">
            <v>0</v>
          </cell>
          <cell r="AM138">
            <v>296822</v>
          </cell>
          <cell r="AN138">
            <v>82746756</v>
          </cell>
          <cell r="BO138">
            <v>0</v>
          </cell>
          <cell r="BP138">
            <v>1330500</v>
          </cell>
          <cell r="CF138">
            <v>13019109</v>
          </cell>
          <cell r="CH138">
            <v>0</v>
          </cell>
          <cell r="CI138">
            <v>0</v>
          </cell>
          <cell r="CJ138">
            <v>0</v>
          </cell>
          <cell r="CK138">
            <v>0</v>
          </cell>
          <cell r="CL138">
            <v>0</v>
          </cell>
          <cell r="CN138">
            <v>8387600</v>
          </cell>
          <cell r="CO138">
            <v>188230721</v>
          </cell>
        </row>
        <row r="139">
          <cell r="A139">
            <v>888</v>
          </cell>
          <cell r="B139">
            <v>228375700</v>
          </cell>
          <cell r="C139">
            <v>8468292</v>
          </cell>
          <cell r="D139">
            <v>16592140</v>
          </cell>
          <cell r="E139">
            <v>1455040</v>
          </cell>
          <cell r="F139">
            <v>0</v>
          </cell>
          <cell r="G139">
            <v>0</v>
          </cell>
          <cell r="H139">
            <v>400000</v>
          </cell>
          <cell r="I139">
            <v>925103</v>
          </cell>
          <cell r="J139">
            <v>0</v>
          </cell>
          <cell r="K139">
            <v>0</v>
          </cell>
          <cell r="L139">
            <v>161449</v>
          </cell>
          <cell r="M139">
            <v>622265</v>
          </cell>
          <cell r="N139">
            <v>0</v>
          </cell>
          <cell r="O139">
            <v>6193666</v>
          </cell>
          <cell r="P139">
            <v>3607053</v>
          </cell>
          <cell r="Q139">
            <v>185162</v>
          </cell>
          <cell r="U139">
            <v>35017</v>
          </cell>
          <cell r="X139">
            <v>0</v>
          </cell>
          <cell r="Y139">
            <v>1311705</v>
          </cell>
          <cell r="Z139">
            <v>0</v>
          </cell>
          <cell r="AA139">
            <v>69863</v>
          </cell>
          <cell r="AC139">
            <v>298511</v>
          </cell>
          <cell r="AD139">
            <v>64162</v>
          </cell>
          <cell r="AE139">
            <v>689941</v>
          </cell>
          <cell r="AF139">
            <v>75284</v>
          </cell>
          <cell r="AG139">
            <v>22771</v>
          </cell>
          <cell r="AH139">
            <v>330731</v>
          </cell>
          <cell r="AI139">
            <v>3548308</v>
          </cell>
          <cell r="AJ139">
            <v>13554547</v>
          </cell>
          <cell r="AK139">
            <v>0</v>
          </cell>
          <cell r="AL139">
            <v>0</v>
          </cell>
          <cell r="AM139">
            <v>1470328</v>
          </cell>
          <cell r="AN139">
            <v>288457038</v>
          </cell>
          <cell r="BO139">
            <v>367956</v>
          </cell>
          <cell r="BP139">
            <v>7479414</v>
          </cell>
          <cell r="CF139">
            <v>17694292</v>
          </cell>
          <cell r="CH139">
            <v>74700</v>
          </cell>
          <cell r="CI139">
            <v>0</v>
          </cell>
          <cell r="CJ139">
            <v>0</v>
          </cell>
          <cell r="CK139">
            <v>0</v>
          </cell>
          <cell r="CL139">
            <v>0</v>
          </cell>
          <cell r="CN139">
            <v>23051000</v>
          </cell>
          <cell r="CO139">
            <v>625581438</v>
          </cell>
        </row>
        <row r="140">
          <cell r="A140">
            <v>889</v>
          </cell>
          <cell r="B140">
            <v>30920035</v>
          </cell>
          <cell r="C140">
            <v>881472</v>
          </cell>
          <cell r="D140">
            <v>4246823</v>
          </cell>
          <cell r="E140">
            <v>2397293</v>
          </cell>
          <cell r="F140">
            <v>0</v>
          </cell>
          <cell r="G140">
            <v>0</v>
          </cell>
          <cell r="H140">
            <v>0</v>
          </cell>
          <cell r="I140">
            <v>125778</v>
          </cell>
          <cell r="J140">
            <v>112659</v>
          </cell>
          <cell r="K140">
            <v>409922</v>
          </cell>
          <cell r="L140">
            <v>20459</v>
          </cell>
          <cell r="M140">
            <v>148249</v>
          </cell>
          <cell r="N140">
            <v>1100000</v>
          </cell>
          <cell r="O140">
            <v>1320004</v>
          </cell>
          <cell r="P140">
            <v>357374</v>
          </cell>
          <cell r="Q140">
            <v>0</v>
          </cell>
          <cell r="U140">
            <v>19946</v>
          </cell>
          <cell r="X140">
            <v>0</v>
          </cell>
          <cell r="Y140">
            <v>0</v>
          </cell>
          <cell r="Z140">
            <v>0</v>
          </cell>
          <cell r="AA140">
            <v>0</v>
          </cell>
          <cell r="AC140">
            <v>72172</v>
          </cell>
          <cell r="AD140">
            <v>28554</v>
          </cell>
          <cell r="AE140">
            <v>34378</v>
          </cell>
          <cell r="AF140">
            <v>54252</v>
          </cell>
          <cell r="AG140">
            <v>7996</v>
          </cell>
          <cell r="AH140">
            <v>91157</v>
          </cell>
          <cell r="AI140">
            <v>154079</v>
          </cell>
          <cell r="AJ140">
            <v>1190445</v>
          </cell>
          <cell r="AK140">
            <v>0</v>
          </cell>
          <cell r="AL140">
            <v>0</v>
          </cell>
          <cell r="AM140">
            <v>324000</v>
          </cell>
          <cell r="AN140">
            <v>44017047</v>
          </cell>
          <cell r="BO140">
            <v>155142</v>
          </cell>
          <cell r="BP140">
            <v>202406</v>
          </cell>
          <cell r="CF140">
            <v>1118130</v>
          </cell>
          <cell r="CH140">
            <v>0</v>
          </cell>
          <cell r="CI140">
            <v>0</v>
          </cell>
          <cell r="CJ140">
            <v>0</v>
          </cell>
          <cell r="CK140">
            <v>182000</v>
          </cell>
          <cell r="CL140">
            <v>0</v>
          </cell>
          <cell r="CN140">
            <v>3543309</v>
          </cell>
          <cell r="CO140">
            <v>93235081</v>
          </cell>
        </row>
        <row r="141">
          <cell r="A141">
            <v>890</v>
          </cell>
          <cell r="B141">
            <v>25021705</v>
          </cell>
          <cell r="C141">
            <v>819494</v>
          </cell>
          <cell r="D141">
            <v>1447323</v>
          </cell>
          <cell r="E141">
            <v>1051777</v>
          </cell>
          <cell r="F141">
            <v>0</v>
          </cell>
          <cell r="G141">
            <v>0</v>
          </cell>
          <cell r="H141">
            <v>0</v>
          </cell>
          <cell r="I141">
            <v>974025</v>
          </cell>
          <cell r="J141">
            <v>120704</v>
          </cell>
          <cell r="K141">
            <v>0</v>
          </cell>
          <cell r="L141">
            <v>124956</v>
          </cell>
          <cell r="M141">
            <v>56024</v>
          </cell>
          <cell r="N141">
            <v>1351714</v>
          </cell>
          <cell r="O141">
            <v>675970</v>
          </cell>
          <cell r="P141">
            <v>189112</v>
          </cell>
          <cell r="Q141">
            <v>88285</v>
          </cell>
          <cell r="U141">
            <v>8461</v>
          </cell>
          <cell r="X141">
            <v>0</v>
          </cell>
          <cell r="Y141">
            <v>367999</v>
          </cell>
          <cell r="Z141">
            <v>0</v>
          </cell>
          <cell r="AA141">
            <v>0</v>
          </cell>
          <cell r="AC141">
            <v>58878</v>
          </cell>
          <cell r="AD141">
            <v>11395</v>
          </cell>
          <cell r="AE141">
            <v>62367</v>
          </cell>
          <cell r="AF141">
            <v>24446</v>
          </cell>
          <cell r="AG141">
            <v>1931</v>
          </cell>
          <cell r="AH141">
            <v>52890</v>
          </cell>
          <cell r="AI141">
            <v>856970</v>
          </cell>
          <cell r="AJ141">
            <v>1085182</v>
          </cell>
          <cell r="AK141">
            <v>433210</v>
          </cell>
          <cell r="AL141">
            <v>0</v>
          </cell>
          <cell r="AM141">
            <v>394707</v>
          </cell>
          <cell r="AN141">
            <v>35279525</v>
          </cell>
          <cell r="BO141">
            <v>73194</v>
          </cell>
          <cell r="BP141">
            <v>183086</v>
          </cell>
          <cell r="CF141">
            <v>630503</v>
          </cell>
          <cell r="CH141">
            <v>0</v>
          </cell>
          <cell r="CI141">
            <v>0</v>
          </cell>
          <cell r="CJ141">
            <v>0</v>
          </cell>
          <cell r="CK141">
            <v>0</v>
          </cell>
          <cell r="CL141">
            <v>0</v>
          </cell>
          <cell r="CN141">
            <v>8899000</v>
          </cell>
          <cell r="CO141">
            <v>80344833</v>
          </cell>
        </row>
        <row r="142">
          <cell r="A142">
            <v>891</v>
          </cell>
          <cell r="B142">
            <v>168281152</v>
          </cell>
          <cell r="C142">
            <v>4853779</v>
          </cell>
          <cell r="D142">
            <v>8265814</v>
          </cell>
          <cell r="E142">
            <v>0</v>
          </cell>
          <cell r="F142">
            <v>0</v>
          </cell>
          <cell r="G142">
            <v>0</v>
          </cell>
          <cell r="H142">
            <v>150000</v>
          </cell>
          <cell r="I142">
            <v>1581629</v>
          </cell>
          <cell r="J142">
            <v>2947446</v>
          </cell>
          <cell r="K142">
            <v>1511567</v>
          </cell>
          <cell r="L142">
            <v>0</v>
          </cell>
          <cell r="M142">
            <v>0</v>
          </cell>
          <cell r="N142">
            <v>0</v>
          </cell>
          <cell r="O142">
            <v>2172999</v>
          </cell>
          <cell r="P142">
            <v>867823</v>
          </cell>
          <cell r="Q142">
            <v>479200</v>
          </cell>
          <cell r="U142">
            <v>89469</v>
          </cell>
          <cell r="X142">
            <v>0</v>
          </cell>
          <cell r="Y142">
            <v>0</v>
          </cell>
          <cell r="Z142">
            <v>0</v>
          </cell>
          <cell r="AA142">
            <v>0</v>
          </cell>
          <cell r="AC142">
            <v>244442</v>
          </cell>
          <cell r="AD142">
            <v>20212</v>
          </cell>
          <cell r="AE142">
            <v>3500</v>
          </cell>
          <cell r="AF142">
            <v>41654</v>
          </cell>
          <cell r="AG142">
            <v>1384</v>
          </cell>
          <cell r="AH142">
            <v>40471</v>
          </cell>
          <cell r="AI142">
            <v>4500482</v>
          </cell>
          <cell r="AJ142">
            <v>5407397</v>
          </cell>
          <cell r="AK142">
            <v>0</v>
          </cell>
          <cell r="AL142">
            <v>0</v>
          </cell>
          <cell r="AM142">
            <v>1121851</v>
          </cell>
          <cell r="AN142">
            <v>202582271</v>
          </cell>
          <cell r="BO142">
            <v>59891</v>
          </cell>
          <cell r="BP142">
            <v>4182975</v>
          </cell>
          <cell r="CF142">
            <v>25761402</v>
          </cell>
          <cell r="CH142">
            <v>0</v>
          </cell>
          <cell r="CI142">
            <v>0</v>
          </cell>
          <cell r="CJ142">
            <v>0</v>
          </cell>
          <cell r="CK142">
            <v>0</v>
          </cell>
          <cell r="CL142">
            <v>0</v>
          </cell>
          <cell r="CN142">
            <v>9391998</v>
          </cell>
          <cell r="CO142">
            <v>444560808</v>
          </cell>
        </row>
        <row r="143">
          <cell r="A143">
            <v>892</v>
          </cell>
          <cell r="B143">
            <v>49930013</v>
          </cell>
          <cell r="C143">
            <v>1650870</v>
          </cell>
          <cell r="D143">
            <v>4995782</v>
          </cell>
          <cell r="E143">
            <v>2661399</v>
          </cell>
          <cell r="F143">
            <v>0</v>
          </cell>
          <cell r="G143">
            <v>0</v>
          </cell>
          <cell r="H143">
            <v>0</v>
          </cell>
          <cell r="I143">
            <v>24696</v>
          </cell>
          <cell r="J143">
            <v>32168</v>
          </cell>
          <cell r="K143">
            <v>320304</v>
          </cell>
          <cell r="L143">
            <v>142631</v>
          </cell>
          <cell r="M143">
            <v>0</v>
          </cell>
          <cell r="N143">
            <v>0</v>
          </cell>
          <cell r="O143">
            <v>647809</v>
          </cell>
          <cell r="P143">
            <v>1305244</v>
          </cell>
          <cell r="Q143">
            <v>913641</v>
          </cell>
          <cell r="U143">
            <v>8461</v>
          </cell>
          <cell r="X143">
            <v>67000</v>
          </cell>
          <cell r="Y143">
            <v>0</v>
          </cell>
          <cell r="Z143">
            <v>0</v>
          </cell>
          <cell r="AA143">
            <v>17387</v>
          </cell>
          <cell r="AC143">
            <v>88061</v>
          </cell>
          <cell r="AD143">
            <v>4426</v>
          </cell>
          <cell r="AE143">
            <v>0</v>
          </cell>
          <cell r="AF143">
            <v>47632</v>
          </cell>
          <cell r="AG143">
            <v>4856</v>
          </cell>
          <cell r="AH143">
            <v>24429</v>
          </cell>
          <cell r="AI143">
            <v>2384449</v>
          </cell>
          <cell r="AJ143">
            <v>178431</v>
          </cell>
          <cell r="AK143">
            <v>550412</v>
          </cell>
          <cell r="AL143">
            <v>0</v>
          </cell>
          <cell r="AM143">
            <v>2298133</v>
          </cell>
          <cell r="AN143">
            <v>68298234</v>
          </cell>
          <cell r="BO143">
            <v>217797</v>
          </cell>
          <cell r="BP143">
            <v>393547</v>
          </cell>
          <cell r="CF143">
            <v>2704935</v>
          </cell>
          <cell r="CH143">
            <v>0</v>
          </cell>
          <cell r="CI143">
            <v>0</v>
          </cell>
          <cell r="CJ143">
            <v>0</v>
          </cell>
          <cell r="CK143">
            <v>0</v>
          </cell>
          <cell r="CL143">
            <v>67000</v>
          </cell>
          <cell r="CN143">
            <v>10158284</v>
          </cell>
          <cell r="CO143">
            <v>150138031</v>
          </cell>
        </row>
        <row r="144">
          <cell r="A144">
            <v>893</v>
          </cell>
          <cell r="B144">
            <v>53722546</v>
          </cell>
          <cell r="C144">
            <v>2083330</v>
          </cell>
          <cell r="D144">
            <v>1813320</v>
          </cell>
          <cell r="E144">
            <v>0</v>
          </cell>
          <cell r="F144">
            <v>0</v>
          </cell>
          <cell r="G144">
            <v>0</v>
          </cell>
          <cell r="H144">
            <v>0</v>
          </cell>
          <cell r="I144">
            <v>1706088</v>
          </cell>
          <cell r="J144">
            <v>90622</v>
          </cell>
          <cell r="K144">
            <v>181648</v>
          </cell>
          <cell r="L144">
            <v>5743</v>
          </cell>
          <cell r="M144">
            <v>0</v>
          </cell>
          <cell r="N144">
            <v>0</v>
          </cell>
          <cell r="O144">
            <v>156902</v>
          </cell>
          <cell r="P144">
            <v>24799</v>
          </cell>
          <cell r="Q144">
            <v>99794</v>
          </cell>
          <cell r="U144">
            <v>8370</v>
          </cell>
          <cell r="X144">
            <v>0</v>
          </cell>
          <cell r="Y144">
            <v>94</v>
          </cell>
          <cell r="Z144">
            <v>25544</v>
          </cell>
          <cell r="AA144">
            <v>0</v>
          </cell>
          <cell r="AC144">
            <v>85086</v>
          </cell>
          <cell r="AD144">
            <v>6641</v>
          </cell>
          <cell r="AE144">
            <v>19346</v>
          </cell>
          <cell r="AF144">
            <v>39938</v>
          </cell>
          <cell r="AG144">
            <v>2422</v>
          </cell>
          <cell r="AH144">
            <v>165966</v>
          </cell>
          <cell r="AI144">
            <v>609941</v>
          </cell>
          <cell r="AJ144">
            <v>2582000</v>
          </cell>
          <cell r="AK144">
            <v>5200</v>
          </cell>
          <cell r="AL144">
            <v>0</v>
          </cell>
          <cell r="AM144">
            <v>1334940</v>
          </cell>
          <cell r="AN144">
            <v>64770280</v>
          </cell>
          <cell r="BO144">
            <v>0</v>
          </cell>
          <cell r="BP144">
            <v>3042913</v>
          </cell>
          <cell r="CF144">
            <v>4886340</v>
          </cell>
          <cell r="CH144">
            <v>0</v>
          </cell>
          <cell r="CI144">
            <v>0</v>
          </cell>
          <cell r="CJ144">
            <v>0</v>
          </cell>
          <cell r="CK144">
            <v>0</v>
          </cell>
          <cell r="CL144">
            <v>0</v>
          </cell>
          <cell r="CN144">
            <v>6096962</v>
          </cell>
          <cell r="CO144">
            <v>143566775</v>
          </cell>
        </row>
        <row r="145">
          <cell r="A145">
            <v>894</v>
          </cell>
          <cell r="B145">
            <v>33534930</v>
          </cell>
          <cell r="C145">
            <v>1243423</v>
          </cell>
          <cell r="D145">
            <v>2185771</v>
          </cell>
          <cell r="E145">
            <v>143520</v>
          </cell>
          <cell r="F145">
            <v>0</v>
          </cell>
          <cell r="G145">
            <v>0</v>
          </cell>
          <cell r="H145">
            <v>0</v>
          </cell>
          <cell r="I145">
            <v>292002</v>
          </cell>
          <cell r="J145">
            <v>142768</v>
          </cell>
          <cell r="K145">
            <v>0</v>
          </cell>
          <cell r="L145">
            <v>103744</v>
          </cell>
          <cell r="M145">
            <v>0</v>
          </cell>
          <cell r="N145">
            <v>0</v>
          </cell>
          <cell r="O145">
            <v>377956</v>
          </cell>
          <cell r="P145">
            <v>346146</v>
          </cell>
          <cell r="Q145">
            <v>263515</v>
          </cell>
          <cell r="U145">
            <v>8740</v>
          </cell>
          <cell r="X145">
            <v>0</v>
          </cell>
          <cell r="Y145">
            <v>43627</v>
          </cell>
          <cell r="Z145">
            <v>0</v>
          </cell>
          <cell r="AA145">
            <v>0</v>
          </cell>
          <cell r="AC145">
            <v>69723</v>
          </cell>
          <cell r="AD145">
            <v>59800</v>
          </cell>
          <cell r="AE145">
            <v>161986</v>
          </cell>
          <cell r="AF145">
            <v>0</v>
          </cell>
          <cell r="AG145">
            <v>5000</v>
          </cell>
          <cell r="AH145">
            <v>65383</v>
          </cell>
          <cell r="AI145">
            <v>2430224</v>
          </cell>
          <cell r="AJ145">
            <v>747402</v>
          </cell>
          <cell r="AK145">
            <v>0</v>
          </cell>
          <cell r="AL145">
            <v>0</v>
          </cell>
          <cell r="AM145">
            <v>132364</v>
          </cell>
          <cell r="AN145">
            <v>42358024</v>
          </cell>
          <cell r="BO145">
            <v>39695</v>
          </cell>
          <cell r="BP145">
            <v>447672</v>
          </cell>
          <cell r="CF145">
            <v>1737130</v>
          </cell>
          <cell r="CH145">
            <v>0</v>
          </cell>
          <cell r="CI145">
            <v>0</v>
          </cell>
          <cell r="CJ145">
            <v>0</v>
          </cell>
          <cell r="CK145">
            <v>0</v>
          </cell>
          <cell r="CL145">
            <v>0</v>
          </cell>
          <cell r="CN145">
            <v>4490624</v>
          </cell>
          <cell r="CO145">
            <v>91431169</v>
          </cell>
        </row>
        <row r="146">
          <cell r="A146">
            <v>908</v>
          </cell>
          <cell r="B146">
            <v>101228433</v>
          </cell>
          <cell r="C146">
            <v>3127645</v>
          </cell>
          <cell r="D146">
            <v>7746638</v>
          </cell>
          <cell r="E146">
            <v>117000</v>
          </cell>
          <cell r="F146">
            <v>0</v>
          </cell>
          <cell r="G146">
            <v>0</v>
          </cell>
          <cell r="H146">
            <v>0</v>
          </cell>
          <cell r="I146">
            <v>619000</v>
          </cell>
          <cell r="J146">
            <v>473060</v>
          </cell>
          <cell r="K146">
            <v>564913</v>
          </cell>
          <cell r="L146">
            <v>0</v>
          </cell>
          <cell r="M146">
            <v>668800</v>
          </cell>
          <cell r="N146">
            <v>3728750</v>
          </cell>
          <cell r="O146">
            <v>0</v>
          </cell>
          <cell r="P146">
            <v>163201</v>
          </cell>
          <cell r="Q146">
            <v>132600</v>
          </cell>
          <cell r="U146">
            <v>0</v>
          </cell>
          <cell r="X146">
            <v>0</v>
          </cell>
          <cell r="Y146">
            <v>0</v>
          </cell>
          <cell r="Z146">
            <v>0</v>
          </cell>
          <cell r="AA146">
            <v>0</v>
          </cell>
          <cell r="AC146">
            <v>254774</v>
          </cell>
          <cell r="AD146">
            <v>55555</v>
          </cell>
          <cell r="AE146">
            <v>107817</v>
          </cell>
          <cell r="AF146">
            <v>93056</v>
          </cell>
          <cell r="AG146">
            <v>8750</v>
          </cell>
          <cell r="AH146">
            <v>231010</v>
          </cell>
          <cell r="AI146">
            <v>2075342</v>
          </cell>
          <cell r="AJ146">
            <v>7061726</v>
          </cell>
          <cell r="AK146">
            <v>0</v>
          </cell>
          <cell r="AL146">
            <v>0</v>
          </cell>
          <cell r="AM146">
            <v>0</v>
          </cell>
          <cell r="AN146">
            <v>128458070</v>
          </cell>
          <cell r="BO146">
            <v>7274</v>
          </cell>
          <cell r="BP146">
            <v>5772697</v>
          </cell>
          <cell r="CF146">
            <v>10468236</v>
          </cell>
          <cell r="CH146">
            <v>619000</v>
          </cell>
          <cell r="CI146">
            <v>0</v>
          </cell>
          <cell r="CJ146">
            <v>0</v>
          </cell>
          <cell r="CK146">
            <v>492000</v>
          </cell>
          <cell r="CL146">
            <v>0</v>
          </cell>
          <cell r="CN146">
            <v>10106009</v>
          </cell>
          <cell r="CO146">
            <v>284381356</v>
          </cell>
        </row>
        <row r="147">
          <cell r="A147">
            <v>909</v>
          </cell>
          <cell r="B147">
            <v>109287772</v>
          </cell>
          <cell r="C147">
            <v>4051060</v>
          </cell>
          <cell r="D147">
            <v>4425492</v>
          </cell>
          <cell r="E147">
            <v>810906</v>
          </cell>
          <cell r="F147">
            <v>0</v>
          </cell>
          <cell r="G147">
            <v>0</v>
          </cell>
          <cell r="H147">
            <v>383000</v>
          </cell>
          <cell r="I147">
            <v>671116</v>
          </cell>
          <cell r="J147">
            <v>138270</v>
          </cell>
          <cell r="K147">
            <v>336036</v>
          </cell>
          <cell r="L147">
            <v>44669</v>
          </cell>
          <cell r="M147">
            <v>103559</v>
          </cell>
          <cell r="N147">
            <v>0</v>
          </cell>
          <cell r="O147">
            <v>1351676</v>
          </cell>
          <cell r="P147">
            <v>188254</v>
          </cell>
          <cell r="Q147">
            <v>242599</v>
          </cell>
          <cell r="U147">
            <v>7571</v>
          </cell>
          <cell r="X147">
            <v>0</v>
          </cell>
          <cell r="Y147">
            <v>214499</v>
          </cell>
          <cell r="Z147">
            <v>30000</v>
          </cell>
          <cell r="AA147">
            <v>0</v>
          </cell>
          <cell r="AC147">
            <v>91778</v>
          </cell>
          <cell r="AD147">
            <v>68435</v>
          </cell>
          <cell r="AE147">
            <v>14036</v>
          </cell>
          <cell r="AF147">
            <v>52703</v>
          </cell>
          <cell r="AG147">
            <v>14253</v>
          </cell>
          <cell r="AH147">
            <v>246736</v>
          </cell>
          <cell r="AI147">
            <v>35263</v>
          </cell>
          <cell r="AJ147">
            <v>1065020</v>
          </cell>
          <cell r="AK147">
            <v>0</v>
          </cell>
          <cell r="AL147">
            <v>0</v>
          </cell>
          <cell r="AM147">
            <v>4586896</v>
          </cell>
          <cell r="AN147">
            <v>128461599</v>
          </cell>
          <cell r="BO147">
            <v>423219</v>
          </cell>
          <cell r="BP147">
            <v>5166530</v>
          </cell>
          <cell r="CF147">
            <v>19341158</v>
          </cell>
          <cell r="CH147">
            <v>0</v>
          </cell>
          <cell r="CI147">
            <v>0</v>
          </cell>
          <cell r="CJ147">
            <v>0</v>
          </cell>
          <cell r="CK147">
            <v>0</v>
          </cell>
          <cell r="CL147">
            <v>0</v>
          </cell>
          <cell r="CN147">
            <v>8983200</v>
          </cell>
          <cell r="CO147">
            <v>290837305</v>
          </cell>
        </row>
        <row r="148">
          <cell r="A148">
            <v>916</v>
          </cell>
          <cell r="B148">
            <v>124500338</v>
          </cell>
          <cell r="C148">
            <v>4149341</v>
          </cell>
          <cell r="D148">
            <v>6905505</v>
          </cell>
          <cell r="E148">
            <v>0</v>
          </cell>
          <cell r="F148">
            <v>0</v>
          </cell>
          <cell r="G148">
            <v>0</v>
          </cell>
          <cell r="H148">
            <v>59810</v>
          </cell>
          <cell r="I148">
            <v>85948</v>
          </cell>
          <cell r="J148">
            <v>549409</v>
          </cell>
          <cell r="K148">
            <v>0</v>
          </cell>
          <cell r="L148">
            <v>1213075</v>
          </cell>
          <cell r="M148">
            <v>0</v>
          </cell>
          <cell r="N148">
            <v>0</v>
          </cell>
          <cell r="O148">
            <v>717406</v>
          </cell>
          <cell r="P148">
            <v>500082</v>
          </cell>
          <cell r="Q148">
            <v>2454877</v>
          </cell>
          <cell r="U148">
            <v>10568</v>
          </cell>
          <cell r="X148">
            <v>0</v>
          </cell>
          <cell r="Y148">
            <v>0</v>
          </cell>
          <cell r="Z148">
            <v>0</v>
          </cell>
          <cell r="AA148">
            <v>0</v>
          </cell>
          <cell r="AC148">
            <v>312727</v>
          </cell>
          <cell r="AD148">
            <v>62500</v>
          </cell>
          <cell r="AE148">
            <v>118341</v>
          </cell>
          <cell r="AF148">
            <v>131817</v>
          </cell>
          <cell r="AG148">
            <v>1625</v>
          </cell>
          <cell r="AH148">
            <v>40000</v>
          </cell>
          <cell r="AI148">
            <v>1970063</v>
          </cell>
          <cell r="AJ148">
            <v>4018620</v>
          </cell>
          <cell r="AK148">
            <v>93272</v>
          </cell>
          <cell r="AL148">
            <v>0</v>
          </cell>
          <cell r="AM148">
            <v>3904903</v>
          </cell>
          <cell r="AN148">
            <v>151800227</v>
          </cell>
          <cell r="BO148">
            <v>44951</v>
          </cell>
          <cell r="BP148">
            <v>4663525</v>
          </cell>
          <cell r="CF148">
            <v>23301822</v>
          </cell>
          <cell r="CH148">
            <v>0</v>
          </cell>
          <cell r="CI148">
            <v>0</v>
          </cell>
          <cell r="CJ148">
            <v>0</v>
          </cell>
          <cell r="CK148">
            <v>0</v>
          </cell>
          <cell r="CL148">
            <v>0</v>
          </cell>
          <cell r="CN148">
            <v>12672000</v>
          </cell>
          <cell r="CO148">
            <v>344282752</v>
          </cell>
        </row>
        <row r="149">
          <cell r="A149">
            <v>919</v>
          </cell>
          <cell r="B149">
            <v>258552932</v>
          </cell>
          <cell r="C149">
            <v>8050952</v>
          </cell>
          <cell r="D149">
            <v>16187383</v>
          </cell>
          <cell r="E149">
            <v>0</v>
          </cell>
          <cell r="F149">
            <v>4010771</v>
          </cell>
          <cell r="G149">
            <v>0</v>
          </cell>
          <cell r="H149">
            <v>0</v>
          </cell>
          <cell r="I149">
            <v>2486119</v>
          </cell>
          <cell r="J149">
            <v>0</v>
          </cell>
          <cell r="K149">
            <v>617899</v>
          </cell>
          <cell r="L149">
            <v>227281</v>
          </cell>
          <cell r="M149">
            <v>0</v>
          </cell>
          <cell r="N149">
            <v>0</v>
          </cell>
          <cell r="O149">
            <v>882122</v>
          </cell>
          <cell r="P149">
            <v>811766</v>
          </cell>
          <cell r="Q149">
            <v>1541423</v>
          </cell>
          <cell r="U149">
            <v>23461</v>
          </cell>
          <cell r="X149">
            <v>35670</v>
          </cell>
          <cell r="Y149">
            <v>0</v>
          </cell>
          <cell r="Z149">
            <v>13255</v>
          </cell>
          <cell r="AA149">
            <v>0</v>
          </cell>
          <cell r="AC149">
            <v>1341628</v>
          </cell>
          <cell r="AD149">
            <v>117740</v>
          </cell>
          <cell r="AE149">
            <v>611916</v>
          </cell>
          <cell r="AF149">
            <v>114329</v>
          </cell>
          <cell r="AG149">
            <v>12159</v>
          </cell>
          <cell r="AH149">
            <v>455551</v>
          </cell>
          <cell r="AI149">
            <v>80509</v>
          </cell>
          <cell r="AJ149">
            <v>9761790</v>
          </cell>
          <cell r="AK149">
            <v>0</v>
          </cell>
          <cell r="AL149">
            <v>0</v>
          </cell>
          <cell r="AM149">
            <v>3392436</v>
          </cell>
          <cell r="AN149">
            <v>309329092</v>
          </cell>
          <cell r="BO149">
            <v>502095</v>
          </cell>
          <cell r="BP149">
            <v>7451379</v>
          </cell>
          <cell r="CF149">
            <v>54931939</v>
          </cell>
          <cell r="CH149">
            <v>121790</v>
          </cell>
          <cell r="CI149">
            <v>0</v>
          </cell>
          <cell r="CJ149">
            <v>0</v>
          </cell>
          <cell r="CK149">
            <v>0</v>
          </cell>
          <cell r="CL149">
            <v>0</v>
          </cell>
          <cell r="CN149">
            <v>39996329</v>
          </cell>
          <cell r="CO149">
            <v>721661716</v>
          </cell>
        </row>
        <row r="150">
          <cell r="A150">
            <v>921</v>
          </cell>
          <cell r="B150">
            <v>36066124</v>
          </cell>
          <cell r="C150">
            <v>1824417</v>
          </cell>
          <cell r="D150">
            <v>1456580</v>
          </cell>
          <cell r="E150">
            <v>0</v>
          </cell>
          <cell r="F150">
            <v>354478</v>
          </cell>
          <cell r="G150">
            <v>0</v>
          </cell>
          <cell r="H150">
            <v>58354</v>
          </cell>
          <cell r="I150">
            <v>1506012</v>
          </cell>
          <cell r="J150">
            <v>0</v>
          </cell>
          <cell r="K150">
            <v>93959</v>
          </cell>
          <cell r="L150">
            <v>37926</v>
          </cell>
          <cell r="M150">
            <v>0</v>
          </cell>
          <cell r="N150">
            <v>0</v>
          </cell>
          <cell r="O150">
            <v>350042</v>
          </cell>
          <cell r="P150">
            <v>76505</v>
          </cell>
          <cell r="Q150">
            <v>93296</v>
          </cell>
          <cell r="U150">
            <v>12083</v>
          </cell>
          <cell r="X150">
            <v>0</v>
          </cell>
          <cell r="Y150">
            <v>8282</v>
          </cell>
          <cell r="Z150">
            <v>0</v>
          </cell>
          <cell r="AA150">
            <v>19783</v>
          </cell>
          <cell r="AC150">
            <v>112679</v>
          </cell>
          <cell r="AD150">
            <v>9316</v>
          </cell>
          <cell r="AE150">
            <v>0</v>
          </cell>
          <cell r="AF150">
            <v>0</v>
          </cell>
          <cell r="AG150">
            <v>14383</v>
          </cell>
          <cell r="AH150">
            <v>29389</v>
          </cell>
          <cell r="AI150">
            <v>686520</v>
          </cell>
          <cell r="AJ150">
            <v>1343209</v>
          </cell>
          <cell r="AK150">
            <v>0</v>
          </cell>
          <cell r="AL150">
            <v>0</v>
          </cell>
          <cell r="AM150">
            <v>464356</v>
          </cell>
          <cell r="AN150">
            <v>44617693</v>
          </cell>
          <cell r="BO150">
            <v>0</v>
          </cell>
          <cell r="BP150">
            <v>1189224</v>
          </cell>
          <cell r="CF150">
            <v>5409863</v>
          </cell>
          <cell r="CH150">
            <v>186905</v>
          </cell>
          <cell r="CI150">
            <v>0</v>
          </cell>
          <cell r="CJ150">
            <v>0</v>
          </cell>
          <cell r="CK150">
            <v>0</v>
          </cell>
          <cell r="CL150">
            <v>0</v>
          </cell>
          <cell r="CN150">
            <v>7885701</v>
          </cell>
          <cell r="CO150">
            <v>103907079</v>
          </cell>
        </row>
        <row r="151">
          <cell r="A151">
            <v>925</v>
          </cell>
          <cell r="B151">
            <v>148610470</v>
          </cell>
          <cell r="C151">
            <v>5892280</v>
          </cell>
          <cell r="D151">
            <v>10154566</v>
          </cell>
          <cell r="E151">
            <v>1419289</v>
          </cell>
          <cell r="F151">
            <v>300000</v>
          </cell>
          <cell r="G151">
            <v>0</v>
          </cell>
          <cell r="H151">
            <v>0</v>
          </cell>
          <cell r="I151">
            <v>346087</v>
          </cell>
          <cell r="J151">
            <v>57990</v>
          </cell>
          <cell r="K151">
            <v>0</v>
          </cell>
          <cell r="L151">
            <v>305679</v>
          </cell>
          <cell r="M151">
            <v>0</v>
          </cell>
          <cell r="N151">
            <v>0</v>
          </cell>
          <cell r="O151">
            <v>2094070</v>
          </cell>
          <cell r="P151">
            <v>44027</v>
          </cell>
          <cell r="Q151">
            <v>447169</v>
          </cell>
          <cell r="U151">
            <v>1564</v>
          </cell>
          <cell r="X151">
            <v>2049719</v>
          </cell>
          <cell r="Y151">
            <v>0</v>
          </cell>
          <cell r="Z151">
            <v>0</v>
          </cell>
          <cell r="AA151">
            <v>0</v>
          </cell>
          <cell r="AC151">
            <v>0</v>
          </cell>
          <cell r="AD151">
            <v>0</v>
          </cell>
          <cell r="AE151">
            <v>0</v>
          </cell>
          <cell r="AF151">
            <v>0</v>
          </cell>
          <cell r="AG151">
            <v>2061</v>
          </cell>
          <cell r="AH151">
            <v>27536</v>
          </cell>
          <cell r="AI151">
            <v>2641968</v>
          </cell>
          <cell r="AJ151">
            <v>615436</v>
          </cell>
          <cell r="AK151">
            <v>0</v>
          </cell>
          <cell r="AL151">
            <v>0</v>
          </cell>
          <cell r="AM151">
            <v>1389000</v>
          </cell>
          <cell r="AN151">
            <v>176398911</v>
          </cell>
          <cell r="BO151">
            <v>8245</v>
          </cell>
          <cell r="BP151">
            <v>10144589</v>
          </cell>
          <cell r="CF151">
            <v>26296800</v>
          </cell>
          <cell r="CH151">
            <v>0</v>
          </cell>
          <cell r="CI151">
            <v>0</v>
          </cell>
          <cell r="CJ151">
            <v>0</v>
          </cell>
          <cell r="CK151">
            <v>0</v>
          </cell>
          <cell r="CL151">
            <v>0</v>
          </cell>
          <cell r="CN151">
            <v>11353000</v>
          </cell>
          <cell r="CO151">
            <v>400600456</v>
          </cell>
        </row>
        <row r="152">
          <cell r="A152">
            <v>926</v>
          </cell>
          <cell r="B152">
            <v>142498736</v>
          </cell>
          <cell r="C152">
            <v>5097389</v>
          </cell>
          <cell r="D152">
            <v>9239052</v>
          </cell>
          <cell r="E152">
            <v>1383200</v>
          </cell>
          <cell r="F152">
            <v>3269000</v>
          </cell>
          <cell r="G152">
            <v>0</v>
          </cell>
          <cell r="H152">
            <v>1000000</v>
          </cell>
          <cell r="I152">
            <v>623572</v>
          </cell>
          <cell r="J152">
            <v>0</v>
          </cell>
          <cell r="K152">
            <v>191095</v>
          </cell>
          <cell r="L152">
            <v>7950</v>
          </cell>
          <cell r="M152">
            <v>0</v>
          </cell>
          <cell r="N152">
            <v>0</v>
          </cell>
          <cell r="O152">
            <v>627592</v>
          </cell>
          <cell r="P152">
            <v>910005</v>
          </cell>
          <cell r="Q152">
            <v>2503660</v>
          </cell>
          <cell r="U152">
            <v>9548</v>
          </cell>
          <cell r="X152">
            <v>0</v>
          </cell>
          <cell r="Y152">
            <v>0</v>
          </cell>
          <cell r="Z152">
            <v>75329</v>
          </cell>
          <cell r="AA152">
            <v>0</v>
          </cell>
          <cell r="AC152">
            <v>269607</v>
          </cell>
          <cell r="AD152">
            <v>25601</v>
          </cell>
          <cell r="AE152">
            <v>176110</v>
          </cell>
          <cell r="AF152">
            <v>26190</v>
          </cell>
          <cell r="AG152">
            <v>7581</v>
          </cell>
          <cell r="AH152">
            <v>588679</v>
          </cell>
          <cell r="AI152">
            <v>2919259</v>
          </cell>
          <cell r="AJ152">
            <v>4165137</v>
          </cell>
          <cell r="AK152">
            <v>0</v>
          </cell>
          <cell r="AL152">
            <v>0</v>
          </cell>
          <cell r="AM152">
            <v>2672975</v>
          </cell>
          <cell r="AN152">
            <v>178287267</v>
          </cell>
          <cell r="BO152">
            <v>164564</v>
          </cell>
          <cell r="BP152">
            <v>9731551</v>
          </cell>
          <cell r="CF152">
            <v>20748250</v>
          </cell>
          <cell r="CH152">
            <v>0</v>
          </cell>
          <cell r="CI152">
            <v>0</v>
          </cell>
          <cell r="CJ152">
            <v>0</v>
          </cell>
          <cell r="CK152">
            <v>0</v>
          </cell>
          <cell r="CL152">
            <v>0</v>
          </cell>
          <cell r="CN152">
            <v>6580000</v>
          </cell>
          <cell r="CO152">
            <v>393798899</v>
          </cell>
        </row>
        <row r="153">
          <cell r="A153">
            <v>928</v>
          </cell>
          <cell r="B153">
            <v>147614940</v>
          </cell>
          <cell r="C153">
            <v>4759770</v>
          </cell>
          <cell r="D153">
            <v>8281680</v>
          </cell>
          <cell r="E153">
            <v>396140</v>
          </cell>
          <cell r="F153">
            <v>0</v>
          </cell>
          <cell r="G153">
            <v>0</v>
          </cell>
          <cell r="H153">
            <v>0</v>
          </cell>
          <cell r="I153">
            <v>803270</v>
          </cell>
          <cell r="J153">
            <v>0</v>
          </cell>
          <cell r="K153">
            <v>569930</v>
          </cell>
          <cell r="L153">
            <v>23740</v>
          </cell>
          <cell r="M153">
            <v>0</v>
          </cell>
          <cell r="N153">
            <v>0</v>
          </cell>
          <cell r="O153">
            <v>1974570</v>
          </cell>
          <cell r="P153">
            <v>43940</v>
          </cell>
          <cell r="Q153">
            <v>192290</v>
          </cell>
          <cell r="U153">
            <v>11140</v>
          </cell>
          <cell r="X153">
            <v>0</v>
          </cell>
          <cell r="Y153">
            <v>0</v>
          </cell>
          <cell r="Z153">
            <v>0</v>
          </cell>
          <cell r="AA153">
            <v>0</v>
          </cell>
          <cell r="AC153">
            <v>148970</v>
          </cell>
          <cell r="AD153">
            <v>59870</v>
          </cell>
          <cell r="AE153">
            <v>1846900</v>
          </cell>
          <cell r="AF153">
            <v>452430</v>
          </cell>
          <cell r="AG153">
            <v>2330</v>
          </cell>
          <cell r="AH153">
            <v>117330</v>
          </cell>
          <cell r="AI153">
            <v>676610</v>
          </cell>
          <cell r="AJ153">
            <v>5720640</v>
          </cell>
          <cell r="AK153">
            <v>98270</v>
          </cell>
          <cell r="AL153">
            <v>0</v>
          </cell>
          <cell r="AM153">
            <v>263000</v>
          </cell>
          <cell r="AN153">
            <v>174057760</v>
          </cell>
          <cell r="BO153">
            <v>0</v>
          </cell>
          <cell r="BP153">
            <v>4750800</v>
          </cell>
          <cell r="CF153">
            <v>24249180</v>
          </cell>
          <cell r="CH153">
            <v>0</v>
          </cell>
          <cell r="CI153">
            <v>0</v>
          </cell>
          <cell r="CJ153">
            <v>0</v>
          </cell>
          <cell r="CK153">
            <v>0</v>
          </cell>
          <cell r="CL153">
            <v>0</v>
          </cell>
          <cell r="CN153">
            <v>10897000</v>
          </cell>
          <cell r="CO153">
            <v>388012500</v>
          </cell>
        </row>
        <row r="154">
          <cell r="A154">
            <v>929</v>
          </cell>
          <cell r="B154">
            <v>85337586</v>
          </cell>
          <cell r="C154">
            <v>5089986</v>
          </cell>
          <cell r="D154">
            <v>5838650</v>
          </cell>
          <cell r="E154">
            <v>156000</v>
          </cell>
          <cell r="F154">
            <v>0</v>
          </cell>
          <cell r="G154">
            <v>0</v>
          </cell>
          <cell r="H154">
            <v>120000</v>
          </cell>
          <cell r="I154">
            <v>619990</v>
          </cell>
          <cell r="J154">
            <v>188610</v>
          </cell>
          <cell r="K154">
            <v>0</v>
          </cell>
          <cell r="L154">
            <v>0</v>
          </cell>
          <cell r="M154">
            <v>117000</v>
          </cell>
          <cell r="N154">
            <v>0</v>
          </cell>
          <cell r="O154">
            <v>181620</v>
          </cell>
          <cell r="P154">
            <v>0</v>
          </cell>
          <cell r="Q154">
            <v>749860</v>
          </cell>
          <cell r="U154">
            <v>15640</v>
          </cell>
          <cell r="X154">
            <v>2390</v>
          </cell>
          <cell r="Y154">
            <v>0</v>
          </cell>
          <cell r="Z154">
            <v>0</v>
          </cell>
          <cell r="AA154">
            <v>0</v>
          </cell>
          <cell r="AC154">
            <v>111920</v>
          </cell>
          <cell r="AD154">
            <v>8510</v>
          </cell>
          <cell r="AE154">
            <v>120000</v>
          </cell>
          <cell r="AF154">
            <v>0</v>
          </cell>
          <cell r="AG154">
            <v>5830</v>
          </cell>
          <cell r="AH154">
            <v>33110</v>
          </cell>
          <cell r="AI154">
            <v>3908700</v>
          </cell>
          <cell r="AJ154">
            <v>4160380</v>
          </cell>
          <cell r="AK154">
            <v>0</v>
          </cell>
          <cell r="AL154">
            <v>0</v>
          </cell>
          <cell r="AM154">
            <v>0</v>
          </cell>
          <cell r="AN154">
            <v>106765782</v>
          </cell>
          <cell r="BO154">
            <v>0</v>
          </cell>
          <cell r="BP154">
            <v>6007490</v>
          </cell>
          <cell r="CF154">
            <v>16586343</v>
          </cell>
          <cell r="CH154">
            <v>361000</v>
          </cell>
          <cell r="CI154">
            <v>0</v>
          </cell>
          <cell r="CJ154">
            <v>0</v>
          </cell>
          <cell r="CK154">
            <v>0</v>
          </cell>
          <cell r="CL154">
            <v>0</v>
          </cell>
          <cell r="CN154">
            <v>5985450</v>
          </cell>
          <cell r="CO154">
            <v>242471847</v>
          </cell>
        </row>
        <row r="155">
          <cell r="A155">
            <v>931</v>
          </cell>
          <cell r="B155">
            <v>119246196</v>
          </cell>
          <cell r="C155">
            <v>3504594</v>
          </cell>
          <cell r="D155">
            <v>4228266</v>
          </cell>
          <cell r="E155">
            <v>260249</v>
          </cell>
          <cell r="F155">
            <v>1484373</v>
          </cell>
          <cell r="G155">
            <v>0</v>
          </cell>
          <cell r="H155">
            <v>0</v>
          </cell>
          <cell r="I155">
            <v>1994130</v>
          </cell>
          <cell r="J155">
            <v>378559</v>
          </cell>
          <cell r="K155">
            <v>8190</v>
          </cell>
          <cell r="L155">
            <v>323000</v>
          </cell>
          <cell r="M155">
            <v>632</v>
          </cell>
          <cell r="N155">
            <v>1989537</v>
          </cell>
          <cell r="O155">
            <v>894066</v>
          </cell>
          <cell r="P155">
            <v>320557</v>
          </cell>
          <cell r="Q155">
            <v>380039</v>
          </cell>
          <cell r="U155">
            <v>0</v>
          </cell>
          <cell r="X155">
            <v>0</v>
          </cell>
          <cell r="Y155">
            <v>33149</v>
          </cell>
          <cell r="Z155">
            <v>0</v>
          </cell>
          <cell r="AA155">
            <v>0</v>
          </cell>
          <cell r="AC155">
            <v>136269</v>
          </cell>
          <cell r="AD155">
            <v>194149</v>
          </cell>
          <cell r="AE155">
            <v>52038</v>
          </cell>
          <cell r="AF155">
            <v>72833</v>
          </cell>
          <cell r="AG155">
            <v>5552</v>
          </cell>
          <cell r="AH155">
            <v>0</v>
          </cell>
          <cell r="AI155">
            <v>2940365</v>
          </cell>
          <cell r="AJ155">
            <v>0</v>
          </cell>
          <cell r="AK155">
            <v>0</v>
          </cell>
          <cell r="AL155">
            <v>0</v>
          </cell>
          <cell r="AM155">
            <v>4081286</v>
          </cell>
          <cell r="AN155">
            <v>142528029</v>
          </cell>
          <cell r="BO155">
            <v>6861</v>
          </cell>
          <cell r="BP155">
            <v>4899985</v>
          </cell>
          <cell r="CF155">
            <v>20876296</v>
          </cell>
          <cell r="CH155">
            <v>172885</v>
          </cell>
          <cell r="CI155">
            <v>0</v>
          </cell>
          <cell r="CJ155">
            <v>0</v>
          </cell>
          <cell r="CK155">
            <v>271551</v>
          </cell>
          <cell r="CL155">
            <v>0</v>
          </cell>
          <cell r="CN155">
            <v>15512128</v>
          </cell>
          <cell r="CO155">
            <v>326795764</v>
          </cell>
        </row>
        <row r="156">
          <cell r="A156">
            <v>933</v>
          </cell>
          <cell r="B156">
            <v>98125740</v>
          </cell>
          <cell r="C156">
            <v>3738800</v>
          </cell>
          <cell r="D156">
            <v>5137823</v>
          </cell>
          <cell r="E156">
            <v>100620</v>
          </cell>
          <cell r="F156">
            <v>1387932</v>
          </cell>
          <cell r="G156">
            <v>0</v>
          </cell>
          <cell r="H156">
            <v>0</v>
          </cell>
          <cell r="I156">
            <v>906407</v>
          </cell>
          <cell r="J156">
            <v>78476</v>
          </cell>
          <cell r="K156">
            <v>256832</v>
          </cell>
          <cell r="L156">
            <v>182461</v>
          </cell>
          <cell r="M156">
            <v>45619</v>
          </cell>
          <cell r="N156">
            <v>0</v>
          </cell>
          <cell r="O156">
            <v>1019897</v>
          </cell>
          <cell r="P156">
            <v>211112</v>
          </cell>
          <cell r="Q156">
            <v>703300</v>
          </cell>
          <cell r="U156">
            <v>5528</v>
          </cell>
          <cell r="X156">
            <v>0</v>
          </cell>
          <cell r="Y156">
            <v>289131</v>
          </cell>
          <cell r="Z156">
            <v>0</v>
          </cell>
          <cell r="AA156">
            <v>0</v>
          </cell>
          <cell r="AC156">
            <v>140294</v>
          </cell>
          <cell r="AD156">
            <v>107757</v>
          </cell>
          <cell r="AE156">
            <v>24025</v>
          </cell>
          <cell r="AF156">
            <v>0</v>
          </cell>
          <cell r="AG156">
            <v>2836</v>
          </cell>
          <cell r="AH156">
            <v>303989</v>
          </cell>
          <cell r="AI156">
            <v>1144528</v>
          </cell>
          <cell r="AJ156">
            <v>1077162</v>
          </cell>
          <cell r="AK156">
            <v>0</v>
          </cell>
          <cell r="AL156">
            <v>0</v>
          </cell>
          <cell r="AM156">
            <v>529694</v>
          </cell>
          <cell r="AN156">
            <v>115519963</v>
          </cell>
          <cell r="BO156">
            <v>0</v>
          </cell>
          <cell r="BP156">
            <v>5247590</v>
          </cell>
          <cell r="CF156">
            <v>7079009</v>
          </cell>
          <cell r="CH156">
            <v>0</v>
          </cell>
          <cell r="CI156">
            <v>0</v>
          </cell>
          <cell r="CJ156">
            <v>0</v>
          </cell>
          <cell r="CK156">
            <v>0</v>
          </cell>
          <cell r="CL156">
            <v>0</v>
          </cell>
          <cell r="CN156">
            <v>13905926</v>
          </cell>
          <cell r="CO156">
            <v>257272451</v>
          </cell>
        </row>
        <row r="157">
          <cell r="A157">
            <v>935</v>
          </cell>
          <cell r="B157">
            <v>162560615</v>
          </cell>
          <cell r="C157">
            <v>6999244</v>
          </cell>
          <cell r="D157">
            <v>6399688</v>
          </cell>
          <cell r="E157">
            <v>0</v>
          </cell>
          <cell r="F157">
            <v>1598694</v>
          </cell>
          <cell r="G157">
            <v>0</v>
          </cell>
          <cell r="H157">
            <v>0</v>
          </cell>
          <cell r="I157">
            <v>596570</v>
          </cell>
          <cell r="J157">
            <v>0</v>
          </cell>
          <cell r="K157">
            <v>370739</v>
          </cell>
          <cell r="L157">
            <v>47619</v>
          </cell>
          <cell r="M157">
            <v>0</v>
          </cell>
          <cell r="N157">
            <v>0</v>
          </cell>
          <cell r="O157">
            <v>1300785</v>
          </cell>
          <cell r="P157">
            <v>517104</v>
          </cell>
          <cell r="Q157">
            <v>1090248</v>
          </cell>
          <cell r="U157">
            <v>26596</v>
          </cell>
          <cell r="X157">
            <v>0</v>
          </cell>
          <cell r="Y157">
            <v>0</v>
          </cell>
          <cell r="Z157">
            <v>0</v>
          </cell>
          <cell r="AA157">
            <v>0</v>
          </cell>
          <cell r="AC157">
            <v>197851</v>
          </cell>
          <cell r="AD157">
            <v>38999</v>
          </cell>
          <cell r="AE157">
            <v>227400</v>
          </cell>
          <cell r="AF157">
            <v>25317</v>
          </cell>
          <cell r="AG157">
            <v>3866</v>
          </cell>
          <cell r="AH157">
            <v>51013</v>
          </cell>
          <cell r="AI157">
            <v>0</v>
          </cell>
          <cell r="AJ157">
            <v>6334000</v>
          </cell>
          <cell r="AK157">
            <v>0</v>
          </cell>
          <cell r="AL157">
            <v>0</v>
          </cell>
          <cell r="AM157">
            <v>0</v>
          </cell>
          <cell r="AN157">
            <v>188386348</v>
          </cell>
          <cell r="BO157">
            <v>78880</v>
          </cell>
          <cell r="BP157">
            <v>4999599</v>
          </cell>
          <cell r="CF157">
            <v>25120100</v>
          </cell>
          <cell r="CH157">
            <v>166500</v>
          </cell>
          <cell r="CI157">
            <v>0</v>
          </cell>
          <cell r="CJ157">
            <v>0</v>
          </cell>
          <cell r="CK157">
            <v>0</v>
          </cell>
          <cell r="CL157">
            <v>0</v>
          </cell>
          <cell r="CN157">
            <v>17193600</v>
          </cell>
          <cell r="CO157">
            <v>424331375</v>
          </cell>
        </row>
        <row r="158">
          <cell r="A158">
            <v>936</v>
          </cell>
          <cell r="B158">
            <v>184513793</v>
          </cell>
          <cell r="C158">
            <v>5458556</v>
          </cell>
          <cell r="D158">
            <v>8828552</v>
          </cell>
          <cell r="E158">
            <v>0</v>
          </cell>
          <cell r="F158">
            <v>0</v>
          </cell>
          <cell r="G158">
            <v>0</v>
          </cell>
          <cell r="H158">
            <v>0</v>
          </cell>
          <cell r="I158">
            <v>863207</v>
          </cell>
          <cell r="J158">
            <v>0</v>
          </cell>
          <cell r="K158">
            <v>106318</v>
          </cell>
          <cell r="L158">
            <v>84621</v>
          </cell>
          <cell r="M158">
            <v>370705</v>
          </cell>
          <cell r="N158">
            <v>0</v>
          </cell>
          <cell r="O158">
            <v>2925444</v>
          </cell>
          <cell r="P158">
            <v>720642</v>
          </cell>
          <cell r="Q158">
            <v>1007085</v>
          </cell>
          <cell r="U158">
            <v>0</v>
          </cell>
          <cell r="X158">
            <v>25647</v>
          </cell>
          <cell r="Y158">
            <v>0</v>
          </cell>
          <cell r="Z158">
            <v>0</v>
          </cell>
          <cell r="AA158">
            <v>0</v>
          </cell>
          <cell r="AC158">
            <v>303304</v>
          </cell>
          <cell r="AD158">
            <v>94889</v>
          </cell>
          <cell r="AE158">
            <v>458486</v>
          </cell>
          <cell r="AF158">
            <v>151148</v>
          </cell>
          <cell r="AG158">
            <v>6584</v>
          </cell>
          <cell r="AH158">
            <v>187627</v>
          </cell>
          <cell r="AI158">
            <v>1773006</v>
          </cell>
          <cell r="AJ158">
            <v>5363928</v>
          </cell>
          <cell r="AK158">
            <v>0</v>
          </cell>
          <cell r="AL158">
            <v>0</v>
          </cell>
          <cell r="AM158">
            <v>586534</v>
          </cell>
          <cell r="AN158">
            <v>213830076</v>
          </cell>
          <cell r="BO158">
            <v>17858</v>
          </cell>
          <cell r="BP158">
            <v>6885453</v>
          </cell>
          <cell r="CF158">
            <v>27466296</v>
          </cell>
          <cell r="CH158">
            <v>0</v>
          </cell>
          <cell r="CI158">
            <v>0</v>
          </cell>
          <cell r="CJ158">
            <v>0</v>
          </cell>
          <cell r="CK158">
            <v>0</v>
          </cell>
          <cell r="CL158">
            <v>0</v>
          </cell>
          <cell r="CN158">
            <v>21407916</v>
          </cell>
          <cell r="CO158">
            <v>483437675</v>
          </cell>
        </row>
        <row r="159">
          <cell r="A159">
            <v>937</v>
          </cell>
          <cell r="B159">
            <v>102605107</v>
          </cell>
          <cell r="C159">
            <v>3594491</v>
          </cell>
          <cell r="D159">
            <v>4262893</v>
          </cell>
          <cell r="E159">
            <v>0</v>
          </cell>
          <cell r="F159">
            <v>0</v>
          </cell>
          <cell r="G159">
            <v>0</v>
          </cell>
          <cell r="H159">
            <v>212955</v>
          </cell>
          <cell r="I159">
            <v>872092</v>
          </cell>
          <cell r="J159">
            <v>0</v>
          </cell>
          <cell r="K159">
            <v>1128229</v>
          </cell>
          <cell r="L159">
            <v>17935</v>
          </cell>
          <cell r="M159">
            <v>0</v>
          </cell>
          <cell r="N159">
            <v>0</v>
          </cell>
          <cell r="O159">
            <v>1369457</v>
          </cell>
          <cell r="P159">
            <v>5747</v>
          </cell>
          <cell r="Q159">
            <v>189848</v>
          </cell>
          <cell r="U159">
            <v>20708</v>
          </cell>
          <cell r="X159">
            <v>0</v>
          </cell>
          <cell r="Y159">
            <v>454722</v>
          </cell>
          <cell r="Z159">
            <v>8518</v>
          </cell>
          <cell r="AA159">
            <v>0</v>
          </cell>
          <cell r="AC159">
            <v>152531</v>
          </cell>
          <cell r="AD159">
            <v>40903</v>
          </cell>
          <cell r="AE159">
            <v>324137</v>
          </cell>
          <cell r="AF159">
            <v>102828</v>
          </cell>
          <cell r="AG159">
            <v>42591</v>
          </cell>
          <cell r="AH159">
            <v>313626</v>
          </cell>
          <cell r="AI159">
            <v>402158</v>
          </cell>
          <cell r="AJ159">
            <v>3594685</v>
          </cell>
          <cell r="AK159">
            <v>0</v>
          </cell>
          <cell r="AL159">
            <v>0</v>
          </cell>
          <cell r="AM159">
            <v>669914</v>
          </cell>
          <cell r="AN159">
            <v>120386075</v>
          </cell>
          <cell r="BO159">
            <v>0</v>
          </cell>
          <cell r="BP159">
            <v>4192118</v>
          </cell>
          <cell r="CF159">
            <v>15652418</v>
          </cell>
          <cell r="CH159">
            <v>0</v>
          </cell>
          <cell r="CI159">
            <v>0</v>
          </cell>
          <cell r="CJ159">
            <v>0</v>
          </cell>
          <cell r="CK159">
            <v>0</v>
          </cell>
          <cell r="CL159">
            <v>0</v>
          </cell>
          <cell r="CN159">
            <v>15089561</v>
          </cell>
          <cell r="CO159">
            <v>275706247</v>
          </cell>
        </row>
        <row r="160">
          <cell r="A160">
            <v>938</v>
          </cell>
          <cell r="B160">
            <v>144288685</v>
          </cell>
          <cell r="C160">
            <v>4176190</v>
          </cell>
          <cell r="D160">
            <v>3615093</v>
          </cell>
          <cell r="E160">
            <v>0</v>
          </cell>
          <cell r="F160">
            <v>2074352</v>
          </cell>
          <cell r="G160">
            <v>0</v>
          </cell>
          <cell r="H160">
            <v>486504</v>
          </cell>
          <cell r="I160">
            <v>1764920</v>
          </cell>
          <cell r="J160">
            <v>705580</v>
          </cell>
          <cell r="K160">
            <v>0</v>
          </cell>
          <cell r="L160">
            <v>609455</v>
          </cell>
          <cell r="M160">
            <v>0</v>
          </cell>
          <cell r="N160">
            <v>0</v>
          </cell>
          <cell r="O160">
            <v>996192</v>
          </cell>
          <cell r="P160">
            <v>270060</v>
          </cell>
          <cell r="Q160">
            <v>1072134</v>
          </cell>
          <cell r="U160">
            <v>5575</v>
          </cell>
          <cell r="X160">
            <v>36202</v>
          </cell>
          <cell r="Y160">
            <v>0</v>
          </cell>
          <cell r="Z160">
            <v>0</v>
          </cell>
          <cell r="AA160">
            <v>0</v>
          </cell>
          <cell r="AC160">
            <v>363548</v>
          </cell>
          <cell r="AD160">
            <v>135667</v>
          </cell>
          <cell r="AE160">
            <v>80273</v>
          </cell>
          <cell r="AF160">
            <v>48105</v>
          </cell>
          <cell r="AG160">
            <v>17734</v>
          </cell>
          <cell r="AH160">
            <v>42688</v>
          </cell>
          <cell r="AI160">
            <v>216005</v>
          </cell>
          <cell r="AJ160">
            <v>0</v>
          </cell>
          <cell r="AK160">
            <v>0</v>
          </cell>
          <cell r="AL160">
            <v>0</v>
          </cell>
          <cell r="AM160">
            <v>945437</v>
          </cell>
          <cell r="AN160">
            <v>161950399</v>
          </cell>
          <cell r="BO160">
            <v>68800</v>
          </cell>
          <cell r="BP160">
            <v>4515322</v>
          </cell>
          <cell r="CF160">
            <v>19046700</v>
          </cell>
          <cell r="CH160">
            <v>0</v>
          </cell>
          <cell r="CI160">
            <v>0</v>
          </cell>
          <cell r="CJ160">
            <v>0</v>
          </cell>
          <cell r="CK160">
            <v>0</v>
          </cell>
          <cell r="CL160">
            <v>0</v>
          </cell>
          <cell r="CN160">
            <v>14833471</v>
          </cell>
          <cell r="CO160">
            <v>362365091</v>
          </cell>
        </row>
        <row r="161">
          <cell r="A161" t="str">
            <v>Grand Total</v>
          </cell>
          <cell r="B161">
            <v>10609117280</v>
          </cell>
          <cell r="C161">
            <v>335711620</v>
          </cell>
          <cell r="D161">
            <v>725429595</v>
          </cell>
          <cell r="E161">
            <v>155961938</v>
          </cell>
          <cell r="F161">
            <v>54639189</v>
          </cell>
          <cell r="G161">
            <v>1188803</v>
          </cell>
          <cell r="H161">
            <v>11922463</v>
          </cell>
          <cell r="I161">
            <v>99991432</v>
          </cell>
          <cell r="J161">
            <v>21214472</v>
          </cell>
          <cell r="K161">
            <v>23204120</v>
          </cell>
          <cell r="L161">
            <v>18500795</v>
          </cell>
          <cell r="M161">
            <v>20213466</v>
          </cell>
          <cell r="N161">
            <v>19918243</v>
          </cell>
          <cell r="O161">
            <v>161518536</v>
          </cell>
          <cell r="P161">
            <v>40313579</v>
          </cell>
          <cell r="Q161">
            <v>64230540</v>
          </cell>
          <cell r="U161">
            <v>3022818</v>
          </cell>
          <cell r="X161">
            <v>6722151</v>
          </cell>
          <cell r="Y161">
            <v>16669108</v>
          </cell>
          <cell r="Z161">
            <v>673669</v>
          </cell>
          <cell r="AA161">
            <v>948447</v>
          </cell>
          <cell r="AC161">
            <v>20144490</v>
          </cell>
          <cell r="AD161">
            <v>4430377</v>
          </cell>
          <cell r="AE161">
            <v>22695213</v>
          </cell>
          <cell r="AF161">
            <v>7050487</v>
          </cell>
          <cell r="AG161">
            <v>991960</v>
          </cell>
          <cell r="AH161">
            <v>19491414</v>
          </cell>
          <cell r="AI161">
            <v>147586291</v>
          </cell>
          <cell r="AJ161">
            <v>322817763</v>
          </cell>
          <cell r="AK161">
            <v>24527085</v>
          </cell>
          <cell r="AL161">
            <v>155945</v>
          </cell>
          <cell r="AM161">
            <v>123319773</v>
          </cell>
          <cell r="AN161">
            <v>13084323062</v>
          </cell>
          <cell r="BO161">
            <v>13234611</v>
          </cell>
          <cell r="BP161">
            <v>288172644</v>
          </cell>
          <cell r="CF161">
            <v>1451744373</v>
          </cell>
          <cell r="CH161">
            <v>6381078</v>
          </cell>
          <cell r="CI161">
            <v>936301</v>
          </cell>
          <cell r="CJ161">
            <v>570837</v>
          </cell>
          <cell r="CK161">
            <v>3378638</v>
          </cell>
          <cell r="CL161">
            <v>976673</v>
          </cell>
          <cell r="CN161">
            <v>1149245065</v>
          </cell>
          <cell r="CO161">
            <v>29083286344</v>
          </cell>
        </row>
      </sheetData>
      <sheetData sheetId="4" refreshError="1">
        <row r="5">
          <cell r="A5">
            <v>201</v>
          </cell>
          <cell r="B5" t="str">
            <v>City of London</v>
          </cell>
          <cell r="C5">
            <v>0</v>
          </cell>
          <cell r="D5">
            <v>0</v>
          </cell>
          <cell r="E5">
            <v>0</v>
          </cell>
          <cell r="F5">
            <v>0</v>
          </cell>
          <cell r="G5">
            <v>0</v>
          </cell>
          <cell r="H5">
            <v>0</v>
          </cell>
          <cell r="I5">
            <v>0</v>
          </cell>
          <cell r="J5">
            <v>0</v>
          </cell>
        </row>
        <row r="6">
          <cell r="A6">
            <v>202</v>
          </cell>
          <cell r="B6" t="str">
            <v>Camden</v>
          </cell>
          <cell r="C6">
            <v>9</v>
          </cell>
          <cell r="D6">
            <v>1125000</v>
          </cell>
          <cell r="E6">
            <v>0</v>
          </cell>
          <cell r="F6">
            <v>0</v>
          </cell>
          <cell r="G6">
            <v>0</v>
          </cell>
          <cell r="H6">
            <v>0</v>
          </cell>
          <cell r="I6">
            <v>1125000</v>
          </cell>
          <cell r="J6">
            <v>1170000</v>
          </cell>
        </row>
        <row r="7">
          <cell r="A7">
            <v>203</v>
          </cell>
          <cell r="B7" t="str">
            <v>Greenwich</v>
          </cell>
          <cell r="C7">
            <v>14</v>
          </cell>
          <cell r="D7">
            <v>1750000</v>
          </cell>
          <cell r="E7">
            <v>0</v>
          </cell>
          <cell r="F7">
            <v>0</v>
          </cell>
          <cell r="G7">
            <v>0</v>
          </cell>
          <cell r="H7">
            <v>0</v>
          </cell>
          <cell r="I7">
            <v>1750000</v>
          </cell>
          <cell r="J7">
            <v>1820000</v>
          </cell>
        </row>
        <row r="8">
          <cell r="A8">
            <v>204</v>
          </cell>
          <cell r="B8" t="str">
            <v>Hackney</v>
          </cell>
          <cell r="C8">
            <v>8</v>
          </cell>
          <cell r="D8">
            <v>1000000</v>
          </cell>
          <cell r="E8">
            <v>1</v>
          </cell>
          <cell r="F8">
            <v>52083.333333333336</v>
          </cell>
          <cell r="G8">
            <v>0</v>
          </cell>
          <cell r="H8">
            <v>0</v>
          </cell>
          <cell r="I8">
            <v>1052083.3333333333</v>
          </cell>
          <cell r="J8">
            <v>1094166.6666666665</v>
          </cell>
        </row>
        <row r="9">
          <cell r="A9">
            <v>205</v>
          </cell>
          <cell r="B9" t="str">
            <v>Hammersmith and Fulham</v>
          </cell>
          <cell r="C9">
            <v>8</v>
          </cell>
          <cell r="D9">
            <v>1000000</v>
          </cell>
          <cell r="E9">
            <v>0</v>
          </cell>
          <cell r="F9">
            <v>0</v>
          </cell>
          <cell r="G9">
            <v>0</v>
          </cell>
          <cell r="H9">
            <v>0</v>
          </cell>
          <cell r="I9">
            <v>1000000</v>
          </cell>
          <cell r="J9">
            <v>1040000</v>
          </cell>
        </row>
        <row r="10">
          <cell r="A10">
            <v>206</v>
          </cell>
          <cell r="B10" t="str">
            <v>Islington</v>
          </cell>
          <cell r="C10">
            <v>9</v>
          </cell>
          <cell r="D10">
            <v>1125000</v>
          </cell>
          <cell r="E10">
            <v>0</v>
          </cell>
          <cell r="F10">
            <v>0</v>
          </cell>
          <cell r="G10">
            <v>0</v>
          </cell>
          <cell r="H10">
            <v>0</v>
          </cell>
          <cell r="I10">
            <v>1125000</v>
          </cell>
          <cell r="J10">
            <v>1170000</v>
          </cell>
        </row>
        <row r="11">
          <cell r="A11">
            <v>207</v>
          </cell>
          <cell r="B11" t="str">
            <v>Kensington and Chelsea</v>
          </cell>
          <cell r="C11">
            <v>4</v>
          </cell>
          <cell r="D11">
            <v>500000</v>
          </cell>
          <cell r="E11">
            <v>0</v>
          </cell>
          <cell r="F11">
            <v>0</v>
          </cell>
          <cell r="G11">
            <v>0</v>
          </cell>
          <cell r="H11">
            <v>0</v>
          </cell>
          <cell r="I11">
            <v>500000</v>
          </cell>
          <cell r="J11">
            <v>520000</v>
          </cell>
        </row>
        <row r="12">
          <cell r="A12">
            <v>208</v>
          </cell>
          <cell r="B12" t="str">
            <v>Lambeth</v>
          </cell>
          <cell r="C12">
            <v>10</v>
          </cell>
          <cell r="D12">
            <v>1250000</v>
          </cell>
          <cell r="E12">
            <v>0</v>
          </cell>
          <cell r="F12">
            <v>0</v>
          </cell>
          <cell r="G12">
            <v>0</v>
          </cell>
          <cell r="H12">
            <v>0</v>
          </cell>
          <cell r="I12">
            <v>1250000</v>
          </cell>
          <cell r="J12">
            <v>1300000</v>
          </cell>
        </row>
        <row r="13">
          <cell r="A13">
            <v>209</v>
          </cell>
          <cell r="B13" t="str">
            <v>Lewisham</v>
          </cell>
          <cell r="C13">
            <v>12</v>
          </cell>
          <cell r="D13">
            <v>1500000</v>
          </cell>
          <cell r="E13">
            <v>0</v>
          </cell>
          <cell r="F13">
            <v>0</v>
          </cell>
          <cell r="G13">
            <v>0</v>
          </cell>
          <cell r="H13">
            <v>0</v>
          </cell>
          <cell r="I13">
            <v>1500000</v>
          </cell>
          <cell r="J13">
            <v>1560000</v>
          </cell>
        </row>
        <row r="14">
          <cell r="A14">
            <v>210</v>
          </cell>
          <cell r="B14" t="str">
            <v>Southwark</v>
          </cell>
          <cell r="C14">
            <v>13</v>
          </cell>
          <cell r="D14">
            <v>1625000</v>
          </cell>
          <cell r="E14">
            <v>0</v>
          </cell>
          <cell r="F14">
            <v>0</v>
          </cell>
          <cell r="G14">
            <v>0</v>
          </cell>
          <cell r="H14">
            <v>0</v>
          </cell>
          <cell r="I14">
            <v>1625000</v>
          </cell>
          <cell r="J14">
            <v>1690000</v>
          </cell>
        </row>
        <row r="15">
          <cell r="A15">
            <v>211</v>
          </cell>
          <cell r="B15" t="str">
            <v>Tower Hamlets</v>
          </cell>
          <cell r="C15">
            <v>16</v>
          </cell>
          <cell r="D15">
            <v>2000000</v>
          </cell>
          <cell r="E15">
            <v>0</v>
          </cell>
          <cell r="F15">
            <v>0</v>
          </cell>
          <cell r="G15">
            <v>0</v>
          </cell>
          <cell r="H15">
            <v>0</v>
          </cell>
          <cell r="I15">
            <v>2000000</v>
          </cell>
          <cell r="J15">
            <v>2080000</v>
          </cell>
        </row>
        <row r="16">
          <cell r="A16">
            <v>212</v>
          </cell>
          <cell r="B16" t="str">
            <v>Wandsworth</v>
          </cell>
          <cell r="C16">
            <v>9</v>
          </cell>
          <cell r="D16">
            <v>1125000</v>
          </cell>
          <cell r="E16">
            <v>0</v>
          </cell>
          <cell r="F16">
            <v>0</v>
          </cell>
          <cell r="G16">
            <v>0</v>
          </cell>
          <cell r="H16">
            <v>0</v>
          </cell>
          <cell r="I16">
            <v>1125000</v>
          </cell>
          <cell r="J16">
            <v>1170000</v>
          </cell>
        </row>
        <row r="17">
          <cell r="A17">
            <v>213</v>
          </cell>
          <cell r="B17" t="str">
            <v>Westminster</v>
          </cell>
          <cell r="C17">
            <v>8</v>
          </cell>
          <cell r="D17">
            <v>1000000</v>
          </cell>
          <cell r="E17">
            <v>0</v>
          </cell>
          <cell r="F17">
            <v>0</v>
          </cell>
          <cell r="G17">
            <v>0</v>
          </cell>
          <cell r="H17">
            <v>0</v>
          </cell>
          <cell r="I17">
            <v>1000000</v>
          </cell>
          <cell r="J17">
            <v>1040000</v>
          </cell>
        </row>
        <row r="18">
          <cell r="A18">
            <v>301</v>
          </cell>
          <cell r="B18" t="str">
            <v>Barking and Dagenham</v>
          </cell>
          <cell r="C18">
            <v>8</v>
          </cell>
          <cell r="D18">
            <v>1000000</v>
          </cell>
          <cell r="E18">
            <v>0</v>
          </cell>
          <cell r="F18">
            <v>0</v>
          </cell>
          <cell r="G18">
            <v>0</v>
          </cell>
          <cell r="H18">
            <v>0</v>
          </cell>
          <cell r="I18">
            <v>1000000</v>
          </cell>
          <cell r="J18">
            <v>1040000</v>
          </cell>
        </row>
        <row r="19">
          <cell r="A19">
            <v>302</v>
          </cell>
          <cell r="B19" t="str">
            <v>Barnet</v>
          </cell>
          <cell r="C19">
            <v>4</v>
          </cell>
          <cell r="D19">
            <v>500000</v>
          </cell>
          <cell r="E19">
            <v>0</v>
          </cell>
          <cell r="F19">
            <v>0</v>
          </cell>
          <cell r="G19">
            <v>0</v>
          </cell>
          <cell r="H19">
            <v>0</v>
          </cell>
          <cell r="I19">
            <v>500000</v>
          </cell>
          <cell r="J19">
            <v>520000</v>
          </cell>
        </row>
        <row r="20">
          <cell r="A20">
            <v>303</v>
          </cell>
          <cell r="B20" t="str">
            <v>Bexley</v>
          </cell>
          <cell r="C20">
            <v>5</v>
          </cell>
          <cell r="D20">
            <v>625000</v>
          </cell>
          <cell r="E20">
            <v>0</v>
          </cell>
          <cell r="F20">
            <v>0</v>
          </cell>
          <cell r="G20">
            <v>2</v>
          </cell>
          <cell r="H20">
            <v>100000</v>
          </cell>
          <cell r="I20">
            <v>725000</v>
          </cell>
          <cell r="J20">
            <v>754000</v>
          </cell>
        </row>
        <row r="21">
          <cell r="A21">
            <v>304</v>
          </cell>
          <cell r="B21" t="str">
            <v>Brent</v>
          </cell>
          <cell r="C21">
            <v>14</v>
          </cell>
          <cell r="D21">
            <v>1750000</v>
          </cell>
          <cell r="E21">
            <v>0</v>
          </cell>
          <cell r="F21">
            <v>0</v>
          </cell>
          <cell r="G21">
            <v>0</v>
          </cell>
          <cell r="H21">
            <v>0</v>
          </cell>
          <cell r="I21">
            <v>1750000</v>
          </cell>
          <cell r="J21">
            <v>1820000</v>
          </cell>
        </row>
        <row r="22">
          <cell r="A22">
            <v>305</v>
          </cell>
          <cell r="B22" t="str">
            <v>Bromley</v>
          </cell>
          <cell r="C22">
            <v>4</v>
          </cell>
          <cell r="D22">
            <v>500000</v>
          </cell>
          <cell r="E22">
            <v>0</v>
          </cell>
          <cell r="F22">
            <v>0</v>
          </cell>
          <cell r="G22">
            <v>0</v>
          </cell>
          <cell r="H22">
            <v>0</v>
          </cell>
          <cell r="I22">
            <v>500000</v>
          </cell>
          <cell r="J22">
            <v>520000</v>
          </cell>
        </row>
        <row r="23">
          <cell r="A23">
            <v>306</v>
          </cell>
          <cell r="B23" t="str">
            <v>Croydon</v>
          </cell>
          <cell r="C23">
            <v>11</v>
          </cell>
          <cell r="D23">
            <v>1375000</v>
          </cell>
          <cell r="E23">
            <v>0</v>
          </cell>
          <cell r="F23">
            <v>0</v>
          </cell>
          <cell r="G23">
            <v>3</v>
          </cell>
          <cell r="H23">
            <v>150000</v>
          </cell>
          <cell r="I23">
            <v>1525000</v>
          </cell>
          <cell r="J23">
            <v>1586000</v>
          </cell>
        </row>
        <row r="24">
          <cell r="A24">
            <v>307</v>
          </cell>
          <cell r="B24" t="str">
            <v>Ealing</v>
          </cell>
          <cell r="C24">
            <v>13</v>
          </cell>
          <cell r="D24">
            <v>1625000</v>
          </cell>
          <cell r="E24">
            <v>0</v>
          </cell>
          <cell r="F24">
            <v>0</v>
          </cell>
          <cell r="G24">
            <v>0</v>
          </cell>
          <cell r="H24">
            <v>0</v>
          </cell>
          <cell r="I24">
            <v>1625000</v>
          </cell>
          <cell r="J24">
            <v>1690000</v>
          </cell>
        </row>
        <row r="25">
          <cell r="A25">
            <v>308</v>
          </cell>
          <cell r="B25" t="str">
            <v>Enfield</v>
          </cell>
          <cell r="C25">
            <v>17</v>
          </cell>
          <cell r="D25">
            <v>2125000</v>
          </cell>
          <cell r="E25">
            <v>0</v>
          </cell>
          <cell r="F25">
            <v>0</v>
          </cell>
          <cell r="G25">
            <v>0</v>
          </cell>
          <cell r="H25">
            <v>0</v>
          </cell>
          <cell r="I25">
            <v>2125000</v>
          </cell>
          <cell r="J25">
            <v>2210000</v>
          </cell>
        </row>
        <row r="26">
          <cell r="A26">
            <v>309</v>
          </cell>
          <cell r="B26" t="str">
            <v>Haringey</v>
          </cell>
          <cell r="C26">
            <v>11</v>
          </cell>
          <cell r="D26">
            <v>1375000</v>
          </cell>
          <cell r="E26">
            <v>0</v>
          </cell>
          <cell r="F26">
            <v>0</v>
          </cell>
          <cell r="G26">
            <v>0</v>
          </cell>
          <cell r="H26">
            <v>0</v>
          </cell>
          <cell r="I26">
            <v>1375000</v>
          </cell>
          <cell r="J26">
            <v>1430000</v>
          </cell>
        </row>
        <row r="27">
          <cell r="A27">
            <v>310</v>
          </cell>
          <cell r="B27" t="str">
            <v>Harrow</v>
          </cell>
          <cell r="C27">
            <v>0</v>
          </cell>
          <cell r="D27">
            <v>0</v>
          </cell>
          <cell r="E27">
            <v>0</v>
          </cell>
          <cell r="F27">
            <v>0</v>
          </cell>
          <cell r="G27">
            <v>0</v>
          </cell>
          <cell r="H27">
            <v>0</v>
          </cell>
          <cell r="I27">
            <v>0</v>
          </cell>
          <cell r="J27">
            <v>0</v>
          </cell>
        </row>
        <row r="28">
          <cell r="A28">
            <v>311</v>
          </cell>
          <cell r="B28" t="str">
            <v>Havering</v>
          </cell>
          <cell r="C28">
            <v>7</v>
          </cell>
          <cell r="D28">
            <v>875000</v>
          </cell>
          <cell r="E28">
            <v>0</v>
          </cell>
          <cell r="F28">
            <v>0</v>
          </cell>
          <cell r="G28">
            <v>1</v>
          </cell>
          <cell r="H28">
            <v>50000</v>
          </cell>
          <cell r="I28">
            <v>925000</v>
          </cell>
          <cell r="J28">
            <v>962000</v>
          </cell>
        </row>
        <row r="29">
          <cell r="A29">
            <v>312</v>
          </cell>
          <cell r="B29" t="str">
            <v>Hillingdon</v>
          </cell>
          <cell r="C29">
            <v>5</v>
          </cell>
          <cell r="D29">
            <v>625000</v>
          </cell>
          <cell r="E29">
            <v>1</v>
          </cell>
          <cell r="F29">
            <v>52083.333333333336</v>
          </cell>
          <cell r="G29">
            <v>1</v>
          </cell>
          <cell r="H29">
            <v>50000</v>
          </cell>
          <cell r="I29">
            <v>727083.33333333337</v>
          </cell>
          <cell r="J29">
            <v>756166.66666666674</v>
          </cell>
        </row>
        <row r="30">
          <cell r="A30">
            <v>313</v>
          </cell>
          <cell r="B30" t="str">
            <v>Hounslow</v>
          </cell>
          <cell r="C30">
            <v>14</v>
          </cell>
          <cell r="D30">
            <v>1750000</v>
          </cell>
          <cell r="E30">
            <v>0</v>
          </cell>
          <cell r="F30">
            <v>0</v>
          </cell>
          <cell r="G30">
            <v>0</v>
          </cell>
          <cell r="H30">
            <v>0</v>
          </cell>
          <cell r="I30">
            <v>1750000</v>
          </cell>
          <cell r="J30">
            <v>1820000</v>
          </cell>
        </row>
        <row r="31">
          <cell r="A31">
            <v>314</v>
          </cell>
          <cell r="B31" t="str">
            <v>Kingston upon Thames</v>
          </cell>
          <cell r="C31">
            <v>1</v>
          </cell>
          <cell r="D31">
            <v>125000</v>
          </cell>
          <cell r="E31">
            <v>0</v>
          </cell>
          <cell r="F31">
            <v>0</v>
          </cell>
          <cell r="G31">
            <v>1</v>
          </cell>
          <cell r="H31">
            <v>50000</v>
          </cell>
          <cell r="I31">
            <v>175000</v>
          </cell>
          <cell r="J31">
            <v>182000</v>
          </cell>
        </row>
        <row r="32">
          <cell r="A32">
            <v>315</v>
          </cell>
          <cell r="B32" t="str">
            <v>Merton</v>
          </cell>
          <cell r="C32">
            <v>4</v>
          </cell>
          <cell r="D32">
            <v>500000</v>
          </cell>
          <cell r="E32">
            <v>0</v>
          </cell>
          <cell r="F32">
            <v>0</v>
          </cell>
          <cell r="G32">
            <v>4</v>
          </cell>
          <cell r="H32">
            <v>200000</v>
          </cell>
          <cell r="I32">
            <v>700000</v>
          </cell>
          <cell r="J32">
            <v>728000</v>
          </cell>
        </row>
        <row r="33">
          <cell r="A33">
            <v>316</v>
          </cell>
          <cell r="B33" t="str">
            <v>Newham</v>
          </cell>
          <cell r="C33">
            <v>15</v>
          </cell>
          <cell r="D33">
            <v>1875000</v>
          </cell>
          <cell r="E33">
            <v>0</v>
          </cell>
          <cell r="F33">
            <v>0</v>
          </cell>
          <cell r="G33">
            <v>0</v>
          </cell>
          <cell r="H33">
            <v>0</v>
          </cell>
          <cell r="I33">
            <v>1875000</v>
          </cell>
          <cell r="J33">
            <v>1950000</v>
          </cell>
        </row>
        <row r="34">
          <cell r="A34">
            <v>317</v>
          </cell>
          <cell r="B34" t="str">
            <v>Redbridge</v>
          </cell>
          <cell r="C34">
            <v>1</v>
          </cell>
          <cell r="D34">
            <v>125000</v>
          </cell>
          <cell r="E34">
            <v>0</v>
          </cell>
          <cell r="F34">
            <v>0</v>
          </cell>
          <cell r="G34">
            <v>1</v>
          </cell>
          <cell r="H34">
            <v>50000</v>
          </cell>
          <cell r="I34">
            <v>175000</v>
          </cell>
          <cell r="J34">
            <v>182000</v>
          </cell>
        </row>
        <row r="35">
          <cell r="A35">
            <v>318</v>
          </cell>
          <cell r="B35" t="str">
            <v>Richmond upon Thames</v>
          </cell>
          <cell r="C35">
            <v>1</v>
          </cell>
          <cell r="D35">
            <v>125000</v>
          </cell>
          <cell r="E35">
            <v>0</v>
          </cell>
          <cell r="F35">
            <v>0</v>
          </cell>
          <cell r="G35">
            <v>1</v>
          </cell>
          <cell r="H35">
            <v>50000</v>
          </cell>
          <cell r="I35">
            <v>175000</v>
          </cell>
          <cell r="J35">
            <v>182000</v>
          </cell>
        </row>
        <row r="36">
          <cell r="A36">
            <v>319</v>
          </cell>
          <cell r="B36" t="str">
            <v>Sutton</v>
          </cell>
          <cell r="C36">
            <v>3</v>
          </cell>
          <cell r="D36">
            <v>375000</v>
          </cell>
          <cell r="E36">
            <v>0</v>
          </cell>
          <cell r="F36">
            <v>0</v>
          </cell>
          <cell r="G36">
            <v>3</v>
          </cell>
          <cell r="H36">
            <v>150000</v>
          </cell>
          <cell r="I36">
            <v>525000</v>
          </cell>
          <cell r="J36">
            <v>546000</v>
          </cell>
        </row>
        <row r="37">
          <cell r="A37">
            <v>320</v>
          </cell>
          <cell r="B37" t="str">
            <v>Waltham Forest</v>
          </cell>
          <cell r="C37">
            <v>17</v>
          </cell>
          <cell r="D37">
            <v>2125000</v>
          </cell>
          <cell r="E37">
            <v>0</v>
          </cell>
          <cell r="F37">
            <v>0</v>
          </cell>
          <cell r="G37">
            <v>0</v>
          </cell>
          <cell r="H37">
            <v>0</v>
          </cell>
          <cell r="I37">
            <v>2125000</v>
          </cell>
          <cell r="J37">
            <v>2210000</v>
          </cell>
        </row>
        <row r="38">
          <cell r="A38">
            <v>330</v>
          </cell>
          <cell r="B38" t="str">
            <v>Birmingham</v>
          </cell>
          <cell r="C38">
            <v>76</v>
          </cell>
          <cell r="D38">
            <v>9500000</v>
          </cell>
          <cell r="E38">
            <v>0</v>
          </cell>
          <cell r="F38">
            <v>0</v>
          </cell>
          <cell r="G38">
            <v>0</v>
          </cell>
          <cell r="H38">
            <v>0</v>
          </cell>
          <cell r="I38">
            <v>9500000</v>
          </cell>
          <cell r="J38">
            <v>9880000</v>
          </cell>
        </row>
        <row r="39">
          <cell r="A39">
            <v>331</v>
          </cell>
          <cell r="B39" t="str">
            <v>Coventry</v>
          </cell>
          <cell r="C39">
            <v>11</v>
          </cell>
          <cell r="D39">
            <v>1375000</v>
          </cell>
          <cell r="E39">
            <v>0</v>
          </cell>
          <cell r="F39">
            <v>0</v>
          </cell>
          <cell r="G39">
            <v>2</v>
          </cell>
          <cell r="H39">
            <v>100000</v>
          </cell>
          <cell r="I39">
            <v>1475000</v>
          </cell>
          <cell r="J39">
            <v>1534000</v>
          </cell>
        </row>
        <row r="40">
          <cell r="A40">
            <v>332</v>
          </cell>
          <cell r="B40" t="str">
            <v>Dudley</v>
          </cell>
          <cell r="C40">
            <v>5</v>
          </cell>
          <cell r="D40">
            <v>625000</v>
          </cell>
          <cell r="E40">
            <v>0</v>
          </cell>
          <cell r="F40">
            <v>0</v>
          </cell>
          <cell r="G40">
            <v>3</v>
          </cell>
          <cell r="H40">
            <v>150000</v>
          </cell>
          <cell r="I40">
            <v>775000</v>
          </cell>
          <cell r="J40">
            <v>806000</v>
          </cell>
        </row>
        <row r="41">
          <cell r="A41">
            <v>333</v>
          </cell>
          <cell r="B41" t="str">
            <v>Sandwell</v>
          </cell>
          <cell r="C41">
            <v>18</v>
          </cell>
          <cell r="D41">
            <v>2250000</v>
          </cell>
          <cell r="E41">
            <v>0</v>
          </cell>
          <cell r="F41">
            <v>0</v>
          </cell>
          <cell r="G41">
            <v>0</v>
          </cell>
          <cell r="H41">
            <v>0</v>
          </cell>
          <cell r="I41">
            <v>2250000</v>
          </cell>
          <cell r="J41">
            <v>2340000</v>
          </cell>
        </row>
        <row r="42">
          <cell r="A42">
            <v>334</v>
          </cell>
          <cell r="B42" t="str">
            <v>Solihull</v>
          </cell>
          <cell r="C42">
            <v>4</v>
          </cell>
          <cell r="D42">
            <v>500000</v>
          </cell>
          <cell r="E42">
            <v>0</v>
          </cell>
          <cell r="F42">
            <v>0</v>
          </cell>
          <cell r="G42">
            <v>0</v>
          </cell>
          <cell r="H42">
            <v>0</v>
          </cell>
          <cell r="I42">
            <v>500000</v>
          </cell>
          <cell r="J42">
            <v>520000</v>
          </cell>
        </row>
        <row r="43">
          <cell r="A43">
            <v>335</v>
          </cell>
          <cell r="B43" t="str">
            <v>Walsall</v>
          </cell>
          <cell r="C43">
            <v>9</v>
          </cell>
          <cell r="D43">
            <v>1125000</v>
          </cell>
          <cell r="E43">
            <v>0</v>
          </cell>
          <cell r="F43">
            <v>0</v>
          </cell>
          <cell r="G43">
            <v>2</v>
          </cell>
          <cell r="H43">
            <v>100000</v>
          </cell>
          <cell r="I43">
            <v>1225000</v>
          </cell>
          <cell r="J43">
            <v>1274000</v>
          </cell>
        </row>
        <row r="44">
          <cell r="A44">
            <v>336</v>
          </cell>
          <cell r="B44" t="str">
            <v>Wolverhampton</v>
          </cell>
          <cell r="C44">
            <v>18</v>
          </cell>
          <cell r="D44">
            <v>2250000</v>
          </cell>
          <cell r="E44">
            <v>0</v>
          </cell>
          <cell r="F44">
            <v>0</v>
          </cell>
          <cell r="G44">
            <v>0</v>
          </cell>
          <cell r="H44">
            <v>0</v>
          </cell>
          <cell r="I44">
            <v>2250000</v>
          </cell>
          <cell r="J44">
            <v>2340000</v>
          </cell>
        </row>
        <row r="45">
          <cell r="A45">
            <v>340</v>
          </cell>
          <cell r="B45" t="str">
            <v>Knowsley</v>
          </cell>
          <cell r="C45">
            <v>11</v>
          </cell>
          <cell r="D45">
            <v>1375000</v>
          </cell>
          <cell r="E45">
            <v>0</v>
          </cell>
          <cell r="F45">
            <v>0</v>
          </cell>
          <cell r="G45">
            <v>0</v>
          </cell>
          <cell r="H45">
            <v>0</v>
          </cell>
          <cell r="I45">
            <v>1375000</v>
          </cell>
          <cell r="J45">
            <v>1430000</v>
          </cell>
        </row>
        <row r="46">
          <cell r="A46">
            <v>341</v>
          </cell>
          <cell r="B46" t="str">
            <v>Liverpool</v>
          </cell>
          <cell r="C46">
            <v>32</v>
          </cell>
          <cell r="D46">
            <v>4000000</v>
          </cell>
          <cell r="E46">
            <v>0</v>
          </cell>
          <cell r="F46">
            <v>0</v>
          </cell>
          <cell r="G46">
            <v>0</v>
          </cell>
          <cell r="H46">
            <v>0</v>
          </cell>
          <cell r="I46">
            <v>4000000</v>
          </cell>
          <cell r="J46">
            <v>4160000</v>
          </cell>
        </row>
        <row r="47">
          <cell r="A47">
            <v>342</v>
          </cell>
          <cell r="B47" t="str">
            <v>St. Helens</v>
          </cell>
          <cell r="C47">
            <v>11</v>
          </cell>
          <cell r="D47">
            <v>1375000</v>
          </cell>
          <cell r="E47">
            <v>0</v>
          </cell>
          <cell r="F47">
            <v>0</v>
          </cell>
          <cell r="G47">
            <v>0</v>
          </cell>
          <cell r="H47">
            <v>0</v>
          </cell>
          <cell r="I47">
            <v>1375000</v>
          </cell>
          <cell r="J47">
            <v>1430000</v>
          </cell>
        </row>
        <row r="48">
          <cell r="A48">
            <v>343</v>
          </cell>
          <cell r="B48" t="str">
            <v>Sefton</v>
          </cell>
          <cell r="C48">
            <v>22</v>
          </cell>
          <cell r="D48">
            <v>2750000</v>
          </cell>
          <cell r="E48">
            <v>0</v>
          </cell>
          <cell r="F48">
            <v>0</v>
          </cell>
          <cell r="G48">
            <v>0</v>
          </cell>
          <cell r="H48">
            <v>0</v>
          </cell>
          <cell r="I48">
            <v>2750000</v>
          </cell>
          <cell r="J48">
            <v>2860000</v>
          </cell>
        </row>
        <row r="49">
          <cell r="A49">
            <v>344</v>
          </cell>
          <cell r="B49" t="str">
            <v>Wirral</v>
          </cell>
          <cell r="C49">
            <v>22</v>
          </cell>
          <cell r="D49">
            <v>2750000</v>
          </cell>
          <cell r="E49">
            <v>0</v>
          </cell>
          <cell r="F49">
            <v>0</v>
          </cell>
          <cell r="G49">
            <v>0</v>
          </cell>
          <cell r="H49">
            <v>0</v>
          </cell>
          <cell r="I49">
            <v>2750000</v>
          </cell>
          <cell r="J49">
            <v>2860000</v>
          </cell>
        </row>
        <row r="50">
          <cell r="A50">
            <v>350</v>
          </cell>
          <cell r="B50" t="str">
            <v>Bolton</v>
          </cell>
          <cell r="C50">
            <v>5</v>
          </cell>
          <cell r="D50">
            <v>625000</v>
          </cell>
          <cell r="E50">
            <v>0</v>
          </cell>
          <cell r="F50">
            <v>0</v>
          </cell>
          <cell r="G50">
            <v>3</v>
          </cell>
          <cell r="H50">
            <v>150000</v>
          </cell>
          <cell r="I50">
            <v>775000</v>
          </cell>
          <cell r="J50">
            <v>806000</v>
          </cell>
        </row>
        <row r="51">
          <cell r="A51">
            <v>351</v>
          </cell>
          <cell r="B51" t="str">
            <v>Bury</v>
          </cell>
          <cell r="C51">
            <v>1</v>
          </cell>
          <cell r="D51">
            <v>125000</v>
          </cell>
          <cell r="E51">
            <v>0</v>
          </cell>
          <cell r="F51">
            <v>0</v>
          </cell>
          <cell r="G51">
            <v>1</v>
          </cell>
          <cell r="H51">
            <v>50000</v>
          </cell>
          <cell r="I51">
            <v>175000</v>
          </cell>
          <cell r="J51">
            <v>182000</v>
          </cell>
        </row>
        <row r="52">
          <cell r="A52">
            <v>352</v>
          </cell>
          <cell r="B52" t="str">
            <v>Manchester</v>
          </cell>
          <cell r="C52">
            <v>23</v>
          </cell>
          <cell r="D52">
            <v>2875000</v>
          </cell>
          <cell r="E52">
            <v>0</v>
          </cell>
          <cell r="F52">
            <v>0</v>
          </cell>
          <cell r="G52">
            <v>0</v>
          </cell>
          <cell r="H52">
            <v>0</v>
          </cell>
          <cell r="I52">
            <v>2875000</v>
          </cell>
          <cell r="J52">
            <v>2990000</v>
          </cell>
        </row>
        <row r="53">
          <cell r="A53">
            <v>353</v>
          </cell>
          <cell r="B53" t="str">
            <v>Oldham</v>
          </cell>
          <cell r="C53">
            <v>15</v>
          </cell>
          <cell r="D53">
            <v>1875000</v>
          </cell>
          <cell r="E53">
            <v>0</v>
          </cell>
          <cell r="F53">
            <v>0</v>
          </cell>
          <cell r="G53">
            <v>0</v>
          </cell>
          <cell r="H53">
            <v>0</v>
          </cell>
          <cell r="I53">
            <v>1875000</v>
          </cell>
          <cell r="J53">
            <v>1950000</v>
          </cell>
        </row>
        <row r="54">
          <cell r="A54">
            <v>354</v>
          </cell>
          <cell r="B54" t="str">
            <v>Rochdale</v>
          </cell>
          <cell r="C54">
            <v>14</v>
          </cell>
          <cell r="D54">
            <v>1750000</v>
          </cell>
          <cell r="E54">
            <v>0</v>
          </cell>
          <cell r="F54">
            <v>0</v>
          </cell>
          <cell r="G54">
            <v>0</v>
          </cell>
          <cell r="H54">
            <v>0</v>
          </cell>
          <cell r="I54">
            <v>1750000</v>
          </cell>
          <cell r="J54">
            <v>1820000</v>
          </cell>
        </row>
        <row r="55">
          <cell r="A55">
            <v>355</v>
          </cell>
          <cell r="B55" t="str">
            <v>Salford</v>
          </cell>
          <cell r="C55">
            <v>14</v>
          </cell>
          <cell r="D55">
            <v>1750000</v>
          </cell>
          <cell r="E55">
            <v>0</v>
          </cell>
          <cell r="F55">
            <v>0</v>
          </cell>
          <cell r="G55">
            <v>0</v>
          </cell>
          <cell r="H55">
            <v>0</v>
          </cell>
          <cell r="I55">
            <v>1750000</v>
          </cell>
          <cell r="J55">
            <v>1820000</v>
          </cell>
        </row>
        <row r="56">
          <cell r="A56">
            <v>356</v>
          </cell>
          <cell r="B56" t="str">
            <v>Stockport</v>
          </cell>
          <cell r="C56">
            <v>5</v>
          </cell>
          <cell r="D56">
            <v>625000</v>
          </cell>
          <cell r="E56">
            <v>0</v>
          </cell>
          <cell r="F56">
            <v>0</v>
          </cell>
          <cell r="G56">
            <v>0</v>
          </cell>
          <cell r="H56">
            <v>0</v>
          </cell>
          <cell r="I56">
            <v>625000</v>
          </cell>
          <cell r="J56">
            <v>650000</v>
          </cell>
        </row>
        <row r="57">
          <cell r="A57">
            <v>357</v>
          </cell>
          <cell r="B57" t="str">
            <v>Tameside</v>
          </cell>
          <cell r="C57">
            <v>8</v>
          </cell>
          <cell r="D57">
            <v>1000000</v>
          </cell>
          <cell r="E57">
            <v>0</v>
          </cell>
          <cell r="F57">
            <v>0</v>
          </cell>
          <cell r="G57">
            <v>2</v>
          </cell>
          <cell r="H57">
            <v>100000</v>
          </cell>
          <cell r="I57">
            <v>1100000</v>
          </cell>
          <cell r="J57">
            <v>1144000</v>
          </cell>
        </row>
        <row r="58">
          <cell r="A58">
            <v>358</v>
          </cell>
          <cell r="B58" t="str">
            <v>Trafford</v>
          </cell>
          <cell r="C58">
            <v>4</v>
          </cell>
          <cell r="D58">
            <v>500000</v>
          </cell>
          <cell r="E58">
            <v>0</v>
          </cell>
          <cell r="F58">
            <v>0</v>
          </cell>
          <cell r="G58">
            <v>1</v>
          </cell>
          <cell r="H58">
            <v>50000</v>
          </cell>
          <cell r="I58">
            <v>550000</v>
          </cell>
          <cell r="J58">
            <v>572000</v>
          </cell>
        </row>
        <row r="59">
          <cell r="A59">
            <v>359</v>
          </cell>
          <cell r="B59" t="str">
            <v>Wigan</v>
          </cell>
          <cell r="C59">
            <v>7</v>
          </cell>
          <cell r="D59">
            <v>875000</v>
          </cell>
          <cell r="E59">
            <v>0</v>
          </cell>
          <cell r="F59">
            <v>0</v>
          </cell>
          <cell r="G59">
            <v>0</v>
          </cell>
          <cell r="H59">
            <v>0</v>
          </cell>
          <cell r="I59">
            <v>875000</v>
          </cell>
          <cell r="J59">
            <v>910000</v>
          </cell>
        </row>
        <row r="60">
          <cell r="A60">
            <v>370</v>
          </cell>
          <cell r="B60" t="str">
            <v>Barnsley</v>
          </cell>
          <cell r="C60">
            <v>14</v>
          </cell>
          <cell r="D60">
            <v>1750000</v>
          </cell>
          <cell r="E60">
            <v>0</v>
          </cell>
          <cell r="F60">
            <v>0</v>
          </cell>
          <cell r="G60">
            <v>0</v>
          </cell>
          <cell r="H60">
            <v>0</v>
          </cell>
          <cell r="I60">
            <v>1750000</v>
          </cell>
          <cell r="J60">
            <v>1820000</v>
          </cell>
        </row>
        <row r="61">
          <cell r="A61">
            <v>371</v>
          </cell>
          <cell r="B61" t="str">
            <v>Doncaster</v>
          </cell>
          <cell r="C61">
            <v>17</v>
          </cell>
          <cell r="D61">
            <v>2125000</v>
          </cell>
          <cell r="E61">
            <v>0</v>
          </cell>
          <cell r="F61">
            <v>0</v>
          </cell>
          <cell r="G61">
            <v>0</v>
          </cell>
          <cell r="H61">
            <v>0</v>
          </cell>
          <cell r="I61">
            <v>2125000</v>
          </cell>
          <cell r="J61">
            <v>2210000</v>
          </cell>
        </row>
        <row r="62">
          <cell r="A62">
            <v>372</v>
          </cell>
          <cell r="B62" t="str">
            <v>Rotherham</v>
          </cell>
          <cell r="C62">
            <v>16</v>
          </cell>
          <cell r="D62">
            <v>2000000</v>
          </cell>
          <cell r="E62">
            <v>1</v>
          </cell>
          <cell r="F62">
            <v>52083.333333333336</v>
          </cell>
          <cell r="G62">
            <v>0</v>
          </cell>
          <cell r="H62">
            <v>0</v>
          </cell>
          <cell r="I62">
            <v>2052083.3333333333</v>
          </cell>
          <cell r="J62">
            <v>2134166.6666666665</v>
          </cell>
        </row>
        <row r="63">
          <cell r="A63">
            <v>373</v>
          </cell>
          <cell r="B63" t="str">
            <v>Sheffield</v>
          </cell>
          <cell r="C63">
            <v>27</v>
          </cell>
          <cell r="D63">
            <v>3375000</v>
          </cell>
          <cell r="E63">
            <v>0</v>
          </cell>
          <cell r="F63">
            <v>0</v>
          </cell>
          <cell r="G63">
            <v>0</v>
          </cell>
          <cell r="H63">
            <v>0</v>
          </cell>
          <cell r="I63">
            <v>3375000</v>
          </cell>
          <cell r="J63">
            <v>3510000</v>
          </cell>
        </row>
        <row r="64">
          <cell r="A64">
            <v>380</v>
          </cell>
          <cell r="B64" t="str">
            <v>Bradford</v>
          </cell>
          <cell r="C64">
            <v>28</v>
          </cell>
          <cell r="D64">
            <v>3500000</v>
          </cell>
          <cell r="E64">
            <v>0</v>
          </cell>
          <cell r="F64">
            <v>0</v>
          </cell>
          <cell r="G64">
            <v>0</v>
          </cell>
          <cell r="H64">
            <v>0</v>
          </cell>
          <cell r="I64">
            <v>3500000</v>
          </cell>
          <cell r="J64">
            <v>3640000</v>
          </cell>
        </row>
        <row r="65">
          <cell r="A65">
            <v>381</v>
          </cell>
          <cell r="B65" t="str">
            <v>Calderdale</v>
          </cell>
          <cell r="C65">
            <v>4</v>
          </cell>
          <cell r="D65">
            <v>500000</v>
          </cell>
          <cell r="E65">
            <v>0</v>
          </cell>
          <cell r="F65">
            <v>0</v>
          </cell>
          <cell r="G65">
            <v>1</v>
          </cell>
          <cell r="H65">
            <v>50000</v>
          </cell>
          <cell r="I65">
            <v>550000</v>
          </cell>
          <cell r="J65">
            <v>572000</v>
          </cell>
        </row>
        <row r="66">
          <cell r="A66">
            <v>382</v>
          </cell>
          <cell r="B66" t="str">
            <v>Kirklees</v>
          </cell>
          <cell r="C66">
            <v>11</v>
          </cell>
          <cell r="D66">
            <v>1375000</v>
          </cell>
          <cell r="E66">
            <v>0</v>
          </cell>
          <cell r="F66">
            <v>0</v>
          </cell>
          <cell r="G66">
            <v>2</v>
          </cell>
          <cell r="H66">
            <v>100000</v>
          </cell>
          <cell r="I66">
            <v>1475000</v>
          </cell>
          <cell r="J66">
            <v>1534000</v>
          </cell>
        </row>
        <row r="67">
          <cell r="A67">
            <v>383</v>
          </cell>
          <cell r="B67" t="str">
            <v>Leeds</v>
          </cell>
          <cell r="C67">
            <v>43</v>
          </cell>
          <cell r="D67">
            <v>5375000</v>
          </cell>
          <cell r="E67">
            <v>0</v>
          </cell>
          <cell r="F67">
            <v>0</v>
          </cell>
          <cell r="G67">
            <v>0</v>
          </cell>
          <cell r="H67">
            <v>0</v>
          </cell>
          <cell r="I67">
            <v>5375000</v>
          </cell>
          <cell r="J67">
            <v>5590000</v>
          </cell>
        </row>
        <row r="68">
          <cell r="A68">
            <v>384</v>
          </cell>
          <cell r="B68" t="str">
            <v>Wakefield</v>
          </cell>
          <cell r="C68">
            <v>6</v>
          </cell>
          <cell r="D68">
            <v>750000</v>
          </cell>
          <cell r="E68">
            <v>0</v>
          </cell>
          <cell r="F68">
            <v>0</v>
          </cell>
          <cell r="G68">
            <v>1</v>
          </cell>
          <cell r="H68">
            <v>50000</v>
          </cell>
          <cell r="I68">
            <v>800000</v>
          </cell>
          <cell r="J68">
            <v>832000</v>
          </cell>
        </row>
        <row r="69">
          <cell r="A69">
            <v>390</v>
          </cell>
          <cell r="B69" t="str">
            <v>Gateshead</v>
          </cell>
          <cell r="C69">
            <v>10</v>
          </cell>
          <cell r="D69">
            <v>1250000</v>
          </cell>
          <cell r="E69">
            <v>0</v>
          </cell>
          <cell r="F69">
            <v>0</v>
          </cell>
          <cell r="G69">
            <v>0</v>
          </cell>
          <cell r="H69">
            <v>0</v>
          </cell>
          <cell r="I69">
            <v>1250000</v>
          </cell>
          <cell r="J69">
            <v>1300000</v>
          </cell>
        </row>
        <row r="70">
          <cell r="A70">
            <v>391</v>
          </cell>
          <cell r="B70" t="str">
            <v>Newcastle upon Tyne</v>
          </cell>
          <cell r="C70">
            <v>11</v>
          </cell>
          <cell r="D70">
            <v>1375000</v>
          </cell>
          <cell r="E70">
            <v>0</v>
          </cell>
          <cell r="F70">
            <v>0</v>
          </cell>
          <cell r="G70">
            <v>0</v>
          </cell>
          <cell r="H70">
            <v>0</v>
          </cell>
          <cell r="I70">
            <v>1375000</v>
          </cell>
          <cell r="J70">
            <v>1430000</v>
          </cell>
        </row>
        <row r="71">
          <cell r="A71">
            <v>392</v>
          </cell>
          <cell r="B71" t="str">
            <v>North Tyneside</v>
          </cell>
          <cell r="C71">
            <v>11</v>
          </cell>
          <cell r="D71">
            <v>1375000</v>
          </cell>
          <cell r="E71">
            <v>0</v>
          </cell>
          <cell r="F71">
            <v>0</v>
          </cell>
          <cell r="G71">
            <v>0</v>
          </cell>
          <cell r="H71">
            <v>0</v>
          </cell>
          <cell r="I71">
            <v>1375000</v>
          </cell>
          <cell r="J71">
            <v>1430000</v>
          </cell>
        </row>
        <row r="72">
          <cell r="A72">
            <v>393</v>
          </cell>
          <cell r="B72" t="str">
            <v>South Tyneside</v>
          </cell>
          <cell r="C72">
            <v>10</v>
          </cell>
          <cell r="D72">
            <v>1250000</v>
          </cell>
          <cell r="E72">
            <v>0</v>
          </cell>
          <cell r="F72">
            <v>0</v>
          </cell>
          <cell r="G72">
            <v>0</v>
          </cell>
          <cell r="H72">
            <v>0</v>
          </cell>
          <cell r="I72">
            <v>1250000</v>
          </cell>
          <cell r="J72">
            <v>1300000</v>
          </cell>
        </row>
        <row r="73">
          <cell r="A73">
            <v>394</v>
          </cell>
          <cell r="B73" t="str">
            <v>Sunderland</v>
          </cell>
          <cell r="C73">
            <v>17</v>
          </cell>
          <cell r="D73">
            <v>2125000</v>
          </cell>
          <cell r="E73">
            <v>0</v>
          </cell>
          <cell r="F73">
            <v>0</v>
          </cell>
          <cell r="G73">
            <v>0</v>
          </cell>
          <cell r="H73">
            <v>0</v>
          </cell>
          <cell r="I73">
            <v>2125000</v>
          </cell>
          <cell r="J73">
            <v>2210000</v>
          </cell>
        </row>
        <row r="74">
          <cell r="A74">
            <v>420</v>
          </cell>
          <cell r="B74" t="str">
            <v>Isles of Scilly</v>
          </cell>
          <cell r="C74">
            <v>0</v>
          </cell>
          <cell r="D74">
            <v>0</v>
          </cell>
          <cell r="E74">
            <v>0</v>
          </cell>
          <cell r="F74">
            <v>0</v>
          </cell>
          <cell r="G74">
            <v>0</v>
          </cell>
          <cell r="H74">
            <v>0</v>
          </cell>
          <cell r="I74">
            <v>0</v>
          </cell>
          <cell r="J74">
            <v>0</v>
          </cell>
        </row>
        <row r="75">
          <cell r="A75">
            <v>800</v>
          </cell>
          <cell r="B75" t="str">
            <v>Bath and North East Somerset</v>
          </cell>
          <cell r="C75">
            <v>0</v>
          </cell>
          <cell r="D75">
            <v>0</v>
          </cell>
          <cell r="E75">
            <v>0</v>
          </cell>
          <cell r="F75">
            <v>0</v>
          </cell>
          <cell r="G75">
            <v>0</v>
          </cell>
          <cell r="H75">
            <v>0</v>
          </cell>
          <cell r="I75">
            <v>0</v>
          </cell>
          <cell r="J75">
            <v>0</v>
          </cell>
        </row>
        <row r="76">
          <cell r="A76">
            <v>801</v>
          </cell>
          <cell r="B76" t="str">
            <v>Bristol, City of</v>
          </cell>
          <cell r="C76">
            <v>18</v>
          </cell>
          <cell r="D76">
            <v>2250000</v>
          </cell>
          <cell r="E76">
            <v>1</v>
          </cell>
          <cell r="F76">
            <v>52083.333333333336</v>
          </cell>
          <cell r="G76">
            <v>0</v>
          </cell>
          <cell r="H76">
            <v>0</v>
          </cell>
          <cell r="I76">
            <v>2302083.3333333335</v>
          </cell>
          <cell r="J76">
            <v>2394166.666666667</v>
          </cell>
        </row>
        <row r="77">
          <cell r="A77">
            <v>802</v>
          </cell>
          <cell r="B77" t="str">
            <v>North Somerset</v>
          </cell>
          <cell r="C77">
            <v>4</v>
          </cell>
          <cell r="D77">
            <v>500000</v>
          </cell>
          <cell r="E77">
            <v>0</v>
          </cell>
          <cell r="F77">
            <v>0</v>
          </cell>
          <cell r="G77">
            <v>0</v>
          </cell>
          <cell r="H77">
            <v>0</v>
          </cell>
          <cell r="I77">
            <v>500000</v>
          </cell>
          <cell r="J77">
            <v>520000</v>
          </cell>
        </row>
        <row r="78">
          <cell r="A78">
            <v>803</v>
          </cell>
          <cell r="B78" t="str">
            <v>South Gloucestershire</v>
          </cell>
          <cell r="C78">
            <v>1</v>
          </cell>
          <cell r="D78">
            <v>125000</v>
          </cell>
          <cell r="E78">
            <v>0</v>
          </cell>
          <cell r="F78">
            <v>0</v>
          </cell>
          <cell r="G78">
            <v>1</v>
          </cell>
          <cell r="H78">
            <v>50000</v>
          </cell>
          <cell r="I78">
            <v>175000</v>
          </cell>
          <cell r="J78">
            <v>182000</v>
          </cell>
        </row>
        <row r="79">
          <cell r="A79">
            <v>805</v>
          </cell>
          <cell r="B79" t="str">
            <v>Hartlepool</v>
          </cell>
          <cell r="C79">
            <v>6</v>
          </cell>
          <cell r="D79">
            <v>750000</v>
          </cell>
          <cell r="E79">
            <v>0</v>
          </cell>
          <cell r="F79">
            <v>0</v>
          </cell>
          <cell r="G79">
            <v>0</v>
          </cell>
          <cell r="H79">
            <v>0</v>
          </cell>
          <cell r="I79">
            <v>750000</v>
          </cell>
          <cell r="J79">
            <v>780000</v>
          </cell>
        </row>
        <row r="80">
          <cell r="A80">
            <v>806</v>
          </cell>
          <cell r="B80" t="str">
            <v>Middlesbrough</v>
          </cell>
          <cell r="C80">
            <v>8</v>
          </cell>
          <cell r="D80">
            <v>1000000</v>
          </cell>
          <cell r="E80">
            <v>0</v>
          </cell>
          <cell r="F80">
            <v>0</v>
          </cell>
          <cell r="G80">
            <v>0</v>
          </cell>
          <cell r="H80">
            <v>0</v>
          </cell>
          <cell r="I80">
            <v>1000000</v>
          </cell>
          <cell r="J80">
            <v>1040000</v>
          </cell>
        </row>
        <row r="81">
          <cell r="A81">
            <v>807</v>
          </cell>
          <cell r="B81" t="str">
            <v>Redcar and Cleveland</v>
          </cell>
          <cell r="C81">
            <v>11</v>
          </cell>
          <cell r="D81">
            <v>1375000</v>
          </cell>
          <cell r="E81">
            <v>0</v>
          </cell>
          <cell r="F81">
            <v>0</v>
          </cell>
          <cell r="G81">
            <v>0</v>
          </cell>
          <cell r="H81">
            <v>0</v>
          </cell>
          <cell r="I81">
            <v>1375000</v>
          </cell>
          <cell r="J81">
            <v>1430000</v>
          </cell>
        </row>
        <row r="82">
          <cell r="A82">
            <v>808</v>
          </cell>
          <cell r="B82" t="str">
            <v>Stockton-on-Tees</v>
          </cell>
          <cell r="C82">
            <v>13</v>
          </cell>
          <cell r="D82">
            <v>1625000</v>
          </cell>
          <cell r="E82">
            <v>0</v>
          </cell>
          <cell r="F82">
            <v>0</v>
          </cell>
          <cell r="G82">
            <v>0</v>
          </cell>
          <cell r="H82">
            <v>0</v>
          </cell>
          <cell r="I82">
            <v>1625000</v>
          </cell>
          <cell r="J82">
            <v>1690000</v>
          </cell>
        </row>
        <row r="83">
          <cell r="A83">
            <v>810</v>
          </cell>
          <cell r="B83" t="str">
            <v>Kingston upon Hull, City of</v>
          </cell>
          <cell r="C83">
            <v>15</v>
          </cell>
          <cell r="D83">
            <v>1875000</v>
          </cell>
          <cell r="E83">
            <v>0</v>
          </cell>
          <cell r="F83">
            <v>0</v>
          </cell>
          <cell r="G83">
            <v>0</v>
          </cell>
          <cell r="H83">
            <v>0</v>
          </cell>
          <cell r="I83">
            <v>1875000</v>
          </cell>
          <cell r="J83">
            <v>1950000</v>
          </cell>
        </row>
        <row r="84">
          <cell r="A84">
            <v>811</v>
          </cell>
          <cell r="B84" t="str">
            <v>East Riding of Yorkshire</v>
          </cell>
          <cell r="C84">
            <v>3</v>
          </cell>
          <cell r="D84">
            <v>375000</v>
          </cell>
          <cell r="E84">
            <v>0</v>
          </cell>
          <cell r="F84">
            <v>0</v>
          </cell>
          <cell r="G84">
            <v>2</v>
          </cell>
          <cell r="H84">
            <v>100000</v>
          </cell>
          <cell r="I84">
            <v>475000</v>
          </cell>
          <cell r="J84">
            <v>494000</v>
          </cell>
        </row>
        <row r="85">
          <cell r="A85">
            <v>812</v>
          </cell>
          <cell r="B85" t="str">
            <v>North East Lincolnshire</v>
          </cell>
          <cell r="C85">
            <v>6</v>
          </cell>
          <cell r="D85">
            <v>750000</v>
          </cell>
          <cell r="E85">
            <v>0</v>
          </cell>
          <cell r="F85">
            <v>0</v>
          </cell>
          <cell r="G85">
            <v>2</v>
          </cell>
          <cell r="H85">
            <v>100000</v>
          </cell>
          <cell r="I85">
            <v>850000</v>
          </cell>
          <cell r="J85">
            <v>884000</v>
          </cell>
        </row>
        <row r="86">
          <cell r="A86">
            <v>813</v>
          </cell>
          <cell r="B86" t="str">
            <v>North Lincolnshire</v>
          </cell>
          <cell r="C86">
            <v>5</v>
          </cell>
          <cell r="D86">
            <v>625000</v>
          </cell>
          <cell r="E86">
            <v>0</v>
          </cell>
          <cell r="F86">
            <v>0</v>
          </cell>
          <cell r="G86">
            <v>0</v>
          </cell>
          <cell r="H86">
            <v>0</v>
          </cell>
          <cell r="I86">
            <v>625000</v>
          </cell>
          <cell r="J86">
            <v>650000</v>
          </cell>
        </row>
        <row r="87">
          <cell r="A87">
            <v>815</v>
          </cell>
          <cell r="B87" t="str">
            <v>North Yorkshire</v>
          </cell>
          <cell r="C87">
            <v>3</v>
          </cell>
          <cell r="D87">
            <v>375000</v>
          </cell>
          <cell r="E87">
            <v>0</v>
          </cell>
          <cell r="F87">
            <v>0</v>
          </cell>
          <cell r="G87">
            <v>3</v>
          </cell>
          <cell r="H87">
            <v>150000</v>
          </cell>
          <cell r="I87">
            <v>525000</v>
          </cell>
          <cell r="J87">
            <v>546000</v>
          </cell>
        </row>
        <row r="88">
          <cell r="A88">
            <v>816</v>
          </cell>
          <cell r="B88" t="str">
            <v>York</v>
          </cell>
          <cell r="C88">
            <v>2</v>
          </cell>
          <cell r="D88">
            <v>250000</v>
          </cell>
          <cell r="E88">
            <v>0</v>
          </cell>
          <cell r="F88">
            <v>0</v>
          </cell>
          <cell r="G88">
            <v>2</v>
          </cell>
          <cell r="H88">
            <v>100000</v>
          </cell>
          <cell r="I88">
            <v>350000</v>
          </cell>
          <cell r="J88">
            <v>364000</v>
          </cell>
        </row>
        <row r="89">
          <cell r="A89">
            <v>820</v>
          </cell>
          <cell r="B89" t="str">
            <v>Bedfordshire</v>
          </cell>
          <cell r="C89">
            <v>3</v>
          </cell>
          <cell r="D89">
            <v>375000</v>
          </cell>
          <cell r="E89">
            <v>0</v>
          </cell>
          <cell r="F89">
            <v>0</v>
          </cell>
          <cell r="G89">
            <v>1</v>
          </cell>
          <cell r="H89">
            <v>50000</v>
          </cell>
          <cell r="I89">
            <v>425000</v>
          </cell>
          <cell r="J89">
            <v>442000</v>
          </cell>
        </row>
        <row r="90">
          <cell r="A90">
            <v>821</v>
          </cell>
          <cell r="B90" t="str">
            <v>Luton</v>
          </cell>
          <cell r="C90">
            <v>12</v>
          </cell>
          <cell r="D90">
            <v>1500000</v>
          </cell>
          <cell r="E90">
            <v>0</v>
          </cell>
          <cell r="F90">
            <v>0</v>
          </cell>
          <cell r="G90">
            <v>0</v>
          </cell>
          <cell r="H90">
            <v>0</v>
          </cell>
          <cell r="I90">
            <v>1500000</v>
          </cell>
          <cell r="J90">
            <v>1560000</v>
          </cell>
        </row>
        <row r="91">
          <cell r="A91">
            <v>825</v>
          </cell>
          <cell r="B91" t="str">
            <v>Buckinghamshire</v>
          </cell>
          <cell r="C91">
            <v>8</v>
          </cell>
          <cell r="D91">
            <v>1000000</v>
          </cell>
          <cell r="E91">
            <v>0</v>
          </cell>
          <cell r="F91">
            <v>0</v>
          </cell>
          <cell r="G91">
            <v>4</v>
          </cell>
          <cell r="H91">
            <v>200000</v>
          </cell>
          <cell r="I91">
            <v>1200000</v>
          </cell>
          <cell r="J91">
            <v>1248000</v>
          </cell>
        </row>
        <row r="92">
          <cell r="A92">
            <v>826</v>
          </cell>
          <cell r="B92" t="str">
            <v>Milton Keynes</v>
          </cell>
          <cell r="C92">
            <v>5</v>
          </cell>
          <cell r="D92">
            <v>625000</v>
          </cell>
          <cell r="E92">
            <v>0</v>
          </cell>
          <cell r="F92">
            <v>0</v>
          </cell>
          <cell r="G92">
            <v>1</v>
          </cell>
          <cell r="H92">
            <v>50000</v>
          </cell>
          <cell r="I92">
            <v>675000</v>
          </cell>
          <cell r="J92">
            <v>702000</v>
          </cell>
        </row>
        <row r="93">
          <cell r="A93">
            <v>830</v>
          </cell>
          <cell r="B93" t="str">
            <v>Derbyshire</v>
          </cell>
          <cell r="C93">
            <v>9</v>
          </cell>
          <cell r="D93">
            <v>1125000</v>
          </cell>
          <cell r="E93">
            <v>0</v>
          </cell>
          <cell r="F93">
            <v>0</v>
          </cell>
          <cell r="G93">
            <v>2</v>
          </cell>
          <cell r="H93">
            <v>100000</v>
          </cell>
          <cell r="I93">
            <v>1225000</v>
          </cell>
          <cell r="J93">
            <v>1274000</v>
          </cell>
        </row>
        <row r="94">
          <cell r="A94">
            <v>831</v>
          </cell>
          <cell r="B94" t="str">
            <v>Derby</v>
          </cell>
          <cell r="C94">
            <v>9</v>
          </cell>
          <cell r="D94">
            <v>1125000</v>
          </cell>
          <cell r="E94">
            <v>0</v>
          </cell>
          <cell r="F94">
            <v>0</v>
          </cell>
          <cell r="G94">
            <v>1</v>
          </cell>
          <cell r="H94">
            <v>50000</v>
          </cell>
          <cell r="I94">
            <v>1175000</v>
          </cell>
          <cell r="J94">
            <v>1222000</v>
          </cell>
        </row>
        <row r="95">
          <cell r="A95">
            <v>835</v>
          </cell>
          <cell r="B95" t="str">
            <v>Dorset</v>
          </cell>
          <cell r="C95">
            <v>1</v>
          </cell>
          <cell r="D95">
            <v>125000</v>
          </cell>
          <cell r="E95">
            <v>0</v>
          </cell>
          <cell r="F95">
            <v>0</v>
          </cell>
          <cell r="G95">
            <v>1</v>
          </cell>
          <cell r="H95">
            <v>50000</v>
          </cell>
          <cell r="I95">
            <v>175000</v>
          </cell>
          <cell r="J95">
            <v>182000</v>
          </cell>
        </row>
        <row r="96">
          <cell r="A96">
            <v>836</v>
          </cell>
          <cell r="B96" t="str">
            <v>Poole</v>
          </cell>
          <cell r="C96">
            <v>2</v>
          </cell>
          <cell r="D96">
            <v>250000</v>
          </cell>
          <cell r="E96">
            <v>0</v>
          </cell>
          <cell r="F96">
            <v>0</v>
          </cell>
          <cell r="G96">
            <v>2</v>
          </cell>
          <cell r="H96">
            <v>100000</v>
          </cell>
          <cell r="I96">
            <v>350000</v>
          </cell>
          <cell r="J96">
            <v>364000</v>
          </cell>
        </row>
        <row r="97">
          <cell r="A97">
            <v>837</v>
          </cell>
          <cell r="B97" t="str">
            <v>Bournemouth</v>
          </cell>
          <cell r="C97">
            <v>2</v>
          </cell>
          <cell r="D97">
            <v>250000</v>
          </cell>
          <cell r="E97">
            <v>0</v>
          </cell>
          <cell r="F97">
            <v>0</v>
          </cell>
          <cell r="G97">
            <v>2</v>
          </cell>
          <cell r="H97">
            <v>100000</v>
          </cell>
          <cell r="I97">
            <v>350000</v>
          </cell>
          <cell r="J97">
            <v>364000</v>
          </cell>
        </row>
        <row r="98">
          <cell r="A98">
            <v>840</v>
          </cell>
          <cell r="B98" t="str">
            <v>Durham</v>
          </cell>
          <cell r="C98">
            <v>17</v>
          </cell>
          <cell r="D98">
            <v>2125000</v>
          </cell>
          <cell r="E98">
            <v>0</v>
          </cell>
          <cell r="F98">
            <v>0</v>
          </cell>
          <cell r="G98">
            <v>9</v>
          </cell>
          <cell r="H98">
            <v>450000</v>
          </cell>
          <cell r="I98">
            <v>2575000</v>
          </cell>
          <cell r="J98">
            <v>2678000</v>
          </cell>
        </row>
        <row r="99">
          <cell r="A99">
            <v>841</v>
          </cell>
          <cell r="B99" t="str">
            <v>Darlington</v>
          </cell>
          <cell r="C99">
            <v>1</v>
          </cell>
          <cell r="D99">
            <v>125000</v>
          </cell>
          <cell r="E99">
            <v>0</v>
          </cell>
          <cell r="F99">
            <v>0</v>
          </cell>
          <cell r="G99">
            <v>1</v>
          </cell>
          <cell r="H99">
            <v>50000</v>
          </cell>
          <cell r="I99">
            <v>175000</v>
          </cell>
          <cell r="J99">
            <v>182000</v>
          </cell>
        </row>
        <row r="100">
          <cell r="A100">
            <v>845</v>
          </cell>
          <cell r="B100" t="str">
            <v>East Sussex</v>
          </cell>
          <cell r="C100">
            <v>7</v>
          </cell>
          <cell r="D100">
            <v>875000</v>
          </cell>
          <cell r="E100">
            <v>0</v>
          </cell>
          <cell r="F100">
            <v>0</v>
          </cell>
          <cell r="G100">
            <v>2</v>
          </cell>
          <cell r="H100">
            <v>100000</v>
          </cell>
          <cell r="I100">
            <v>975000</v>
          </cell>
          <cell r="J100">
            <v>1014000</v>
          </cell>
        </row>
        <row r="101">
          <cell r="A101">
            <v>846</v>
          </cell>
          <cell r="B101" t="str">
            <v>Brighton and Hove</v>
          </cell>
          <cell r="C101">
            <v>4</v>
          </cell>
          <cell r="D101">
            <v>500000</v>
          </cell>
          <cell r="E101">
            <v>0</v>
          </cell>
          <cell r="F101">
            <v>0</v>
          </cell>
          <cell r="G101">
            <v>1</v>
          </cell>
          <cell r="H101">
            <v>50000</v>
          </cell>
          <cell r="I101">
            <v>550000</v>
          </cell>
          <cell r="J101">
            <v>572000</v>
          </cell>
        </row>
        <row r="102">
          <cell r="A102">
            <v>850</v>
          </cell>
          <cell r="B102" t="str">
            <v>Hampshire</v>
          </cell>
          <cell r="C102">
            <v>5</v>
          </cell>
          <cell r="D102">
            <v>625000</v>
          </cell>
          <cell r="E102">
            <v>0</v>
          </cell>
          <cell r="F102">
            <v>0</v>
          </cell>
          <cell r="G102">
            <v>3</v>
          </cell>
          <cell r="H102">
            <v>150000</v>
          </cell>
          <cell r="I102">
            <v>775000</v>
          </cell>
          <cell r="J102">
            <v>806000</v>
          </cell>
        </row>
        <row r="103">
          <cell r="A103">
            <v>851</v>
          </cell>
          <cell r="B103" t="str">
            <v>Portsmouth</v>
          </cell>
          <cell r="C103">
            <v>5</v>
          </cell>
          <cell r="D103">
            <v>625000</v>
          </cell>
          <cell r="E103">
            <v>0</v>
          </cell>
          <cell r="F103">
            <v>0</v>
          </cell>
          <cell r="G103">
            <v>2</v>
          </cell>
          <cell r="H103">
            <v>100000</v>
          </cell>
          <cell r="I103">
            <v>725000</v>
          </cell>
          <cell r="J103">
            <v>754000</v>
          </cell>
        </row>
        <row r="104">
          <cell r="A104">
            <v>852</v>
          </cell>
          <cell r="B104" t="str">
            <v>Southampton</v>
          </cell>
          <cell r="C104">
            <v>5</v>
          </cell>
          <cell r="D104">
            <v>625000</v>
          </cell>
          <cell r="E104">
            <v>0</v>
          </cell>
          <cell r="F104">
            <v>0</v>
          </cell>
          <cell r="G104">
            <v>5</v>
          </cell>
          <cell r="H104">
            <v>250000</v>
          </cell>
          <cell r="I104">
            <v>875000</v>
          </cell>
          <cell r="J104">
            <v>910000</v>
          </cell>
        </row>
        <row r="105">
          <cell r="A105">
            <v>855</v>
          </cell>
          <cell r="B105" t="str">
            <v>Leicestershire</v>
          </cell>
          <cell r="C105">
            <v>1</v>
          </cell>
          <cell r="D105">
            <v>125000</v>
          </cell>
          <cell r="E105">
            <v>0</v>
          </cell>
          <cell r="F105">
            <v>0</v>
          </cell>
          <cell r="G105">
            <v>1</v>
          </cell>
          <cell r="H105">
            <v>50000</v>
          </cell>
          <cell r="I105">
            <v>175000</v>
          </cell>
          <cell r="J105">
            <v>182000</v>
          </cell>
        </row>
        <row r="106">
          <cell r="A106">
            <v>856</v>
          </cell>
          <cell r="B106" t="str">
            <v>Leicester</v>
          </cell>
          <cell r="C106">
            <v>16</v>
          </cell>
          <cell r="D106">
            <v>2000000</v>
          </cell>
          <cell r="E106">
            <v>0</v>
          </cell>
          <cell r="F106">
            <v>0</v>
          </cell>
          <cell r="G106">
            <v>0</v>
          </cell>
          <cell r="H106">
            <v>0</v>
          </cell>
          <cell r="I106">
            <v>2000000</v>
          </cell>
          <cell r="J106">
            <v>2080000</v>
          </cell>
        </row>
        <row r="107">
          <cell r="A107">
            <v>857</v>
          </cell>
          <cell r="B107" t="str">
            <v>Rutland</v>
          </cell>
          <cell r="C107">
            <v>0</v>
          </cell>
          <cell r="D107">
            <v>0</v>
          </cell>
          <cell r="E107">
            <v>0</v>
          </cell>
          <cell r="F107">
            <v>0</v>
          </cell>
          <cell r="G107">
            <v>0</v>
          </cell>
          <cell r="H107">
            <v>0</v>
          </cell>
          <cell r="I107">
            <v>0</v>
          </cell>
          <cell r="J107">
            <v>0</v>
          </cell>
        </row>
        <row r="108">
          <cell r="A108">
            <v>860</v>
          </cell>
          <cell r="B108" t="str">
            <v>Staffordshire</v>
          </cell>
          <cell r="C108">
            <v>9</v>
          </cell>
          <cell r="D108">
            <v>1125000</v>
          </cell>
          <cell r="E108">
            <v>0</v>
          </cell>
          <cell r="F108">
            <v>0</v>
          </cell>
          <cell r="G108">
            <v>9</v>
          </cell>
          <cell r="H108">
            <v>450000</v>
          </cell>
          <cell r="I108">
            <v>1575000</v>
          </cell>
          <cell r="J108">
            <v>1638000</v>
          </cell>
        </row>
        <row r="109">
          <cell r="A109">
            <v>861</v>
          </cell>
          <cell r="B109" t="str">
            <v>Stoke-on-Trent</v>
          </cell>
          <cell r="C109">
            <v>17</v>
          </cell>
          <cell r="D109">
            <v>2125000</v>
          </cell>
          <cell r="E109">
            <v>0</v>
          </cell>
          <cell r="F109">
            <v>0</v>
          </cell>
          <cell r="G109">
            <v>0</v>
          </cell>
          <cell r="H109">
            <v>0</v>
          </cell>
          <cell r="I109">
            <v>2125000</v>
          </cell>
          <cell r="J109">
            <v>2210000</v>
          </cell>
        </row>
        <row r="110">
          <cell r="A110">
            <v>865</v>
          </cell>
          <cell r="B110" t="str">
            <v>Wiltshire</v>
          </cell>
          <cell r="C110">
            <v>0</v>
          </cell>
          <cell r="D110">
            <v>0</v>
          </cell>
          <cell r="E110">
            <v>0</v>
          </cell>
          <cell r="F110">
            <v>0</v>
          </cell>
          <cell r="G110">
            <v>0</v>
          </cell>
          <cell r="H110">
            <v>0</v>
          </cell>
          <cell r="I110">
            <v>0</v>
          </cell>
          <cell r="J110">
            <v>0</v>
          </cell>
        </row>
        <row r="111">
          <cell r="A111">
            <v>866</v>
          </cell>
          <cell r="B111" t="str">
            <v>Swindon</v>
          </cell>
          <cell r="C111">
            <v>5</v>
          </cell>
          <cell r="D111">
            <v>625000</v>
          </cell>
          <cell r="E111">
            <v>0</v>
          </cell>
          <cell r="F111">
            <v>0</v>
          </cell>
          <cell r="G111">
            <v>0</v>
          </cell>
          <cell r="H111">
            <v>0</v>
          </cell>
          <cell r="I111">
            <v>625000</v>
          </cell>
          <cell r="J111">
            <v>650000</v>
          </cell>
        </row>
        <row r="112">
          <cell r="A112">
            <v>867</v>
          </cell>
          <cell r="B112" t="str">
            <v>Bracknell Forest</v>
          </cell>
          <cell r="C112">
            <v>2</v>
          </cell>
          <cell r="D112">
            <v>250000</v>
          </cell>
          <cell r="E112">
            <v>0</v>
          </cell>
          <cell r="F112">
            <v>0</v>
          </cell>
          <cell r="G112">
            <v>2</v>
          </cell>
          <cell r="H112">
            <v>100000</v>
          </cell>
          <cell r="I112">
            <v>350000</v>
          </cell>
          <cell r="J112">
            <v>364000</v>
          </cell>
        </row>
        <row r="113">
          <cell r="A113">
            <v>868</v>
          </cell>
          <cell r="B113" t="str">
            <v>Windsor and Maidenhead, Royal Borough of</v>
          </cell>
          <cell r="C113">
            <v>1</v>
          </cell>
          <cell r="D113">
            <v>125000</v>
          </cell>
          <cell r="E113">
            <v>0</v>
          </cell>
          <cell r="F113">
            <v>0</v>
          </cell>
          <cell r="G113">
            <v>1</v>
          </cell>
          <cell r="H113">
            <v>50000</v>
          </cell>
          <cell r="I113">
            <v>175000</v>
          </cell>
          <cell r="J113">
            <v>182000</v>
          </cell>
        </row>
        <row r="114">
          <cell r="A114">
            <v>869</v>
          </cell>
          <cell r="B114" t="str">
            <v>West Berkshire</v>
          </cell>
          <cell r="C114">
            <v>0</v>
          </cell>
          <cell r="D114">
            <v>0</v>
          </cell>
          <cell r="E114">
            <v>0</v>
          </cell>
          <cell r="F114">
            <v>0</v>
          </cell>
          <cell r="G114">
            <v>0</v>
          </cell>
          <cell r="H114">
            <v>0</v>
          </cell>
          <cell r="I114">
            <v>0</v>
          </cell>
          <cell r="J114">
            <v>0</v>
          </cell>
        </row>
        <row r="115">
          <cell r="A115">
            <v>870</v>
          </cell>
          <cell r="B115" t="str">
            <v>Reading</v>
          </cell>
          <cell r="C115">
            <v>3</v>
          </cell>
          <cell r="D115">
            <v>375000</v>
          </cell>
          <cell r="E115">
            <v>0</v>
          </cell>
          <cell r="F115">
            <v>0</v>
          </cell>
          <cell r="G115">
            <v>2</v>
          </cell>
          <cell r="H115">
            <v>100000</v>
          </cell>
          <cell r="I115">
            <v>475000</v>
          </cell>
          <cell r="J115">
            <v>494000</v>
          </cell>
        </row>
        <row r="116">
          <cell r="A116">
            <v>871</v>
          </cell>
          <cell r="B116" t="str">
            <v>Slough</v>
          </cell>
          <cell r="C116">
            <v>9</v>
          </cell>
          <cell r="D116">
            <v>1125000</v>
          </cell>
          <cell r="E116">
            <v>0</v>
          </cell>
          <cell r="F116">
            <v>0</v>
          </cell>
          <cell r="G116">
            <v>0</v>
          </cell>
          <cell r="H116">
            <v>0</v>
          </cell>
          <cell r="I116">
            <v>1125000</v>
          </cell>
          <cell r="J116">
            <v>1170000</v>
          </cell>
        </row>
        <row r="117">
          <cell r="A117">
            <v>872</v>
          </cell>
          <cell r="B117" t="str">
            <v>Wokingham</v>
          </cell>
          <cell r="C117">
            <v>0</v>
          </cell>
          <cell r="D117">
            <v>0</v>
          </cell>
          <cell r="E117">
            <v>0</v>
          </cell>
          <cell r="F117">
            <v>0</v>
          </cell>
          <cell r="G117">
            <v>0</v>
          </cell>
          <cell r="H117">
            <v>0</v>
          </cell>
          <cell r="I117">
            <v>0</v>
          </cell>
          <cell r="J117">
            <v>0</v>
          </cell>
        </row>
        <row r="118">
          <cell r="A118">
            <v>873</v>
          </cell>
          <cell r="B118" t="str">
            <v>Cambridgeshire</v>
          </cell>
          <cell r="C118">
            <v>3</v>
          </cell>
          <cell r="D118">
            <v>375000</v>
          </cell>
          <cell r="E118">
            <v>0</v>
          </cell>
          <cell r="F118">
            <v>0</v>
          </cell>
          <cell r="G118">
            <v>3</v>
          </cell>
          <cell r="H118">
            <v>150000</v>
          </cell>
          <cell r="I118">
            <v>525000</v>
          </cell>
          <cell r="J118">
            <v>546000</v>
          </cell>
        </row>
        <row r="119">
          <cell r="A119">
            <v>874</v>
          </cell>
          <cell r="B119" t="str">
            <v>Peterborough</v>
          </cell>
          <cell r="C119">
            <v>6</v>
          </cell>
          <cell r="D119">
            <v>750000</v>
          </cell>
          <cell r="E119">
            <v>0</v>
          </cell>
          <cell r="F119">
            <v>0</v>
          </cell>
          <cell r="G119">
            <v>2</v>
          </cell>
          <cell r="H119">
            <v>100000</v>
          </cell>
          <cell r="I119">
            <v>850000</v>
          </cell>
          <cell r="J119">
            <v>884000</v>
          </cell>
        </row>
        <row r="120">
          <cell r="A120">
            <v>875</v>
          </cell>
          <cell r="B120" t="str">
            <v>Cheshire</v>
          </cell>
          <cell r="C120">
            <v>11</v>
          </cell>
          <cell r="D120">
            <v>1375000</v>
          </cell>
          <cell r="E120">
            <v>0</v>
          </cell>
          <cell r="F120">
            <v>0</v>
          </cell>
          <cell r="G120">
            <v>3</v>
          </cell>
          <cell r="H120">
            <v>150000</v>
          </cell>
          <cell r="I120">
            <v>1525000</v>
          </cell>
          <cell r="J120">
            <v>1586000</v>
          </cell>
        </row>
        <row r="121">
          <cell r="A121">
            <v>876</v>
          </cell>
          <cell r="B121" t="str">
            <v>Halton</v>
          </cell>
          <cell r="C121">
            <v>8</v>
          </cell>
          <cell r="D121">
            <v>1000000</v>
          </cell>
          <cell r="E121">
            <v>0</v>
          </cell>
          <cell r="F121">
            <v>0</v>
          </cell>
          <cell r="G121">
            <v>0</v>
          </cell>
          <cell r="H121">
            <v>0</v>
          </cell>
          <cell r="I121">
            <v>1000000</v>
          </cell>
          <cell r="J121">
            <v>1040000</v>
          </cell>
        </row>
        <row r="122">
          <cell r="A122">
            <v>877</v>
          </cell>
          <cell r="B122" t="str">
            <v>Warrington</v>
          </cell>
          <cell r="C122">
            <v>2</v>
          </cell>
          <cell r="D122">
            <v>250000</v>
          </cell>
          <cell r="E122">
            <v>0</v>
          </cell>
          <cell r="F122">
            <v>0</v>
          </cell>
          <cell r="G122">
            <v>2</v>
          </cell>
          <cell r="H122">
            <v>100000</v>
          </cell>
          <cell r="I122">
            <v>350000</v>
          </cell>
          <cell r="J122">
            <v>364000</v>
          </cell>
        </row>
        <row r="123">
          <cell r="A123">
            <v>878</v>
          </cell>
          <cell r="B123" t="str">
            <v>Devon</v>
          </cell>
          <cell r="C123">
            <v>2</v>
          </cell>
          <cell r="D123">
            <v>250000</v>
          </cell>
          <cell r="E123">
            <v>0</v>
          </cell>
          <cell r="F123">
            <v>0</v>
          </cell>
          <cell r="G123">
            <v>2</v>
          </cell>
          <cell r="H123">
            <v>100000</v>
          </cell>
          <cell r="I123">
            <v>350000</v>
          </cell>
          <cell r="J123">
            <v>364000</v>
          </cell>
        </row>
        <row r="124">
          <cell r="A124">
            <v>879</v>
          </cell>
          <cell r="B124" t="str">
            <v>Plymouth</v>
          </cell>
          <cell r="C124">
            <v>5</v>
          </cell>
          <cell r="D124">
            <v>625000</v>
          </cell>
          <cell r="E124">
            <v>0</v>
          </cell>
          <cell r="F124">
            <v>0</v>
          </cell>
          <cell r="G124">
            <v>2</v>
          </cell>
          <cell r="H124">
            <v>100000</v>
          </cell>
          <cell r="I124">
            <v>725000</v>
          </cell>
          <cell r="J124">
            <v>754000</v>
          </cell>
        </row>
        <row r="125">
          <cell r="A125">
            <v>880</v>
          </cell>
          <cell r="B125" t="str">
            <v>Torbay</v>
          </cell>
          <cell r="C125">
            <v>2</v>
          </cell>
          <cell r="D125">
            <v>250000</v>
          </cell>
          <cell r="E125">
            <v>0</v>
          </cell>
          <cell r="F125">
            <v>0</v>
          </cell>
          <cell r="G125">
            <v>2</v>
          </cell>
          <cell r="H125">
            <v>100000</v>
          </cell>
          <cell r="I125">
            <v>350000</v>
          </cell>
          <cell r="J125">
            <v>364000</v>
          </cell>
        </row>
        <row r="126">
          <cell r="A126">
            <v>881</v>
          </cell>
          <cell r="B126" t="str">
            <v>Essex</v>
          </cell>
          <cell r="C126">
            <v>21</v>
          </cell>
          <cell r="D126">
            <v>2625000</v>
          </cell>
          <cell r="E126">
            <v>0</v>
          </cell>
          <cell r="F126">
            <v>0</v>
          </cell>
          <cell r="G126">
            <v>5</v>
          </cell>
          <cell r="H126">
            <v>250000</v>
          </cell>
          <cell r="I126">
            <v>2875000</v>
          </cell>
          <cell r="J126">
            <v>2990000</v>
          </cell>
        </row>
        <row r="127">
          <cell r="A127">
            <v>882</v>
          </cell>
          <cell r="B127" t="str">
            <v>Southend-on-Sea</v>
          </cell>
          <cell r="C127">
            <v>5</v>
          </cell>
          <cell r="D127">
            <v>625000</v>
          </cell>
          <cell r="E127">
            <v>0</v>
          </cell>
          <cell r="F127">
            <v>0</v>
          </cell>
          <cell r="G127">
            <v>0</v>
          </cell>
          <cell r="H127">
            <v>0</v>
          </cell>
          <cell r="I127">
            <v>625000</v>
          </cell>
          <cell r="J127">
            <v>650000</v>
          </cell>
        </row>
        <row r="128">
          <cell r="A128">
            <v>883</v>
          </cell>
          <cell r="B128" t="str">
            <v>Thurrock</v>
          </cell>
          <cell r="C128">
            <v>6</v>
          </cell>
          <cell r="D128">
            <v>750000</v>
          </cell>
          <cell r="E128">
            <v>0</v>
          </cell>
          <cell r="F128">
            <v>0</v>
          </cell>
          <cell r="G128">
            <v>3</v>
          </cell>
          <cell r="H128">
            <v>150000</v>
          </cell>
          <cell r="I128">
            <v>900000</v>
          </cell>
          <cell r="J128">
            <v>936000</v>
          </cell>
        </row>
        <row r="129">
          <cell r="A129">
            <v>884</v>
          </cell>
          <cell r="B129" t="str">
            <v>Herefordshire</v>
          </cell>
          <cell r="C129">
            <v>3</v>
          </cell>
          <cell r="D129">
            <v>375000</v>
          </cell>
          <cell r="E129">
            <v>0</v>
          </cell>
          <cell r="F129">
            <v>0</v>
          </cell>
          <cell r="G129">
            <v>0</v>
          </cell>
          <cell r="H129">
            <v>0</v>
          </cell>
          <cell r="I129">
            <v>375000</v>
          </cell>
          <cell r="J129">
            <v>390000</v>
          </cell>
        </row>
        <row r="130">
          <cell r="A130">
            <v>885</v>
          </cell>
          <cell r="B130" t="str">
            <v>Worcestershire</v>
          </cell>
          <cell r="C130">
            <v>3</v>
          </cell>
          <cell r="D130">
            <v>375000</v>
          </cell>
          <cell r="E130">
            <v>0</v>
          </cell>
          <cell r="F130">
            <v>0</v>
          </cell>
          <cell r="G130">
            <v>3</v>
          </cell>
          <cell r="H130">
            <v>150000</v>
          </cell>
          <cell r="I130">
            <v>525000</v>
          </cell>
          <cell r="J130">
            <v>546000</v>
          </cell>
        </row>
        <row r="131">
          <cell r="A131">
            <v>886</v>
          </cell>
          <cell r="B131" t="str">
            <v>Kent</v>
          </cell>
          <cell r="C131">
            <v>43</v>
          </cell>
          <cell r="D131">
            <v>5375000</v>
          </cell>
          <cell r="E131">
            <v>0</v>
          </cell>
          <cell r="F131">
            <v>0</v>
          </cell>
          <cell r="G131">
            <v>17</v>
          </cell>
          <cell r="H131">
            <v>850000</v>
          </cell>
          <cell r="I131">
            <v>6225000</v>
          </cell>
          <cell r="J131">
            <v>6474000</v>
          </cell>
        </row>
        <row r="132">
          <cell r="A132">
            <v>887</v>
          </cell>
          <cell r="B132" t="str">
            <v>Medway</v>
          </cell>
          <cell r="C132">
            <v>7</v>
          </cell>
          <cell r="D132">
            <v>875000</v>
          </cell>
          <cell r="E132">
            <v>0</v>
          </cell>
          <cell r="F132">
            <v>0</v>
          </cell>
          <cell r="G132">
            <v>6</v>
          </cell>
          <cell r="H132">
            <v>300000</v>
          </cell>
          <cell r="I132">
            <v>1175000</v>
          </cell>
          <cell r="J132">
            <v>1222000</v>
          </cell>
        </row>
        <row r="133">
          <cell r="A133">
            <v>888</v>
          </cell>
          <cell r="B133" t="str">
            <v>Lancashire</v>
          </cell>
          <cell r="C133">
            <v>23</v>
          </cell>
          <cell r="D133">
            <v>2875000</v>
          </cell>
          <cell r="E133">
            <v>0</v>
          </cell>
          <cell r="F133">
            <v>0</v>
          </cell>
          <cell r="G133">
            <v>7</v>
          </cell>
          <cell r="H133">
            <v>350000</v>
          </cell>
          <cell r="I133">
            <v>3225000</v>
          </cell>
          <cell r="J133">
            <v>3354000</v>
          </cell>
        </row>
        <row r="134">
          <cell r="A134">
            <v>889</v>
          </cell>
          <cell r="B134" t="str">
            <v>Blackburn with Darwen</v>
          </cell>
          <cell r="C134">
            <v>9</v>
          </cell>
          <cell r="D134">
            <v>1125000</v>
          </cell>
          <cell r="E134">
            <v>0</v>
          </cell>
          <cell r="F134">
            <v>0</v>
          </cell>
          <cell r="G134">
            <v>0</v>
          </cell>
          <cell r="H134">
            <v>0</v>
          </cell>
          <cell r="I134">
            <v>1125000</v>
          </cell>
          <cell r="J134">
            <v>1170000</v>
          </cell>
        </row>
        <row r="135">
          <cell r="A135">
            <v>890</v>
          </cell>
          <cell r="B135" t="str">
            <v>Blackpool</v>
          </cell>
          <cell r="C135">
            <v>8</v>
          </cell>
          <cell r="D135">
            <v>1000000</v>
          </cell>
          <cell r="E135">
            <v>0</v>
          </cell>
          <cell r="F135">
            <v>0</v>
          </cell>
          <cell r="G135">
            <v>0</v>
          </cell>
          <cell r="H135">
            <v>0</v>
          </cell>
          <cell r="I135">
            <v>1000000</v>
          </cell>
          <cell r="J135">
            <v>1040000</v>
          </cell>
        </row>
        <row r="136">
          <cell r="A136">
            <v>891</v>
          </cell>
          <cell r="B136" t="str">
            <v>Nottinghamshire</v>
          </cell>
          <cell r="C136">
            <v>11</v>
          </cell>
          <cell r="D136">
            <v>1375000</v>
          </cell>
          <cell r="E136">
            <v>0</v>
          </cell>
          <cell r="F136">
            <v>0</v>
          </cell>
          <cell r="G136">
            <v>11</v>
          </cell>
          <cell r="H136">
            <v>550000</v>
          </cell>
          <cell r="I136">
            <v>1925000</v>
          </cell>
          <cell r="J136">
            <v>2002000</v>
          </cell>
        </row>
        <row r="137">
          <cell r="A137">
            <v>892</v>
          </cell>
          <cell r="B137" t="str">
            <v>Nottingham</v>
          </cell>
          <cell r="C137">
            <v>18</v>
          </cell>
          <cell r="D137">
            <v>2250000</v>
          </cell>
          <cell r="E137">
            <v>0</v>
          </cell>
          <cell r="F137">
            <v>0</v>
          </cell>
          <cell r="G137">
            <v>0</v>
          </cell>
          <cell r="H137">
            <v>0</v>
          </cell>
          <cell r="I137">
            <v>2250000</v>
          </cell>
          <cell r="J137">
            <v>2340000</v>
          </cell>
        </row>
        <row r="138">
          <cell r="A138">
            <v>893</v>
          </cell>
          <cell r="B138" t="str">
            <v>Shropshire</v>
          </cell>
          <cell r="C138">
            <v>4</v>
          </cell>
          <cell r="D138">
            <v>500000</v>
          </cell>
          <cell r="E138">
            <v>0</v>
          </cell>
          <cell r="F138">
            <v>0</v>
          </cell>
          <cell r="G138">
            <v>1</v>
          </cell>
          <cell r="H138">
            <v>50000</v>
          </cell>
          <cell r="I138">
            <v>550000</v>
          </cell>
          <cell r="J138">
            <v>572000</v>
          </cell>
        </row>
        <row r="139">
          <cell r="A139">
            <v>894</v>
          </cell>
          <cell r="B139" t="str">
            <v>Telford and Wrekin</v>
          </cell>
          <cell r="C139">
            <v>4</v>
          </cell>
          <cell r="D139">
            <v>500000</v>
          </cell>
          <cell r="E139">
            <v>0</v>
          </cell>
          <cell r="F139">
            <v>0</v>
          </cell>
          <cell r="G139">
            <v>1</v>
          </cell>
          <cell r="H139">
            <v>50000</v>
          </cell>
          <cell r="I139">
            <v>550000</v>
          </cell>
          <cell r="J139">
            <v>572000</v>
          </cell>
        </row>
        <row r="140">
          <cell r="A140">
            <v>908</v>
          </cell>
          <cell r="B140" t="str">
            <v>Cornwall</v>
          </cell>
          <cell r="C140">
            <v>3</v>
          </cell>
          <cell r="D140">
            <v>375000</v>
          </cell>
          <cell r="E140">
            <v>0</v>
          </cell>
          <cell r="F140">
            <v>0</v>
          </cell>
          <cell r="G140">
            <v>0</v>
          </cell>
          <cell r="H140">
            <v>0</v>
          </cell>
          <cell r="I140">
            <v>375000</v>
          </cell>
          <cell r="J140">
            <v>390000</v>
          </cell>
        </row>
        <row r="141">
          <cell r="A141">
            <v>909</v>
          </cell>
          <cell r="B141" t="str">
            <v>Cumbria</v>
          </cell>
          <cell r="C141">
            <v>9</v>
          </cell>
          <cell r="D141">
            <v>1125000</v>
          </cell>
          <cell r="E141">
            <v>0</v>
          </cell>
          <cell r="F141">
            <v>0</v>
          </cell>
          <cell r="G141">
            <v>2</v>
          </cell>
          <cell r="H141">
            <v>100000</v>
          </cell>
          <cell r="I141">
            <v>1225000</v>
          </cell>
          <cell r="J141">
            <v>1274000</v>
          </cell>
        </row>
        <row r="142">
          <cell r="A142">
            <v>916</v>
          </cell>
          <cell r="B142" t="str">
            <v>Gloucestershire</v>
          </cell>
          <cell r="C142">
            <v>5</v>
          </cell>
          <cell r="D142">
            <v>625000</v>
          </cell>
          <cell r="E142">
            <v>0</v>
          </cell>
          <cell r="F142">
            <v>0</v>
          </cell>
          <cell r="G142">
            <v>2</v>
          </cell>
          <cell r="H142">
            <v>100000</v>
          </cell>
          <cell r="I142">
            <v>725000</v>
          </cell>
          <cell r="J142">
            <v>754000</v>
          </cell>
        </row>
        <row r="143">
          <cell r="A143">
            <v>919</v>
          </cell>
          <cell r="B143" t="str">
            <v>Hertfordshire</v>
          </cell>
          <cell r="C143">
            <v>14</v>
          </cell>
          <cell r="D143">
            <v>1750000</v>
          </cell>
          <cell r="E143">
            <v>0</v>
          </cell>
          <cell r="F143">
            <v>0</v>
          </cell>
          <cell r="G143">
            <v>14</v>
          </cell>
          <cell r="H143">
            <v>700000</v>
          </cell>
          <cell r="I143">
            <v>2450000</v>
          </cell>
          <cell r="J143">
            <v>2548000</v>
          </cell>
        </row>
        <row r="144">
          <cell r="A144">
            <v>921</v>
          </cell>
          <cell r="B144" t="str">
            <v>Isle of Wight</v>
          </cell>
          <cell r="C144">
            <v>0</v>
          </cell>
          <cell r="D144">
            <v>0</v>
          </cell>
          <cell r="E144">
            <v>0</v>
          </cell>
          <cell r="F144">
            <v>0</v>
          </cell>
          <cell r="G144">
            <v>0</v>
          </cell>
          <cell r="H144">
            <v>0</v>
          </cell>
          <cell r="I144">
            <v>0</v>
          </cell>
          <cell r="J144">
            <v>0</v>
          </cell>
        </row>
        <row r="145">
          <cell r="A145">
            <v>925</v>
          </cell>
          <cell r="B145" t="str">
            <v>Lincolnshire</v>
          </cell>
          <cell r="C145">
            <v>27</v>
          </cell>
          <cell r="D145">
            <v>3375000</v>
          </cell>
          <cell r="E145">
            <v>0</v>
          </cell>
          <cell r="F145">
            <v>0</v>
          </cell>
          <cell r="G145">
            <v>10</v>
          </cell>
          <cell r="H145">
            <v>500000</v>
          </cell>
          <cell r="I145">
            <v>3875000</v>
          </cell>
          <cell r="J145">
            <v>4030000</v>
          </cell>
        </row>
        <row r="146">
          <cell r="A146">
            <v>926</v>
          </cell>
          <cell r="B146" t="str">
            <v>Norfolk</v>
          </cell>
          <cell r="C146">
            <v>14</v>
          </cell>
          <cell r="D146">
            <v>1750000</v>
          </cell>
          <cell r="E146">
            <v>0</v>
          </cell>
          <cell r="F146">
            <v>0</v>
          </cell>
          <cell r="G146">
            <v>3</v>
          </cell>
          <cell r="H146">
            <v>150000</v>
          </cell>
          <cell r="I146">
            <v>1900000</v>
          </cell>
          <cell r="J146">
            <v>1976000</v>
          </cell>
        </row>
        <row r="147">
          <cell r="A147">
            <v>928</v>
          </cell>
          <cell r="B147" t="str">
            <v>Northamptonshire</v>
          </cell>
          <cell r="C147">
            <v>10</v>
          </cell>
          <cell r="D147">
            <v>1250000</v>
          </cell>
          <cell r="E147">
            <v>0</v>
          </cell>
          <cell r="F147">
            <v>0</v>
          </cell>
          <cell r="G147">
            <v>1</v>
          </cell>
          <cell r="H147">
            <v>50000</v>
          </cell>
          <cell r="I147">
            <v>1300000</v>
          </cell>
          <cell r="J147">
            <v>1352000</v>
          </cell>
        </row>
        <row r="148">
          <cell r="A148">
            <v>929</v>
          </cell>
          <cell r="B148" t="str">
            <v>Northumberland</v>
          </cell>
          <cell r="C148">
            <v>3</v>
          </cell>
          <cell r="D148">
            <v>375000</v>
          </cell>
          <cell r="E148">
            <v>0</v>
          </cell>
          <cell r="F148">
            <v>0</v>
          </cell>
          <cell r="G148">
            <v>1</v>
          </cell>
          <cell r="H148">
            <v>50000</v>
          </cell>
          <cell r="I148">
            <v>425000</v>
          </cell>
          <cell r="J148">
            <v>442000</v>
          </cell>
        </row>
        <row r="149">
          <cell r="A149">
            <v>931</v>
          </cell>
          <cell r="B149" t="str">
            <v>Oxfordshire</v>
          </cell>
          <cell r="C149">
            <v>4</v>
          </cell>
          <cell r="D149">
            <v>500000</v>
          </cell>
          <cell r="E149">
            <v>0</v>
          </cell>
          <cell r="F149">
            <v>0</v>
          </cell>
          <cell r="G149">
            <v>2</v>
          </cell>
          <cell r="H149">
            <v>100000</v>
          </cell>
          <cell r="I149">
            <v>600000</v>
          </cell>
          <cell r="J149">
            <v>624000</v>
          </cell>
        </row>
        <row r="150">
          <cell r="A150">
            <v>933</v>
          </cell>
          <cell r="B150" t="str">
            <v>Somerset</v>
          </cell>
          <cell r="C150">
            <v>6</v>
          </cell>
          <cell r="D150">
            <v>750000</v>
          </cell>
          <cell r="E150">
            <v>0</v>
          </cell>
          <cell r="F150">
            <v>0</v>
          </cell>
          <cell r="G150">
            <v>1</v>
          </cell>
          <cell r="H150">
            <v>50000</v>
          </cell>
          <cell r="I150">
            <v>800000</v>
          </cell>
          <cell r="J150">
            <v>832000</v>
          </cell>
        </row>
        <row r="151">
          <cell r="A151">
            <v>935</v>
          </cell>
          <cell r="B151" t="str">
            <v>Suffolk</v>
          </cell>
          <cell r="C151">
            <v>2</v>
          </cell>
          <cell r="D151">
            <v>250000</v>
          </cell>
          <cell r="E151">
            <v>0</v>
          </cell>
          <cell r="F151">
            <v>0</v>
          </cell>
          <cell r="G151">
            <v>2</v>
          </cell>
          <cell r="H151">
            <v>100000</v>
          </cell>
          <cell r="I151">
            <v>350000</v>
          </cell>
          <cell r="J151">
            <v>364000</v>
          </cell>
        </row>
        <row r="152">
          <cell r="A152">
            <v>936</v>
          </cell>
          <cell r="B152" t="str">
            <v>Surrey</v>
          </cell>
          <cell r="C152">
            <v>3</v>
          </cell>
          <cell r="D152">
            <v>375000</v>
          </cell>
          <cell r="E152">
            <v>0</v>
          </cell>
          <cell r="F152">
            <v>0</v>
          </cell>
          <cell r="G152">
            <v>3</v>
          </cell>
          <cell r="H152">
            <v>150000</v>
          </cell>
          <cell r="I152">
            <v>525000</v>
          </cell>
          <cell r="J152">
            <v>546000</v>
          </cell>
        </row>
        <row r="153">
          <cell r="A153">
            <v>937</v>
          </cell>
          <cell r="B153" t="str">
            <v>Warwickshire</v>
          </cell>
          <cell r="C153">
            <v>7</v>
          </cell>
          <cell r="D153">
            <v>875000</v>
          </cell>
          <cell r="E153">
            <v>0</v>
          </cell>
          <cell r="F153">
            <v>0</v>
          </cell>
          <cell r="G153">
            <v>7</v>
          </cell>
          <cell r="H153">
            <v>350000</v>
          </cell>
          <cell r="I153">
            <v>1225000</v>
          </cell>
          <cell r="J153">
            <v>1274000</v>
          </cell>
        </row>
        <row r="154">
          <cell r="A154">
            <v>938</v>
          </cell>
          <cell r="B154" t="str">
            <v>West Sussex</v>
          </cell>
          <cell r="C154">
            <v>2</v>
          </cell>
          <cell r="D154">
            <v>250000</v>
          </cell>
          <cell r="E154">
            <v>0</v>
          </cell>
          <cell r="F154">
            <v>0</v>
          </cell>
          <cell r="G154">
            <v>2</v>
          </cell>
          <cell r="H154">
            <v>100000</v>
          </cell>
          <cell r="I154">
            <v>350000</v>
          </cell>
          <cell r="J154">
            <v>364000</v>
          </cell>
        </row>
      </sheetData>
      <sheetData sheetId="5"/>
      <sheetData sheetId="6"/>
      <sheetData sheetId="7"/>
      <sheetData sheetId="8" refreshError="1">
        <row r="12">
          <cell r="A12">
            <v>841</v>
          </cell>
          <cell r="B12" t="str">
            <v>Darlington</v>
          </cell>
          <cell r="C12">
            <v>250</v>
          </cell>
          <cell r="D12">
            <v>0</v>
          </cell>
          <cell r="E12">
            <v>250</v>
          </cell>
          <cell r="F12">
            <v>8684.5</v>
          </cell>
          <cell r="G12">
            <v>0</v>
          </cell>
          <cell r="H12">
            <v>6351</v>
          </cell>
          <cell r="I12">
            <v>0</v>
          </cell>
          <cell r="J12">
            <v>222</v>
          </cell>
          <cell r="K12">
            <v>0</v>
          </cell>
          <cell r="L12">
            <v>222</v>
          </cell>
          <cell r="M12">
            <v>21</v>
          </cell>
          <cell r="N12">
            <v>714.5</v>
          </cell>
          <cell r="O12">
            <v>0</v>
          </cell>
          <cell r="P12">
            <v>0</v>
          </cell>
          <cell r="Q12">
            <v>16243</v>
          </cell>
          <cell r="S12">
            <v>15257.5</v>
          </cell>
          <cell r="T12">
            <v>0.56919547763395051</v>
          </cell>
          <cell r="U12">
            <v>0.41625430116336226</v>
          </cell>
          <cell r="V12">
            <v>1.4550221202687202E-2</v>
          </cell>
        </row>
        <row r="13">
          <cell r="A13">
            <v>840</v>
          </cell>
          <cell r="B13" t="str">
            <v>Durham</v>
          </cell>
          <cell r="C13">
            <v>552</v>
          </cell>
          <cell r="D13">
            <v>0</v>
          </cell>
          <cell r="E13">
            <v>552</v>
          </cell>
          <cell r="F13">
            <v>41227</v>
          </cell>
          <cell r="G13">
            <v>0</v>
          </cell>
          <cell r="H13">
            <v>33001</v>
          </cell>
          <cell r="I13">
            <v>0</v>
          </cell>
          <cell r="J13">
            <v>1072</v>
          </cell>
          <cell r="K13">
            <v>0</v>
          </cell>
          <cell r="L13">
            <v>1072</v>
          </cell>
          <cell r="M13">
            <v>11</v>
          </cell>
          <cell r="N13">
            <v>2028.5</v>
          </cell>
          <cell r="O13">
            <v>0</v>
          </cell>
          <cell r="P13">
            <v>0</v>
          </cell>
          <cell r="Q13">
            <v>77891.5</v>
          </cell>
          <cell r="S13">
            <v>75300</v>
          </cell>
          <cell r="T13">
            <v>0.54750332005312086</v>
          </cell>
          <cell r="U13">
            <v>0.43826029216467466</v>
          </cell>
          <cell r="V13">
            <v>1.4236387782204516E-2</v>
          </cell>
        </row>
        <row r="14">
          <cell r="A14">
            <v>390</v>
          </cell>
          <cell r="B14" t="str">
            <v>Gateshead</v>
          </cell>
          <cell r="C14">
            <v>28.5</v>
          </cell>
          <cell r="D14">
            <v>0</v>
          </cell>
          <cell r="E14">
            <v>28.5</v>
          </cell>
          <cell r="F14">
            <v>16031.5</v>
          </cell>
          <cell r="G14">
            <v>0</v>
          </cell>
          <cell r="H14">
            <v>12016</v>
          </cell>
          <cell r="I14">
            <v>0</v>
          </cell>
          <cell r="J14">
            <v>385</v>
          </cell>
          <cell r="K14">
            <v>0</v>
          </cell>
          <cell r="L14">
            <v>385</v>
          </cell>
          <cell r="M14">
            <v>90</v>
          </cell>
          <cell r="N14">
            <v>822.5</v>
          </cell>
          <cell r="O14">
            <v>1231</v>
          </cell>
          <cell r="P14">
            <v>0</v>
          </cell>
          <cell r="Q14">
            <v>30604.5</v>
          </cell>
          <cell r="S14">
            <v>28432.5</v>
          </cell>
          <cell r="T14">
            <v>0.56384419238547434</v>
          </cell>
          <cell r="U14">
            <v>0.42261496526861864</v>
          </cell>
          <cell r="V14">
            <v>1.3540842345906972E-2</v>
          </cell>
        </row>
        <row r="15">
          <cell r="A15">
            <v>805</v>
          </cell>
          <cell r="B15" t="str">
            <v>Hartlepool</v>
          </cell>
          <cell r="C15">
            <v>18</v>
          </cell>
          <cell r="D15">
            <v>0</v>
          </cell>
          <cell r="E15">
            <v>18</v>
          </cell>
          <cell r="F15">
            <v>8923</v>
          </cell>
          <cell r="G15">
            <v>0</v>
          </cell>
          <cell r="H15">
            <v>6658</v>
          </cell>
          <cell r="I15">
            <v>0</v>
          </cell>
          <cell r="J15">
            <v>146.5</v>
          </cell>
          <cell r="K15">
            <v>0</v>
          </cell>
          <cell r="L15">
            <v>146.5</v>
          </cell>
          <cell r="M15">
            <v>55</v>
          </cell>
          <cell r="N15">
            <v>0</v>
          </cell>
          <cell r="O15">
            <v>0</v>
          </cell>
          <cell r="P15">
            <v>0</v>
          </cell>
          <cell r="Q15">
            <v>15800.5</v>
          </cell>
          <cell r="S15">
            <v>15727.5</v>
          </cell>
          <cell r="T15">
            <v>0.56735018280082661</v>
          </cell>
          <cell r="U15">
            <v>0.42333492290573838</v>
          </cell>
          <cell r="V15">
            <v>9.3148942934350668E-3</v>
          </cell>
        </row>
        <row r="16">
          <cell r="A16">
            <v>806</v>
          </cell>
          <cell r="B16" t="str">
            <v>Middlesbrough</v>
          </cell>
          <cell r="C16">
            <v>0</v>
          </cell>
          <cell r="D16">
            <v>0</v>
          </cell>
          <cell r="E16">
            <v>0</v>
          </cell>
          <cell r="F16">
            <v>13395</v>
          </cell>
          <cell r="G16">
            <v>0</v>
          </cell>
          <cell r="H16">
            <v>5808</v>
          </cell>
          <cell r="I16">
            <v>0</v>
          </cell>
          <cell r="J16">
            <v>424.5</v>
          </cell>
          <cell r="K16">
            <v>0</v>
          </cell>
          <cell r="L16">
            <v>424.5</v>
          </cell>
          <cell r="M16">
            <v>77</v>
          </cell>
          <cell r="N16">
            <v>0</v>
          </cell>
          <cell r="O16">
            <v>1441</v>
          </cell>
          <cell r="P16">
            <v>2163</v>
          </cell>
          <cell r="Q16">
            <v>23308.5</v>
          </cell>
          <cell r="S16">
            <v>19627.5</v>
          </cell>
          <cell r="T16">
            <v>0.68246083301490257</v>
          </cell>
          <cell r="U16">
            <v>0.29591134887275505</v>
          </cell>
          <cell r="V16">
            <v>2.1627818112342378E-2</v>
          </cell>
        </row>
        <row r="17">
          <cell r="A17">
            <v>391</v>
          </cell>
          <cell r="B17" t="str">
            <v>Newcastle upon Tyne</v>
          </cell>
          <cell r="C17">
            <v>570</v>
          </cell>
          <cell r="D17">
            <v>0</v>
          </cell>
          <cell r="E17">
            <v>570</v>
          </cell>
          <cell r="F17">
            <v>19384.5</v>
          </cell>
          <cell r="G17">
            <v>0</v>
          </cell>
          <cell r="H17">
            <v>17470</v>
          </cell>
          <cell r="I17">
            <v>2585</v>
          </cell>
          <cell r="J17">
            <v>451</v>
          </cell>
          <cell r="K17">
            <v>125.5</v>
          </cell>
          <cell r="L17">
            <v>576.5</v>
          </cell>
          <cell r="M17">
            <v>116</v>
          </cell>
          <cell r="N17">
            <v>5113.5</v>
          </cell>
          <cell r="O17">
            <v>0</v>
          </cell>
          <cell r="P17">
            <v>0</v>
          </cell>
          <cell r="Q17">
            <v>43230.5</v>
          </cell>
          <cell r="S17">
            <v>37305.5</v>
          </cell>
          <cell r="T17">
            <v>0.51961507016391684</v>
          </cell>
          <cell r="U17">
            <v>0.46829555963597863</v>
          </cell>
          <cell r="V17">
            <v>1.2089370200104543E-2</v>
          </cell>
        </row>
        <row r="18">
          <cell r="A18">
            <v>392</v>
          </cell>
          <cell r="B18" t="str">
            <v>North Tyneside</v>
          </cell>
          <cell r="C18">
            <v>59</v>
          </cell>
          <cell r="D18">
            <v>0</v>
          </cell>
          <cell r="E18">
            <v>59</v>
          </cell>
          <cell r="F18">
            <v>15770</v>
          </cell>
          <cell r="G18">
            <v>0</v>
          </cell>
          <cell r="H18">
            <v>13818.5</v>
          </cell>
          <cell r="I18">
            <v>2056.5</v>
          </cell>
          <cell r="J18">
            <v>437.5</v>
          </cell>
          <cell r="K18">
            <v>169</v>
          </cell>
          <cell r="L18">
            <v>606.5</v>
          </cell>
          <cell r="M18">
            <v>60</v>
          </cell>
          <cell r="N18">
            <v>971.5</v>
          </cell>
          <cell r="O18">
            <v>0</v>
          </cell>
          <cell r="P18">
            <v>0</v>
          </cell>
          <cell r="Q18">
            <v>31285.5</v>
          </cell>
          <cell r="S18">
            <v>30026</v>
          </cell>
          <cell r="T18">
            <v>0.52521148338106971</v>
          </cell>
          <cell r="U18">
            <v>0.46021781123026712</v>
          </cell>
          <cell r="V18">
            <v>1.4570705388663159E-2</v>
          </cell>
        </row>
        <row r="19">
          <cell r="A19">
            <v>929</v>
          </cell>
          <cell r="B19" t="str">
            <v>Northumberland</v>
          </cell>
          <cell r="C19">
            <v>38.5</v>
          </cell>
          <cell r="D19">
            <v>0</v>
          </cell>
          <cell r="E19">
            <v>38.5</v>
          </cell>
          <cell r="F19">
            <v>18715.5</v>
          </cell>
          <cell r="G19">
            <v>0</v>
          </cell>
          <cell r="H19">
            <v>30560.5</v>
          </cell>
          <cell r="I19">
            <v>15198</v>
          </cell>
          <cell r="J19">
            <v>464</v>
          </cell>
          <cell r="K19">
            <v>43</v>
          </cell>
          <cell r="L19">
            <v>507</v>
          </cell>
          <cell r="M19">
            <v>3</v>
          </cell>
          <cell r="N19">
            <v>667.5</v>
          </cell>
          <cell r="O19">
            <v>0</v>
          </cell>
          <cell r="P19">
            <v>0</v>
          </cell>
          <cell r="Q19">
            <v>50492</v>
          </cell>
          <cell r="S19">
            <v>49740</v>
          </cell>
          <cell r="T19">
            <v>0.37626658624849219</v>
          </cell>
          <cell r="U19">
            <v>0.61440490550864491</v>
          </cell>
          <cell r="V19">
            <v>9.328508242862887E-3</v>
          </cell>
        </row>
        <row r="20">
          <cell r="A20">
            <v>807</v>
          </cell>
          <cell r="B20" t="str">
            <v>Redcar and Cleveland</v>
          </cell>
          <cell r="C20">
            <v>0</v>
          </cell>
          <cell r="D20">
            <v>0</v>
          </cell>
          <cell r="E20">
            <v>0</v>
          </cell>
          <cell r="F20">
            <v>12926.5</v>
          </cell>
          <cell r="G20">
            <v>0</v>
          </cell>
          <cell r="H20">
            <v>10332.5</v>
          </cell>
          <cell r="I20">
            <v>0</v>
          </cell>
          <cell r="J20">
            <v>224</v>
          </cell>
          <cell r="K20">
            <v>0</v>
          </cell>
          <cell r="L20">
            <v>224</v>
          </cell>
          <cell r="M20">
            <v>120</v>
          </cell>
          <cell r="N20">
            <v>0</v>
          </cell>
          <cell r="O20">
            <v>0</v>
          </cell>
          <cell r="P20">
            <v>0</v>
          </cell>
          <cell r="Q20">
            <v>23603</v>
          </cell>
          <cell r="S20">
            <v>23483</v>
          </cell>
          <cell r="T20">
            <v>0.55046203636673341</v>
          </cell>
          <cell r="U20">
            <v>0.43999914832006132</v>
          </cell>
          <cell r="V20">
            <v>9.5388153132052976E-3</v>
          </cell>
        </row>
        <row r="21">
          <cell r="A21">
            <v>393</v>
          </cell>
          <cell r="B21" t="str">
            <v>South Tyneside</v>
          </cell>
          <cell r="C21">
            <v>134.5</v>
          </cell>
          <cell r="D21">
            <v>0</v>
          </cell>
          <cell r="E21">
            <v>134.5</v>
          </cell>
          <cell r="F21">
            <v>12943</v>
          </cell>
          <cell r="G21">
            <v>0</v>
          </cell>
          <cell r="H21">
            <v>10257</v>
          </cell>
          <cell r="I21">
            <v>0</v>
          </cell>
          <cell r="J21">
            <v>435</v>
          </cell>
          <cell r="K21">
            <v>0</v>
          </cell>
          <cell r="L21">
            <v>435</v>
          </cell>
          <cell r="M21">
            <v>158</v>
          </cell>
          <cell r="N21">
            <v>0</v>
          </cell>
          <cell r="O21">
            <v>0</v>
          </cell>
          <cell r="P21">
            <v>0</v>
          </cell>
          <cell r="Q21">
            <v>23927.5</v>
          </cell>
          <cell r="S21">
            <v>23635</v>
          </cell>
          <cell r="T21">
            <v>0.54762005500317323</v>
          </cell>
          <cell r="U21">
            <v>0.43397503702136664</v>
          </cell>
          <cell r="V21">
            <v>1.8404907975460124E-2</v>
          </cell>
        </row>
        <row r="22">
          <cell r="A22">
            <v>808</v>
          </cell>
          <cell r="B22" t="str">
            <v>Stockton-on-Tees</v>
          </cell>
          <cell r="C22">
            <v>0</v>
          </cell>
          <cell r="D22">
            <v>0</v>
          </cell>
          <cell r="E22">
            <v>0</v>
          </cell>
          <cell r="F22">
            <v>16913.5</v>
          </cell>
          <cell r="G22">
            <v>0</v>
          </cell>
          <cell r="H22">
            <v>12890</v>
          </cell>
          <cell r="I22">
            <v>0</v>
          </cell>
          <cell r="J22">
            <v>498</v>
          </cell>
          <cell r="K22">
            <v>0</v>
          </cell>
          <cell r="L22">
            <v>498</v>
          </cell>
          <cell r="M22">
            <v>51</v>
          </cell>
          <cell r="N22">
            <v>1881</v>
          </cell>
          <cell r="O22">
            <v>0</v>
          </cell>
          <cell r="P22">
            <v>0</v>
          </cell>
          <cell r="Q22">
            <v>32233.5</v>
          </cell>
          <cell r="S22">
            <v>30301.5</v>
          </cell>
          <cell r="T22">
            <v>0.55817368777123244</v>
          </cell>
          <cell r="U22">
            <v>0.42539148226985463</v>
          </cell>
          <cell r="V22">
            <v>1.6434829958912926E-2</v>
          </cell>
        </row>
        <row r="23">
          <cell r="A23">
            <v>394</v>
          </cell>
          <cell r="B23" t="str">
            <v>Sunderland</v>
          </cell>
          <cell r="C23">
            <v>383</v>
          </cell>
          <cell r="D23">
            <v>0</v>
          </cell>
          <cell r="E23">
            <v>383</v>
          </cell>
          <cell r="F23">
            <v>24355.5</v>
          </cell>
          <cell r="G23">
            <v>0</v>
          </cell>
          <cell r="H23">
            <v>19977</v>
          </cell>
          <cell r="I23">
            <v>0</v>
          </cell>
          <cell r="J23">
            <v>707</v>
          </cell>
          <cell r="K23">
            <v>0</v>
          </cell>
          <cell r="L23">
            <v>707</v>
          </cell>
          <cell r="M23">
            <v>71</v>
          </cell>
          <cell r="N23">
            <v>1152</v>
          </cell>
          <cell r="O23">
            <v>0</v>
          </cell>
          <cell r="P23">
            <v>0</v>
          </cell>
          <cell r="Q23">
            <v>46645.5</v>
          </cell>
          <cell r="S23">
            <v>45039.5</v>
          </cell>
          <cell r="T23">
            <v>0.54075866739195599</v>
          </cell>
          <cell r="U23">
            <v>0.44354400026643281</v>
          </cell>
          <cell r="V23">
            <v>1.5697332341611251E-2</v>
          </cell>
        </row>
        <row r="25">
          <cell r="B25" t="str">
            <v>NORTH WEST</v>
          </cell>
          <cell r="C25">
            <v>3680</v>
          </cell>
          <cell r="D25">
            <v>0</v>
          </cell>
          <cell r="E25">
            <v>3680</v>
          </cell>
          <cell r="F25">
            <v>598281.5</v>
          </cell>
          <cell r="G25">
            <v>0</v>
          </cell>
          <cell r="H25">
            <v>472516</v>
          </cell>
          <cell r="I25">
            <v>0</v>
          </cell>
          <cell r="J25">
            <v>13507</v>
          </cell>
          <cell r="K25">
            <v>707</v>
          </cell>
          <cell r="L25">
            <v>14214</v>
          </cell>
          <cell r="M25">
            <v>2171</v>
          </cell>
          <cell r="N25">
            <v>56622.5</v>
          </cell>
          <cell r="O25">
            <v>0</v>
          </cell>
          <cell r="P25">
            <v>685</v>
          </cell>
          <cell r="Q25">
            <v>1148170</v>
          </cell>
          <cell r="S25">
            <v>1084304.5</v>
          </cell>
          <cell r="T25">
            <v>0.55176520986494104</v>
          </cell>
          <cell r="U25">
            <v>0.43577795720667029</v>
          </cell>
          <cell r="V25">
            <v>1.2456832928388659E-2</v>
          </cell>
        </row>
        <row r="26">
          <cell r="A26">
            <v>889</v>
          </cell>
          <cell r="B26" t="str">
            <v>Blackburn with Darwen</v>
          </cell>
          <cell r="C26">
            <v>369</v>
          </cell>
          <cell r="D26">
            <v>0</v>
          </cell>
          <cell r="E26">
            <v>369</v>
          </cell>
          <cell r="F26">
            <v>14599</v>
          </cell>
          <cell r="G26">
            <v>0</v>
          </cell>
          <cell r="H26">
            <v>9608</v>
          </cell>
          <cell r="I26">
            <v>0</v>
          </cell>
          <cell r="J26">
            <v>332</v>
          </cell>
          <cell r="K26">
            <v>0</v>
          </cell>
          <cell r="L26">
            <v>332</v>
          </cell>
          <cell r="M26">
            <v>81</v>
          </cell>
          <cell r="N26">
            <v>3350</v>
          </cell>
          <cell r="O26">
            <v>0</v>
          </cell>
          <cell r="P26">
            <v>0</v>
          </cell>
          <cell r="Q26">
            <v>28339</v>
          </cell>
          <cell r="S26">
            <v>24539</v>
          </cell>
          <cell r="T26">
            <v>0.59493051876604586</v>
          </cell>
          <cell r="U26">
            <v>0.39153999755491259</v>
          </cell>
          <cell r="V26">
            <v>1.3529483679041526E-2</v>
          </cell>
        </row>
        <row r="27">
          <cell r="A27">
            <v>890</v>
          </cell>
          <cell r="B27" t="str">
            <v>Blackpool</v>
          </cell>
          <cell r="C27">
            <v>0</v>
          </cell>
          <cell r="D27">
            <v>0</v>
          </cell>
          <cell r="E27">
            <v>0</v>
          </cell>
          <cell r="F27">
            <v>11949.5</v>
          </cell>
          <cell r="G27">
            <v>0</v>
          </cell>
          <cell r="H27">
            <v>8740</v>
          </cell>
          <cell r="I27">
            <v>0</v>
          </cell>
          <cell r="J27">
            <v>286.5</v>
          </cell>
          <cell r="K27">
            <v>0</v>
          </cell>
          <cell r="L27">
            <v>286.5</v>
          </cell>
          <cell r="M27">
            <v>210</v>
          </cell>
          <cell r="N27">
            <v>1199.5</v>
          </cell>
          <cell r="O27">
            <v>0</v>
          </cell>
          <cell r="P27">
            <v>0</v>
          </cell>
          <cell r="Q27">
            <v>22385.5</v>
          </cell>
          <cell r="S27">
            <v>20976</v>
          </cell>
          <cell r="T27">
            <v>0.56967486651411137</v>
          </cell>
          <cell r="U27">
            <v>0.41666666666666669</v>
          </cell>
          <cell r="V27">
            <v>1.3658466819221967E-2</v>
          </cell>
        </row>
        <row r="28">
          <cell r="A28">
            <v>350</v>
          </cell>
          <cell r="B28" t="str">
            <v>Bolton</v>
          </cell>
          <cell r="C28">
            <v>215</v>
          </cell>
          <cell r="D28">
            <v>0</v>
          </cell>
          <cell r="E28">
            <v>215</v>
          </cell>
          <cell r="F28">
            <v>24767</v>
          </cell>
          <cell r="G28">
            <v>0</v>
          </cell>
          <cell r="H28">
            <v>19938</v>
          </cell>
          <cell r="I28">
            <v>0</v>
          </cell>
          <cell r="J28">
            <v>422.5</v>
          </cell>
          <cell r="K28">
            <v>18.5</v>
          </cell>
          <cell r="L28">
            <v>441</v>
          </cell>
          <cell r="M28">
            <v>66</v>
          </cell>
          <cell r="N28">
            <v>3240.5</v>
          </cell>
          <cell r="O28">
            <v>0</v>
          </cell>
          <cell r="P28">
            <v>0</v>
          </cell>
          <cell r="Q28">
            <v>48667.5</v>
          </cell>
          <cell r="S28">
            <v>45127.5</v>
          </cell>
          <cell r="T28">
            <v>0.5488227799013905</v>
          </cell>
          <cell r="U28">
            <v>0.44181485790260927</v>
          </cell>
          <cell r="V28">
            <v>9.3623621960002221E-3</v>
          </cell>
        </row>
        <row r="29">
          <cell r="A29">
            <v>351</v>
          </cell>
          <cell r="B29" t="str">
            <v>Bury</v>
          </cell>
          <cell r="C29">
            <v>47</v>
          </cell>
          <cell r="D29">
            <v>0</v>
          </cell>
          <cell r="E29">
            <v>47</v>
          </cell>
          <cell r="F29">
            <v>15905</v>
          </cell>
          <cell r="G29">
            <v>0</v>
          </cell>
          <cell r="H29">
            <v>12008</v>
          </cell>
          <cell r="I29">
            <v>0</v>
          </cell>
          <cell r="J29">
            <v>217</v>
          </cell>
          <cell r="K29">
            <v>0</v>
          </cell>
          <cell r="L29">
            <v>217</v>
          </cell>
          <cell r="M29">
            <v>106</v>
          </cell>
          <cell r="N29">
            <v>2581</v>
          </cell>
          <cell r="O29">
            <v>0</v>
          </cell>
          <cell r="P29">
            <v>0</v>
          </cell>
          <cell r="Q29">
            <v>30864</v>
          </cell>
          <cell r="S29">
            <v>28130</v>
          </cell>
          <cell r="T29">
            <v>0.56541059367223601</v>
          </cell>
          <cell r="U29">
            <v>0.42687522218272306</v>
          </cell>
          <cell r="V29">
            <v>7.7141841450408819E-3</v>
          </cell>
        </row>
        <row r="30">
          <cell r="A30">
            <v>875</v>
          </cell>
          <cell r="B30" t="str">
            <v>Cheshire</v>
          </cell>
          <cell r="C30">
            <v>93</v>
          </cell>
          <cell r="D30">
            <v>0</v>
          </cell>
          <cell r="E30">
            <v>93</v>
          </cell>
          <cell r="F30">
            <v>55656.5</v>
          </cell>
          <cell r="G30">
            <v>0</v>
          </cell>
          <cell r="H30">
            <v>47722.5</v>
          </cell>
          <cell r="I30">
            <v>0</v>
          </cell>
          <cell r="J30">
            <v>999.5</v>
          </cell>
          <cell r="K30">
            <v>150</v>
          </cell>
          <cell r="L30">
            <v>1149.5</v>
          </cell>
          <cell r="M30">
            <v>0</v>
          </cell>
          <cell r="N30">
            <v>8574</v>
          </cell>
          <cell r="O30">
            <v>0</v>
          </cell>
          <cell r="P30">
            <v>0</v>
          </cell>
          <cell r="Q30">
            <v>113195.5</v>
          </cell>
          <cell r="S30">
            <v>104378.5</v>
          </cell>
          <cell r="T30">
            <v>0.53321804777803861</v>
          </cell>
          <cell r="U30">
            <v>0.4572062254199859</v>
          </cell>
          <cell r="V30">
            <v>9.575726801975503E-3</v>
          </cell>
        </row>
        <row r="31">
          <cell r="A31">
            <v>909</v>
          </cell>
          <cell r="B31" t="str">
            <v>Cumbria</v>
          </cell>
          <cell r="C31">
            <v>253</v>
          </cell>
          <cell r="D31">
            <v>0</v>
          </cell>
          <cell r="E31">
            <v>253</v>
          </cell>
          <cell r="F31">
            <v>40059.5</v>
          </cell>
          <cell r="G31">
            <v>0</v>
          </cell>
          <cell r="H31">
            <v>35310.5</v>
          </cell>
          <cell r="I31">
            <v>0</v>
          </cell>
          <cell r="J31">
            <v>431</v>
          </cell>
          <cell r="K31">
            <v>0</v>
          </cell>
          <cell r="L31">
            <v>431</v>
          </cell>
          <cell r="M31">
            <v>66</v>
          </cell>
          <cell r="N31">
            <v>3333</v>
          </cell>
          <cell r="O31">
            <v>0</v>
          </cell>
          <cell r="P31">
            <v>0</v>
          </cell>
          <cell r="Q31">
            <v>79453</v>
          </cell>
          <cell r="S31">
            <v>75801</v>
          </cell>
          <cell r="T31">
            <v>0.52848247384599145</v>
          </cell>
          <cell r="U31">
            <v>0.46583158533528579</v>
          </cell>
          <cell r="V31">
            <v>5.6859408187227081E-3</v>
          </cell>
        </row>
        <row r="32">
          <cell r="A32">
            <v>876</v>
          </cell>
          <cell r="B32" t="str">
            <v>Halton</v>
          </cell>
          <cell r="C32">
            <v>195</v>
          </cell>
          <cell r="D32">
            <v>0</v>
          </cell>
          <cell r="E32">
            <v>195</v>
          </cell>
          <cell r="F32">
            <v>10490</v>
          </cell>
          <cell r="G32">
            <v>0</v>
          </cell>
          <cell r="H32">
            <v>8312</v>
          </cell>
          <cell r="I32">
            <v>0</v>
          </cell>
          <cell r="J32">
            <v>352.5</v>
          </cell>
          <cell r="K32">
            <v>0</v>
          </cell>
          <cell r="L32">
            <v>352.5</v>
          </cell>
          <cell r="M32">
            <v>33</v>
          </cell>
          <cell r="N32">
            <v>7</v>
          </cell>
          <cell r="O32">
            <v>0</v>
          </cell>
          <cell r="P32">
            <v>0</v>
          </cell>
          <cell r="Q32">
            <v>19389.5</v>
          </cell>
          <cell r="S32">
            <v>19154.5</v>
          </cell>
          <cell r="T32">
            <v>0.54765198778354951</v>
          </cell>
          <cell r="U32">
            <v>0.43394502597300894</v>
          </cell>
          <cell r="V32">
            <v>1.8402986243441489E-2</v>
          </cell>
        </row>
        <row r="33">
          <cell r="A33">
            <v>340</v>
          </cell>
          <cell r="B33" t="str">
            <v>Knowsley</v>
          </cell>
          <cell r="C33">
            <v>0</v>
          </cell>
          <cell r="D33">
            <v>0</v>
          </cell>
          <cell r="E33">
            <v>0</v>
          </cell>
          <cell r="F33">
            <v>15567</v>
          </cell>
          <cell r="G33">
            <v>0</v>
          </cell>
          <cell r="H33">
            <v>10185</v>
          </cell>
          <cell r="I33">
            <v>0</v>
          </cell>
          <cell r="J33">
            <v>522.5</v>
          </cell>
          <cell r="K33">
            <v>0</v>
          </cell>
          <cell r="L33">
            <v>522.5</v>
          </cell>
          <cell r="M33">
            <v>109</v>
          </cell>
          <cell r="N33">
            <v>30</v>
          </cell>
          <cell r="O33">
            <v>0</v>
          </cell>
          <cell r="P33">
            <v>0</v>
          </cell>
          <cell r="Q33">
            <v>26413.5</v>
          </cell>
          <cell r="S33">
            <v>26274.5</v>
          </cell>
          <cell r="T33">
            <v>0.59247559420731122</v>
          </cell>
          <cell r="U33">
            <v>0.38763820434261353</v>
          </cell>
          <cell r="V33">
            <v>1.9886201450075167E-2</v>
          </cell>
        </row>
        <row r="34">
          <cell r="A34">
            <v>888</v>
          </cell>
          <cell r="B34" t="str">
            <v>Lancashire</v>
          </cell>
          <cell r="C34">
            <v>1093</v>
          </cell>
          <cell r="D34">
            <v>0</v>
          </cell>
          <cell r="E34">
            <v>1093</v>
          </cell>
          <cell r="F34">
            <v>95315.5</v>
          </cell>
          <cell r="G34">
            <v>0</v>
          </cell>
          <cell r="H34">
            <v>76687.5</v>
          </cell>
          <cell r="I34">
            <v>0</v>
          </cell>
          <cell r="J34">
            <v>2221.5</v>
          </cell>
          <cell r="K34">
            <v>0</v>
          </cell>
          <cell r="L34">
            <v>2221.5</v>
          </cell>
          <cell r="M34">
            <v>371</v>
          </cell>
          <cell r="N34">
            <v>6550.5</v>
          </cell>
          <cell r="O34">
            <v>0</v>
          </cell>
          <cell r="P34">
            <v>0</v>
          </cell>
          <cell r="Q34">
            <v>182239</v>
          </cell>
          <cell r="S34">
            <v>174224.5</v>
          </cell>
          <cell r="T34">
            <v>0.54708436528731608</v>
          </cell>
          <cell r="U34">
            <v>0.44016484478359819</v>
          </cell>
          <cell r="V34">
            <v>1.2750789929085748E-2</v>
          </cell>
        </row>
        <row r="35">
          <cell r="A35">
            <v>341</v>
          </cell>
          <cell r="B35" t="str">
            <v>Liverpool</v>
          </cell>
          <cell r="C35">
            <v>235</v>
          </cell>
          <cell r="D35">
            <v>0</v>
          </cell>
          <cell r="E35">
            <v>235</v>
          </cell>
          <cell r="F35">
            <v>38350</v>
          </cell>
          <cell r="G35">
            <v>0</v>
          </cell>
          <cell r="H35">
            <v>33462.5</v>
          </cell>
          <cell r="I35">
            <v>0</v>
          </cell>
          <cell r="J35">
            <v>1103.5</v>
          </cell>
          <cell r="K35">
            <v>124</v>
          </cell>
          <cell r="L35">
            <v>1227.5</v>
          </cell>
          <cell r="M35">
            <v>144</v>
          </cell>
          <cell r="N35">
            <v>2569.5</v>
          </cell>
          <cell r="O35">
            <v>0</v>
          </cell>
          <cell r="P35">
            <v>0</v>
          </cell>
          <cell r="Q35">
            <v>75988.5</v>
          </cell>
          <cell r="S35">
            <v>72916</v>
          </cell>
          <cell r="T35">
            <v>0.52594766580723029</v>
          </cell>
          <cell r="U35">
            <v>0.45891848154040266</v>
          </cell>
          <cell r="V35">
            <v>1.5133852652367108E-2</v>
          </cell>
        </row>
        <row r="36">
          <cell r="A36">
            <v>352</v>
          </cell>
          <cell r="B36" t="str">
            <v>Manchester</v>
          </cell>
          <cell r="C36">
            <v>94.5</v>
          </cell>
          <cell r="D36">
            <v>0</v>
          </cell>
          <cell r="E36">
            <v>94.5</v>
          </cell>
          <cell r="F36">
            <v>40722.5</v>
          </cell>
          <cell r="G36">
            <v>0</v>
          </cell>
          <cell r="H36">
            <v>23670</v>
          </cell>
          <cell r="I36">
            <v>0</v>
          </cell>
          <cell r="J36">
            <v>1207</v>
          </cell>
          <cell r="K36">
            <v>0</v>
          </cell>
          <cell r="L36">
            <v>1207</v>
          </cell>
          <cell r="M36">
            <v>411</v>
          </cell>
          <cell r="N36">
            <v>6471.5</v>
          </cell>
          <cell r="O36">
            <v>0</v>
          </cell>
          <cell r="P36">
            <v>685</v>
          </cell>
          <cell r="Q36">
            <v>73261.5</v>
          </cell>
          <cell r="S36">
            <v>65599.5</v>
          </cell>
          <cell r="T36">
            <v>0.62077454858649839</v>
          </cell>
          <cell r="U36">
            <v>0.3608259209292754</v>
          </cell>
          <cell r="V36">
            <v>1.839953048422625E-2</v>
          </cell>
        </row>
        <row r="37">
          <cell r="A37">
            <v>353</v>
          </cell>
          <cell r="B37" t="str">
            <v>Oldham</v>
          </cell>
          <cell r="C37">
            <v>0</v>
          </cell>
          <cell r="D37">
            <v>0</v>
          </cell>
          <cell r="E37">
            <v>0</v>
          </cell>
          <cell r="F37">
            <v>22950.5</v>
          </cell>
          <cell r="G37">
            <v>0</v>
          </cell>
          <cell r="H37">
            <v>16767</v>
          </cell>
          <cell r="I37">
            <v>0</v>
          </cell>
          <cell r="J37">
            <v>434</v>
          </cell>
          <cell r="K37">
            <v>0</v>
          </cell>
          <cell r="L37">
            <v>434</v>
          </cell>
          <cell r="M37">
            <v>0</v>
          </cell>
          <cell r="N37">
            <v>1650</v>
          </cell>
          <cell r="O37">
            <v>0</v>
          </cell>
          <cell r="P37">
            <v>0</v>
          </cell>
          <cell r="Q37">
            <v>41801.5</v>
          </cell>
          <cell r="S37">
            <v>40151.5</v>
          </cell>
          <cell r="T37">
            <v>0.5715975741877638</v>
          </cell>
          <cell r="U37">
            <v>0.41759336512957174</v>
          </cell>
          <cell r="V37">
            <v>1.0809060682664408E-2</v>
          </cell>
        </row>
        <row r="38">
          <cell r="A38">
            <v>354</v>
          </cell>
          <cell r="B38" t="str">
            <v>Rochdale</v>
          </cell>
          <cell r="C38">
            <v>139.5</v>
          </cell>
          <cell r="D38">
            <v>0</v>
          </cell>
          <cell r="E38">
            <v>139.5</v>
          </cell>
          <cell r="F38">
            <v>19829</v>
          </cell>
          <cell r="G38">
            <v>0</v>
          </cell>
          <cell r="H38">
            <v>14398.5</v>
          </cell>
          <cell r="I38">
            <v>0</v>
          </cell>
          <cell r="J38">
            <v>514</v>
          </cell>
          <cell r="K38">
            <v>0</v>
          </cell>
          <cell r="L38">
            <v>514</v>
          </cell>
          <cell r="M38">
            <v>115</v>
          </cell>
          <cell r="N38">
            <v>377</v>
          </cell>
          <cell r="O38">
            <v>0</v>
          </cell>
          <cell r="P38">
            <v>0</v>
          </cell>
          <cell r="Q38">
            <v>35373</v>
          </cell>
          <cell r="S38">
            <v>34741.5</v>
          </cell>
          <cell r="T38">
            <v>0.57075831498352114</v>
          </cell>
          <cell r="U38">
            <v>0.41444669919260824</v>
          </cell>
          <cell r="V38">
            <v>1.4794985823870586E-2</v>
          </cell>
        </row>
        <row r="39">
          <cell r="A39">
            <v>355</v>
          </cell>
          <cell r="B39" t="str">
            <v>Salford</v>
          </cell>
          <cell r="C39">
            <v>0</v>
          </cell>
          <cell r="D39">
            <v>0</v>
          </cell>
          <cell r="E39">
            <v>0</v>
          </cell>
          <cell r="F39">
            <v>20250</v>
          </cell>
          <cell r="G39">
            <v>0</v>
          </cell>
          <cell r="H39">
            <v>12717</v>
          </cell>
          <cell r="I39">
            <v>0</v>
          </cell>
          <cell r="J39">
            <v>479</v>
          </cell>
          <cell r="K39">
            <v>0</v>
          </cell>
          <cell r="L39">
            <v>479</v>
          </cell>
          <cell r="M39">
            <v>107</v>
          </cell>
          <cell r="N39">
            <v>2763</v>
          </cell>
          <cell r="O39">
            <v>0</v>
          </cell>
          <cell r="P39">
            <v>0</v>
          </cell>
          <cell r="Q39">
            <v>36316</v>
          </cell>
          <cell r="S39">
            <v>33446</v>
          </cell>
          <cell r="T39">
            <v>0.6054535669437302</v>
          </cell>
          <cell r="U39">
            <v>0.38022484004066254</v>
          </cell>
          <cell r="V39">
            <v>1.4321593015607247E-2</v>
          </cell>
        </row>
        <row r="40">
          <cell r="A40">
            <v>343</v>
          </cell>
          <cell r="B40" t="str">
            <v>Sefton</v>
          </cell>
          <cell r="C40">
            <v>149.5</v>
          </cell>
          <cell r="D40">
            <v>0</v>
          </cell>
          <cell r="E40">
            <v>149.5</v>
          </cell>
          <cell r="F40">
            <v>23497</v>
          </cell>
          <cell r="G40">
            <v>0</v>
          </cell>
          <cell r="H40">
            <v>21221</v>
          </cell>
          <cell r="I40">
            <v>0</v>
          </cell>
          <cell r="J40">
            <v>400</v>
          </cell>
          <cell r="K40">
            <v>48</v>
          </cell>
          <cell r="L40">
            <v>448</v>
          </cell>
          <cell r="M40">
            <v>92</v>
          </cell>
          <cell r="N40">
            <v>3159.5</v>
          </cell>
          <cell r="O40">
            <v>0</v>
          </cell>
          <cell r="P40">
            <v>0</v>
          </cell>
          <cell r="Q40">
            <v>48567</v>
          </cell>
          <cell r="S40">
            <v>45118</v>
          </cell>
          <cell r="T40">
            <v>0.52078992863158824</v>
          </cell>
          <cell r="U40">
            <v>0.47034443016091138</v>
          </cell>
          <cell r="V40">
            <v>8.8656412075003316E-3</v>
          </cell>
        </row>
        <row r="41">
          <cell r="A41">
            <v>342</v>
          </cell>
          <cell r="B41" t="str">
            <v>St. Helens</v>
          </cell>
          <cell r="C41">
            <v>68.5</v>
          </cell>
          <cell r="D41">
            <v>0</v>
          </cell>
          <cell r="E41">
            <v>68.5</v>
          </cell>
          <cell r="F41">
            <v>15654</v>
          </cell>
          <cell r="G41">
            <v>0</v>
          </cell>
          <cell r="H41">
            <v>12208</v>
          </cell>
          <cell r="I41">
            <v>0</v>
          </cell>
          <cell r="J41">
            <v>356.5</v>
          </cell>
          <cell r="K41">
            <v>0</v>
          </cell>
          <cell r="L41">
            <v>356.5</v>
          </cell>
          <cell r="M41">
            <v>15</v>
          </cell>
          <cell r="N41">
            <v>847.5</v>
          </cell>
          <cell r="O41">
            <v>0</v>
          </cell>
          <cell r="P41">
            <v>0</v>
          </cell>
          <cell r="Q41">
            <v>29149.5</v>
          </cell>
          <cell r="S41">
            <v>28218.5</v>
          </cell>
          <cell r="T41">
            <v>0.55474245619008811</v>
          </cell>
          <cell r="U41">
            <v>0.4326239878094158</v>
          </cell>
          <cell r="V41">
            <v>1.2633556000496128E-2</v>
          </cell>
        </row>
        <row r="42">
          <cell r="A42">
            <v>356</v>
          </cell>
          <cell r="B42" t="str">
            <v>Stockport</v>
          </cell>
          <cell r="C42">
            <v>425</v>
          </cell>
          <cell r="D42">
            <v>0</v>
          </cell>
          <cell r="E42">
            <v>425</v>
          </cell>
          <cell r="F42">
            <v>23562.5</v>
          </cell>
          <cell r="G42">
            <v>0</v>
          </cell>
          <cell r="H42">
            <v>17069</v>
          </cell>
          <cell r="I42">
            <v>0</v>
          </cell>
          <cell r="J42">
            <v>373.5</v>
          </cell>
          <cell r="K42">
            <v>208.5</v>
          </cell>
          <cell r="L42">
            <v>582</v>
          </cell>
          <cell r="M42">
            <v>9</v>
          </cell>
          <cell r="N42">
            <v>4833</v>
          </cell>
          <cell r="O42">
            <v>0</v>
          </cell>
          <cell r="P42">
            <v>0</v>
          </cell>
          <cell r="Q42">
            <v>46480.5</v>
          </cell>
          <cell r="S42">
            <v>41005</v>
          </cell>
          <cell r="T42">
            <v>0.57462504572613093</v>
          </cell>
          <cell r="U42">
            <v>0.41626630898670891</v>
          </cell>
          <cell r="V42">
            <v>9.1086452871601033E-3</v>
          </cell>
        </row>
        <row r="43">
          <cell r="A43">
            <v>357</v>
          </cell>
          <cell r="B43" t="str">
            <v>Tameside</v>
          </cell>
          <cell r="C43">
            <v>22.5</v>
          </cell>
          <cell r="D43">
            <v>0</v>
          </cell>
          <cell r="E43">
            <v>22.5</v>
          </cell>
          <cell r="F43">
            <v>19678</v>
          </cell>
          <cell r="G43">
            <v>0</v>
          </cell>
          <cell r="H43">
            <v>15965.5</v>
          </cell>
          <cell r="I43">
            <v>0</v>
          </cell>
          <cell r="J43">
            <v>379</v>
          </cell>
          <cell r="K43">
            <v>0</v>
          </cell>
          <cell r="L43">
            <v>379</v>
          </cell>
          <cell r="M43">
            <v>55</v>
          </cell>
          <cell r="N43">
            <v>295</v>
          </cell>
          <cell r="O43">
            <v>0</v>
          </cell>
          <cell r="P43">
            <v>0</v>
          </cell>
          <cell r="Q43">
            <v>36395</v>
          </cell>
          <cell r="S43">
            <v>36022.5</v>
          </cell>
          <cell r="T43">
            <v>0.5462696925532653</v>
          </cell>
          <cell r="U43">
            <v>0.44320910542022346</v>
          </cell>
          <cell r="V43">
            <v>1.0521202026511208E-2</v>
          </cell>
        </row>
        <row r="44">
          <cell r="A44">
            <v>358</v>
          </cell>
          <cell r="B44" t="str">
            <v>Trafford</v>
          </cell>
          <cell r="C44">
            <v>0</v>
          </cell>
          <cell r="D44">
            <v>0</v>
          </cell>
          <cell r="E44">
            <v>0</v>
          </cell>
          <cell r="F44">
            <v>18828.5</v>
          </cell>
          <cell r="G44">
            <v>0</v>
          </cell>
          <cell r="H44">
            <v>16355</v>
          </cell>
          <cell r="I44">
            <v>0</v>
          </cell>
          <cell r="J44">
            <v>455.5</v>
          </cell>
          <cell r="K44">
            <v>0</v>
          </cell>
          <cell r="L44">
            <v>455.5</v>
          </cell>
          <cell r="M44">
            <v>52</v>
          </cell>
          <cell r="N44">
            <v>2175</v>
          </cell>
          <cell r="O44">
            <v>0</v>
          </cell>
          <cell r="P44">
            <v>0</v>
          </cell>
          <cell r="Q44">
            <v>37866</v>
          </cell>
          <cell r="S44">
            <v>35639</v>
          </cell>
          <cell r="T44">
            <v>0.52831168102359771</v>
          </cell>
          <cell r="U44">
            <v>0.45890737675018939</v>
          </cell>
          <cell r="V44">
            <v>1.2780942226212857E-2</v>
          </cell>
        </row>
        <row r="45">
          <cell r="A45">
            <v>877</v>
          </cell>
          <cell r="B45" t="str">
            <v>Warrington</v>
          </cell>
          <cell r="C45">
            <v>30.5</v>
          </cell>
          <cell r="D45">
            <v>0</v>
          </cell>
          <cell r="E45">
            <v>30.5</v>
          </cell>
          <cell r="F45">
            <v>17528.5</v>
          </cell>
          <cell r="G45">
            <v>0</v>
          </cell>
          <cell r="H45">
            <v>14145</v>
          </cell>
          <cell r="I45">
            <v>0</v>
          </cell>
          <cell r="J45">
            <v>301</v>
          </cell>
          <cell r="K45">
            <v>58</v>
          </cell>
          <cell r="L45">
            <v>359</v>
          </cell>
          <cell r="M45">
            <v>31</v>
          </cell>
          <cell r="N45">
            <v>4</v>
          </cell>
          <cell r="O45">
            <v>0</v>
          </cell>
          <cell r="P45">
            <v>0</v>
          </cell>
          <cell r="Q45">
            <v>32098</v>
          </cell>
          <cell r="S45">
            <v>31974.5</v>
          </cell>
          <cell r="T45">
            <v>0.54820247384634635</v>
          </cell>
          <cell r="U45">
            <v>0.44238377457036077</v>
          </cell>
          <cell r="V45">
            <v>9.4137515832929362E-3</v>
          </cell>
        </row>
        <row r="46">
          <cell r="A46">
            <v>359</v>
          </cell>
          <cell r="B46" t="str">
            <v>Wigan</v>
          </cell>
          <cell r="C46">
            <v>109</v>
          </cell>
          <cell r="D46">
            <v>0</v>
          </cell>
          <cell r="E46">
            <v>109</v>
          </cell>
          <cell r="F46">
            <v>26298</v>
          </cell>
          <cell r="G46">
            <v>0</v>
          </cell>
          <cell r="H46">
            <v>21403</v>
          </cell>
          <cell r="I46">
            <v>0</v>
          </cell>
          <cell r="J46">
            <v>800.5</v>
          </cell>
          <cell r="K46">
            <v>0</v>
          </cell>
          <cell r="L46">
            <v>800.5</v>
          </cell>
          <cell r="M46">
            <v>43</v>
          </cell>
          <cell r="N46">
            <v>56</v>
          </cell>
          <cell r="O46">
            <v>0</v>
          </cell>
          <cell r="P46">
            <v>0</v>
          </cell>
          <cell r="Q46">
            <v>48709.5</v>
          </cell>
          <cell r="S46">
            <v>48501.5</v>
          </cell>
          <cell r="T46">
            <v>0.54221003474119356</v>
          </cell>
          <cell r="U46">
            <v>0.44128532107254415</v>
          </cell>
          <cell r="V46">
            <v>1.6504644186262282E-2</v>
          </cell>
        </row>
        <row r="47">
          <cell r="A47">
            <v>344</v>
          </cell>
          <cell r="B47" t="str">
            <v>Wirral</v>
          </cell>
          <cell r="C47">
            <v>141</v>
          </cell>
          <cell r="D47">
            <v>0</v>
          </cell>
          <cell r="E47">
            <v>141</v>
          </cell>
          <cell r="F47">
            <v>26824</v>
          </cell>
          <cell r="G47">
            <v>0</v>
          </cell>
          <cell r="H47">
            <v>24623</v>
          </cell>
          <cell r="I47">
            <v>0</v>
          </cell>
          <cell r="J47">
            <v>918.5</v>
          </cell>
          <cell r="K47">
            <v>100</v>
          </cell>
          <cell r="L47">
            <v>1018.5</v>
          </cell>
          <cell r="M47">
            <v>55</v>
          </cell>
          <cell r="N47">
            <v>2556</v>
          </cell>
          <cell r="O47">
            <v>0</v>
          </cell>
          <cell r="P47">
            <v>0</v>
          </cell>
          <cell r="Q47">
            <v>55217.5</v>
          </cell>
          <cell r="S47">
            <v>52365.5</v>
          </cell>
          <cell r="T47">
            <v>0.51224565792363297</v>
          </cell>
          <cell r="U47">
            <v>0.47021416772493341</v>
          </cell>
          <cell r="V47">
            <v>1.7540174351433672E-2</v>
          </cell>
        </row>
        <row r="49">
          <cell r="B49" t="str">
            <v>YORKSHIRE AND THE HUMBER</v>
          </cell>
          <cell r="C49">
            <v>2024</v>
          </cell>
          <cell r="D49">
            <v>0</v>
          </cell>
          <cell r="E49">
            <v>2024</v>
          </cell>
          <cell r="F49">
            <v>436645</v>
          </cell>
          <cell r="G49">
            <v>0</v>
          </cell>
          <cell r="H49">
            <v>349323.5</v>
          </cell>
          <cell r="I49">
            <v>3126</v>
          </cell>
          <cell r="J49">
            <v>7401.5</v>
          </cell>
          <cell r="K49">
            <v>302</v>
          </cell>
          <cell r="L49">
            <v>7703.5</v>
          </cell>
          <cell r="M49">
            <v>1389</v>
          </cell>
          <cell r="N49">
            <v>33256</v>
          </cell>
          <cell r="O49">
            <v>1084</v>
          </cell>
          <cell r="P49">
            <v>0</v>
          </cell>
          <cell r="Q49">
            <v>831425</v>
          </cell>
          <cell r="S49">
            <v>793370</v>
          </cell>
          <cell r="T49">
            <v>0.55036741999319361</v>
          </cell>
          <cell r="U49">
            <v>0.4403033893391482</v>
          </cell>
          <cell r="V49">
            <v>9.329190667658218E-3</v>
          </cell>
        </row>
        <row r="50">
          <cell r="A50">
            <v>370</v>
          </cell>
          <cell r="B50" t="str">
            <v>Barnsley</v>
          </cell>
          <cell r="C50">
            <v>36.5</v>
          </cell>
          <cell r="D50">
            <v>0</v>
          </cell>
          <cell r="E50">
            <v>36.5</v>
          </cell>
          <cell r="F50">
            <v>19452</v>
          </cell>
          <cell r="G50">
            <v>0</v>
          </cell>
          <cell r="H50">
            <v>13737</v>
          </cell>
          <cell r="I50">
            <v>0</v>
          </cell>
          <cell r="J50">
            <v>158</v>
          </cell>
          <cell r="K50">
            <v>0</v>
          </cell>
          <cell r="L50">
            <v>158</v>
          </cell>
          <cell r="M50">
            <v>71</v>
          </cell>
          <cell r="N50">
            <v>194.5</v>
          </cell>
          <cell r="O50">
            <v>0</v>
          </cell>
          <cell r="P50">
            <v>0</v>
          </cell>
          <cell r="Q50">
            <v>33649</v>
          </cell>
          <cell r="S50">
            <v>33347</v>
          </cell>
          <cell r="T50">
            <v>0.58332083845623295</v>
          </cell>
          <cell r="U50">
            <v>0.41194110414729962</v>
          </cell>
          <cell r="V50">
            <v>4.7380573964674487E-3</v>
          </cell>
        </row>
        <row r="51">
          <cell r="A51">
            <v>380</v>
          </cell>
          <cell r="B51" t="str">
            <v>Bradford</v>
          </cell>
          <cell r="C51">
            <v>412</v>
          </cell>
          <cell r="D51">
            <v>0</v>
          </cell>
          <cell r="E51">
            <v>412</v>
          </cell>
          <cell r="F51">
            <v>48249.5</v>
          </cell>
          <cell r="G51">
            <v>0</v>
          </cell>
          <cell r="H51">
            <v>34661.5</v>
          </cell>
          <cell r="I51">
            <v>0</v>
          </cell>
          <cell r="J51">
            <v>890</v>
          </cell>
          <cell r="K51">
            <v>0</v>
          </cell>
          <cell r="L51">
            <v>890</v>
          </cell>
          <cell r="M51">
            <v>173</v>
          </cell>
          <cell r="N51">
            <v>3792.5</v>
          </cell>
          <cell r="O51">
            <v>1084</v>
          </cell>
          <cell r="P51">
            <v>0</v>
          </cell>
          <cell r="Q51">
            <v>89262.5</v>
          </cell>
          <cell r="S51">
            <v>83801</v>
          </cell>
          <cell r="T51">
            <v>0.57576281905943838</v>
          </cell>
          <cell r="U51">
            <v>0.41361678261595924</v>
          </cell>
          <cell r="V51">
            <v>1.0620398324602333E-2</v>
          </cell>
        </row>
        <row r="52">
          <cell r="A52">
            <v>381</v>
          </cell>
          <cell r="B52" t="str">
            <v>Calderdale</v>
          </cell>
          <cell r="C52">
            <v>0</v>
          </cell>
          <cell r="D52">
            <v>0</v>
          </cell>
          <cell r="E52">
            <v>0</v>
          </cell>
          <cell r="F52">
            <v>18780.5</v>
          </cell>
          <cell r="G52">
            <v>0</v>
          </cell>
          <cell r="H52">
            <v>15436</v>
          </cell>
          <cell r="I52">
            <v>0</v>
          </cell>
          <cell r="J52">
            <v>192.5</v>
          </cell>
          <cell r="K52">
            <v>58</v>
          </cell>
          <cell r="L52">
            <v>250.5</v>
          </cell>
          <cell r="M52">
            <v>45</v>
          </cell>
          <cell r="N52">
            <v>1374.5</v>
          </cell>
          <cell r="O52">
            <v>0</v>
          </cell>
          <cell r="P52">
            <v>0</v>
          </cell>
          <cell r="Q52">
            <v>35886.5</v>
          </cell>
          <cell r="S52">
            <v>34409</v>
          </cell>
          <cell r="T52">
            <v>0.54580197041471712</v>
          </cell>
          <cell r="U52">
            <v>0.44860356302130255</v>
          </cell>
          <cell r="V52">
            <v>5.5944665639803539E-3</v>
          </cell>
        </row>
        <row r="53">
          <cell r="A53">
            <v>371</v>
          </cell>
          <cell r="B53" t="str">
            <v>Doncaster</v>
          </cell>
          <cell r="C53">
            <v>0</v>
          </cell>
          <cell r="D53">
            <v>0</v>
          </cell>
          <cell r="E53">
            <v>0</v>
          </cell>
          <cell r="F53">
            <v>26587</v>
          </cell>
          <cell r="G53">
            <v>0</v>
          </cell>
          <cell r="H53">
            <v>21892.5</v>
          </cell>
          <cell r="I53">
            <v>0</v>
          </cell>
          <cell r="J53">
            <v>590</v>
          </cell>
          <cell r="K53">
            <v>41</v>
          </cell>
          <cell r="L53">
            <v>631</v>
          </cell>
          <cell r="M53">
            <v>140</v>
          </cell>
          <cell r="N53">
            <v>601</v>
          </cell>
          <cell r="O53">
            <v>0</v>
          </cell>
          <cell r="P53">
            <v>0</v>
          </cell>
          <cell r="Q53">
            <v>49851.5</v>
          </cell>
          <cell r="S53">
            <v>49069.5</v>
          </cell>
          <cell r="T53">
            <v>0.54182333221247414</v>
          </cell>
          <cell r="U53">
            <v>0.44615290557270809</v>
          </cell>
          <cell r="V53">
            <v>1.2023762214817758E-2</v>
          </cell>
        </row>
        <row r="54">
          <cell r="A54">
            <v>811</v>
          </cell>
          <cell r="B54" t="str">
            <v>East Riding of Yorkshire</v>
          </cell>
          <cell r="C54">
            <v>235</v>
          </cell>
          <cell r="D54">
            <v>0</v>
          </cell>
          <cell r="E54">
            <v>235</v>
          </cell>
          <cell r="F54">
            <v>26054</v>
          </cell>
          <cell r="G54">
            <v>0</v>
          </cell>
          <cell r="H54">
            <v>23492</v>
          </cell>
          <cell r="I54">
            <v>0</v>
          </cell>
          <cell r="J54">
            <v>404</v>
          </cell>
          <cell r="K54">
            <v>0</v>
          </cell>
          <cell r="L54">
            <v>404</v>
          </cell>
          <cell r="M54">
            <v>16</v>
          </cell>
          <cell r="N54">
            <v>1471</v>
          </cell>
          <cell r="O54">
            <v>0</v>
          </cell>
          <cell r="P54">
            <v>0</v>
          </cell>
          <cell r="Q54">
            <v>51672</v>
          </cell>
          <cell r="S54">
            <v>49950</v>
          </cell>
          <cell r="T54">
            <v>0.52160160160160163</v>
          </cell>
          <cell r="U54">
            <v>0.47031031031031029</v>
          </cell>
          <cell r="V54">
            <v>8.0880880880880874E-3</v>
          </cell>
        </row>
        <row r="55">
          <cell r="A55">
            <v>810</v>
          </cell>
          <cell r="B55" t="str">
            <v>Kingston Upon Hull, City of</v>
          </cell>
          <cell r="C55">
            <v>208</v>
          </cell>
          <cell r="D55">
            <v>0</v>
          </cell>
          <cell r="E55">
            <v>208</v>
          </cell>
          <cell r="F55">
            <v>22318.5</v>
          </cell>
          <cell r="G55">
            <v>0</v>
          </cell>
          <cell r="H55">
            <v>16216</v>
          </cell>
          <cell r="I55">
            <v>0</v>
          </cell>
          <cell r="J55">
            <v>385.5</v>
          </cell>
          <cell r="K55">
            <v>0</v>
          </cell>
          <cell r="L55">
            <v>385.5</v>
          </cell>
          <cell r="M55">
            <v>57</v>
          </cell>
          <cell r="N55">
            <v>1561</v>
          </cell>
          <cell r="O55">
            <v>0</v>
          </cell>
          <cell r="P55">
            <v>0</v>
          </cell>
          <cell r="Q55">
            <v>40746</v>
          </cell>
          <cell r="S55">
            <v>38920</v>
          </cell>
          <cell r="T55">
            <v>0.57344552929085302</v>
          </cell>
          <cell r="U55">
            <v>0.41664953751284689</v>
          </cell>
          <cell r="V55">
            <v>9.9049331963001024E-3</v>
          </cell>
        </row>
        <row r="56">
          <cell r="A56">
            <v>382</v>
          </cell>
          <cell r="B56" t="str">
            <v>Kirklees</v>
          </cell>
          <cell r="C56">
            <v>135.5</v>
          </cell>
          <cell r="D56">
            <v>0</v>
          </cell>
          <cell r="E56">
            <v>135.5</v>
          </cell>
          <cell r="F56">
            <v>34973</v>
          </cell>
          <cell r="G56">
            <v>0</v>
          </cell>
          <cell r="H56">
            <v>26777</v>
          </cell>
          <cell r="I56">
            <v>2699</v>
          </cell>
          <cell r="J56">
            <v>658.5</v>
          </cell>
          <cell r="K56">
            <v>37</v>
          </cell>
          <cell r="L56">
            <v>695.5</v>
          </cell>
          <cell r="M56">
            <v>173</v>
          </cell>
          <cell r="N56">
            <v>2008</v>
          </cell>
          <cell r="O56">
            <v>0</v>
          </cell>
          <cell r="P56">
            <v>0</v>
          </cell>
          <cell r="Q56">
            <v>64762</v>
          </cell>
          <cell r="S56">
            <v>62408.5</v>
          </cell>
          <cell r="T56">
            <v>0.56038840863023465</v>
          </cell>
          <cell r="U56">
            <v>0.42906014405089049</v>
          </cell>
          <cell r="V56">
            <v>1.0551447318874833E-2</v>
          </cell>
        </row>
        <row r="57">
          <cell r="A57">
            <v>383</v>
          </cell>
          <cell r="B57" t="str">
            <v>Leeds</v>
          </cell>
          <cell r="C57">
            <v>0</v>
          </cell>
          <cell r="D57">
            <v>0</v>
          </cell>
          <cell r="E57">
            <v>0</v>
          </cell>
          <cell r="F57">
            <v>60272.5</v>
          </cell>
          <cell r="G57">
            <v>0</v>
          </cell>
          <cell r="H57">
            <v>48082.5</v>
          </cell>
          <cell r="I57">
            <v>0</v>
          </cell>
          <cell r="J57">
            <v>913</v>
          </cell>
          <cell r="K57">
            <v>99</v>
          </cell>
          <cell r="L57">
            <v>1012</v>
          </cell>
          <cell r="M57">
            <v>196</v>
          </cell>
          <cell r="N57">
            <v>5286.5</v>
          </cell>
          <cell r="O57">
            <v>0</v>
          </cell>
          <cell r="P57">
            <v>0</v>
          </cell>
          <cell r="Q57">
            <v>114849.5</v>
          </cell>
          <cell r="S57">
            <v>109268</v>
          </cell>
          <cell r="T57">
            <v>0.55160248197093387</v>
          </cell>
          <cell r="U57">
            <v>0.44004191529084452</v>
          </cell>
          <cell r="V57">
            <v>8.3556027382216194E-3</v>
          </cell>
        </row>
        <row r="58">
          <cell r="A58">
            <v>812</v>
          </cell>
          <cell r="B58" t="str">
            <v>North East Lincolnshire</v>
          </cell>
          <cell r="C58">
            <v>177.5</v>
          </cell>
          <cell r="D58">
            <v>0</v>
          </cell>
          <cell r="E58">
            <v>177.5</v>
          </cell>
          <cell r="F58">
            <v>14395.5</v>
          </cell>
          <cell r="G58">
            <v>0</v>
          </cell>
          <cell r="H58">
            <v>11731</v>
          </cell>
          <cell r="I58">
            <v>0</v>
          </cell>
          <cell r="J58">
            <v>236.5</v>
          </cell>
          <cell r="K58">
            <v>0</v>
          </cell>
          <cell r="L58">
            <v>236.5</v>
          </cell>
          <cell r="M58">
            <v>49</v>
          </cell>
          <cell r="N58">
            <v>403</v>
          </cell>
          <cell r="O58">
            <v>0</v>
          </cell>
          <cell r="P58">
            <v>0</v>
          </cell>
          <cell r="Q58">
            <v>26992.5</v>
          </cell>
          <cell r="S58">
            <v>26363</v>
          </cell>
          <cell r="T58">
            <v>0.54604938739900621</v>
          </cell>
          <cell r="U58">
            <v>0.44497970640670637</v>
          </cell>
          <cell r="V58">
            <v>8.970906194287448E-3</v>
          </cell>
        </row>
        <row r="59">
          <cell r="A59">
            <v>813</v>
          </cell>
          <cell r="B59" t="str">
            <v>North Lincolnshire</v>
          </cell>
          <cell r="C59">
            <v>0</v>
          </cell>
          <cell r="D59">
            <v>0</v>
          </cell>
          <cell r="E59">
            <v>0</v>
          </cell>
          <cell r="F59">
            <v>13621</v>
          </cell>
          <cell r="G59">
            <v>0</v>
          </cell>
          <cell r="H59">
            <v>10908.5</v>
          </cell>
          <cell r="I59">
            <v>0</v>
          </cell>
          <cell r="J59">
            <v>193</v>
          </cell>
          <cell r="K59">
            <v>0</v>
          </cell>
          <cell r="L59">
            <v>193</v>
          </cell>
          <cell r="M59">
            <v>55</v>
          </cell>
          <cell r="N59">
            <v>226</v>
          </cell>
          <cell r="O59">
            <v>0</v>
          </cell>
          <cell r="P59">
            <v>0</v>
          </cell>
          <cell r="Q59">
            <v>25003.5</v>
          </cell>
          <cell r="S59">
            <v>24722.5</v>
          </cell>
          <cell r="T59">
            <v>0.55095560724036807</v>
          </cell>
          <cell r="U59">
            <v>0.44123773890181012</v>
          </cell>
          <cell r="V59">
            <v>7.8066538578218225E-3</v>
          </cell>
        </row>
        <row r="60">
          <cell r="A60">
            <v>815</v>
          </cell>
          <cell r="B60" t="str">
            <v>North Yorkshire</v>
          </cell>
          <cell r="C60">
            <v>123.5</v>
          </cell>
          <cell r="D60">
            <v>0</v>
          </cell>
          <cell r="E60">
            <v>123.5</v>
          </cell>
          <cell r="F60">
            <v>45023.5</v>
          </cell>
          <cell r="G60">
            <v>0</v>
          </cell>
          <cell r="H60">
            <v>41529.5</v>
          </cell>
          <cell r="I60">
            <v>427</v>
          </cell>
          <cell r="J60">
            <v>622.5</v>
          </cell>
          <cell r="K60">
            <v>67</v>
          </cell>
          <cell r="L60">
            <v>689.5</v>
          </cell>
          <cell r="M60">
            <v>23</v>
          </cell>
          <cell r="N60">
            <v>6410.5</v>
          </cell>
          <cell r="O60">
            <v>0</v>
          </cell>
          <cell r="P60">
            <v>0</v>
          </cell>
          <cell r="Q60">
            <v>93799.5</v>
          </cell>
          <cell r="S60">
            <v>87175.5</v>
          </cell>
          <cell r="T60">
            <v>0.51646965030312419</v>
          </cell>
          <cell r="U60">
            <v>0.47638958193529146</v>
          </cell>
          <cell r="V60">
            <v>7.1407677615843903E-3</v>
          </cell>
        </row>
        <row r="61">
          <cell r="A61">
            <v>372</v>
          </cell>
          <cell r="B61" t="str">
            <v>Rotherham</v>
          </cell>
          <cell r="C61">
            <v>231</v>
          </cell>
          <cell r="D61">
            <v>0</v>
          </cell>
          <cell r="E61">
            <v>231</v>
          </cell>
          <cell r="F61">
            <v>23653.5</v>
          </cell>
          <cell r="G61">
            <v>0</v>
          </cell>
          <cell r="H61">
            <v>20425.5</v>
          </cell>
          <cell r="I61">
            <v>0</v>
          </cell>
          <cell r="J61">
            <v>692.5</v>
          </cell>
          <cell r="K61">
            <v>0</v>
          </cell>
          <cell r="L61">
            <v>692.5</v>
          </cell>
          <cell r="M61">
            <v>40</v>
          </cell>
          <cell r="N61">
            <v>319.5</v>
          </cell>
          <cell r="O61">
            <v>0</v>
          </cell>
          <cell r="P61">
            <v>0</v>
          </cell>
          <cell r="Q61">
            <v>45362</v>
          </cell>
          <cell r="S61">
            <v>44771.5</v>
          </cell>
          <cell r="T61">
            <v>0.52831600460114136</v>
          </cell>
          <cell r="U61">
            <v>0.45621656634242769</v>
          </cell>
          <cell r="V61">
            <v>1.5467429056430988E-2</v>
          </cell>
        </row>
        <row r="62">
          <cell r="A62">
            <v>373</v>
          </cell>
          <cell r="B62" t="str">
            <v>Sheffield</v>
          </cell>
          <cell r="C62">
            <v>244.5</v>
          </cell>
          <cell r="D62">
            <v>0</v>
          </cell>
          <cell r="E62">
            <v>244.5</v>
          </cell>
          <cell r="F62">
            <v>42204</v>
          </cell>
          <cell r="G62">
            <v>0</v>
          </cell>
          <cell r="H62">
            <v>31556.5</v>
          </cell>
          <cell r="I62">
            <v>0</v>
          </cell>
          <cell r="J62">
            <v>810</v>
          </cell>
          <cell r="K62">
            <v>0</v>
          </cell>
          <cell r="L62">
            <v>810</v>
          </cell>
          <cell r="M62">
            <v>152</v>
          </cell>
          <cell r="N62">
            <v>2916.5</v>
          </cell>
          <cell r="O62">
            <v>0</v>
          </cell>
          <cell r="P62">
            <v>0</v>
          </cell>
          <cell r="Q62">
            <v>77883.5</v>
          </cell>
          <cell r="S62">
            <v>74570.5</v>
          </cell>
          <cell r="T62">
            <v>0.56596107039647048</v>
          </cell>
          <cell r="U62">
            <v>0.42317672538068002</v>
          </cell>
          <cell r="V62">
            <v>1.0862204222849519E-2</v>
          </cell>
        </row>
        <row r="63">
          <cell r="A63">
            <v>384</v>
          </cell>
          <cell r="B63" t="str">
            <v>Wakefield</v>
          </cell>
          <cell r="C63">
            <v>166.5</v>
          </cell>
          <cell r="D63">
            <v>0</v>
          </cell>
          <cell r="E63">
            <v>166.5</v>
          </cell>
          <cell r="F63">
            <v>27807.5</v>
          </cell>
          <cell r="G63">
            <v>0</v>
          </cell>
          <cell r="H63">
            <v>22389</v>
          </cell>
          <cell r="I63">
            <v>0</v>
          </cell>
          <cell r="J63">
            <v>420.5</v>
          </cell>
          <cell r="K63">
            <v>0</v>
          </cell>
          <cell r="L63">
            <v>420.5</v>
          </cell>
          <cell r="M63">
            <v>47</v>
          </cell>
          <cell r="N63">
            <v>4327</v>
          </cell>
          <cell r="O63">
            <v>0</v>
          </cell>
          <cell r="P63">
            <v>0</v>
          </cell>
          <cell r="Q63">
            <v>55157.5</v>
          </cell>
          <cell r="S63">
            <v>50617</v>
          </cell>
          <cell r="T63">
            <v>0.54937076476282676</v>
          </cell>
          <cell r="U63">
            <v>0.44232174960981491</v>
          </cell>
          <cell r="V63">
            <v>8.3074856273583977E-3</v>
          </cell>
        </row>
        <row r="64">
          <cell r="A64">
            <v>816</v>
          </cell>
          <cell r="B64" t="str">
            <v>York</v>
          </cell>
          <cell r="C64">
            <v>54</v>
          </cell>
          <cell r="D64">
            <v>0</v>
          </cell>
          <cell r="E64">
            <v>54</v>
          </cell>
          <cell r="F64">
            <v>13253</v>
          </cell>
          <cell r="G64">
            <v>0</v>
          </cell>
          <cell r="H64">
            <v>10489</v>
          </cell>
          <cell r="I64">
            <v>0</v>
          </cell>
          <cell r="J64">
            <v>235</v>
          </cell>
          <cell r="K64">
            <v>0</v>
          </cell>
          <cell r="L64">
            <v>235</v>
          </cell>
          <cell r="M64">
            <v>152</v>
          </cell>
          <cell r="N64">
            <v>2364.5</v>
          </cell>
          <cell r="O64">
            <v>0</v>
          </cell>
          <cell r="P64">
            <v>0</v>
          </cell>
          <cell r="Q64">
            <v>26547.5</v>
          </cell>
          <cell r="S64">
            <v>23977</v>
          </cell>
          <cell r="T64">
            <v>0.55273804062226295</v>
          </cell>
          <cell r="U64">
            <v>0.43746090002919463</v>
          </cell>
          <cell r="V64">
            <v>9.8010593485423538E-3</v>
          </cell>
        </row>
        <row r="66">
          <cell r="B66" t="str">
            <v>EAST MIDLANDS</v>
          </cell>
          <cell r="C66">
            <v>1475</v>
          </cell>
          <cell r="D66">
            <v>0</v>
          </cell>
          <cell r="E66">
            <v>1475</v>
          </cell>
          <cell r="F66">
            <v>357619.5</v>
          </cell>
          <cell r="G66">
            <v>0</v>
          </cell>
          <cell r="H66">
            <v>297211.5</v>
          </cell>
          <cell r="I66">
            <v>12126</v>
          </cell>
          <cell r="J66">
            <v>5730</v>
          </cell>
          <cell r="K66">
            <v>172</v>
          </cell>
          <cell r="L66">
            <v>5902</v>
          </cell>
          <cell r="M66">
            <v>1022</v>
          </cell>
          <cell r="N66">
            <v>33536</v>
          </cell>
          <cell r="O66">
            <v>2219</v>
          </cell>
          <cell r="P66">
            <v>1482</v>
          </cell>
          <cell r="Q66">
            <v>700467</v>
          </cell>
          <cell r="S66">
            <v>660561</v>
          </cell>
          <cell r="T66">
            <v>0.54138754785704879</v>
          </cell>
          <cell r="U66">
            <v>0.44993800723930116</v>
          </cell>
          <cell r="V66">
            <v>8.67444490365008E-3</v>
          </cell>
        </row>
        <row r="67">
          <cell r="A67">
            <v>831</v>
          </cell>
          <cell r="B67" t="str">
            <v>Derby</v>
          </cell>
          <cell r="C67">
            <v>291</v>
          </cell>
          <cell r="D67">
            <v>0</v>
          </cell>
          <cell r="E67">
            <v>291</v>
          </cell>
          <cell r="F67">
            <v>20978.5</v>
          </cell>
          <cell r="G67">
            <v>0</v>
          </cell>
          <cell r="H67">
            <v>15542.5</v>
          </cell>
          <cell r="I67">
            <v>0</v>
          </cell>
          <cell r="J67">
            <v>391</v>
          </cell>
          <cell r="K67">
            <v>89</v>
          </cell>
          <cell r="L67">
            <v>480</v>
          </cell>
          <cell r="M67">
            <v>166</v>
          </cell>
          <cell r="N67">
            <v>1149.5</v>
          </cell>
          <cell r="O67">
            <v>1036</v>
          </cell>
          <cell r="P67">
            <v>0</v>
          </cell>
          <cell r="Q67">
            <v>39643.5</v>
          </cell>
          <cell r="S67">
            <v>36912</v>
          </cell>
          <cell r="T67">
            <v>0.56833820979627225</v>
          </cell>
          <cell r="U67">
            <v>0.42106902904204596</v>
          </cell>
          <cell r="V67">
            <v>1.0592761161681837E-2</v>
          </cell>
        </row>
        <row r="68">
          <cell r="A68">
            <v>830</v>
          </cell>
          <cell r="B68" t="str">
            <v>Derbyshire</v>
          </cell>
          <cell r="C68">
            <v>333.5</v>
          </cell>
          <cell r="D68">
            <v>0</v>
          </cell>
          <cell r="E68">
            <v>333.5</v>
          </cell>
          <cell r="F68">
            <v>62758</v>
          </cell>
          <cell r="G68">
            <v>0</v>
          </cell>
          <cell r="H68">
            <v>50498</v>
          </cell>
          <cell r="I68">
            <v>0</v>
          </cell>
          <cell r="J68">
            <v>745</v>
          </cell>
          <cell r="K68">
            <v>0</v>
          </cell>
          <cell r="L68">
            <v>745</v>
          </cell>
          <cell r="M68">
            <v>31</v>
          </cell>
          <cell r="N68">
            <v>4714.5</v>
          </cell>
          <cell r="O68">
            <v>0</v>
          </cell>
          <cell r="P68">
            <v>0</v>
          </cell>
          <cell r="Q68">
            <v>119080</v>
          </cell>
          <cell r="S68">
            <v>114001</v>
          </cell>
          <cell r="T68">
            <v>0.55050394294786886</v>
          </cell>
          <cell r="U68">
            <v>0.44296102665766091</v>
          </cell>
          <cell r="V68">
            <v>6.5350303944702237E-3</v>
          </cell>
        </row>
        <row r="69">
          <cell r="A69">
            <v>856</v>
          </cell>
          <cell r="B69" t="str">
            <v>Leicester</v>
          </cell>
          <cell r="C69">
            <v>15</v>
          </cell>
          <cell r="D69">
            <v>0</v>
          </cell>
          <cell r="E69">
            <v>15</v>
          </cell>
          <cell r="F69">
            <v>27365</v>
          </cell>
          <cell r="G69">
            <v>0</v>
          </cell>
          <cell r="H69">
            <v>18258.5</v>
          </cell>
          <cell r="I69">
            <v>0</v>
          </cell>
          <cell r="J69">
            <v>765</v>
          </cell>
          <cell r="K69">
            <v>0</v>
          </cell>
          <cell r="L69">
            <v>765</v>
          </cell>
          <cell r="M69">
            <v>114</v>
          </cell>
          <cell r="N69">
            <v>3052</v>
          </cell>
          <cell r="O69">
            <v>0</v>
          </cell>
          <cell r="P69">
            <v>0</v>
          </cell>
          <cell r="Q69">
            <v>49569.5</v>
          </cell>
          <cell r="S69">
            <v>46388.5</v>
          </cell>
          <cell r="T69">
            <v>0.58990913696282488</v>
          </cell>
          <cell r="U69">
            <v>0.39359970682388956</v>
          </cell>
          <cell r="V69">
            <v>1.6491156213285622E-2</v>
          </cell>
        </row>
        <row r="70">
          <cell r="A70">
            <v>855</v>
          </cell>
          <cell r="B70" t="str">
            <v>Leicestershire</v>
          </cell>
          <cell r="C70">
            <v>19</v>
          </cell>
          <cell r="D70">
            <v>0</v>
          </cell>
          <cell r="E70">
            <v>19</v>
          </cell>
          <cell r="F70">
            <v>49588</v>
          </cell>
          <cell r="G70">
            <v>0</v>
          </cell>
          <cell r="H70">
            <v>46741</v>
          </cell>
          <cell r="I70">
            <v>6169</v>
          </cell>
          <cell r="J70">
            <v>533</v>
          </cell>
          <cell r="K70">
            <v>0</v>
          </cell>
          <cell r="L70">
            <v>533</v>
          </cell>
          <cell r="M70">
            <v>115</v>
          </cell>
          <cell r="N70">
            <v>5490</v>
          </cell>
          <cell r="O70">
            <v>0</v>
          </cell>
          <cell r="P70">
            <v>0</v>
          </cell>
          <cell r="Q70">
            <v>102486</v>
          </cell>
          <cell r="S70">
            <v>96862</v>
          </cell>
          <cell r="T70">
            <v>0.51194482872540314</v>
          </cell>
          <cell r="U70">
            <v>0.48255249736738864</v>
          </cell>
          <cell r="V70">
            <v>5.5026739072081927E-3</v>
          </cell>
        </row>
        <row r="71">
          <cell r="A71">
            <v>925</v>
          </cell>
          <cell r="B71" t="str">
            <v>Lincolnshire</v>
          </cell>
          <cell r="C71">
            <v>281</v>
          </cell>
          <cell r="D71">
            <v>0</v>
          </cell>
          <cell r="E71">
            <v>281</v>
          </cell>
          <cell r="F71">
            <v>53579.5</v>
          </cell>
          <cell r="G71">
            <v>0</v>
          </cell>
          <cell r="H71">
            <v>47428.5</v>
          </cell>
          <cell r="I71">
            <v>0</v>
          </cell>
          <cell r="J71">
            <v>1182.5</v>
          </cell>
          <cell r="K71">
            <v>0</v>
          </cell>
          <cell r="L71">
            <v>1182.5</v>
          </cell>
          <cell r="M71">
            <v>215</v>
          </cell>
          <cell r="N71">
            <v>4448</v>
          </cell>
          <cell r="O71">
            <v>0</v>
          </cell>
          <cell r="P71">
            <v>0</v>
          </cell>
          <cell r="Q71">
            <v>107134.5</v>
          </cell>
          <cell r="S71">
            <v>102190.5</v>
          </cell>
          <cell r="T71">
            <v>0.52430998967614406</v>
          </cell>
          <cell r="U71">
            <v>0.46411848459494764</v>
          </cell>
          <cell r="V71">
            <v>1.1571525728908265E-2</v>
          </cell>
        </row>
        <row r="72">
          <cell r="A72">
            <v>928</v>
          </cell>
          <cell r="B72" t="str">
            <v>Northamptonshire</v>
          </cell>
          <cell r="C72">
            <v>326</v>
          </cell>
          <cell r="D72">
            <v>0</v>
          </cell>
          <cell r="E72">
            <v>326</v>
          </cell>
          <cell r="F72">
            <v>55736.5</v>
          </cell>
          <cell r="G72">
            <v>0</v>
          </cell>
          <cell r="H72">
            <v>47390</v>
          </cell>
          <cell r="I72">
            <v>5957</v>
          </cell>
          <cell r="J72">
            <v>999</v>
          </cell>
          <cell r="K72">
            <v>0</v>
          </cell>
          <cell r="L72">
            <v>999</v>
          </cell>
          <cell r="M72">
            <v>150</v>
          </cell>
          <cell r="N72">
            <v>6083.5</v>
          </cell>
          <cell r="O72">
            <v>1183</v>
          </cell>
          <cell r="P72">
            <v>0</v>
          </cell>
          <cell r="Q72">
            <v>111868</v>
          </cell>
          <cell r="S72">
            <v>104125.5</v>
          </cell>
          <cell r="T72">
            <v>0.53528194342404123</v>
          </cell>
          <cell r="U72">
            <v>0.45512386495142881</v>
          </cell>
          <cell r="V72">
            <v>9.5941916245300147E-3</v>
          </cell>
        </row>
        <row r="73">
          <cell r="A73">
            <v>892</v>
          </cell>
          <cell r="B73" t="str">
            <v>Nottingham</v>
          </cell>
          <cell r="C73">
            <v>123.5</v>
          </cell>
          <cell r="D73">
            <v>0</v>
          </cell>
          <cell r="E73">
            <v>123.5</v>
          </cell>
          <cell r="F73">
            <v>22798.5</v>
          </cell>
          <cell r="G73">
            <v>0</v>
          </cell>
          <cell r="H73">
            <v>13920.5</v>
          </cell>
          <cell r="I73">
            <v>0</v>
          </cell>
          <cell r="J73">
            <v>366</v>
          </cell>
          <cell r="K73">
            <v>0</v>
          </cell>
          <cell r="L73">
            <v>366</v>
          </cell>
          <cell r="M73">
            <v>166</v>
          </cell>
          <cell r="N73">
            <v>3361</v>
          </cell>
          <cell r="O73">
            <v>0</v>
          </cell>
          <cell r="P73">
            <v>1482</v>
          </cell>
          <cell r="Q73">
            <v>42217.5</v>
          </cell>
          <cell r="S73">
            <v>37085</v>
          </cell>
          <cell r="T73">
            <v>0.61476338142105968</v>
          </cell>
          <cell r="U73">
            <v>0.37536739921801265</v>
          </cell>
          <cell r="V73">
            <v>9.8692193609275988E-3</v>
          </cell>
        </row>
        <row r="74">
          <cell r="A74">
            <v>891</v>
          </cell>
          <cell r="B74" t="str">
            <v>Nottinghamshire</v>
          </cell>
          <cell r="C74">
            <v>86</v>
          </cell>
          <cell r="D74">
            <v>0</v>
          </cell>
          <cell r="E74">
            <v>86</v>
          </cell>
          <cell r="F74">
            <v>62273.5</v>
          </cell>
          <cell r="G74">
            <v>0</v>
          </cell>
          <cell r="H74">
            <v>55069.5</v>
          </cell>
          <cell r="I74">
            <v>0</v>
          </cell>
          <cell r="J74">
            <v>728</v>
          </cell>
          <cell r="K74">
            <v>83</v>
          </cell>
          <cell r="L74">
            <v>811</v>
          </cell>
          <cell r="M74">
            <v>65</v>
          </cell>
          <cell r="N74">
            <v>3197.5</v>
          </cell>
          <cell r="O74">
            <v>0</v>
          </cell>
          <cell r="P74">
            <v>0</v>
          </cell>
          <cell r="Q74">
            <v>121502.5</v>
          </cell>
          <cell r="S74">
            <v>118071</v>
          </cell>
          <cell r="T74">
            <v>0.52742417697825883</v>
          </cell>
          <cell r="U74">
            <v>0.46641004141575831</v>
          </cell>
          <cell r="V74">
            <v>6.1657816059828407E-3</v>
          </cell>
        </row>
        <row r="75">
          <cell r="A75">
            <v>857</v>
          </cell>
          <cell r="B75" t="str">
            <v>Rutland</v>
          </cell>
          <cell r="C75">
            <v>0</v>
          </cell>
          <cell r="D75">
            <v>0</v>
          </cell>
          <cell r="E75">
            <v>0</v>
          </cell>
          <cell r="F75">
            <v>2542</v>
          </cell>
          <cell r="G75">
            <v>0</v>
          </cell>
          <cell r="H75">
            <v>2363</v>
          </cell>
          <cell r="I75">
            <v>0</v>
          </cell>
          <cell r="J75">
            <v>20.5</v>
          </cell>
          <cell r="K75">
            <v>0</v>
          </cell>
          <cell r="L75">
            <v>20.5</v>
          </cell>
          <cell r="M75">
            <v>0</v>
          </cell>
          <cell r="N75">
            <v>2040</v>
          </cell>
          <cell r="O75">
            <v>0</v>
          </cell>
          <cell r="P75">
            <v>0</v>
          </cell>
          <cell r="Q75">
            <v>6965.5</v>
          </cell>
          <cell r="S75">
            <v>4925.5</v>
          </cell>
          <cell r="T75">
            <v>0.5160897370825297</v>
          </cell>
          <cell r="U75">
            <v>0.47974824890874024</v>
          </cell>
          <cell r="V75">
            <v>4.1620140087300778E-3</v>
          </cell>
        </row>
        <row r="77">
          <cell r="B77" t="str">
            <v>WEST MIDLANDS</v>
          </cell>
          <cell r="C77">
            <v>3424.5</v>
          </cell>
          <cell r="D77">
            <v>113</v>
          </cell>
          <cell r="E77">
            <v>3537.5</v>
          </cell>
          <cell r="F77">
            <v>463869.5</v>
          </cell>
          <cell r="G77">
            <v>1416</v>
          </cell>
          <cell r="H77">
            <v>380081</v>
          </cell>
          <cell r="I77">
            <v>19651.5</v>
          </cell>
          <cell r="J77">
            <v>11961</v>
          </cell>
          <cell r="K77">
            <v>167</v>
          </cell>
          <cell r="L77">
            <v>12128</v>
          </cell>
          <cell r="M77">
            <v>1356</v>
          </cell>
          <cell r="N77">
            <v>43105</v>
          </cell>
          <cell r="O77">
            <v>2629.5</v>
          </cell>
          <cell r="P77">
            <v>449</v>
          </cell>
          <cell r="Q77">
            <v>907155.5</v>
          </cell>
          <cell r="S77">
            <v>855911.5</v>
          </cell>
          <cell r="T77">
            <v>0.54195965353894648</v>
          </cell>
          <cell r="U77">
            <v>0.44406577081859516</v>
          </cell>
          <cell r="V77">
            <v>1.3974575642458362E-2</v>
          </cell>
        </row>
        <row r="78">
          <cell r="A78">
            <v>330</v>
          </cell>
          <cell r="B78" t="str">
            <v>Birmingham</v>
          </cell>
          <cell r="C78">
            <v>1523</v>
          </cell>
          <cell r="D78">
            <v>113</v>
          </cell>
          <cell r="E78">
            <v>1636</v>
          </cell>
          <cell r="F78">
            <v>100105.5</v>
          </cell>
          <cell r="G78">
            <v>0</v>
          </cell>
          <cell r="H78">
            <v>70916.5</v>
          </cell>
          <cell r="I78">
            <v>0</v>
          </cell>
          <cell r="J78">
            <v>3038.5</v>
          </cell>
          <cell r="K78">
            <v>0</v>
          </cell>
          <cell r="L78">
            <v>3038.5</v>
          </cell>
          <cell r="M78">
            <v>350</v>
          </cell>
          <cell r="N78">
            <v>7698</v>
          </cell>
          <cell r="O78">
            <v>0</v>
          </cell>
          <cell r="P78">
            <v>0</v>
          </cell>
          <cell r="Q78">
            <v>183744.5</v>
          </cell>
          <cell r="S78">
            <v>174060.5</v>
          </cell>
          <cell r="T78">
            <v>0.57511899598128235</v>
          </cell>
          <cell r="U78">
            <v>0.4074244300114041</v>
          </cell>
          <cell r="V78">
            <v>1.7456574007313548E-2</v>
          </cell>
        </row>
        <row r="79">
          <cell r="A79">
            <v>331</v>
          </cell>
          <cell r="B79" t="str">
            <v>Coventry</v>
          </cell>
          <cell r="C79">
            <v>82.5</v>
          </cell>
          <cell r="D79">
            <v>0</v>
          </cell>
          <cell r="E79">
            <v>82.5</v>
          </cell>
          <cell r="F79">
            <v>25911.5</v>
          </cell>
          <cell r="G79">
            <v>0</v>
          </cell>
          <cell r="H79">
            <v>21481</v>
          </cell>
          <cell r="I79">
            <v>0</v>
          </cell>
          <cell r="J79">
            <v>805</v>
          </cell>
          <cell r="K79">
            <v>27</v>
          </cell>
          <cell r="L79">
            <v>832</v>
          </cell>
          <cell r="M79">
            <v>6</v>
          </cell>
          <cell r="N79">
            <v>2972</v>
          </cell>
          <cell r="O79">
            <v>0</v>
          </cell>
          <cell r="P79">
            <v>0</v>
          </cell>
          <cell r="Q79">
            <v>51285</v>
          </cell>
          <cell r="S79">
            <v>48197.5</v>
          </cell>
          <cell r="T79">
            <v>0.53761087193319157</v>
          </cell>
          <cell r="U79">
            <v>0.44568701696146068</v>
          </cell>
          <cell r="V79">
            <v>1.6702111105347788E-2</v>
          </cell>
        </row>
        <row r="80">
          <cell r="A80">
            <v>332</v>
          </cell>
          <cell r="B80" t="str">
            <v>Dudley</v>
          </cell>
          <cell r="C80">
            <v>46</v>
          </cell>
          <cell r="D80">
            <v>0</v>
          </cell>
          <cell r="E80">
            <v>46</v>
          </cell>
          <cell r="F80">
            <v>27998</v>
          </cell>
          <cell r="G80">
            <v>0</v>
          </cell>
          <cell r="H80">
            <v>20865.5</v>
          </cell>
          <cell r="I80">
            <v>0</v>
          </cell>
          <cell r="J80">
            <v>650</v>
          </cell>
          <cell r="K80">
            <v>0</v>
          </cell>
          <cell r="L80">
            <v>650</v>
          </cell>
          <cell r="M80">
            <v>18</v>
          </cell>
          <cell r="N80">
            <v>292.5</v>
          </cell>
          <cell r="O80">
            <v>0</v>
          </cell>
          <cell r="P80">
            <v>0</v>
          </cell>
          <cell r="Q80">
            <v>49870</v>
          </cell>
          <cell r="S80">
            <v>49513.5</v>
          </cell>
          <cell r="T80">
            <v>0.5654619447221465</v>
          </cell>
          <cell r="U80">
            <v>0.42141032243731508</v>
          </cell>
          <cell r="V80">
            <v>1.3127732840538439E-2</v>
          </cell>
        </row>
        <row r="81">
          <cell r="A81">
            <v>884</v>
          </cell>
          <cell r="B81" t="str">
            <v>Herefordshire</v>
          </cell>
          <cell r="C81">
            <v>0</v>
          </cell>
          <cell r="D81">
            <v>0</v>
          </cell>
          <cell r="E81">
            <v>0</v>
          </cell>
          <cell r="F81">
            <v>13182</v>
          </cell>
          <cell r="G81">
            <v>0</v>
          </cell>
          <cell r="H81">
            <v>10480.5</v>
          </cell>
          <cell r="I81">
            <v>0</v>
          </cell>
          <cell r="J81">
            <v>177.5</v>
          </cell>
          <cell r="K81">
            <v>0</v>
          </cell>
          <cell r="L81">
            <v>177.5</v>
          </cell>
          <cell r="M81">
            <v>40</v>
          </cell>
          <cell r="N81">
            <v>1888</v>
          </cell>
          <cell r="O81">
            <v>0</v>
          </cell>
          <cell r="P81">
            <v>0</v>
          </cell>
          <cell r="Q81">
            <v>25768</v>
          </cell>
          <cell r="S81">
            <v>23840</v>
          </cell>
          <cell r="T81">
            <v>0.55293624161073829</v>
          </cell>
          <cell r="U81">
            <v>0.43961828859060403</v>
          </cell>
          <cell r="V81">
            <v>7.4454697986577178E-3</v>
          </cell>
        </row>
        <row r="82">
          <cell r="A82">
            <v>333</v>
          </cell>
          <cell r="B82" t="str">
            <v>Sandwell</v>
          </cell>
          <cell r="C82">
            <v>0</v>
          </cell>
          <cell r="D82">
            <v>0</v>
          </cell>
          <cell r="E82">
            <v>0</v>
          </cell>
          <cell r="F82">
            <v>28854</v>
          </cell>
          <cell r="G82">
            <v>0</v>
          </cell>
          <cell r="H82">
            <v>19988</v>
          </cell>
          <cell r="I82">
            <v>0</v>
          </cell>
          <cell r="J82">
            <v>454.5</v>
          </cell>
          <cell r="K82">
            <v>0</v>
          </cell>
          <cell r="L82">
            <v>454.5</v>
          </cell>
          <cell r="M82">
            <v>126</v>
          </cell>
          <cell r="N82">
            <v>10</v>
          </cell>
          <cell r="O82">
            <v>0</v>
          </cell>
          <cell r="P82">
            <v>0</v>
          </cell>
          <cell r="Q82">
            <v>49432.5</v>
          </cell>
          <cell r="S82">
            <v>49296.5</v>
          </cell>
          <cell r="T82">
            <v>0.58531538750215528</v>
          </cell>
          <cell r="U82">
            <v>0.4054648910166036</v>
          </cell>
          <cell r="V82">
            <v>9.2197214812410611E-3</v>
          </cell>
        </row>
        <row r="83">
          <cell r="A83">
            <v>893</v>
          </cell>
          <cell r="B83" t="str">
            <v>Shropshire</v>
          </cell>
          <cell r="C83">
            <v>0</v>
          </cell>
          <cell r="D83">
            <v>0</v>
          </cell>
          <cell r="E83">
            <v>0</v>
          </cell>
          <cell r="F83">
            <v>21243.5</v>
          </cell>
          <cell r="G83">
            <v>0</v>
          </cell>
          <cell r="H83">
            <v>18334.5</v>
          </cell>
          <cell r="I83">
            <v>0</v>
          </cell>
          <cell r="J83">
            <v>238.5</v>
          </cell>
          <cell r="K83">
            <v>44</v>
          </cell>
          <cell r="L83">
            <v>282.5</v>
          </cell>
          <cell r="M83">
            <v>20</v>
          </cell>
          <cell r="N83">
            <v>4983</v>
          </cell>
          <cell r="O83">
            <v>0</v>
          </cell>
          <cell r="P83">
            <v>0</v>
          </cell>
          <cell r="Q83">
            <v>44863.5</v>
          </cell>
          <cell r="S83">
            <v>39816.5</v>
          </cell>
          <cell r="T83">
            <v>0.533535092235631</v>
          </cell>
          <cell r="U83">
            <v>0.46047492873557444</v>
          </cell>
          <cell r="V83">
            <v>5.9899790287945955E-3</v>
          </cell>
        </row>
        <row r="84">
          <cell r="A84">
            <v>334</v>
          </cell>
          <cell r="B84" t="str">
            <v>Solihull</v>
          </cell>
          <cell r="C84">
            <v>0</v>
          </cell>
          <cell r="D84">
            <v>0</v>
          </cell>
          <cell r="E84">
            <v>0</v>
          </cell>
          <cell r="F84">
            <v>19634.5</v>
          </cell>
          <cell r="G84">
            <v>0</v>
          </cell>
          <cell r="H84">
            <v>15834</v>
          </cell>
          <cell r="I84">
            <v>0</v>
          </cell>
          <cell r="J84">
            <v>364.5</v>
          </cell>
          <cell r="K84">
            <v>0</v>
          </cell>
          <cell r="L84">
            <v>364.5</v>
          </cell>
          <cell r="M84">
            <v>54</v>
          </cell>
          <cell r="N84">
            <v>2066.5</v>
          </cell>
          <cell r="O84">
            <v>1457</v>
          </cell>
          <cell r="P84">
            <v>0</v>
          </cell>
          <cell r="Q84">
            <v>39410.5</v>
          </cell>
          <cell r="S84">
            <v>35833</v>
          </cell>
          <cell r="T84">
            <v>0.54794463204308874</v>
          </cell>
          <cell r="U84">
            <v>0.44188318030865403</v>
          </cell>
          <cell r="V84">
            <v>1.0172187648257194E-2</v>
          </cell>
        </row>
        <row r="85">
          <cell r="A85">
            <v>860</v>
          </cell>
          <cell r="B85" t="str">
            <v>Staffordshire</v>
          </cell>
          <cell r="C85">
            <v>348.5</v>
          </cell>
          <cell r="D85">
            <v>0</v>
          </cell>
          <cell r="E85">
            <v>348.5</v>
          </cell>
          <cell r="F85">
            <v>64389</v>
          </cell>
          <cell r="G85">
            <v>0</v>
          </cell>
          <cell r="H85">
            <v>62376.5</v>
          </cell>
          <cell r="I85">
            <v>6862</v>
          </cell>
          <cell r="J85">
            <v>2005</v>
          </cell>
          <cell r="K85">
            <v>0</v>
          </cell>
          <cell r="L85">
            <v>2005</v>
          </cell>
          <cell r="M85">
            <v>73</v>
          </cell>
          <cell r="N85">
            <v>4366</v>
          </cell>
          <cell r="O85">
            <v>0</v>
          </cell>
          <cell r="P85">
            <v>0</v>
          </cell>
          <cell r="Q85">
            <v>133558</v>
          </cell>
          <cell r="S85">
            <v>128770.5</v>
          </cell>
          <cell r="T85">
            <v>0.50002912157675861</v>
          </cell>
          <cell r="U85">
            <v>0.48440054204961541</v>
          </cell>
          <cell r="V85">
            <v>1.5570336373625947E-2</v>
          </cell>
        </row>
        <row r="86">
          <cell r="A86">
            <v>861</v>
          </cell>
          <cell r="B86" t="str">
            <v>Stoke-on-Trent</v>
          </cell>
          <cell r="C86">
            <v>337.5</v>
          </cell>
          <cell r="D86">
            <v>0</v>
          </cell>
          <cell r="E86">
            <v>337.5</v>
          </cell>
          <cell r="F86">
            <v>21344.5</v>
          </cell>
          <cell r="G86">
            <v>0</v>
          </cell>
          <cell r="H86">
            <v>15218</v>
          </cell>
          <cell r="I86">
            <v>0</v>
          </cell>
          <cell r="J86">
            <v>513</v>
          </cell>
          <cell r="K86">
            <v>0</v>
          </cell>
          <cell r="L86">
            <v>513</v>
          </cell>
          <cell r="M86">
            <v>23</v>
          </cell>
          <cell r="N86">
            <v>265</v>
          </cell>
          <cell r="O86">
            <v>0</v>
          </cell>
          <cell r="P86">
            <v>0</v>
          </cell>
          <cell r="Q86">
            <v>37701</v>
          </cell>
          <cell r="S86">
            <v>37075.5</v>
          </cell>
          <cell r="T86">
            <v>0.57570363177839812</v>
          </cell>
          <cell r="U86">
            <v>0.41045973756254128</v>
          </cell>
          <cell r="V86">
            <v>1.3836630659060566E-2</v>
          </cell>
        </row>
        <row r="87">
          <cell r="A87">
            <v>894</v>
          </cell>
          <cell r="B87" t="str">
            <v>Telford and Wrekin</v>
          </cell>
          <cell r="C87">
            <v>66</v>
          </cell>
          <cell r="D87">
            <v>0</v>
          </cell>
          <cell r="E87">
            <v>66</v>
          </cell>
          <cell r="F87">
            <v>15138</v>
          </cell>
          <cell r="G87">
            <v>0</v>
          </cell>
          <cell r="H87">
            <v>10647</v>
          </cell>
          <cell r="I87">
            <v>0</v>
          </cell>
          <cell r="J87">
            <v>440.5</v>
          </cell>
          <cell r="K87">
            <v>0</v>
          </cell>
          <cell r="L87">
            <v>440.5</v>
          </cell>
          <cell r="M87">
            <v>53</v>
          </cell>
          <cell r="N87">
            <v>897.5</v>
          </cell>
          <cell r="O87">
            <v>1172.5</v>
          </cell>
          <cell r="P87">
            <v>0</v>
          </cell>
          <cell r="Q87">
            <v>28414.5</v>
          </cell>
          <cell r="S87">
            <v>26225.5</v>
          </cell>
          <cell r="T87">
            <v>0.57722445711235248</v>
          </cell>
          <cell r="U87">
            <v>0.40597891365274258</v>
          </cell>
          <cell r="V87">
            <v>1.679662923490496E-2</v>
          </cell>
        </row>
        <row r="88">
          <cell r="A88">
            <v>335</v>
          </cell>
          <cell r="B88" t="str">
            <v>Walsall</v>
          </cell>
          <cell r="C88">
            <v>399</v>
          </cell>
          <cell r="D88">
            <v>0</v>
          </cell>
          <cell r="E88">
            <v>399</v>
          </cell>
          <cell r="F88">
            <v>25041.5</v>
          </cell>
          <cell r="G88">
            <v>0</v>
          </cell>
          <cell r="H88">
            <v>21477</v>
          </cell>
          <cell r="I88">
            <v>0</v>
          </cell>
          <cell r="J88">
            <v>505.5</v>
          </cell>
          <cell r="K88">
            <v>0</v>
          </cell>
          <cell r="L88">
            <v>505.5</v>
          </cell>
          <cell r="M88">
            <v>104</v>
          </cell>
          <cell r="N88">
            <v>886</v>
          </cell>
          <cell r="O88">
            <v>0</v>
          </cell>
          <cell r="P88">
            <v>449</v>
          </cell>
          <cell r="Q88">
            <v>48862</v>
          </cell>
          <cell r="S88">
            <v>47024</v>
          </cell>
          <cell r="T88">
            <v>0.53252594419870702</v>
          </cell>
          <cell r="U88">
            <v>0.45672422592718614</v>
          </cell>
          <cell r="V88">
            <v>1.074982987410684E-2</v>
          </cell>
        </row>
        <row r="89">
          <cell r="A89">
            <v>937</v>
          </cell>
          <cell r="B89" t="str">
            <v>Warwickshire</v>
          </cell>
          <cell r="C89">
            <v>304</v>
          </cell>
          <cell r="D89">
            <v>0</v>
          </cell>
          <cell r="E89">
            <v>304</v>
          </cell>
          <cell r="F89">
            <v>40818</v>
          </cell>
          <cell r="G89">
            <v>0</v>
          </cell>
          <cell r="H89">
            <v>34205</v>
          </cell>
          <cell r="I89">
            <v>0</v>
          </cell>
          <cell r="J89">
            <v>980</v>
          </cell>
          <cell r="K89">
            <v>0</v>
          </cell>
          <cell r="L89">
            <v>980</v>
          </cell>
          <cell r="M89">
            <v>160</v>
          </cell>
          <cell r="N89">
            <v>6277.5</v>
          </cell>
          <cell r="O89">
            <v>0</v>
          </cell>
          <cell r="P89">
            <v>0</v>
          </cell>
          <cell r="Q89">
            <v>82744.5</v>
          </cell>
          <cell r="S89">
            <v>76003</v>
          </cell>
          <cell r="T89">
            <v>0.53705774772048476</v>
          </cell>
          <cell r="U89">
            <v>0.45004802442008868</v>
          </cell>
          <cell r="V89">
            <v>1.2894227859426602E-2</v>
          </cell>
        </row>
        <row r="90">
          <cell r="A90">
            <v>336</v>
          </cell>
          <cell r="B90" t="str">
            <v>Wolverhampton</v>
          </cell>
          <cell r="C90">
            <v>292.5</v>
          </cell>
          <cell r="D90">
            <v>0</v>
          </cell>
          <cell r="E90">
            <v>292.5</v>
          </cell>
          <cell r="F90">
            <v>22276.5</v>
          </cell>
          <cell r="G90">
            <v>0</v>
          </cell>
          <cell r="H90">
            <v>17035</v>
          </cell>
          <cell r="I90">
            <v>0</v>
          </cell>
          <cell r="J90">
            <v>642</v>
          </cell>
          <cell r="K90">
            <v>0</v>
          </cell>
          <cell r="L90">
            <v>642</v>
          </cell>
          <cell r="M90">
            <v>100</v>
          </cell>
          <cell r="N90">
            <v>1831.5</v>
          </cell>
          <cell r="O90">
            <v>0</v>
          </cell>
          <cell r="P90">
            <v>0</v>
          </cell>
          <cell r="Q90">
            <v>42177.5</v>
          </cell>
          <cell r="S90">
            <v>39953.5</v>
          </cell>
          <cell r="T90">
            <v>0.5575606642722164</v>
          </cell>
          <cell r="U90">
            <v>0.4263706558874692</v>
          </cell>
          <cell r="V90">
            <v>1.6068679840314366E-2</v>
          </cell>
        </row>
        <row r="91">
          <cell r="A91">
            <v>885</v>
          </cell>
          <cell r="B91" t="str">
            <v>Worcestershire</v>
          </cell>
          <cell r="C91">
            <v>25.5</v>
          </cell>
          <cell r="D91">
            <v>0</v>
          </cell>
          <cell r="E91">
            <v>25.5</v>
          </cell>
          <cell r="F91">
            <v>37933</v>
          </cell>
          <cell r="G91">
            <v>1416</v>
          </cell>
          <cell r="H91">
            <v>41222.5</v>
          </cell>
          <cell r="I91">
            <v>12789.5</v>
          </cell>
          <cell r="J91">
            <v>1146.5</v>
          </cell>
          <cell r="K91">
            <v>96</v>
          </cell>
          <cell r="L91">
            <v>1242.5</v>
          </cell>
          <cell r="M91">
            <v>229</v>
          </cell>
          <cell r="N91">
            <v>8671.5</v>
          </cell>
          <cell r="O91">
            <v>0</v>
          </cell>
          <cell r="P91">
            <v>0</v>
          </cell>
          <cell r="Q91">
            <v>89324</v>
          </cell>
          <cell r="S91">
            <v>80302</v>
          </cell>
          <cell r="T91">
            <v>0.4723792682623098</v>
          </cell>
          <cell r="U91">
            <v>0.51334337874523672</v>
          </cell>
          <cell r="V91">
            <v>1.4277352992453488E-2</v>
          </cell>
        </row>
        <row r="93">
          <cell r="B93" t="str">
            <v>EAST OF ENGLAND</v>
          </cell>
          <cell r="C93">
            <v>2085</v>
          </cell>
          <cell r="D93">
            <v>0</v>
          </cell>
          <cell r="E93">
            <v>2085</v>
          </cell>
          <cell r="F93">
            <v>436510</v>
          </cell>
          <cell r="G93">
            <v>14557</v>
          </cell>
          <cell r="H93">
            <v>386871</v>
          </cell>
          <cell r="I93">
            <v>39212.5</v>
          </cell>
          <cell r="J93">
            <v>8718.5</v>
          </cell>
          <cell r="K93">
            <v>159.5</v>
          </cell>
          <cell r="L93">
            <v>8878</v>
          </cell>
          <cell r="M93">
            <v>1086</v>
          </cell>
          <cell r="N93">
            <v>63951</v>
          </cell>
          <cell r="O93">
            <v>0</v>
          </cell>
          <cell r="P93">
            <v>0</v>
          </cell>
          <cell r="Q93">
            <v>899381</v>
          </cell>
          <cell r="S93">
            <v>832099.5</v>
          </cell>
          <cell r="T93">
            <v>0.5245887060381601</v>
          </cell>
          <cell r="U93">
            <v>0.4649335806595245</v>
          </cell>
          <cell r="V93">
            <v>1.0477713302315408E-2</v>
          </cell>
        </row>
        <row r="94">
          <cell r="A94">
            <v>820</v>
          </cell>
          <cell r="B94" t="str">
            <v>Bedfordshire</v>
          </cell>
          <cell r="C94">
            <v>432</v>
          </cell>
          <cell r="D94">
            <v>0</v>
          </cell>
          <cell r="E94">
            <v>432</v>
          </cell>
          <cell r="F94">
            <v>23878</v>
          </cell>
          <cell r="G94">
            <v>0</v>
          </cell>
          <cell r="H94">
            <v>37742.5</v>
          </cell>
          <cell r="I94">
            <v>19154.5</v>
          </cell>
          <cell r="J94">
            <v>960.5</v>
          </cell>
          <cell r="K94">
            <v>0</v>
          </cell>
          <cell r="L94">
            <v>960.5</v>
          </cell>
          <cell r="M94">
            <v>105</v>
          </cell>
          <cell r="N94">
            <v>5788.5</v>
          </cell>
          <cell r="O94">
            <v>0</v>
          </cell>
          <cell r="P94">
            <v>0</v>
          </cell>
          <cell r="Q94">
            <v>68906.5</v>
          </cell>
          <cell r="S94">
            <v>62581</v>
          </cell>
          <cell r="T94">
            <v>0.38155350665537463</v>
          </cell>
          <cell r="U94">
            <v>0.60309838449369613</v>
          </cell>
          <cell r="V94">
            <v>1.5348108850929196E-2</v>
          </cell>
        </row>
        <row r="95">
          <cell r="A95">
            <v>873</v>
          </cell>
          <cell r="B95" t="str">
            <v>Cambridgeshire</v>
          </cell>
          <cell r="C95">
            <v>266</v>
          </cell>
          <cell r="D95">
            <v>0</v>
          </cell>
          <cell r="E95">
            <v>266</v>
          </cell>
          <cell r="F95">
            <v>43949</v>
          </cell>
          <cell r="G95">
            <v>0</v>
          </cell>
          <cell r="H95">
            <v>32669.5</v>
          </cell>
          <cell r="I95">
            <v>204</v>
          </cell>
          <cell r="J95">
            <v>827</v>
          </cell>
          <cell r="K95">
            <v>0</v>
          </cell>
          <cell r="L95">
            <v>827</v>
          </cell>
          <cell r="M95">
            <v>262</v>
          </cell>
          <cell r="N95">
            <v>8191</v>
          </cell>
          <cell r="O95">
            <v>0</v>
          </cell>
          <cell r="P95">
            <v>0</v>
          </cell>
          <cell r="Q95">
            <v>86164.5</v>
          </cell>
          <cell r="S95">
            <v>77445.5</v>
          </cell>
          <cell r="T95">
            <v>0.5674829396156007</v>
          </cell>
          <cell r="U95">
            <v>0.42183858326177764</v>
          </cell>
          <cell r="V95">
            <v>1.0678477122621715E-2</v>
          </cell>
        </row>
        <row r="96">
          <cell r="A96">
            <v>881</v>
          </cell>
          <cell r="B96" t="str">
            <v>Essex</v>
          </cell>
          <cell r="C96">
            <v>147.5</v>
          </cell>
          <cell r="D96">
            <v>0</v>
          </cell>
          <cell r="E96">
            <v>147.5</v>
          </cell>
          <cell r="F96">
            <v>107542</v>
          </cell>
          <cell r="G96">
            <v>0</v>
          </cell>
          <cell r="H96">
            <v>90680</v>
          </cell>
          <cell r="I96">
            <v>0</v>
          </cell>
          <cell r="J96">
            <v>1770</v>
          </cell>
          <cell r="K96">
            <v>102.5</v>
          </cell>
          <cell r="L96">
            <v>1872.5</v>
          </cell>
          <cell r="M96">
            <v>284</v>
          </cell>
          <cell r="N96">
            <v>11238.5</v>
          </cell>
          <cell r="O96">
            <v>0</v>
          </cell>
          <cell r="P96">
            <v>0</v>
          </cell>
          <cell r="Q96">
            <v>211764.5</v>
          </cell>
          <cell r="S96">
            <v>199992</v>
          </cell>
          <cell r="T96">
            <v>0.53773150926037039</v>
          </cell>
          <cell r="U96">
            <v>0.45341813672546905</v>
          </cell>
          <cell r="V96">
            <v>8.8503540141605663E-3</v>
          </cell>
        </row>
        <row r="97">
          <cell r="A97">
            <v>919</v>
          </cell>
          <cell r="B97" t="str">
            <v>Hertfordshire</v>
          </cell>
          <cell r="C97">
            <v>635</v>
          </cell>
          <cell r="D97">
            <v>0</v>
          </cell>
          <cell r="E97">
            <v>635</v>
          </cell>
          <cell r="F97">
            <v>89951</v>
          </cell>
          <cell r="G97">
            <v>0</v>
          </cell>
          <cell r="H97">
            <v>79286.5</v>
          </cell>
          <cell r="I97">
            <v>2301</v>
          </cell>
          <cell r="J97">
            <v>2100</v>
          </cell>
          <cell r="K97">
            <v>57</v>
          </cell>
          <cell r="L97">
            <v>2157</v>
          </cell>
          <cell r="M97">
            <v>122</v>
          </cell>
          <cell r="N97">
            <v>22059</v>
          </cell>
          <cell r="O97">
            <v>0</v>
          </cell>
          <cell r="P97">
            <v>0</v>
          </cell>
          <cell r="Q97">
            <v>194210.5</v>
          </cell>
          <cell r="S97">
            <v>171337.5</v>
          </cell>
          <cell r="T97">
            <v>0.52499306923469757</v>
          </cell>
          <cell r="U97">
            <v>0.46275041949368934</v>
          </cell>
          <cell r="V97">
            <v>1.2256511271613044E-2</v>
          </cell>
        </row>
        <row r="98">
          <cell r="A98">
            <v>821</v>
          </cell>
          <cell r="B98" t="str">
            <v>Luton</v>
          </cell>
          <cell r="C98">
            <v>348.5</v>
          </cell>
          <cell r="D98">
            <v>0</v>
          </cell>
          <cell r="E98">
            <v>348.5</v>
          </cell>
          <cell r="F98">
            <v>18314</v>
          </cell>
          <cell r="G98">
            <v>0</v>
          </cell>
          <cell r="H98">
            <v>12427</v>
          </cell>
          <cell r="I98">
            <v>0</v>
          </cell>
          <cell r="J98">
            <v>253.5</v>
          </cell>
          <cell r="K98">
            <v>0</v>
          </cell>
          <cell r="L98">
            <v>253.5</v>
          </cell>
          <cell r="M98">
            <v>25</v>
          </cell>
          <cell r="N98">
            <v>512</v>
          </cell>
          <cell r="O98">
            <v>0</v>
          </cell>
          <cell r="P98">
            <v>0</v>
          </cell>
          <cell r="Q98">
            <v>31880</v>
          </cell>
          <cell r="S98">
            <v>30994.5</v>
          </cell>
          <cell r="T98">
            <v>0.59087902692413174</v>
          </cell>
          <cell r="U98">
            <v>0.40094210263111196</v>
          </cell>
          <cell r="V98">
            <v>8.1788704447563285E-3</v>
          </cell>
        </row>
        <row r="99">
          <cell r="A99">
            <v>926</v>
          </cell>
          <cell r="B99" t="str">
            <v>Norfolk</v>
          </cell>
          <cell r="C99">
            <v>126.5</v>
          </cell>
          <cell r="D99">
            <v>0</v>
          </cell>
          <cell r="E99">
            <v>126.5</v>
          </cell>
          <cell r="F99">
            <v>65353.5</v>
          </cell>
          <cell r="G99">
            <v>14557</v>
          </cell>
          <cell r="H99">
            <v>46187.5</v>
          </cell>
          <cell r="I99">
            <v>0</v>
          </cell>
          <cell r="J99">
            <v>912.5</v>
          </cell>
          <cell r="K99">
            <v>0</v>
          </cell>
          <cell r="L99">
            <v>912.5</v>
          </cell>
          <cell r="M99">
            <v>38</v>
          </cell>
          <cell r="N99">
            <v>6313.5</v>
          </cell>
          <cell r="O99">
            <v>0</v>
          </cell>
          <cell r="P99">
            <v>0</v>
          </cell>
          <cell r="Q99">
            <v>118931.5</v>
          </cell>
          <cell r="S99">
            <v>112453.5</v>
          </cell>
          <cell r="T99">
            <v>0.58116021288799369</v>
          </cell>
          <cell r="U99">
            <v>0.4107253220219913</v>
          </cell>
          <cell r="V99">
            <v>8.1144650900149846E-3</v>
          </cell>
        </row>
        <row r="100">
          <cell r="A100">
            <v>874</v>
          </cell>
          <cell r="B100" t="str">
            <v>Peterborough</v>
          </cell>
          <cell r="C100">
            <v>78</v>
          </cell>
          <cell r="D100">
            <v>0</v>
          </cell>
          <cell r="E100">
            <v>78</v>
          </cell>
          <cell r="F100">
            <v>15403</v>
          </cell>
          <cell r="G100">
            <v>0</v>
          </cell>
          <cell r="H100">
            <v>12748.5</v>
          </cell>
          <cell r="I100">
            <v>0</v>
          </cell>
          <cell r="J100">
            <v>348.5</v>
          </cell>
          <cell r="K100">
            <v>0</v>
          </cell>
          <cell r="L100">
            <v>348.5</v>
          </cell>
          <cell r="M100">
            <v>16</v>
          </cell>
          <cell r="N100">
            <v>420.5</v>
          </cell>
          <cell r="O100">
            <v>0</v>
          </cell>
          <cell r="P100">
            <v>0</v>
          </cell>
          <cell r="Q100">
            <v>29014.5</v>
          </cell>
          <cell r="S100">
            <v>28500</v>
          </cell>
          <cell r="T100">
            <v>0.54045614035087719</v>
          </cell>
          <cell r="U100">
            <v>0.44731578947368422</v>
          </cell>
          <cell r="V100">
            <v>1.2228070175438597E-2</v>
          </cell>
        </row>
        <row r="101">
          <cell r="A101">
            <v>882</v>
          </cell>
          <cell r="B101" t="str">
            <v>Southend-on-Sea</v>
          </cell>
          <cell r="C101">
            <v>0</v>
          </cell>
          <cell r="D101">
            <v>0</v>
          </cell>
          <cell r="E101">
            <v>0</v>
          </cell>
          <cell r="F101">
            <v>14149.5</v>
          </cell>
          <cell r="G101">
            <v>0</v>
          </cell>
          <cell r="H101">
            <v>12205</v>
          </cell>
          <cell r="I101">
            <v>0</v>
          </cell>
          <cell r="J101">
            <v>466.5</v>
          </cell>
          <cell r="K101">
            <v>0</v>
          </cell>
          <cell r="L101">
            <v>466.5</v>
          </cell>
          <cell r="M101">
            <v>23</v>
          </cell>
          <cell r="N101">
            <v>1323.5</v>
          </cell>
          <cell r="O101">
            <v>0</v>
          </cell>
          <cell r="P101">
            <v>0</v>
          </cell>
          <cell r="Q101">
            <v>28167.5</v>
          </cell>
          <cell r="S101">
            <v>26821</v>
          </cell>
          <cell r="T101">
            <v>0.52755303679952281</v>
          </cell>
          <cell r="U101">
            <v>0.45505387569441857</v>
          </cell>
          <cell r="V101">
            <v>1.7393087506058686E-2</v>
          </cell>
        </row>
        <row r="102">
          <cell r="A102">
            <v>935</v>
          </cell>
          <cell r="B102" t="str">
            <v>Suffolk</v>
          </cell>
          <cell r="C102">
            <v>51.5</v>
          </cell>
          <cell r="D102">
            <v>0</v>
          </cell>
          <cell r="E102">
            <v>51.5</v>
          </cell>
          <cell r="F102">
            <v>44459.5</v>
          </cell>
          <cell r="G102">
            <v>0</v>
          </cell>
          <cell r="H102">
            <v>54359.5</v>
          </cell>
          <cell r="I102">
            <v>17553</v>
          </cell>
          <cell r="J102">
            <v>839</v>
          </cell>
          <cell r="K102">
            <v>0</v>
          </cell>
          <cell r="L102">
            <v>839</v>
          </cell>
          <cell r="M102">
            <v>147</v>
          </cell>
          <cell r="N102">
            <v>8104.5</v>
          </cell>
          <cell r="O102">
            <v>0</v>
          </cell>
          <cell r="P102">
            <v>0</v>
          </cell>
          <cell r="Q102">
            <v>107961</v>
          </cell>
          <cell r="S102">
            <v>99658</v>
          </cell>
          <cell r="T102">
            <v>0.44612073290654036</v>
          </cell>
          <cell r="U102">
            <v>0.5454604748238977</v>
          </cell>
          <cell r="V102">
            <v>8.4187922695619019E-3</v>
          </cell>
        </row>
        <row r="103">
          <cell r="A103">
            <v>883</v>
          </cell>
          <cell r="B103" t="str">
            <v>Thurrock</v>
          </cell>
          <cell r="C103">
            <v>0</v>
          </cell>
          <cell r="D103">
            <v>0</v>
          </cell>
          <cell r="E103">
            <v>0</v>
          </cell>
          <cell r="F103">
            <v>13510.5</v>
          </cell>
          <cell r="G103">
            <v>0</v>
          </cell>
          <cell r="H103">
            <v>8565</v>
          </cell>
          <cell r="I103">
            <v>0</v>
          </cell>
          <cell r="J103">
            <v>241</v>
          </cell>
          <cell r="K103">
            <v>0</v>
          </cell>
          <cell r="L103">
            <v>241</v>
          </cell>
          <cell r="M103">
            <v>64</v>
          </cell>
          <cell r="N103">
            <v>0</v>
          </cell>
          <cell r="O103">
            <v>0</v>
          </cell>
          <cell r="P103">
            <v>0</v>
          </cell>
          <cell r="Q103">
            <v>22380.5</v>
          </cell>
          <cell r="S103">
            <v>22316.5</v>
          </cell>
          <cell r="T103">
            <v>0.60540407321936685</v>
          </cell>
          <cell r="U103">
            <v>0.38379674232070443</v>
          </cell>
          <cell r="V103">
            <v>1.0799184459928753E-2</v>
          </cell>
        </row>
        <row r="105">
          <cell r="B105" t="str">
            <v>LONDON</v>
          </cell>
          <cell r="C105">
            <v>5304.5</v>
          </cell>
          <cell r="D105">
            <v>0</v>
          </cell>
          <cell r="E105">
            <v>5304.5</v>
          </cell>
          <cell r="F105">
            <v>601650.5</v>
          </cell>
          <cell r="G105">
            <v>5975</v>
          </cell>
          <cell r="H105">
            <v>421753</v>
          </cell>
          <cell r="I105">
            <v>0</v>
          </cell>
          <cell r="J105">
            <v>11525</v>
          </cell>
          <cell r="K105">
            <v>241</v>
          </cell>
          <cell r="L105">
            <v>11766</v>
          </cell>
          <cell r="M105">
            <v>2719</v>
          </cell>
          <cell r="N105">
            <v>124489.5</v>
          </cell>
          <cell r="O105">
            <v>5356</v>
          </cell>
          <cell r="P105">
            <v>4359</v>
          </cell>
          <cell r="Q105">
            <v>1177397.5</v>
          </cell>
          <cell r="S105">
            <v>1034928.5</v>
          </cell>
          <cell r="T105">
            <v>0.58134499146559404</v>
          </cell>
          <cell r="U105">
            <v>0.40751897353295419</v>
          </cell>
          <cell r="V105">
            <v>1.1136035001451791E-2</v>
          </cell>
        </row>
        <row r="106">
          <cell r="B106" t="str">
            <v>INNER LONDON</v>
          </cell>
          <cell r="C106">
            <v>3357</v>
          </cell>
          <cell r="D106">
            <v>0</v>
          </cell>
          <cell r="E106">
            <v>3357</v>
          </cell>
          <cell r="F106">
            <v>221639</v>
          </cell>
          <cell r="G106">
            <v>0</v>
          </cell>
          <cell r="H106">
            <v>127319</v>
          </cell>
          <cell r="I106">
            <v>0</v>
          </cell>
          <cell r="J106">
            <v>4353.5</v>
          </cell>
          <cell r="K106">
            <v>0</v>
          </cell>
          <cell r="L106">
            <v>4353.5</v>
          </cell>
          <cell r="M106">
            <v>1267</v>
          </cell>
          <cell r="N106">
            <v>59587</v>
          </cell>
          <cell r="O106">
            <v>3477</v>
          </cell>
          <cell r="P106">
            <v>1902</v>
          </cell>
          <cell r="Q106">
            <v>422901.5</v>
          </cell>
          <cell r="S106">
            <v>353311.5</v>
          </cell>
          <cell r="T106">
            <v>0.62731895225601209</v>
          </cell>
          <cell r="U106">
            <v>0.3603590599230424</v>
          </cell>
          <cell r="V106">
            <v>1.232198782094554E-2</v>
          </cell>
        </row>
        <row r="107">
          <cell r="A107">
            <v>202</v>
          </cell>
          <cell r="B107" t="str">
            <v>Camden</v>
          </cell>
          <cell r="C107">
            <v>76</v>
          </cell>
          <cell r="D107">
            <v>0</v>
          </cell>
          <cell r="E107">
            <v>76</v>
          </cell>
          <cell r="F107">
            <v>11282</v>
          </cell>
          <cell r="G107">
            <v>0</v>
          </cell>
          <cell r="H107">
            <v>9685</v>
          </cell>
          <cell r="I107">
            <v>0</v>
          </cell>
          <cell r="J107">
            <v>303</v>
          </cell>
          <cell r="K107">
            <v>0</v>
          </cell>
          <cell r="L107">
            <v>303</v>
          </cell>
          <cell r="M107">
            <v>37</v>
          </cell>
          <cell r="N107">
            <v>7110</v>
          </cell>
          <cell r="O107">
            <v>0</v>
          </cell>
          <cell r="P107">
            <v>0</v>
          </cell>
          <cell r="Q107">
            <v>28493</v>
          </cell>
          <cell r="S107">
            <v>21270</v>
          </cell>
          <cell r="T107">
            <v>0.53041842971321107</v>
          </cell>
          <cell r="U107">
            <v>0.45533615420780443</v>
          </cell>
          <cell r="V107">
            <v>1.4245416078984486E-2</v>
          </cell>
        </row>
        <row r="108">
          <cell r="A108">
            <v>201</v>
          </cell>
          <cell r="B108" t="str">
            <v>City of London</v>
          </cell>
          <cell r="C108">
            <v>0</v>
          </cell>
          <cell r="D108">
            <v>0</v>
          </cell>
          <cell r="E108">
            <v>0</v>
          </cell>
          <cell r="F108">
            <v>218</v>
          </cell>
          <cell r="G108">
            <v>0</v>
          </cell>
          <cell r="H108">
            <v>0</v>
          </cell>
          <cell r="I108">
            <v>0</v>
          </cell>
          <cell r="J108">
            <v>0</v>
          </cell>
          <cell r="K108">
            <v>0</v>
          </cell>
          <cell r="L108">
            <v>0</v>
          </cell>
          <cell r="M108">
            <v>0</v>
          </cell>
          <cell r="N108">
            <v>1884</v>
          </cell>
          <cell r="O108">
            <v>0</v>
          </cell>
          <cell r="P108">
            <v>0</v>
          </cell>
          <cell r="Q108">
            <v>2102</v>
          </cell>
          <cell r="S108">
            <v>218</v>
          </cell>
          <cell r="T108">
            <v>1</v>
          </cell>
          <cell r="U108">
            <v>0</v>
          </cell>
          <cell r="V108">
            <v>0</v>
          </cell>
        </row>
        <row r="109">
          <cell r="A109">
            <v>204</v>
          </cell>
          <cell r="B109" t="str">
            <v>Hackney</v>
          </cell>
          <cell r="C109">
            <v>92.5</v>
          </cell>
          <cell r="D109">
            <v>0</v>
          </cell>
          <cell r="E109">
            <v>92.5</v>
          </cell>
          <cell r="F109">
            <v>17348.5</v>
          </cell>
          <cell r="G109">
            <v>0</v>
          </cell>
          <cell r="H109">
            <v>7351</v>
          </cell>
          <cell r="I109">
            <v>0</v>
          </cell>
          <cell r="J109">
            <v>353</v>
          </cell>
          <cell r="K109">
            <v>0</v>
          </cell>
          <cell r="L109">
            <v>353</v>
          </cell>
          <cell r="M109">
            <v>47</v>
          </cell>
          <cell r="N109">
            <v>5873.5</v>
          </cell>
          <cell r="O109">
            <v>0</v>
          </cell>
          <cell r="P109">
            <v>0</v>
          </cell>
          <cell r="Q109">
            <v>31065.5</v>
          </cell>
          <cell r="S109">
            <v>25052.5</v>
          </cell>
          <cell r="T109">
            <v>0.69248577986228921</v>
          </cell>
          <cell r="U109">
            <v>0.29342380999900208</v>
          </cell>
          <cell r="V109">
            <v>1.4090410138708712E-2</v>
          </cell>
        </row>
        <row r="110">
          <cell r="A110">
            <v>205</v>
          </cell>
          <cell r="B110" t="str">
            <v>Hammersmith and Fulham</v>
          </cell>
          <cell r="C110">
            <v>259.5</v>
          </cell>
          <cell r="D110">
            <v>0</v>
          </cell>
          <cell r="E110">
            <v>259.5</v>
          </cell>
          <cell r="F110">
            <v>9511.5</v>
          </cell>
          <cell r="G110">
            <v>0</v>
          </cell>
          <cell r="H110">
            <v>7213</v>
          </cell>
          <cell r="I110">
            <v>0</v>
          </cell>
          <cell r="J110">
            <v>269</v>
          </cell>
          <cell r="K110">
            <v>0</v>
          </cell>
          <cell r="L110">
            <v>269</v>
          </cell>
          <cell r="M110">
            <v>189</v>
          </cell>
          <cell r="N110">
            <v>4994.5</v>
          </cell>
          <cell r="O110">
            <v>0</v>
          </cell>
          <cell r="P110">
            <v>0</v>
          </cell>
          <cell r="Q110">
            <v>22436.5</v>
          </cell>
          <cell r="S110">
            <v>16993.5</v>
          </cell>
          <cell r="T110">
            <v>0.55971400829729012</v>
          </cell>
          <cell r="U110">
            <v>0.42445640980374849</v>
          </cell>
          <cell r="V110">
            <v>1.5829581898961366E-2</v>
          </cell>
        </row>
        <row r="111">
          <cell r="A111">
            <v>309</v>
          </cell>
          <cell r="B111" t="str">
            <v>Haringey</v>
          </cell>
          <cell r="C111">
            <v>187.5</v>
          </cell>
          <cell r="D111">
            <v>0</v>
          </cell>
          <cell r="E111">
            <v>187.5</v>
          </cell>
          <cell r="F111">
            <v>20910.5</v>
          </cell>
          <cell r="G111">
            <v>0</v>
          </cell>
          <cell r="H111">
            <v>11222</v>
          </cell>
          <cell r="I111">
            <v>0</v>
          </cell>
          <cell r="J111">
            <v>321.5</v>
          </cell>
          <cell r="K111">
            <v>0</v>
          </cell>
          <cell r="L111">
            <v>321.5</v>
          </cell>
          <cell r="M111">
            <v>105</v>
          </cell>
          <cell r="N111">
            <v>2004.5</v>
          </cell>
          <cell r="O111">
            <v>0</v>
          </cell>
          <cell r="P111">
            <v>738</v>
          </cell>
          <cell r="Q111">
            <v>35489</v>
          </cell>
          <cell r="S111">
            <v>32454</v>
          </cell>
          <cell r="T111">
            <v>0.64431194922043511</v>
          </cell>
          <cell r="U111">
            <v>0.34578172182165529</v>
          </cell>
          <cell r="V111">
            <v>9.9063289579096568E-3</v>
          </cell>
        </row>
        <row r="112">
          <cell r="A112">
            <v>206</v>
          </cell>
          <cell r="B112" t="str">
            <v>Islington</v>
          </cell>
          <cell r="C112">
            <v>191</v>
          </cell>
          <cell r="D112">
            <v>0</v>
          </cell>
          <cell r="E112">
            <v>191</v>
          </cell>
          <cell r="F112">
            <v>14511.5</v>
          </cell>
          <cell r="G112">
            <v>0</v>
          </cell>
          <cell r="H112">
            <v>7857</v>
          </cell>
          <cell r="I112">
            <v>0</v>
          </cell>
          <cell r="J112">
            <v>255</v>
          </cell>
          <cell r="K112">
            <v>0</v>
          </cell>
          <cell r="L112">
            <v>255</v>
          </cell>
          <cell r="M112">
            <v>119</v>
          </cell>
          <cell r="N112">
            <v>683</v>
          </cell>
          <cell r="O112">
            <v>0</v>
          </cell>
          <cell r="P112">
            <v>0</v>
          </cell>
          <cell r="Q112">
            <v>23616.5</v>
          </cell>
          <cell r="S112">
            <v>22623.5</v>
          </cell>
          <cell r="T112">
            <v>0.64143479125687886</v>
          </cell>
          <cell r="U112">
            <v>0.34729374323159545</v>
          </cell>
          <cell r="V112">
            <v>1.1271465511525625E-2</v>
          </cell>
        </row>
        <row r="113">
          <cell r="A113">
            <v>207</v>
          </cell>
          <cell r="B113" t="str">
            <v>Kensington and Chelsea</v>
          </cell>
          <cell r="C113">
            <v>218</v>
          </cell>
          <cell r="D113">
            <v>0</v>
          </cell>
          <cell r="E113">
            <v>218</v>
          </cell>
          <cell r="F113">
            <v>7001</v>
          </cell>
          <cell r="G113">
            <v>0</v>
          </cell>
          <cell r="H113">
            <v>3496</v>
          </cell>
          <cell r="I113">
            <v>0</v>
          </cell>
          <cell r="J113">
            <v>73</v>
          </cell>
          <cell r="K113">
            <v>0</v>
          </cell>
          <cell r="L113">
            <v>73</v>
          </cell>
          <cell r="M113">
            <v>44</v>
          </cell>
          <cell r="N113">
            <v>10795</v>
          </cell>
          <cell r="O113">
            <v>0</v>
          </cell>
          <cell r="P113">
            <v>0</v>
          </cell>
          <cell r="Q113">
            <v>21627</v>
          </cell>
          <cell r="S113">
            <v>10570</v>
          </cell>
          <cell r="T113">
            <v>0.66234626300851462</v>
          </cell>
          <cell r="U113">
            <v>0.33074739829706717</v>
          </cell>
          <cell r="V113">
            <v>6.906338694418165E-3</v>
          </cell>
        </row>
        <row r="114">
          <cell r="A114">
            <v>208</v>
          </cell>
          <cell r="B114" t="str">
            <v>Lambeth</v>
          </cell>
          <cell r="C114">
            <v>347</v>
          </cell>
          <cell r="D114">
            <v>0</v>
          </cell>
          <cell r="E114">
            <v>347</v>
          </cell>
          <cell r="F114">
            <v>19046.5</v>
          </cell>
          <cell r="G114">
            <v>0</v>
          </cell>
          <cell r="H114">
            <v>7749</v>
          </cell>
          <cell r="I114">
            <v>0</v>
          </cell>
          <cell r="J114">
            <v>515.5</v>
          </cell>
          <cell r="K114">
            <v>0</v>
          </cell>
          <cell r="L114">
            <v>515.5</v>
          </cell>
          <cell r="M114">
            <v>109</v>
          </cell>
          <cell r="N114">
            <v>2346.5</v>
          </cell>
          <cell r="O114">
            <v>0</v>
          </cell>
          <cell r="P114">
            <v>0</v>
          </cell>
          <cell r="Q114">
            <v>30113.5</v>
          </cell>
          <cell r="S114">
            <v>27311</v>
          </cell>
          <cell r="T114">
            <v>0.69739299183479186</v>
          </cell>
          <cell r="U114">
            <v>0.28373182966570248</v>
          </cell>
          <cell r="V114">
            <v>1.8875178499505693E-2</v>
          </cell>
        </row>
        <row r="115">
          <cell r="A115">
            <v>209</v>
          </cell>
          <cell r="B115" t="str">
            <v>Lewisham</v>
          </cell>
          <cell r="C115">
            <v>175.5</v>
          </cell>
          <cell r="D115">
            <v>0</v>
          </cell>
          <cell r="E115">
            <v>175.5</v>
          </cell>
          <cell r="F115">
            <v>21133</v>
          </cell>
          <cell r="G115">
            <v>0</v>
          </cell>
          <cell r="H115">
            <v>11639</v>
          </cell>
          <cell r="I115">
            <v>0</v>
          </cell>
          <cell r="J115">
            <v>517</v>
          </cell>
          <cell r="K115">
            <v>0</v>
          </cell>
          <cell r="L115">
            <v>517</v>
          </cell>
          <cell r="M115">
            <v>146</v>
          </cell>
          <cell r="N115">
            <v>1871.5</v>
          </cell>
          <cell r="O115">
            <v>1346</v>
          </cell>
          <cell r="P115">
            <v>0</v>
          </cell>
          <cell r="Q115">
            <v>36828</v>
          </cell>
          <cell r="S115">
            <v>33289</v>
          </cell>
          <cell r="T115">
            <v>0.63483432965844577</v>
          </cell>
          <cell r="U115">
            <v>0.34963501456937729</v>
          </cell>
          <cell r="V115">
            <v>1.5530655772176995E-2</v>
          </cell>
        </row>
        <row r="116">
          <cell r="A116">
            <v>316</v>
          </cell>
          <cell r="B116" t="str">
            <v>Newham</v>
          </cell>
          <cell r="C116">
            <v>607</v>
          </cell>
          <cell r="D116">
            <v>0</v>
          </cell>
          <cell r="E116">
            <v>607</v>
          </cell>
          <cell r="F116">
            <v>29270.5</v>
          </cell>
          <cell r="G116">
            <v>0</v>
          </cell>
          <cell r="H116">
            <v>18117</v>
          </cell>
          <cell r="I116">
            <v>0</v>
          </cell>
          <cell r="J116">
            <v>68</v>
          </cell>
          <cell r="K116">
            <v>0</v>
          </cell>
          <cell r="L116">
            <v>68</v>
          </cell>
          <cell r="M116">
            <v>50</v>
          </cell>
          <cell r="N116">
            <v>349</v>
          </cell>
          <cell r="O116">
            <v>0</v>
          </cell>
          <cell r="P116">
            <v>0</v>
          </cell>
          <cell r="Q116">
            <v>48461.5</v>
          </cell>
          <cell r="S116">
            <v>47455.5</v>
          </cell>
          <cell r="T116">
            <v>0.61679889580765135</v>
          </cell>
          <cell r="U116">
            <v>0.38176818282390873</v>
          </cell>
          <cell r="V116">
            <v>1.4329213684399068E-3</v>
          </cell>
        </row>
        <row r="117">
          <cell r="A117">
            <v>210</v>
          </cell>
          <cell r="B117" t="str">
            <v>Southwark</v>
          </cell>
          <cell r="C117">
            <v>427</v>
          </cell>
          <cell r="D117">
            <v>0</v>
          </cell>
          <cell r="E117">
            <v>427</v>
          </cell>
          <cell r="F117">
            <v>22750</v>
          </cell>
          <cell r="G117">
            <v>0</v>
          </cell>
          <cell r="H117">
            <v>10019</v>
          </cell>
          <cell r="I117">
            <v>0</v>
          </cell>
          <cell r="J117">
            <v>472</v>
          </cell>
          <cell r="K117">
            <v>0</v>
          </cell>
          <cell r="L117">
            <v>472</v>
          </cell>
          <cell r="M117">
            <v>100</v>
          </cell>
          <cell r="N117">
            <v>5103.5</v>
          </cell>
          <cell r="O117">
            <v>1069</v>
          </cell>
          <cell r="P117">
            <v>1164</v>
          </cell>
          <cell r="Q117">
            <v>41104.5</v>
          </cell>
          <cell r="S117">
            <v>33241</v>
          </cell>
          <cell r="T117">
            <v>0.68439577630035198</v>
          </cell>
          <cell r="U117">
            <v>0.30140489154959238</v>
          </cell>
          <cell r="V117">
            <v>1.4199332150055654E-2</v>
          </cell>
        </row>
        <row r="118">
          <cell r="A118">
            <v>211</v>
          </cell>
          <cell r="B118" t="str">
            <v>Tower Hamlets</v>
          </cell>
          <cell r="C118">
            <v>454</v>
          </cell>
          <cell r="D118">
            <v>0</v>
          </cell>
          <cell r="E118">
            <v>454</v>
          </cell>
          <cell r="F118">
            <v>21556</v>
          </cell>
          <cell r="G118">
            <v>0</v>
          </cell>
          <cell r="H118">
            <v>14311.5</v>
          </cell>
          <cell r="I118">
            <v>0</v>
          </cell>
          <cell r="J118">
            <v>346.5</v>
          </cell>
          <cell r="K118">
            <v>0</v>
          </cell>
          <cell r="L118">
            <v>346.5</v>
          </cell>
          <cell r="M118">
            <v>230</v>
          </cell>
          <cell r="N118">
            <v>948.5</v>
          </cell>
          <cell r="O118">
            <v>0</v>
          </cell>
          <cell r="P118">
            <v>0</v>
          </cell>
          <cell r="Q118">
            <v>37846.5</v>
          </cell>
          <cell r="S118">
            <v>36214</v>
          </cell>
          <cell r="T118">
            <v>0.59523941017286131</v>
          </cell>
          <cell r="U118">
            <v>0.39519246700171207</v>
          </cell>
          <cell r="V118">
            <v>9.5681228254266299E-3</v>
          </cell>
        </row>
        <row r="119">
          <cell r="A119">
            <v>212</v>
          </cell>
          <cell r="B119" t="str">
            <v>Wandsworth</v>
          </cell>
          <cell r="C119">
            <v>161</v>
          </cell>
          <cell r="D119">
            <v>0</v>
          </cell>
          <cell r="E119">
            <v>161</v>
          </cell>
          <cell r="F119">
            <v>16622.5</v>
          </cell>
          <cell r="G119">
            <v>0</v>
          </cell>
          <cell r="H119">
            <v>10253.5</v>
          </cell>
          <cell r="I119">
            <v>0</v>
          </cell>
          <cell r="J119">
            <v>722</v>
          </cell>
          <cell r="K119">
            <v>0</v>
          </cell>
          <cell r="L119">
            <v>722</v>
          </cell>
          <cell r="M119">
            <v>85</v>
          </cell>
          <cell r="N119">
            <v>8499.5</v>
          </cell>
          <cell r="O119">
            <v>1062</v>
          </cell>
          <cell r="P119">
            <v>0</v>
          </cell>
          <cell r="Q119">
            <v>37405.5</v>
          </cell>
          <cell r="S119">
            <v>27598</v>
          </cell>
          <cell r="T119">
            <v>0.60230813827088925</v>
          </cell>
          <cell r="U119">
            <v>0.37153054569171678</v>
          </cell>
          <cell r="V119">
            <v>2.6161316037394015E-2</v>
          </cell>
        </row>
        <row r="120">
          <cell r="A120">
            <v>213</v>
          </cell>
          <cell r="B120" t="str">
            <v>Westminster</v>
          </cell>
          <cell r="C120">
            <v>161</v>
          </cell>
          <cell r="D120">
            <v>0</v>
          </cell>
          <cell r="E120">
            <v>161</v>
          </cell>
          <cell r="F120">
            <v>10477.5</v>
          </cell>
          <cell r="G120">
            <v>0</v>
          </cell>
          <cell r="H120">
            <v>8406</v>
          </cell>
          <cell r="I120">
            <v>0</v>
          </cell>
          <cell r="J120">
            <v>138</v>
          </cell>
          <cell r="K120">
            <v>0</v>
          </cell>
          <cell r="L120">
            <v>138</v>
          </cell>
          <cell r="M120">
            <v>6</v>
          </cell>
          <cell r="N120">
            <v>7124</v>
          </cell>
          <cell r="O120">
            <v>0</v>
          </cell>
          <cell r="P120">
            <v>0</v>
          </cell>
          <cell r="Q120">
            <v>26312.5</v>
          </cell>
          <cell r="S120">
            <v>19021.5</v>
          </cell>
          <cell r="T120">
            <v>0.55082406750256285</v>
          </cell>
          <cell r="U120">
            <v>0.44192098414951503</v>
          </cell>
          <cell r="V120">
            <v>7.2549483479220885E-3</v>
          </cell>
        </row>
        <row r="121">
          <cell r="B121" t="str">
            <v>OUTER LONDON</v>
          </cell>
          <cell r="C121">
            <v>1947.5</v>
          </cell>
          <cell r="D121">
            <v>0</v>
          </cell>
          <cell r="E121">
            <v>1947.5</v>
          </cell>
          <cell r="F121">
            <v>380011.5</v>
          </cell>
          <cell r="G121">
            <v>5975</v>
          </cell>
          <cell r="H121">
            <v>294434</v>
          </cell>
          <cell r="I121">
            <v>0</v>
          </cell>
          <cell r="J121">
            <v>7171.5</v>
          </cell>
          <cell r="K121">
            <v>241</v>
          </cell>
          <cell r="L121">
            <v>7412.5</v>
          </cell>
          <cell r="M121">
            <v>1452</v>
          </cell>
          <cell r="N121">
            <v>64902.5</v>
          </cell>
          <cell r="O121">
            <v>1879</v>
          </cell>
          <cell r="P121">
            <v>2457</v>
          </cell>
          <cell r="Q121">
            <v>754496</v>
          </cell>
          <cell r="S121">
            <v>681617</v>
          </cell>
          <cell r="T121">
            <v>0.55751470400532854</v>
          </cell>
          <cell r="U121">
            <v>0.43196399150842774</v>
          </cell>
          <cell r="V121">
            <v>1.052130448624374E-2</v>
          </cell>
        </row>
        <row r="122">
          <cell r="A122">
            <v>301</v>
          </cell>
          <cell r="B122" t="str">
            <v>Barking and Dagenham</v>
          </cell>
          <cell r="C122">
            <v>0</v>
          </cell>
          <cell r="D122">
            <v>0</v>
          </cell>
          <cell r="E122">
            <v>0</v>
          </cell>
          <cell r="F122">
            <v>17435</v>
          </cell>
          <cell r="G122">
            <v>0</v>
          </cell>
          <cell r="H122">
            <v>12071</v>
          </cell>
          <cell r="I122">
            <v>0</v>
          </cell>
          <cell r="J122">
            <v>212.5</v>
          </cell>
          <cell r="K122">
            <v>0</v>
          </cell>
          <cell r="L122">
            <v>212.5</v>
          </cell>
          <cell r="M122">
            <v>217</v>
          </cell>
          <cell r="N122">
            <v>0</v>
          </cell>
          <cell r="O122">
            <v>0</v>
          </cell>
          <cell r="P122">
            <v>0</v>
          </cell>
          <cell r="Q122">
            <v>29935.5</v>
          </cell>
          <cell r="S122">
            <v>29718.5</v>
          </cell>
          <cell r="T122">
            <v>0.58667160186415868</v>
          </cell>
          <cell r="U122">
            <v>0.40617796995137712</v>
          </cell>
          <cell r="V122">
            <v>7.1504281844642229E-3</v>
          </cell>
        </row>
        <row r="123">
          <cell r="A123">
            <v>302</v>
          </cell>
          <cell r="B123" t="str">
            <v>Barnet</v>
          </cell>
          <cell r="C123">
            <v>303.5</v>
          </cell>
          <cell r="D123">
            <v>0</v>
          </cell>
          <cell r="E123">
            <v>303.5</v>
          </cell>
          <cell r="F123">
            <v>24789</v>
          </cell>
          <cell r="G123">
            <v>0</v>
          </cell>
          <cell r="H123">
            <v>21134</v>
          </cell>
          <cell r="I123">
            <v>0</v>
          </cell>
          <cell r="J123">
            <v>342</v>
          </cell>
          <cell r="K123">
            <v>0</v>
          </cell>
          <cell r="L123">
            <v>342</v>
          </cell>
          <cell r="M123">
            <v>59</v>
          </cell>
          <cell r="N123">
            <v>6565.5</v>
          </cell>
          <cell r="O123">
            <v>0</v>
          </cell>
          <cell r="P123">
            <v>0</v>
          </cell>
          <cell r="Q123">
            <v>53193</v>
          </cell>
          <cell r="S123">
            <v>46265</v>
          </cell>
          <cell r="T123">
            <v>0.53580460391224471</v>
          </cell>
          <cell r="U123">
            <v>0.45680319896249866</v>
          </cell>
          <cell r="V123">
            <v>7.3921971252566736E-3</v>
          </cell>
        </row>
        <row r="124">
          <cell r="A124">
            <v>303</v>
          </cell>
          <cell r="B124" t="str">
            <v>Bexley</v>
          </cell>
          <cell r="C124">
            <v>0</v>
          </cell>
          <cell r="D124">
            <v>0</v>
          </cell>
          <cell r="E124">
            <v>0</v>
          </cell>
          <cell r="F124">
            <v>20596</v>
          </cell>
          <cell r="G124">
            <v>0</v>
          </cell>
          <cell r="H124">
            <v>18012</v>
          </cell>
          <cell r="I124">
            <v>0</v>
          </cell>
          <cell r="J124">
            <v>424.5</v>
          </cell>
          <cell r="K124">
            <v>0</v>
          </cell>
          <cell r="L124">
            <v>424.5</v>
          </cell>
          <cell r="M124">
            <v>51</v>
          </cell>
          <cell r="N124">
            <v>711</v>
          </cell>
          <cell r="O124">
            <v>0</v>
          </cell>
          <cell r="P124">
            <v>836</v>
          </cell>
          <cell r="Q124">
            <v>40630.5</v>
          </cell>
          <cell r="S124">
            <v>39032.5</v>
          </cell>
          <cell r="T124">
            <v>0.52766284506500993</v>
          </cell>
          <cell r="U124">
            <v>0.46146160251072826</v>
          </cell>
          <cell r="V124">
            <v>1.0875552424261832E-2</v>
          </cell>
        </row>
        <row r="125">
          <cell r="A125">
            <v>304</v>
          </cell>
          <cell r="B125" t="str">
            <v>Brent</v>
          </cell>
          <cell r="C125">
            <v>199.5</v>
          </cell>
          <cell r="D125">
            <v>0</v>
          </cell>
          <cell r="E125">
            <v>199.5</v>
          </cell>
          <cell r="F125">
            <v>22138</v>
          </cell>
          <cell r="G125">
            <v>0</v>
          </cell>
          <cell r="H125">
            <v>15927</v>
          </cell>
          <cell r="I125">
            <v>0</v>
          </cell>
          <cell r="J125">
            <v>423</v>
          </cell>
          <cell r="K125">
            <v>0</v>
          </cell>
          <cell r="L125">
            <v>423</v>
          </cell>
          <cell r="M125">
            <v>101</v>
          </cell>
          <cell r="N125">
            <v>2196.5</v>
          </cell>
          <cell r="O125">
            <v>0</v>
          </cell>
          <cell r="P125">
            <v>841</v>
          </cell>
          <cell r="Q125">
            <v>41826</v>
          </cell>
          <cell r="S125">
            <v>38488</v>
          </cell>
          <cell r="T125">
            <v>0.5751922677198088</v>
          </cell>
          <cell r="U125">
            <v>0.4138172937019331</v>
          </cell>
          <cell r="V125">
            <v>1.0990438578258158E-2</v>
          </cell>
        </row>
        <row r="126">
          <cell r="A126">
            <v>305</v>
          </cell>
          <cell r="B126" t="str">
            <v>Bromley</v>
          </cell>
          <cell r="C126">
            <v>0</v>
          </cell>
          <cell r="D126">
            <v>0</v>
          </cell>
          <cell r="E126">
            <v>0</v>
          </cell>
          <cell r="F126">
            <v>24012.5</v>
          </cell>
          <cell r="G126">
            <v>0</v>
          </cell>
          <cell r="H126">
            <v>22228</v>
          </cell>
          <cell r="I126">
            <v>0</v>
          </cell>
          <cell r="J126">
            <v>457</v>
          </cell>
          <cell r="K126">
            <v>23</v>
          </cell>
          <cell r="L126">
            <v>480</v>
          </cell>
          <cell r="M126">
            <v>100</v>
          </cell>
          <cell r="N126">
            <v>4957</v>
          </cell>
          <cell r="O126">
            <v>0</v>
          </cell>
          <cell r="P126">
            <v>0</v>
          </cell>
          <cell r="Q126">
            <v>51777.5</v>
          </cell>
          <cell r="S126">
            <v>46697.5</v>
          </cell>
          <cell r="T126">
            <v>0.51421382300979712</v>
          </cell>
          <cell r="U126">
            <v>0.47599978585577385</v>
          </cell>
          <cell r="V126">
            <v>9.7863911344290375E-3</v>
          </cell>
        </row>
        <row r="127">
          <cell r="A127">
            <v>306</v>
          </cell>
          <cell r="B127" t="str">
            <v>Croydon</v>
          </cell>
          <cell r="C127">
            <v>303.5</v>
          </cell>
          <cell r="D127">
            <v>0</v>
          </cell>
          <cell r="E127">
            <v>303.5</v>
          </cell>
          <cell r="F127">
            <v>29127</v>
          </cell>
          <cell r="G127">
            <v>0</v>
          </cell>
          <cell r="H127">
            <v>18664</v>
          </cell>
          <cell r="I127">
            <v>0</v>
          </cell>
          <cell r="J127">
            <v>559</v>
          </cell>
          <cell r="K127">
            <v>0</v>
          </cell>
          <cell r="L127">
            <v>559</v>
          </cell>
          <cell r="M127">
            <v>350</v>
          </cell>
          <cell r="N127">
            <v>7524</v>
          </cell>
          <cell r="O127">
            <v>1879</v>
          </cell>
          <cell r="P127">
            <v>0</v>
          </cell>
          <cell r="Q127">
            <v>58406.5</v>
          </cell>
          <cell r="S127">
            <v>48350</v>
          </cell>
          <cell r="T127">
            <v>0.6024198552223371</v>
          </cell>
          <cell r="U127">
            <v>0.38601861427094103</v>
          </cell>
          <cell r="V127">
            <v>1.1561530506721819E-2</v>
          </cell>
        </row>
        <row r="128">
          <cell r="A128">
            <v>307</v>
          </cell>
          <cell r="B128" t="str">
            <v>Ealing</v>
          </cell>
          <cell r="C128">
            <v>266.5</v>
          </cell>
          <cell r="D128">
            <v>0</v>
          </cell>
          <cell r="E128">
            <v>266.5</v>
          </cell>
          <cell r="F128">
            <v>24700</v>
          </cell>
          <cell r="G128">
            <v>0</v>
          </cell>
          <cell r="H128">
            <v>14937</v>
          </cell>
          <cell r="I128">
            <v>0</v>
          </cell>
          <cell r="J128">
            <v>476.5</v>
          </cell>
          <cell r="K128">
            <v>0</v>
          </cell>
          <cell r="L128">
            <v>476.5</v>
          </cell>
          <cell r="M128">
            <v>133</v>
          </cell>
          <cell r="N128">
            <v>5527.5</v>
          </cell>
          <cell r="O128">
            <v>0</v>
          </cell>
          <cell r="P128">
            <v>780</v>
          </cell>
          <cell r="Q128">
            <v>46820.5</v>
          </cell>
          <cell r="S128">
            <v>40113.5</v>
          </cell>
          <cell r="T128">
            <v>0.6157528014259539</v>
          </cell>
          <cell r="U128">
            <v>0.37236840465180049</v>
          </cell>
          <cell r="V128">
            <v>1.1878793922245627E-2</v>
          </cell>
        </row>
        <row r="129">
          <cell r="A129">
            <v>308</v>
          </cell>
          <cell r="B129" t="str">
            <v>Enfield</v>
          </cell>
          <cell r="C129">
            <v>0</v>
          </cell>
          <cell r="D129">
            <v>0</v>
          </cell>
          <cell r="E129">
            <v>0</v>
          </cell>
          <cell r="F129">
            <v>25852.5</v>
          </cell>
          <cell r="G129">
            <v>0</v>
          </cell>
          <cell r="H129">
            <v>21614</v>
          </cell>
          <cell r="I129">
            <v>0</v>
          </cell>
          <cell r="J129">
            <v>459</v>
          </cell>
          <cell r="K129">
            <v>0</v>
          </cell>
          <cell r="L129">
            <v>459</v>
          </cell>
          <cell r="M129">
            <v>92</v>
          </cell>
          <cell r="N129">
            <v>1693.5</v>
          </cell>
          <cell r="O129">
            <v>0</v>
          </cell>
          <cell r="P129">
            <v>0</v>
          </cell>
          <cell r="Q129">
            <v>49711</v>
          </cell>
          <cell r="S129">
            <v>47925.5</v>
          </cell>
          <cell r="T129">
            <v>0.53943099185193688</v>
          </cell>
          <cell r="U129">
            <v>0.45099164327967367</v>
          </cell>
          <cell r="V129">
            <v>9.5773648683894798E-3</v>
          </cell>
        </row>
        <row r="130">
          <cell r="A130">
            <v>203</v>
          </cell>
          <cell r="B130" t="str">
            <v>Greenwich</v>
          </cell>
          <cell r="C130">
            <v>446</v>
          </cell>
          <cell r="D130">
            <v>0</v>
          </cell>
          <cell r="E130">
            <v>446</v>
          </cell>
          <cell r="F130">
            <v>19429.5</v>
          </cell>
          <cell r="G130">
            <v>0</v>
          </cell>
          <cell r="H130">
            <v>14961</v>
          </cell>
          <cell r="I130">
            <v>0</v>
          </cell>
          <cell r="J130">
            <v>436</v>
          </cell>
          <cell r="K130">
            <v>0</v>
          </cell>
          <cell r="L130">
            <v>436</v>
          </cell>
          <cell r="M130">
            <v>70</v>
          </cell>
          <cell r="N130">
            <v>2740.5</v>
          </cell>
          <cell r="O130">
            <v>0</v>
          </cell>
          <cell r="P130">
            <v>0</v>
          </cell>
          <cell r="Q130">
            <v>38083</v>
          </cell>
          <cell r="S130">
            <v>34826.5</v>
          </cell>
          <cell r="T130">
            <v>0.55789413234175123</v>
          </cell>
          <cell r="U130">
            <v>0.42958666532669088</v>
          </cell>
          <cell r="V130">
            <v>1.2519202331557865E-2</v>
          </cell>
        </row>
        <row r="131">
          <cell r="A131">
            <v>310</v>
          </cell>
          <cell r="B131" t="str">
            <v>Harrow</v>
          </cell>
          <cell r="C131">
            <v>15.5</v>
          </cell>
          <cell r="D131">
            <v>0</v>
          </cell>
          <cell r="E131">
            <v>15.5</v>
          </cell>
          <cell r="F131">
            <v>18955.5</v>
          </cell>
          <cell r="G131">
            <v>5975</v>
          </cell>
          <cell r="H131">
            <v>9048.5</v>
          </cell>
          <cell r="I131">
            <v>0</v>
          </cell>
          <cell r="J131">
            <v>266</v>
          </cell>
          <cell r="K131">
            <v>0</v>
          </cell>
          <cell r="L131">
            <v>266</v>
          </cell>
          <cell r="M131">
            <v>35</v>
          </cell>
          <cell r="N131">
            <v>4753</v>
          </cell>
          <cell r="O131">
            <v>0</v>
          </cell>
          <cell r="P131">
            <v>0</v>
          </cell>
          <cell r="Q131">
            <v>33073.5</v>
          </cell>
          <cell r="S131">
            <v>28270</v>
          </cell>
          <cell r="T131">
            <v>0.67051644853201275</v>
          </cell>
          <cell r="U131">
            <v>0.32007428369296076</v>
          </cell>
          <cell r="V131">
            <v>9.4092677750265297E-3</v>
          </cell>
        </row>
        <row r="132">
          <cell r="A132">
            <v>311</v>
          </cell>
          <cell r="B132" t="str">
            <v>Havering</v>
          </cell>
          <cell r="C132">
            <v>0</v>
          </cell>
          <cell r="D132">
            <v>0</v>
          </cell>
          <cell r="E132">
            <v>0</v>
          </cell>
          <cell r="F132">
            <v>19648</v>
          </cell>
          <cell r="G132">
            <v>0</v>
          </cell>
          <cell r="H132">
            <v>16521</v>
          </cell>
          <cell r="I132">
            <v>0</v>
          </cell>
          <cell r="J132">
            <v>254</v>
          </cell>
          <cell r="K132">
            <v>0</v>
          </cell>
          <cell r="L132">
            <v>254</v>
          </cell>
          <cell r="M132">
            <v>21</v>
          </cell>
          <cell r="N132">
            <v>927</v>
          </cell>
          <cell r="O132">
            <v>0</v>
          </cell>
          <cell r="P132">
            <v>0</v>
          </cell>
          <cell r="Q132">
            <v>37371</v>
          </cell>
          <cell r="S132">
            <v>36423</v>
          </cell>
          <cell r="T132">
            <v>0.5394393652362518</v>
          </cell>
          <cell r="U132">
            <v>0.45358701919117039</v>
          </cell>
          <cell r="V132">
            <v>6.9736155725777672E-3</v>
          </cell>
        </row>
        <row r="133">
          <cell r="A133">
            <v>312</v>
          </cell>
          <cell r="B133" t="str">
            <v>Hillingdon</v>
          </cell>
          <cell r="C133">
            <v>60</v>
          </cell>
          <cell r="D133">
            <v>0</v>
          </cell>
          <cell r="E133">
            <v>60</v>
          </cell>
          <cell r="F133">
            <v>22715</v>
          </cell>
          <cell r="G133">
            <v>0</v>
          </cell>
          <cell r="H133">
            <v>17803</v>
          </cell>
          <cell r="I133">
            <v>0</v>
          </cell>
          <cell r="J133">
            <v>478</v>
          </cell>
          <cell r="K133">
            <v>141</v>
          </cell>
          <cell r="L133">
            <v>619</v>
          </cell>
          <cell r="M133">
            <v>28</v>
          </cell>
          <cell r="N133">
            <v>3619.5</v>
          </cell>
          <cell r="O133">
            <v>0</v>
          </cell>
          <cell r="P133">
            <v>0</v>
          </cell>
          <cell r="Q133">
            <v>44844.5</v>
          </cell>
          <cell r="S133">
            <v>40996</v>
          </cell>
          <cell r="T133">
            <v>0.55407844667772466</v>
          </cell>
          <cell r="U133">
            <v>0.43426187920772757</v>
          </cell>
          <cell r="V133">
            <v>1.165967411454776E-2</v>
          </cell>
        </row>
        <row r="134">
          <cell r="A134">
            <v>313</v>
          </cell>
          <cell r="B134" t="str">
            <v>Hounslow</v>
          </cell>
          <cell r="C134">
            <v>0</v>
          </cell>
          <cell r="D134">
            <v>0</v>
          </cell>
          <cell r="E134">
            <v>0</v>
          </cell>
          <cell r="F134">
            <v>17923.5</v>
          </cell>
          <cell r="G134">
            <v>0</v>
          </cell>
          <cell r="H134">
            <v>16673</v>
          </cell>
          <cell r="I134">
            <v>0</v>
          </cell>
          <cell r="J134">
            <v>410</v>
          </cell>
          <cell r="K134">
            <v>0</v>
          </cell>
          <cell r="L134">
            <v>410</v>
          </cell>
          <cell r="M134">
            <v>55</v>
          </cell>
          <cell r="N134">
            <v>1023.5</v>
          </cell>
          <cell r="O134">
            <v>0</v>
          </cell>
          <cell r="P134">
            <v>0</v>
          </cell>
          <cell r="Q134">
            <v>36085</v>
          </cell>
          <cell r="S134">
            <v>35006.5</v>
          </cell>
          <cell r="T134">
            <v>0.51200491337323073</v>
          </cell>
          <cell r="U134">
            <v>0.47628297601873937</v>
          </cell>
          <cell r="V134">
            <v>1.1712110608029937E-2</v>
          </cell>
        </row>
        <row r="135">
          <cell r="A135">
            <v>314</v>
          </cell>
          <cell r="B135" t="str">
            <v>Kingston upon Thames</v>
          </cell>
          <cell r="C135">
            <v>50</v>
          </cell>
          <cell r="D135">
            <v>0</v>
          </cell>
          <cell r="E135">
            <v>50</v>
          </cell>
          <cell r="F135">
            <v>10480.5</v>
          </cell>
          <cell r="G135">
            <v>0</v>
          </cell>
          <cell r="H135">
            <v>9337.5</v>
          </cell>
          <cell r="I135">
            <v>0</v>
          </cell>
          <cell r="J135">
            <v>246.5</v>
          </cell>
          <cell r="K135">
            <v>0</v>
          </cell>
          <cell r="L135">
            <v>246.5</v>
          </cell>
          <cell r="M135">
            <v>1</v>
          </cell>
          <cell r="N135">
            <v>3603</v>
          </cell>
          <cell r="O135">
            <v>0</v>
          </cell>
          <cell r="P135">
            <v>0</v>
          </cell>
          <cell r="Q135">
            <v>23718.5</v>
          </cell>
          <cell r="S135">
            <v>20064.5</v>
          </cell>
          <cell r="T135">
            <v>0.52234045204216406</v>
          </cell>
          <cell r="U135">
            <v>0.46537416830720923</v>
          </cell>
          <cell r="V135">
            <v>1.2285379650626729E-2</v>
          </cell>
        </row>
        <row r="136">
          <cell r="A136">
            <v>315</v>
          </cell>
          <cell r="B136" t="str">
            <v>Merton</v>
          </cell>
          <cell r="C136">
            <v>0</v>
          </cell>
          <cell r="D136">
            <v>0</v>
          </cell>
          <cell r="E136">
            <v>0</v>
          </cell>
          <cell r="F136">
            <v>13440</v>
          </cell>
          <cell r="G136">
            <v>0</v>
          </cell>
          <cell r="H136">
            <v>8580</v>
          </cell>
          <cell r="I136">
            <v>0</v>
          </cell>
          <cell r="J136">
            <v>244</v>
          </cell>
          <cell r="K136">
            <v>0</v>
          </cell>
          <cell r="L136">
            <v>244</v>
          </cell>
          <cell r="M136">
            <v>16</v>
          </cell>
          <cell r="N136">
            <v>3530.5</v>
          </cell>
          <cell r="O136">
            <v>0</v>
          </cell>
          <cell r="P136">
            <v>0</v>
          </cell>
          <cell r="Q136">
            <v>25810.5</v>
          </cell>
          <cell r="S136">
            <v>22264</v>
          </cell>
          <cell r="T136">
            <v>0.60366510959396336</v>
          </cell>
          <cell r="U136">
            <v>0.38537549407114624</v>
          </cell>
          <cell r="V136">
            <v>1.0959396334890407E-2</v>
          </cell>
        </row>
        <row r="137">
          <cell r="A137">
            <v>317</v>
          </cell>
          <cell r="B137" t="str">
            <v>Redbridge</v>
          </cell>
          <cell r="C137">
            <v>0</v>
          </cell>
          <cell r="D137">
            <v>0</v>
          </cell>
          <cell r="E137">
            <v>0</v>
          </cell>
          <cell r="F137">
            <v>22443</v>
          </cell>
          <cell r="G137">
            <v>0</v>
          </cell>
          <cell r="H137">
            <v>20000</v>
          </cell>
          <cell r="I137">
            <v>0</v>
          </cell>
          <cell r="J137">
            <v>436.5</v>
          </cell>
          <cell r="K137">
            <v>0</v>
          </cell>
          <cell r="L137">
            <v>436.5</v>
          </cell>
          <cell r="M137">
            <v>74</v>
          </cell>
          <cell r="N137">
            <v>4008.5</v>
          </cell>
          <cell r="O137">
            <v>0</v>
          </cell>
          <cell r="P137">
            <v>0</v>
          </cell>
          <cell r="Q137">
            <v>46962</v>
          </cell>
          <cell r="S137">
            <v>42879.5</v>
          </cell>
          <cell r="T137">
            <v>0.52339696125188029</v>
          </cell>
          <cell r="U137">
            <v>0.4664233491528586</v>
          </cell>
          <cell r="V137">
            <v>1.0179689595261139E-2</v>
          </cell>
        </row>
        <row r="138">
          <cell r="A138">
            <v>318</v>
          </cell>
          <cell r="B138" t="str">
            <v>Richmond upon Thames</v>
          </cell>
          <cell r="C138">
            <v>37.5</v>
          </cell>
          <cell r="D138">
            <v>0</v>
          </cell>
          <cell r="E138">
            <v>37.5</v>
          </cell>
          <cell r="F138">
            <v>11773.5</v>
          </cell>
          <cell r="G138">
            <v>0</v>
          </cell>
          <cell r="H138">
            <v>7350</v>
          </cell>
          <cell r="I138">
            <v>0</v>
          </cell>
          <cell r="J138">
            <v>143</v>
          </cell>
          <cell r="K138">
            <v>0</v>
          </cell>
          <cell r="L138">
            <v>143</v>
          </cell>
          <cell r="M138">
            <v>13</v>
          </cell>
          <cell r="N138">
            <v>8112</v>
          </cell>
          <cell r="O138">
            <v>0</v>
          </cell>
          <cell r="P138">
            <v>0</v>
          </cell>
          <cell r="Q138">
            <v>27429</v>
          </cell>
          <cell r="S138">
            <v>19266.5</v>
          </cell>
          <cell r="T138">
            <v>0.61108660109516522</v>
          </cell>
          <cell r="U138">
            <v>0.38149118937015025</v>
          </cell>
          <cell r="V138">
            <v>7.4222095346845561E-3</v>
          </cell>
        </row>
        <row r="139">
          <cell r="A139">
            <v>319</v>
          </cell>
          <cell r="B139" t="str">
            <v>Sutton</v>
          </cell>
          <cell r="C139">
            <v>78.5</v>
          </cell>
          <cell r="D139">
            <v>0</v>
          </cell>
          <cell r="E139">
            <v>78.5</v>
          </cell>
          <cell r="F139">
            <v>14443.5</v>
          </cell>
          <cell r="G139">
            <v>0</v>
          </cell>
          <cell r="H139">
            <v>15723</v>
          </cell>
          <cell r="I139">
            <v>0</v>
          </cell>
          <cell r="J139">
            <v>275</v>
          </cell>
          <cell r="K139">
            <v>77</v>
          </cell>
          <cell r="L139">
            <v>352</v>
          </cell>
          <cell r="M139">
            <v>17</v>
          </cell>
          <cell r="N139">
            <v>1646</v>
          </cell>
          <cell r="O139">
            <v>0</v>
          </cell>
          <cell r="P139">
            <v>0</v>
          </cell>
          <cell r="Q139">
            <v>32260</v>
          </cell>
          <cell r="S139">
            <v>30441.5</v>
          </cell>
          <cell r="T139">
            <v>0.47446742111919582</v>
          </cell>
          <cell r="U139">
            <v>0.51649885846623855</v>
          </cell>
          <cell r="V139">
            <v>9.0337204145656425E-3</v>
          </cell>
        </row>
        <row r="140">
          <cell r="A140">
            <v>320</v>
          </cell>
          <cell r="B140" t="str">
            <v>Waltham Forest</v>
          </cell>
          <cell r="C140">
            <v>187</v>
          </cell>
          <cell r="D140">
            <v>0</v>
          </cell>
          <cell r="E140">
            <v>187</v>
          </cell>
          <cell r="F140">
            <v>20109.5</v>
          </cell>
          <cell r="G140">
            <v>0</v>
          </cell>
          <cell r="H140">
            <v>13850</v>
          </cell>
          <cell r="I140">
            <v>0</v>
          </cell>
          <cell r="J140">
            <v>629</v>
          </cell>
          <cell r="K140">
            <v>0</v>
          </cell>
          <cell r="L140">
            <v>629</v>
          </cell>
          <cell r="M140">
            <v>19</v>
          </cell>
          <cell r="N140">
            <v>1764</v>
          </cell>
          <cell r="O140">
            <v>0</v>
          </cell>
          <cell r="P140">
            <v>0</v>
          </cell>
          <cell r="Q140">
            <v>36558.5</v>
          </cell>
          <cell r="S140">
            <v>34588.5</v>
          </cell>
          <cell r="T140">
            <v>0.58139265940991947</v>
          </cell>
          <cell r="U140">
            <v>0.40042210561313729</v>
          </cell>
          <cell r="V140">
            <v>1.8185234976943205E-2</v>
          </cell>
        </row>
        <row r="142">
          <cell r="B142" t="str">
            <v>SOUTH EAST</v>
          </cell>
          <cell r="C142">
            <v>2266.5</v>
          </cell>
          <cell r="D142">
            <v>0</v>
          </cell>
          <cell r="E142">
            <v>2266.5</v>
          </cell>
          <cell r="F142">
            <v>624943.5</v>
          </cell>
          <cell r="G142">
            <v>12371</v>
          </cell>
          <cell r="H142">
            <v>511581.5</v>
          </cell>
          <cell r="I142">
            <v>10953</v>
          </cell>
          <cell r="J142">
            <v>14746.5</v>
          </cell>
          <cell r="K142">
            <v>2208</v>
          </cell>
          <cell r="L142">
            <v>16954.5</v>
          </cell>
          <cell r="M142">
            <v>1386</v>
          </cell>
          <cell r="N142">
            <v>143896.5</v>
          </cell>
          <cell r="O142">
            <v>1358</v>
          </cell>
          <cell r="P142">
            <v>0</v>
          </cell>
          <cell r="Q142">
            <v>1302386.5</v>
          </cell>
          <cell r="S142">
            <v>1151271.5</v>
          </cell>
          <cell r="T142">
            <v>0.54282895042568147</v>
          </cell>
          <cell r="U142">
            <v>0.44436216826352426</v>
          </cell>
          <cell r="V142">
            <v>1.2808881310794195E-2</v>
          </cell>
        </row>
        <row r="143">
          <cell r="A143">
            <v>867</v>
          </cell>
          <cell r="B143" t="str">
            <v>Bracknell Forest</v>
          </cell>
          <cell r="C143">
            <v>0</v>
          </cell>
          <cell r="D143">
            <v>0</v>
          </cell>
          <cell r="E143">
            <v>0</v>
          </cell>
          <cell r="F143">
            <v>8511.5</v>
          </cell>
          <cell r="G143">
            <v>0</v>
          </cell>
          <cell r="H143">
            <v>6106</v>
          </cell>
          <cell r="I143">
            <v>0</v>
          </cell>
          <cell r="J143">
            <v>168</v>
          </cell>
          <cell r="K143">
            <v>0</v>
          </cell>
          <cell r="L143">
            <v>168</v>
          </cell>
          <cell r="M143">
            <v>29</v>
          </cell>
          <cell r="N143">
            <v>2723</v>
          </cell>
          <cell r="O143">
            <v>0</v>
          </cell>
          <cell r="P143">
            <v>0</v>
          </cell>
          <cell r="Q143">
            <v>17537.5</v>
          </cell>
          <cell r="S143">
            <v>14785.5</v>
          </cell>
          <cell r="T143">
            <v>0.57566534780697309</v>
          </cell>
          <cell r="U143">
            <v>0.41297216867877312</v>
          </cell>
          <cell r="V143">
            <v>1.136248351425383E-2</v>
          </cell>
        </row>
        <row r="144">
          <cell r="A144">
            <v>846</v>
          </cell>
          <cell r="B144" t="str">
            <v>Brighton and Hove</v>
          </cell>
          <cell r="C144">
            <v>87.5</v>
          </cell>
          <cell r="D144">
            <v>0</v>
          </cell>
          <cell r="E144">
            <v>87.5</v>
          </cell>
          <cell r="F144">
            <v>16452</v>
          </cell>
          <cell r="G144">
            <v>0</v>
          </cell>
          <cell r="H144">
            <v>12386</v>
          </cell>
          <cell r="I144">
            <v>0</v>
          </cell>
          <cell r="J144">
            <v>526.5</v>
          </cell>
          <cell r="K144">
            <v>285</v>
          </cell>
          <cell r="L144">
            <v>811.5</v>
          </cell>
          <cell r="M144">
            <v>0</v>
          </cell>
          <cell r="N144">
            <v>4744</v>
          </cell>
          <cell r="O144">
            <v>0</v>
          </cell>
          <cell r="P144">
            <v>0</v>
          </cell>
          <cell r="Q144">
            <v>34481</v>
          </cell>
          <cell r="S144">
            <v>29364.5</v>
          </cell>
          <cell r="T144">
            <v>0.56026835124044339</v>
          </cell>
          <cell r="U144">
            <v>0.42180183554972839</v>
          </cell>
          <cell r="V144">
            <v>1.7929813209828192E-2</v>
          </cell>
        </row>
        <row r="145">
          <cell r="A145">
            <v>825</v>
          </cell>
          <cell r="B145" t="str">
            <v>Buckinghamshire</v>
          </cell>
          <cell r="C145">
            <v>86</v>
          </cell>
          <cell r="D145">
            <v>0</v>
          </cell>
          <cell r="E145">
            <v>86</v>
          </cell>
          <cell r="F145">
            <v>38810</v>
          </cell>
          <cell r="G145">
            <v>0</v>
          </cell>
          <cell r="H145">
            <v>34617</v>
          </cell>
          <cell r="I145">
            <v>0</v>
          </cell>
          <cell r="J145">
            <v>1026</v>
          </cell>
          <cell r="K145">
            <v>36</v>
          </cell>
          <cell r="L145">
            <v>1062</v>
          </cell>
          <cell r="M145">
            <v>78</v>
          </cell>
          <cell r="N145">
            <v>8053.5</v>
          </cell>
          <cell r="O145">
            <v>0</v>
          </cell>
          <cell r="P145">
            <v>0</v>
          </cell>
          <cell r="Q145">
            <v>82706.5</v>
          </cell>
          <cell r="S145">
            <v>74453</v>
          </cell>
          <cell r="T145">
            <v>0.52126845123769361</v>
          </cell>
          <cell r="U145">
            <v>0.46495104293984124</v>
          </cell>
          <cell r="V145">
            <v>1.3780505822465179E-2</v>
          </cell>
        </row>
        <row r="146">
          <cell r="A146">
            <v>845</v>
          </cell>
          <cell r="B146" t="str">
            <v>East Sussex</v>
          </cell>
          <cell r="C146">
            <v>0</v>
          </cell>
          <cell r="D146">
            <v>0</v>
          </cell>
          <cell r="E146">
            <v>0</v>
          </cell>
          <cell r="F146">
            <v>35861.5</v>
          </cell>
          <cell r="G146">
            <v>0</v>
          </cell>
          <cell r="H146">
            <v>28848</v>
          </cell>
          <cell r="I146">
            <v>0</v>
          </cell>
          <cell r="J146">
            <v>865</v>
          </cell>
          <cell r="K146">
            <v>219.5</v>
          </cell>
          <cell r="L146">
            <v>1084.5</v>
          </cell>
          <cell r="M146">
            <v>29</v>
          </cell>
          <cell r="N146">
            <v>7502.5</v>
          </cell>
          <cell r="O146">
            <v>0</v>
          </cell>
          <cell r="P146">
            <v>0</v>
          </cell>
          <cell r="Q146">
            <v>73325.5</v>
          </cell>
          <cell r="S146">
            <v>65574.5</v>
          </cell>
          <cell r="T146">
            <v>0.54688179094007583</v>
          </cell>
          <cell r="U146">
            <v>0.43992710581094785</v>
          </cell>
          <cell r="V146">
            <v>1.3191103248976354E-2</v>
          </cell>
        </row>
        <row r="147">
          <cell r="A147">
            <v>850</v>
          </cell>
          <cell r="B147" t="str">
            <v>Hampshire</v>
          </cell>
          <cell r="C147">
            <v>97.5</v>
          </cell>
          <cell r="D147">
            <v>0</v>
          </cell>
          <cell r="E147">
            <v>97.5</v>
          </cell>
          <cell r="F147">
            <v>99300.5</v>
          </cell>
          <cell r="G147">
            <v>0</v>
          </cell>
          <cell r="H147">
            <v>72631</v>
          </cell>
          <cell r="I147">
            <v>0</v>
          </cell>
          <cell r="J147">
            <v>2256.5</v>
          </cell>
          <cell r="K147">
            <v>145.5</v>
          </cell>
          <cell r="L147">
            <v>2402</v>
          </cell>
          <cell r="M147">
            <v>268</v>
          </cell>
          <cell r="N147">
            <v>15380</v>
          </cell>
          <cell r="O147">
            <v>0</v>
          </cell>
          <cell r="P147">
            <v>0</v>
          </cell>
          <cell r="Q147">
            <v>190079</v>
          </cell>
          <cell r="S147">
            <v>174188</v>
          </cell>
          <cell r="T147">
            <v>0.57007658392082117</v>
          </cell>
          <cell r="U147">
            <v>0.41696902197625552</v>
          </cell>
          <cell r="V147">
            <v>1.2954394102923279E-2</v>
          </cell>
        </row>
        <row r="148">
          <cell r="A148">
            <v>921</v>
          </cell>
          <cell r="B148" t="str">
            <v>Isle of Wight</v>
          </cell>
          <cell r="C148">
            <v>0</v>
          </cell>
          <cell r="D148">
            <v>0</v>
          </cell>
          <cell r="E148">
            <v>0</v>
          </cell>
          <cell r="F148">
            <v>7192</v>
          </cell>
          <cell r="G148">
            <v>0</v>
          </cell>
          <cell r="H148">
            <v>12154.5</v>
          </cell>
          <cell r="I148">
            <v>6197</v>
          </cell>
          <cell r="J148">
            <v>204</v>
          </cell>
          <cell r="K148">
            <v>75</v>
          </cell>
          <cell r="L148">
            <v>279</v>
          </cell>
          <cell r="M148">
            <v>16</v>
          </cell>
          <cell r="N148">
            <v>896</v>
          </cell>
          <cell r="O148">
            <v>0</v>
          </cell>
          <cell r="P148">
            <v>0</v>
          </cell>
          <cell r="Q148">
            <v>20537.5</v>
          </cell>
          <cell r="S148">
            <v>19550.5</v>
          </cell>
          <cell r="T148">
            <v>0.36786782946727703</v>
          </cell>
          <cell r="U148">
            <v>0.62169765479143757</v>
          </cell>
          <cell r="V148">
            <v>1.0434515741285389E-2</v>
          </cell>
        </row>
        <row r="149">
          <cell r="A149">
            <v>886</v>
          </cell>
          <cell r="B149" t="str">
            <v>Kent</v>
          </cell>
          <cell r="C149">
            <v>42</v>
          </cell>
          <cell r="D149">
            <v>0</v>
          </cell>
          <cell r="E149">
            <v>42</v>
          </cell>
          <cell r="F149">
            <v>110964</v>
          </cell>
          <cell r="G149">
            <v>0</v>
          </cell>
          <cell r="H149">
            <v>98116</v>
          </cell>
          <cell r="I149">
            <v>1989</v>
          </cell>
          <cell r="J149">
            <v>2698.5</v>
          </cell>
          <cell r="K149">
            <v>333</v>
          </cell>
          <cell r="L149">
            <v>3031.5</v>
          </cell>
          <cell r="M149">
            <v>153</v>
          </cell>
          <cell r="N149">
            <v>18460</v>
          </cell>
          <cell r="O149">
            <v>1358</v>
          </cell>
          <cell r="P149">
            <v>0</v>
          </cell>
          <cell r="Q149">
            <v>232124.5</v>
          </cell>
          <cell r="S149">
            <v>211778.5</v>
          </cell>
          <cell r="T149">
            <v>0.52396253632923073</v>
          </cell>
          <cell r="U149">
            <v>0.46329537700946982</v>
          </cell>
          <cell r="V149">
            <v>1.2742086661299423E-2</v>
          </cell>
        </row>
        <row r="150">
          <cell r="A150">
            <v>887</v>
          </cell>
          <cell r="B150" t="str">
            <v>Medway</v>
          </cell>
          <cell r="C150">
            <v>0</v>
          </cell>
          <cell r="D150">
            <v>0</v>
          </cell>
          <cell r="E150">
            <v>0</v>
          </cell>
          <cell r="F150">
            <v>22878</v>
          </cell>
          <cell r="G150">
            <v>0</v>
          </cell>
          <cell r="H150">
            <v>20718</v>
          </cell>
          <cell r="I150">
            <v>0</v>
          </cell>
          <cell r="J150">
            <v>462.5</v>
          </cell>
          <cell r="K150">
            <v>0</v>
          </cell>
          <cell r="L150">
            <v>462.5</v>
          </cell>
          <cell r="M150">
            <v>142</v>
          </cell>
          <cell r="N150">
            <v>1558</v>
          </cell>
          <cell r="O150">
            <v>0</v>
          </cell>
          <cell r="P150">
            <v>0</v>
          </cell>
          <cell r="Q150">
            <v>45758.5</v>
          </cell>
          <cell r="S150">
            <v>44058.5</v>
          </cell>
          <cell r="T150">
            <v>0.51926416015070875</v>
          </cell>
          <cell r="U150">
            <v>0.47023843299249862</v>
          </cell>
          <cell r="V150">
            <v>1.0497406856792674E-2</v>
          </cell>
        </row>
        <row r="151">
          <cell r="A151">
            <v>826</v>
          </cell>
          <cell r="B151" t="str">
            <v>Milton Keynes</v>
          </cell>
          <cell r="C151">
            <v>62</v>
          </cell>
          <cell r="D151">
            <v>0</v>
          </cell>
          <cell r="E151">
            <v>62</v>
          </cell>
          <cell r="F151">
            <v>22310</v>
          </cell>
          <cell r="G151">
            <v>4433</v>
          </cell>
          <cell r="H151">
            <v>12873</v>
          </cell>
          <cell r="I151">
            <v>0</v>
          </cell>
          <cell r="J151">
            <v>559.5</v>
          </cell>
          <cell r="K151">
            <v>0</v>
          </cell>
          <cell r="L151">
            <v>559.5</v>
          </cell>
          <cell r="M151">
            <v>56</v>
          </cell>
          <cell r="N151">
            <v>1168</v>
          </cell>
          <cell r="O151">
            <v>0</v>
          </cell>
          <cell r="P151">
            <v>0</v>
          </cell>
          <cell r="Q151">
            <v>37028.5</v>
          </cell>
          <cell r="S151">
            <v>35742.5</v>
          </cell>
          <cell r="T151">
            <v>0.62418689235503955</v>
          </cell>
          <cell r="U151">
            <v>0.36015947401552773</v>
          </cell>
          <cell r="V151">
            <v>1.5653633629432749E-2</v>
          </cell>
        </row>
        <row r="152">
          <cell r="A152">
            <v>931</v>
          </cell>
          <cell r="B152" t="str">
            <v>Oxfordshire</v>
          </cell>
          <cell r="C152">
            <v>377</v>
          </cell>
          <cell r="D152">
            <v>0</v>
          </cell>
          <cell r="E152">
            <v>377</v>
          </cell>
          <cell r="F152">
            <v>44129.5</v>
          </cell>
          <cell r="G152">
            <v>0</v>
          </cell>
          <cell r="H152">
            <v>38089</v>
          </cell>
          <cell r="I152">
            <v>0</v>
          </cell>
          <cell r="J152">
            <v>787.5</v>
          </cell>
          <cell r="K152">
            <v>139</v>
          </cell>
          <cell r="L152">
            <v>926.5</v>
          </cell>
          <cell r="M152">
            <v>127</v>
          </cell>
          <cell r="N152">
            <v>14923</v>
          </cell>
          <cell r="O152">
            <v>0</v>
          </cell>
          <cell r="P152">
            <v>0</v>
          </cell>
          <cell r="Q152">
            <v>98572</v>
          </cell>
          <cell r="S152">
            <v>83006</v>
          </cell>
          <cell r="T152">
            <v>0.53164229091872872</v>
          </cell>
          <cell r="U152">
            <v>0.45887044310049874</v>
          </cell>
          <cell r="V152">
            <v>9.4872659807724736E-3</v>
          </cell>
        </row>
        <row r="153">
          <cell r="A153">
            <v>851</v>
          </cell>
          <cell r="B153" t="str">
            <v>Portsmouth</v>
          </cell>
          <cell r="C153">
            <v>44</v>
          </cell>
          <cell r="D153">
            <v>0</v>
          </cell>
          <cell r="E153">
            <v>44</v>
          </cell>
          <cell r="F153">
            <v>14428.5</v>
          </cell>
          <cell r="G153">
            <v>0</v>
          </cell>
          <cell r="H153">
            <v>10092</v>
          </cell>
          <cell r="I153">
            <v>0</v>
          </cell>
          <cell r="J153">
            <v>428.5</v>
          </cell>
          <cell r="K153">
            <v>0</v>
          </cell>
          <cell r="L153">
            <v>428.5</v>
          </cell>
          <cell r="M153">
            <v>40</v>
          </cell>
          <cell r="N153">
            <v>3150</v>
          </cell>
          <cell r="O153">
            <v>0</v>
          </cell>
          <cell r="P153">
            <v>0</v>
          </cell>
          <cell r="Q153">
            <v>28183</v>
          </cell>
          <cell r="S153">
            <v>24949</v>
          </cell>
          <cell r="T153">
            <v>0.57831977233556453</v>
          </cell>
          <cell r="U153">
            <v>0.40450519058880113</v>
          </cell>
          <cell r="V153">
            <v>1.7175037075634295E-2</v>
          </cell>
        </row>
        <row r="154">
          <cell r="A154">
            <v>870</v>
          </cell>
          <cell r="B154" t="str">
            <v>Reading</v>
          </cell>
          <cell r="C154">
            <v>297.5</v>
          </cell>
          <cell r="D154">
            <v>0</v>
          </cell>
          <cell r="E154">
            <v>297.5</v>
          </cell>
          <cell r="F154">
            <v>9617.5</v>
          </cell>
          <cell r="G154">
            <v>0</v>
          </cell>
          <cell r="H154">
            <v>6169</v>
          </cell>
          <cell r="I154">
            <v>0</v>
          </cell>
          <cell r="J154">
            <v>193.5</v>
          </cell>
          <cell r="K154">
            <v>0</v>
          </cell>
          <cell r="L154">
            <v>193.5</v>
          </cell>
          <cell r="M154">
            <v>31</v>
          </cell>
          <cell r="N154">
            <v>2984.5</v>
          </cell>
          <cell r="O154">
            <v>0</v>
          </cell>
          <cell r="P154">
            <v>0</v>
          </cell>
          <cell r="Q154">
            <v>19293</v>
          </cell>
          <cell r="S154">
            <v>15980</v>
          </cell>
          <cell r="T154">
            <v>0.60184605757196497</v>
          </cell>
          <cell r="U154">
            <v>0.38604505632040048</v>
          </cell>
          <cell r="V154">
            <v>1.2108886107634543E-2</v>
          </cell>
        </row>
        <row r="155">
          <cell r="A155">
            <v>871</v>
          </cell>
          <cell r="B155" t="str">
            <v>Slough</v>
          </cell>
          <cell r="C155">
            <v>324</v>
          </cell>
          <cell r="D155">
            <v>0</v>
          </cell>
          <cell r="E155">
            <v>324</v>
          </cell>
          <cell r="F155">
            <v>10724</v>
          </cell>
          <cell r="G155">
            <v>0</v>
          </cell>
          <cell r="H155">
            <v>8441</v>
          </cell>
          <cell r="I155">
            <v>0</v>
          </cell>
          <cell r="J155">
            <v>253.5</v>
          </cell>
          <cell r="K155">
            <v>0</v>
          </cell>
          <cell r="L155">
            <v>253.5</v>
          </cell>
          <cell r="M155">
            <v>54</v>
          </cell>
          <cell r="N155">
            <v>711</v>
          </cell>
          <cell r="O155">
            <v>0</v>
          </cell>
          <cell r="P155">
            <v>0</v>
          </cell>
          <cell r="Q155">
            <v>20507.5</v>
          </cell>
          <cell r="S155">
            <v>19418.5</v>
          </cell>
          <cell r="T155">
            <v>0.55225686845018929</v>
          </cell>
          <cell r="U155">
            <v>0.43468857017792312</v>
          </cell>
          <cell r="V155">
            <v>1.3054561371887633E-2</v>
          </cell>
        </row>
        <row r="156">
          <cell r="A156">
            <v>852</v>
          </cell>
          <cell r="B156" t="str">
            <v>Southampton</v>
          </cell>
          <cell r="C156">
            <v>30.5</v>
          </cell>
          <cell r="D156">
            <v>0</v>
          </cell>
          <cell r="E156">
            <v>30.5</v>
          </cell>
          <cell r="F156">
            <v>16275.5</v>
          </cell>
          <cell r="G156">
            <v>0</v>
          </cell>
          <cell r="H156">
            <v>12172</v>
          </cell>
          <cell r="I156">
            <v>0</v>
          </cell>
          <cell r="J156">
            <v>332</v>
          </cell>
          <cell r="K156">
            <v>22</v>
          </cell>
          <cell r="L156">
            <v>354</v>
          </cell>
          <cell r="M156">
            <v>30</v>
          </cell>
          <cell r="N156">
            <v>2180</v>
          </cell>
          <cell r="O156">
            <v>0</v>
          </cell>
          <cell r="P156">
            <v>0</v>
          </cell>
          <cell r="Q156">
            <v>31042</v>
          </cell>
          <cell r="S156">
            <v>28779.5</v>
          </cell>
          <cell r="T156">
            <v>0.56552407095328272</v>
          </cell>
          <cell r="U156">
            <v>0.42293993988776735</v>
          </cell>
          <cell r="V156">
            <v>1.1535989158949947E-2</v>
          </cell>
        </row>
        <row r="157">
          <cell r="A157">
            <v>936</v>
          </cell>
          <cell r="B157" t="str">
            <v>Surrey</v>
          </cell>
          <cell r="C157">
            <v>244</v>
          </cell>
          <cell r="D157">
            <v>0</v>
          </cell>
          <cell r="E157">
            <v>244</v>
          </cell>
          <cell r="F157">
            <v>76946</v>
          </cell>
          <cell r="G157">
            <v>0</v>
          </cell>
          <cell r="H157">
            <v>59447</v>
          </cell>
          <cell r="I157">
            <v>0</v>
          </cell>
          <cell r="J157">
            <v>1875</v>
          </cell>
          <cell r="K157">
            <v>551</v>
          </cell>
          <cell r="L157">
            <v>2426</v>
          </cell>
          <cell r="M157">
            <v>142</v>
          </cell>
          <cell r="N157">
            <v>36725.5</v>
          </cell>
          <cell r="O157">
            <v>0</v>
          </cell>
          <cell r="P157">
            <v>0</v>
          </cell>
          <cell r="Q157">
            <v>175930.5</v>
          </cell>
          <cell r="S157">
            <v>138268</v>
          </cell>
          <cell r="T157">
            <v>0.55649897300893914</v>
          </cell>
          <cell r="U157">
            <v>0.4299404055891457</v>
          </cell>
          <cell r="V157">
            <v>1.3560621401915121E-2</v>
          </cell>
        </row>
        <row r="158">
          <cell r="A158">
            <v>869</v>
          </cell>
          <cell r="B158" t="str">
            <v>West Berkshire</v>
          </cell>
          <cell r="C158">
            <v>98.5</v>
          </cell>
          <cell r="D158">
            <v>0</v>
          </cell>
          <cell r="E158">
            <v>98.5</v>
          </cell>
          <cell r="F158">
            <v>11717.5</v>
          </cell>
          <cell r="G158">
            <v>0</v>
          </cell>
          <cell r="H158">
            <v>12174</v>
          </cell>
          <cell r="I158">
            <v>0</v>
          </cell>
          <cell r="J158">
            <v>323</v>
          </cell>
          <cell r="K158">
            <v>226</v>
          </cell>
          <cell r="L158">
            <v>549</v>
          </cell>
          <cell r="M158">
            <v>58</v>
          </cell>
          <cell r="N158">
            <v>3052.5</v>
          </cell>
          <cell r="O158">
            <v>0</v>
          </cell>
          <cell r="P158">
            <v>0</v>
          </cell>
          <cell r="Q158">
            <v>27649.5</v>
          </cell>
          <cell r="S158">
            <v>24214.5</v>
          </cell>
          <cell r="T158">
            <v>0.48390427223357907</v>
          </cell>
          <cell r="U158">
            <v>0.50275661277333827</v>
          </cell>
          <cell r="V158">
            <v>1.3339114993082657E-2</v>
          </cell>
        </row>
        <row r="159">
          <cell r="A159">
            <v>938</v>
          </cell>
          <cell r="B159" t="str">
            <v>West Sussex</v>
          </cell>
          <cell r="C159">
            <v>199</v>
          </cell>
          <cell r="D159">
            <v>0</v>
          </cell>
          <cell r="E159">
            <v>199</v>
          </cell>
          <cell r="F159">
            <v>58867</v>
          </cell>
          <cell r="G159">
            <v>7938</v>
          </cell>
          <cell r="H159">
            <v>45031</v>
          </cell>
          <cell r="I159">
            <v>1166</v>
          </cell>
          <cell r="J159">
            <v>1389.5</v>
          </cell>
          <cell r="K159">
            <v>73</v>
          </cell>
          <cell r="L159">
            <v>1462.5</v>
          </cell>
          <cell r="M159">
            <v>92</v>
          </cell>
          <cell r="N159">
            <v>11031.5</v>
          </cell>
          <cell r="O159">
            <v>0</v>
          </cell>
          <cell r="P159">
            <v>0</v>
          </cell>
          <cell r="Q159">
            <v>116683</v>
          </cell>
          <cell r="S159">
            <v>105287.5</v>
          </cell>
          <cell r="T159">
            <v>0.55910720645850642</v>
          </cell>
          <cell r="U159">
            <v>0.42769559539356522</v>
          </cell>
          <cell r="V159">
            <v>1.3197198147928291E-2</v>
          </cell>
        </row>
        <row r="160">
          <cell r="A160">
            <v>868</v>
          </cell>
          <cell r="B160" t="str">
            <v>Windsor and Maidenhead</v>
          </cell>
          <cell r="C160">
            <v>203</v>
          </cell>
          <cell r="D160">
            <v>0</v>
          </cell>
          <cell r="E160">
            <v>203</v>
          </cell>
          <cell r="F160">
            <v>8047</v>
          </cell>
          <cell r="G160">
            <v>0</v>
          </cell>
          <cell r="H160">
            <v>10491</v>
          </cell>
          <cell r="I160">
            <v>1601</v>
          </cell>
          <cell r="J160">
            <v>139</v>
          </cell>
          <cell r="K160">
            <v>47</v>
          </cell>
          <cell r="L160">
            <v>186</v>
          </cell>
          <cell r="M160">
            <v>19</v>
          </cell>
          <cell r="N160">
            <v>5705.5</v>
          </cell>
          <cell r="O160">
            <v>0</v>
          </cell>
          <cell r="P160">
            <v>0</v>
          </cell>
          <cell r="Q160">
            <v>24651.5</v>
          </cell>
          <cell r="S160">
            <v>18677</v>
          </cell>
          <cell r="T160">
            <v>0.43085077903303526</v>
          </cell>
          <cell r="U160">
            <v>0.56170691224500724</v>
          </cell>
          <cell r="V160">
            <v>7.4423087219574876E-3</v>
          </cell>
        </row>
        <row r="161">
          <cell r="A161">
            <v>872</v>
          </cell>
          <cell r="B161" t="str">
            <v>Wokingham</v>
          </cell>
          <cell r="C161">
            <v>74</v>
          </cell>
          <cell r="D161">
            <v>0</v>
          </cell>
          <cell r="E161">
            <v>74</v>
          </cell>
          <cell r="F161">
            <v>11911.5</v>
          </cell>
          <cell r="G161">
            <v>0</v>
          </cell>
          <cell r="H161">
            <v>11026</v>
          </cell>
          <cell r="I161">
            <v>0</v>
          </cell>
          <cell r="J161">
            <v>258.5</v>
          </cell>
          <cell r="K161">
            <v>56</v>
          </cell>
          <cell r="L161">
            <v>314.5</v>
          </cell>
          <cell r="M161">
            <v>22</v>
          </cell>
          <cell r="N161">
            <v>2948</v>
          </cell>
          <cell r="O161">
            <v>0</v>
          </cell>
          <cell r="P161">
            <v>0</v>
          </cell>
          <cell r="Q161">
            <v>26296</v>
          </cell>
          <cell r="S161">
            <v>23196</v>
          </cell>
          <cell r="T161">
            <v>0.51351526125194003</v>
          </cell>
          <cell r="U161">
            <v>0.47534057596137264</v>
          </cell>
          <cell r="V161">
            <v>1.114416278668736E-2</v>
          </cell>
        </row>
        <row r="163">
          <cell r="B163" t="str">
            <v>SOUTH WEST</v>
          </cell>
          <cell r="C163">
            <v>1307</v>
          </cell>
          <cell r="D163">
            <v>0</v>
          </cell>
          <cell r="E163">
            <v>1307</v>
          </cell>
          <cell r="F163">
            <v>383827</v>
          </cell>
          <cell r="G163">
            <v>6095</v>
          </cell>
          <cell r="H163">
            <v>326221</v>
          </cell>
          <cell r="I163">
            <v>14333.5</v>
          </cell>
          <cell r="J163">
            <v>6787.5</v>
          </cell>
          <cell r="K163">
            <v>515.5</v>
          </cell>
          <cell r="L163">
            <v>7303</v>
          </cell>
          <cell r="M163">
            <v>1076</v>
          </cell>
          <cell r="N163">
            <v>60860.5</v>
          </cell>
          <cell r="O163">
            <v>1021</v>
          </cell>
          <cell r="P163">
            <v>1086</v>
          </cell>
          <cell r="Q163">
            <v>782701.5</v>
          </cell>
          <cell r="S163">
            <v>716835.5</v>
          </cell>
          <cell r="T163">
            <v>0.53544641692550099</v>
          </cell>
          <cell r="U163">
            <v>0.45508488349140075</v>
          </cell>
          <cell r="V163">
            <v>9.4686995830982144E-3</v>
          </cell>
        </row>
        <row r="164">
          <cell r="A164">
            <v>800</v>
          </cell>
          <cell r="B164" t="str">
            <v>Bath and North East Somerset</v>
          </cell>
          <cell r="C164">
            <v>0</v>
          </cell>
          <cell r="D164">
            <v>0</v>
          </cell>
          <cell r="E164">
            <v>0</v>
          </cell>
          <cell r="F164">
            <v>12379.5</v>
          </cell>
          <cell r="G164">
            <v>0</v>
          </cell>
          <cell r="H164">
            <v>12433</v>
          </cell>
          <cell r="I164">
            <v>0</v>
          </cell>
          <cell r="J164">
            <v>301</v>
          </cell>
          <cell r="K164">
            <v>0</v>
          </cell>
          <cell r="L164">
            <v>301</v>
          </cell>
          <cell r="M164">
            <v>7</v>
          </cell>
          <cell r="N164">
            <v>4301.5</v>
          </cell>
          <cell r="O164">
            <v>0</v>
          </cell>
          <cell r="P164">
            <v>0</v>
          </cell>
          <cell r="Q164">
            <v>29422</v>
          </cell>
          <cell r="S164">
            <v>25113.5</v>
          </cell>
          <cell r="T164">
            <v>0.49294204312421608</v>
          </cell>
          <cell r="U164">
            <v>0.49507237143369104</v>
          </cell>
          <cell r="V164">
            <v>1.1985585442092899E-2</v>
          </cell>
        </row>
        <row r="165">
          <cell r="A165">
            <v>837</v>
          </cell>
          <cell r="B165" t="str">
            <v>Bournemouth</v>
          </cell>
          <cell r="C165">
            <v>0</v>
          </cell>
          <cell r="D165">
            <v>0</v>
          </cell>
          <cell r="E165">
            <v>0</v>
          </cell>
          <cell r="F165">
            <v>10785.5</v>
          </cell>
          <cell r="G165">
            <v>0</v>
          </cell>
          <cell r="H165">
            <v>10003.5</v>
          </cell>
          <cell r="I165">
            <v>0</v>
          </cell>
          <cell r="J165">
            <v>209</v>
          </cell>
          <cell r="K165">
            <v>0</v>
          </cell>
          <cell r="L165">
            <v>209</v>
          </cell>
          <cell r="M165">
            <v>9</v>
          </cell>
          <cell r="N165">
            <v>1509.5</v>
          </cell>
          <cell r="O165">
            <v>0</v>
          </cell>
          <cell r="P165">
            <v>0</v>
          </cell>
          <cell r="Q165">
            <v>22516.5</v>
          </cell>
          <cell r="S165">
            <v>20998</v>
          </cell>
          <cell r="T165">
            <v>0.51364415658634155</v>
          </cell>
          <cell r="U165">
            <v>0.47640251452519289</v>
          </cell>
          <cell r="V165">
            <v>9.9533288884655676E-3</v>
          </cell>
        </row>
        <row r="166">
          <cell r="A166">
            <v>801</v>
          </cell>
          <cell r="B166" t="str">
            <v>Bristol, City of</v>
          </cell>
          <cell r="C166">
            <v>1089</v>
          </cell>
          <cell r="D166">
            <v>0</v>
          </cell>
          <cell r="E166">
            <v>1089</v>
          </cell>
          <cell r="F166">
            <v>29461.5</v>
          </cell>
          <cell r="G166">
            <v>0</v>
          </cell>
          <cell r="H166">
            <v>16662</v>
          </cell>
          <cell r="I166">
            <v>0</v>
          </cell>
          <cell r="J166">
            <v>684</v>
          </cell>
          <cell r="K166">
            <v>0</v>
          </cell>
          <cell r="L166">
            <v>684</v>
          </cell>
          <cell r="M166">
            <v>132</v>
          </cell>
          <cell r="N166">
            <v>8124</v>
          </cell>
          <cell r="O166">
            <v>0</v>
          </cell>
          <cell r="P166">
            <v>1086</v>
          </cell>
          <cell r="Q166">
            <v>57238.5</v>
          </cell>
          <cell r="S166">
            <v>46807.5</v>
          </cell>
          <cell r="T166">
            <v>0.6294183624419164</v>
          </cell>
          <cell r="U166">
            <v>0.35596859477647813</v>
          </cell>
          <cell r="V166">
            <v>1.4613042781605513E-2</v>
          </cell>
        </row>
        <row r="167">
          <cell r="A167">
            <v>908</v>
          </cell>
          <cell r="B167" t="str">
            <v>Cornwall</v>
          </cell>
          <cell r="C167">
            <v>55.5</v>
          </cell>
          <cell r="D167">
            <v>0</v>
          </cell>
          <cell r="E167">
            <v>55.5</v>
          </cell>
          <cell r="F167">
            <v>38845</v>
          </cell>
          <cell r="G167">
            <v>0</v>
          </cell>
          <cell r="H167">
            <v>33068</v>
          </cell>
          <cell r="I167">
            <v>0</v>
          </cell>
          <cell r="J167">
            <v>420.5</v>
          </cell>
          <cell r="K167">
            <v>28</v>
          </cell>
          <cell r="L167">
            <v>448.5</v>
          </cell>
          <cell r="M167">
            <v>0</v>
          </cell>
          <cell r="N167">
            <v>2586.5</v>
          </cell>
          <cell r="O167">
            <v>0</v>
          </cell>
          <cell r="P167">
            <v>0</v>
          </cell>
          <cell r="Q167">
            <v>75003.5</v>
          </cell>
          <cell r="S167">
            <v>72333.5</v>
          </cell>
          <cell r="T167">
            <v>0.53702641238153825</v>
          </cell>
          <cell r="U167">
            <v>0.45716023695797936</v>
          </cell>
          <cell r="V167">
            <v>5.8133506604823495E-3</v>
          </cell>
        </row>
        <row r="168">
          <cell r="A168">
            <v>878</v>
          </cell>
          <cell r="B168" t="str">
            <v>Devon</v>
          </cell>
          <cell r="C168">
            <v>62.5</v>
          </cell>
          <cell r="D168">
            <v>0</v>
          </cell>
          <cell r="E168">
            <v>62.5</v>
          </cell>
          <cell r="F168">
            <v>54516</v>
          </cell>
          <cell r="G168">
            <v>2516</v>
          </cell>
          <cell r="H168">
            <v>42302.5</v>
          </cell>
          <cell r="I168">
            <v>0</v>
          </cell>
          <cell r="J168">
            <v>703.5</v>
          </cell>
          <cell r="K168">
            <v>263</v>
          </cell>
          <cell r="L168">
            <v>966.5</v>
          </cell>
          <cell r="M168">
            <v>77</v>
          </cell>
          <cell r="N168">
            <v>8546.5</v>
          </cell>
          <cell r="O168">
            <v>0</v>
          </cell>
          <cell r="P168">
            <v>0</v>
          </cell>
          <cell r="Q168">
            <v>106471</v>
          </cell>
          <cell r="S168">
            <v>97522</v>
          </cell>
          <cell r="T168">
            <v>0.55901232542400692</v>
          </cell>
          <cell r="U168">
            <v>0.4337739176801132</v>
          </cell>
          <cell r="V168">
            <v>7.2137568958799041E-3</v>
          </cell>
        </row>
        <row r="169">
          <cell r="A169">
            <v>835</v>
          </cell>
          <cell r="B169" t="str">
            <v>Dorset</v>
          </cell>
          <cell r="C169">
            <v>0</v>
          </cell>
          <cell r="D169">
            <v>0</v>
          </cell>
          <cell r="E169">
            <v>0</v>
          </cell>
          <cell r="F169">
            <v>24579.5</v>
          </cell>
          <cell r="G169">
            <v>0</v>
          </cell>
          <cell r="H169">
            <v>30567</v>
          </cell>
          <cell r="I169">
            <v>7949</v>
          </cell>
          <cell r="J169">
            <v>546</v>
          </cell>
          <cell r="K169">
            <v>0</v>
          </cell>
          <cell r="L169">
            <v>546</v>
          </cell>
          <cell r="M169">
            <v>112</v>
          </cell>
          <cell r="N169">
            <v>5947</v>
          </cell>
          <cell r="O169">
            <v>0</v>
          </cell>
          <cell r="P169">
            <v>0</v>
          </cell>
          <cell r="Q169">
            <v>61751.5</v>
          </cell>
          <cell r="S169">
            <v>55692.5</v>
          </cell>
          <cell r="T169">
            <v>0.44134308928491267</v>
          </cell>
          <cell r="U169">
            <v>0.54885307716478882</v>
          </cell>
          <cell r="V169">
            <v>9.8038335502985147E-3</v>
          </cell>
        </row>
        <row r="170">
          <cell r="A170">
            <v>916</v>
          </cell>
          <cell r="B170" t="str">
            <v>Gloucestershire</v>
          </cell>
          <cell r="C170">
            <v>0</v>
          </cell>
          <cell r="D170">
            <v>0</v>
          </cell>
          <cell r="E170">
            <v>0</v>
          </cell>
          <cell r="F170">
            <v>44810.5</v>
          </cell>
          <cell r="G170">
            <v>0</v>
          </cell>
          <cell r="H170">
            <v>40317</v>
          </cell>
          <cell r="I170">
            <v>0</v>
          </cell>
          <cell r="J170">
            <v>940.5</v>
          </cell>
          <cell r="K170">
            <v>54</v>
          </cell>
          <cell r="L170">
            <v>994.5</v>
          </cell>
          <cell r="M170">
            <v>181</v>
          </cell>
          <cell r="N170">
            <v>8510.5</v>
          </cell>
          <cell r="O170">
            <v>0</v>
          </cell>
          <cell r="P170">
            <v>0</v>
          </cell>
          <cell r="Q170">
            <v>94813.5</v>
          </cell>
          <cell r="S170">
            <v>86068</v>
          </cell>
          <cell r="T170">
            <v>0.52064065622531019</v>
          </cell>
          <cell r="U170">
            <v>0.46843193753776086</v>
          </cell>
          <cell r="V170">
            <v>1.0927406236928941E-2</v>
          </cell>
        </row>
        <row r="171">
          <cell r="A171">
            <v>420</v>
          </cell>
          <cell r="B171" t="str">
            <v>Isles of Scilly</v>
          </cell>
          <cell r="C171">
            <v>0</v>
          </cell>
          <cell r="D171">
            <v>0</v>
          </cell>
          <cell r="E171">
            <v>0</v>
          </cell>
          <cell r="F171">
            <v>263.5</v>
          </cell>
          <cell r="G171">
            <v>0</v>
          </cell>
          <cell r="H171">
            <v>0</v>
          </cell>
          <cell r="I171">
            <v>0</v>
          </cell>
          <cell r="J171">
            <v>0</v>
          </cell>
          <cell r="K171">
            <v>0</v>
          </cell>
          <cell r="L171">
            <v>0</v>
          </cell>
          <cell r="M171">
            <v>0</v>
          </cell>
          <cell r="N171">
            <v>0</v>
          </cell>
          <cell r="O171">
            <v>0</v>
          </cell>
          <cell r="P171">
            <v>0</v>
          </cell>
          <cell r="Q171">
            <v>263.5</v>
          </cell>
          <cell r="S171">
            <v>263.5</v>
          </cell>
          <cell r="T171">
            <v>1</v>
          </cell>
          <cell r="U171">
            <v>0</v>
          </cell>
          <cell r="V171">
            <v>0</v>
          </cell>
        </row>
        <row r="172">
          <cell r="A172">
            <v>802</v>
          </cell>
          <cell r="B172" t="str">
            <v>North Somerset</v>
          </cell>
          <cell r="C172">
            <v>0</v>
          </cell>
          <cell r="D172">
            <v>0</v>
          </cell>
          <cell r="E172">
            <v>0</v>
          </cell>
          <cell r="F172">
            <v>14824.5</v>
          </cell>
          <cell r="G172">
            <v>0</v>
          </cell>
          <cell r="H172">
            <v>12934</v>
          </cell>
          <cell r="I172">
            <v>0</v>
          </cell>
          <cell r="J172">
            <v>245</v>
          </cell>
          <cell r="K172">
            <v>0</v>
          </cell>
          <cell r="L172">
            <v>245</v>
          </cell>
          <cell r="M172">
            <v>34</v>
          </cell>
          <cell r="N172">
            <v>1075.5</v>
          </cell>
          <cell r="O172">
            <v>0</v>
          </cell>
          <cell r="P172">
            <v>0</v>
          </cell>
          <cell r="Q172">
            <v>29113</v>
          </cell>
          <cell r="S172">
            <v>28003.5</v>
          </cell>
          <cell r="T172">
            <v>0.52938025603942362</v>
          </cell>
          <cell r="U172">
            <v>0.4618708375738747</v>
          </cell>
          <cell r="V172">
            <v>8.7489063867016627E-3</v>
          </cell>
        </row>
        <row r="173">
          <cell r="A173">
            <v>879</v>
          </cell>
          <cell r="B173" t="str">
            <v>Plymouth</v>
          </cell>
          <cell r="C173">
            <v>100</v>
          </cell>
          <cell r="D173">
            <v>0</v>
          </cell>
          <cell r="E173">
            <v>100</v>
          </cell>
          <cell r="F173">
            <v>19717</v>
          </cell>
          <cell r="G173">
            <v>0</v>
          </cell>
          <cell r="H173">
            <v>19026.5</v>
          </cell>
          <cell r="I173">
            <v>0</v>
          </cell>
          <cell r="J173">
            <v>623.5</v>
          </cell>
          <cell r="K173">
            <v>0</v>
          </cell>
          <cell r="L173">
            <v>623.5</v>
          </cell>
          <cell r="M173">
            <v>141</v>
          </cell>
          <cell r="N173">
            <v>1371.5</v>
          </cell>
          <cell r="O173">
            <v>0</v>
          </cell>
          <cell r="P173">
            <v>0</v>
          </cell>
          <cell r="Q173">
            <v>40979.5</v>
          </cell>
          <cell r="S173">
            <v>39367</v>
          </cell>
          <cell r="T173">
            <v>0.50085096654558392</v>
          </cell>
          <cell r="U173">
            <v>0.48331089491198209</v>
          </cell>
          <cell r="V173">
            <v>1.5838138542434019E-2</v>
          </cell>
        </row>
        <row r="174">
          <cell r="A174">
            <v>836</v>
          </cell>
          <cell r="B174" t="str">
            <v>Poole</v>
          </cell>
          <cell r="C174">
            <v>0</v>
          </cell>
          <cell r="D174">
            <v>0</v>
          </cell>
          <cell r="E174">
            <v>0</v>
          </cell>
          <cell r="F174">
            <v>10634.5</v>
          </cell>
          <cell r="G174">
            <v>3579</v>
          </cell>
          <cell r="H174">
            <v>8567</v>
          </cell>
          <cell r="I174">
            <v>670</v>
          </cell>
          <cell r="J174">
            <v>208</v>
          </cell>
          <cell r="K174">
            <v>134.5</v>
          </cell>
          <cell r="L174">
            <v>342.5</v>
          </cell>
          <cell r="M174">
            <v>20</v>
          </cell>
          <cell r="N174">
            <v>1058</v>
          </cell>
          <cell r="O174">
            <v>0</v>
          </cell>
          <cell r="P174">
            <v>0</v>
          </cell>
          <cell r="Q174">
            <v>20622</v>
          </cell>
          <cell r="S174">
            <v>19409.5</v>
          </cell>
          <cell r="T174">
            <v>0.54790180066462302</v>
          </cell>
          <cell r="U174">
            <v>0.44138179757335327</v>
          </cell>
          <cell r="V174">
            <v>1.0716401762023752E-2</v>
          </cell>
        </row>
        <row r="175">
          <cell r="A175">
            <v>933</v>
          </cell>
          <cell r="B175" t="str">
            <v>Somerset</v>
          </cell>
          <cell r="C175">
            <v>0</v>
          </cell>
          <cell r="D175">
            <v>0</v>
          </cell>
          <cell r="E175">
            <v>0</v>
          </cell>
          <cell r="F175">
            <v>37585.5</v>
          </cell>
          <cell r="G175">
            <v>0</v>
          </cell>
          <cell r="H175">
            <v>33385.5</v>
          </cell>
          <cell r="I175">
            <v>4748.5</v>
          </cell>
          <cell r="J175">
            <v>474.5</v>
          </cell>
          <cell r="K175">
            <v>0</v>
          </cell>
          <cell r="L175">
            <v>474.5</v>
          </cell>
          <cell r="M175">
            <v>61</v>
          </cell>
          <cell r="N175">
            <v>9388.5</v>
          </cell>
          <cell r="O175">
            <v>0</v>
          </cell>
          <cell r="P175">
            <v>0</v>
          </cell>
          <cell r="Q175">
            <v>80895</v>
          </cell>
          <cell r="S175">
            <v>71445.5</v>
          </cell>
          <cell r="T175">
            <v>0.52607232085995614</v>
          </cell>
          <cell r="U175">
            <v>0.46728625315800154</v>
          </cell>
          <cell r="V175">
            <v>6.641425982042256E-3</v>
          </cell>
        </row>
        <row r="176">
          <cell r="A176">
            <v>803</v>
          </cell>
          <cell r="B176" t="str">
            <v>South Gloucestershire</v>
          </cell>
          <cell r="C176">
            <v>0</v>
          </cell>
          <cell r="D176">
            <v>0</v>
          </cell>
          <cell r="E176">
            <v>0</v>
          </cell>
          <cell r="F176">
            <v>22787</v>
          </cell>
          <cell r="G176">
            <v>0</v>
          </cell>
          <cell r="H176">
            <v>16949</v>
          </cell>
          <cell r="I176">
            <v>0</v>
          </cell>
          <cell r="J176">
            <v>292</v>
          </cell>
          <cell r="K176">
            <v>0</v>
          </cell>
          <cell r="L176">
            <v>292</v>
          </cell>
          <cell r="M176">
            <v>55</v>
          </cell>
          <cell r="N176">
            <v>519</v>
          </cell>
          <cell r="O176">
            <v>1021</v>
          </cell>
          <cell r="P176">
            <v>0</v>
          </cell>
          <cell r="Q176">
            <v>41623</v>
          </cell>
          <cell r="S176">
            <v>40028</v>
          </cell>
          <cell r="T176">
            <v>0.56927650644548811</v>
          </cell>
          <cell r="U176">
            <v>0.42342859998001398</v>
          </cell>
          <cell r="V176">
            <v>7.2948935744978514E-3</v>
          </cell>
        </row>
        <row r="177">
          <cell r="A177">
            <v>866</v>
          </cell>
          <cell r="B177" t="str">
            <v>Swindon</v>
          </cell>
          <cell r="C177">
            <v>0</v>
          </cell>
          <cell r="D177">
            <v>0</v>
          </cell>
          <cell r="E177">
            <v>0</v>
          </cell>
          <cell r="F177">
            <v>16972.5</v>
          </cell>
          <cell r="G177">
            <v>0</v>
          </cell>
          <cell r="H177">
            <v>11584</v>
          </cell>
          <cell r="I177">
            <v>0</v>
          </cell>
          <cell r="J177">
            <v>393</v>
          </cell>
          <cell r="K177">
            <v>0</v>
          </cell>
          <cell r="L177">
            <v>393</v>
          </cell>
          <cell r="M177">
            <v>68</v>
          </cell>
          <cell r="N177">
            <v>66.5</v>
          </cell>
          <cell r="O177">
            <v>0</v>
          </cell>
          <cell r="P177">
            <v>0</v>
          </cell>
          <cell r="Q177">
            <v>29084</v>
          </cell>
          <cell r="S177">
            <v>28949.5</v>
          </cell>
          <cell r="T177">
            <v>0.58627955577816537</v>
          </cell>
          <cell r="U177">
            <v>0.40014508022591061</v>
          </cell>
          <cell r="V177">
            <v>1.3575363995923937E-2</v>
          </cell>
        </row>
        <row r="178">
          <cell r="A178">
            <v>880</v>
          </cell>
          <cell r="B178" t="str">
            <v>Torbay</v>
          </cell>
          <cell r="C178">
            <v>0</v>
          </cell>
          <cell r="D178">
            <v>0</v>
          </cell>
          <cell r="E178">
            <v>0</v>
          </cell>
          <cell r="F178">
            <v>9928.5</v>
          </cell>
          <cell r="G178">
            <v>0</v>
          </cell>
          <cell r="H178">
            <v>9199.5</v>
          </cell>
          <cell r="I178">
            <v>0</v>
          </cell>
          <cell r="J178">
            <v>308</v>
          </cell>
          <cell r="K178">
            <v>0</v>
          </cell>
          <cell r="L178">
            <v>308</v>
          </cell>
          <cell r="M178">
            <v>53</v>
          </cell>
          <cell r="N178">
            <v>823</v>
          </cell>
          <cell r="O178">
            <v>0</v>
          </cell>
          <cell r="P178">
            <v>0</v>
          </cell>
          <cell r="Q178">
            <v>20312</v>
          </cell>
          <cell r="S178">
            <v>19436</v>
          </cell>
          <cell r="T178">
            <v>0.51083041778143656</v>
          </cell>
          <cell r="U178">
            <v>0.47332270014406258</v>
          </cell>
          <cell r="V178">
            <v>1.5846882074500926E-2</v>
          </cell>
        </row>
        <row r="179">
          <cell r="A179">
            <v>865</v>
          </cell>
          <cell r="B179" t="str">
            <v>Wiltshire</v>
          </cell>
          <cell r="C179">
            <v>0</v>
          </cell>
          <cell r="D179">
            <v>0</v>
          </cell>
          <cell r="E179">
            <v>0</v>
          </cell>
          <cell r="F179">
            <v>35736.5</v>
          </cell>
          <cell r="G179">
            <v>0</v>
          </cell>
          <cell r="H179">
            <v>29222.5</v>
          </cell>
          <cell r="I179">
            <v>966</v>
          </cell>
          <cell r="J179">
            <v>439</v>
          </cell>
          <cell r="K179">
            <v>36</v>
          </cell>
          <cell r="L179">
            <v>475</v>
          </cell>
          <cell r="M179">
            <v>126</v>
          </cell>
          <cell r="N179">
            <v>7033</v>
          </cell>
          <cell r="O179">
            <v>0</v>
          </cell>
          <cell r="P179">
            <v>0</v>
          </cell>
          <cell r="Q179">
            <v>72593</v>
          </cell>
          <cell r="S179">
            <v>65398</v>
          </cell>
          <cell r="T179">
            <v>0.54644637450686562</v>
          </cell>
          <cell r="U179">
            <v>0.44684088198415856</v>
          </cell>
          <cell r="V179">
            <v>6.7127435089758096E-3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persons/person.xml><?xml version="1.0" encoding="utf-8"?>
<personList xmlns="http://schemas.microsoft.com/office/spreadsheetml/2018/threadedcomments" xmlns:x="http://schemas.openxmlformats.org/spreadsheetml/2006/main">
  <person displayName="David Leonard" id="{4B2828DB-3693-4C28-ABA5-4CF8442C7AE7}" userId="S::David.Leonard@lincolnshire.gov.uk::a21b0ccd-3aee-4046-bc74-d38e7a34107c" providerId="AD"/>
  <person displayName="Mark Popplewell" id="{C77FBB69-1910-469C-975E-1BD29403CD47}" userId="S::Mark.Popplewell@lincolnshire.gov.uk::51bd506b-557c-40c9-8763-8db91163076c"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2" dT="2023-02-06T16:15:52.50" personId="{4B2828DB-3693-4C28-ABA5-4CF8442C7AE7}" id="{4B984CED-B401-4BEF-BA38-9980CD5445AB}">
    <text>Requirement revised following Tulip Merger</text>
  </threadedComment>
  <threadedComment ref="J2" dT="2023-02-06T16:15:26.84" personId="{4B2828DB-3693-4C28-ABA5-4CF8442C7AE7}" id="{263BDAAF-70B3-492E-91C7-391071FED383}">
    <text xml:space="preserve">Requirement calculating Garth and Priory separately </text>
  </threadedComment>
</ThreadedComments>
</file>

<file path=xl/threadedComments/threadedComment2.xml><?xml version="1.0" encoding="utf-8"?>
<ThreadedComments xmlns="http://schemas.microsoft.com/office/spreadsheetml/2018/threadedcomments" xmlns:x="http://schemas.openxmlformats.org/spreadsheetml/2006/main">
  <threadedComment ref="C15" dT="2022-02-23T00:19:24.67" personId="{C77FBB69-1910-469C-975E-1BD29403CD47}" id="{B1B62A1F-DE56-42DE-9019-E5CA7CE509BC}">
    <text>Main School site capacity 72 places. The remainder of places up to a further 32 places has fixed costs supported through the split site factor</text>
  </threadedComment>
</ThreadedComments>
</file>

<file path=xl/threadedComments/threadedComment3.xml><?xml version="1.0" encoding="utf-8"?>
<ThreadedComments xmlns="http://schemas.microsoft.com/office/spreadsheetml/2018/threadedcomments" xmlns:x="http://schemas.openxmlformats.org/spreadsheetml/2006/main">
  <threadedComment ref="C15" dT="2022-02-23T00:19:24.67" personId="{C77FBB69-1910-469C-975E-1BD29403CD47}" id="{C0FB4C9A-ACBD-4BE2-BAB2-739EAFBE607A}">
    <text>Main School site capacity 72 places. The remainder of places up to a further 32 places has fixed costs supported through the split site factor</text>
  </threadedComment>
  <threadedComment ref="C38" dT="2022-02-23T00:19:24.67" personId="{C77FBB69-1910-469C-975E-1BD29403CD47}" id="{BCE8B829-AF73-4805-B06F-0E7938ACA287}">
    <text>Main School site capacity 72 places. The remainder of places up to a further 32 places has fixed costs supported through the split site factor</text>
  </threadedComment>
</ThreadedComments>
</file>

<file path=xl/threadedComments/threadedComment4.xml><?xml version="1.0" encoding="utf-8"?>
<ThreadedComments xmlns="http://schemas.microsoft.com/office/spreadsheetml/2018/threadedcomments" xmlns:x="http://schemas.openxmlformats.org/spreadsheetml/2006/main">
  <threadedComment ref="F12" dT="2023-02-10T13:27:09.50" personId="{4B2828DB-3693-4C28-ABA5-4CF8442C7AE7}" id="{12631C88-8098-4B7E-A5A8-016B52FD3CCD}">
    <text>Should this be £811,482?</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14.bin"/><Relationship Id="rId5" Type="http://schemas.openxmlformats.org/officeDocument/2006/relationships/image" Target="../media/image1.emf"/><Relationship Id="rId4" Type="http://schemas.openxmlformats.org/officeDocument/2006/relationships/oleObject" Target="../embeddings/Microsoft_Word_97_-_2003_Document.doc"/></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7.vml"/></Relationships>
</file>

<file path=xl/worksheets/_rels/sheet46.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drawing" Target="../drawings/drawing10.xml"/></Relationships>
</file>

<file path=xl/worksheets/_rels/sheet48.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0.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1.vml"/><Relationship Id="rId1" Type="http://schemas.openxmlformats.org/officeDocument/2006/relationships/printerSettings" Target="../printerSettings/printerSettings30.bin"/><Relationship Id="rId4" Type="http://schemas.microsoft.com/office/2017/10/relationships/threadedComment" Target="../threadedComments/threadedComment1.xml"/></Relationships>
</file>

<file path=xl/worksheets/_rels/sheet5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2.vml"/><Relationship Id="rId1" Type="http://schemas.openxmlformats.org/officeDocument/2006/relationships/printerSettings" Target="../printerSettings/printerSettings31.bin"/><Relationship Id="rId4" Type="http://schemas.microsoft.com/office/2017/10/relationships/threadedComment" Target="../threadedComments/threadedComment2.xml"/></Relationships>
</file>

<file path=xl/worksheets/_rels/sheet5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3.vml"/><Relationship Id="rId1" Type="http://schemas.openxmlformats.org/officeDocument/2006/relationships/printerSettings" Target="../printerSettings/printerSettings32.bin"/><Relationship Id="rId4" Type="http://schemas.microsoft.com/office/2017/10/relationships/threadedComment" Target="../threadedComments/threadedComment3.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4.vml"/><Relationship Id="rId1" Type="http://schemas.openxmlformats.org/officeDocument/2006/relationships/printerSettings" Target="../printerSettings/printerSettings37.bin"/></Relationships>
</file>

<file path=xl/worksheets/_rels/sheet59.xml.rels><?xml version="1.0" encoding="UTF-8" standalone="yes"?>
<Relationships xmlns="http://schemas.openxmlformats.org/package/2006/relationships"><Relationship Id="rId3" Type="http://schemas.microsoft.com/office/2017/10/relationships/threadedComment" Target="../threadedComments/threadedComment4.xml"/><Relationship Id="rId2" Type="http://schemas.openxmlformats.org/officeDocument/2006/relationships/comments" Target="../comments14.xml"/><Relationship Id="rId1" Type="http://schemas.openxmlformats.org/officeDocument/2006/relationships/vmlDrawing" Target="../drawings/vmlDrawing15.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2.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6.v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6.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7.v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5.bin"/></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7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8.vml"/><Relationship Id="rId1" Type="http://schemas.openxmlformats.org/officeDocument/2006/relationships/printerSettings" Target="../printerSettings/printerSettings46.bin"/></Relationships>
</file>

<file path=xl/worksheets/_rels/sheet76.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9.vml"/></Relationships>
</file>

<file path=xl/worksheets/_rels/sheet77.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0.vml"/></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1.vml"/><Relationship Id="rId1" Type="http://schemas.openxmlformats.org/officeDocument/2006/relationships/printerSettings" Target="../printerSettings/printerSettings48.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2.vml"/></Relationships>
</file>

<file path=xl/worksheets/_rels/sheet8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3.vml"/></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pageSetUpPr fitToPage="1"/>
  </sheetPr>
  <dimension ref="A2:I30"/>
  <sheetViews>
    <sheetView topLeftCell="A4" zoomScale="85" zoomScaleNormal="85" workbookViewId="0">
      <selection activeCell="H26" sqref="H26"/>
    </sheetView>
  </sheetViews>
  <sheetFormatPr defaultRowHeight="12.5" x14ac:dyDescent="0.25"/>
  <cols>
    <col min="1" max="1" width="51.453125" customWidth="1"/>
    <col min="2" max="2" width="15.7265625" style="16" customWidth="1"/>
    <col min="3" max="3" width="57.54296875" style="2" customWidth="1"/>
    <col min="4" max="4" width="15.7265625" style="2" customWidth="1"/>
    <col min="5" max="5" width="1" customWidth="1"/>
    <col min="6" max="6" width="15.7265625" style="2" customWidth="1"/>
    <col min="7" max="7" width="0.81640625" customWidth="1"/>
    <col min="8" max="8" width="42" customWidth="1"/>
    <col min="9" max="9" width="15.7265625" customWidth="1"/>
  </cols>
  <sheetData>
    <row r="2" spans="1:9" ht="13" x14ac:dyDescent="0.3">
      <c r="A2" s="1" t="s">
        <v>0</v>
      </c>
      <c r="B2" s="231" t="s">
        <v>1</v>
      </c>
      <c r="C2" s="231"/>
      <c r="D2" s="231" t="s">
        <v>2</v>
      </c>
      <c r="E2" s="232"/>
      <c r="F2" s="231" t="s">
        <v>3</v>
      </c>
    </row>
    <row r="4" spans="1:9" x14ac:dyDescent="0.25">
      <c r="A4" s="289" t="s">
        <v>4</v>
      </c>
      <c r="B4" s="16">
        <f>'2015-16 Funding Detail'!X25</f>
        <v>24719233.529910587</v>
      </c>
      <c r="D4" s="16">
        <v>24612982.282721058</v>
      </c>
      <c r="E4" s="230"/>
      <c r="F4" s="16">
        <f>B4-D4</f>
        <v>106251.24718952924</v>
      </c>
      <c r="H4" s="289" t="s">
        <v>5</v>
      </c>
    </row>
    <row r="5" spans="1:9" x14ac:dyDescent="0.25">
      <c r="A5" s="289" t="s">
        <v>6</v>
      </c>
      <c r="B5" s="16">
        <f>'2015-16 Funding Detail'!F25</f>
        <v>850820</v>
      </c>
      <c r="D5" s="16">
        <v>839504</v>
      </c>
      <c r="E5" s="230"/>
      <c r="F5" s="16">
        <f t="shared" ref="F5:F10" si="0">B5-D5</f>
        <v>11316</v>
      </c>
      <c r="H5" s="289" t="s">
        <v>7</v>
      </c>
    </row>
    <row r="6" spans="1:9" x14ac:dyDescent="0.25">
      <c r="A6" s="289" t="s">
        <v>8</v>
      </c>
      <c r="B6" s="16">
        <f>'2015-16 Other Funding'!AA64+'2015-16 Other Funding'!AB64+'2015-16 Other Funding'!AC64</f>
        <v>757936</v>
      </c>
      <c r="D6" s="16">
        <v>551936</v>
      </c>
      <c r="E6" s="230"/>
      <c r="F6" s="16">
        <f t="shared" si="0"/>
        <v>206000</v>
      </c>
      <c r="H6" s="289" t="s">
        <v>9</v>
      </c>
      <c r="I6" s="16"/>
    </row>
    <row r="7" spans="1:9" ht="13" x14ac:dyDescent="0.3">
      <c r="A7" s="289" t="s">
        <v>10</v>
      </c>
      <c r="B7" s="16">
        <v>317322</v>
      </c>
      <c r="D7" s="16">
        <v>317322</v>
      </c>
      <c r="E7" s="230"/>
      <c r="F7" s="16">
        <f t="shared" si="0"/>
        <v>0</v>
      </c>
      <c r="H7" s="184"/>
      <c r="I7" s="72"/>
    </row>
    <row r="8" spans="1:9" x14ac:dyDescent="0.25">
      <c r="A8" s="289" t="s">
        <v>11</v>
      </c>
      <c r="B8" s="16">
        <f>'2015-16 Other Funding'!AD26</f>
        <v>910212</v>
      </c>
      <c r="D8" s="16">
        <v>910212</v>
      </c>
      <c r="E8" s="230"/>
      <c r="F8" s="16">
        <f t="shared" si="0"/>
        <v>0</v>
      </c>
    </row>
    <row r="9" spans="1:9" x14ac:dyDescent="0.25">
      <c r="A9" s="289" t="s">
        <v>12</v>
      </c>
      <c r="B9" s="16">
        <v>1235496</v>
      </c>
      <c r="D9" s="16">
        <v>1000899</v>
      </c>
      <c r="E9" s="230"/>
      <c r="F9" s="16">
        <f t="shared" si="0"/>
        <v>234597</v>
      </c>
      <c r="H9" s="289" t="s">
        <v>13</v>
      </c>
    </row>
    <row r="10" spans="1:9" x14ac:dyDescent="0.25">
      <c r="A10" s="289" t="s">
        <v>14</v>
      </c>
      <c r="B10" s="16">
        <v>294788</v>
      </c>
      <c r="D10" s="16">
        <v>245233</v>
      </c>
      <c r="E10" s="230"/>
      <c r="F10" s="16">
        <f t="shared" si="0"/>
        <v>49555</v>
      </c>
      <c r="H10" s="289" t="s">
        <v>15</v>
      </c>
    </row>
    <row r="11" spans="1:9" ht="13" x14ac:dyDescent="0.3">
      <c r="A11" s="289"/>
      <c r="D11" s="16"/>
      <c r="E11" s="230"/>
      <c r="F11" s="72"/>
    </row>
    <row r="12" spans="1:9" ht="13" x14ac:dyDescent="0.3">
      <c r="A12" s="186" t="s">
        <v>16</v>
      </c>
      <c r="B12" s="72">
        <f>SUM(B4:B10)</f>
        <v>29085807.529910587</v>
      </c>
      <c r="D12" s="72">
        <f>SUM(D4:D11)</f>
        <v>28478088.282721058</v>
      </c>
      <c r="E12" s="72"/>
      <c r="F12" s="72">
        <f>SUM(F4:F11)</f>
        <v>607719.24718952924</v>
      </c>
      <c r="H12" s="184"/>
    </row>
    <row r="13" spans="1:9" ht="13" x14ac:dyDescent="0.3">
      <c r="A13" s="289"/>
      <c r="B13" s="72"/>
      <c r="F13" s="72"/>
      <c r="H13" s="184"/>
    </row>
    <row r="14" spans="1:9" ht="13" x14ac:dyDescent="0.3">
      <c r="A14" s="289" t="s">
        <v>17</v>
      </c>
      <c r="B14" s="315">
        <v>28487536</v>
      </c>
      <c r="D14" s="16">
        <f>B14-D12</f>
        <v>9447.7172789424658</v>
      </c>
      <c r="F14" s="72"/>
      <c r="H14" s="184"/>
    </row>
    <row r="15" spans="1:9" ht="13" x14ac:dyDescent="0.3">
      <c r="A15" s="289" t="s">
        <v>18</v>
      </c>
      <c r="B15" s="315">
        <v>206000</v>
      </c>
      <c r="C15" s="538" t="s">
        <v>9</v>
      </c>
      <c r="F15" s="72"/>
      <c r="H15" s="184"/>
    </row>
    <row r="16" spans="1:9" ht="13" x14ac:dyDescent="0.3">
      <c r="A16" s="289"/>
      <c r="B16" s="72"/>
      <c r="F16" s="72"/>
      <c r="H16" s="184"/>
    </row>
    <row r="17" spans="1:8" ht="13" x14ac:dyDescent="0.3">
      <c r="A17" s="184" t="s">
        <v>19</v>
      </c>
      <c r="B17" s="72">
        <f>B12-B14-B15</f>
        <v>392271.52991058677</v>
      </c>
      <c r="F17" s="72"/>
      <c r="H17" s="184"/>
    </row>
    <row r="18" spans="1:8" ht="13" x14ac:dyDescent="0.3">
      <c r="A18" s="289"/>
      <c r="B18" s="72"/>
      <c r="F18" s="72"/>
      <c r="H18" s="184"/>
    </row>
    <row r="19" spans="1:8" ht="13" x14ac:dyDescent="0.3">
      <c r="A19" s="1408" t="s">
        <v>20</v>
      </c>
      <c r="B19" s="315">
        <v>352528.66189884982</v>
      </c>
      <c r="C19" s="538" t="s">
        <v>21</v>
      </c>
      <c r="F19" s="72"/>
      <c r="H19" s="291">
        <f>SUM(B12-F9)-B14-B15</f>
        <v>157674.52991058677</v>
      </c>
    </row>
    <row r="20" spans="1:8" ht="13" x14ac:dyDescent="0.3">
      <c r="A20" s="1408"/>
      <c r="B20" s="315"/>
      <c r="F20" s="72"/>
      <c r="H20" s="184"/>
    </row>
    <row r="21" spans="1:8" ht="13" x14ac:dyDescent="0.3">
      <c r="A21" s="1133"/>
      <c r="B21" s="315"/>
      <c r="F21" s="72"/>
      <c r="H21" s="291">
        <f>SUM(H19-B19)</f>
        <v>-194854.13198826305</v>
      </c>
    </row>
    <row r="22" spans="1:8" ht="13" x14ac:dyDescent="0.3">
      <c r="A22" s="1133"/>
      <c r="B22" s="315">
        <f>B17-B19</f>
        <v>39742.868011736951</v>
      </c>
      <c r="C22" s="538" t="s">
        <v>22</v>
      </c>
      <c r="F22" s="72"/>
      <c r="H22" s="184"/>
    </row>
    <row r="23" spans="1:8" ht="13" x14ac:dyDescent="0.3">
      <c r="A23" s="1133"/>
      <c r="B23" s="315"/>
      <c r="F23" s="72"/>
      <c r="H23" s="184"/>
    </row>
    <row r="24" spans="1:8" ht="13" x14ac:dyDescent="0.3">
      <c r="A24" s="1133" t="s">
        <v>23</v>
      </c>
      <c r="B24" s="315">
        <v>946120</v>
      </c>
      <c r="C24" s="538" t="s">
        <v>24</v>
      </c>
      <c r="F24" s="72"/>
      <c r="H24" s="291">
        <f>SUM(B12-F9)</f>
        <v>28851210.529910587</v>
      </c>
    </row>
    <row r="25" spans="1:8" ht="13" x14ac:dyDescent="0.3">
      <c r="A25" s="1133"/>
      <c r="B25" s="315"/>
      <c r="F25" s="72"/>
      <c r="H25" s="184"/>
    </row>
    <row r="26" spans="1:8" ht="13" x14ac:dyDescent="0.3">
      <c r="A26" s="1133" t="s">
        <v>25</v>
      </c>
      <c r="B26" s="315">
        <f>B24-B22</f>
        <v>906377.13198826299</v>
      </c>
      <c r="F26" s="72"/>
      <c r="H26" s="184"/>
    </row>
    <row r="27" spans="1:8" ht="13" x14ac:dyDescent="0.3">
      <c r="A27" s="1133"/>
      <c r="B27" s="315"/>
      <c r="F27" s="72"/>
      <c r="H27" s="184"/>
    </row>
    <row r="28" spans="1:8" ht="13" x14ac:dyDescent="0.3">
      <c r="A28" s="1133"/>
      <c r="B28" s="315"/>
      <c r="F28" s="72"/>
      <c r="H28" s="184"/>
    </row>
    <row r="29" spans="1:8" ht="13" x14ac:dyDescent="0.3">
      <c r="A29" s="1133"/>
      <c r="B29" s="315"/>
      <c r="F29" s="72"/>
      <c r="H29" s="184"/>
    </row>
    <row r="30" spans="1:8" ht="13" x14ac:dyDescent="0.3">
      <c r="A30" s="289" t="s">
        <v>26</v>
      </c>
      <c r="B30" s="16">
        <v>326000</v>
      </c>
      <c r="C30" s="185" t="s">
        <v>27</v>
      </c>
    </row>
  </sheetData>
  <mergeCells count="1">
    <mergeCell ref="A19:A20"/>
  </mergeCells>
  <pageMargins left="0.70866141732283472" right="0.70866141732283472" top="0.74803149606299213" bottom="0.74803149606299213" header="0.31496062992125984" footer="0.31496062992125984"/>
  <pageSetup paperSize="9" scale="5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F0"/>
    <pageSetUpPr fitToPage="1"/>
  </sheetPr>
  <dimension ref="A1:AN127"/>
  <sheetViews>
    <sheetView topLeftCell="A118" zoomScale="85" zoomScaleNormal="85" workbookViewId="0">
      <pane xSplit="2" topLeftCell="C1" activePane="topRight" state="frozen"/>
      <selection pane="topRight" activeCell="M123" sqref="M123"/>
    </sheetView>
  </sheetViews>
  <sheetFormatPr defaultColWidth="10.26953125" defaultRowHeight="12.5" x14ac:dyDescent="0.25"/>
  <cols>
    <col min="1" max="1" width="9.1796875" style="36" customWidth="1"/>
    <col min="2" max="2" width="26.7265625" style="36" customWidth="1"/>
    <col min="3" max="3" width="6.26953125" style="36" bestFit="1" customWidth="1"/>
    <col min="4" max="5" width="11.26953125" style="36" customWidth="1"/>
    <col min="6" max="6" width="11.1796875" style="36" customWidth="1"/>
    <col min="7" max="8" width="10.26953125" style="36" customWidth="1"/>
    <col min="9" max="9" width="11.54296875" style="234" customWidth="1"/>
    <col min="10" max="10" width="11.1796875" style="234" customWidth="1"/>
    <col min="11" max="11" width="11" style="36" customWidth="1"/>
    <col min="12" max="12" width="11.1796875" style="36" customWidth="1"/>
    <col min="13" max="13" width="11.26953125" style="36" customWidth="1"/>
    <col min="14" max="14" width="10.54296875" style="36" customWidth="1"/>
    <col min="15" max="15" width="12.81640625" style="36" customWidth="1"/>
    <col min="16" max="16" width="11.54296875" style="36" customWidth="1"/>
    <col min="17" max="17" width="11" style="36" customWidth="1"/>
    <col min="18" max="18" width="11.54296875" style="36" customWidth="1"/>
    <col min="19" max="19" width="12.453125" style="36" customWidth="1"/>
    <col min="20" max="20" width="12.26953125" style="36" customWidth="1"/>
    <col min="21" max="22" width="11.26953125" style="36" bestFit="1" customWidth="1"/>
    <col min="23" max="25" width="10.26953125" style="36"/>
    <col min="26" max="26" width="11.26953125" style="36" bestFit="1" customWidth="1"/>
    <col min="27" max="36" width="10.26953125" style="36"/>
    <col min="37" max="37" width="2" style="36" customWidth="1"/>
    <col min="38" max="16384" width="10.26953125" style="36"/>
  </cols>
  <sheetData>
    <row r="1" spans="1:24" x14ac:dyDescent="0.25">
      <c r="A1" s="94" t="s">
        <v>230</v>
      </c>
      <c r="S1" s="1451" t="s">
        <v>231</v>
      </c>
      <c r="T1" s="260"/>
      <c r="U1" s="1454" t="s">
        <v>232</v>
      </c>
      <c r="V1" s="1454"/>
      <c r="W1" s="1454"/>
    </row>
    <row r="2" spans="1:24" ht="13" x14ac:dyDescent="0.3">
      <c r="A2" s="94"/>
      <c r="E2" s="139" t="s">
        <v>423</v>
      </c>
      <c r="S2" s="1452"/>
      <c r="T2" s="261"/>
      <c r="U2" s="1454" t="s">
        <v>234</v>
      </c>
      <c r="V2" s="1454"/>
      <c r="W2" s="1454"/>
    </row>
    <row r="3" spans="1:24" ht="13" x14ac:dyDescent="0.3">
      <c r="A3" s="93" t="s">
        <v>235</v>
      </c>
      <c r="I3" s="94" t="s">
        <v>424</v>
      </c>
      <c r="S3" s="1452"/>
      <c r="T3" s="262"/>
      <c r="U3" s="1454" t="s">
        <v>237</v>
      </c>
      <c r="V3" s="1454"/>
      <c r="W3" s="1454"/>
    </row>
    <row r="4" spans="1:24" x14ac:dyDescent="0.25">
      <c r="B4" s="263"/>
      <c r="C4" s="263"/>
      <c r="P4" s="1445" t="s">
        <v>238</v>
      </c>
      <c r="Q4" s="1446"/>
      <c r="S4" s="1453"/>
      <c r="T4" s="264"/>
      <c r="U4" s="1454" t="s">
        <v>239</v>
      </c>
      <c r="V4" s="1454"/>
      <c r="W4" s="1454"/>
    </row>
    <row r="5" spans="1:24" ht="37.5" x14ac:dyDescent="0.25">
      <c r="A5" s="265" t="s">
        <v>182</v>
      </c>
      <c r="B5" s="237" t="s">
        <v>183</v>
      </c>
      <c r="C5" s="238" t="s">
        <v>184</v>
      </c>
      <c r="D5" s="36" t="s">
        <v>240</v>
      </c>
      <c r="E5" s="36" t="s">
        <v>241</v>
      </c>
      <c r="F5" s="36" t="s">
        <v>242</v>
      </c>
      <c r="G5" s="36" t="s">
        <v>243</v>
      </c>
      <c r="H5" s="36" t="s">
        <v>244</v>
      </c>
      <c r="I5" s="243" t="s">
        <v>245</v>
      </c>
      <c r="J5" s="243" t="s">
        <v>246</v>
      </c>
      <c r="K5" s="243" t="s">
        <v>247</v>
      </c>
      <c r="L5" s="243" t="s">
        <v>248</v>
      </c>
      <c r="M5" s="243" t="s">
        <v>249</v>
      </c>
      <c r="N5" s="243" t="s">
        <v>250</v>
      </c>
      <c r="O5" s="243" t="s">
        <v>251</v>
      </c>
      <c r="P5" s="266" t="s">
        <v>252</v>
      </c>
      <c r="Q5" s="266" t="s">
        <v>253</v>
      </c>
    </row>
    <row r="6" spans="1:24" x14ac:dyDescent="0.25">
      <c r="A6" s="244">
        <v>9257010</v>
      </c>
      <c r="B6" s="237" t="s">
        <v>205</v>
      </c>
      <c r="C6" s="267">
        <v>3</v>
      </c>
      <c r="D6" s="268">
        <v>0.40476190476190477</v>
      </c>
      <c r="E6" s="268">
        <v>0.2857142857142857</v>
      </c>
      <c r="F6" s="268">
        <v>0.11904761904761904</v>
      </c>
      <c r="G6" s="268">
        <v>0.11904761904761904</v>
      </c>
      <c r="H6" s="268">
        <v>7.1428571428571425E-2</v>
      </c>
      <c r="I6" s="269">
        <v>0</v>
      </c>
      <c r="J6" s="269">
        <v>34</v>
      </c>
      <c r="K6" s="269">
        <f>SUM(I6:J6)</f>
        <v>34</v>
      </c>
      <c r="L6" s="235">
        <f>((((I6*D6)*$G$92)+((I6*E6)*$G$94)+((I6*F6)*$G$96)+((I6*G6)*$G$98)+((I6*H6)*$G$100)))*(5/12)</f>
        <v>0</v>
      </c>
      <c r="M6" s="235">
        <f>((((J6*D6)*$G$92)+((J6*E6)*$G$94)+((J6*F6)*$G$96)+((J6*G6)*$G$98)+((J6*H6)*$G$100))*(5/12))</f>
        <v>138874.09345745452</v>
      </c>
      <c r="N6" s="235">
        <f>((K6*H6)*$G$102)*(5/12)</f>
        <v>2666.4175068952254</v>
      </c>
      <c r="O6" s="235">
        <f>SUM(L6:N6)</f>
        <v>141540.51096434976</v>
      </c>
      <c r="P6" s="270">
        <f>(K6*(5/12))*10000</f>
        <v>141666.66666666669</v>
      </c>
      <c r="Q6" s="270">
        <v>124822.87087295152</v>
      </c>
      <c r="R6" s="235"/>
      <c r="S6" s="235"/>
      <c r="T6" s="235"/>
      <c r="U6" s="94" t="s">
        <v>425</v>
      </c>
      <c r="X6" s="235"/>
    </row>
    <row r="7" spans="1:24" ht="12.75" customHeight="1" x14ac:dyDescent="0.25">
      <c r="A7" s="244">
        <v>9257005</v>
      </c>
      <c r="B7" s="237" t="s">
        <v>208</v>
      </c>
      <c r="C7" s="271">
        <v>4</v>
      </c>
      <c r="D7" s="268">
        <v>0.13157894736842105</v>
      </c>
      <c r="E7" s="268">
        <v>0.35526315789473684</v>
      </c>
      <c r="F7" s="268">
        <v>0.17105263157894737</v>
      </c>
      <c r="G7" s="268">
        <v>0.14473684210526316</v>
      </c>
      <c r="H7" s="268">
        <v>0.19736842105263158</v>
      </c>
      <c r="I7" s="269">
        <v>0</v>
      </c>
      <c r="J7" s="269">
        <v>48</v>
      </c>
      <c r="K7" s="269">
        <f t="shared" ref="K7:K23" si="0">SUM(I7:J7)</f>
        <v>48</v>
      </c>
      <c r="L7" s="235">
        <f t="shared" ref="L7:L23" si="1">((((I7*D7)*$G$92)+((I7*E7)*$G$94)+((I7*F7)*$G$96)+((I7*G7)*$G$98)+((I7*H7)*$G$100)))*(5/12)</f>
        <v>0</v>
      </c>
      <c r="M7" s="235">
        <f t="shared" ref="M7:M23" si="2">((((J7*D7)*$G$92)+((J7*E7)*$G$94)+((J7*F7)*$G$96)+((J7*G7)*$G$98)+((J7*H7)*$G$100))*(5/12))</f>
        <v>184351.3141961919</v>
      </c>
      <c r="N7" s="235">
        <f t="shared" ref="N7:N23" si="3">((K7*H7)*$G$102)*(5/12)</f>
        <v>10401.504825659393</v>
      </c>
      <c r="O7" s="235">
        <f t="shared" ref="O7:O23" si="4">SUM(L7:N7)</f>
        <v>194752.81902185129</v>
      </c>
      <c r="P7" s="270">
        <f t="shared" ref="P7:P23" si="5">(K7*(5/12))*10000</f>
        <v>200000</v>
      </c>
      <c r="Q7" s="270">
        <v>131355.26213540827</v>
      </c>
      <c r="R7" s="235"/>
      <c r="S7" s="235"/>
      <c r="T7" s="235"/>
      <c r="U7" s="1489" t="s">
        <v>426</v>
      </c>
      <c r="V7" s="1489"/>
      <c r="W7" s="1489"/>
      <c r="X7" s="235"/>
    </row>
    <row r="8" spans="1:24" x14ac:dyDescent="0.25">
      <c r="A8" s="244">
        <v>9257025</v>
      </c>
      <c r="B8" s="237" t="s">
        <v>209</v>
      </c>
      <c r="C8" s="267">
        <v>4</v>
      </c>
      <c r="D8" s="268">
        <v>0.26415094339622641</v>
      </c>
      <c r="E8" s="268">
        <v>0.41509433962264153</v>
      </c>
      <c r="F8" s="268">
        <v>5.6603773584905662E-2</v>
      </c>
      <c r="G8" s="268">
        <v>5.6603773584905662E-2</v>
      </c>
      <c r="H8" s="268">
        <v>0.20754716981132076</v>
      </c>
      <c r="I8" s="269">
        <v>10</v>
      </c>
      <c r="J8" s="269">
        <v>39</v>
      </c>
      <c r="K8" s="269">
        <f t="shared" si="0"/>
        <v>49</v>
      </c>
      <c r="L8" s="235">
        <f t="shared" si="1"/>
        <v>39922.238535953147</v>
      </c>
      <c r="M8" s="235">
        <f t="shared" si="2"/>
        <v>155696.7302902173</v>
      </c>
      <c r="N8" s="235">
        <f t="shared" si="3"/>
        <v>11165.808272492439</v>
      </c>
      <c r="O8" s="235">
        <f t="shared" si="4"/>
        <v>206784.77709866286</v>
      </c>
      <c r="P8" s="270">
        <f t="shared" si="5"/>
        <v>204166.66666666669</v>
      </c>
      <c r="Q8" s="270">
        <v>177481.97910073696</v>
      </c>
      <c r="R8" s="235"/>
      <c r="S8" s="235"/>
      <c r="T8" s="235"/>
      <c r="U8" s="1489"/>
      <c r="V8" s="1489"/>
      <c r="W8" s="1489"/>
      <c r="X8" s="235"/>
    </row>
    <row r="9" spans="1:24" x14ac:dyDescent="0.25">
      <c r="A9" s="244">
        <v>9257011</v>
      </c>
      <c r="B9" s="237" t="s">
        <v>210</v>
      </c>
      <c r="C9" s="267">
        <v>3</v>
      </c>
      <c r="D9" s="268">
        <v>0.4</v>
      </c>
      <c r="E9" s="268">
        <v>0.42222222222222222</v>
      </c>
      <c r="F9" s="268">
        <v>0</v>
      </c>
      <c r="G9" s="268">
        <v>2.2222222222222223E-2</v>
      </c>
      <c r="H9" s="268">
        <v>0.15555555555555556</v>
      </c>
      <c r="I9" s="269">
        <v>0</v>
      </c>
      <c r="J9" s="269">
        <v>42</v>
      </c>
      <c r="K9" s="269">
        <f t="shared" si="0"/>
        <v>42</v>
      </c>
      <c r="L9" s="235">
        <f t="shared" si="1"/>
        <v>0</v>
      </c>
      <c r="M9" s="235">
        <f t="shared" si="2"/>
        <v>172528.70194845504</v>
      </c>
      <c r="N9" s="235">
        <f t="shared" si="3"/>
        <v>7173.1859205102928</v>
      </c>
      <c r="O9" s="235">
        <f t="shared" si="4"/>
        <v>179701.88786896534</v>
      </c>
      <c r="P9" s="270">
        <f t="shared" si="5"/>
        <v>175000</v>
      </c>
      <c r="Q9" s="270">
        <v>164889.69418953877</v>
      </c>
      <c r="R9" s="235"/>
      <c r="S9" s="235"/>
      <c r="T9" s="235"/>
      <c r="U9" s="1489"/>
      <c r="V9" s="1489"/>
      <c r="W9" s="1489"/>
      <c r="X9" s="235"/>
    </row>
    <row r="10" spans="1:24" x14ac:dyDescent="0.25">
      <c r="A10" s="244">
        <v>9257024</v>
      </c>
      <c r="B10" s="237" t="s">
        <v>211</v>
      </c>
      <c r="C10" s="271">
        <v>3</v>
      </c>
      <c r="D10" s="268">
        <v>0.2</v>
      </c>
      <c r="E10" s="268">
        <v>0.5636363636363636</v>
      </c>
      <c r="F10" s="268">
        <v>1.8181818181818181E-2</v>
      </c>
      <c r="G10" s="268">
        <v>0.16363636363636364</v>
      </c>
      <c r="H10" s="268">
        <v>5.4545454545454543E-2</v>
      </c>
      <c r="I10" s="269">
        <v>5</v>
      </c>
      <c r="J10" s="269">
        <v>39</v>
      </c>
      <c r="K10" s="269">
        <f t="shared" si="0"/>
        <v>44</v>
      </c>
      <c r="L10" s="235">
        <f t="shared" si="1"/>
        <v>19053.583315273478</v>
      </c>
      <c r="M10" s="235">
        <f t="shared" si="2"/>
        <v>148617.94985913316</v>
      </c>
      <c r="N10" s="235">
        <f t="shared" si="3"/>
        <v>2635.0478891670464</v>
      </c>
      <c r="O10" s="235">
        <f t="shared" si="4"/>
        <v>170306.58106357369</v>
      </c>
      <c r="P10" s="270">
        <f t="shared" si="5"/>
        <v>183333.33333333334</v>
      </c>
      <c r="Q10" s="270">
        <v>121915.65467659711</v>
      </c>
      <c r="R10" s="235"/>
      <c r="S10" s="235"/>
      <c r="T10" s="235"/>
      <c r="U10" s="1489"/>
      <c r="V10" s="1489"/>
      <c r="W10" s="1489"/>
      <c r="X10" s="235"/>
    </row>
    <row r="11" spans="1:24" x14ac:dyDescent="0.25">
      <c r="A11" s="244">
        <v>9257031</v>
      </c>
      <c r="B11" s="237" t="s">
        <v>257</v>
      </c>
      <c r="C11" s="267">
        <v>3</v>
      </c>
      <c r="D11" s="268">
        <v>0</v>
      </c>
      <c r="E11" s="268">
        <v>0</v>
      </c>
      <c r="F11" s="268">
        <v>0</v>
      </c>
      <c r="G11" s="268">
        <v>0</v>
      </c>
      <c r="H11" s="268">
        <v>1</v>
      </c>
      <c r="I11" s="269">
        <v>0</v>
      </c>
      <c r="J11" s="269">
        <v>62</v>
      </c>
      <c r="K11" s="269">
        <f t="shared" si="0"/>
        <v>62</v>
      </c>
      <c r="L11" s="235">
        <f t="shared" si="1"/>
        <v>0</v>
      </c>
      <c r="M11" s="235">
        <f t="shared" si="2"/>
        <v>302043.866484167</v>
      </c>
      <c r="N11" s="235">
        <f t="shared" si="3"/>
        <v>68072.070470148697</v>
      </c>
      <c r="O11" s="235">
        <f t="shared" si="4"/>
        <v>370115.93695431569</v>
      </c>
      <c r="P11" s="270">
        <f t="shared" si="5"/>
        <v>258333.33333333334</v>
      </c>
      <c r="Q11" s="270">
        <v>260212.55274657084</v>
      </c>
      <c r="R11" s="235"/>
      <c r="S11" s="235"/>
      <c r="T11" s="235"/>
      <c r="U11" s="272"/>
      <c r="V11" s="272"/>
      <c r="W11" s="272"/>
      <c r="X11" s="235"/>
    </row>
    <row r="12" spans="1:24" x14ac:dyDescent="0.25">
      <c r="A12" s="244">
        <v>9257033</v>
      </c>
      <c r="B12" s="237" t="s">
        <v>220</v>
      </c>
      <c r="C12" s="267">
        <v>3</v>
      </c>
      <c r="D12" s="268">
        <v>3.6363636363636362E-2</v>
      </c>
      <c r="E12" s="268">
        <v>0.29090909090909089</v>
      </c>
      <c r="F12" s="268">
        <v>0.27272727272727271</v>
      </c>
      <c r="G12" s="268">
        <v>5.4545454545454543E-2</v>
      </c>
      <c r="H12" s="268">
        <v>0.34545454545454546</v>
      </c>
      <c r="I12" s="269">
        <v>10</v>
      </c>
      <c r="J12" s="269">
        <v>50</v>
      </c>
      <c r="K12" s="269">
        <f t="shared" si="0"/>
        <v>60</v>
      </c>
      <c r="L12" s="235">
        <f t="shared" si="1"/>
        <v>37262.62377713446</v>
      </c>
      <c r="M12" s="235">
        <f t="shared" si="2"/>
        <v>186313.11888567227</v>
      </c>
      <c r="N12" s="235">
        <f t="shared" si="3"/>
        <v>22757.231770079037</v>
      </c>
      <c r="O12" s="235">
        <f t="shared" si="4"/>
        <v>246332.97443288576</v>
      </c>
      <c r="P12" s="270">
        <f t="shared" si="5"/>
        <v>250000</v>
      </c>
      <c r="Q12" s="270">
        <v>161401.34871968155</v>
      </c>
      <c r="R12" s="235"/>
      <c r="S12" s="235"/>
      <c r="T12" s="235"/>
      <c r="U12" s="272"/>
      <c r="V12" s="272"/>
      <c r="W12" s="272"/>
      <c r="X12" s="235"/>
    </row>
    <row r="13" spans="1:24" x14ac:dyDescent="0.25">
      <c r="A13" s="244">
        <v>9257008</v>
      </c>
      <c r="B13" s="237" t="s">
        <v>212</v>
      </c>
      <c r="C13" s="273">
        <v>4</v>
      </c>
      <c r="D13" s="268">
        <v>0</v>
      </c>
      <c r="E13" s="268">
        <v>8.2352941176470587E-2</v>
      </c>
      <c r="F13" s="268">
        <v>0.61176470588235299</v>
      </c>
      <c r="G13" s="268">
        <v>2.3529411764705882E-2</v>
      </c>
      <c r="H13" s="268">
        <v>0.28235294117647058</v>
      </c>
      <c r="I13" s="269">
        <v>10</v>
      </c>
      <c r="J13" s="269">
        <v>80</v>
      </c>
      <c r="K13" s="269">
        <f t="shared" si="0"/>
        <v>90</v>
      </c>
      <c r="L13" s="235">
        <f t="shared" si="1"/>
        <v>33339.078620055436</v>
      </c>
      <c r="M13" s="235">
        <f t="shared" si="2"/>
        <v>266712.62896044349</v>
      </c>
      <c r="N13" s="235">
        <f t="shared" si="3"/>
        <v>27900.507061768727</v>
      </c>
      <c r="O13" s="235">
        <f t="shared" si="4"/>
        <v>327952.21464226767</v>
      </c>
      <c r="P13" s="270">
        <f t="shared" si="5"/>
        <v>375000</v>
      </c>
      <c r="Q13" s="270">
        <v>166765.61789210761</v>
      </c>
      <c r="R13" s="235"/>
      <c r="S13" s="235"/>
      <c r="T13" s="235"/>
      <c r="X13" s="235"/>
    </row>
    <row r="14" spans="1:24" x14ac:dyDescent="0.25">
      <c r="A14" s="244">
        <v>9257034</v>
      </c>
      <c r="B14" s="237" t="s">
        <v>221</v>
      </c>
      <c r="C14" s="267">
        <v>5</v>
      </c>
      <c r="D14" s="268">
        <v>7.0866141732283464E-2</v>
      </c>
      <c r="E14" s="268">
        <v>0.16535433070866143</v>
      </c>
      <c r="F14" s="268">
        <v>0.51968503937007871</v>
      </c>
      <c r="G14" s="268">
        <v>3.937007874015748E-2</v>
      </c>
      <c r="H14" s="268">
        <v>0.20472440944881889</v>
      </c>
      <c r="I14" s="269">
        <v>0</v>
      </c>
      <c r="J14" s="269">
        <v>96</v>
      </c>
      <c r="K14" s="269">
        <f t="shared" si="0"/>
        <v>96</v>
      </c>
      <c r="L14" s="235">
        <f t="shared" si="1"/>
        <v>0</v>
      </c>
      <c r="M14" s="235">
        <f t="shared" si="2"/>
        <v>325706.96785500314</v>
      </c>
      <c r="N14" s="235">
        <f t="shared" si="3"/>
        <v>21578.344919163217</v>
      </c>
      <c r="O14" s="235">
        <f t="shared" si="4"/>
        <v>347285.31277416635</v>
      </c>
      <c r="P14" s="270">
        <f t="shared" si="5"/>
        <v>400000</v>
      </c>
      <c r="Q14" s="270">
        <v>124725.8430470342</v>
      </c>
      <c r="R14" s="235"/>
      <c r="S14" s="235"/>
      <c r="T14" s="235"/>
      <c r="X14" s="235"/>
    </row>
    <row r="15" spans="1:24" x14ac:dyDescent="0.25">
      <c r="A15" s="244">
        <v>9257002</v>
      </c>
      <c r="B15" s="237" t="s">
        <v>213</v>
      </c>
      <c r="C15" s="271">
        <v>4</v>
      </c>
      <c r="D15" s="268">
        <v>8.4033613445378148E-3</v>
      </c>
      <c r="E15" s="268">
        <v>0.27731092436974791</v>
      </c>
      <c r="F15" s="268">
        <v>0.59663865546218486</v>
      </c>
      <c r="G15" s="268">
        <v>2.5210084033613446E-2</v>
      </c>
      <c r="H15" s="268">
        <v>9.2436974789915971E-2</v>
      </c>
      <c r="I15" s="269">
        <v>0</v>
      </c>
      <c r="J15" s="269">
        <v>122</v>
      </c>
      <c r="K15" s="269">
        <f t="shared" si="0"/>
        <v>122</v>
      </c>
      <c r="L15" s="235">
        <f t="shared" si="1"/>
        <v>0</v>
      </c>
      <c r="M15" s="235">
        <f t="shared" si="2"/>
        <v>367896.39637035807</v>
      </c>
      <c r="N15" s="235">
        <f t="shared" si="3"/>
        <v>12381.772644475408</v>
      </c>
      <c r="O15" s="235">
        <f t="shared" si="4"/>
        <v>380278.16901483346</v>
      </c>
      <c r="P15" s="270">
        <f t="shared" si="5"/>
        <v>508333.33333333337</v>
      </c>
      <c r="Q15" s="270">
        <v>86000.790280022833</v>
      </c>
      <c r="R15" s="235"/>
      <c r="S15" s="235"/>
      <c r="T15" s="235"/>
      <c r="X15" s="235"/>
    </row>
    <row r="16" spans="1:24" x14ac:dyDescent="0.25">
      <c r="A16" s="244">
        <v>9257009</v>
      </c>
      <c r="B16" s="237" t="s">
        <v>214</v>
      </c>
      <c r="C16" s="267">
        <v>4</v>
      </c>
      <c r="D16" s="268">
        <v>0</v>
      </c>
      <c r="E16" s="268">
        <v>0.14615384615384616</v>
      </c>
      <c r="F16" s="268">
        <v>0.7</v>
      </c>
      <c r="G16" s="268">
        <v>1.5384615384615385E-2</v>
      </c>
      <c r="H16" s="268">
        <v>0.13846153846153847</v>
      </c>
      <c r="I16" s="269">
        <v>0</v>
      </c>
      <c r="J16" s="269">
        <v>130</v>
      </c>
      <c r="K16" s="269">
        <f t="shared" si="0"/>
        <v>130</v>
      </c>
      <c r="L16" s="235">
        <f t="shared" si="1"/>
        <v>0</v>
      </c>
      <c r="M16" s="235">
        <f t="shared" si="2"/>
        <v>392363.34941922099</v>
      </c>
      <c r="N16" s="235">
        <f t="shared" si="3"/>
        <v>19762.85916875285</v>
      </c>
      <c r="O16" s="235">
        <f t="shared" si="4"/>
        <v>412126.20858797384</v>
      </c>
      <c r="P16" s="270">
        <f t="shared" si="5"/>
        <v>541666.66666666674</v>
      </c>
      <c r="Q16" s="270">
        <v>83214.433324511498</v>
      </c>
      <c r="R16" s="235"/>
      <c r="S16" s="235"/>
      <c r="T16" s="235"/>
      <c r="X16" s="235"/>
    </row>
    <row r="17" spans="1:24" x14ac:dyDescent="0.25">
      <c r="A17" s="244">
        <v>9257029</v>
      </c>
      <c r="B17" s="237" t="s">
        <v>259</v>
      </c>
      <c r="C17" s="274">
        <v>3</v>
      </c>
      <c r="D17" s="268">
        <v>0</v>
      </c>
      <c r="E17" s="268">
        <v>0</v>
      </c>
      <c r="F17" s="268">
        <v>0</v>
      </c>
      <c r="G17" s="268">
        <v>0</v>
      </c>
      <c r="H17" s="268">
        <v>1</v>
      </c>
      <c r="I17" s="269">
        <v>0</v>
      </c>
      <c r="J17" s="269">
        <v>55</v>
      </c>
      <c r="K17" s="269">
        <f t="shared" si="0"/>
        <v>55</v>
      </c>
      <c r="L17" s="235">
        <f t="shared" si="1"/>
        <v>0</v>
      </c>
      <c r="M17" s="235">
        <f t="shared" si="2"/>
        <v>267942.13962305133</v>
      </c>
      <c r="N17" s="235">
        <f t="shared" si="3"/>
        <v>60386.51412674482</v>
      </c>
      <c r="O17" s="235">
        <f t="shared" si="4"/>
        <v>328328.65374979615</v>
      </c>
      <c r="P17" s="270">
        <f t="shared" si="5"/>
        <v>229166.66666666669</v>
      </c>
      <c r="Q17" s="270">
        <v>271892.00203930959</v>
      </c>
      <c r="R17" s="235"/>
      <c r="S17" s="235"/>
      <c r="T17" s="235"/>
      <c r="X17" s="235"/>
    </row>
    <row r="18" spans="1:24" x14ac:dyDescent="0.25">
      <c r="A18" s="244">
        <v>9257032</v>
      </c>
      <c r="B18" s="237" t="s">
        <v>261</v>
      </c>
      <c r="C18" s="267">
        <v>4</v>
      </c>
      <c r="D18" s="268">
        <v>0</v>
      </c>
      <c r="E18" s="268">
        <v>0</v>
      </c>
      <c r="F18" s="268">
        <v>0</v>
      </c>
      <c r="G18" s="268">
        <v>0</v>
      </c>
      <c r="H18" s="268">
        <v>1</v>
      </c>
      <c r="I18" s="269">
        <v>0</v>
      </c>
      <c r="J18" s="269">
        <v>60</v>
      </c>
      <c r="K18" s="269">
        <f t="shared" si="0"/>
        <v>60</v>
      </c>
      <c r="L18" s="235">
        <f t="shared" si="1"/>
        <v>0</v>
      </c>
      <c r="M18" s="235">
        <f t="shared" si="2"/>
        <v>292300.51595241966</v>
      </c>
      <c r="N18" s="235">
        <f t="shared" si="3"/>
        <v>65876.197229176163</v>
      </c>
      <c r="O18" s="235">
        <f t="shared" si="4"/>
        <v>358176.71318159584</v>
      </c>
      <c r="P18" s="270">
        <f t="shared" si="5"/>
        <v>250000</v>
      </c>
      <c r="Q18" s="270">
        <v>285935.59201976832</v>
      </c>
      <c r="R18" s="235"/>
      <c r="S18" s="235"/>
      <c r="T18" s="235"/>
      <c r="X18" s="235"/>
    </row>
    <row r="19" spans="1:24" x14ac:dyDescent="0.25">
      <c r="A19" s="244">
        <v>9257030</v>
      </c>
      <c r="B19" s="237" t="s">
        <v>262</v>
      </c>
      <c r="C19" s="267">
        <v>4</v>
      </c>
      <c r="D19" s="268">
        <v>0</v>
      </c>
      <c r="E19" s="268">
        <v>0</v>
      </c>
      <c r="F19" s="268">
        <v>0</v>
      </c>
      <c r="G19" s="268">
        <v>0</v>
      </c>
      <c r="H19" s="268">
        <v>1</v>
      </c>
      <c r="I19" s="269">
        <v>0</v>
      </c>
      <c r="J19" s="269">
        <v>55</v>
      </c>
      <c r="K19" s="269">
        <f t="shared" si="0"/>
        <v>55</v>
      </c>
      <c r="L19" s="235">
        <f t="shared" si="1"/>
        <v>0</v>
      </c>
      <c r="M19" s="235">
        <f t="shared" si="2"/>
        <v>267942.13962305133</v>
      </c>
      <c r="N19" s="235">
        <f t="shared" si="3"/>
        <v>60386.51412674482</v>
      </c>
      <c r="O19" s="235">
        <f t="shared" si="4"/>
        <v>328328.65374979615</v>
      </c>
      <c r="P19" s="270">
        <f t="shared" si="5"/>
        <v>229166.66666666669</v>
      </c>
      <c r="Q19" s="270">
        <v>269983.2976712684</v>
      </c>
      <c r="R19" s="235"/>
      <c r="S19" s="235"/>
      <c r="T19" s="235"/>
      <c r="X19" s="235"/>
    </row>
    <row r="20" spans="1:24" x14ac:dyDescent="0.25">
      <c r="A20" s="244">
        <v>9257028</v>
      </c>
      <c r="B20" s="237" t="s">
        <v>215</v>
      </c>
      <c r="C20" s="274">
        <v>4</v>
      </c>
      <c r="D20" s="268">
        <v>0.23943661971830985</v>
      </c>
      <c r="E20" s="268">
        <v>0.3380281690140845</v>
      </c>
      <c r="F20" s="268">
        <v>0</v>
      </c>
      <c r="G20" s="268">
        <v>0.18309859154929578</v>
      </c>
      <c r="H20" s="268">
        <v>0.23943661971830985</v>
      </c>
      <c r="I20" s="269">
        <v>5</v>
      </c>
      <c r="J20" s="269">
        <v>50</v>
      </c>
      <c r="K20" s="269">
        <f t="shared" si="0"/>
        <v>55</v>
      </c>
      <c r="L20" s="275">
        <f t="shared" si="1"/>
        <v>21300.715279234355</v>
      </c>
      <c r="M20" s="235">
        <f t="shared" si="2"/>
        <v>213007.15279234358</v>
      </c>
      <c r="N20" s="235">
        <f t="shared" si="3"/>
        <v>14458.742819079744</v>
      </c>
      <c r="O20" s="235">
        <f t="shared" si="4"/>
        <v>248766.61089065767</v>
      </c>
      <c r="P20" s="270">
        <f t="shared" si="5"/>
        <v>229166.66666666669</v>
      </c>
      <c r="Q20" s="270">
        <v>186747.22634206183</v>
      </c>
      <c r="R20" s="235"/>
      <c r="S20" s="235"/>
      <c r="T20" s="235"/>
      <c r="U20" s="36" t="s">
        <v>427</v>
      </c>
      <c r="X20" s="235"/>
    </row>
    <row r="21" spans="1:24" x14ac:dyDescent="0.25">
      <c r="A21" s="244">
        <v>9257021</v>
      </c>
      <c r="B21" s="237" t="s">
        <v>216</v>
      </c>
      <c r="C21" s="274">
        <v>4</v>
      </c>
      <c r="D21" s="268">
        <v>0</v>
      </c>
      <c r="E21" s="268">
        <v>9.8591549295774641E-2</v>
      </c>
      <c r="F21" s="268">
        <v>0.71830985915492962</v>
      </c>
      <c r="G21" s="268">
        <v>4.2253521126760563E-2</v>
      </c>
      <c r="H21" s="268">
        <v>0.14084507042253522</v>
      </c>
      <c r="I21" s="269">
        <v>0</v>
      </c>
      <c r="J21" s="269">
        <v>141</v>
      </c>
      <c r="K21" s="269">
        <f t="shared" si="0"/>
        <v>141</v>
      </c>
      <c r="L21" s="235">
        <f t="shared" si="1"/>
        <v>0</v>
      </c>
      <c r="M21" s="235">
        <f t="shared" si="2"/>
        <v>431835.01619482733</v>
      </c>
      <c r="N21" s="235">
        <f t="shared" si="3"/>
        <v>21804.093449093518</v>
      </c>
      <c r="O21" s="235">
        <f t="shared" si="4"/>
        <v>453639.10964392085</v>
      </c>
      <c r="P21" s="270">
        <f t="shared" si="5"/>
        <v>587500</v>
      </c>
      <c r="Q21" s="270">
        <v>89902.13611468178</v>
      </c>
      <c r="R21" s="235"/>
      <c r="S21" s="235"/>
      <c r="T21" s="235"/>
      <c r="X21" s="235"/>
    </row>
    <row r="22" spans="1:24" x14ac:dyDescent="0.25">
      <c r="A22" s="244">
        <v>9257015</v>
      </c>
      <c r="B22" s="237" t="s">
        <v>217</v>
      </c>
      <c r="C22" s="267">
        <v>6</v>
      </c>
      <c r="D22" s="268">
        <v>6.0483870967741937E-2</v>
      </c>
      <c r="E22" s="268">
        <v>0.22177419354838709</v>
      </c>
      <c r="F22" s="268">
        <v>0.65322580645161288</v>
      </c>
      <c r="G22" s="268">
        <v>0</v>
      </c>
      <c r="H22" s="268">
        <v>6.4516129032258063E-2</v>
      </c>
      <c r="I22" s="269">
        <v>10</v>
      </c>
      <c r="J22" s="269">
        <v>231</v>
      </c>
      <c r="K22" s="269">
        <f t="shared" si="0"/>
        <v>241</v>
      </c>
      <c r="L22" s="235">
        <f t="shared" si="1"/>
        <v>29875.568123471203</v>
      </c>
      <c r="M22" s="235">
        <f t="shared" si="2"/>
        <v>690125.62365218473</v>
      </c>
      <c r="N22" s="235">
        <f t="shared" si="3"/>
        <v>17071.143583044573</v>
      </c>
      <c r="O22" s="235">
        <f t="shared" si="4"/>
        <v>737072.33535870048</v>
      </c>
      <c r="P22" s="270">
        <f t="shared" si="5"/>
        <v>1004166.6666666667</v>
      </c>
      <c r="Q22" s="270">
        <v>25324.109187496026</v>
      </c>
      <c r="R22" s="235"/>
      <c r="S22" s="235"/>
      <c r="T22" s="235"/>
      <c r="X22" s="235"/>
    </row>
    <row r="23" spans="1:24" x14ac:dyDescent="0.25">
      <c r="A23" s="244">
        <v>9257016</v>
      </c>
      <c r="B23" s="237" t="s">
        <v>219</v>
      </c>
      <c r="C23" s="267">
        <v>7</v>
      </c>
      <c r="D23" s="268">
        <v>0.50370370370370365</v>
      </c>
      <c r="E23" s="268">
        <v>0</v>
      </c>
      <c r="F23" s="268">
        <v>0.28888888888888886</v>
      </c>
      <c r="G23" s="268">
        <v>0.2074074074074074</v>
      </c>
      <c r="H23" s="268">
        <v>0</v>
      </c>
      <c r="I23" s="269">
        <v>0</v>
      </c>
      <c r="J23" s="269">
        <v>79</v>
      </c>
      <c r="K23" s="269">
        <f t="shared" si="0"/>
        <v>79</v>
      </c>
      <c r="L23" s="235">
        <f t="shared" si="1"/>
        <v>0</v>
      </c>
      <c r="M23" s="235">
        <f t="shared" si="2"/>
        <v>333053.08543802291</v>
      </c>
      <c r="N23" s="235">
        <f t="shared" si="3"/>
        <v>0</v>
      </c>
      <c r="O23" s="235">
        <f t="shared" si="4"/>
        <v>333053.08543802291</v>
      </c>
      <c r="P23" s="270">
        <f t="shared" si="5"/>
        <v>329166.66666666669</v>
      </c>
      <c r="Q23" s="270">
        <v>217449.30498477549</v>
      </c>
      <c r="R23" s="235"/>
      <c r="S23" s="235"/>
      <c r="T23" s="235"/>
      <c r="X23" s="235"/>
    </row>
    <row r="24" spans="1:24" x14ac:dyDescent="0.25">
      <c r="A24" s="249"/>
      <c r="C24" s="234"/>
      <c r="D24" s="268"/>
      <c r="E24" s="268"/>
      <c r="F24" s="268"/>
      <c r="G24" s="268"/>
      <c r="H24" s="268"/>
      <c r="I24" s="269"/>
      <c r="J24" s="269"/>
      <c r="K24" s="269"/>
      <c r="L24" s="235"/>
      <c r="M24" s="235"/>
      <c r="N24" s="235"/>
      <c r="O24" s="235"/>
      <c r="P24" s="269"/>
      <c r="Q24" s="269"/>
    </row>
    <row r="25" spans="1:24" ht="13" x14ac:dyDescent="0.3">
      <c r="A25" s="93" t="s">
        <v>263</v>
      </c>
      <c r="C25" s="234"/>
      <c r="D25" s="268"/>
      <c r="E25" s="268"/>
      <c r="F25" s="268"/>
      <c r="G25" s="268"/>
      <c r="H25" s="268"/>
      <c r="I25" s="269"/>
      <c r="J25" s="269"/>
      <c r="K25" s="269"/>
      <c r="L25" s="235"/>
      <c r="M25" s="235"/>
      <c r="N25" s="235"/>
      <c r="O25" s="235"/>
      <c r="P25" s="269"/>
      <c r="Q25" s="269"/>
    </row>
    <row r="26" spans="1:24" x14ac:dyDescent="0.25">
      <c r="A26" s="249"/>
      <c r="C26" s="234"/>
      <c r="D26" s="268"/>
      <c r="E26" s="268"/>
      <c r="F26" s="268"/>
      <c r="G26" s="268"/>
      <c r="H26" s="268"/>
      <c r="I26" s="94" t="s">
        <v>424</v>
      </c>
      <c r="J26" s="269"/>
      <c r="K26" s="269"/>
      <c r="L26" s="235"/>
      <c r="M26" s="1445" t="s">
        <v>238</v>
      </c>
      <c r="N26" s="1446"/>
      <c r="O26" s="235"/>
      <c r="P26" s="269"/>
      <c r="Q26" s="269"/>
    </row>
    <row r="27" spans="1:24" ht="37.5" x14ac:dyDescent="0.25">
      <c r="A27" s="265" t="s">
        <v>182</v>
      </c>
      <c r="B27" s="237" t="s">
        <v>183</v>
      </c>
      <c r="C27" s="238" t="s">
        <v>184</v>
      </c>
      <c r="D27" s="36" t="s">
        <v>240</v>
      </c>
      <c r="E27" s="36" t="s">
        <v>241</v>
      </c>
      <c r="F27" s="36" t="s">
        <v>242</v>
      </c>
      <c r="G27" s="36" t="s">
        <v>243</v>
      </c>
      <c r="H27" s="36" t="s">
        <v>244</v>
      </c>
      <c r="I27" s="243" t="s">
        <v>264</v>
      </c>
      <c r="J27" s="243" t="s">
        <v>265</v>
      </c>
      <c r="K27" s="243" t="s">
        <v>266</v>
      </c>
      <c r="L27" s="243" t="s">
        <v>265</v>
      </c>
      <c r="M27" s="276" t="s">
        <v>267</v>
      </c>
      <c r="N27" s="243" t="s">
        <v>268</v>
      </c>
      <c r="O27" s="243"/>
      <c r="P27" s="243"/>
      <c r="Q27" s="243"/>
    </row>
    <row r="28" spans="1:24" x14ac:dyDescent="0.25">
      <c r="A28" s="244">
        <v>9257010</v>
      </c>
      <c r="B28" s="237" t="s">
        <v>205</v>
      </c>
      <c r="C28" s="267">
        <v>3</v>
      </c>
      <c r="D28" s="268">
        <v>0.40476190476190477</v>
      </c>
      <c r="E28" s="268">
        <v>0.2857142857142857</v>
      </c>
      <c r="F28" s="268">
        <v>0.11904761904761904</v>
      </c>
      <c r="G28" s="268">
        <v>0.11904761904761904</v>
      </c>
      <c r="H28" s="268">
        <v>7.1428571428571425E-2</v>
      </c>
      <c r="I28" s="269">
        <v>10</v>
      </c>
      <c r="J28" s="235">
        <f>((((I28*D28)*$G$92)+((I28*E28)*$G$94)+((I28*F28)*$G$96)+((I28*G28)*$G$98)+((I28*H28)*$G$100)))*(4/12)</f>
        <v>32676.257284106938</v>
      </c>
      <c r="K28" s="235">
        <f>((I28*H28)*$G$102)*(4/12)</f>
        <v>627.39235456358233</v>
      </c>
      <c r="L28" s="235">
        <f>SUM(J28:K28)</f>
        <v>33303.649638670518</v>
      </c>
      <c r="M28" s="270">
        <f>(I28*(4/12))*10000</f>
        <v>33333.333333333328</v>
      </c>
      <c r="N28" s="270">
        <v>29370.08726422389</v>
      </c>
      <c r="O28" s="235"/>
      <c r="P28" s="235"/>
      <c r="Q28" s="235"/>
      <c r="R28" s="235"/>
      <c r="S28" s="235"/>
      <c r="T28" s="235"/>
    </row>
    <row r="29" spans="1:24" x14ac:dyDescent="0.25">
      <c r="A29" s="244">
        <v>9257005</v>
      </c>
      <c r="B29" s="237" t="s">
        <v>208</v>
      </c>
      <c r="C29" s="271">
        <v>4</v>
      </c>
      <c r="D29" s="268">
        <v>0.13157894736842105</v>
      </c>
      <c r="E29" s="268">
        <v>0.35526315789473684</v>
      </c>
      <c r="F29" s="268">
        <v>0.17105263157894737</v>
      </c>
      <c r="G29" s="268">
        <v>0.14473684210526316</v>
      </c>
      <c r="H29" s="268">
        <v>0.19736842105263158</v>
      </c>
      <c r="I29" s="269">
        <v>29</v>
      </c>
      <c r="J29" s="235">
        <f t="shared" ref="J29:J45" si="6">((((I29*D29)*$G$92)+((I29*E29)*$G$94)+((I29*F29)*$G$96)+((I29*G29)*$G$98)+((I29*H29)*$G$100)))*(4/12)</f>
        <v>89103.135194826071</v>
      </c>
      <c r="K29" s="235">
        <f t="shared" ref="K29:K45" si="7">((I29*H29)*$G$102)*(4/12)</f>
        <v>5027.3939990687068</v>
      </c>
      <c r="L29" s="235">
        <f t="shared" ref="L29:L45" si="8">SUM(J29:K29)</f>
        <v>94130.529193894778</v>
      </c>
      <c r="M29" s="270">
        <f t="shared" ref="M29:M45" si="9">(I29*(4/12))*10000</f>
        <v>96666.666666666657</v>
      </c>
      <c r="N29" s="270">
        <v>63488.376698780667</v>
      </c>
      <c r="O29" s="235"/>
      <c r="P29" s="235"/>
      <c r="Q29" s="235"/>
      <c r="R29" s="235"/>
      <c r="S29" s="235"/>
      <c r="T29" s="235"/>
    </row>
    <row r="30" spans="1:24" x14ac:dyDescent="0.25">
      <c r="A30" s="244">
        <v>9257025</v>
      </c>
      <c r="B30" s="237" t="s">
        <v>209</v>
      </c>
      <c r="C30" s="267">
        <v>4</v>
      </c>
      <c r="D30" s="268">
        <v>0.26415094339622641</v>
      </c>
      <c r="E30" s="268">
        <v>0.41509433962264153</v>
      </c>
      <c r="F30" s="268">
        <v>5.6603773584905662E-2</v>
      </c>
      <c r="G30" s="268">
        <v>5.6603773584905662E-2</v>
      </c>
      <c r="H30" s="268">
        <v>0.20754716981132076</v>
      </c>
      <c r="I30" s="269">
        <v>13</v>
      </c>
      <c r="J30" s="235">
        <f t="shared" si="6"/>
        <v>41519.128077391273</v>
      </c>
      <c r="K30" s="235">
        <f t="shared" si="7"/>
        <v>2369.8858374269662</v>
      </c>
      <c r="L30" s="235">
        <f t="shared" si="8"/>
        <v>43889.013914818242</v>
      </c>
      <c r="M30" s="270">
        <f t="shared" si="9"/>
        <v>43333.333333333328</v>
      </c>
      <c r="N30" s="270">
        <v>37669.644543829891</v>
      </c>
      <c r="O30" s="235"/>
      <c r="P30" s="235"/>
      <c r="Q30" s="235"/>
      <c r="R30" s="235"/>
      <c r="S30" s="235"/>
      <c r="T30" s="235"/>
    </row>
    <row r="31" spans="1:24" x14ac:dyDescent="0.25">
      <c r="A31" s="244">
        <v>9257011</v>
      </c>
      <c r="B31" s="237" t="s">
        <v>210</v>
      </c>
      <c r="C31" s="267">
        <v>3</v>
      </c>
      <c r="D31" s="268">
        <v>0.4</v>
      </c>
      <c r="E31" s="268">
        <v>0.42222222222222222</v>
      </c>
      <c r="F31" s="268">
        <v>0</v>
      </c>
      <c r="G31" s="268">
        <v>2.2222222222222223E-2</v>
      </c>
      <c r="H31" s="268">
        <v>0.15555555555555556</v>
      </c>
      <c r="I31" s="269">
        <v>3</v>
      </c>
      <c r="J31" s="235">
        <f t="shared" si="6"/>
        <v>9858.7829684831449</v>
      </c>
      <c r="K31" s="235">
        <f t="shared" si="7"/>
        <v>409.8963383148739</v>
      </c>
      <c r="L31" s="235">
        <f t="shared" si="8"/>
        <v>10268.679306798018</v>
      </c>
      <c r="M31" s="270">
        <f t="shared" si="9"/>
        <v>10000</v>
      </c>
      <c r="N31" s="270">
        <v>9422.2682394022158</v>
      </c>
      <c r="O31" s="235"/>
      <c r="P31" s="235"/>
      <c r="Q31" s="235"/>
      <c r="R31" s="235"/>
      <c r="S31" s="235"/>
      <c r="T31" s="235"/>
    </row>
    <row r="32" spans="1:24" x14ac:dyDescent="0.25">
      <c r="A32" s="244">
        <v>9257024</v>
      </c>
      <c r="B32" s="237" t="s">
        <v>211</v>
      </c>
      <c r="C32" s="271">
        <v>3</v>
      </c>
      <c r="D32" s="268">
        <v>0.2</v>
      </c>
      <c r="E32" s="268">
        <v>0.5636363636363636</v>
      </c>
      <c r="F32" s="268">
        <v>1.8181818181818181E-2</v>
      </c>
      <c r="G32" s="268">
        <v>0.16363636363636364</v>
      </c>
      <c r="H32" s="268">
        <v>5.4545454545454543E-2</v>
      </c>
      <c r="I32" s="269">
        <v>13</v>
      </c>
      <c r="J32" s="235">
        <f t="shared" si="6"/>
        <v>39631.453295768835</v>
      </c>
      <c r="K32" s="235">
        <f t="shared" si="7"/>
        <v>622.82950107584725</v>
      </c>
      <c r="L32" s="235">
        <f t="shared" si="8"/>
        <v>40254.28279684468</v>
      </c>
      <c r="M32" s="270">
        <f t="shared" si="9"/>
        <v>43333.333333333328</v>
      </c>
      <c r="N32" s="270">
        <v>28816.427469013859</v>
      </c>
      <c r="O32" s="235"/>
      <c r="P32" s="235"/>
      <c r="Q32" s="235"/>
      <c r="R32" s="235"/>
      <c r="S32" s="235"/>
      <c r="T32" s="235"/>
    </row>
    <row r="33" spans="1:20" x14ac:dyDescent="0.25">
      <c r="A33" s="244">
        <v>9257031</v>
      </c>
      <c r="B33" s="237" t="s">
        <v>257</v>
      </c>
      <c r="C33" s="267">
        <v>3</v>
      </c>
      <c r="D33" s="268">
        <v>0</v>
      </c>
      <c r="E33" s="268">
        <v>0</v>
      </c>
      <c r="F33" s="268">
        <v>0</v>
      </c>
      <c r="G33" s="268">
        <v>0</v>
      </c>
      <c r="H33" s="268">
        <v>1</v>
      </c>
      <c r="I33" s="269">
        <v>0</v>
      </c>
      <c r="J33" s="235">
        <f t="shared" si="6"/>
        <v>0</v>
      </c>
      <c r="K33" s="235">
        <f t="shared" si="7"/>
        <v>0</v>
      </c>
      <c r="L33" s="235">
        <f t="shared" si="8"/>
        <v>0</v>
      </c>
      <c r="M33" s="270">
        <f t="shared" si="9"/>
        <v>0</v>
      </c>
      <c r="N33" s="270">
        <v>0</v>
      </c>
      <c r="O33" s="235"/>
      <c r="P33" s="235"/>
      <c r="Q33" s="235"/>
      <c r="R33" s="235"/>
      <c r="S33" s="235"/>
      <c r="T33" s="235"/>
    </row>
    <row r="34" spans="1:20" x14ac:dyDescent="0.25">
      <c r="A34" s="244">
        <v>9257033</v>
      </c>
      <c r="B34" s="237" t="s">
        <v>220</v>
      </c>
      <c r="C34" s="267">
        <v>3</v>
      </c>
      <c r="D34" s="268">
        <v>3.6363636363636362E-2</v>
      </c>
      <c r="E34" s="268">
        <v>0.29090909090909089</v>
      </c>
      <c r="F34" s="268">
        <v>0.27272727272727271</v>
      </c>
      <c r="G34" s="268">
        <v>5.4545454545454543E-2</v>
      </c>
      <c r="H34" s="268">
        <v>0.34545454545454546</v>
      </c>
      <c r="I34" s="269">
        <v>0</v>
      </c>
      <c r="J34" s="235">
        <f t="shared" si="6"/>
        <v>0</v>
      </c>
      <c r="K34" s="235">
        <f t="shared" si="7"/>
        <v>0</v>
      </c>
      <c r="L34" s="235">
        <f t="shared" si="8"/>
        <v>0</v>
      </c>
      <c r="M34" s="270">
        <f t="shared" si="9"/>
        <v>0</v>
      </c>
      <c r="N34" s="270">
        <v>0</v>
      </c>
      <c r="O34" s="235"/>
      <c r="P34" s="235"/>
      <c r="Q34" s="235"/>
      <c r="R34" s="235"/>
      <c r="S34" s="235"/>
      <c r="T34" s="235"/>
    </row>
    <row r="35" spans="1:20" x14ac:dyDescent="0.25">
      <c r="A35" s="244">
        <v>9257008</v>
      </c>
      <c r="B35" s="237" t="s">
        <v>212</v>
      </c>
      <c r="C35" s="273">
        <v>4</v>
      </c>
      <c r="D35" s="268">
        <v>0</v>
      </c>
      <c r="E35" s="268">
        <v>8.2352941176470587E-2</v>
      </c>
      <c r="F35" s="268">
        <v>0.61176470588235299</v>
      </c>
      <c r="G35" s="268">
        <v>2.3529411764705882E-2</v>
      </c>
      <c r="H35" s="268">
        <v>0.28235294117647058</v>
      </c>
      <c r="I35" s="269">
        <v>0</v>
      </c>
      <c r="J35" s="235">
        <f t="shared" si="6"/>
        <v>0</v>
      </c>
      <c r="K35" s="235">
        <f t="shared" si="7"/>
        <v>0</v>
      </c>
      <c r="L35" s="235">
        <f t="shared" si="8"/>
        <v>0</v>
      </c>
      <c r="M35" s="270">
        <f t="shared" si="9"/>
        <v>0</v>
      </c>
      <c r="N35" s="270">
        <v>0</v>
      </c>
      <c r="O35" s="235"/>
      <c r="P35" s="235"/>
      <c r="Q35" s="235"/>
      <c r="R35" s="235"/>
      <c r="S35" s="235"/>
      <c r="T35" s="235"/>
    </row>
    <row r="36" spans="1:20" x14ac:dyDescent="0.25">
      <c r="A36" s="244">
        <v>9257034</v>
      </c>
      <c r="B36" s="237" t="s">
        <v>221</v>
      </c>
      <c r="C36" s="267">
        <v>5</v>
      </c>
      <c r="D36" s="268">
        <v>7.0866141732283464E-2</v>
      </c>
      <c r="E36" s="268">
        <v>0.16535433070866143</v>
      </c>
      <c r="F36" s="268">
        <v>0.51968503937007871</v>
      </c>
      <c r="G36" s="268">
        <v>3.937007874015748E-2</v>
      </c>
      <c r="H36" s="268">
        <v>0.20472440944881889</v>
      </c>
      <c r="I36" s="269">
        <v>31</v>
      </c>
      <c r="J36" s="235">
        <f t="shared" si="6"/>
        <v>84140.966695875803</v>
      </c>
      <c r="K36" s="235">
        <f t="shared" si="7"/>
        <v>5574.4057707838301</v>
      </c>
      <c r="L36" s="235">
        <f t="shared" si="8"/>
        <v>89715.372466659639</v>
      </c>
      <c r="M36" s="270">
        <f t="shared" si="9"/>
        <v>103333.33333333333</v>
      </c>
      <c r="N36" s="270">
        <v>32220.842787150508</v>
      </c>
      <c r="O36" s="235"/>
      <c r="P36" s="235"/>
      <c r="Q36" s="235"/>
      <c r="R36" s="235"/>
      <c r="S36" s="235"/>
      <c r="T36" s="235"/>
    </row>
    <row r="37" spans="1:20" x14ac:dyDescent="0.25">
      <c r="A37" s="244">
        <v>9257002</v>
      </c>
      <c r="B37" s="237" t="s">
        <v>213</v>
      </c>
      <c r="C37" s="271">
        <v>4</v>
      </c>
      <c r="D37" s="268">
        <v>8.4033613445378148E-3</v>
      </c>
      <c r="E37" s="268">
        <v>0.27731092436974791</v>
      </c>
      <c r="F37" s="268">
        <v>0.59663865546218486</v>
      </c>
      <c r="G37" s="268">
        <v>2.5210084033613446E-2</v>
      </c>
      <c r="H37" s="268">
        <v>9.2436974789915971E-2</v>
      </c>
      <c r="I37" s="269">
        <v>0</v>
      </c>
      <c r="J37" s="235">
        <f t="shared" si="6"/>
        <v>0</v>
      </c>
      <c r="K37" s="235">
        <f t="shared" si="7"/>
        <v>0</v>
      </c>
      <c r="L37" s="235">
        <f t="shared" si="8"/>
        <v>0</v>
      </c>
      <c r="M37" s="270">
        <f t="shared" si="9"/>
        <v>0</v>
      </c>
      <c r="N37" s="270">
        <v>0</v>
      </c>
      <c r="O37" s="235"/>
      <c r="P37" s="235"/>
      <c r="Q37" s="235"/>
      <c r="R37" s="235"/>
      <c r="S37" s="235"/>
      <c r="T37" s="235"/>
    </row>
    <row r="38" spans="1:20" x14ac:dyDescent="0.25">
      <c r="A38" s="244">
        <v>9257009</v>
      </c>
      <c r="B38" s="237" t="s">
        <v>214</v>
      </c>
      <c r="C38" s="267">
        <v>4</v>
      </c>
      <c r="D38" s="268">
        <v>0</v>
      </c>
      <c r="E38" s="268">
        <v>0.14615384615384616</v>
      </c>
      <c r="F38" s="268">
        <v>0.7</v>
      </c>
      <c r="G38" s="268">
        <v>1.5384615384615385E-2</v>
      </c>
      <c r="H38" s="268">
        <v>0.13846153846153847</v>
      </c>
      <c r="I38" s="269">
        <v>0</v>
      </c>
      <c r="J38" s="235">
        <f t="shared" si="6"/>
        <v>0</v>
      </c>
      <c r="K38" s="235">
        <f t="shared" si="7"/>
        <v>0</v>
      </c>
      <c r="L38" s="235">
        <f t="shared" si="8"/>
        <v>0</v>
      </c>
      <c r="M38" s="270">
        <f t="shared" si="9"/>
        <v>0</v>
      </c>
      <c r="N38" s="270">
        <v>0</v>
      </c>
      <c r="O38" s="235"/>
      <c r="P38" s="235"/>
      <c r="Q38" s="235"/>
      <c r="R38" s="235"/>
      <c r="S38" s="235"/>
      <c r="T38" s="235"/>
    </row>
    <row r="39" spans="1:20" x14ac:dyDescent="0.25">
      <c r="A39" s="244">
        <v>9257029</v>
      </c>
      <c r="B39" s="237" t="s">
        <v>259</v>
      </c>
      <c r="C39" s="274">
        <v>3</v>
      </c>
      <c r="D39" s="268">
        <v>0</v>
      </c>
      <c r="E39" s="268">
        <v>0</v>
      </c>
      <c r="F39" s="268">
        <v>0</v>
      </c>
      <c r="G39" s="268">
        <v>0</v>
      </c>
      <c r="H39" s="268">
        <v>1</v>
      </c>
      <c r="I39" s="269">
        <v>0</v>
      </c>
      <c r="J39" s="235">
        <f t="shared" si="6"/>
        <v>0</v>
      </c>
      <c r="K39" s="235">
        <f t="shared" si="7"/>
        <v>0</v>
      </c>
      <c r="L39" s="235">
        <f t="shared" si="8"/>
        <v>0</v>
      </c>
      <c r="M39" s="270">
        <f t="shared" si="9"/>
        <v>0</v>
      </c>
      <c r="N39" s="270">
        <v>0</v>
      </c>
      <c r="O39" s="235"/>
      <c r="P39" s="235"/>
      <c r="Q39" s="235"/>
      <c r="R39" s="235"/>
      <c r="S39" s="235"/>
      <c r="T39" s="235"/>
    </row>
    <row r="40" spans="1:20" x14ac:dyDescent="0.25">
      <c r="A40" s="244">
        <v>9257032</v>
      </c>
      <c r="B40" s="237" t="s">
        <v>261</v>
      </c>
      <c r="C40" s="267">
        <v>4</v>
      </c>
      <c r="D40" s="268">
        <v>0</v>
      </c>
      <c r="E40" s="268">
        <v>0</v>
      </c>
      <c r="F40" s="268">
        <v>0</v>
      </c>
      <c r="G40" s="268">
        <v>0</v>
      </c>
      <c r="H40" s="268">
        <v>1</v>
      </c>
      <c r="I40" s="269">
        <v>0</v>
      </c>
      <c r="J40" s="235">
        <f t="shared" si="6"/>
        <v>0</v>
      </c>
      <c r="K40" s="235">
        <f t="shared" si="7"/>
        <v>0</v>
      </c>
      <c r="L40" s="235">
        <f t="shared" si="8"/>
        <v>0</v>
      </c>
      <c r="M40" s="270">
        <f t="shared" si="9"/>
        <v>0</v>
      </c>
      <c r="N40" s="270">
        <v>0</v>
      </c>
      <c r="O40" s="235"/>
      <c r="P40" s="235"/>
      <c r="Q40" s="235"/>
      <c r="R40" s="235"/>
      <c r="S40" s="235"/>
      <c r="T40" s="235"/>
    </row>
    <row r="41" spans="1:20" x14ac:dyDescent="0.25">
      <c r="A41" s="244">
        <v>9257030</v>
      </c>
      <c r="B41" s="237" t="s">
        <v>262</v>
      </c>
      <c r="C41" s="267">
        <v>4</v>
      </c>
      <c r="D41" s="268">
        <v>0</v>
      </c>
      <c r="E41" s="268">
        <v>0</v>
      </c>
      <c r="F41" s="268">
        <v>0</v>
      </c>
      <c r="G41" s="268">
        <v>0</v>
      </c>
      <c r="H41" s="268">
        <v>1</v>
      </c>
      <c r="I41" s="269">
        <v>0</v>
      </c>
      <c r="J41" s="235">
        <f t="shared" si="6"/>
        <v>0</v>
      </c>
      <c r="K41" s="235">
        <f t="shared" si="7"/>
        <v>0</v>
      </c>
      <c r="L41" s="235">
        <f t="shared" si="8"/>
        <v>0</v>
      </c>
      <c r="M41" s="270">
        <f t="shared" si="9"/>
        <v>0</v>
      </c>
      <c r="N41" s="270">
        <v>0</v>
      </c>
      <c r="O41" s="235"/>
      <c r="P41" s="235"/>
      <c r="Q41" s="235"/>
      <c r="R41" s="235"/>
      <c r="S41" s="235"/>
      <c r="T41" s="235"/>
    </row>
    <row r="42" spans="1:20" x14ac:dyDescent="0.25">
      <c r="A42" s="244">
        <v>9257028</v>
      </c>
      <c r="B42" s="237" t="s">
        <v>215</v>
      </c>
      <c r="C42" s="274">
        <v>4</v>
      </c>
      <c r="D42" s="268">
        <v>0.23943661971830985</v>
      </c>
      <c r="E42" s="268">
        <v>0.3380281690140845</v>
      </c>
      <c r="F42" s="268">
        <v>0</v>
      </c>
      <c r="G42" s="268">
        <v>0.18309859154929578</v>
      </c>
      <c r="H42" s="268">
        <v>0.23943661971830985</v>
      </c>
      <c r="I42" s="269">
        <v>16</v>
      </c>
      <c r="J42" s="235">
        <f t="shared" si="6"/>
        <v>54529.831114839952</v>
      </c>
      <c r="K42" s="235">
        <f t="shared" si="7"/>
        <v>3364.9437833494671</v>
      </c>
      <c r="L42" s="235">
        <f t="shared" si="8"/>
        <v>57894.774898189418</v>
      </c>
      <c r="M42" s="270">
        <f t="shared" si="9"/>
        <v>53333.333333333328</v>
      </c>
      <c r="N42" s="270">
        <v>43461.172675970745</v>
      </c>
      <c r="O42" s="235"/>
      <c r="P42" s="235"/>
      <c r="Q42" s="235"/>
      <c r="R42" s="235"/>
      <c r="S42" s="235"/>
      <c r="T42" s="235"/>
    </row>
    <row r="43" spans="1:20" x14ac:dyDescent="0.25">
      <c r="A43" s="244">
        <v>9257021</v>
      </c>
      <c r="B43" s="237" t="s">
        <v>216</v>
      </c>
      <c r="C43" s="274">
        <v>4</v>
      </c>
      <c r="D43" s="268">
        <v>0</v>
      </c>
      <c r="E43" s="268">
        <v>9.8591549295774641E-2</v>
      </c>
      <c r="F43" s="268">
        <v>0.71830985915492962</v>
      </c>
      <c r="G43" s="268">
        <v>4.2253521126760563E-2</v>
      </c>
      <c r="H43" s="268">
        <v>0.14084507042253522</v>
      </c>
      <c r="I43" s="269">
        <v>0</v>
      </c>
      <c r="J43" s="235">
        <f t="shared" si="6"/>
        <v>0</v>
      </c>
      <c r="K43" s="235">
        <f t="shared" si="7"/>
        <v>0</v>
      </c>
      <c r="L43" s="235">
        <f t="shared" si="8"/>
        <v>0</v>
      </c>
      <c r="M43" s="270">
        <f t="shared" si="9"/>
        <v>0</v>
      </c>
      <c r="N43" s="270">
        <v>0</v>
      </c>
      <c r="O43" s="235"/>
      <c r="P43" s="235"/>
      <c r="Q43" s="235"/>
      <c r="R43" s="235"/>
      <c r="S43" s="235"/>
      <c r="T43" s="235"/>
    </row>
    <row r="44" spans="1:20" x14ac:dyDescent="0.25">
      <c r="A44" s="244">
        <v>9257015</v>
      </c>
      <c r="B44" s="237" t="s">
        <v>217</v>
      </c>
      <c r="C44" s="267">
        <v>6</v>
      </c>
      <c r="D44" s="268">
        <v>6.0483870967741937E-2</v>
      </c>
      <c r="E44" s="268">
        <v>0.22177419354838709</v>
      </c>
      <c r="F44" s="268">
        <v>0.65322580645161288</v>
      </c>
      <c r="G44" s="268">
        <v>0</v>
      </c>
      <c r="H44" s="268">
        <v>6.4516129032258063E-2</v>
      </c>
      <c r="I44" s="269">
        <v>19</v>
      </c>
      <c r="J44" s="235">
        <f t="shared" si="6"/>
        <v>45410.863547676221</v>
      </c>
      <c r="K44" s="235">
        <f t="shared" si="7"/>
        <v>1076.6862342833092</v>
      </c>
      <c r="L44" s="235">
        <f t="shared" si="8"/>
        <v>46487.549781959533</v>
      </c>
      <c r="M44" s="270">
        <f t="shared" si="9"/>
        <v>63333.333333333328</v>
      </c>
      <c r="N44" s="270">
        <v>1597.2052267632346</v>
      </c>
      <c r="O44" s="235"/>
      <c r="P44" s="235"/>
      <c r="Q44" s="235"/>
      <c r="R44" s="235"/>
      <c r="S44" s="235"/>
      <c r="T44" s="235"/>
    </row>
    <row r="45" spans="1:20" x14ac:dyDescent="0.25">
      <c r="A45" s="244">
        <v>9257016</v>
      </c>
      <c r="B45" s="237" t="s">
        <v>219</v>
      </c>
      <c r="C45" s="267">
        <v>7</v>
      </c>
      <c r="D45" s="268">
        <v>0.50370370370370365</v>
      </c>
      <c r="E45" s="268">
        <v>0</v>
      </c>
      <c r="F45" s="268">
        <v>0.28888888888888886</v>
      </c>
      <c r="G45" s="268">
        <v>0.2074074074074074</v>
      </c>
      <c r="H45" s="268">
        <v>0</v>
      </c>
      <c r="I45" s="269">
        <v>54</v>
      </c>
      <c r="J45" s="235">
        <f t="shared" si="6"/>
        <v>182125.23153066565</v>
      </c>
      <c r="K45" s="235">
        <f t="shared" si="7"/>
        <v>0</v>
      </c>
      <c r="L45" s="235">
        <f t="shared" si="8"/>
        <v>182125.23153066565</v>
      </c>
      <c r="M45" s="270">
        <f t="shared" si="9"/>
        <v>180000</v>
      </c>
      <c r="N45" s="270">
        <v>118908.98702964939</v>
      </c>
      <c r="O45" s="235"/>
      <c r="P45" s="235"/>
      <c r="Q45" s="235"/>
      <c r="R45" s="235"/>
      <c r="S45" s="235"/>
      <c r="T45" s="235"/>
    </row>
    <row r="46" spans="1:20" x14ac:dyDescent="0.25">
      <c r="A46" s="249"/>
      <c r="C46" s="234"/>
      <c r="D46" s="268"/>
      <c r="E46" s="268"/>
      <c r="F46" s="268"/>
      <c r="G46" s="268"/>
      <c r="H46" s="268"/>
      <c r="I46" s="269"/>
      <c r="J46" s="269"/>
      <c r="K46" s="269"/>
      <c r="L46" s="235"/>
      <c r="M46" s="235"/>
      <c r="N46" s="235"/>
      <c r="O46" s="235"/>
      <c r="P46" s="269"/>
      <c r="Q46" s="269"/>
    </row>
    <row r="47" spans="1:20" ht="13" x14ac:dyDescent="0.3">
      <c r="A47" s="93" t="s">
        <v>270</v>
      </c>
    </row>
    <row r="48" spans="1:20" x14ac:dyDescent="0.25">
      <c r="I48" s="94" t="s">
        <v>424</v>
      </c>
      <c r="P48" s="1445" t="s">
        <v>238</v>
      </c>
      <c r="Q48" s="1446"/>
    </row>
    <row r="49" spans="1:20" ht="39.75" customHeight="1" x14ac:dyDescent="0.25">
      <c r="A49" s="265" t="s">
        <v>182</v>
      </c>
      <c r="B49" s="237" t="s">
        <v>183</v>
      </c>
      <c r="C49" s="238" t="s">
        <v>184</v>
      </c>
      <c r="D49" s="36" t="s">
        <v>240</v>
      </c>
      <c r="E49" s="36" t="s">
        <v>241</v>
      </c>
      <c r="F49" s="36" t="s">
        <v>242</v>
      </c>
      <c r="G49" s="36" t="s">
        <v>243</v>
      </c>
      <c r="H49" s="36" t="s">
        <v>244</v>
      </c>
      <c r="I49" s="243" t="s">
        <v>245</v>
      </c>
      <c r="J49" s="243" t="s">
        <v>246</v>
      </c>
      <c r="K49" s="243" t="s">
        <v>247</v>
      </c>
      <c r="L49" s="243" t="s">
        <v>271</v>
      </c>
      <c r="M49" s="243" t="s">
        <v>272</v>
      </c>
      <c r="N49" s="243" t="s">
        <v>273</v>
      </c>
      <c r="O49" s="243" t="s">
        <v>274</v>
      </c>
      <c r="P49" s="277" t="s">
        <v>275</v>
      </c>
      <c r="Q49" s="243" t="s">
        <v>276</v>
      </c>
    </row>
    <row r="50" spans="1:20" x14ac:dyDescent="0.25">
      <c r="A50" s="244">
        <v>9257010</v>
      </c>
      <c r="B50" s="237" t="s">
        <v>205</v>
      </c>
      <c r="C50" s="267">
        <v>3</v>
      </c>
      <c r="D50" s="268">
        <v>0.40476190476190477</v>
      </c>
      <c r="E50" s="268">
        <v>0.2857142857142857</v>
      </c>
      <c r="F50" s="268">
        <v>0.11904761904761904</v>
      </c>
      <c r="G50" s="268">
        <v>0.11904761904761904</v>
      </c>
      <c r="H50" s="268">
        <v>7.1428571428571425E-2</v>
      </c>
      <c r="I50" s="269">
        <v>0</v>
      </c>
      <c r="J50" s="269">
        <v>34</v>
      </c>
      <c r="K50" s="269">
        <f>SUM(I50:J50)</f>
        <v>34</v>
      </c>
      <c r="L50" s="235">
        <f>((((I50*D50)*$G$92)+((I50*E50)*$G$94)+((I50*F50)*$G$96)+((I50*G50)*$G$98)+((I50*H50)*$G$100)))*(7/12)</f>
        <v>0</v>
      </c>
      <c r="M50" s="235">
        <f>((((J50*D50)*$G$92)+((J50*E50)*$G$94)+((J50*F50)*$G$96)+((J50*G50)*$G$98)+((J50*H50)*$G$100)))*(7/12)</f>
        <v>194423.73084043633</v>
      </c>
      <c r="N50" s="235">
        <f>((H50*K50)*$G$102)*(7/12)</f>
        <v>3732.9845096533159</v>
      </c>
      <c r="O50" s="235">
        <f t="shared" ref="O50:O67" si="10">((((K50*D50)*$G$92)+((K50*E50)*$G$94)+((K50*F50)*$G$96)+((K50*G50)*$G$98)+((K50*H50)*$G$100)+((K50*H50)*$G$102)))*(7/12)</f>
        <v>198156.71535008965</v>
      </c>
      <c r="P50" s="270">
        <f>(K50*(7/12))*10000</f>
        <v>198333.33333333334</v>
      </c>
      <c r="Q50" s="270">
        <v>174752.01922213213</v>
      </c>
      <c r="R50" s="235"/>
      <c r="S50" s="235"/>
      <c r="T50" s="235"/>
    </row>
    <row r="51" spans="1:20" x14ac:dyDescent="0.25">
      <c r="A51" s="244">
        <v>9257005</v>
      </c>
      <c r="B51" s="237" t="s">
        <v>208</v>
      </c>
      <c r="C51" s="271">
        <v>4</v>
      </c>
      <c r="D51" s="268">
        <v>0.13157894736842105</v>
      </c>
      <c r="E51" s="268">
        <v>0.35526315789473684</v>
      </c>
      <c r="F51" s="268">
        <v>0.17105263157894737</v>
      </c>
      <c r="G51" s="268">
        <v>0.14473684210526316</v>
      </c>
      <c r="H51" s="268">
        <v>0.19736842105263158</v>
      </c>
      <c r="I51" s="269">
        <v>0</v>
      </c>
      <c r="J51" s="269">
        <v>48</v>
      </c>
      <c r="K51" s="269">
        <f t="shared" ref="K51:K67" si="11">SUM(I51:J51)</f>
        <v>48</v>
      </c>
      <c r="L51" s="235">
        <f t="shared" ref="L51:L67" si="12">((((I51*D51)*$G$92)+((I51*E51)*$G$94)+((I51*F51)*$G$96)+((I51*G51)*$G$98)+((I51*H51)*$G$100)))*(7/12)</f>
        <v>0</v>
      </c>
      <c r="M51" s="235">
        <f t="shared" ref="M51:M67" si="13">((((J51*D51)*$G$92)+((J51*E51)*$G$94)+((J51*F51)*$G$96)+((J51*G51)*$G$98)+((J51*H51)*$G$100)))*(7/12)</f>
        <v>258091.83987466866</v>
      </c>
      <c r="N51" s="235">
        <f t="shared" ref="N51:N67" si="14">((H51*K51)*$G$102)*(7/12)</f>
        <v>14562.106755923151</v>
      </c>
      <c r="O51" s="235">
        <f t="shared" si="10"/>
        <v>272653.94663059182</v>
      </c>
      <c r="P51" s="270">
        <f t="shared" ref="P51:P67" si="15">(K51*(7/12))*10000</f>
        <v>280000</v>
      </c>
      <c r="Q51" s="270">
        <v>183897.36698957157</v>
      </c>
      <c r="R51" s="235"/>
      <c r="S51" s="235"/>
      <c r="T51" s="235"/>
    </row>
    <row r="52" spans="1:20" x14ac:dyDescent="0.25">
      <c r="A52" s="244">
        <v>9257025</v>
      </c>
      <c r="B52" s="237" t="s">
        <v>209</v>
      </c>
      <c r="C52" s="267">
        <v>4</v>
      </c>
      <c r="D52" s="268">
        <v>0.26415094339622641</v>
      </c>
      <c r="E52" s="268">
        <v>0.41509433962264153</v>
      </c>
      <c r="F52" s="268">
        <v>5.6603773584905662E-2</v>
      </c>
      <c r="G52" s="268">
        <v>5.6603773584905662E-2</v>
      </c>
      <c r="H52" s="268">
        <v>0.20754716981132076</v>
      </c>
      <c r="I52" s="269">
        <v>10</v>
      </c>
      <c r="J52" s="269">
        <v>39</v>
      </c>
      <c r="K52" s="269">
        <f t="shared" si="11"/>
        <v>49</v>
      </c>
      <c r="L52" s="235">
        <f t="shared" si="12"/>
        <v>55891.133950334406</v>
      </c>
      <c r="M52" s="235">
        <f t="shared" si="13"/>
        <v>217975.42240630422</v>
      </c>
      <c r="N52" s="235">
        <f t="shared" si="14"/>
        <v>15632.131581489413</v>
      </c>
      <c r="O52" s="235">
        <f t="shared" si="10"/>
        <v>289498.68793812807</v>
      </c>
      <c r="P52" s="270">
        <f t="shared" si="15"/>
        <v>285833.33333333337</v>
      </c>
      <c r="Q52" s="270">
        <v>248474.7707410318</v>
      </c>
      <c r="R52" s="235"/>
      <c r="S52" s="235"/>
      <c r="T52" s="235"/>
    </row>
    <row r="53" spans="1:20" x14ac:dyDescent="0.25">
      <c r="A53" s="244">
        <v>9257011</v>
      </c>
      <c r="B53" s="237" t="s">
        <v>210</v>
      </c>
      <c r="C53" s="267">
        <v>3</v>
      </c>
      <c r="D53" s="268">
        <v>0.4</v>
      </c>
      <c r="E53" s="268">
        <v>0.42222222222222222</v>
      </c>
      <c r="F53" s="268">
        <v>0</v>
      </c>
      <c r="G53" s="268">
        <v>2.2222222222222223E-2</v>
      </c>
      <c r="H53" s="268">
        <v>0.15555555555555556</v>
      </c>
      <c r="I53" s="269">
        <v>0</v>
      </c>
      <c r="J53" s="269">
        <v>42</v>
      </c>
      <c r="K53" s="269">
        <f t="shared" si="11"/>
        <v>42</v>
      </c>
      <c r="L53" s="235">
        <f t="shared" si="12"/>
        <v>0</v>
      </c>
      <c r="M53" s="235">
        <f t="shared" si="13"/>
        <v>241540.18272783706</v>
      </c>
      <c r="N53" s="235">
        <f t="shared" si="14"/>
        <v>10042.46028871441</v>
      </c>
      <c r="O53" s="235">
        <f t="shared" si="10"/>
        <v>251582.64301655148</v>
      </c>
      <c r="P53" s="270">
        <f t="shared" si="15"/>
        <v>245000</v>
      </c>
      <c r="Q53" s="270">
        <v>230845.57186535432</v>
      </c>
      <c r="R53" s="235"/>
      <c r="S53" s="235"/>
      <c r="T53" s="235"/>
    </row>
    <row r="54" spans="1:20" x14ac:dyDescent="0.25">
      <c r="A54" s="244">
        <v>9257024</v>
      </c>
      <c r="B54" s="237" t="s">
        <v>211</v>
      </c>
      <c r="C54" s="271">
        <v>3</v>
      </c>
      <c r="D54" s="268">
        <v>0.2</v>
      </c>
      <c r="E54" s="268">
        <v>0.5636363636363636</v>
      </c>
      <c r="F54" s="268">
        <v>1.8181818181818181E-2</v>
      </c>
      <c r="G54" s="268">
        <v>0.16363636363636364</v>
      </c>
      <c r="H54" s="268">
        <v>5.4545454545454543E-2</v>
      </c>
      <c r="I54" s="269">
        <v>5</v>
      </c>
      <c r="J54" s="269">
        <v>39</v>
      </c>
      <c r="K54" s="269">
        <f t="shared" si="11"/>
        <v>44</v>
      </c>
      <c r="L54" s="235">
        <f t="shared" si="12"/>
        <v>26675.01664138287</v>
      </c>
      <c r="M54" s="235">
        <f t="shared" si="13"/>
        <v>208065.12980278642</v>
      </c>
      <c r="N54" s="235">
        <f t="shared" si="14"/>
        <v>3689.0670448338651</v>
      </c>
      <c r="O54" s="235">
        <f t="shared" si="10"/>
        <v>238429.21348900307</v>
      </c>
      <c r="P54" s="270">
        <f t="shared" si="15"/>
        <v>256666.66666666669</v>
      </c>
      <c r="Q54" s="270">
        <v>170681.91654723592</v>
      </c>
      <c r="R54" s="235"/>
      <c r="S54" s="235"/>
      <c r="T54" s="235"/>
    </row>
    <row r="55" spans="1:20" x14ac:dyDescent="0.25">
      <c r="A55" s="244">
        <v>9257031</v>
      </c>
      <c r="B55" s="237" t="s">
        <v>257</v>
      </c>
      <c r="C55" s="267">
        <v>3</v>
      </c>
      <c r="D55" s="268">
        <v>0</v>
      </c>
      <c r="E55" s="268">
        <v>0</v>
      </c>
      <c r="F55" s="268">
        <v>0</v>
      </c>
      <c r="G55" s="268">
        <v>0</v>
      </c>
      <c r="H55" s="268">
        <v>1</v>
      </c>
      <c r="I55" s="269">
        <v>0</v>
      </c>
      <c r="J55" s="269">
        <v>62</v>
      </c>
      <c r="K55" s="269">
        <f t="shared" si="11"/>
        <v>62</v>
      </c>
      <c r="L55" s="235">
        <f t="shared" si="12"/>
        <v>0</v>
      </c>
      <c r="M55" s="235">
        <f t="shared" si="13"/>
        <v>422861.41307783383</v>
      </c>
      <c r="N55" s="235">
        <f t="shared" si="14"/>
        <v>95300.898658208185</v>
      </c>
      <c r="O55" s="235">
        <f t="shared" si="10"/>
        <v>518162.31173604203</v>
      </c>
      <c r="P55" s="270">
        <f t="shared" si="15"/>
        <v>361666.66666666669</v>
      </c>
      <c r="Q55" s="270">
        <v>364297.57384519913</v>
      </c>
      <c r="R55" s="235"/>
      <c r="S55" s="235"/>
      <c r="T55" s="235"/>
    </row>
    <row r="56" spans="1:20" x14ac:dyDescent="0.25">
      <c r="A56" s="244">
        <v>9257033</v>
      </c>
      <c r="B56" s="237" t="s">
        <v>220</v>
      </c>
      <c r="C56" s="267">
        <v>3</v>
      </c>
      <c r="D56" s="268">
        <v>3.6363636363636362E-2</v>
      </c>
      <c r="E56" s="268">
        <v>0.29090909090909089</v>
      </c>
      <c r="F56" s="268">
        <v>0.27272727272727271</v>
      </c>
      <c r="G56" s="268">
        <v>5.4545454545454543E-2</v>
      </c>
      <c r="H56" s="268">
        <v>0.34545454545454546</v>
      </c>
      <c r="I56" s="269">
        <v>10</v>
      </c>
      <c r="J56" s="269">
        <v>50</v>
      </c>
      <c r="K56" s="269">
        <f t="shared" si="11"/>
        <v>60</v>
      </c>
      <c r="L56" s="235">
        <f t="shared" si="12"/>
        <v>52167.67328798824</v>
      </c>
      <c r="M56" s="235">
        <f t="shared" si="13"/>
        <v>260838.36643994119</v>
      </c>
      <c r="N56" s="235">
        <f t="shared" si="14"/>
        <v>31860.124478110654</v>
      </c>
      <c r="O56" s="235">
        <f t="shared" si="10"/>
        <v>344866.16420604003</v>
      </c>
      <c r="P56" s="270">
        <f t="shared" si="15"/>
        <v>350000</v>
      </c>
      <c r="Q56" s="270">
        <v>225961.88820755421</v>
      </c>
      <c r="R56" s="235"/>
      <c r="S56" s="235"/>
      <c r="T56" s="235"/>
    </row>
    <row r="57" spans="1:20" x14ac:dyDescent="0.25">
      <c r="A57" s="244">
        <v>9257008</v>
      </c>
      <c r="B57" s="237" t="s">
        <v>212</v>
      </c>
      <c r="C57" s="273">
        <v>4</v>
      </c>
      <c r="D57" s="268">
        <v>0</v>
      </c>
      <c r="E57" s="268">
        <v>8.2352941176470587E-2</v>
      </c>
      <c r="F57" s="268">
        <v>0.61176470588235299</v>
      </c>
      <c r="G57" s="268">
        <v>2.3529411764705882E-2</v>
      </c>
      <c r="H57" s="268">
        <v>0.28235294117647058</v>
      </c>
      <c r="I57" s="269">
        <v>10</v>
      </c>
      <c r="J57" s="269">
        <v>80</v>
      </c>
      <c r="K57" s="269">
        <f t="shared" si="11"/>
        <v>90</v>
      </c>
      <c r="L57" s="235">
        <f t="shared" si="12"/>
        <v>46674.710068077606</v>
      </c>
      <c r="M57" s="235">
        <f t="shared" si="13"/>
        <v>373397.68054462085</v>
      </c>
      <c r="N57" s="235">
        <f t="shared" si="14"/>
        <v>39060.709886476216</v>
      </c>
      <c r="O57" s="235">
        <f t="shared" si="10"/>
        <v>459133.10049917467</v>
      </c>
      <c r="P57" s="270">
        <f t="shared" si="15"/>
        <v>525000</v>
      </c>
      <c r="Q57" s="270">
        <v>233471.86504895065</v>
      </c>
      <c r="R57" s="235"/>
      <c r="S57" s="235"/>
      <c r="T57" s="235"/>
    </row>
    <row r="58" spans="1:20" x14ac:dyDescent="0.25">
      <c r="A58" s="244">
        <v>9257034</v>
      </c>
      <c r="B58" s="237" t="s">
        <v>221</v>
      </c>
      <c r="C58" s="267">
        <v>5</v>
      </c>
      <c r="D58" s="268">
        <v>7.0866141732283464E-2</v>
      </c>
      <c r="E58" s="268">
        <v>0.16535433070866143</v>
      </c>
      <c r="F58" s="268">
        <v>0.51968503937007871</v>
      </c>
      <c r="G58" s="268">
        <v>3.937007874015748E-2</v>
      </c>
      <c r="H58" s="268">
        <v>0.20472440944881889</v>
      </c>
      <c r="I58" s="269">
        <v>0</v>
      </c>
      <c r="J58" s="269">
        <v>96</v>
      </c>
      <c r="K58" s="269">
        <f t="shared" si="11"/>
        <v>96</v>
      </c>
      <c r="L58" s="235">
        <f t="shared" si="12"/>
        <v>0</v>
      </c>
      <c r="M58" s="235">
        <f t="shared" si="13"/>
        <v>455989.75499700441</v>
      </c>
      <c r="N58" s="235">
        <f t="shared" si="14"/>
        <v>30209.682886828505</v>
      </c>
      <c r="O58" s="235">
        <f t="shared" si="10"/>
        <v>486199.4378838329</v>
      </c>
      <c r="P58" s="270">
        <f t="shared" si="15"/>
        <v>560000</v>
      </c>
      <c r="Q58" s="270">
        <v>174616.18026584788</v>
      </c>
      <c r="R58" s="235"/>
      <c r="S58" s="235"/>
      <c r="T58" s="235"/>
    </row>
    <row r="59" spans="1:20" x14ac:dyDescent="0.25">
      <c r="A59" s="244">
        <v>9257002</v>
      </c>
      <c r="B59" s="237" t="s">
        <v>213</v>
      </c>
      <c r="C59" s="271">
        <v>4</v>
      </c>
      <c r="D59" s="268">
        <v>8.4033613445378148E-3</v>
      </c>
      <c r="E59" s="268">
        <v>0.27731092436974791</v>
      </c>
      <c r="F59" s="268">
        <v>0.59663865546218486</v>
      </c>
      <c r="G59" s="268">
        <v>2.5210084033613446E-2</v>
      </c>
      <c r="H59" s="268">
        <v>9.2436974789915971E-2</v>
      </c>
      <c r="I59" s="269">
        <v>0</v>
      </c>
      <c r="J59" s="269">
        <v>122</v>
      </c>
      <c r="K59" s="269">
        <f t="shared" si="11"/>
        <v>122</v>
      </c>
      <c r="L59" s="235">
        <f t="shared" si="12"/>
        <v>0</v>
      </c>
      <c r="M59" s="235">
        <f t="shared" si="13"/>
        <v>515054.95491850126</v>
      </c>
      <c r="N59" s="235">
        <f t="shared" si="14"/>
        <v>17334.48170226557</v>
      </c>
      <c r="O59" s="235">
        <f t="shared" si="10"/>
        <v>532389.43662076688</v>
      </c>
      <c r="P59" s="270">
        <f t="shared" si="15"/>
        <v>711666.66666666674</v>
      </c>
      <c r="Q59" s="270">
        <v>120401.10639203196</v>
      </c>
      <c r="R59" s="235"/>
      <c r="S59" s="235"/>
      <c r="T59" s="235"/>
    </row>
    <row r="60" spans="1:20" x14ac:dyDescent="0.25">
      <c r="A60" s="244">
        <v>9257009</v>
      </c>
      <c r="B60" s="237" t="s">
        <v>214</v>
      </c>
      <c r="C60" s="267">
        <v>4</v>
      </c>
      <c r="D60" s="268">
        <v>0</v>
      </c>
      <c r="E60" s="268">
        <v>0.14615384615384616</v>
      </c>
      <c r="F60" s="268">
        <v>0.7</v>
      </c>
      <c r="G60" s="268">
        <v>1.5384615384615385E-2</v>
      </c>
      <c r="H60" s="268">
        <v>0.13846153846153847</v>
      </c>
      <c r="I60" s="269">
        <v>0</v>
      </c>
      <c r="J60" s="269">
        <v>130</v>
      </c>
      <c r="K60" s="269">
        <f t="shared" si="11"/>
        <v>130</v>
      </c>
      <c r="L60" s="235">
        <f t="shared" si="12"/>
        <v>0</v>
      </c>
      <c r="M60" s="235">
        <f t="shared" si="13"/>
        <v>549308.68918690947</v>
      </c>
      <c r="N60" s="235">
        <f t="shared" si="14"/>
        <v>27668.002836253989</v>
      </c>
      <c r="O60" s="235">
        <f t="shared" si="10"/>
        <v>576976.69202316343</v>
      </c>
      <c r="P60" s="270">
        <f t="shared" si="15"/>
        <v>758333.33333333337</v>
      </c>
      <c r="Q60" s="270">
        <v>116500.20665431609</v>
      </c>
      <c r="R60" s="235"/>
      <c r="S60" s="235"/>
      <c r="T60" s="235"/>
    </row>
    <row r="61" spans="1:20" x14ac:dyDescent="0.25">
      <c r="A61" s="244">
        <v>9257029</v>
      </c>
      <c r="B61" s="237" t="s">
        <v>259</v>
      </c>
      <c r="C61" s="274">
        <v>3</v>
      </c>
      <c r="D61" s="268">
        <v>0</v>
      </c>
      <c r="E61" s="268">
        <v>0</v>
      </c>
      <c r="F61" s="268">
        <v>0</v>
      </c>
      <c r="G61" s="268">
        <v>0</v>
      </c>
      <c r="H61" s="268">
        <v>1</v>
      </c>
      <c r="I61" s="269">
        <v>0</v>
      </c>
      <c r="J61" s="269">
        <v>55</v>
      </c>
      <c r="K61" s="269">
        <f t="shared" si="11"/>
        <v>55</v>
      </c>
      <c r="L61" s="235">
        <f t="shared" si="12"/>
        <v>0</v>
      </c>
      <c r="M61" s="235">
        <f t="shared" si="13"/>
        <v>375118.99547227187</v>
      </c>
      <c r="N61" s="235">
        <f t="shared" si="14"/>
        <v>84541.119777442756</v>
      </c>
      <c r="O61" s="235">
        <f t="shared" si="10"/>
        <v>459660.11524971464</v>
      </c>
      <c r="P61" s="270">
        <f t="shared" si="15"/>
        <v>320833.33333333337</v>
      </c>
      <c r="Q61" s="270">
        <v>380648.80285503337</v>
      </c>
      <c r="R61" s="235"/>
      <c r="S61" s="235"/>
      <c r="T61" s="235"/>
    </row>
    <row r="62" spans="1:20" x14ac:dyDescent="0.25">
      <c r="A62" s="244">
        <v>9257032</v>
      </c>
      <c r="B62" s="237" t="s">
        <v>261</v>
      </c>
      <c r="C62" s="267">
        <v>4</v>
      </c>
      <c r="D62" s="268">
        <v>0</v>
      </c>
      <c r="E62" s="268">
        <v>0</v>
      </c>
      <c r="F62" s="268">
        <v>0</v>
      </c>
      <c r="G62" s="268">
        <v>0</v>
      </c>
      <c r="H62" s="268">
        <v>1</v>
      </c>
      <c r="I62" s="269">
        <v>0</v>
      </c>
      <c r="J62" s="269">
        <v>60</v>
      </c>
      <c r="K62" s="269">
        <f t="shared" si="11"/>
        <v>60</v>
      </c>
      <c r="L62" s="235">
        <f t="shared" si="12"/>
        <v>0</v>
      </c>
      <c r="M62" s="235">
        <f t="shared" si="13"/>
        <v>409220.72233338753</v>
      </c>
      <c r="N62" s="235">
        <f t="shared" si="14"/>
        <v>92226.67612084662</v>
      </c>
      <c r="O62" s="235">
        <f t="shared" si="10"/>
        <v>501447.39845423424</v>
      </c>
      <c r="P62" s="270">
        <f t="shared" si="15"/>
        <v>350000</v>
      </c>
      <c r="Q62" s="270">
        <v>400309.82882767566</v>
      </c>
      <c r="R62" s="235"/>
      <c r="S62" s="235"/>
      <c r="T62" s="235"/>
    </row>
    <row r="63" spans="1:20" x14ac:dyDescent="0.25">
      <c r="A63" s="244">
        <v>9257030</v>
      </c>
      <c r="B63" s="237" t="s">
        <v>262</v>
      </c>
      <c r="C63" s="267">
        <v>4</v>
      </c>
      <c r="D63" s="268">
        <v>0</v>
      </c>
      <c r="E63" s="268">
        <v>0</v>
      </c>
      <c r="F63" s="268">
        <v>0</v>
      </c>
      <c r="G63" s="268">
        <v>0</v>
      </c>
      <c r="H63" s="268">
        <v>1</v>
      </c>
      <c r="I63" s="269">
        <v>0</v>
      </c>
      <c r="J63" s="278">
        <v>60</v>
      </c>
      <c r="K63" s="269">
        <f t="shared" si="11"/>
        <v>60</v>
      </c>
      <c r="L63" s="235">
        <f t="shared" si="12"/>
        <v>0</v>
      </c>
      <c r="M63" s="235">
        <f t="shared" si="13"/>
        <v>409220.72233338753</v>
      </c>
      <c r="N63" s="235">
        <f t="shared" si="14"/>
        <v>92226.67612084662</v>
      </c>
      <c r="O63" s="235">
        <f t="shared" si="10"/>
        <v>501447.39845423424</v>
      </c>
      <c r="P63" s="270">
        <f t="shared" si="15"/>
        <v>350000</v>
      </c>
      <c r="Q63" s="270">
        <v>412338.1273524827</v>
      </c>
      <c r="R63" s="235"/>
      <c r="S63" s="235"/>
      <c r="T63" s="235"/>
    </row>
    <row r="64" spans="1:20" x14ac:dyDescent="0.25">
      <c r="A64" s="244">
        <v>9257028</v>
      </c>
      <c r="B64" s="237" t="s">
        <v>215</v>
      </c>
      <c r="C64" s="274">
        <v>4</v>
      </c>
      <c r="D64" s="268">
        <v>0.23943661971830985</v>
      </c>
      <c r="E64" s="268">
        <v>0.3380281690140845</v>
      </c>
      <c r="F64" s="268">
        <v>0</v>
      </c>
      <c r="G64" s="268">
        <v>0.18309859154929578</v>
      </c>
      <c r="H64" s="268">
        <v>0.23943661971830985</v>
      </c>
      <c r="I64" s="279">
        <v>5</v>
      </c>
      <c r="J64" s="269">
        <v>50</v>
      </c>
      <c r="K64" s="269">
        <f t="shared" si="11"/>
        <v>55</v>
      </c>
      <c r="L64" s="235">
        <f t="shared" si="12"/>
        <v>29821.001390928101</v>
      </c>
      <c r="M64" s="235">
        <f t="shared" si="13"/>
        <v>298210.013909281</v>
      </c>
      <c r="N64" s="235">
        <f t="shared" si="14"/>
        <v>20242.239946711641</v>
      </c>
      <c r="O64" s="235">
        <f t="shared" si="10"/>
        <v>348273.25524692074</v>
      </c>
      <c r="P64" s="270">
        <f t="shared" si="15"/>
        <v>320833.33333333337</v>
      </c>
      <c r="Q64" s="270">
        <v>261446.11687888653</v>
      </c>
      <c r="R64" s="235"/>
      <c r="S64" s="235"/>
      <c r="T64" s="235"/>
    </row>
    <row r="65" spans="1:20" x14ac:dyDescent="0.25">
      <c r="A65" s="244">
        <v>9257021</v>
      </c>
      <c r="B65" s="237" t="s">
        <v>216</v>
      </c>
      <c r="C65" s="274">
        <v>4</v>
      </c>
      <c r="D65" s="268">
        <v>0</v>
      </c>
      <c r="E65" s="268">
        <v>9.8591549295774641E-2</v>
      </c>
      <c r="F65" s="268">
        <v>0.71830985915492962</v>
      </c>
      <c r="G65" s="268">
        <v>4.2253521126760563E-2</v>
      </c>
      <c r="H65" s="268">
        <v>0.14084507042253522</v>
      </c>
      <c r="I65" s="269">
        <v>0</v>
      </c>
      <c r="J65" s="269">
        <v>141</v>
      </c>
      <c r="K65" s="269">
        <f t="shared" si="11"/>
        <v>141</v>
      </c>
      <c r="L65" s="235">
        <f t="shared" si="12"/>
        <v>0</v>
      </c>
      <c r="M65" s="235">
        <f t="shared" si="13"/>
        <v>604569.02267275832</v>
      </c>
      <c r="N65" s="235">
        <f t="shared" si="14"/>
        <v>30525.730828730924</v>
      </c>
      <c r="O65" s="235">
        <f t="shared" si="10"/>
        <v>635094.75350148929</v>
      </c>
      <c r="P65" s="270">
        <f t="shared" si="15"/>
        <v>822500</v>
      </c>
      <c r="Q65" s="270">
        <v>125862.99056055451</v>
      </c>
      <c r="R65" s="235"/>
      <c r="S65" s="235"/>
      <c r="T65" s="235"/>
    </row>
    <row r="66" spans="1:20" x14ac:dyDescent="0.25">
      <c r="A66" s="244">
        <v>9257015</v>
      </c>
      <c r="B66" s="237" t="s">
        <v>217</v>
      </c>
      <c r="C66" s="267">
        <v>6</v>
      </c>
      <c r="D66" s="268">
        <v>6.0483870967741937E-2</v>
      </c>
      <c r="E66" s="268">
        <v>0.22177419354838709</v>
      </c>
      <c r="F66" s="268">
        <v>0.65322580645161288</v>
      </c>
      <c r="G66" s="268">
        <v>0</v>
      </c>
      <c r="H66" s="268">
        <v>6.4516129032258063E-2</v>
      </c>
      <c r="I66" s="269">
        <v>10</v>
      </c>
      <c r="J66" s="269">
        <v>231</v>
      </c>
      <c r="K66" s="269">
        <f t="shared" si="11"/>
        <v>241</v>
      </c>
      <c r="L66" s="235">
        <f t="shared" si="12"/>
        <v>41825.795372859684</v>
      </c>
      <c r="M66" s="235">
        <f t="shared" si="13"/>
        <v>966175.87311305874</v>
      </c>
      <c r="N66" s="235">
        <f t="shared" si="14"/>
        <v>23899.601016262404</v>
      </c>
      <c r="O66" s="235">
        <f t="shared" si="10"/>
        <v>1031901.2695021809</v>
      </c>
      <c r="P66" s="270">
        <f t="shared" si="15"/>
        <v>1405833.3333333335</v>
      </c>
      <c r="Q66" s="270">
        <v>35453.752862494432</v>
      </c>
      <c r="R66" s="235"/>
      <c r="S66" s="235"/>
      <c r="T66" s="235"/>
    </row>
    <row r="67" spans="1:20" x14ac:dyDescent="0.25">
      <c r="A67" s="244">
        <v>9257016</v>
      </c>
      <c r="B67" s="237" t="s">
        <v>219</v>
      </c>
      <c r="C67" s="267">
        <v>7</v>
      </c>
      <c r="D67" s="268">
        <v>0.50370370370370365</v>
      </c>
      <c r="E67" s="268">
        <v>0</v>
      </c>
      <c r="F67" s="268">
        <v>0.28888888888888886</v>
      </c>
      <c r="G67" s="268">
        <v>0.2074074074074074</v>
      </c>
      <c r="H67" s="268">
        <v>0</v>
      </c>
      <c r="I67" s="269">
        <v>0</v>
      </c>
      <c r="J67" s="269">
        <v>79</v>
      </c>
      <c r="K67" s="269">
        <f t="shared" si="11"/>
        <v>79</v>
      </c>
      <c r="L67" s="235">
        <f t="shared" si="12"/>
        <v>0</v>
      </c>
      <c r="M67" s="235">
        <f t="shared" si="13"/>
        <v>466274.3196132321</v>
      </c>
      <c r="N67" s="235">
        <f t="shared" si="14"/>
        <v>0</v>
      </c>
      <c r="O67" s="235">
        <f t="shared" si="10"/>
        <v>466274.3196132321</v>
      </c>
      <c r="P67" s="270">
        <f t="shared" si="15"/>
        <v>460833.33333333337</v>
      </c>
      <c r="Q67" s="270">
        <v>304429.0269786857</v>
      </c>
      <c r="R67" s="235"/>
      <c r="S67" s="235"/>
      <c r="T67" s="235"/>
    </row>
    <row r="69" spans="1:20" ht="13" x14ac:dyDescent="0.3">
      <c r="A69" s="93" t="s">
        <v>278</v>
      </c>
    </row>
    <row r="70" spans="1:20" x14ac:dyDescent="0.25">
      <c r="M70" s="1445" t="s">
        <v>238</v>
      </c>
      <c r="N70" s="1446"/>
    </row>
    <row r="71" spans="1:20" ht="37.5" x14ac:dyDescent="0.25">
      <c r="A71" s="265" t="s">
        <v>182</v>
      </c>
      <c r="B71" s="237" t="s">
        <v>183</v>
      </c>
      <c r="C71" s="238" t="s">
        <v>184</v>
      </c>
      <c r="D71" s="36" t="s">
        <v>240</v>
      </c>
      <c r="E71" s="36" t="s">
        <v>241</v>
      </c>
      <c r="F71" s="36" t="s">
        <v>242</v>
      </c>
      <c r="G71" s="36" t="s">
        <v>243</v>
      </c>
      <c r="H71" s="36" t="s">
        <v>244</v>
      </c>
      <c r="I71" s="243" t="s">
        <v>264</v>
      </c>
      <c r="J71" s="243" t="s">
        <v>279</v>
      </c>
      <c r="K71" s="243" t="s">
        <v>280</v>
      </c>
      <c r="L71" s="243" t="s">
        <v>279</v>
      </c>
      <c r="M71" s="243" t="s">
        <v>267</v>
      </c>
      <c r="N71" s="243" t="s">
        <v>281</v>
      </c>
      <c r="O71" s="243"/>
      <c r="P71" s="243"/>
      <c r="Q71" s="243"/>
    </row>
    <row r="72" spans="1:20" x14ac:dyDescent="0.25">
      <c r="A72" s="244">
        <v>9257010</v>
      </c>
      <c r="B72" s="237" t="s">
        <v>205</v>
      </c>
      <c r="C72" s="267">
        <v>3</v>
      </c>
      <c r="D72" s="268">
        <v>0.40476190476190477</v>
      </c>
      <c r="E72" s="268">
        <v>0.2857142857142857</v>
      </c>
      <c r="F72" s="268">
        <v>0.11904761904761904</v>
      </c>
      <c r="G72" s="268">
        <v>0.11904761904761904</v>
      </c>
      <c r="H72" s="268">
        <v>7.1428571428571425E-2</v>
      </c>
      <c r="I72" s="269">
        <v>10</v>
      </c>
      <c r="J72" s="235">
        <f>(((I72*D72)*$G$92)+((I72*E72)*$G$94)+((I72*F72)*$G$96)+((I72*G72)*$G$98)+((I72*H72)*$G$100))*(8/12)</f>
        <v>65352.514568213875</v>
      </c>
      <c r="K72" s="235">
        <f>((H72*I72)*$G$102)*(8/12)</f>
        <v>1254.7847091271647</v>
      </c>
      <c r="L72" s="235">
        <f>SUM(J72:K72)</f>
        <v>66607.299277341037</v>
      </c>
      <c r="M72" s="270">
        <f>(I72*(8/12))*10000</f>
        <v>66666.666666666657</v>
      </c>
      <c r="N72" s="270">
        <v>58740.17452844778</v>
      </c>
      <c r="O72" s="235"/>
      <c r="P72" s="235"/>
      <c r="Q72" s="269"/>
      <c r="R72" s="280"/>
    </row>
    <row r="73" spans="1:20" x14ac:dyDescent="0.25">
      <c r="A73" s="244">
        <v>9257005</v>
      </c>
      <c r="B73" s="237" t="s">
        <v>208</v>
      </c>
      <c r="C73" s="271">
        <v>4</v>
      </c>
      <c r="D73" s="268">
        <v>0.13157894736842105</v>
      </c>
      <c r="E73" s="268">
        <v>0.35526315789473684</v>
      </c>
      <c r="F73" s="268">
        <v>0.17105263157894737</v>
      </c>
      <c r="G73" s="268">
        <v>0.14473684210526316</v>
      </c>
      <c r="H73" s="268">
        <v>0.19736842105263158</v>
      </c>
      <c r="I73" s="269">
        <v>29</v>
      </c>
      <c r="J73" s="235">
        <f t="shared" ref="J73:J89" si="16">(((I73*D73)*$G$92)+((I73*E73)*$G$94)+((I73*F73)*$G$96)+((I73*G73)*$G$98)+((I73*H73)*$G$100))*(8/12)</f>
        <v>178206.27038965214</v>
      </c>
      <c r="K73" s="235">
        <f t="shared" ref="K73:K89" si="17">((H73*I73)*$G$102)*(8/12)</f>
        <v>10054.787998137414</v>
      </c>
      <c r="L73" s="235">
        <f t="shared" ref="L73:L89" si="18">SUM(J73:K73)</f>
        <v>188261.05838778956</v>
      </c>
      <c r="M73" s="270">
        <f t="shared" ref="M73:M89" si="19">(I73*(8/12))*10000</f>
        <v>193333.33333333331</v>
      </c>
      <c r="N73" s="270">
        <v>126976.75339756133</v>
      </c>
      <c r="O73" s="235"/>
      <c r="P73" s="235"/>
      <c r="Q73" s="269"/>
      <c r="R73" s="280"/>
    </row>
    <row r="74" spans="1:20" x14ac:dyDescent="0.25">
      <c r="A74" s="244">
        <v>9257025</v>
      </c>
      <c r="B74" s="237" t="s">
        <v>209</v>
      </c>
      <c r="C74" s="267">
        <v>4</v>
      </c>
      <c r="D74" s="268">
        <v>0.26415094339622641</v>
      </c>
      <c r="E74" s="268">
        <v>0.41509433962264153</v>
      </c>
      <c r="F74" s="268">
        <v>5.6603773584905662E-2</v>
      </c>
      <c r="G74" s="268">
        <v>5.6603773584905662E-2</v>
      </c>
      <c r="H74" s="268">
        <v>0.20754716981132076</v>
      </c>
      <c r="I74" s="269">
        <v>13</v>
      </c>
      <c r="J74" s="235">
        <f t="shared" si="16"/>
        <v>83038.256154782546</v>
      </c>
      <c r="K74" s="235">
        <f t="shared" si="17"/>
        <v>4739.7716748539324</v>
      </c>
      <c r="L74" s="235">
        <f t="shared" si="18"/>
        <v>87778.027829636485</v>
      </c>
      <c r="M74" s="270">
        <f t="shared" si="19"/>
        <v>86666.666666666657</v>
      </c>
      <c r="N74" s="270">
        <v>75339.289087659781</v>
      </c>
      <c r="O74" s="235"/>
      <c r="P74" s="235"/>
      <c r="Q74" s="269"/>
      <c r="R74" s="280"/>
    </row>
    <row r="75" spans="1:20" x14ac:dyDescent="0.25">
      <c r="A75" s="244">
        <v>9257011</v>
      </c>
      <c r="B75" s="237" t="s">
        <v>210</v>
      </c>
      <c r="C75" s="267">
        <v>3</v>
      </c>
      <c r="D75" s="268">
        <v>0.4</v>
      </c>
      <c r="E75" s="268">
        <v>0.42222222222222222</v>
      </c>
      <c r="F75" s="268">
        <v>0</v>
      </c>
      <c r="G75" s="268">
        <v>2.2222222222222223E-2</v>
      </c>
      <c r="H75" s="268">
        <v>0.15555555555555556</v>
      </c>
      <c r="I75" s="269">
        <v>3</v>
      </c>
      <c r="J75" s="235">
        <f t="shared" si="16"/>
        <v>19717.56593696629</v>
      </c>
      <c r="K75" s="235">
        <f t="shared" si="17"/>
        <v>819.7926766297478</v>
      </c>
      <c r="L75" s="235">
        <f t="shared" si="18"/>
        <v>20537.358613596036</v>
      </c>
      <c r="M75" s="270">
        <f t="shared" si="19"/>
        <v>20000</v>
      </c>
      <c r="N75" s="270">
        <v>18844.536478804432</v>
      </c>
      <c r="O75" s="235"/>
      <c r="P75" s="235"/>
      <c r="Q75" s="269"/>
      <c r="R75" s="280"/>
    </row>
    <row r="76" spans="1:20" x14ac:dyDescent="0.25">
      <c r="A76" s="244">
        <v>9257024</v>
      </c>
      <c r="B76" s="237" t="s">
        <v>211</v>
      </c>
      <c r="C76" s="271">
        <v>3</v>
      </c>
      <c r="D76" s="268">
        <v>0.2</v>
      </c>
      <c r="E76" s="268">
        <v>0.5636363636363636</v>
      </c>
      <c r="F76" s="268">
        <v>1.8181818181818181E-2</v>
      </c>
      <c r="G76" s="268">
        <v>0.16363636363636364</v>
      </c>
      <c r="H76" s="268">
        <v>5.4545454545454543E-2</v>
      </c>
      <c r="I76" s="269">
        <v>13</v>
      </c>
      <c r="J76" s="235">
        <f t="shared" si="16"/>
        <v>79262.90659153767</v>
      </c>
      <c r="K76" s="235">
        <f t="shared" si="17"/>
        <v>1245.6590021516945</v>
      </c>
      <c r="L76" s="235">
        <f t="shared" si="18"/>
        <v>80508.56559368936</v>
      </c>
      <c r="M76" s="270">
        <f t="shared" si="19"/>
        <v>86666.666666666657</v>
      </c>
      <c r="N76" s="270">
        <v>57632.854938027718</v>
      </c>
      <c r="O76" s="235"/>
      <c r="P76" s="235"/>
      <c r="Q76" s="269"/>
      <c r="R76" s="280"/>
    </row>
    <row r="77" spans="1:20" x14ac:dyDescent="0.25">
      <c r="A77" s="244">
        <v>9257031</v>
      </c>
      <c r="B77" s="237" t="s">
        <v>257</v>
      </c>
      <c r="C77" s="267">
        <v>3</v>
      </c>
      <c r="D77" s="268">
        <v>0</v>
      </c>
      <c r="E77" s="268">
        <v>0</v>
      </c>
      <c r="F77" s="268">
        <v>0</v>
      </c>
      <c r="G77" s="268">
        <v>0</v>
      </c>
      <c r="H77" s="268">
        <v>1</v>
      </c>
      <c r="I77" s="269">
        <v>0</v>
      </c>
      <c r="J77" s="235">
        <f t="shared" si="16"/>
        <v>0</v>
      </c>
      <c r="K77" s="235">
        <f t="shared" si="17"/>
        <v>0</v>
      </c>
      <c r="L77" s="235">
        <f t="shared" si="18"/>
        <v>0</v>
      </c>
      <c r="M77" s="270">
        <f t="shared" si="19"/>
        <v>0</v>
      </c>
      <c r="N77" s="270">
        <v>0</v>
      </c>
      <c r="O77" s="235"/>
      <c r="P77" s="235"/>
      <c r="Q77" s="269"/>
      <c r="R77" s="280"/>
    </row>
    <row r="78" spans="1:20" x14ac:dyDescent="0.25">
      <c r="A78" s="244">
        <v>9257033</v>
      </c>
      <c r="B78" s="237" t="s">
        <v>220</v>
      </c>
      <c r="C78" s="267">
        <v>3</v>
      </c>
      <c r="D78" s="268">
        <v>3.6363636363636362E-2</v>
      </c>
      <c r="E78" s="268">
        <v>0.29090909090909089</v>
      </c>
      <c r="F78" s="268">
        <v>0.27272727272727271</v>
      </c>
      <c r="G78" s="268">
        <v>5.4545454545454543E-2</v>
      </c>
      <c r="H78" s="268">
        <v>0.34545454545454546</v>
      </c>
      <c r="I78" s="269">
        <v>0</v>
      </c>
      <c r="J78" s="235">
        <f t="shared" si="16"/>
        <v>0</v>
      </c>
      <c r="K78" s="235">
        <f t="shared" si="17"/>
        <v>0</v>
      </c>
      <c r="L78" s="235">
        <f t="shared" si="18"/>
        <v>0</v>
      </c>
      <c r="M78" s="270">
        <f t="shared" si="19"/>
        <v>0</v>
      </c>
      <c r="N78" s="270">
        <v>0</v>
      </c>
      <c r="O78" s="235"/>
      <c r="P78" s="235"/>
      <c r="Q78" s="269"/>
      <c r="R78" s="280"/>
    </row>
    <row r="79" spans="1:20" x14ac:dyDescent="0.25">
      <c r="A79" s="244">
        <v>9257008</v>
      </c>
      <c r="B79" s="237" t="s">
        <v>212</v>
      </c>
      <c r="C79" s="273">
        <v>4</v>
      </c>
      <c r="D79" s="268">
        <v>0</v>
      </c>
      <c r="E79" s="268">
        <v>8.2352941176470587E-2</v>
      </c>
      <c r="F79" s="268">
        <v>0.61176470588235299</v>
      </c>
      <c r="G79" s="268">
        <v>2.3529411764705882E-2</v>
      </c>
      <c r="H79" s="268">
        <v>0.28235294117647058</v>
      </c>
      <c r="I79" s="269">
        <v>0</v>
      </c>
      <c r="J79" s="235">
        <f t="shared" si="16"/>
        <v>0</v>
      </c>
      <c r="K79" s="235">
        <f t="shared" si="17"/>
        <v>0</v>
      </c>
      <c r="L79" s="235">
        <f t="shared" si="18"/>
        <v>0</v>
      </c>
      <c r="M79" s="270">
        <f t="shared" si="19"/>
        <v>0</v>
      </c>
      <c r="N79" s="270">
        <v>0</v>
      </c>
      <c r="O79" s="235"/>
      <c r="P79" s="235"/>
      <c r="Q79" s="269"/>
      <c r="R79" s="280"/>
    </row>
    <row r="80" spans="1:20" x14ac:dyDescent="0.25">
      <c r="A80" s="244">
        <v>9257034</v>
      </c>
      <c r="B80" s="237" t="s">
        <v>221</v>
      </c>
      <c r="C80" s="267">
        <v>5</v>
      </c>
      <c r="D80" s="268">
        <v>7.0866141732283464E-2</v>
      </c>
      <c r="E80" s="268">
        <v>0.16535433070866143</v>
      </c>
      <c r="F80" s="268">
        <v>0.51968503937007871</v>
      </c>
      <c r="G80" s="268">
        <v>3.937007874015748E-2</v>
      </c>
      <c r="H80" s="268">
        <v>0.20472440944881889</v>
      </c>
      <c r="I80" s="269">
        <v>31</v>
      </c>
      <c r="J80" s="235">
        <f t="shared" si="16"/>
        <v>168281.93339175161</v>
      </c>
      <c r="K80" s="235">
        <f t="shared" si="17"/>
        <v>11148.81154156766</v>
      </c>
      <c r="L80" s="235">
        <f t="shared" si="18"/>
        <v>179430.74493331928</v>
      </c>
      <c r="M80" s="270">
        <f t="shared" si="19"/>
        <v>206666.66666666666</v>
      </c>
      <c r="N80" s="270">
        <v>64441.685574301016</v>
      </c>
      <c r="O80" s="235"/>
      <c r="P80" s="235"/>
      <c r="Q80" s="269"/>
      <c r="R80" s="280"/>
    </row>
    <row r="81" spans="1:18" x14ac:dyDescent="0.25">
      <c r="A81" s="244">
        <v>9257002</v>
      </c>
      <c r="B81" s="237" t="s">
        <v>213</v>
      </c>
      <c r="C81" s="271">
        <v>4</v>
      </c>
      <c r="D81" s="268">
        <v>8.4033613445378148E-3</v>
      </c>
      <c r="E81" s="268">
        <v>0.27731092436974791</v>
      </c>
      <c r="F81" s="268">
        <v>0.59663865546218486</v>
      </c>
      <c r="G81" s="268">
        <v>2.5210084033613446E-2</v>
      </c>
      <c r="H81" s="268">
        <v>9.2436974789915971E-2</v>
      </c>
      <c r="I81" s="269">
        <v>0</v>
      </c>
      <c r="J81" s="235">
        <f t="shared" si="16"/>
        <v>0</v>
      </c>
      <c r="K81" s="235">
        <f t="shared" si="17"/>
        <v>0</v>
      </c>
      <c r="L81" s="235">
        <f t="shared" si="18"/>
        <v>0</v>
      </c>
      <c r="M81" s="270">
        <f t="shared" si="19"/>
        <v>0</v>
      </c>
      <c r="N81" s="270">
        <v>0</v>
      </c>
      <c r="O81" s="235"/>
      <c r="P81" s="235"/>
      <c r="Q81" s="269"/>
      <c r="R81" s="280"/>
    </row>
    <row r="82" spans="1:18" x14ac:dyDescent="0.25">
      <c r="A82" s="244">
        <v>9257009</v>
      </c>
      <c r="B82" s="237" t="s">
        <v>214</v>
      </c>
      <c r="C82" s="267">
        <v>4</v>
      </c>
      <c r="D82" s="268">
        <v>0</v>
      </c>
      <c r="E82" s="268">
        <v>0.14615384615384616</v>
      </c>
      <c r="F82" s="268">
        <v>0.7</v>
      </c>
      <c r="G82" s="268">
        <v>1.5384615384615385E-2</v>
      </c>
      <c r="H82" s="268">
        <v>0.13846153846153847</v>
      </c>
      <c r="I82" s="269">
        <v>0</v>
      </c>
      <c r="J82" s="235">
        <f t="shared" si="16"/>
        <v>0</v>
      </c>
      <c r="K82" s="235">
        <f t="shared" si="17"/>
        <v>0</v>
      </c>
      <c r="L82" s="235">
        <f t="shared" si="18"/>
        <v>0</v>
      </c>
      <c r="M82" s="270">
        <f t="shared" si="19"/>
        <v>0</v>
      </c>
      <c r="N82" s="270">
        <v>0</v>
      </c>
      <c r="O82" s="235"/>
      <c r="P82" s="235"/>
      <c r="Q82" s="269"/>
      <c r="R82" s="280"/>
    </row>
    <row r="83" spans="1:18" x14ac:dyDescent="0.25">
      <c r="A83" s="244">
        <v>9257029</v>
      </c>
      <c r="B83" s="237" t="s">
        <v>259</v>
      </c>
      <c r="C83" s="274">
        <v>3</v>
      </c>
      <c r="D83" s="268">
        <v>0</v>
      </c>
      <c r="E83" s="268">
        <v>0</v>
      </c>
      <c r="F83" s="268">
        <v>0</v>
      </c>
      <c r="G83" s="268">
        <v>0</v>
      </c>
      <c r="H83" s="268">
        <v>1</v>
      </c>
      <c r="I83" s="269">
        <v>0</v>
      </c>
      <c r="J83" s="235">
        <f t="shared" si="16"/>
        <v>0</v>
      </c>
      <c r="K83" s="235">
        <f t="shared" si="17"/>
        <v>0</v>
      </c>
      <c r="L83" s="235">
        <f t="shared" si="18"/>
        <v>0</v>
      </c>
      <c r="M83" s="270">
        <f t="shared" si="19"/>
        <v>0</v>
      </c>
      <c r="N83" s="270">
        <v>0</v>
      </c>
      <c r="O83" s="235"/>
      <c r="P83" s="235"/>
      <c r="Q83" s="269"/>
      <c r="R83" s="280"/>
    </row>
    <row r="84" spans="1:18" x14ac:dyDescent="0.25">
      <c r="A84" s="244">
        <v>9257032</v>
      </c>
      <c r="B84" s="237" t="s">
        <v>261</v>
      </c>
      <c r="C84" s="267">
        <v>4</v>
      </c>
      <c r="D84" s="268">
        <v>0</v>
      </c>
      <c r="E84" s="268">
        <v>0</v>
      </c>
      <c r="F84" s="268">
        <v>0</v>
      </c>
      <c r="G84" s="268">
        <v>0</v>
      </c>
      <c r="H84" s="268">
        <v>1</v>
      </c>
      <c r="I84" s="269">
        <v>0</v>
      </c>
      <c r="J84" s="235">
        <f t="shared" si="16"/>
        <v>0</v>
      </c>
      <c r="K84" s="235">
        <f t="shared" si="17"/>
        <v>0</v>
      </c>
      <c r="L84" s="235">
        <f t="shared" si="18"/>
        <v>0</v>
      </c>
      <c r="M84" s="270">
        <f t="shared" si="19"/>
        <v>0</v>
      </c>
      <c r="N84" s="270">
        <v>0</v>
      </c>
      <c r="O84" s="235"/>
      <c r="P84" s="235"/>
      <c r="Q84" s="269"/>
      <c r="R84" s="280"/>
    </row>
    <row r="85" spans="1:18" x14ac:dyDescent="0.25">
      <c r="A85" s="244">
        <v>9257030</v>
      </c>
      <c r="B85" s="237" t="s">
        <v>262</v>
      </c>
      <c r="C85" s="267">
        <v>4</v>
      </c>
      <c r="D85" s="268">
        <v>0</v>
      </c>
      <c r="E85" s="268">
        <v>0</v>
      </c>
      <c r="F85" s="268">
        <v>0</v>
      </c>
      <c r="G85" s="268">
        <v>0</v>
      </c>
      <c r="H85" s="268">
        <v>1</v>
      </c>
      <c r="I85" s="269">
        <v>0</v>
      </c>
      <c r="J85" s="235">
        <f t="shared" si="16"/>
        <v>0</v>
      </c>
      <c r="K85" s="235">
        <f t="shared" si="17"/>
        <v>0</v>
      </c>
      <c r="L85" s="235">
        <f t="shared" si="18"/>
        <v>0</v>
      </c>
      <c r="M85" s="270">
        <f t="shared" si="19"/>
        <v>0</v>
      </c>
      <c r="N85" s="270">
        <v>0</v>
      </c>
      <c r="O85" s="235"/>
      <c r="P85" s="235"/>
      <c r="Q85" s="269"/>
      <c r="R85" s="280"/>
    </row>
    <row r="86" spans="1:18" x14ac:dyDescent="0.25">
      <c r="A86" s="244">
        <v>9257028</v>
      </c>
      <c r="B86" s="237" t="s">
        <v>215</v>
      </c>
      <c r="C86" s="274">
        <v>4</v>
      </c>
      <c r="D86" s="268">
        <v>0.23943661971830985</v>
      </c>
      <c r="E86" s="268">
        <v>0.3380281690140845</v>
      </c>
      <c r="F86" s="268">
        <v>0</v>
      </c>
      <c r="G86" s="268">
        <v>0.18309859154929578</v>
      </c>
      <c r="H86" s="268">
        <v>0.23943661971830985</v>
      </c>
      <c r="I86" s="269">
        <v>16</v>
      </c>
      <c r="J86" s="235">
        <f t="shared" si="16"/>
        <v>109059.6622296799</v>
      </c>
      <c r="K86" s="235">
        <f t="shared" si="17"/>
        <v>6729.8875666989343</v>
      </c>
      <c r="L86" s="235">
        <f t="shared" si="18"/>
        <v>115789.54979637884</v>
      </c>
      <c r="M86" s="270">
        <f t="shared" si="19"/>
        <v>106666.66666666666</v>
      </c>
      <c r="N86" s="270">
        <v>86922.345351941491</v>
      </c>
      <c r="O86" s="235"/>
      <c r="P86" s="235"/>
      <c r="Q86" s="269"/>
      <c r="R86" s="280"/>
    </row>
    <row r="87" spans="1:18" x14ac:dyDescent="0.25">
      <c r="A87" s="244">
        <v>9257021</v>
      </c>
      <c r="B87" s="237" t="s">
        <v>216</v>
      </c>
      <c r="C87" s="274">
        <v>4</v>
      </c>
      <c r="D87" s="268">
        <v>0</v>
      </c>
      <c r="E87" s="268">
        <v>9.8591549295774641E-2</v>
      </c>
      <c r="F87" s="268">
        <v>0.71830985915492962</v>
      </c>
      <c r="G87" s="268">
        <v>4.2253521126760563E-2</v>
      </c>
      <c r="H87" s="268">
        <v>0.14084507042253522</v>
      </c>
      <c r="I87" s="269">
        <v>0</v>
      </c>
      <c r="J87" s="235">
        <f t="shared" si="16"/>
        <v>0</v>
      </c>
      <c r="K87" s="235">
        <f t="shared" si="17"/>
        <v>0</v>
      </c>
      <c r="L87" s="235">
        <f t="shared" si="18"/>
        <v>0</v>
      </c>
      <c r="M87" s="270">
        <f t="shared" si="19"/>
        <v>0</v>
      </c>
      <c r="N87" s="270">
        <v>0</v>
      </c>
      <c r="O87" s="235"/>
      <c r="P87" s="235"/>
      <c r="Q87" s="269"/>
      <c r="R87" s="280"/>
    </row>
    <row r="88" spans="1:18" x14ac:dyDescent="0.25">
      <c r="A88" s="244">
        <v>9257015</v>
      </c>
      <c r="B88" s="237" t="s">
        <v>217</v>
      </c>
      <c r="C88" s="267">
        <v>6</v>
      </c>
      <c r="D88" s="268">
        <v>6.0483870967741937E-2</v>
      </c>
      <c r="E88" s="268">
        <v>0.22177419354838709</v>
      </c>
      <c r="F88" s="268">
        <v>0.65322580645161288</v>
      </c>
      <c r="G88" s="268">
        <v>0</v>
      </c>
      <c r="H88" s="268">
        <v>6.4516129032258063E-2</v>
      </c>
      <c r="I88" s="269">
        <v>19</v>
      </c>
      <c r="J88" s="235">
        <f t="shared" si="16"/>
        <v>90821.727095352442</v>
      </c>
      <c r="K88" s="235">
        <f t="shared" si="17"/>
        <v>2153.3724685666184</v>
      </c>
      <c r="L88" s="235">
        <f t="shared" si="18"/>
        <v>92975.099563919066</v>
      </c>
      <c r="M88" s="270">
        <f t="shared" si="19"/>
        <v>126666.66666666666</v>
      </c>
      <c r="N88" s="270">
        <v>3194.4104535264692</v>
      </c>
      <c r="O88" s="235"/>
      <c r="P88" s="235"/>
      <c r="Q88" s="269"/>
      <c r="R88" s="280"/>
    </row>
    <row r="89" spans="1:18" x14ac:dyDescent="0.25">
      <c r="A89" s="244">
        <v>9257016</v>
      </c>
      <c r="B89" s="237" t="s">
        <v>219</v>
      </c>
      <c r="C89" s="267">
        <v>7</v>
      </c>
      <c r="D89" s="268">
        <v>0.50370370370370365</v>
      </c>
      <c r="E89" s="268">
        <v>0</v>
      </c>
      <c r="F89" s="268">
        <v>0.28888888888888886</v>
      </c>
      <c r="G89" s="268">
        <v>0.2074074074074074</v>
      </c>
      <c r="H89" s="268">
        <v>0</v>
      </c>
      <c r="I89" s="269">
        <v>54</v>
      </c>
      <c r="J89" s="235">
        <f t="shared" si="16"/>
        <v>364250.46306133131</v>
      </c>
      <c r="K89" s="235">
        <f t="shared" si="17"/>
        <v>0</v>
      </c>
      <c r="L89" s="235">
        <f t="shared" si="18"/>
        <v>364250.46306133131</v>
      </c>
      <c r="M89" s="270">
        <f t="shared" si="19"/>
        <v>360000</v>
      </c>
      <c r="N89" s="270">
        <v>237817.97405929878</v>
      </c>
      <c r="O89" s="235"/>
      <c r="P89" s="235"/>
      <c r="Q89" s="269"/>
      <c r="R89" s="280"/>
    </row>
    <row r="92" spans="1:18" x14ac:dyDescent="0.25">
      <c r="C92" s="35"/>
      <c r="E92" s="36" t="s">
        <v>39</v>
      </c>
      <c r="G92" s="235">
        <v>11692.020638096787</v>
      </c>
      <c r="H92" s="281"/>
      <c r="I92" s="281"/>
      <c r="J92" s="281"/>
      <c r="K92" s="281"/>
      <c r="L92" s="281"/>
      <c r="M92" s="281"/>
      <c r="N92" s="281"/>
      <c r="O92" s="281"/>
      <c r="P92" s="281"/>
      <c r="Q92" s="281"/>
    </row>
    <row r="93" spans="1:18" x14ac:dyDescent="0.25">
      <c r="G93" s="235"/>
      <c r="H93" s="281"/>
      <c r="I93" s="281"/>
      <c r="J93" s="281"/>
      <c r="K93" s="281"/>
      <c r="L93" s="281"/>
      <c r="M93" s="281"/>
      <c r="N93" s="281"/>
      <c r="O93" s="281"/>
      <c r="P93" s="281"/>
      <c r="Q93" s="281"/>
    </row>
    <row r="94" spans="1:18" x14ac:dyDescent="0.25">
      <c r="C94" s="35"/>
      <c r="E94" s="36" t="s">
        <v>42</v>
      </c>
      <c r="G94" s="235">
        <v>7350.1419469065795</v>
      </c>
      <c r="H94" s="281"/>
      <c r="I94" s="281"/>
      <c r="J94" s="281"/>
      <c r="K94" s="281"/>
      <c r="L94" s="281"/>
      <c r="M94" s="281"/>
      <c r="N94" s="281"/>
      <c r="O94" s="281"/>
      <c r="P94" s="281"/>
      <c r="Q94" s="281"/>
    </row>
    <row r="95" spans="1:18" x14ac:dyDescent="0.25">
      <c r="G95" s="235"/>
      <c r="H95" s="281"/>
      <c r="I95" s="281"/>
      <c r="J95" s="281"/>
      <c r="K95" s="281"/>
      <c r="L95" s="281"/>
      <c r="M95" s="281"/>
      <c r="N95" s="281"/>
      <c r="O95" s="281"/>
      <c r="P95" s="281"/>
      <c r="Q95" s="281"/>
    </row>
    <row r="96" spans="1:18" x14ac:dyDescent="0.25">
      <c r="C96" s="35"/>
      <c r="E96" s="36" t="s">
        <v>45</v>
      </c>
      <c r="G96" s="235">
        <v>6243.7244928897762</v>
      </c>
      <c r="H96" s="281"/>
      <c r="I96" s="281"/>
      <c r="J96" s="281"/>
      <c r="K96" s="281"/>
      <c r="L96" s="281"/>
      <c r="M96" s="281"/>
      <c r="N96" s="281"/>
      <c r="O96" s="281"/>
      <c r="P96" s="281"/>
      <c r="Q96" s="281"/>
    </row>
    <row r="97" spans="1:40" x14ac:dyDescent="0.25">
      <c r="G97" s="235"/>
      <c r="H97" s="281"/>
      <c r="I97" s="281"/>
      <c r="J97" s="281"/>
      <c r="K97" s="281"/>
      <c r="L97" s="281"/>
      <c r="M97" s="281"/>
      <c r="N97" s="281"/>
      <c r="O97" s="281"/>
      <c r="P97" s="281"/>
      <c r="Q97" s="281"/>
    </row>
    <row r="98" spans="1:40" x14ac:dyDescent="0.25">
      <c r="C98" s="35"/>
      <c r="E98" s="36" t="s">
        <v>48</v>
      </c>
      <c r="G98" s="235">
        <v>11692.020638096787</v>
      </c>
      <c r="H98" s="281"/>
      <c r="I98" s="281"/>
      <c r="J98" s="281"/>
      <c r="K98" s="281"/>
      <c r="L98" s="281"/>
      <c r="M98" s="281"/>
      <c r="N98" s="281"/>
      <c r="O98" s="281"/>
      <c r="P98" s="281"/>
      <c r="Q98" s="281"/>
    </row>
    <row r="99" spans="1:40" x14ac:dyDescent="0.25">
      <c r="G99" s="235"/>
      <c r="H99" s="281"/>
      <c r="I99" s="281"/>
      <c r="J99" s="281"/>
      <c r="K99" s="281"/>
      <c r="L99" s="281"/>
      <c r="M99" s="281"/>
      <c r="N99" s="281"/>
      <c r="O99" s="281"/>
      <c r="P99" s="281"/>
      <c r="Q99" s="281"/>
    </row>
    <row r="100" spans="1:40" x14ac:dyDescent="0.25">
      <c r="C100" s="35"/>
      <c r="E100" s="36" t="s">
        <v>51</v>
      </c>
      <c r="G100" s="235">
        <v>11692.020638096787</v>
      </c>
      <c r="H100" s="281"/>
      <c r="I100" s="281"/>
      <c r="J100" s="281"/>
      <c r="K100" s="281"/>
      <c r="L100" s="281"/>
      <c r="M100" s="281"/>
      <c r="N100" s="281"/>
      <c r="O100" s="281"/>
      <c r="P100" s="281"/>
      <c r="Q100" s="281"/>
    </row>
    <row r="101" spans="1:40" ht="14" x14ac:dyDescent="0.3">
      <c r="B101" s="37"/>
      <c r="C101" s="38"/>
      <c r="D101" s="39"/>
      <c r="E101" s="281"/>
      <c r="H101" s="282"/>
      <c r="I101" s="281"/>
      <c r="J101" s="281"/>
      <c r="K101" s="282"/>
      <c r="L101" s="282"/>
      <c r="M101" s="282"/>
      <c r="N101" s="282"/>
      <c r="O101" s="282"/>
      <c r="P101" s="282"/>
      <c r="Q101" s="282"/>
    </row>
    <row r="102" spans="1:40" ht="14" x14ac:dyDescent="0.3">
      <c r="B102" s="40"/>
      <c r="C102" s="41"/>
      <c r="E102" s="36" t="s">
        <v>283</v>
      </c>
      <c r="G102" s="235">
        <v>2635.0478891670464</v>
      </c>
      <c r="H102" s="281"/>
      <c r="I102" s="281"/>
      <c r="J102" s="281"/>
      <c r="K102" s="281"/>
      <c r="L102" s="281"/>
      <c r="M102" s="281"/>
      <c r="N102" s="281"/>
      <c r="O102" s="281"/>
      <c r="P102" s="281"/>
      <c r="Q102" s="281"/>
    </row>
    <row r="106" spans="1:40" ht="13" x14ac:dyDescent="0.3">
      <c r="D106" s="1448" t="s">
        <v>284</v>
      </c>
      <c r="E106" s="1449"/>
      <c r="F106" s="1450"/>
      <c r="G106" s="1448" t="s">
        <v>284</v>
      </c>
      <c r="H106" s="1449"/>
      <c r="I106" s="1450"/>
      <c r="J106" s="1448" t="s">
        <v>264</v>
      </c>
      <c r="K106" s="1449"/>
      <c r="L106" s="1450"/>
      <c r="M106" s="170" t="s">
        <v>285</v>
      </c>
      <c r="N106" s="1448" t="s">
        <v>284</v>
      </c>
      <c r="O106" s="1449"/>
      <c r="P106" s="1450"/>
      <c r="Q106" s="1448" t="s">
        <v>264</v>
      </c>
      <c r="R106" s="1449"/>
      <c r="S106" s="1450"/>
      <c r="T106" s="170" t="s">
        <v>285</v>
      </c>
      <c r="U106" s="171" t="s">
        <v>285</v>
      </c>
      <c r="V106" s="172"/>
      <c r="W106" s="173"/>
      <c r="AL106" s="1443" t="s">
        <v>286</v>
      </c>
    </row>
    <row r="107" spans="1:40" ht="41.25" customHeight="1" x14ac:dyDescent="0.3">
      <c r="A107" s="283" t="s">
        <v>182</v>
      </c>
      <c r="B107" s="284" t="s">
        <v>183</v>
      </c>
      <c r="C107" s="238" t="s">
        <v>184</v>
      </c>
      <c r="D107" s="242" t="str">
        <f t="shared" ref="D107:D125" si="20">L5</f>
        <v>Assessment Funding (Apr-Aug)</v>
      </c>
      <c r="E107" s="241" t="str">
        <f t="shared" ref="E107:E125" si="21">L49</f>
        <v>Assessment Funding (Sept-Mar)</v>
      </c>
      <c r="F107" s="96" t="s">
        <v>287</v>
      </c>
      <c r="G107" s="241" t="str">
        <f t="shared" ref="G107:G125" si="22">M5</f>
        <v>Pre-16 Funding (Apr-Aug)</v>
      </c>
      <c r="H107" s="242" t="str">
        <f t="shared" ref="H107:H125" si="23">M49</f>
        <v>Pre-16 Funding (Sept-Mar)</v>
      </c>
      <c r="I107" s="96" t="s">
        <v>288</v>
      </c>
      <c r="J107" s="242" t="str">
        <f t="shared" ref="J107:J125" si="24">J27</f>
        <v>Post-16 Funding (Apr-Jul)</v>
      </c>
      <c r="K107" s="241" t="str">
        <f t="shared" ref="K107:K125" si="25">J71</f>
        <v>Post-16 Funding (Aug-Mar)</v>
      </c>
      <c r="L107" s="96" t="s">
        <v>289</v>
      </c>
      <c r="M107" s="96" t="s">
        <v>290</v>
      </c>
      <c r="N107" s="241" t="str">
        <f t="shared" ref="N107:N125" si="26">N5</f>
        <v>Additionality Funding (Apr-Aug)</v>
      </c>
      <c r="O107" s="241" t="str">
        <f t="shared" ref="O107:O125" si="27">N49</f>
        <v>Additionality Funding (Sept-Mar)</v>
      </c>
      <c r="P107" s="96" t="s">
        <v>291</v>
      </c>
      <c r="Q107" s="241" t="str">
        <f t="shared" ref="Q107:Q125" si="28">K27</f>
        <v>Additionality Funding (Apr-Jul)</v>
      </c>
      <c r="R107" s="242" t="str">
        <f t="shared" ref="R107:R125" si="29">K71</f>
        <v>Additionality Funding (Aug-Mar)</v>
      </c>
      <c r="S107" s="96" t="s">
        <v>291</v>
      </c>
      <c r="T107" s="96" t="s">
        <v>292</v>
      </c>
      <c r="U107" s="96" t="s">
        <v>189</v>
      </c>
      <c r="V107" s="241" t="s">
        <v>293</v>
      </c>
      <c r="W107" s="285" t="s">
        <v>294</v>
      </c>
      <c r="X107" s="237"/>
      <c r="Y107" s="241" t="s">
        <v>295</v>
      </c>
      <c r="Z107" s="241" t="s">
        <v>267</v>
      </c>
      <c r="AA107" s="96" t="s">
        <v>296</v>
      </c>
      <c r="AB107" s="96" t="s">
        <v>189</v>
      </c>
      <c r="AC107" s="241" t="s">
        <v>194</v>
      </c>
      <c r="AD107" s="241" t="s">
        <v>297</v>
      </c>
      <c r="AE107" s="241" t="s">
        <v>298</v>
      </c>
      <c r="AF107" s="96" t="s">
        <v>299</v>
      </c>
      <c r="AG107" s="241" t="s">
        <v>300</v>
      </c>
      <c r="AH107" s="241" t="s">
        <v>301</v>
      </c>
      <c r="AI107" s="96" t="s">
        <v>302</v>
      </c>
      <c r="AJ107" s="96" t="s">
        <v>303</v>
      </c>
      <c r="AK107" s="284"/>
      <c r="AL107" s="1444"/>
    </row>
    <row r="108" spans="1:40" ht="13" x14ac:dyDescent="0.3">
      <c r="A108" s="244">
        <v>9257010</v>
      </c>
      <c r="B108" s="237" t="s">
        <v>205</v>
      </c>
      <c r="C108" s="267">
        <v>3</v>
      </c>
      <c r="D108" s="245">
        <f t="shared" si="20"/>
        <v>0</v>
      </c>
      <c r="E108" s="245">
        <f t="shared" si="21"/>
        <v>0</v>
      </c>
      <c r="F108" s="68">
        <f>SUM(D108:E108)</f>
        <v>0</v>
      </c>
      <c r="G108" s="245">
        <f t="shared" si="22"/>
        <v>138874.09345745452</v>
      </c>
      <c r="H108" s="245">
        <f t="shared" si="23"/>
        <v>194423.73084043633</v>
      </c>
      <c r="I108" s="68">
        <f>SUM(G108:H108)</f>
        <v>333297.82429789088</v>
      </c>
      <c r="J108" s="245">
        <f t="shared" si="24"/>
        <v>32676.257284106938</v>
      </c>
      <c r="K108" s="245">
        <f t="shared" si="25"/>
        <v>65352.514568213875</v>
      </c>
      <c r="L108" s="68">
        <f>SUM(J108:K108)</f>
        <v>98028.771852320817</v>
      </c>
      <c r="M108" s="68">
        <f>I108+L108</f>
        <v>431326.5961502117</v>
      </c>
      <c r="N108" s="245">
        <f t="shared" si="26"/>
        <v>2666.4175068952254</v>
      </c>
      <c r="O108" s="245">
        <f t="shared" si="27"/>
        <v>3732.9845096533159</v>
      </c>
      <c r="P108" s="68">
        <f>SUM(N108:O108)</f>
        <v>6399.4020165485417</v>
      </c>
      <c r="Q108" s="245">
        <f t="shared" si="28"/>
        <v>627.39235456358233</v>
      </c>
      <c r="R108" s="245">
        <f t="shared" si="29"/>
        <v>1254.7847091271647</v>
      </c>
      <c r="S108" s="68">
        <f>SUM(Q108:R108)</f>
        <v>1882.177063690747</v>
      </c>
      <c r="T108" s="68">
        <f>P108+S108</f>
        <v>8281.5790802392894</v>
      </c>
      <c r="U108" s="68">
        <f t="shared" ref="U108:U125" si="30">F108+I108+L108+P108+S108</f>
        <v>439608.17523045099</v>
      </c>
      <c r="V108" s="286">
        <f t="shared" ref="V108:V125" si="31">(K6*(5/12))+(K50*(7/12))+(I28*(4/12))+(I72*(8/12))</f>
        <v>44</v>
      </c>
      <c r="W108" s="245">
        <f t="shared" ref="W108:W125" si="32">U108/V108</f>
        <v>9991.0948916011585</v>
      </c>
      <c r="X108" s="237"/>
      <c r="Y108" s="245">
        <f t="shared" ref="Y108:Y125" si="33">P6+P50</f>
        <v>340000</v>
      </c>
      <c r="Z108" s="245">
        <f t="shared" ref="Z108:Z125" si="34">M28+M72</f>
        <v>99999.999999999985</v>
      </c>
      <c r="AA108" s="245">
        <f>Y108+Z108</f>
        <v>440000</v>
      </c>
      <c r="AB108" s="245">
        <v>827685.15188775538</v>
      </c>
      <c r="AC108" s="245">
        <f>AB108-AA108</f>
        <v>387685.15188775538</v>
      </c>
      <c r="AD108" s="245">
        <f>Q6</f>
        <v>124822.87087295152</v>
      </c>
      <c r="AE108" s="245">
        <f>Q50</f>
        <v>174752.01922213213</v>
      </c>
      <c r="AF108" s="245">
        <f>AD108+AE108</f>
        <v>299574.89009508363</v>
      </c>
      <c r="AG108" s="245">
        <f t="shared" ref="AG108:AG125" si="35">N28</f>
        <v>29370.08726422389</v>
      </c>
      <c r="AH108" s="245">
        <f t="shared" ref="AH108:AH125" si="36">N72</f>
        <v>58740.17452844778</v>
      </c>
      <c r="AI108" s="245">
        <f>AG108+AH108</f>
        <v>88110.261792671663</v>
      </c>
      <c r="AJ108" s="245">
        <f>AF108+AI108</f>
        <v>387685.15188775526</v>
      </c>
      <c r="AK108" s="287"/>
      <c r="AL108" s="245">
        <f>AA108+AF108+AI108</f>
        <v>827685.15188775526</v>
      </c>
      <c r="AM108" s="247" t="s">
        <v>207</v>
      </c>
      <c r="AN108" s="247"/>
    </row>
    <row r="109" spans="1:40" ht="13" x14ac:dyDescent="0.3">
      <c r="A109" s="244">
        <v>9257005</v>
      </c>
      <c r="B109" s="237" t="s">
        <v>208</v>
      </c>
      <c r="C109" s="271">
        <v>4</v>
      </c>
      <c r="D109" s="245">
        <f t="shared" si="20"/>
        <v>0</v>
      </c>
      <c r="E109" s="245">
        <f t="shared" si="21"/>
        <v>0</v>
      </c>
      <c r="F109" s="68">
        <f t="shared" ref="F109:F125" si="37">SUM(D109:E109)</f>
        <v>0</v>
      </c>
      <c r="G109" s="245">
        <f t="shared" si="22"/>
        <v>184351.3141961919</v>
      </c>
      <c r="H109" s="245">
        <f t="shared" si="23"/>
        <v>258091.83987466866</v>
      </c>
      <c r="I109" s="68">
        <f t="shared" ref="I109:I125" si="38">SUM(G109:H109)</f>
        <v>442443.15407086059</v>
      </c>
      <c r="J109" s="245">
        <f t="shared" si="24"/>
        <v>89103.135194826071</v>
      </c>
      <c r="K109" s="245">
        <f t="shared" si="25"/>
        <v>178206.27038965214</v>
      </c>
      <c r="L109" s="68">
        <f t="shared" ref="L109:L125" si="39">SUM(J109:K109)</f>
        <v>267309.40558447823</v>
      </c>
      <c r="M109" s="68">
        <f t="shared" ref="M109:M125" si="40">I109+L109</f>
        <v>709752.55965533876</v>
      </c>
      <c r="N109" s="245">
        <f t="shared" si="26"/>
        <v>10401.504825659393</v>
      </c>
      <c r="O109" s="245">
        <f t="shared" si="27"/>
        <v>14562.106755923151</v>
      </c>
      <c r="P109" s="68">
        <f t="shared" ref="P109:P125" si="41">SUM(N109:O109)</f>
        <v>24963.611581582543</v>
      </c>
      <c r="Q109" s="245">
        <f t="shared" si="28"/>
        <v>5027.3939990687068</v>
      </c>
      <c r="R109" s="245">
        <f t="shared" si="29"/>
        <v>10054.787998137414</v>
      </c>
      <c r="S109" s="68">
        <f t="shared" ref="S109:S125" si="42">SUM(Q109:R109)</f>
        <v>15082.18199720612</v>
      </c>
      <c r="T109" s="68">
        <f t="shared" ref="T109:T125" si="43">P109+S109</f>
        <v>40045.793578788667</v>
      </c>
      <c r="U109" s="68">
        <f t="shared" si="30"/>
        <v>749798.3532341274</v>
      </c>
      <c r="V109" s="286">
        <f t="shared" si="31"/>
        <v>77</v>
      </c>
      <c r="W109" s="245">
        <f t="shared" si="32"/>
        <v>9737.6409510925641</v>
      </c>
      <c r="X109" s="237"/>
      <c r="Y109" s="245">
        <f t="shared" si="33"/>
        <v>480000</v>
      </c>
      <c r="Z109" s="245">
        <f t="shared" si="34"/>
        <v>290000</v>
      </c>
      <c r="AA109" s="245">
        <f t="shared" ref="AA109:AA125" si="44">Y109+Z109</f>
        <v>770000</v>
      </c>
      <c r="AB109" s="245">
        <v>1275717.7592213219</v>
      </c>
      <c r="AC109" s="245">
        <f t="shared" ref="AC109:AC125" si="45">AB109-AA109</f>
        <v>505717.7592213219</v>
      </c>
      <c r="AD109" s="245">
        <f t="shared" ref="AD109:AD125" si="46">Q7</f>
        <v>131355.26213540827</v>
      </c>
      <c r="AE109" s="245">
        <f t="shared" ref="AE109:AE125" si="47">Q51</f>
        <v>183897.36698957157</v>
      </c>
      <c r="AF109" s="245">
        <f t="shared" ref="AF109:AF125" si="48">AD109+AE109</f>
        <v>315252.62912497984</v>
      </c>
      <c r="AG109" s="245">
        <f t="shared" si="35"/>
        <v>63488.376698780667</v>
      </c>
      <c r="AH109" s="245">
        <f t="shared" si="36"/>
        <v>126976.75339756133</v>
      </c>
      <c r="AI109" s="245">
        <f t="shared" ref="AI109:AI125" si="49">AG109+AH109</f>
        <v>190465.13009634201</v>
      </c>
      <c r="AJ109" s="245">
        <f t="shared" ref="AJ109:AJ125" si="50">AF109+AI109</f>
        <v>505717.75922132184</v>
      </c>
      <c r="AK109" s="287"/>
      <c r="AL109" s="245">
        <f t="shared" ref="AL109:AL125" si="51">AA109+AF109+AI109</f>
        <v>1275717.7592213219</v>
      </c>
      <c r="AM109" s="247" t="s">
        <v>207</v>
      </c>
      <c r="AN109" s="247"/>
    </row>
    <row r="110" spans="1:40" ht="13" x14ac:dyDescent="0.3">
      <c r="A110" s="244">
        <v>9257025</v>
      </c>
      <c r="B110" s="237" t="s">
        <v>209</v>
      </c>
      <c r="C110" s="267">
        <v>4</v>
      </c>
      <c r="D110" s="245">
        <f t="shared" si="20"/>
        <v>39922.238535953147</v>
      </c>
      <c r="E110" s="245">
        <f t="shared" si="21"/>
        <v>55891.133950334406</v>
      </c>
      <c r="F110" s="68">
        <f t="shared" si="37"/>
        <v>95813.372486287553</v>
      </c>
      <c r="G110" s="245">
        <f t="shared" si="22"/>
        <v>155696.7302902173</v>
      </c>
      <c r="H110" s="245">
        <f t="shared" si="23"/>
        <v>217975.42240630422</v>
      </c>
      <c r="I110" s="68">
        <f t="shared" si="38"/>
        <v>373672.15269652149</v>
      </c>
      <c r="J110" s="245">
        <f t="shared" si="24"/>
        <v>41519.128077391273</v>
      </c>
      <c r="K110" s="245">
        <f t="shared" si="25"/>
        <v>83038.256154782546</v>
      </c>
      <c r="L110" s="68">
        <f t="shared" si="39"/>
        <v>124557.38423217382</v>
      </c>
      <c r="M110" s="68">
        <f t="shared" si="40"/>
        <v>498229.53692869528</v>
      </c>
      <c r="N110" s="245">
        <f t="shared" si="26"/>
        <v>11165.808272492439</v>
      </c>
      <c r="O110" s="245">
        <f t="shared" si="27"/>
        <v>15632.131581489413</v>
      </c>
      <c r="P110" s="68">
        <f t="shared" si="41"/>
        <v>26797.93985398185</v>
      </c>
      <c r="Q110" s="245">
        <f t="shared" si="28"/>
        <v>2369.8858374269662</v>
      </c>
      <c r="R110" s="245">
        <f t="shared" si="29"/>
        <v>4739.7716748539324</v>
      </c>
      <c r="S110" s="68">
        <f t="shared" si="42"/>
        <v>7109.657512280899</v>
      </c>
      <c r="T110" s="68">
        <f t="shared" si="43"/>
        <v>33907.597366262751</v>
      </c>
      <c r="U110" s="68">
        <f t="shared" si="30"/>
        <v>627950.50678124558</v>
      </c>
      <c r="V110" s="286">
        <f t="shared" si="31"/>
        <v>62</v>
      </c>
      <c r="W110" s="245">
        <f t="shared" si="32"/>
        <v>10128.233980342671</v>
      </c>
      <c r="X110" s="237"/>
      <c r="Y110" s="245">
        <f t="shared" si="33"/>
        <v>490000.00000000006</v>
      </c>
      <c r="Z110" s="245">
        <f t="shared" si="34"/>
        <v>129999.99999999999</v>
      </c>
      <c r="AA110" s="245">
        <f t="shared" si="44"/>
        <v>620000</v>
      </c>
      <c r="AB110" s="245">
        <v>1158965.6834732583</v>
      </c>
      <c r="AC110" s="245">
        <f t="shared" si="45"/>
        <v>538965.68347325828</v>
      </c>
      <c r="AD110" s="245">
        <f t="shared" si="46"/>
        <v>177481.97910073696</v>
      </c>
      <c r="AE110" s="245">
        <f t="shared" si="47"/>
        <v>248474.7707410318</v>
      </c>
      <c r="AF110" s="245">
        <f t="shared" si="48"/>
        <v>425956.74984176876</v>
      </c>
      <c r="AG110" s="245">
        <f t="shared" si="35"/>
        <v>37669.644543829891</v>
      </c>
      <c r="AH110" s="245">
        <f t="shared" si="36"/>
        <v>75339.289087659781</v>
      </c>
      <c r="AI110" s="245">
        <f t="shared" si="49"/>
        <v>113008.93363148966</v>
      </c>
      <c r="AJ110" s="245">
        <f t="shared" si="50"/>
        <v>538965.6834732584</v>
      </c>
      <c r="AK110" s="287"/>
      <c r="AL110" s="245">
        <f t="shared" si="51"/>
        <v>1158965.6834732585</v>
      </c>
      <c r="AM110" s="247" t="s">
        <v>207</v>
      </c>
      <c r="AN110" s="247"/>
    </row>
    <row r="111" spans="1:40" ht="13" x14ac:dyDescent="0.3">
      <c r="A111" s="244">
        <v>9257011</v>
      </c>
      <c r="B111" s="237" t="s">
        <v>210</v>
      </c>
      <c r="C111" s="267">
        <v>3</v>
      </c>
      <c r="D111" s="245">
        <f t="shared" si="20"/>
        <v>0</v>
      </c>
      <c r="E111" s="245">
        <f t="shared" si="21"/>
        <v>0</v>
      </c>
      <c r="F111" s="68">
        <f t="shared" si="37"/>
        <v>0</v>
      </c>
      <c r="G111" s="245">
        <f t="shared" si="22"/>
        <v>172528.70194845504</v>
      </c>
      <c r="H111" s="245">
        <f t="shared" si="23"/>
        <v>241540.18272783706</v>
      </c>
      <c r="I111" s="68">
        <f t="shared" si="38"/>
        <v>414068.88467629207</v>
      </c>
      <c r="J111" s="245">
        <f t="shared" si="24"/>
        <v>9858.7829684831449</v>
      </c>
      <c r="K111" s="245">
        <f t="shared" si="25"/>
        <v>19717.56593696629</v>
      </c>
      <c r="L111" s="68">
        <f t="shared" si="39"/>
        <v>29576.348905449435</v>
      </c>
      <c r="M111" s="68">
        <f t="shared" si="40"/>
        <v>443645.23358174152</v>
      </c>
      <c r="N111" s="245">
        <f t="shared" si="26"/>
        <v>7173.1859205102928</v>
      </c>
      <c r="O111" s="245">
        <f t="shared" si="27"/>
        <v>10042.46028871441</v>
      </c>
      <c r="P111" s="68">
        <f t="shared" si="41"/>
        <v>17215.646209224702</v>
      </c>
      <c r="Q111" s="245">
        <f t="shared" si="28"/>
        <v>409.8963383148739</v>
      </c>
      <c r="R111" s="245">
        <f t="shared" si="29"/>
        <v>819.7926766297478</v>
      </c>
      <c r="S111" s="68">
        <f t="shared" si="42"/>
        <v>1229.6890149446217</v>
      </c>
      <c r="T111" s="68">
        <f t="shared" si="43"/>
        <v>18445.335224169325</v>
      </c>
      <c r="U111" s="68">
        <f t="shared" si="30"/>
        <v>462090.56880591082</v>
      </c>
      <c r="V111" s="286">
        <f t="shared" si="31"/>
        <v>45</v>
      </c>
      <c r="W111" s="245">
        <f t="shared" si="32"/>
        <v>10268.679306798018</v>
      </c>
      <c r="X111" s="237"/>
      <c r="Y111" s="245">
        <f t="shared" si="33"/>
        <v>420000</v>
      </c>
      <c r="Z111" s="245">
        <f t="shared" si="34"/>
        <v>30000</v>
      </c>
      <c r="AA111" s="245">
        <f t="shared" si="44"/>
        <v>450000</v>
      </c>
      <c r="AB111" s="245">
        <v>874002.07077309978</v>
      </c>
      <c r="AC111" s="245">
        <f t="shared" si="45"/>
        <v>424002.07077309978</v>
      </c>
      <c r="AD111" s="245">
        <f t="shared" si="46"/>
        <v>164889.69418953877</v>
      </c>
      <c r="AE111" s="245">
        <f t="shared" si="47"/>
        <v>230845.57186535432</v>
      </c>
      <c r="AF111" s="245">
        <f t="shared" si="48"/>
        <v>395735.26605489309</v>
      </c>
      <c r="AG111" s="245">
        <f t="shared" si="35"/>
        <v>9422.2682394022158</v>
      </c>
      <c r="AH111" s="245">
        <f t="shared" si="36"/>
        <v>18844.536478804432</v>
      </c>
      <c r="AI111" s="245">
        <f t="shared" si="49"/>
        <v>28266.804718206648</v>
      </c>
      <c r="AJ111" s="245">
        <f t="shared" si="50"/>
        <v>424002.07077309972</v>
      </c>
      <c r="AK111" s="287"/>
      <c r="AL111" s="245">
        <f t="shared" si="51"/>
        <v>874002.07077309978</v>
      </c>
      <c r="AM111" s="247" t="s">
        <v>207</v>
      </c>
      <c r="AN111" s="247"/>
    </row>
    <row r="112" spans="1:40" ht="13" x14ac:dyDescent="0.3">
      <c r="A112" s="244">
        <v>9257024</v>
      </c>
      <c r="B112" s="237" t="s">
        <v>211</v>
      </c>
      <c r="C112" s="271">
        <v>3</v>
      </c>
      <c r="D112" s="245">
        <f t="shared" si="20"/>
        <v>19053.583315273478</v>
      </c>
      <c r="E112" s="245">
        <f t="shared" si="21"/>
        <v>26675.01664138287</v>
      </c>
      <c r="F112" s="68">
        <f t="shared" si="37"/>
        <v>45728.599956656348</v>
      </c>
      <c r="G112" s="245">
        <f t="shared" si="22"/>
        <v>148617.94985913316</v>
      </c>
      <c r="H112" s="245">
        <f t="shared" si="23"/>
        <v>208065.12980278642</v>
      </c>
      <c r="I112" s="68">
        <f t="shared" si="38"/>
        <v>356683.07966191962</v>
      </c>
      <c r="J112" s="245">
        <f t="shared" si="24"/>
        <v>39631.453295768835</v>
      </c>
      <c r="K112" s="245">
        <f t="shared" si="25"/>
        <v>79262.90659153767</v>
      </c>
      <c r="L112" s="68">
        <f t="shared" si="39"/>
        <v>118894.35988730651</v>
      </c>
      <c r="M112" s="68">
        <f t="shared" si="40"/>
        <v>475577.43954922614</v>
      </c>
      <c r="N112" s="245">
        <f t="shared" si="26"/>
        <v>2635.0478891670464</v>
      </c>
      <c r="O112" s="245">
        <f t="shared" si="27"/>
        <v>3689.0670448338651</v>
      </c>
      <c r="P112" s="68">
        <f t="shared" si="41"/>
        <v>6324.1149340009115</v>
      </c>
      <c r="Q112" s="245">
        <f t="shared" si="28"/>
        <v>622.82950107584725</v>
      </c>
      <c r="R112" s="245">
        <f t="shared" si="29"/>
        <v>1245.6590021516945</v>
      </c>
      <c r="S112" s="68">
        <f t="shared" si="42"/>
        <v>1868.4885032275417</v>
      </c>
      <c r="T112" s="68">
        <f t="shared" si="43"/>
        <v>8192.6034372284539</v>
      </c>
      <c r="U112" s="68">
        <f t="shared" si="30"/>
        <v>529498.64294311102</v>
      </c>
      <c r="V112" s="286">
        <f t="shared" si="31"/>
        <v>57</v>
      </c>
      <c r="W112" s="245">
        <f t="shared" si="32"/>
        <v>9289.4498761949308</v>
      </c>
      <c r="X112" s="237"/>
      <c r="Y112" s="245">
        <f t="shared" si="33"/>
        <v>440000</v>
      </c>
      <c r="Z112" s="245">
        <f t="shared" si="34"/>
        <v>129999.99999999999</v>
      </c>
      <c r="AA112" s="245">
        <f t="shared" si="44"/>
        <v>570000</v>
      </c>
      <c r="AB112" s="245">
        <v>949046.85363087466</v>
      </c>
      <c r="AC112" s="245">
        <f t="shared" si="45"/>
        <v>379046.85363087466</v>
      </c>
      <c r="AD112" s="245">
        <f t="shared" si="46"/>
        <v>121915.65467659711</v>
      </c>
      <c r="AE112" s="245">
        <f t="shared" si="47"/>
        <v>170681.91654723592</v>
      </c>
      <c r="AF112" s="245">
        <f t="shared" si="48"/>
        <v>292597.57122383302</v>
      </c>
      <c r="AG112" s="245">
        <f t="shared" si="35"/>
        <v>28816.427469013859</v>
      </c>
      <c r="AH112" s="245">
        <f t="shared" si="36"/>
        <v>57632.854938027718</v>
      </c>
      <c r="AI112" s="245">
        <f t="shared" si="49"/>
        <v>86449.282407041581</v>
      </c>
      <c r="AJ112" s="245">
        <f t="shared" si="50"/>
        <v>379046.8536308746</v>
      </c>
      <c r="AK112" s="287"/>
      <c r="AL112" s="245">
        <f t="shared" si="51"/>
        <v>949046.85363087454</v>
      </c>
      <c r="AM112" s="247" t="s">
        <v>207</v>
      </c>
      <c r="AN112" s="247"/>
    </row>
    <row r="113" spans="1:40" ht="13" x14ac:dyDescent="0.3">
      <c r="A113" s="244">
        <v>9257031</v>
      </c>
      <c r="B113" s="237" t="s">
        <v>257</v>
      </c>
      <c r="C113" s="267">
        <v>3</v>
      </c>
      <c r="D113" s="245">
        <f t="shared" si="20"/>
        <v>0</v>
      </c>
      <c r="E113" s="245">
        <f t="shared" si="21"/>
        <v>0</v>
      </c>
      <c r="F113" s="68">
        <f t="shared" si="37"/>
        <v>0</v>
      </c>
      <c r="G113" s="245">
        <f t="shared" si="22"/>
        <v>302043.866484167</v>
      </c>
      <c r="H113" s="245">
        <f t="shared" si="23"/>
        <v>422861.41307783383</v>
      </c>
      <c r="I113" s="68">
        <f t="shared" si="38"/>
        <v>724905.27956200088</v>
      </c>
      <c r="J113" s="245">
        <f t="shared" si="24"/>
        <v>0</v>
      </c>
      <c r="K113" s="245">
        <f t="shared" si="25"/>
        <v>0</v>
      </c>
      <c r="L113" s="68">
        <f t="shared" si="39"/>
        <v>0</v>
      </c>
      <c r="M113" s="68">
        <f t="shared" si="40"/>
        <v>724905.27956200088</v>
      </c>
      <c r="N113" s="245">
        <f t="shared" si="26"/>
        <v>68072.070470148697</v>
      </c>
      <c r="O113" s="245">
        <f t="shared" si="27"/>
        <v>95300.898658208185</v>
      </c>
      <c r="P113" s="68">
        <f t="shared" si="41"/>
        <v>163372.9691283569</v>
      </c>
      <c r="Q113" s="245">
        <f t="shared" si="28"/>
        <v>0</v>
      </c>
      <c r="R113" s="245">
        <f t="shared" si="29"/>
        <v>0</v>
      </c>
      <c r="S113" s="68">
        <f t="shared" si="42"/>
        <v>0</v>
      </c>
      <c r="T113" s="68">
        <f t="shared" si="43"/>
        <v>163372.9691283569</v>
      </c>
      <c r="U113" s="68">
        <f t="shared" si="30"/>
        <v>888278.24869035778</v>
      </c>
      <c r="V113" s="286">
        <f t="shared" si="31"/>
        <v>62.000000000000007</v>
      </c>
      <c r="W113" s="245">
        <f t="shared" si="32"/>
        <v>14327.068527263833</v>
      </c>
      <c r="X113" s="237"/>
      <c r="Y113" s="245">
        <f t="shared" si="33"/>
        <v>620000</v>
      </c>
      <c r="Z113" s="245">
        <f t="shared" si="34"/>
        <v>0</v>
      </c>
      <c r="AA113" s="245">
        <f t="shared" si="44"/>
        <v>620000</v>
      </c>
      <c r="AB113" s="245">
        <v>1244510.1265917702</v>
      </c>
      <c r="AC113" s="245">
        <f t="shared" si="45"/>
        <v>624510.12659177021</v>
      </c>
      <c r="AD113" s="245">
        <f t="shared" si="46"/>
        <v>260212.55274657084</v>
      </c>
      <c r="AE113" s="245">
        <f t="shared" si="47"/>
        <v>364297.57384519913</v>
      </c>
      <c r="AF113" s="245">
        <f t="shared" si="48"/>
        <v>624510.12659176998</v>
      </c>
      <c r="AG113" s="245">
        <f t="shared" si="35"/>
        <v>0</v>
      </c>
      <c r="AH113" s="245">
        <f t="shared" si="36"/>
        <v>0</v>
      </c>
      <c r="AI113" s="245">
        <f t="shared" si="49"/>
        <v>0</v>
      </c>
      <c r="AJ113" s="245">
        <f t="shared" si="50"/>
        <v>624510.12659176998</v>
      </c>
      <c r="AK113" s="287"/>
      <c r="AL113" s="245">
        <f t="shared" si="51"/>
        <v>1244510.12659177</v>
      </c>
      <c r="AM113" s="247" t="s">
        <v>207</v>
      </c>
      <c r="AN113" s="247"/>
    </row>
    <row r="114" spans="1:40" ht="13" x14ac:dyDescent="0.3">
      <c r="A114" s="244">
        <v>9257033</v>
      </c>
      <c r="B114" s="237" t="s">
        <v>220</v>
      </c>
      <c r="C114" s="267">
        <v>3</v>
      </c>
      <c r="D114" s="245">
        <f t="shared" si="20"/>
        <v>37262.62377713446</v>
      </c>
      <c r="E114" s="245">
        <f t="shared" si="21"/>
        <v>52167.67328798824</v>
      </c>
      <c r="F114" s="68">
        <f t="shared" si="37"/>
        <v>89430.297065122693</v>
      </c>
      <c r="G114" s="245">
        <f t="shared" si="22"/>
        <v>186313.11888567227</v>
      </c>
      <c r="H114" s="245">
        <f t="shared" si="23"/>
        <v>260838.36643994119</v>
      </c>
      <c r="I114" s="68">
        <f t="shared" si="38"/>
        <v>447151.48532561347</v>
      </c>
      <c r="J114" s="245">
        <f t="shared" si="24"/>
        <v>0</v>
      </c>
      <c r="K114" s="245">
        <f t="shared" si="25"/>
        <v>0</v>
      </c>
      <c r="L114" s="68">
        <f t="shared" si="39"/>
        <v>0</v>
      </c>
      <c r="M114" s="68">
        <f t="shared" si="40"/>
        <v>447151.48532561347</v>
      </c>
      <c r="N114" s="245">
        <f t="shared" si="26"/>
        <v>22757.231770079037</v>
      </c>
      <c r="O114" s="245">
        <f t="shared" si="27"/>
        <v>31860.124478110654</v>
      </c>
      <c r="P114" s="68">
        <f t="shared" si="41"/>
        <v>54617.356248189695</v>
      </c>
      <c r="Q114" s="245">
        <f t="shared" si="28"/>
        <v>0</v>
      </c>
      <c r="R114" s="245">
        <f t="shared" si="29"/>
        <v>0</v>
      </c>
      <c r="S114" s="68">
        <f t="shared" si="42"/>
        <v>0</v>
      </c>
      <c r="T114" s="68">
        <f t="shared" si="43"/>
        <v>54617.356248189695</v>
      </c>
      <c r="U114" s="68">
        <f t="shared" si="30"/>
        <v>591199.13863892586</v>
      </c>
      <c r="V114" s="286">
        <f t="shared" si="31"/>
        <v>60</v>
      </c>
      <c r="W114" s="245">
        <f t="shared" si="32"/>
        <v>9853.3189773154318</v>
      </c>
      <c r="X114" s="237"/>
      <c r="Y114" s="245">
        <f t="shared" si="33"/>
        <v>600000</v>
      </c>
      <c r="Z114" s="245">
        <f t="shared" si="34"/>
        <v>0</v>
      </c>
      <c r="AA114" s="245">
        <f t="shared" si="44"/>
        <v>600000</v>
      </c>
      <c r="AB114" s="245">
        <v>987363.23692723573</v>
      </c>
      <c r="AC114" s="245">
        <f t="shared" si="45"/>
        <v>387363.23692723573</v>
      </c>
      <c r="AD114" s="245">
        <f t="shared" si="46"/>
        <v>161401.34871968155</v>
      </c>
      <c r="AE114" s="245">
        <f t="shared" si="47"/>
        <v>225961.88820755421</v>
      </c>
      <c r="AF114" s="245">
        <f t="shared" si="48"/>
        <v>387363.23692723573</v>
      </c>
      <c r="AG114" s="245">
        <f t="shared" si="35"/>
        <v>0</v>
      </c>
      <c r="AH114" s="245">
        <f t="shared" si="36"/>
        <v>0</v>
      </c>
      <c r="AI114" s="245">
        <f t="shared" si="49"/>
        <v>0</v>
      </c>
      <c r="AJ114" s="245">
        <f t="shared" si="50"/>
        <v>387363.23692723573</v>
      </c>
      <c r="AK114" s="287"/>
      <c r="AL114" s="245">
        <f t="shared" si="51"/>
        <v>987363.23692723573</v>
      </c>
      <c r="AM114" s="247" t="s">
        <v>207</v>
      </c>
      <c r="AN114" s="247"/>
    </row>
    <row r="115" spans="1:40" ht="13" x14ac:dyDescent="0.3">
      <c r="A115" s="244">
        <v>9257008</v>
      </c>
      <c r="B115" s="237" t="s">
        <v>212</v>
      </c>
      <c r="C115" s="273">
        <v>4</v>
      </c>
      <c r="D115" s="245">
        <f t="shared" si="20"/>
        <v>33339.078620055436</v>
      </c>
      <c r="E115" s="245">
        <f t="shared" si="21"/>
        <v>46674.710068077606</v>
      </c>
      <c r="F115" s="68">
        <f t="shared" si="37"/>
        <v>80013.788688133034</v>
      </c>
      <c r="G115" s="245">
        <f t="shared" si="22"/>
        <v>266712.62896044349</v>
      </c>
      <c r="H115" s="245">
        <f t="shared" si="23"/>
        <v>373397.68054462085</v>
      </c>
      <c r="I115" s="68">
        <f t="shared" si="38"/>
        <v>640110.30950506427</v>
      </c>
      <c r="J115" s="245">
        <f t="shared" si="24"/>
        <v>0</v>
      </c>
      <c r="K115" s="245">
        <f t="shared" si="25"/>
        <v>0</v>
      </c>
      <c r="L115" s="68">
        <f t="shared" si="39"/>
        <v>0</v>
      </c>
      <c r="M115" s="68">
        <f t="shared" si="40"/>
        <v>640110.30950506427</v>
      </c>
      <c r="N115" s="245">
        <f t="shared" si="26"/>
        <v>27900.507061768727</v>
      </c>
      <c r="O115" s="245">
        <f t="shared" si="27"/>
        <v>39060.709886476216</v>
      </c>
      <c r="P115" s="68">
        <f t="shared" si="41"/>
        <v>66961.216948244939</v>
      </c>
      <c r="Q115" s="245">
        <f t="shared" si="28"/>
        <v>0</v>
      </c>
      <c r="R115" s="245">
        <f t="shared" si="29"/>
        <v>0</v>
      </c>
      <c r="S115" s="68">
        <f t="shared" si="42"/>
        <v>0</v>
      </c>
      <c r="T115" s="68">
        <f t="shared" si="43"/>
        <v>66961.216948244939</v>
      </c>
      <c r="U115" s="68">
        <f t="shared" si="30"/>
        <v>787085.31514144223</v>
      </c>
      <c r="V115" s="286">
        <f t="shared" si="31"/>
        <v>90</v>
      </c>
      <c r="W115" s="245">
        <f t="shared" si="32"/>
        <v>8745.392390460469</v>
      </c>
      <c r="X115" s="237"/>
      <c r="Y115" s="245">
        <f t="shared" si="33"/>
        <v>900000</v>
      </c>
      <c r="Z115" s="245">
        <f t="shared" si="34"/>
        <v>0</v>
      </c>
      <c r="AA115" s="245">
        <f t="shared" si="44"/>
        <v>900000</v>
      </c>
      <c r="AB115" s="245">
        <v>1300237.4829410582</v>
      </c>
      <c r="AC115" s="245">
        <f t="shared" si="45"/>
        <v>400237.48294105823</v>
      </c>
      <c r="AD115" s="245">
        <f t="shared" si="46"/>
        <v>166765.61789210761</v>
      </c>
      <c r="AE115" s="245">
        <f t="shared" si="47"/>
        <v>233471.86504895065</v>
      </c>
      <c r="AF115" s="245">
        <f t="shared" si="48"/>
        <v>400237.48294105823</v>
      </c>
      <c r="AG115" s="245">
        <f t="shared" si="35"/>
        <v>0</v>
      </c>
      <c r="AH115" s="245">
        <f t="shared" si="36"/>
        <v>0</v>
      </c>
      <c r="AI115" s="245">
        <f t="shared" si="49"/>
        <v>0</v>
      </c>
      <c r="AJ115" s="245">
        <f t="shared" si="50"/>
        <v>400237.48294105823</v>
      </c>
      <c r="AK115" s="287"/>
      <c r="AL115" s="245">
        <f t="shared" si="51"/>
        <v>1300237.4829410582</v>
      </c>
      <c r="AM115" s="247" t="s">
        <v>207</v>
      </c>
      <c r="AN115" s="247"/>
    </row>
    <row r="116" spans="1:40" ht="13" x14ac:dyDescent="0.3">
      <c r="A116" s="244">
        <v>9257034</v>
      </c>
      <c r="B116" s="237" t="s">
        <v>221</v>
      </c>
      <c r="C116" s="267">
        <v>5</v>
      </c>
      <c r="D116" s="245">
        <f t="shared" si="20"/>
        <v>0</v>
      </c>
      <c r="E116" s="245">
        <f t="shared" si="21"/>
        <v>0</v>
      </c>
      <c r="F116" s="68">
        <f t="shared" si="37"/>
        <v>0</v>
      </c>
      <c r="G116" s="245">
        <f t="shared" si="22"/>
        <v>325706.96785500314</v>
      </c>
      <c r="H116" s="245">
        <f t="shared" si="23"/>
        <v>455989.75499700441</v>
      </c>
      <c r="I116" s="68">
        <f t="shared" si="38"/>
        <v>781696.72285200749</v>
      </c>
      <c r="J116" s="245">
        <f t="shared" si="24"/>
        <v>84140.966695875803</v>
      </c>
      <c r="K116" s="245">
        <f t="shared" si="25"/>
        <v>168281.93339175161</v>
      </c>
      <c r="L116" s="68">
        <f t="shared" si="39"/>
        <v>252422.90008762741</v>
      </c>
      <c r="M116" s="68">
        <f t="shared" si="40"/>
        <v>1034119.6229396348</v>
      </c>
      <c r="N116" s="245">
        <f t="shared" si="26"/>
        <v>21578.344919163217</v>
      </c>
      <c r="O116" s="245">
        <f t="shared" si="27"/>
        <v>30209.682886828505</v>
      </c>
      <c r="P116" s="68">
        <f t="shared" si="41"/>
        <v>51788.027805991718</v>
      </c>
      <c r="Q116" s="245">
        <f t="shared" si="28"/>
        <v>5574.4057707838301</v>
      </c>
      <c r="R116" s="245">
        <f t="shared" si="29"/>
        <v>11148.81154156766</v>
      </c>
      <c r="S116" s="68">
        <f t="shared" si="42"/>
        <v>16723.217312351491</v>
      </c>
      <c r="T116" s="68">
        <f>P116+S116</f>
        <v>68511.245118343213</v>
      </c>
      <c r="U116" s="68">
        <f t="shared" si="30"/>
        <v>1102630.8680579781</v>
      </c>
      <c r="V116" s="286">
        <f t="shared" si="31"/>
        <v>127</v>
      </c>
      <c r="W116" s="245">
        <f t="shared" si="32"/>
        <v>8682.1328193541576</v>
      </c>
      <c r="X116" s="237"/>
      <c r="Y116" s="245">
        <f t="shared" si="33"/>
        <v>960000</v>
      </c>
      <c r="Z116" s="245">
        <f t="shared" si="34"/>
        <v>310000</v>
      </c>
      <c r="AA116" s="245">
        <f t="shared" si="44"/>
        <v>1270000</v>
      </c>
      <c r="AB116" s="245">
        <v>1666004.5516743336</v>
      </c>
      <c r="AC116" s="245">
        <f t="shared" si="45"/>
        <v>396004.55167433363</v>
      </c>
      <c r="AD116" s="245">
        <f t="shared" si="46"/>
        <v>124725.8430470342</v>
      </c>
      <c r="AE116" s="245">
        <f t="shared" si="47"/>
        <v>174616.18026584788</v>
      </c>
      <c r="AF116" s="245">
        <f t="shared" si="48"/>
        <v>299342.02331288205</v>
      </c>
      <c r="AG116" s="245">
        <f t="shared" si="35"/>
        <v>32220.842787150508</v>
      </c>
      <c r="AH116" s="245">
        <f t="shared" si="36"/>
        <v>64441.685574301016</v>
      </c>
      <c r="AI116" s="245">
        <f t="shared" si="49"/>
        <v>96662.528361451521</v>
      </c>
      <c r="AJ116" s="245">
        <f t="shared" si="50"/>
        <v>396004.55167433358</v>
      </c>
      <c r="AK116" s="287"/>
      <c r="AL116" s="245">
        <f t="shared" si="51"/>
        <v>1666004.5516743336</v>
      </c>
      <c r="AM116" s="247" t="s">
        <v>207</v>
      </c>
      <c r="AN116" s="247"/>
    </row>
    <row r="117" spans="1:40" ht="13" x14ac:dyDescent="0.3">
      <c r="A117" s="244">
        <v>9257002</v>
      </c>
      <c r="B117" s="237" t="s">
        <v>213</v>
      </c>
      <c r="C117" s="271">
        <v>4</v>
      </c>
      <c r="D117" s="245">
        <f t="shared" si="20"/>
        <v>0</v>
      </c>
      <c r="E117" s="245">
        <f t="shared" si="21"/>
        <v>0</v>
      </c>
      <c r="F117" s="68">
        <f t="shared" si="37"/>
        <v>0</v>
      </c>
      <c r="G117" s="245">
        <f t="shared" si="22"/>
        <v>367896.39637035807</v>
      </c>
      <c r="H117" s="245">
        <f t="shared" si="23"/>
        <v>515054.95491850126</v>
      </c>
      <c r="I117" s="68">
        <f t="shared" si="38"/>
        <v>882951.35128885927</v>
      </c>
      <c r="J117" s="245">
        <f t="shared" si="24"/>
        <v>0</v>
      </c>
      <c r="K117" s="245">
        <f t="shared" si="25"/>
        <v>0</v>
      </c>
      <c r="L117" s="68">
        <f t="shared" si="39"/>
        <v>0</v>
      </c>
      <c r="M117" s="68">
        <f t="shared" si="40"/>
        <v>882951.35128885927</v>
      </c>
      <c r="N117" s="245">
        <f t="shared" si="26"/>
        <v>12381.772644475408</v>
      </c>
      <c r="O117" s="245">
        <f t="shared" si="27"/>
        <v>17334.48170226557</v>
      </c>
      <c r="P117" s="68">
        <f t="shared" si="41"/>
        <v>29716.254346740978</v>
      </c>
      <c r="Q117" s="245">
        <f t="shared" si="28"/>
        <v>0</v>
      </c>
      <c r="R117" s="245">
        <f t="shared" si="29"/>
        <v>0</v>
      </c>
      <c r="S117" s="68">
        <f t="shared" si="42"/>
        <v>0</v>
      </c>
      <c r="T117" s="68">
        <f t="shared" si="43"/>
        <v>29716.254346740978</v>
      </c>
      <c r="U117" s="68">
        <f t="shared" si="30"/>
        <v>912667.60563560028</v>
      </c>
      <c r="V117" s="286">
        <f t="shared" si="31"/>
        <v>122</v>
      </c>
      <c r="W117" s="245">
        <f t="shared" si="32"/>
        <v>7480.88201340656</v>
      </c>
      <c r="X117" s="237"/>
      <c r="Y117" s="245">
        <f t="shared" si="33"/>
        <v>1220000</v>
      </c>
      <c r="Z117" s="245">
        <f t="shared" si="34"/>
        <v>0</v>
      </c>
      <c r="AA117" s="245">
        <f t="shared" si="44"/>
        <v>1220000</v>
      </c>
      <c r="AB117" s="245">
        <v>1426401.8966720549</v>
      </c>
      <c r="AC117" s="245">
        <f t="shared" si="45"/>
        <v>206401.89667205489</v>
      </c>
      <c r="AD117" s="245">
        <f t="shared" si="46"/>
        <v>86000.790280022833</v>
      </c>
      <c r="AE117" s="245">
        <f t="shared" si="47"/>
        <v>120401.10639203196</v>
      </c>
      <c r="AF117" s="245">
        <f t="shared" si="48"/>
        <v>206401.89667205478</v>
      </c>
      <c r="AG117" s="245">
        <f t="shared" si="35"/>
        <v>0</v>
      </c>
      <c r="AH117" s="245">
        <f t="shared" si="36"/>
        <v>0</v>
      </c>
      <c r="AI117" s="245">
        <f t="shared" si="49"/>
        <v>0</v>
      </c>
      <c r="AJ117" s="245">
        <f t="shared" si="50"/>
        <v>206401.89667205478</v>
      </c>
      <c r="AK117" s="287"/>
      <c r="AL117" s="245">
        <f t="shared" si="51"/>
        <v>1426401.8966720547</v>
      </c>
      <c r="AM117" s="247" t="s">
        <v>207</v>
      </c>
      <c r="AN117" s="247"/>
    </row>
    <row r="118" spans="1:40" ht="13" x14ac:dyDescent="0.3">
      <c r="A118" s="244">
        <v>9257009</v>
      </c>
      <c r="B118" s="237" t="s">
        <v>214</v>
      </c>
      <c r="C118" s="267">
        <v>4</v>
      </c>
      <c r="D118" s="245">
        <f t="shared" si="20"/>
        <v>0</v>
      </c>
      <c r="E118" s="245">
        <f t="shared" si="21"/>
        <v>0</v>
      </c>
      <c r="F118" s="68">
        <f t="shared" si="37"/>
        <v>0</v>
      </c>
      <c r="G118" s="245">
        <f t="shared" si="22"/>
        <v>392363.34941922099</v>
      </c>
      <c r="H118" s="245">
        <f t="shared" si="23"/>
        <v>549308.68918690947</v>
      </c>
      <c r="I118" s="68">
        <f t="shared" si="38"/>
        <v>941672.03860613052</v>
      </c>
      <c r="J118" s="245">
        <f t="shared" si="24"/>
        <v>0</v>
      </c>
      <c r="K118" s="245">
        <f t="shared" si="25"/>
        <v>0</v>
      </c>
      <c r="L118" s="68">
        <f t="shared" si="39"/>
        <v>0</v>
      </c>
      <c r="M118" s="68">
        <f t="shared" si="40"/>
        <v>941672.03860613052</v>
      </c>
      <c r="N118" s="245">
        <f t="shared" si="26"/>
        <v>19762.85916875285</v>
      </c>
      <c r="O118" s="245">
        <f t="shared" si="27"/>
        <v>27668.002836253989</v>
      </c>
      <c r="P118" s="68">
        <f t="shared" si="41"/>
        <v>47430.862005006842</v>
      </c>
      <c r="Q118" s="245">
        <f t="shared" si="28"/>
        <v>0</v>
      </c>
      <c r="R118" s="245">
        <f t="shared" si="29"/>
        <v>0</v>
      </c>
      <c r="S118" s="68">
        <f t="shared" si="42"/>
        <v>0</v>
      </c>
      <c r="T118" s="68">
        <f t="shared" si="43"/>
        <v>47430.862005006842</v>
      </c>
      <c r="U118" s="68">
        <f t="shared" si="30"/>
        <v>989102.90061113739</v>
      </c>
      <c r="V118" s="286">
        <f t="shared" si="31"/>
        <v>130</v>
      </c>
      <c r="W118" s="245">
        <f t="shared" si="32"/>
        <v>7608.4838508549028</v>
      </c>
      <c r="X118" s="237"/>
      <c r="Y118" s="245">
        <f t="shared" si="33"/>
        <v>1300000</v>
      </c>
      <c r="Z118" s="245">
        <f t="shared" si="34"/>
        <v>0</v>
      </c>
      <c r="AA118" s="245">
        <f t="shared" si="44"/>
        <v>1300000</v>
      </c>
      <c r="AB118" s="245">
        <v>1499714.6399788277</v>
      </c>
      <c r="AC118" s="245">
        <f t="shared" si="45"/>
        <v>199714.63997882768</v>
      </c>
      <c r="AD118" s="245">
        <f t="shared" si="46"/>
        <v>83214.433324511498</v>
      </c>
      <c r="AE118" s="245">
        <f t="shared" si="47"/>
        <v>116500.20665431609</v>
      </c>
      <c r="AF118" s="245">
        <f t="shared" si="48"/>
        <v>199714.63997882759</v>
      </c>
      <c r="AG118" s="245">
        <f t="shared" si="35"/>
        <v>0</v>
      </c>
      <c r="AH118" s="245">
        <f t="shared" si="36"/>
        <v>0</v>
      </c>
      <c r="AI118" s="245">
        <f t="shared" si="49"/>
        <v>0</v>
      </c>
      <c r="AJ118" s="245">
        <f t="shared" si="50"/>
        <v>199714.63997882759</v>
      </c>
      <c r="AK118" s="287"/>
      <c r="AL118" s="245">
        <f t="shared" si="51"/>
        <v>1499714.6399788277</v>
      </c>
      <c r="AM118" s="247" t="s">
        <v>207</v>
      </c>
      <c r="AN118" s="247"/>
    </row>
    <row r="119" spans="1:40" ht="13" x14ac:dyDescent="0.3">
      <c r="A119" s="244">
        <v>9257029</v>
      </c>
      <c r="B119" s="237" t="s">
        <v>259</v>
      </c>
      <c r="C119" s="271">
        <v>4</v>
      </c>
      <c r="D119" s="245">
        <f t="shared" si="20"/>
        <v>0</v>
      </c>
      <c r="E119" s="245">
        <f t="shared" si="21"/>
        <v>0</v>
      </c>
      <c r="F119" s="68">
        <f t="shared" si="37"/>
        <v>0</v>
      </c>
      <c r="G119" s="245">
        <f t="shared" si="22"/>
        <v>267942.13962305133</v>
      </c>
      <c r="H119" s="245">
        <f t="shared" si="23"/>
        <v>375118.99547227187</v>
      </c>
      <c r="I119" s="68">
        <f t="shared" si="38"/>
        <v>643061.1350953232</v>
      </c>
      <c r="J119" s="245">
        <f t="shared" si="24"/>
        <v>0</v>
      </c>
      <c r="K119" s="245">
        <f t="shared" si="25"/>
        <v>0</v>
      </c>
      <c r="L119" s="68">
        <f t="shared" si="39"/>
        <v>0</v>
      </c>
      <c r="M119" s="68">
        <f t="shared" si="40"/>
        <v>643061.1350953232</v>
      </c>
      <c r="N119" s="245">
        <f t="shared" si="26"/>
        <v>60386.51412674482</v>
      </c>
      <c r="O119" s="245">
        <f t="shared" si="27"/>
        <v>84541.119777442756</v>
      </c>
      <c r="P119" s="68">
        <f t="shared" si="41"/>
        <v>144927.63390418759</v>
      </c>
      <c r="Q119" s="245">
        <f t="shared" si="28"/>
        <v>0</v>
      </c>
      <c r="R119" s="245">
        <f t="shared" si="29"/>
        <v>0</v>
      </c>
      <c r="S119" s="68">
        <f t="shared" si="42"/>
        <v>0</v>
      </c>
      <c r="T119" s="68">
        <f t="shared" si="43"/>
        <v>144927.63390418759</v>
      </c>
      <c r="U119" s="68">
        <f t="shared" si="30"/>
        <v>787988.76899951079</v>
      </c>
      <c r="V119" s="286">
        <f t="shared" si="31"/>
        <v>55</v>
      </c>
      <c r="W119" s="245">
        <f t="shared" si="32"/>
        <v>14327.068527263833</v>
      </c>
      <c r="X119" s="237"/>
      <c r="Y119" s="245">
        <f t="shared" si="33"/>
        <v>550000</v>
      </c>
      <c r="Z119" s="245">
        <f t="shared" si="34"/>
        <v>0</v>
      </c>
      <c r="AA119" s="245">
        <f t="shared" si="44"/>
        <v>550000</v>
      </c>
      <c r="AB119" s="245">
        <v>1202540.804894343</v>
      </c>
      <c r="AC119" s="245">
        <f t="shared" si="45"/>
        <v>652540.80489434302</v>
      </c>
      <c r="AD119" s="245">
        <f t="shared" si="46"/>
        <v>271892.00203930959</v>
      </c>
      <c r="AE119" s="245">
        <f t="shared" si="47"/>
        <v>380648.80285503337</v>
      </c>
      <c r="AF119" s="245">
        <f t="shared" si="48"/>
        <v>652540.80489434302</v>
      </c>
      <c r="AG119" s="245">
        <f t="shared" si="35"/>
        <v>0</v>
      </c>
      <c r="AH119" s="245">
        <f t="shared" si="36"/>
        <v>0</v>
      </c>
      <c r="AI119" s="245">
        <f t="shared" si="49"/>
        <v>0</v>
      </c>
      <c r="AJ119" s="245">
        <f t="shared" si="50"/>
        <v>652540.80489434302</v>
      </c>
      <c r="AK119" s="287"/>
      <c r="AL119" s="245">
        <f t="shared" si="51"/>
        <v>1202540.804894343</v>
      </c>
      <c r="AM119" s="247" t="s">
        <v>207</v>
      </c>
      <c r="AN119" s="247"/>
    </row>
    <row r="120" spans="1:40" ht="13" x14ac:dyDescent="0.3">
      <c r="A120" s="244">
        <v>9257032</v>
      </c>
      <c r="B120" s="237" t="s">
        <v>261</v>
      </c>
      <c r="C120" s="267">
        <v>4</v>
      </c>
      <c r="D120" s="245">
        <f t="shared" si="20"/>
        <v>0</v>
      </c>
      <c r="E120" s="245">
        <f t="shared" si="21"/>
        <v>0</v>
      </c>
      <c r="F120" s="68">
        <f t="shared" si="37"/>
        <v>0</v>
      </c>
      <c r="G120" s="245">
        <f t="shared" si="22"/>
        <v>292300.51595241966</v>
      </c>
      <c r="H120" s="245">
        <f t="shared" si="23"/>
        <v>409220.72233338753</v>
      </c>
      <c r="I120" s="68">
        <f t="shared" si="38"/>
        <v>701521.23828580719</v>
      </c>
      <c r="J120" s="245">
        <f t="shared" si="24"/>
        <v>0</v>
      </c>
      <c r="K120" s="245">
        <f t="shared" si="25"/>
        <v>0</v>
      </c>
      <c r="L120" s="68">
        <f t="shared" si="39"/>
        <v>0</v>
      </c>
      <c r="M120" s="68">
        <f t="shared" si="40"/>
        <v>701521.23828580719</v>
      </c>
      <c r="N120" s="245">
        <f t="shared" si="26"/>
        <v>65876.197229176163</v>
      </c>
      <c r="O120" s="245">
        <f t="shared" si="27"/>
        <v>92226.67612084662</v>
      </c>
      <c r="P120" s="68">
        <f t="shared" si="41"/>
        <v>158102.87335002277</v>
      </c>
      <c r="Q120" s="245">
        <f t="shared" si="28"/>
        <v>0</v>
      </c>
      <c r="R120" s="245">
        <f t="shared" si="29"/>
        <v>0</v>
      </c>
      <c r="S120" s="68">
        <f t="shared" si="42"/>
        <v>0</v>
      </c>
      <c r="T120" s="68">
        <f t="shared" si="43"/>
        <v>158102.87335002277</v>
      </c>
      <c r="U120" s="68">
        <f t="shared" si="30"/>
        <v>859624.11163583002</v>
      </c>
      <c r="V120" s="286">
        <f t="shared" si="31"/>
        <v>60</v>
      </c>
      <c r="W120" s="245">
        <f t="shared" si="32"/>
        <v>14327.068527263833</v>
      </c>
      <c r="X120" s="237"/>
      <c r="Y120" s="245">
        <f t="shared" si="33"/>
        <v>600000</v>
      </c>
      <c r="Z120" s="245">
        <f t="shared" si="34"/>
        <v>0</v>
      </c>
      <c r="AA120" s="245">
        <f t="shared" si="44"/>
        <v>600000</v>
      </c>
      <c r="AB120" s="245">
        <v>1286245.4208474441</v>
      </c>
      <c r="AC120" s="245">
        <f t="shared" si="45"/>
        <v>686245.4208474441</v>
      </c>
      <c r="AD120" s="245">
        <f t="shared" si="46"/>
        <v>285935.59201976832</v>
      </c>
      <c r="AE120" s="245">
        <f t="shared" si="47"/>
        <v>400309.82882767566</v>
      </c>
      <c r="AF120" s="245">
        <f t="shared" si="48"/>
        <v>686245.42084744398</v>
      </c>
      <c r="AG120" s="245">
        <f t="shared" si="35"/>
        <v>0</v>
      </c>
      <c r="AH120" s="245">
        <f t="shared" si="36"/>
        <v>0</v>
      </c>
      <c r="AI120" s="245">
        <f t="shared" si="49"/>
        <v>0</v>
      </c>
      <c r="AJ120" s="245">
        <f t="shared" si="50"/>
        <v>686245.42084744398</v>
      </c>
      <c r="AK120" s="287"/>
      <c r="AL120" s="245">
        <f t="shared" si="51"/>
        <v>1286245.4208474439</v>
      </c>
      <c r="AM120" s="247" t="s">
        <v>207</v>
      </c>
      <c r="AN120" s="247"/>
    </row>
    <row r="121" spans="1:40" ht="13" x14ac:dyDescent="0.3">
      <c r="A121" s="244">
        <v>9257030</v>
      </c>
      <c r="B121" s="237" t="s">
        <v>262</v>
      </c>
      <c r="C121" s="267">
        <v>4</v>
      </c>
      <c r="D121" s="245">
        <f t="shared" si="20"/>
        <v>0</v>
      </c>
      <c r="E121" s="245">
        <f t="shared" si="21"/>
        <v>0</v>
      </c>
      <c r="F121" s="68">
        <f t="shared" si="37"/>
        <v>0</v>
      </c>
      <c r="G121" s="245">
        <f t="shared" si="22"/>
        <v>267942.13962305133</v>
      </c>
      <c r="H121" s="245">
        <f t="shared" si="23"/>
        <v>409220.72233338753</v>
      </c>
      <c r="I121" s="68">
        <f t="shared" si="38"/>
        <v>677162.86195643886</v>
      </c>
      <c r="J121" s="245">
        <f t="shared" si="24"/>
        <v>0</v>
      </c>
      <c r="K121" s="245">
        <f t="shared" si="25"/>
        <v>0</v>
      </c>
      <c r="L121" s="68">
        <f t="shared" si="39"/>
        <v>0</v>
      </c>
      <c r="M121" s="68">
        <f t="shared" si="40"/>
        <v>677162.86195643886</v>
      </c>
      <c r="N121" s="245">
        <f t="shared" si="26"/>
        <v>60386.51412674482</v>
      </c>
      <c r="O121" s="245">
        <f t="shared" si="27"/>
        <v>92226.67612084662</v>
      </c>
      <c r="P121" s="68">
        <f t="shared" si="41"/>
        <v>152613.19024759144</v>
      </c>
      <c r="Q121" s="245">
        <f t="shared" si="28"/>
        <v>0</v>
      </c>
      <c r="R121" s="245">
        <f t="shared" si="29"/>
        <v>0</v>
      </c>
      <c r="S121" s="68">
        <f t="shared" si="42"/>
        <v>0</v>
      </c>
      <c r="T121" s="68">
        <f t="shared" si="43"/>
        <v>152613.19024759144</v>
      </c>
      <c r="U121" s="68">
        <f t="shared" si="30"/>
        <v>829776.05220403033</v>
      </c>
      <c r="V121" s="286">
        <f>(K19*(5/12))+(K63*(7/12))+(I41*(4/12))+(I85*(8/12))</f>
        <v>57.916666666666671</v>
      </c>
      <c r="W121" s="245">
        <f t="shared" si="32"/>
        <v>14327.068527263831</v>
      </c>
      <c r="X121" s="237"/>
      <c r="Y121" s="245">
        <f t="shared" si="33"/>
        <v>579166.66666666674</v>
      </c>
      <c r="Z121" s="245">
        <f t="shared" si="34"/>
        <v>0</v>
      </c>
      <c r="AA121" s="245">
        <f t="shared" si="44"/>
        <v>579166.66666666674</v>
      </c>
      <c r="AB121" s="245">
        <v>1261488.0916904178</v>
      </c>
      <c r="AC121" s="245">
        <f t="shared" si="45"/>
        <v>682321.4250237511</v>
      </c>
      <c r="AD121" s="245">
        <f t="shared" si="46"/>
        <v>269983.2976712684</v>
      </c>
      <c r="AE121" s="245">
        <f t="shared" si="47"/>
        <v>412338.1273524827</v>
      </c>
      <c r="AF121" s="245">
        <f t="shared" si="48"/>
        <v>682321.4250237511</v>
      </c>
      <c r="AG121" s="245">
        <f t="shared" si="35"/>
        <v>0</v>
      </c>
      <c r="AH121" s="245">
        <f t="shared" si="36"/>
        <v>0</v>
      </c>
      <c r="AI121" s="245">
        <f t="shared" si="49"/>
        <v>0</v>
      </c>
      <c r="AJ121" s="245">
        <f t="shared" si="50"/>
        <v>682321.4250237511</v>
      </c>
      <c r="AK121" s="287"/>
      <c r="AL121" s="245">
        <f t="shared" si="51"/>
        <v>1261488.0916904178</v>
      </c>
      <c r="AM121" s="247" t="s">
        <v>207</v>
      </c>
      <c r="AN121" s="247"/>
    </row>
    <row r="122" spans="1:40" ht="13" x14ac:dyDescent="0.3">
      <c r="A122" s="244">
        <v>9257028</v>
      </c>
      <c r="B122" s="237" t="s">
        <v>215</v>
      </c>
      <c r="C122" s="274">
        <v>4</v>
      </c>
      <c r="D122" s="245">
        <f t="shared" si="20"/>
        <v>21300.715279234355</v>
      </c>
      <c r="E122" s="245">
        <f t="shared" si="21"/>
        <v>29821.001390928101</v>
      </c>
      <c r="F122" s="68">
        <f t="shared" si="37"/>
        <v>51121.716670162452</v>
      </c>
      <c r="G122" s="245">
        <f t="shared" si="22"/>
        <v>213007.15279234358</v>
      </c>
      <c r="H122" s="245">
        <f t="shared" si="23"/>
        <v>298210.013909281</v>
      </c>
      <c r="I122" s="68">
        <f t="shared" si="38"/>
        <v>511217.16670162458</v>
      </c>
      <c r="J122" s="245">
        <f t="shared" si="24"/>
        <v>54529.831114839952</v>
      </c>
      <c r="K122" s="245">
        <f t="shared" si="25"/>
        <v>109059.6622296799</v>
      </c>
      <c r="L122" s="68">
        <f t="shared" si="39"/>
        <v>163589.49334451987</v>
      </c>
      <c r="M122" s="68">
        <f t="shared" si="40"/>
        <v>674806.66004614439</v>
      </c>
      <c r="N122" s="245">
        <f t="shared" si="26"/>
        <v>14458.742819079744</v>
      </c>
      <c r="O122" s="245">
        <f t="shared" si="27"/>
        <v>20242.239946711641</v>
      </c>
      <c r="P122" s="68">
        <f t="shared" si="41"/>
        <v>34700.982765791385</v>
      </c>
      <c r="Q122" s="245">
        <f t="shared" si="28"/>
        <v>3364.9437833494671</v>
      </c>
      <c r="R122" s="245">
        <f t="shared" si="29"/>
        <v>6729.8875666989343</v>
      </c>
      <c r="S122" s="68">
        <f t="shared" si="42"/>
        <v>10094.831350048402</v>
      </c>
      <c r="T122" s="68">
        <f t="shared" si="43"/>
        <v>44795.814115839785</v>
      </c>
      <c r="U122" s="68">
        <f t="shared" si="30"/>
        <v>770724.19083214668</v>
      </c>
      <c r="V122" s="286">
        <f t="shared" si="31"/>
        <v>71</v>
      </c>
      <c r="W122" s="245">
        <f t="shared" si="32"/>
        <v>10855.270293410516</v>
      </c>
      <c r="X122" s="237"/>
      <c r="Y122" s="245">
        <f t="shared" si="33"/>
        <v>550000</v>
      </c>
      <c r="Z122" s="245">
        <f t="shared" si="34"/>
        <v>160000</v>
      </c>
      <c r="AA122" s="245">
        <f t="shared" si="44"/>
        <v>710000</v>
      </c>
      <c r="AB122" s="245">
        <v>1288576.8612488606</v>
      </c>
      <c r="AC122" s="245">
        <f t="shared" si="45"/>
        <v>578576.8612488606</v>
      </c>
      <c r="AD122" s="245">
        <f t="shared" si="46"/>
        <v>186747.22634206183</v>
      </c>
      <c r="AE122" s="245">
        <f t="shared" si="47"/>
        <v>261446.11687888653</v>
      </c>
      <c r="AF122" s="245">
        <f t="shared" si="48"/>
        <v>448193.34322094836</v>
      </c>
      <c r="AG122" s="245">
        <f t="shared" si="35"/>
        <v>43461.172675970745</v>
      </c>
      <c r="AH122" s="245">
        <f t="shared" si="36"/>
        <v>86922.345351941491</v>
      </c>
      <c r="AI122" s="245">
        <f t="shared" si="49"/>
        <v>130383.51802791224</v>
      </c>
      <c r="AJ122" s="245">
        <f t="shared" si="50"/>
        <v>578576.8612488606</v>
      </c>
      <c r="AK122" s="287"/>
      <c r="AL122" s="245">
        <f t="shared" si="51"/>
        <v>1288576.8612488606</v>
      </c>
      <c r="AM122" s="247" t="s">
        <v>207</v>
      </c>
      <c r="AN122" s="247"/>
    </row>
    <row r="123" spans="1:40" ht="13" x14ac:dyDescent="0.3">
      <c r="A123" s="244">
        <v>9257021</v>
      </c>
      <c r="B123" s="237" t="s">
        <v>216</v>
      </c>
      <c r="C123" s="274">
        <v>4</v>
      </c>
      <c r="D123" s="245">
        <f t="shared" si="20"/>
        <v>0</v>
      </c>
      <c r="E123" s="245">
        <f t="shared" si="21"/>
        <v>0</v>
      </c>
      <c r="F123" s="68">
        <f t="shared" si="37"/>
        <v>0</v>
      </c>
      <c r="G123" s="245">
        <f t="shared" si="22"/>
        <v>431835.01619482733</v>
      </c>
      <c r="H123" s="245">
        <f t="shared" si="23"/>
        <v>604569.02267275832</v>
      </c>
      <c r="I123" s="68">
        <f t="shared" si="38"/>
        <v>1036404.0388675856</v>
      </c>
      <c r="J123" s="245">
        <f t="shared" si="24"/>
        <v>0</v>
      </c>
      <c r="K123" s="245">
        <f t="shared" si="25"/>
        <v>0</v>
      </c>
      <c r="L123" s="68">
        <f t="shared" si="39"/>
        <v>0</v>
      </c>
      <c r="M123" s="68">
        <f t="shared" si="40"/>
        <v>1036404.0388675856</v>
      </c>
      <c r="N123" s="245">
        <f t="shared" si="26"/>
        <v>21804.093449093518</v>
      </c>
      <c r="O123" s="245">
        <f t="shared" si="27"/>
        <v>30525.730828730924</v>
      </c>
      <c r="P123" s="68">
        <f t="shared" si="41"/>
        <v>52329.824277824446</v>
      </c>
      <c r="Q123" s="245">
        <f t="shared" si="28"/>
        <v>0</v>
      </c>
      <c r="R123" s="245">
        <f t="shared" si="29"/>
        <v>0</v>
      </c>
      <c r="S123" s="68">
        <f t="shared" si="42"/>
        <v>0</v>
      </c>
      <c r="T123" s="68">
        <f t="shared" si="43"/>
        <v>52329.824277824446</v>
      </c>
      <c r="U123" s="68">
        <f t="shared" si="30"/>
        <v>1088733.8631454101</v>
      </c>
      <c r="V123" s="286">
        <f t="shared" si="31"/>
        <v>141</v>
      </c>
      <c r="W123" s="245">
        <f t="shared" si="32"/>
        <v>7721.5167598965254</v>
      </c>
      <c r="X123" s="237"/>
      <c r="Y123" s="245">
        <f t="shared" si="33"/>
        <v>1410000</v>
      </c>
      <c r="Z123" s="245">
        <f t="shared" si="34"/>
        <v>0</v>
      </c>
      <c r="AA123" s="245">
        <f t="shared" si="44"/>
        <v>1410000</v>
      </c>
      <c r="AB123" s="245">
        <v>1625765.1266752363</v>
      </c>
      <c r="AC123" s="245">
        <f t="shared" si="45"/>
        <v>215765.12667523627</v>
      </c>
      <c r="AD123" s="245">
        <f t="shared" si="46"/>
        <v>89902.13611468178</v>
      </c>
      <c r="AE123" s="245">
        <f t="shared" si="47"/>
        <v>125862.99056055451</v>
      </c>
      <c r="AF123" s="245">
        <f t="shared" si="48"/>
        <v>215765.12667523627</v>
      </c>
      <c r="AG123" s="245">
        <f t="shared" si="35"/>
        <v>0</v>
      </c>
      <c r="AH123" s="245">
        <f t="shared" si="36"/>
        <v>0</v>
      </c>
      <c r="AI123" s="245">
        <f t="shared" si="49"/>
        <v>0</v>
      </c>
      <c r="AJ123" s="245">
        <f t="shared" si="50"/>
        <v>215765.12667523627</v>
      </c>
      <c r="AK123" s="287"/>
      <c r="AL123" s="245">
        <f t="shared" si="51"/>
        <v>1625765.1266752363</v>
      </c>
      <c r="AM123" s="247" t="s">
        <v>207</v>
      </c>
      <c r="AN123" s="247"/>
    </row>
    <row r="124" spans="1:40" ht="13" x14ac:dyDescent="0.3">
      <c r="A124" s="244">
        <v>9257015</v>
      </c>
      <c r="B124" s="237" t="s">
        <v>217</v>
      </c>
      <c r="C124" s="267">
        <v>6</v>
      </c>
      <c r="D124" s="245">
        <f t="shared" si="20"/>
        <v>29875.568123471203</v>
      </c>
      <c r="E124" s="245">
        <f t="shared" si="21"/>
        <v>41825.795372859684</v>
      </c>
      <c r="F124" s="68">
        <f t="shared" si="37"/>
        <v>71701.363496330887</v>
      </c>
      <c r="G124" s="245">
        <f t="shared" si="22"/>
        <v>690125.62365218473</v>
      </c>
      <c r="H124" s="245">
        <f t="shared" si="23"/>
        <v>966175.87311305874</v>
      </c>
      <c r="I124" s="68">
        <f t="shared" si="38"/>
        <v>1656301.4967652434</v>
      </c>
      <c r="J124" s="245">
        <f t="shared" si="24"/>
        <v>45410.863547676221</v>
      </c>
      <c r="K124" s="245">
        <f t="shared" si="25"/>
        <v>90821.727095352442</v>
      </c>
      <c r="L124" s="68">
        <f t="shared" si="39"/>
        <v>136232.59064302867</v>
      </c>
      <c r="M124" s="68">
        <f t="shared" si="40"/>
        <v>1792534.0874082721</v>
      </c>
      <c r="N124" s="245">
        <f t="shared" si="26"/>
        <v>17071.143583044573</v>
      </c>
      <c r="O124" s="245">
        <f t="shared" si="27"/>
        <v>23899.601016262404</v>
      </c>
      <c r="P124" s="68">
        <f t="shared" si="41"/>
        <v>40970.744599306978</v>
      </c>
      <c r="Q124" s="245">
        <f t="shared" si="28"/>
        <v>1076.6862342833092</v>
      </c>
      <c r="R124" s="245">
        <f t="shared" si="29"/>
        <v>2153.3724685666184</v>
      </c>
      <c r="S124" s="68">
        <f t="shared" si="42"/>
        <v>3230.0587028499276</v>
      </c>
      <c r="T124" s="68">
        <f t="shared" si="43"/>
        <v>44200.803302156906</v>
      </c>
      <c r="U124" s="68">
        <f t="shared" si="30"/>
        <v>1908436.2542067599</v>
      </c>
      <c r="V124" s="286">
        <f t="shared" si="31"/>
        <v>260</v>
      </c>
      <c r="W124" s="245">
        <f t="shared" si="32"/>
        <v>7340.139439256769</v>
      </c>
      <c r="X124" s="237"/>
      <c r="Y124" s="245">
        <f t="shared" si="33"/>
        <v>2410000</v>
      </c>
      <c r="Z124" s="245">
        <f t="shared" si="34"/>
        <v>190000</v>
      </c>
      <c r="AA124" s="245">
        <f t="shared" si="44"/>
        <v>2600000</v>
      </c>
      <c r="AB124" s="245">
        <v>2665569.4777302803</v>
      </c>
      <c r="AC124" s="245">
        <f t="shared" si="45"/>
        <v>65569.477730280254</v>
      </c>
      <c r="AD124" s="245">
        <f t="shared" si="46"/>
        <v>25324.109187496026</v>
      </c>
      <c r="AE124" s="245">
        <f t="shared" si="47"/>
        <v>35453.752862494432</v>
      </c>
      <c r="AF124" s="245">
        <f t="shared" si="48"/>
        <v>60777.862049990457</v>
      </c>
      <c r="AG124" s="245">
        <f t="shared" si="35"/>
        <v>1597.2052267632346</v>
      </c>
      <c r="AH124" s="245">
        <f t="shared" si="36"/>
        <v>3194.4104535264692</v>
      </c>
      <c r="AI124" s="245">
        <f t="shared" si="49"/>
        <v>4791.615680289704</v>
      </c>
      <c r="AJ124" s="245">
        <f t="shared" si="50"/>
        <v>65569.477730280167</v>
      </c>
      <c r="AK124" s="287"/>
      <c r="AL124" s="245">
        <f t="shared" si="51"/>
        <v>2665569.4777302803</v>
      </c>
      <c r="AM124" s="247" t="s">
        <v>207</v>
      </c>
      <c r="AN124" s="247"/>
    </row>
    <row r="125" spans="1:40" ht="13" x14ac:dyDescent="0.3">
      <c r="A125" s="244">
        <v>9257016</v>
      </c>
      <c r="B125" s="237" t="s">
        <v>219</v>
      </c>
      <c r="C125" s="267">
        <v>7</v>
      </c>
      <c r="D125" s="245">
        <f t="shared" si="20"/>
        <v>0</v>
      </c>
      <c r="E125" s="245">
        <f t="shared" si="21"/>
        <v>0</v>
      </c>
      <c r="F125" s="68">
        <f t="shared" si="37"/>
        <v>0</v>
      </c>
      <c r="G125" s="245">
        <f t="shared" si="22"/>
        <v>333053.08543802291</v>
      </c>
      <c r="H125" s="245">
        <f t="shared" si="23"/>
        <v>466274.3196132321</v>
      </c>
      <c r="I125" s="68">
        <f t="shared" si="38"/>
        <v>799327.40505125502</v>
      </c>
      <c r="J125" s="245">
        <f t="shared" si="24"/>
        <v>182125.23153066565</v>
      </c>
      <c r="K125" s="245">
        <f t="shared" si="25"/>
        <v>364250.46306133131</v>
      </c>
      <c r="L125" s="68">
        <f t="shared" si="39"/>
        <v>546375.69459199696</v>
      </c>
      <c r="M125" s="68">
        <f t="shared" si="40"/>
        <v>1345703.0996432519</v>
      </c>
      <c r="N125" s="245">
        <f t="shared" si="26"/>
        <v>0</v>
      </c>
      <c r="O125" s="245">
        <f t="shared" si="27"/>
        <v>0</v>
      </c>
      <c r="P125" s="68">
        <f t="shared" si="41"/>
        <v>0</v>
      </c>
      <c r="Q125" s="245">
        <f t="shared" si="28"/>
        <v>0</v>
      </c>
      <c r="R125" s="245">
        <f t="shared" si="29"/>
        <v>0</v>
      </c>
      <c r="S125" s="68">
        <f t="shared" si="42"/>
        <v>0</v>
      </c>
      <c r="T125" s="68">
        <f t="shared" si="43"/>
        <v>0</v>
      </c>
      <c r="U125" s="68">
        <f t="shared" si="30"/>
        <v>1345703.0996432519</v>
      </c>
      <c r="V125" s="286">
        <f t="shared" si="31"/>
        <v>133</v>
      </c>
      <c r="W125" s="245">
        <f t="shared" si="32"/>
        <v>10118.068418370314</v>
      </c>
      <c r="X125" s="237"/>
      <c r="Y125" s="245">
        <f t="shared" si="33"/>
        <v>790000</v>
      </c>
      <c r="Z125" s="245">
        <f t="shared" si="34"/>
        <v>540000</v>
      </c>
      <c r="AA125" s="245">
        <f t="shared" si="44"/>
        <v>1330000</v>
      </c>
      <c r="AB125" s="245">
        <v>2208605.2930524093</v>
      </c>
      <c r="AC125" s="245">
        <f t="shared" si="45"/>
        <v>878605.29305240931</v>
      </c>
      <c r="AD125" s="245">
        <f t="shared" si="46"/>
        <v>217449.30498477549</v>
      </c>
      <c r="AE125" s="245">
        <f t="shared" si="47"/>
        <v>304429.0269786857</v>
      </c>
      <c r="AF125" s="245">
        <f t="shared" si="48"/>
        <v>521878.33196346118</v>
      </c>
      <c r="AG125" s="245">
        <f t="shared" si="35"/>
        <v>118908.98702964939</v>
      </c>
      <c r="AH125" s="245">
        <f t="shared" si="36"/>
        <v>237817.97405929878</v>
      </c>
      <c r="AI125" s="245">
        <f t="shared" si="49"/>
        <v>356726.96108894818</v>
      </c>
      <c r="AJ125" s="245">
        <f t="shared" si="50"/>
        <v>878605.29305240931</v>
      </c>
      <c r="AK125" s="287"/>
      <c r="AL125" s="245">
        <f t="shared" si="51"/>
        <v>2208605.2930524093</v>
      </c>
      <c r="AM125" s="247" t="s">
        <v>207</v>
      </c>
      <c r="AN125" s="247"/>
    </row>
    <row r="126" spans="1:40" x14ac:dyDescent="0.25">
      <c r="V126" s="288"/>
    </row>
    <row r="127" spans="1:40" ht="13" thickBot="1" x14ac:dyDescent="0.3">
      <c r="D127" s="250">
        <f>SUM(D108:D125)</f>
        <v>180753.80765112207</v>
      </c>
      <c r="E127" s="250">
        <f t="shared" ref="E127:S127" si="52">SUM(E108:E125)</f>
        <v>253055.33071157092</v>
      </c>
      <c r="F127" s="250">
        <f t="shared" si="52"/>
        <v>433809.1383626929</v>
      </c>
      <c r="G127" s="250">
        <f t="shared" si="52"/>
        <v>5137310.7910022177</v>
      </c>
      <c r="H127" s="250">
        <f t="shared" si="52"/>
        <v>7226336.8342642207</v>
      </c>
      <c r="I127" s="250">
        <f t="shared" si="52"/>
        <v>12363647.625266438</v>
      </c>
      <c r="J127" s="250">
        <f t="shared" si="52"/>
        <v>578995.6497096339</v>
      </c>
      <c r="K127" s="250">
        <f t="shared" si="52"/>
        <v>1157991.2994192678</v>
      </c>
      <c r="L127" s="250">
        <f t="shared" si="52"/>
        <v>1736986.9491289018</v>
      </c>
      <c r="M127" s="250">
        <f t="shared" si="52"/>
        <v>14100634.57439534</v>
      </c>
      <c r="N127" s="250">
        <f t="shared" si="52"/>
        <v>446477.95578299597</v>
      </c>
      <c r="O127" s="250">
        <f t="shared" si="52"/>
        <v>632754.69443959836</v>
      </c>
      <c r="P127" s="250">
        <f t="shared" si="52"/>
        <v>1079232.6502225942</v>
      </c>
      <c r="Q127" s="250">
        <f t="shared" si="52"/>
        <v>19073.433818866582</v>
      </c>
      <c r="R127" s="250">
        <f t="shared" si="52"/>
        <v>38146.867637733165</v>
      </c>
      <c r="S127" s="250">
        <f t="shared" si="52"/>
        <v>57220.301456599751</v>
      </c>
      <c r="T127" s="250">
        <f>SUM(T108:T125)</f>
        <v>1136452.9516791939</v>
      </c>
      <c r="U127" s="250">
        <f>SUM(U108:U125)</f>
        <v>15670896.664437227</v>
      </c>
      <c r="V127" s="251">
        <f>SUM(V108:V125)</f>
        <v>1653.9166666666667</v>
      </c>
      <c r="W127" s="250">
        <f>AVERAGE(W108:W125)</f>
        <v>10284.921004300575</v>
      </c>
    </row>
  </sheetData>
  <sheetProtection password="C462" sheet="1" objects="1" scenarios="1"/>
  <mergeCells count="16">
    <mergeCell ref="P4:Q4"/>
    <mergeCell ref="AL106:AL107"/>
    <mergeCell ref="D106:F106"/>
    <mergeCell ref="G106:I106"/>
    <mergeCell ref="J106:L106"/>
    <mergeCell ref="N106:P106"/>
    <mergeCell ref="Q106:S106"/>
    <mergeCell ref="U7:W10"/>
    <mergeCell ref="M70:N70"/>
    <mergeCell ref="P48:Q48"/>
    <mergeCell ref="M26:N26"/>
    <mergeCell ref="U2:W2"/>
    <mergeCell ref="U3:W3"/>
    <mergeCell ref="S1:S4"/>
    <mergeCell ref="U1:W1"/>
    <mergeCell ref="U4:W4"/>
  </mergeCells>
  <pageMargins left="0.39370078740157483" right="0.39370078740157483" top="0.98425196850393704" bottom="0.98425196850393704" header="0.51181102362204722" footer="0.51181102362204722"/>
  <pageSetup paperSize="8" scale="40" orientation="landscape" r:id="rId1"/>
  <headerFooter alignWithMargins="0">
    <oddFooter>&amp;F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rgb="FF00B050"/>
    <pageSetUpPr fitToPage="1"/>
  </sheetPr>
  <dimension ref="A1:AK34"/>
  <sheetViews>
    <sheetView zoomScale="85" zoomScaleNormal="100" workbookViewId="0">
      <pane xSplit="2" topLeftCell="C1" activePane="topRight" state="frozen"/>
      <selection activeCell="B1" sqref="B1"/>
      <selection pane="topRight" activeCell="E15" sqref="E15"/>
    </sheetView>
  </sheetViews>
  <sheetFormatPr defaultColWidth="10.26953125" defaultRowHeight="12.5" x14ac:dyDescent="0.25"/>
  <cols>
    <col min="1" max="1" width="10.26953125" style="29"/>
    <col min="2" max="2" width="31.54296875" style="29" customWidth="1"/>
    <col min="3" max="3" width="6.1796875" style="29" customWidth="1"/>
    <col min="4" max="7" width="15.7265625" style="30" customWidth="1"/>
    <col min="8" max="10" width="15.7265625" style="29" customWidth="1"/>
    <col min="11" max="11" width="15.7265625" style="30" customWidth="1"/>
    <col min="12" max="12" width="17.26953125" style="29" customWidth="1"/>
    <col min="13" max="13" width="10.26953125" style="30" customWidth="1"/>
    <col min="14" max="14" width="0.81640625" style="29" customWidth="1"/>
    <col min="15" max="15" width="10.26953125" style="31" customWidth="1"/>
    <col min="16" max="16" width="11.81640625" style="30" bestFit="1" customWidth="1"/>
    <col min="17" max="17" width="10.26953125" style="30"/>
    <col min="18" max="19" width="10.26953125" style="29"/>
    <col min="20" max="21" width="9.54296875" style="30" customWidth="1"/>
    <col min="22" max="23" width="10.26953125" style="30"/>
    <col min="24" max="24" width="10.26953125" style="29"/>
    <col min="25" max="25" width="11.26953125" style="29" bestFit="1" customWidth="1"/>
    <col min="26" max="33" width="10.26953125" style="29"/>
    <col min="34" max="34" width="11.26953125" style="29" bestFit="1" customWidth="1"/>
    <col min="35" max="16384" width="10.26953125" style="29"/>
  </cols>
  <sheetData>
    <row r="1" spans="1:37" ht="17.5" x14ac:dyDescent="0.35">
      <c r="A1" s="36"/>
      <c r="B1" s="33" t="s">
        <v>428</v>
      </c>
      <c r="C1" s="36"/>
      <c r="D1" s="234"/>
      <c r="E1" s="234"/>
      <c r="F1" s="234"/>
      <c r="G1" s="234"/>
      <c r="H1" s="36"/>
      <c r="I1" s="36"/>
      <c r="J1" s="36"/>
      <c r="K1" s="234"/>
      <c r="L1" s="36"/>
      <c r="M1" s="234"/>
      <c r="N1" s="36"/>
      <c r="O1" s="235"/>
      <c r="P1" s="234"/>
      <c r="Q1" s="234"/>
      <c r="R1" s="36"/>
      <c r="S1" s="36"/>
      <c r="T1" s="234"/>
      <c r="U1" s="234"/>
      <c r="V1" s="234"/>
      <c r="W1" s="234"/>
      <c r="X1" s="36"/>
      <c r="Y1" s="36"/>
      <c r="Z1" s="36"/>
      <c r="AA1" s="36"/>
      <c r="AB1" s="36"/>
      <c r="AC1" s="36"/>
      <c r="AD1" s="36"/>
      <c r="AE1" s="36"/>
      <c r="AF1" s="36"/>
      <c r="AG1" s="36"/>
      <c r="AH1" s="36"/>
      <c r="AI1" s="36"/>
      <c r="AJ1" s="36"/>
      <c r="AK1" s="36"/>
    </row>
    <row r="2" spans="1:37" x14ac:dyDescent="0.25">
      <c r="A2" s="36"/>
      <c r="B2" s="36"/>
      <c r="C2" s="36"/>
      <c r="D2" s="234"/>
      <c r="E2" s="234"/>
      <c r="F2" s="234"/>
      <c r="G2" s="234"/>
      <c r="H2" s="36"/>
      <c r="I2" s="36"/>
      <c r="J2" s="36"/>
      <c r="K2" s="234"/>
      <c r="L2" s="36"/>
      <c r="M2" s="234"/>
      <c r="N2" s="36"/>
      <c r="O2" s="235"/>
      <c r="P2" s="234"/>
      <c r="Q2" s="234"/>
      <c r="R2" s="36"/>
      <c r="S2" s="36"/>
      <c r="T2" s="234"/>
      <c r="U2" s="234"/>
      <c r="V2" s="234"/>
      <c r="W2" s="234"/>
      <c r="X2" s="1490" t="s">
        <v>429</v>
      </c>
      <c r="Y2" s="1490"/>
      <c r="Z2" s="1490"/>
      <c r="AA2" s="36"/>
      <c r="AB2" s="36"/>
      <c r="AC2" s="36"/>
      <c r="AD2" s="36"/>
      <c r="AE2" s="36"/>
      <c r="AF2" s="36"/>
      <c r="AG2" s="36"/>
      <c r="AH2" s="36"/>
      <c r="AI2" s="36"/>
      <c r="AJ2" s="36"/>
      <c r="AK2" s="36"/>
    </row>
    <row r="3" spans="1:37" ht="39" customHeight="1" x14ac:dyDescent="0.3">
      <c r="A3" s="236" t="s">
        <v>182</v>
      </c>
      <c r="B3" s="237" t="s">
        <v>183</v>
      </c>
      <c r="C3" s="238" t="s">
        <v>184</v>
      </c>
      <c r="D3" s="239" t="s">
        <v>58</v>
      </c>
      <c r="E3" s="240" t="s">
        <v>59</v>
      </c>
      <c r="F3" s="238" t="s">
        <v>147</v>
      </c>
      <c r="G3" s="238" t="s">
        <v>185</v>
      </c>
      <c r="H3" s="238" t="s">
        <v>103</v>
      </c>
      <c r="I3" s="241" t="s">
        <v>187</v>
      </c>
      <c r="J3" s="241" t="s">
        <v>188</v>
      </c>
      <c r="K3" s="238" t="s">
        <v>189</v>
      </c>
      <c r="L3" s="241" t="s">
        <v>190</v>
      </c>
      <c r="M3" s="241" t="s">
        <v>430</v>
      </c>
      <c r="N3" s="36"/>
      <c r="O3" s="241" t="s">
        <v>192</v>
      </c>
      <c r="P3" s="242" t="s">
        <v>193</v>
      </c>
      <c r="Q3" s="242" t="s">
        <v>194</v>
      </c>
      <c r="R3" s="242" t="s">
        <v>195</v>
      </c>
      <c r="S3" s="242" t="s">
        <v>431</v>
      </c>
      <c r="T3" s="241" t="s">
        <v>197</v>
      </c>
      <c r="U3" s="241" t="s">
        <v>432</v>
      </c>
      <c r="V3" s="241" t="s">
        <v>198</v>
      </c>
      <c r="W3" s="96" t="s">
        <v>199</v>
      </c>
      <c r="X3" s="241" t="s">
        <v>295</v>
      </c>
      <c r="Y3" s="241" t="s">
        <v>267</v>
      </c>
      <c r="Z3" s="96" t="s">
        <v>296</v>
      </c>
      <c r="AA3" s="241" t="s">
        <v>297</v>
      </c>
      <c r="AB3" s="241" t="s">
        <v>298</v>
      </c>
      <c r="AC3" s="241" t="s">
        <v>433</v>
      </c>
      <c r="AD3" s="241" t="s">
        <v>300</v>
      </c>
      <c r="AE3" s="241" t="s">
        <v>301</v>
      </c>
      <c r="AF3" s="241" t="s">
        <v>434</v>
      </c>
      <c r="AG3" s="96" t="s">
        <v>303</v>
      </c>
      <c r="AH3" s="241" t="s">
        <v>435</v>
      </c>
      <c r="AI3" s="1166" t="s">
        <v>200</v>
      </c>
      <c r="AJ3" s="1166" t="s">
        <v>201</v>
      </c>
      <c r="AK3" s="1166" t="s">
        <v>202</v>
      </c>
    </row>
    <row r="4" spans="1:37" ht="13" x14ac:dyDescent="0.3">
      <c r="A4" s="244">
        <v>9257010</v>
      </c>
      <c r="B4" s="237" t="s">
        <v>205</v>
      </c>
      <c r="C4" s="1186">
        <v>3</v>
      </c>
      <c r="D4" s="245">
        <f>'Funding Model'!$D$22</f>
        <v>314686.51772419503</v>
      </c>
      <c r="E4" s="245">
        <f>'Funding Model'!$E$22</f>
        <v>69201.680689977453</v>
      </c>
      <c r="F4" s="245"/>
      <c r="G4" s="245"/>
      <c r="H4" s="245">
        <f>VLOOKUP(A4,'Band Calculations 1415'!A106:L124,10,FALSE)</f>
        <v>437110.40150755062</v>
      </c>
      <c r="I4" s="245">
        <v>4018.5</v>
      </c>
      <c r="J4" s="245">
        <v>616.77824313180849</v>
      </c>
      <c r="K4" s="245">
        <f t="shared" ref="K4:K15" si="0">SUM(D4:J4)</f>
        <v>825633.87816485495</v>
      </c>
      <c r="L4" s="245">
        <f t="shared" ref="L4:L15" si="1">K4-F4</f>
        <v>825633.87816485495</v>
      </c>
      <c r="M4" s="246">
        <f>VLOOKUP(A4,'Band Calculations 1415'!$A$106:$L$124,12,FALSE)</f>
        <v>43.75</v>
      </c>
      <c r="N4" s="36"/>
      <c r="O4" s="242">
        <f>L4/M4</f>
        <v>18871.631500910971</v>
      </c>
      <c r="P4" s="242">
        <f>M4*10000</f>
        <v>437500</v>
      </c>
      <c r="Q4" s="242">
        <f>O4-10000</f>
        <v>8871.6315009109712</v>
      </c>
      <c r="R4" s="245">
        <f>VLOOKUP(A4,'2013-14 Funding (4)'!$1:$1048576,31,FALSE)</f>
        <v>8721.7581913268041</v>
      </c>
      <c r="S4" s="245">
        <f>IF(Q4&gt;R4,(Q4),(R4))</f>
        <v>8871.6315009109712</v>
      </c>
      <c r="T4" s="245">
        <f>10000+S4</f>
        <v>18871.631500910971</v>
      </c>
      <c r="U4" s="245">
        <f>T4-11164</f>
        <v>7707.6315009109712</v>
      </c>
      <c r="V4" s="245">
        <f t="shared" ref="V4:V10" si="2">(S4-Q4)*M4</f>
        <v>0</v>
      </c>
      <c r="W4" s="68">
        <f>L4+V4</f>
        <v>825633.87816485495</v>
      </c>
      <c r="X4" s="245">
        <f>VLOOKUP(A4,'Band Calculations 1415'!$A$106:$O$124,13,FALSE)</f>
        <v>344166.66666666669</v>
      </c>
      <c r="Y4" s="245">
        <f>VLOOKUP(A4,'Band Calculations 1415'!$A$106:$O$124,14,FALSE)</f>
        <v>96437.333333333314</v>
      </c>
      <c r="Z4" s="68">
        <f>VLOOKUP(A4,'Band Calculations 1415'!$A$106:$O$124,15,FALSE)</f>
        <v>440604</v>
      </c>
      <c r="AA4" s="245">
        <f>VLOOKUP(A4,'Band Calculations 1415'!$A$106:$U$124,18,FALSE)</f>
        <v>129377.959388285</v>
      </c>
      <c r="AB4" s="245">
        <f>VLOOKUP(A4,'Band Calculations 1415'!$A$106:$U$124,19,FALSE)</f>
        <v>175954.02476806761</v>
      </c>
      <c r="AC4" s="245">
        <f>SUM(AA4:AB4)</f>
        <v>305331.98415635258</v>
      </c>
      <c r="AD4" s="245">
        <f>VLOOKUP(A4,'Band Calculations 1415'!$A$106:$U$124,20,FALSE)</f>
        <v>20553.684002429258</v>
      </c>
      <c r="AE4" s="245">
        <f>VLOOKUP(A4,'Band Calculations 1415'!$A$106:$U$124,21,FALSE)</f>
        <v>59144.210006073146</v>
      </c>
      <c r="AF4" s="245">
        <f>SUM(AD4:AE4)</f>
        <v>79697.894008502408</v>
      </c>
      <c r="AG4" s="68">
        <f>AC4+AF4</f>
        <v>385029.87816485501</v>
      </c>
      <c r="AH4" s="245">
        <f t="shared" ref="AH4:AH15" si="3">Z4+AG4</f>
        <v>825633.87816485506</v>
      </c>
      <c r="AI4" s="245">
        <f>AH4*98.5%</f>
        <v>813249.36999238224</v>
      </c>
      <c r="AJ4" s="245">
        <f>AI4/M4</f>
        <v>18588.55702839731</v>
      </c>
      <c r="AK4" s="245">
        <f>AJ4-10000</f>
        <v>8588.5570283973102</v>
      </c>
    </row>
    <row r="5" spans="1:37" ht="13" x14ac:dyDescent="0.3">
      <c r="A5" s="244">
        <v>9257005</v>
      </c>
      <c r="B5" s="237" t="s">
        <v>208</v>
      </c>
      <c r="C5" s="1187">
        <v>4</v>
      </c>
      <c r="D5" s="69">
        <f>'Funding Model'!D23</f>
        <v>405763.82046267512</v>
      </c>
      <c r="E5" s="69">
        <f>'Funding Model'!E23</f>
        <v>88790.687513148558</v>
      </c>
      <c r="F5" s="245"/>
      <c r="G5" s="245"/>
      <c r="H5" s="245">
        <f>VLOOKUP(A5,'Band Calculations 1415'!A107:L125,10,FALSE)</f>
        <v>696241.32800311828</v>
      </c>
      <c r="I5" s="122">
        <v>11163</v>
      </c>
      <c r="J5" s="245">
        <v>675.74486784427756</v>
      </c>
      <c r="K5" s="245">
        <f t="shared" si="0"/>
        <v>1202634.5808467863</v>
      </c>
      <c r="L5" s="245">
        <f t="shared" si="1"/>
        <v>1202634.5808467863</v>
      </c>
      <c r="M5" s="246">
        <f>VLOOKUP(A5,'Band Calculations 1415'!$A$106:$L$124,12,FALSE)</f>
        <v>71.5</v>
      </c>
      <c r="N5" s="36"/>
      <c r="O5" s="242">
        <f t="shared" ref="O5:O23" si="4">L5/M5</f>
        <v>16820.064067787222</v>
      </c>
      <c r="P5" s="242">
        <f t="shared" ref="P5:P23" si="5">M5*10000</f>
        <v>715000</v>
      </c>
      <c r="Q5" s="242">
        <f t="shared" ref="Q5:Q23" si="6">O5-10000</f>
        <v>6820.0640677872216</v>
      </c>
      <c r="R5" s="245">
        <f>VLOOKUP(A5,'2013-14 Funding (4)'!$1:$1048576,31,FALSE)</f>
        <v>5052.3683494301767</v>
      </c>
      <c r="S5" s="245">
        <f>IF(Q5&gt;R5,(Q5),(R5))</f>
        <v>6820.0640677872216</v>
      </c>
      <c r="T5" s="245">
        <f t="shared" ref="T5:T23" si="7">10000+S5</f>
        <v>16820.064067787222</v>
      </c>
      <c r="U5" s="245">
        <f t="shared" ref="U5:U23" si="8">T5-11164</f>
        <v>5656.0640677872216</v>
      </c>
      <c r="V5" s="245">
        <f t="shared" si="2"/>
        <v>0</v>
      </c>
      <c r="W5" s="68">
        <f t="shared" ref="W5:W23" si="9">L5+V5</f>
        <v>1202634.5808467863</v>
      </c>
      <c r="X5" s="245">
        <f>VLOOKUP(A5,'Band Calculations 1415'!$A$106:$O$124,13,FALSE)</f>
        <v>438333.33333333337</v>
      </c>
      <c r="Y5" s="245">
        <f>VLOOKUP(A5,'Band Calculations 1415'!$A$106:$O$124,14,FALSE)</f>
        <v>286366.66666666663</v>
      </c>
      <c r="Z5" s="68">
        <f>VLOOKUP(A5,'Band Calculations 1415'!$A$106:$O$124,15,FALSE)</f>
        <v>724700</v>
      </c>
      <c r="AA5" s="245">
        <f>VLOOKUP(A5,'Band Calculations 1415'!$A$106:$U$124,18,FALSE)</f>
        <v>107984.34773996435</v>
      </c>
      <c r="AB5" s="245">
        <f>VLOOKUP(A5,'Band Calculations 1415'!$A$106:$U$124,19,FALSE)</f>
        <v>190961.7938980422</v>
      </c>
      <c r="AC5" s="245">
        <f t="shared" ref="AC5:AC23" si="10">SUM(AA5:AB5)</f>
        <v>298946.14163800655</v>
      </c>
      <c r="AD5" s="245">
        <f>VLOOKUP(A5,'Band Calculations 1415'!$A$106:$U$124,20,FALSE)</f>
        <v>47133.86723156018</v>
      </c>
      <c r="AE5" s="245">
        <f>VLOOKUP(A5,'Band Calculations 1415'!$A$106:$U$124,21,FALSE)</f>
        <v>131854.5719772196</v>
      </c>
      <c r="AF5" s="245">
        <f t="shared" ref="AF5:AF23" si="11">SUM(AD5:AE5)</f>
        <v>178988.43920877978</v>
      </c>
      <c r="AG5" s="68">
        <f t="shared" ref="AG5:AG23" si="12">AC5+AF5</f>
        <v>477934.58084678632</v>
      </c>
      <c r="AH5" s="245">
        <f t="shared" si="3"/>
        <v>1202634.5808467863</v>
      </c>
      <c r="AI5" s="245">
        <f t="shared" ref="AI5:AI23" si="13">AH5*98.5%</f>
        <v>1184595.0621340845</v>
      </c>
      <c r="AJ5" s="245">
        <f t="shared" ref="AJ5:AJ23" si="14">AI5/M5</f>
        <v>16567.763106770413</v>
      </c>
      <c r="AK5" s="245">
        <f t="shared" ref="AK5:AK23" si="15">AJ5-10000</f>
        <v>6567.7631067704133</v>
      </c>
    </row>
    <row r="6" spans="1:37" ht="13" x14ac:dyDescent="0.3">
      <c r="A6" s="244">
        <v>9257025</v>
      </c>
      <c r="B6" s="237" t="s">
        <v>209</v>
      </c>
      <c r="C6" s="1187">
        <v>4</v>
      </c>
      <c r="D6" s="69">
        <f>'Funding Model'!D23</f>
        <v>405763.82046267512</v>
      </c>
      <c r="E6" s="69">
        <f>'Funding Model'!E23</f>
        <v>88790.687513148558</v>
      </c>
      <c r="F6" s="245"/>
      <c r="G6" s="245"/>
      <c r="H6" s="245">
        <f>VLOOKUP(A6,'Band Calculations 1415'!A108:L126,10,FALSE)</f>
        <v>631326.58477469324</v>
      </c>
      <c r="I6" s="245">
        <v>6251</v>
      </c>
      <c r="J6" s="245">
        <v>646.26155548804309</v>
      </c>
      <c r="K6" s="245">
        <f t="shared" si="0"/>
        <v>1132778.3543060049</v>
      </c>
      <c r="L6" s="245">
        <f t="shared" si="1"/>
        <v>1132778.3543060049</v>
      </c>
      <c r="M6" s="246">
        <f>VLOOKUP(A6,'Band Calculations 1415'!$A$106:$L$124,12,FALSE)</f>
        <v>62.333333333333329</v>
      </c>
      <c r="N6" s="36"/>
      <c r="O6" s="242">
        <f t="shared" si="4"/>
        <v>18172.914774962646</v>
      </c>
      <c r="P6" s="242">
        <f t="shared" si="5"/>
        <v>623333.33333333326</v>
      </c>
      <c r="Q6" s="242">
        <f t="shared" si="6"/>
        <v>8172.9147749626463</v>
      </c>
      <c r="R6" s="1188">
        <f>VLOOKUP(A6,'2013-14 Funding (4)'!$1:$1048576,31,FALSE)</f>
        <v>8977.6597916040373</v>
      </c>
      <c r="S6" s="245">
        <f t="shared" ref="S6:S23" si="16">IF(Q6&gt;R6,(Q6),(R6))</f>
        <v>8977.6597916040373</v>
      </c>
      <c r="T6" s="245">
        <f t="shared" si="7"/>
        <v>18977.659791604037</v>
      </c>
      <c r="U6" s="245">
        <f t="shared" si="8"/>
        <v>7813.6597916040373</v>
      </c>
      <c r="V6" s="245">
        <f t="shared" si="2"/>
        <v>50162.439370646702</v>
      </c>
      <c r="W6" s="68">
        <f t="shared" si="9"/>
        <v>1182940.7936766515</v>
      </c>
      <c r="X6" s="245">
        <f>VLOOKUP(A6,'Band Calculations 1415'!$A$106:$O$124,13,FALSE)</f>
        <v>490000.00000000006</v>
      </c>
      <c r="Y6" s="245">
        <f>VLOOKUP(A6,'Band Calculations 1415'!$A$106:$O$124,14,FALSE)</f>
        <v>138765.33333333331</v>
      </c>
      <c r="Z6" s="68">
        <f>VLOOKUP(A6,'Band Calculations 1415'!$A$106:$O$124,15,FALSE)</f>
        <v>628765.33333333337</v>
      </c>
      <c r="AA6" s="245">
        <f>VLOOKUP(A6,'Band Calculations 1415'!$A$106:$U$124,18,FALSE)</f>
        <v>183293.88741191576</v>
      </c>
      <c r="AB6" s="245">
        <f>VLOOKUP(A6,'Band Calculations 1415'!$A$106:$U$124,19,FALSE)</f>
        <v>256611.44237668207</v>
      </c>
      <c r="AC6" s="245">
        <f t="shared" si="10"/>
        <v>439905.32978859782</v>
      </c>
      <c r="AD6" s="245">
        <f>VLOOKUP(A6,'Band Calculations 1415'!$A$106:$U$124,20,FALSE)</f>
        <v>36463.745694152174</v>
      </c>
      <c r="AE6" s="245">
        <f>VLOOKUP(A6,'Band Calculations 1415'!$A$106:$U$124,21,FALSE)</f>
        <v>77806.384860568331</v>
      </c>
      <c r="AF6" s="245">
        <f t="shared" si="11"/>
        <v>114270.1305547205</v>
      </c>
      <c r="AG6" s="68">
        <f t="shared" si="12"/>
        <v>554175.46034331829</v>
      </c>
      <c r="AH6" s="245">
        <f t="shared" si="3"/>
        <v>1182940.7936766515</v>
      </c>
      <c r="AI6" s="245">
        <f t="shared" si="13"/>
        <v>1165196.6817715017</v>
      </c>
      <c r="AJ6" s="245">
        <f t="shared" si="14"/>
        <v>18692.994894729974</v>
      </c>
      <c r="AK6" s="245">
        <f t="shared" si="15"/>
        <v>8692.9948947299745</v>
      </c>
    </row>
    <row r="7" spans="1:37" ht="13" x14ac:dyDescent="0.3">
      <c r="A7" s="244">
        <v>9257011</v>
      </c>
      <c r="B7" s="237" t="s">
        <v>210</v>
      </c>
      <c r="C7" s="1186">
        <v>3</v>
      </c>
      <c r="D7" s="245">
        <f>'Funding Model'!$D$22</f>
        <v>314686.51772419503</v>
      </c>
      <c r="E7" s="245">
        <f>'Funding Model'!$E$22</f>
        <v>69201.680689977453</v>
      </c>
      <c r="F7" s="245"/>
      <c r="G7" s="245"/>
      <c r="H7" s="245">
        <f>VLOOKUP(A7,'Band Calculations 1415'!A109:L127,10,FALSE)</f>
        <v>445831.8265701473</v>
      </c>
      <c r="I7" s="245">
        <v>4019</v>
      </c>
      <c r="J7" s="245">
        <v>610.88158066056155</v>
      </c>
      <c r="K7" s="245">
        <f t="shared" si="0"/>
        <v>834349.9065649804</v>
      </c>
      <c r="L7" s="245">
        <f t="shared" si="1"/>
        <v>834349.9065649804</v>
      </c>
      <c r="M7" s="246">
        <f>VLOOKUP(A7,'Band Calculations 1415'!$A$106:$L$124,12,FALSE)</f>
        <v>43.416666666666664</v>
      </c>
      <c r="N7" s="36"/>
      <c r="O7" s="242">
        <f>L7/M7</f>
        <v>19217.272320114713</v>
      </c>
      <c r="P7" s="242">
        <f t="shared" si="5"/>
        <v>434166.66666666663</v>
      </c>
      <c r="Q7" s="242">
        <f t="shared" si="6"/>
        <v>9217.2723201147128</v>
      </c>
      <c r="R7" s="1188">
        <f>VLOOKUP(A7,'2013-14 Funding (4)'!$1:$1048576,31,FALSE)</f>
        <v>9718.0388217281361</v>
      </c>
      <c r="S7" s="245">
        <f t="shared" si="16"/>
        <v>9718.0388217281361</v>
      </c>
      <c r="T7" s="245">
        <f t="shared" si="7"/>
        <v>19718.038821728136</v>
      </c>
      <c r="U7" s="245">
        <f t="shared" si="8"/>
        <v>8554.0388217281361</v>
      </c>
      <c r="V7" s="245">
        <f t="shared" si="2"/>
        <v>21741.612278382796</v>
      </c>
      <c r="W7" s="68">
        <f t="shared" si="9"/>
        <v>856091.51884336316</v>
      </c>
      <c r="X7" s="245">
        <f>VLOOKUP(A7,'Band Calculations 1415'!$A$106:$O$124,13,FALSE)</f>
        <v>407500</v>
      </c>
      <c r="Y7" s="245">
        <f>VLOOKUP(A7,'Band Calculations 1415'!$A$106:$O$124,14,FALSE)</f>
        <v>27442.666666666664</v>
      </c>
      <c r="Z7" s="68">
        <f>VLOOKUP(A7,'Band Calculations 1415'!$A$106:$O$124,15,FALSE)</f>
        <v>434942.66666666669</v>
      </c>
      <c r="AA7" s="245">
        <f>VLOOKUP(A7,'Band Calculations 1415'!$A$106:$U$124,18,FALSE)</f>
        <v>157918.13085308223</v>
      </c>
      <c r="AB7" s="245">
        <f>VLOOKUP(A7,'Band Calculations 1415'!$A$106:$U$124,19,FALSE)</f>
        <v>238091.95113233931</v>
      </c>
      <c r="AC7" s="245">
        <f t="shared" si="10"/>
        <v>396010.08198542154</v>
      </c>
      <c r="AD7" s="245">
        <f>VLOOKUP(A7,'Band Calculations 1415'!$A$106:$U$124,20,FALSE)</f>
        <v>5702.6925478187577</v>
      </c>
      <c r="AE7" s="245">
        <f>VLOOKUP(A7,'Band Calculations 1415'!$A$106:$U$124,21,FALSE)</f>
        <v>19436.077643456272</v>
      </c>
      <c r="AF7" s="245">
        <f t="shared" si="11"/>
        <v>25138.770191275031</v>
      </c>
      <c r="AG7" s="68">
        <f t="shared" si="12"/>
        <v>421148.85217669659</v>
      </c>
      <c r="AH7" s="245">
        <f t="shared" si="3"/>
        <v>856091.51884336327</v>
      </c>
      <c r="AI7" s="245">
        <f t="shared" si="13"/>
        <v>843250.14606071287</v>
      </c>
      <c r="AJ7" s="245">
        <f t="shared" si="14"/>
        <v>19422.268239402216</v>
      </c>
      <c r="AK7" s="245">
        <f t="shared" si="15"/>
        <v>9422.2682394022158</v>
      </c>
    </row>
    <row r="8" spans="1:37" ht="13" x14ac:dyDescent="0.3">
      <c r="A8" s="244">
        <v>9257024</v>
      </c>
      <c r="B8" s="237" t="s">
        <v>211</v>
      </c>
      <c r="C8" s="238">
        <v>3</v>
      </c>
      <c r="D8" s="245">
        <f>'Funding Model'!$D$22</f>
        <v>314686.51772419503</v>
      </c>
      <c r="E8" s="245">
        <f>'Funding Model'!$E$22</f>
        <v>69201.680689977453</v>
      </c>
      <c r="F8" s="245"/>
      <c r="G8" s="245"/>
      <c r="H8" s="245">
        <f>VLOOKUP(A8,'Band Calculations 1415'!A110:L128,10,FALSE)</f>
        <v>492340.84343833104</v>
      </c>
      <c r="I8" s="245">
        <v>8484</v>
      </c>
      <c r="J8" s="245">
        <v>628.57156807430238</v>
      </c>
      <c r="K8" s="245">
        <f t="shared" si="0"/>
        <v>885341.61342057784</v>
      </c>
      <c r="L8" s="245">
        <f t="shared" si="1"/>
        <v>885341.61342057784</v>
      </c>
      <c r="M8" s="246">
        <f>VLOOKUP(A8,'Band Calculations 1415'!$A$106:$L$124,12,FALSE)</f>
        <v>53</v>
      </c>
      <c r="N8" s="36"/>
      <c r="O8" s="242">
        <f t="shared" si="4"/>
        <v>16704.558743784488</v>
      </c>
      <c r="P8" s="242">
        <f t="shared" si="5"/>
        <v>530000</v>
      </c>
      <c r="Q8" s="242">
        <f t="shared" si="6"/>
        <v>6704.5587437844879</v>
      </c>
      <c r="R8" s="1188">
        <f>VLOOKUP(A8,'2013-14 Funding (4)'!$1:$1048576,31,FALSE)</f>
        <v>6903.4972594331593</v>
      </c>
      <c r="S8" s="245">
        <f t="shared" si="16"/>
        <v>6903.4972594331593</v>
      </c>
      <c r="T8" s="245">
        <f t="shared" si="7"/>
        <v>16903.497259433159</v>
      </c>
      <c r="U8" s="245">
        <f t="shared" si="8"/>
        <v>5739.4972594331593</v>
      </c>
      <c r="V8" s="245">
        <f t="shared" si="2"/>
        <v>10543.741329379587</v>
      </c>
      <c r="W8" s="68">
        <f t="shared" si="9"/>
        <v>895885.35474995745</v>
      </c>
      <c r="X8" s="245">
        <f>VLOOKUP(A8,'Band Calculations 1415'!$A$106:$O$124,13,FALSE)</f>
        <v>406666.66666666669</v>
      </c>
      <c r="Y8" s="245">
        <f>VLOOKUP(A8,'Band Calculations 1415'!$A$106:$O$124,14,FALSE)</f>
        <v>127601.33333333331</v>
      </c>
      <c r="Z8" s="68">
        <f>VLOOKUP(A8,'Band Calculations 1415'!$A$106:$O$124,15,FALSE)</f>
        <v>534268</v>
      </c>
      <c r="AA8" s="245">
        <f>VLOOKUP(A8,'Band Calculations 1415'!$A$106:$U$124,18,FALSE)</f>
        <v>103552.4588914974</v>
      </c>
      <c r="AB8" s="245">
        <f>VLOOKUP(A8,'Band Calculations 1415'!$A$106:$U$124,19,FALSE)</f>
        <v>177189.76299211773</v>
      </c>
      <c r="AC8" s="245">
        <f t="shared" si="10"/>
        <v>280742.22188361513</v>
      </c>
      <c r="AD8" s="245">
        <f>VLOOKUP(A8,'Band Calculations 1415'!$A$106:$U$124,20,FALSE)</f>
        <v>21044.823284588248</v>
      </c>
      <c r="AE8" s="245">
        <f>VLOOKUP(A8,'Band Calculations 1415'!$A$106:$U$124,21,FALSE)</f>
        <v>59830.309581754052</v>
      </c>
      <c r="AF8" s="245">
        <f t="shared" si="11"/>
        <v>80875.132866342305</v>
      </c>
      <c r="AG8" s="68">
        <f t="shared" si="12"/>
        <v>361617.35474995745</v>
      </c>
      <c r="AH8" s="245">
        <f t="shared" si="3"/>
        <v>895885.35474995745</v>
      </c>
      <c r="AI8" s="245">
        <f t="shared" si="13"/>
        <v>882447.07442870806</v>
      </c>
      <c r="AJ8" s="245">
        <f t="shared" si="14"/>
        <v>16649.94480054166</v>
      </c>
      <c r="AK8" s="245">
        <f t="shared" si="15"/>
        <v>6649.9448005416598</v>
      </c>
    </row>
    <row r="9" spans="1:37" ht="13" x14ac:dyDescent="0.3">
      <c r="A9" s="244">
        <v>9257008</v>
      </c>
      <c r="B9" s="237" t="s">
        <v>212</v>
      </c>
      <c r="C9" s="1186">
        <v>3</v>
      </c>
      <c r="D9" s="245">
        <f>'Funding Model'!D22</f>
        <v>314686.51772419503</v>
      </c>
      <c r="E9" s="245">
        <f>'Funding Model'!E22</f>
        <v>69201.680689977453</v>
      </c>
      <c r="F9" s="245"/>
      <c r="G9" s="245"/>
      <c r="H9" s="245">
        <f>VLOOKUP(A9,'Band Calculations 1415'!A111:L129,10,FALSE)</f>
        <v>765221.83416529116</v>
      </c>
      <c r="I9" s="245">
        <v>9823</v>
      </c>
      <c r="J9" s="245">
        <v>737.65982379237016</v>
      </c>
      <c r="K9" s="245">
        <f t="shared" si="0"/>
        <v>1159670.692403256</v>
      </c>
      <c r="L9" s="245">
        <f t="shared" si="1"/>
        <v>1159670.692403256</v>
      </c>
      <c r="M9" s="246">
        <f>VLOOKUP(A9,'Band Calculations 1415'!$A$106:$L$124,12,FALSE)</f>
        <v>87.5</v>
      </c>
      <c r="N9" s="36"/>
      <c r="O9" s="242">
        <f t="shared" si="4"/>
        <v>13253.379341751497</v>
      </c>
      <c r="P9" s="242">
        <f t="shared" si="5"/>
        <v>875000</v>
      </c>
      <c r="Q9" s="242">
        <f t="shared" si="6"/>
        <v>3253.3793417514971</v>
      </c>
      <c r="R9" s="1188">
        <f>VLOOKUP(A9,'2013-14 Funding (4)'!$1:$1048576,31,FALSE)</f>
        <v>3836.1401036067673</v>
      </c>
      <c r="S9" s="245">
        <f t="shared" si="16"/>
        <v>3836.1401036067673</v>
      </c>
      <c r="T9" s="245">
        <f t="shared" si="7"/>
        <v>13836.140103606767</v>
      </c>
      <c r="U9" s="245">
        <f t="shared" si="8"/>
        <v>2672.1401036067673</v>
      </c>
      <c r="V9" s="245">
        <f t="shared" si="2"/>
        <v>50991.566662336139</v>
      </c>
      <c r="W9" s="68">
        <f t="shared" si="9"/>
        <v>1210662.2590655922</v>
      </c>
      <c r="X9" s="245">
        <f>VLOOKUP(A9,'Band Calculations 1415'!$A$106:$O$124,13,FALSE)</f>
        <v>875000</v>
      </c>
      <c r="Y9" s="245">
        <f>VLOOKUP(A9,'Band Calculations 1415'!$A$106:$O$124,14,FALSE)</f>
        <v>0</v>
      </c>
      <c r="Z9" s="68">
        <f>VLOOKUP(A9,'Band Calculations 1415'!$A$106:$O$124,15,FALSE)</f>
        <v>875000</v>
      </c>
      <c r="AA9" s="245">
        <f>VLOOKUP(A9,'Band Calculations 1415'!$A$106:$U$124,18,FALSE)</f>
        <v>134264.90362623686</v>
      </c>
      <c r="AB9" s="245">
        <f>VLOOKUP(A9,'Band Calculations 1415'!$A$106:$U$124,19,FALSE)</f>
        <v>201397.35543935528</v>
      </c>
      <c r="AC9" s="245">
        <f t="shared" si="10"/>
        <v>335662.25906559214</v>
      </c>
      <c r="AD9" s="245">
        <f>VLOOKUP(A9,'Band Calculations 1415'!$A$106:$U$124,20,FALSE)</f>
        <v>0</v>
      </c>
      <c r="AE9" s="245">
        <f>VLOOKUP(A9,'Band Calculations 1415'!$A$106:$U$124,21,FALSE)</f>
        <v>0</v>
      </c>
      <c r="AF9" s="245">
        <f t="shared" si="11"/>
        <v>0</v>
      </c>
      <c r="AG9" s="68">
        <f t="shared" si="12"/>
        <v>335662.25906559214</v>
      </c>
      <c r="AH9" s="245">
        <f t="shared" si="3"/>
        <v>1210662.2590655922</v>
      </c>
      <c r="AI9" s="245">
        <f t="shared" si="13"/>
        <v>1192502.3251796083</v>
      </c>
      <c r="AJ9" s="245">
        <f t="shared" si="14"/>
        <v>13628.598002052666</v>
      </c>
      <c r="AK9" s="245">
        <f t="shared" si="15"/>
        <v>3628.5980020526658</v>
      </c>
    </row>
    <row r="10" spans="1:37" ht="13" x14ac:dyDescent="0.3">
      <c r="A10" s="244">
        <v>9257002</v>
      </c>
      <c r="B10" s="237" t="s">
        <v>213</v>
      </c>
      <c r="C10" s="1186">
        <v>4</v>
      </c>
      <c r="D10" s="245">
        <f>'Funding Model'!$D$23</f>
        <v>405763.82046267512</v>
      </c>
      <c r="E10" s="245">
        <f>'Funding Model'!$E$23</f>
        <v>88790.687513148558</v>
      </c>
      <c r="F10" s="245"/>
      <c r="G10" s="245"/>
      <c r="H10" s="245">
        <f>VLOOKUP(A10,'Band Calculations 1415'!A112:L130,10,FALSE)</f>
        <v>937603.87901362218</v>
      </c>
      <c r="I10" s="245">
        <v>16521</v>
      </c>
      <c r="J10" s="245">
        <v>873.28306063104901</v>
      </c>
      <c r="K10" s="245">
        <f t="shared" si="0"/>
        <v>1449552.6700500769</v>
      </c>
      <c r="L10" s="245">
        <f t="shared" si="1"/>
        <v>1449552.6700500769</v>
      </c>
      <c r="M10" s="246">
        <f>VLOOKUP(A10,'Band Calculations 1415'!$A$106:$L$124,12,FALSE)</f>
        <v>125.33333333333334</v>
      </c>
      <c r="N10" s="36"/>
      <c r="O10" s="242">
        <f t="shared" si="4"/>
        <v>11565.579814229337</v>
      </c>
      <c r="P10" s="242">
        <f t="shared" si="5"/>
        <v>1253333.3333333335</v>
      </c>
      <c r="Q10" s="242">
        <f t="shared" si="6"/>
        <v>1565.579814229337</v>
      </c>
      <c r="R10" s="245">
        <f>VLOOKUP(A10,'2013-14 Funding (4)'!$1:$1048576,31,FALSE)</f>
        <v>1301.8584020740927</v>
      </c>
      <c r="S10" s="245">
        <f t="shared" si="16"/>
        <v>1565.579814229337</v>
      </c>
      <c r="T10" s="245">
        <f t="shared" si="7"/>
        <v>11565.579814229337</v>
      </c>
      <c r="U10" s="245">
        <f t="shared" si="8"/>
        <v>401.57981422933699</v>
      </c>
      <c r="V10" s="245">
        <f t="shared" si="2"/>
        <v>0</v>
      </c>
      <c r="W10" s="68">
        <f t="shared" si="9"/>
        <v>1449552.6700500769</v>
      </c>
      <c r="X10" s="245">
        <f>VLOOKUP(A10,'Band Calculations 1415'!$A$106:$O$124,13,FALSE)</f>
        <v>1253333.3333333335</v>
      </c>
      <c r="Y10" s="245">
        <f>VLOOKUP(A10,'Band Calculations 1415'!$A$106:$O$124,14,FALSE)</f>
        <v>0</v>
      </c>
      <c r="Z10" s="68">
        <f>VLOOKUP(A10,'Band Calculations 1415'!$A$106:$O$124,15,FALSE)</f>
        <v>1253333.3333333335</v>
      </c>
      <c r="AA10" s="245">
        <f>VLOOKUP(A10,'Band Calculations 1415'!$A$106:$U$124,18,FALSE)</f>
        <v>84802.239937422433</v>
      </c>
      <c r="AB10" s="245">
        <f>VLOOKUP(A10,'Band Calculations 1415'!$A$106:$U$124,19,FALSE)</f>
        <v>111417.09677932116</v>
      </c>
      <c r="AC10" s="245">
        <f t="shared" si="10"/>
        <v>196219.33671674359</v>
      </c>
      <c r="AD10" s="245">
        <f>VLOOKUP(A10,'Band Calculations 1415'!$A$106:$U$124,20,FALSE)</f>
        <v>0</v>
      </c>
      <c r="AE10" s="245">
        <f>VLOOKUP(A10,'Band Calculations 1415'!$A$106:$U$124,21,FALSE)</f>
        <v>0</v>
      </c>
      <c r="AF10" s="245">
        <f t="shared" si="11"/>
        <v>0</v>
      </c>
      <c r="AG10" s="68">
        <f t="shared" si="12"/>
        <v>196219.33671674359</v>
      </c>
      <c r="AH10" s="245">
        <f t="shared" si="3"/>
        <v>1449552.6700500771</v>
      </c>
      <c r="AI10" s="245">
        <f t="shared" si="13"/>
        <v>1427809.3799993261</v>
      </c>
      <c r="AJ10" s="245">
        <f t="shared" si="14"/>
        <v>11392.096117015899</v>
      </c>
      <c r="AK10" s="245">
        <f t="shared" si="15"/>
        <v>1392.0961170158989</v>
      </c>
    </row>
    <row r="11" spans="1:37" ht="13" x14ac:dyDescent="0.3">
      <c r="A11" s="244">
        <v>9257009</v>
      </c>
      <c r="B11" s="237" t="s">
        <v>214</v>
      </c>
      <c r="C11" s="1187">
        <v>4</v>
      </c>
      <c r="D11" s="69">
        <f>'Funding Model'!D23</f>
        <v>405763.82046267512</v>
      </c>
      <c r="E11" s="69">
        <f>'Funding Model'!E23</f>
        <v>88790.687513148558</v>
      </c>
      <c r="F11" s="245"/>
      <c r="G11" s="245"/>
      <c r="H11" s="245">
        <f>VLOOKUP(A11,'Band Calculations 1415'!A113:L131,10,FALSE)</f>
        <v>992273.10221566015</v>
      </c>
      <c r="I11" s="245">
        <v>16967</v>
      </c>
      <c r="J11" s="245">
        <v>876.23139186667242</v>
      </c>
      <c r="K11" s="245">
        <f t="shared" si="0"/>
        <v>1504670.8415833507</v>
      </c>
      <c r="L11" s="245">
        <f t="shared" si="1"/>
        <v>1504670.8415833507</v>
      </c>
      <c r="M11" s="246">
        <f>VLOOKUP(A11,'Band Calculations 1415'!$A$106:$L$124,12,FALSE)</f>
        <v>130.41666666666669</v>
      </c>
      <c r="N11" s="36"/>
      <c r="O11" s="242">
        <f t="shared" si="4"/>
        <v>11537.412203833997</v>
      </c>
      <c r="P11" s="242">
        <f t="shared" si="5"/>
        <v>1304166.6666666667</v>
      </c>
      <c r="Q11" s="242">
        <f t="shared" si="6"/>
        <v>1537.4122038339974</v>
      </c>
      <c r="R11" s="1188">
        <f>VLOOKUP(A11,'2013-14 Funding (4)'!$1:$1048576,31,FALSE)</f>
        <v>1685.15615896081</v>
      </c>
      <c r="S11" s="245">
        <f t="shared" si="16"/>
        <v>1685.15615896081</v>
      </c>
      <c r="T11" s="245">
        <f t="shared" si="7"/>
        <v>11685.15615896081</v>
      </c>
      <c r="U11" s="245">
        <f t="shared" si="8"/>
        <v>521.15615896080999</v>
      </c>
      <c r="V11" s="245">
        <f t="shared" ref="V11:V23" si="17">(S11-Q11)*M11</f>
        <v>19268.274147788477</v>
      </c>
      <c r="W11" s="68">
        <f t="shared" si="9"/>
        <v>1523939.1157311392</v>
      </c>
      <c r="X11" s="245">
        <f>VLOOKUP(A11,'Band Calculations 1415'!$A$106:$O$124,13,FALSE)</f>
        <v>1304166.6666666667</v>
      </c>
      <c r="Y11" s="245">
        <f>VLOOKUP(A11,'Band Calculations 1415'!$A$106:$O$124,14,FALSE)</f>
        <v>0</v>
      </c>
      <c r="Z11" s="68">
        <f>VLOOKUP(A11,'Band Calculations 1415'!$A$106:$O$124,15,FALSE)</f>
        <v>1304166.6666666667</v>
      </c>
      <c r="AA11" s="245">
        <f>VLOOKUP(A11,'Band Calculations 1415'!$A$106:$U$124,18,FALSE)</f>
        <v>91981.440343277543</v>
      </c>
      <c r="AB11" s="245">
        <f>VLOOKUP(A11,'Band Calculations 1415'!$A$106:$U$124,19,FALSE)</f>
        <v>127791.00872119475</v>
      </c>
      <c r="AC11" s="245">
        <f t="shared" si="10"/>
        <v>219772.44906447228</v>
      </c>
      <c r="AD11" s="245">
        <f>VLOOKUP(A11,'Band Calculations 1415'!$A$106:$U$124,20,FALSE)</f>
        <v>0</v>
      </c>
      <c r="AE11" s="245">
        <f>VLOOKUP(A11,'Band Calculations 1415'!$A$106:$U$124,21,FALSE)</f>
        <v>0</v>
      </c>
      <c r="AF11" s="245">
        <f t="shared" si="11"/>
        <v>0</v>
      </c>
      <c r="AG11" s="68">
        <f t="shared" si="12"/>
        <v>219772.44906447228</v>
      </c>
      <c r="AH11" s="245">
        <f t="shared" si="3"/>
        <v>1523939.115731139</v>
      </c>
      <c r="AI11" s="245">
        <f t="shared" si="13"/>
        <v>1501080.0289951719</v>
      </c>
      <c r="AJ11" s="245">
        <f t="shared" si="14"/>
        <v>11509.878816576396</v>
      </c>
      <c r="AK11" s="245">
        <f t="shared" si="15"/>
        <v>1509.8788165763963</v>
      </c>
    </row>
    <row r="12" spans="1:37" ht="13" x14ac:dyDescent="0.3">
      <c r="A12" s="244">
        <v>9257028</v>
      </c>
      <c r="B12" s="237" t="s">
        <v>215</v>
      </c>
      <c r="C12" s="1186">
        <v>5</v>
      </c>
      <c r="D12" s="245">
        <v>418723</v>
      </c>
      <c r="E12" s="245">
        <v>117027</v>
      </c>
      <c r="F12" s="245"/>
      <c r="G12" s="245"/>
      <c r="H12" s="245">
        <f>VLOOKUP(A12,'Band Calculations 1415'!A114:L132,10,FALSE)</f>
        <v>778865.64355220459</v>
      </c>
      <c r="I12" s="245">
        <v>6698</v>
      </c>
      <c r="J12" s="245">
        <v>705.22818020051216</v>
      </c>
      <c r="K12" s="245">
        <f t="shared" si="0"/>
        <v>1322018.8717324052</v>
      </c>
      <c r="L12" s="245">
        <f t="shared" si="1"/>
        <v>1322018.8717324052</v>
      </c>
      <c r="M12" s="246">
        <f>VLOOKUP(A12,'Band Calculations 1415'!$A$106:$L$124,12,FALSE)</f>
        <v>71.75</v>
      </c>
      <c r="N12" s="36"/>
      <c r="O12" s="242">
        <f t="shared" si="4"/>
        <v>18425.350128674636</v>
      </c>
      <c r="P12" s="242">
        <f t="shared" si="5"/>
        <v>717500</v>
      </c>
      <c r="Q12" s="242">
        <f t="shared" si="6"/>
        <v>8425.3501286746359</v>
      </c>
      <c r="R12" s="245">
        <f>VLOOKUP(A12,'2013-14 Funding (4)'!$1:$1048576,31,FALSE)</f>
        <v>7793.055270290115</v>
      </c>
      <c r="S12" s="245">
        <f t="shared" si="16"/>
        <v>8425.3501286746359</v>
      </c>
      <c r="T12" s="245">
        <f t="shared" si="7"/>
        <v>18425.350128674636</v>
      </c>
      <c r="U12" s="245">
        <f t="shared" si="8"/>
        <v>7261.3501286746359</v>
      </c>
      <c r="V12" s="245">
        <f t="shared" si="17"/>
        <v>0</v>
      </c>
      <c r="W12" s="68">
        <f t="shared" si="9"/>
        <v>1322018.8717324052</v>
      </c>
      <c r="X12" s="245">
        <f>VLOOKUP(A12,'Band Calculations 1415'!$A$106:$O$124,13,FALSE)</f>
        <v>554166.66666666674</v>
      </c>
      <c r="Y12" s="245">
        <f>VLOOKUP(A12,'Band Calculations 1415'!$A$106:$O$124,14,FALSE)</f>
        <v>169929.33333333331</v>
      </c>
      <c r="Z12" s="68">
        <f>VLOOKUP(A12,'Band Calculations 1415'!$A$106:$O$124,15,FALSE)</f>
        <v>724096</v>
      </c>
      <c r="AA12" s="245">
        <f>VLOOKUP(A12,'Band Calculations 1415'!$A$106:$U$124,18,FALSE)</f>
        <v>196591.50300240816</v>
      </c>
      <c r="AB12" s="245">
        <f>VLOOKUP(A12,'Band Calculations 1415'!$A$106:$U$124,19,FALSE)</f>
        <v>270313.31662831124</v>
      </c>
      <c r="AC12" s="245">
        <f t="shared" si="10"/>
        <v>466904.81963071937</v>
      </c>
      <c r="AD12" s="245">
        <f>VLOOKUP(A12,'Band Calculations 1415'!$A$106:$U$124,20,FALSE)</f>
        <v>41147.650729156274</v>
      </c>
      <c r="AE12" s="245">
        <f>VLOOKUP(A12,'Band Calculations 1415'!$A$106:$U$124,21,FALSE)</f>
        <v>89870.40137252945</v>
      </c>
      <c r="AF12" s="245">
        <f t="shared" si="11"/>
        <v>131018.05210168572</v>
      </c>
      <c r="AG12" s="68">
        <f t="shared" si="12"/>
        <v>597922.87173240515</v>
      </c>
      <c r="AH12" s="245">
        <f t="shared" si="3"/>
        <v>1322018.8717324052</v>
      </c>
      <c r="AI12" s="245">
        <f t="shared" si="13"/>
        <v>1302188.588656419</v>
      </c>
      <c r="AJ12" s="245">
        <f t="shared" si="14"/>
        <v>18148.969876744515</v>
      </c>
      <c r="AK12" s="245">
        <f t="shared" si="15"/>
        <v>8148.9698767445152</v>
      </c>
    </row>
    <row r="13" spans="1:37" ht="13" x14ac:dyDescent="0.3">
      <c r="A13" s="244">
        <v>9257021</v>
      </c>
      <c r="B13" s="237" t="s">
        <v>216</v>
      </c>
      <c r="C13" s="1186">
        <v>5</v>
      </c>
      <c r="D13" s="245">
        <f>'Funding Model'!$D$24</f>
        <v>418723.18610831723</v>
      </c>
      <c r="E13" s="245">
        <f>'Funding Model'!$E$24</f>
        <v>117027.3922528728</v>
      </c>
      <c r="F13" s="245"/>
      <c r="G13" s="245"/>
      <c r="H13" s="245">
        <f>VLOOKUP(A13,'Band Calculations 1415'!A115:L133,10,FALSE)</f>
        <v>1091951.161795367</v>
      </c>
      <c r="I13" s="245">
        <v>26790</v>
      </c>
      <c r="J13" s="245">
        <v>908.66303545853043</v>
      </c>
      <c r="K13" s="245">
        <f t="shared" si="0"/>
        <v>1655400.4031920154</v>
      </c>
      <c r="L13" s="245">
        <f t="shared" si="1"/>
        <v>1655400.4031920154</v>
      </c>
      <c r="M13" s="246">
        <f>VLOOKUP(A13,'Band Calculations 1415'!$A$106:$L$124,12,FALSE)</f>
        <v>141.41666666666669</v>
      </c>
      <c r="N13" s="36"/>
      <c r="O13" s="242">
        <f t="shared" si="4"/>
        <v>11705.836675488616</v>
      </c>
      <c r="P13" s="242">
        <f t="shared" si="5"/>
        <v>1414166.6666666667</v>
      </c>
      <c r="Q13" s="242">
        <f t="shared" si="6"/>
        <v>1705.8366754886156</v>
      </c>
      <c r="R13" s="245">
        <f>VLOOKUP(A13,'2013-14 Funding (4)'!$1:$1048576,31,FALSE)</f>
        <v>1223.767211013017</v>
      </c>
      <c r="S13" s="245">
        <f t="shared" si="16"/>
        <v>1705.8366754886156</v>
      </c>
      <c r="T13" s="245">
        <f t="shared" si="7"/>
        <v>11705.836675488616</v>
      </c>
      <c r="U13" s="245">
        <f t="shared" si="8"/>
        <v>541.83667548861558</v>
      </c>
      <c r="V13" s="245">
        <f t="shared" si="17"/>
        <v>0</v>
      </c>
      <c r="W13" s="68">
        <f t="shared" si="9"/>
        <v>1655400.4031920154</v>
      </c>
      <c r="X13" s="245">
        <f>VLOOKUP(A13,'Band Calculations 1415'!$A$106:$O$124,13,FALSE)</f>
        <v>1414166.6666666667</v>
      </c>
      <c r="Y13" s="245">
        <f>VLOOKUP(A13,'Band Calculations 1415'!$A$106:$O$124,14,FALSE)</f>
        <v>0</v>
      </c>
      <c r="Z13" s="68">
        <f>VLOOKUP(A13,'Band Calculations 1415'!$A$106:$O$124,15,FALSE)</f>
        <v>1414166.6666666667</v>
      </c>
      <c r="AA13" s="245">
        <f>VLOOKUP(A13,'Band Calculations 1415'!$A$106:$U$124,18,FALSE)</f>
        <v>100928.66996640975</v>
      </c>
      <c r="AB13" s="245">
        <f>VLOOKUP(A13,'Band Calculations 1415'!$A$106:$U$124,19,FALSE)</f>
        <v>140305.06655893862</v>
      </c>
      <c r="AC13" s="245">
        <f t="shared" si="10"/>
        <v>241233.73652534839</v>
      </c>
      <c r="AD13" s="245">
        <f>VLOOKUP(A13,'Band Calculations 1415'!$A$106:$U$124,20,FALSE)</f>
        <v>0</v>
      </c>
      <c r="AE13" s="245">
        <f>VLOOKUP(A13,'Band Calculations 1415'!$A$106:$U$124,21,FALSE)</f>
        <v>0</v>
      </c>
      <c r="AF13" s="245">
        <f t="shared" si="11"/>
        <v>0</v>
      </c>
      <c r="AG13" s="68">
        <f t="shared" si="12"/>
        <v>241233.73652534839</v>
      </c>
      <c r="AH13" s="245">
        <f t="shared" si="3"/>
        <v>1655400.4031920151</v>
      </c>
      <c r="AI13" s="245">
        <f t="shared" si="13"/>
        <v>1630569.3971441349</v>
      </c>
      <c r="AJ13" s="245">
        <f t="shared" si="14"/>
        <v>11530.249125356286</v>
      </c>
      <c r="AK13" s="245">
        <f t="shared" si="15"/>
        <v>1530.2491253562857</v>
      </c>
    </row>
    <row r="14" spans="1:37" ht="13" x14ac:dyDescent="0.3">
      <c r="A14" s="244">
        <v>9257015</v>
      </c>
      <c r="B14" s="237" t="s">
        <v>217</v>
      </c>
      <c r="C14" s="1186">
        <v>7</v>
      </c>
      <c r="D14" s="245">
        <f>'Funding Model'!D25</f>
        <v>493762.11190507573</v>
      </c>
      <c r="E14" s="245">
        <f>'Funding Model'!E25</f>
        <v>131719.7894229154</v>
      </c>
      <c r="F14" s="245"/>
      <c r="G14" s="245">
        <v>29207</v>
      </c>
      <c r="H14" s="245">
        <f>VLOOKUP(A14,'Band Calculations 1415'!A116:L134,10,FALSE)</f>
        <v>1863783.7392846146</v>
      </c>
      <c r="I14" s="245">
        <v>32148</v>
      </c>
      <c r="J14" s="245">
        <v>1056.0795972397032</v>
      </c>
      <c r="K14" s="245">
        <f t="shared" si="0"/>
        <v>2551676.7202098458</v>
      </c>
      <c r="L14" s="245">
        <f t="shared" si="1"/>
        <v>2551676.7202098458</v>
      </c>
      <c r="M14" s="246">
        <f>VLOOKUP(A14,'Band Calculations 1415'!$A$106:$L$124,12,FALSE)</f>
        <v>253.91666666666666</v>
      </c>
      <c r="N14" s="36"/>
      <c r="O14" s="242">
        <f t="shared" si="4"/>
        <v>10049.268343458532</v>
      </c>
      <c r="P14" s="242">
        <f>M14*10000</f>
        <v>2539166.6666666665</v>
      </c>
      <c r="Q14" s="242">
        <f>O14-10000</f>
        <v>49.268343458532399</v>
      </c>
      <c r="R14" s="1188">
        <f>VLOOKUP(A14,'2013-14 Funding (4)'!$1:$1048576,31,FALSE)</f>
        <v>408.31502432752677</v>
      </c>
      <c r="S14" s="245">
        <f t="shared" si="16"/>
        <v>408.31502432752677</v>
      </c>
      <c r="T14" s="245">
        <f t="shared" si="7"/>
        <v>10408.315024327527</v>
      </c>
      <c r="U14" s="245">
        <f t="shared" si="8"/>
        <v>-755.68497567247323</v>
      </c>
      <c r="V14" s="245">
        <f>(S14-Q14)*M14</f>
        <v>91167.936383985478</v>
      </c>
      <c r="W14" s="68">
        <f t="shared" si="9"/>
        <v>2642844.6565938313</v>
      </c>
      <c r="X14" s="245">
        <f>VLOOKUP(A14,'Band Calculations 1415'!$A$106:$O$124,13,FALSE)</f>
        <v>2355833.3333333335</v>
      </c>
      <c r="Y14" s="245">
        <f>VLOOKUP(A14,'Band Calculations 1415'!$A$106:$O$124,14,FALSE)</f>
        <v>189929.33333333331</v>
      </c>
      <c r="Z14" s="68">
        <f>VLOOKUP(A14,'Band Calculations 1415'!$A$106:$O$124,15,FALSE)</f>
        <v>2545762.666666667</v>
      </c>
      <c r="AA14" s="245">
        <f>VLOOKUP(A14,'Band Calculations 1415'!$A$106:$U$124,18,FALSE)</f>
        <v>38789.927311115047</v>
      </c>
      <c r="AB14" s="245">
        <f>VLOOKUP(A14,'Band Calculations 1415'!$A$106:$U$124,19,FALSE)</f>
        <v>57402.287170044809</v>
      </c>
      <c r="AC14" s="245">
        <f t="shared" si="10"/>
        <v>96192.214481159855</v>
      </c>
      <c r="AD14" s="245">
        <f>VLOOKUP(A14,'Band Calculations 1415'!$A$106:$U$124,20,FALSE)</f>
        <v>-4282.2148621440147</v>
      </c>
      <c r="AE14" s="245">
        <f>VLOOKUP(A14,'Band Calculations 1415'!$A$106:$U$124,21,FALSE)</f>
        <v>5171.9903081486727</v>
      </c>
      <c r="AF14" s="245">
        <f t="shared" si="11"/>
        <v>889.77544600465808</v>
      </c>
      <c r="AG14" s="68">
        <f t="shared" si="12"/>
        <v>97081.989927164512</v>
      </c>
      <c r="AH14" s="245">
        <f t="shared" si="3"/>
        <v>2642844.6565938313</v>
      </c>
      <c r="AI14" s="245">
        <f t="shared" si="13"/>
        <v>2603201.986744924</v>
      </c>
      <c r="AJ14" s="245">
        <f t="shared" si="14"/>
        <v>10252.190298962616</v>
      </c>
      <c r="AK14" s="245">
        <f t="shared" si="15"/>
        <v>252.190298962616</v>
      </c>
    </row>
    <row r="15" spans="1:37" ht="13" x14ac:dyDescent="0.3">
      <c r="A15" s="244">
        <v>9257016</v>
      </c>
      <c r="B15" s="237" t="s">
        <v>219</v>
      </c>
      <c r="C15" s="1186">
        <v>6</v>
      </c>
      <c r="D15" s="245">
        <f>'Funding Model'!D25</f>
        <v>493762.11190507573</v>
      </c>
      <c r="E15" s="245">
        <f>'Funding Model'!E25</f>
        <v>131719.7894229154</v>
      </c>
      <c r="F15" s="245"/>
      <c r="G15" s="245"/>
      <c r="H15" s="245">
        <f>VLOOKUP(A15,'Band Calculations 1415'!A117:L135,10,FALSE)</f>
        <v>1332212.3417520914</v>
      </c>
      <c r="I15" s="245">
        <v>7144</v>
      </c>
      <c r="J15" s="245">
        <v>832.00642333232065</v>
      </c>
      <c r="K15" s="245">
        <f t="shared" si="0"/>
        <v>1965670.2495034148</v>
      </c>
      <c r="L15" s="245">
        <f t="shared" si="1"/>
        <v>1965670.2495034148</v>
      </c>
      <c r="M15" s="246">
        <f>VLOOKUP(A15,'Band Calculations 1415'!$A$106:$L$124,12,FALSE)</f>
        <v>131.66666666666666</v>
      </c>
      <c r="N15" s="36"/>
      <c r="O15" s="242">
        <f t="shared" si="4"/>
        <v>14929.141135468975</v>
      </c>
      <c r="P15" s="242">
        <f t="shared" si="5"/>
        <v>1316666.6666666665</v>
      </c>
      <c r="Q15" s="242">
        <f t="shared" si="6"/>
        <v>4929.1411354689753</v>
      </c>
      <c r="R15" s="1188">
        <f>VLOOKUP(A15,'2013-14 Funding (4)'!$1:$1048576,31,FALSE)</f>
        <v>6858.938918761949</v>
      </c>
      <c r="S15" s="245">
        <f t="shared" si="16"/>
        <v>6858.938918761949</v>
      </c>
      <c r="T15" s="245">
        <f t="shared" si="7"/>
        <v>16858.938918761949</v>
      </c>
      <c r="U15" s="245">
        <f t="shared" si="8"/>
        <v>5694.938918761949</v>
      </c>
      <c r="V15" s="245">
        <f t="shared" si="17"/>
        <v>254090.04146690818</v>
      </c>
      <c r="W15" s="68">
        <f t="shared" si="9"/>
        <v>2219760.2909703231</v>
      </c>
      <c r="X15" s="245">
        <f>VLOOKUP(A15,'Band Calculations 1415'!$A$106:$O$124,13,FALSE)</f>
        <v>790000</v>
      </c>
      <c r="Y15" s="245">
        <f>VLOOKUP(A15,'Band Calculations 1415'!$A$106:$O$124,14,FALSE)</f>
        <v>546066.66666666663</v>
      </c>
      <c r="Z15" s="68">
        <f>VLOOKUP(A15,'Band Calculations 1415'!$A$106:$O$124,15,FALSE)</f>
        <v>1336066.6666666665</v>
      </c>
      <c r="AA15" s="245">
        <f>VLOOKUP(A15,'Band Calculations 1415'!$A$106:$U$124,18,FALSE)</f>
        <v>225773.40607591419</v>
      </c>
      <c r="AB15" s="245">
        <f>VLOOKUP(A15,'Band Calculations 1415'!$A$106:$U$124,19,FALSE)</f>
        <v>316082.7685062798</v>
      </c>
      <c r="AC15" s="245">
        <f t="shared" si="10"/>
        <v>541856.17458219395</v>
      </c>
      <c r="AD15" s="245">
        <f>VLOOKUP(A15,'Band Calculations 1415'!$A$106:$U$124,20,FALSE)</f>
        <v>94915.648646032481</v>
      </c>
      <c r="AE15" s="245">
        <f>VLOOKUP(A15,'Band Calculations 1415'!$A$106:$U$124,21,FALSE)</f>
        <v>246921.80107543018</v>
      </c>
      <c r="AF15" s="245">
        <f t="shared" si="11"/>
        <v>341837.44972146268</v>
      </c>
      <c r="AG15" s="68">
        <f t="shared" si="12"/>
        <v>883693.62430365663</v>
      </c>
      <c r="AH15" s="245">
        <f t="shared" si="3"/>
        <v>2219760.2909703231</v>
      </c>
      <c r="AI15" s="245">
        <f t="shared" si="13"/>
        <v>2186463.8866057685</v>
      </c>
      <c r="AJ15" s="245">
        <f t="shared" si="14"/>
        <v>16606.054834980521</v>
      </c>
      <c r="AK15" s="245">
        <f t="shared" si="15"/>
        <v>6606.0548349805213</v>
      </c>
    </row>
    <row r="16" spans="1:37" ht="13" x14ac:dyDescent="0.3">
      <c r="A16" s="244"/>
      <c r="B16" s="237"/>
      <c r="C16" s="238"/>
      <c r="D16" s="245"/>
      <c r="E16" s="245"/>
      <c r="F16" s="245"/>
      <c r="G16" s="245"/>
      <c r="H16" s="245"/>
      <c r="I16" s="245"/>
      <c r="J16" s="245"/>
      <c r="K16" s="245"/>
      <c r="L16" s="245"/>
      <c r="M16" s="238"/>
      <c r="N16" s="36"/>
      <c r="O16" s="242"/>
      <c r="P16" s="242"/>
      <c r="Q16" s="242"/>
      <c r="R16" s="245"/>
      <c r="S16" s="245"/>
      <c r="T16" s="245"/>
      <c r="U16" s="245"/>
      <c r="V16" s="245"/>
      <c r="W16" s="68"/>
      <c r="X16" s="238"/>
      <c r="Y16" s="245"/>
      <c r="Z16" s="68"/>
      <c r="AA16" s="245"/>
      <c r="AB16" s="245"/>
      <c r="AC16" s="245"/>
      <c r="AD16" s="245"/>
      <c r="AE16" s="245"/>
      <c r="AF16" s="245"/>
      <c r="AG16" s="68"/>
      <c r="AH16" s="245"/>
      <c r="AI16" s="245"/>
      <c r="AJ16" s="245"/>
      <c r="AK16" s="245"/>
    </row>
    <row r="17" spans="1:37" ht="13" x14ac:dyDescent="0.3">
      <c r="A17" s="244">
        <v>9257031</v>
      </c>
      <c r="B17" s="32" t="s">
        <v>148</v>
      </c>
      <c r="C17" s="1186">
        <v>3</v>
      </c>
      <c r="D17" s="245">
        <f>'Funding Model'!D26</f>
        <v>280697.16623783787</v>
      </c>
      <c r="E17" s="245">
        <f>'Funding Model'!E26</f>
        <v>55663.058379368813</v>
      </c>
      <c r="F17" s="245">
        <v>161072</v>
      </c>
      <c r="G17" s="245"/>
      <c r="H17" s="245">
        <f>VLOOKUP(A17,'Band Calculations 1415'!A106:L124,10,FALSE)</f>
        <v>882308.6368039978</v>
      </c>
      <c r="I17" s="245">
        <v>10716</v>
      </c>
      <c r="J17" s="245">
        <v>669.84820537303062</v>
      </c>
      <c r="K17" s="245">
        <f>SUM(D17:J17)</f>
        <v>1391126.7096265773</v>
      </c>
      <c r="L17" s="245">
        <f>K17-F17</f>
        <v>1230054.7096265773</v>
      </c>
      <c r="M17" s="246">
        <f>VLOOKUP(A17,'Band Calculations 1415'!$A$106:$L$124,12,FALSE)</f>
        <v>61.583333333333343</v>
      </c>
      <c r="N17" s="36"/>
      <c r="O17" s="242">
        <f t="shared" si="4"/>
        <v>19973.824784193403</v>
      </c>
      <c r="P17" s="242">
        <f t="shared" si="5"/>
        <v>615833.33333333337</v>
      </c>
      <c r="Q17" s="242">
        <f t="shared" si="6"/>
        <v>9973.8247841934026</v>
      </c>
      <c r="R17" s="1188">
        <f>VLOOKUP(A17,'2013-14 Funding (4)'!$1:$1048576,31,FALSE)</f>
        <v>10378.420281509258</v>
      </c>
      <c r="S17" s="245">
        <f t="shared" si="16"/>
        <v>10378.420281509258</v>
      </c>
      <c r="T17" s="245">
        <f t="shared" si="7"/>
        <v>20378.420281509258</v>
      </c>
      <c r="U17" s="245">
        <f t="shared" si="8"/>
        <v>9214.4202815092576</v>
      </c>
      <c r="V17" s="245">
        <f t="shared" si="17"/>
        <v>24916.339376368076</v>
      </c>
      <c r="W17" s="68">
        <f t="shared" si="9"/>
        <v>1254971.0490029454</v>
      </c>
      <c r="X17" s="245">
        <f>VLOOKUP(A17,'Band Calculations 1415'!$A$106:$O$124,13,FALSE)</f>
        <v>615833.33333333337</v>
      </c>
      <c r="Y17" s="245">
        <f>VLOOKUP(A17,'Band Calculations 1415'!$A$106:$O$124,14,FALSE)</f>
        <v>0</v>
      </c>
      <c r="Z17" s="68">
        <f>VLOOKUP(A17,'Band Calculations 1415'!$A$106:$O$124,15,FALSE)</f>
        <v>615833.33333333337</v>
      </c>
      <c r="AA17" s="245">
        <f>VLOOKUP(A17,'Band Calculations 1415'!$A$106:$U$124,18,FALSE)</f>
        <v>263784.84882169362</v>
      </c>
      <c r="AB17" s="245">
        <f>VLOOKUP(A17,'Band Calculations 1415'!$A$106:$U$124,19,FALSE)</f>
        <v>375352.86684791814</v>
      </c>
      <c r="AC17" s="245">
        <f t="shared" si="10"/>
        <v>639137.7156696117</v>
      </c>
      <c r="AD17" s="245">
        <f>VLOOKUP(A17,'Band Calculations 1415'!$A$106:$U$124,20,FALSE)</f>
        <v>0</v>
      </c>
      <c r="AE17" s="245">
        <f>VLOOKUP(A17,'Band Calculations 1415'!$A$106:$U$124,21,FALSE)</f>
        <v>0</v>
      </c>
      <c r="AF17" s="245">
        <f t="shared" si="11"/>
        <v>0</v>
      </c>
      <c r="AG17" s="68">
        <f t="shared" si="12"/>
        <v>639137.7156696117</v>
      </c>
      <c r="AH17" s="245">
        <f>Z17+AG17</f>
        <v>1254971.049002945</v>
      </c>
      <c r="AI17" s="245">
        <f t="shared" si="13"/>
        <v>1236146.4832679008</v>
      </c>
      <c r="AJ17" s="245">
        <f t="shared" si="14"/>
        <v>20072.743977286613</v>
      </c>
      <c r="AK17" s="245">
        <f t="shared" si="15"/>
        <v>10072.743977286613</v>
      </c>
    </row>
    <row r="18" spans="1:37" ht="13" x14ac:dyDescent="0.3">
      <c r="A18" s="244">
        <v>9257029</v>
      </c>
      <c r="B18" s="32" t="s">
        <v>149</v>
      </c>
      <c r="C18" s="238">
        <v>4</v>
      </c>
      <c r="D18" s="245">
        <f>'Funding Model'!$D$27</f>
        <v>360067.26321081078</v>
      </c>
      <c r="E18" s="245">
        <f>'Funding Model'!$E$27</f>
        <v>58044.118057617408</v>
      </c>
      <c r="F18" s="245">
        <v>227842</v>
      </c>
      <c r="G18" s="245"/>
      <c r="H18" s="245">
        <f>VLOOKUP(A18,'Band Calculations 1415'!A107:L125,10,FALSE)</f>
        <v>829776.05220403033</v>
      </c>
      <c r="I18" s="245">
        <v>10270</v>
      </c>
      <c r="J18" s="245">
        <v>672.79653660865415</v>
      </c>
      <c r="K18" s="245">
        <f>SUM(D18:J18)</f>
        <v>1486672.2300090671</v>
      </c>
      <c r="L18" s="245">
        <f>K18-F18</f>
        <v>1258830.2300090671</v>
      </c>
      <c r="M18" s="246">
        <f>VLOOKUP(A18,'Band Calculations 1415'!$A$106:$L$124,12,FALSE)</f>
        <v>57.916666666666671</v>
      </c>
      <c r="N18" s="36"/>
      <c r="O18" s="242">
        <f t="shared" si="4"/>
        <v>21735.198215983892</v>
      </c>
      <c r="P18" s="242">
        <f t="shared" si="5"/>
        <v>579166.66666666674</v>
      </c>
      <c r="Q18" s="242">
        <f t="shared" si="6"/>
        <v>11735.198215983892</v>
      </c>
      <c r="R18" s="1188">
        <f>VLOOKUP(A18,'2013-14 Funding (4)'!$1:$1048576,31,FALSE)</f>
        <v>12197.338345996177</v>
      </c>
      <c r="S18" s="245">
        <f t="shared" si="16"/>
        <v>12197.338345996177</v>
      </c>
      <c r="T18" s="245">
        <f t="shared" si="7"/>
        <v>22197.338345996177</v>
      </c>
      <c r="U18" s="245">
        <f t="shared" si="8"/>
        <v>11033.338345996177</v>
      </c>
      <c r="V18" s="245">
        <f t="shared" si="17"/>
        <v>26765.615863211522</v>
      </c>
      <c r="W18" s="68">
        <f t="shared" si="9"/>
        <v>1285595.8458722786</v>
      </c>
      <c r="X18" s="245">
        <f>VLOOKUP(A18,'Band Calculations 1415'!$A$106:$O$124,13,FALSE)</f>
        <v>579166.66666666674</v>
      </c>
      <c r="Y18" s="245">
        <f>VLOOKUP(A18,'Band Calculations 1415'!$A$106:$O$124,14,FALSE)</f>
        <v>0</v>
      </c>
      <c r="Z18" s="68">
        <f>VLOOKUP(A18,'Band Calculations 1415'!$A$106:$O$124,15,FALSE)</f>
        <v>579166.66666666674</v>
      </c>
      <c r="AA18" s="245">
        <f>VLOOKUP(A18,'Band Calculations 1415'!$A$106:$U$124,18,FALSE)</f>
        <v>315097.90727156791</v>
      </c>
      <c r="AB18" s="245">
        <f>VLOOKUP(A18,'Band Calculations 1415'!$A$106:$U$124,19,FALSE)</f>
        <v>391331.27193404397</v>
      </c>
      <c r="AC18" s="245">
        <f t="shared" si="10"/>
        <v>706429.17920561181</v>
      </c>
      <c r="AD18" s="245">
        <f>VLOOKUP(A18,'Band Calculations 1415'!$A$106:$U$124,20,FALSE)</f>
        <v>0</v>
      </c>
      <c r="AE18" s="245">
        <f>VLOOKUP(A18,'Band Calculations 1415'!$A$106:$U$124,21,FALSE)</f>
        <v>0</v>
      </c>
      <c r="AF18" s="245">
        <f t="shared" si="11"/>
        <v>0</v>
      </c>
      <c r="AG18" s="68">
        <f t="shared" si="12"/>
        <v>706429.17920561181</v>
      </c>
      <c r="AH18" s="245">
        <f>Z18+AG18</f>
        <v>1285595.8458722786</v>
      </c>
      <c r="AI18" s="245">
        <f t="shared" si="13"/>
        <v>1266311.9081841945</v>
      </c>
      <c r="AJ18" s="245">
        <f t="shared" si="14"/>
        <v>21864.378270806235</v>
      </c>
      <c r="AK18" s="245">
        <f t="shared" si="15"/>
        <v>11864.378270806235</v>
      </c>
    </row>
    <row r="19" spans="1:37" ht="13" x14ac:dyDescent="0.3">
      <c r="A19" s="244">
        <v>9257032</v>
      </c>
      <c r="B19" s="32" t="s">
        <v>150</v>
      </c>
      <c r="C19" s="1186">
        <v>4</v>
      </c>
      <c r="D19" s="245">
        <f>'Funding Model'!$D$27</f>
        <v>360067.26321081078</v>
      </c>
      <c r="E19" s="245">
        <f>'Funding Model'!$E$27</f>
        <v>58044.118057617408</v>
      </c>
      <c r="F19" s="245">
        <v>202249</v>
      </c>
      <c r="G19" s="245"/>
      <c r="H19" s="245">
        <f>VLOOKUP(A19,'Band Calculations 1415'!A108:L126,10,FALSE)</f>
        <v>853654.49974947004</v>
      </c>
      <c r="I19" s="245">
        <v>12949</v>
      </c>
      <c r="J19" s="245">
        <v>663.9515429017838</v>
      </c>
      <c r="K19" s="245">
        <f>SUM(D19:J19)</f>
        <v>1487627.8325608</v>
      </c>
      <c r="L19" s="245">
        <f>K19-F19</f>
        <v>1285378.8325608</v>
      </c>
      <c r="M19" s="246">
        <f>VLOOKUP(A19,'Band Calculations 1415'!$A$106:$L$124,12,FALSE)</f>
        <v>59.583333333333336</v>
      </c>
      <c r="N19" s="36"/>
      <c r="O19" s="242">
        <f t="shared" si="4"/>
        <v>21572.791595426013</v>
      </c>
      <c r="P19" s="242">
        <f t="shared" si="5"/>
        <v>595833.33333333337</v>
      </c>
      <c r="Q19" s="242">
        <f t="shared" si="6"/>
        <v>11572.791595426013</v>
      </c>
      <c r="R19" s="1188">
        <f>VLOOKUP(A19,'2013-14 Funding (4)'!$1:$1048576,31,FALSE)</f>
        <v>11763.881909432213</v>
      </c>
      <c r="S19" s="245">
        <f t="shared" si="16"/>
        <v>11763.881909432213</v>
      </c>
      <c r="T19" s="245">
        <f t="shared" si="7"/>
        <v>21763.881909432213</v>
      </c>
      <c r="U19" s="245">
        <f t="shared" si="8"/>
        <v>10599.881909432213</v>
      </c>
      <c r="V19" s="245">
        <f t="shared" si="17"/>
        <v>11385.797876202754</v>
      </c>
      <c r="W19" s="68">
        <f t="shared" si="9"/>
        <v>1296764.6304370028</v>
      </c>
      <c r="X19" s="245">
        <f>VLOOKUP(A19,'Band Calculations 1415'!$A$106:$O$124,13,FALSE)</f>
        <v>595833.33333333337</v>
      </c>
      <c r="Y19" s="245">
        <f>VLOOKUP(A19,'Band Calculations 1415'!$A$106:$O$124,14,FALSE)</f>
        <v>0</v>
      </c>
      <c r="Z19" s="68">
        <f>VLOOKUP(A19,'Band Calculations 1415'!$A$106:$O$124,15,FALSE)</f>
        <v>595833.33333333337</v>
      </c>
      <c r="AA19" s="245">
        <f>VLOOKUP(A19,'Band Calculations 1415'!$A$106:$U$124,18,FALSE)</f>
        <v>289195.43027354195</v>
      </c>
      <c r="AB19" s="245">
        <f>VLOOKUP(A19,'Band Calculations 1415'!$A$106:$U$124,19,FALSE)</f>
        <v>411735.86683012749</v>
      </c>
      <c r="AC19" s="245">
        <f t="shared" si="10"/>
        <v>700931.29710366949</v>
      </c>
      <c r="AD19" s="245">
        <f>VLOOKUP(A19,'Band Calculations 1415'!$A$106:$U$124,20,FALSE)</f>
        <v>0</v>
      </c>
      <c r="AE19" s="245">
        <f>VLOOKUP(A19,'Band Calculations 1415'!$A$106:$U$124,21,FALSE)</f>
        <v>0</v>
      </c>
      <c r="AF19" s="245">
        <f t="shared" si="11"/>
        <v>0</v>
      </c>
      <c r="AG19" s="68">
        <f t="shared" si="12"/>
        <v>700931.29710366949</v>
      </c>
      <c r="AH19" s="245">
        <f>Z19+AG19</f>
        <v>1296764.630437003</v>
      </c>
      <c r="AI19" s="245">
        <f t="shared" si="13"/>
        <v>1277313.1609804479</v>
      </c>
      <c r="AJ19" s="245">
        <f t="shared" si="14"/>
        <v>21437.423680790733</v>
      </c>
      <c r="AK19" s="245">
        <f t="shared" si="15"/>
        <v>11437.423680790733</v>
      </c>
    </row>
    <row r="20" spans="1:37" ht="13" x14ac:dyDescent="0.3">
      <c r="A20" s="244">
        <v>9257030</v>
      </c>
      <c r="B20" s="32" t="s">
        <v>152</v>
      </c>
      <c r="C20" s="1189">
        <v>0.75</v>
      </c>
      <c r="D20" s="245">
        <f>'Funding Model'!$D$27</f>
        <v>360067.26321081078</v>
      </c>
      <c r="E20" s="245">
        <f>'Funding Model'!$E$27</f>
        <v>58044.118057617408</v>
      </c>
      <c r="F20" s="245">
        <v>248341</v>
      </c>
      <c r="G20" s="245"/>
      <c r="H20" s="245">
        <f>VLOOKUP(A20,'Band Calculations 1415'!A109:L127,10,FALSE)</f>
        <v>787988.76899951079</v>
      </c>
      <c r="I20" s="245">
        <v>7591</v>
      </c>
      <c r="J20" s="245">
        <v>652.15821795928991</v>
      </c>
      <c r="K20" s="245">
        <f>SUM(D20:J20)</f>
        <v>1462684.3084858984</v>
      </c>
      <c r="L20" s="245">
        <f>K20-F20</f>
        <v>1214343.3084858984</v>
      </c>
      <c r="M20" s="246">
        <f>VLOOKUP(A20,'Band Calculations 1415'!$A$106:$L$124,12,FALSE)</f>
        <v>55</v>
      </c>
      <c r="N20" s="36"/>
      <c r="O20" s="242">
        <f t="shared" si="4"/>
        <v>22078.969245198154</v>
      </c>
      <c r="P20" s="242">
        <f t="shared" si="5"/>
        <v>550000</v>
      </c>
      <c r="Q20" s="242">
        <f t="shared" si="6"/>
        <v>12078.969245198154</v>
      </c>
      <c r="R20" s="245">
        <f>VLOOKUP(A20,'2013-14 Funding (4)'!$1:$1048576,31,FALSE)</f>
        <v>12023.918350803102</v>
      </c>
      <c r="S20" s="245">
        <f t="shared" si="16"/>
        <v>12078.969245198154</v>
      </c>
      <c r="T20" s="245">
        <f t="shared" si="7"/>
        <v>22078.969245198154</v>
      </c>
      <c r="U20" s="245">
        <f t="shared" si="8"/>
        <v>10914.969245198154</v>
      </c>
      <c r="V20" s="245">
        <f t="shared" si="17"/>
        <v>0</v>
      </c>
      <c r="W20" s="68">
        <f t="shared" si="9"/>
        <v>1214343.3084858984</v>
      </c>
      <c r="X20" s="245">
        <f>VLOOKUP(A20,'Band Calculations 1415'!$A$106:$O$124,13,FALSE)</f>
        <v>550000</v>
      </c>
      <c r="Y20" s="245">
        <f>VLOOKUP(A20,'Band Calculations 1415'!$A$106:$O$124,14,FALSE)</f>
        <v>0</v>
      </c>
      <c r="Z20" s="68">
        <f>VLOOKUP(A20,'Band Calculations 1415'!$A$106:$O$124,15,FALSE)</f>
        <v>550000</v>
      </c>
      <c r="AA20" s="245">
        <f>VLOOKUP(A20,'Band Calculations 1415'!$A$106:$U$124,18,FALSE)</f>
        <v>276809.71186912438</v>
      </c>
      <c r="AB20" s="245">
        <f>VLOOKUP(A20,'Band Calculations 1415'!$A$106:$U$124,19,FALSE)</f>
        <v>387533.5966167741</v>
      </c>
      <c r="AC20" s="245">
        <f t="shared" si="10"/>
        <v>664343.30848589842</v>
      </c>
      <c r="AD20" s="245">
        <f>VLOOKUP(A20,'Band Calculations 1415'!$A$106:$U$124,20,FALSE)</f>
        <v>0</v>
      </c>
      <c r="AE20" s="245">
        <f>VLOOKUP(A20,'Band Calculations 1415'!$A$106:$U$124,21,FALSE)</f>
        <v>0</v>
      </c>
      <c r="AF20" s="245">
        <f t="shared" si="11"/>
        <v>0</v>
      </c>
      <c r="AG20" s="68">
        <f t="shared" si="12"/>
        <v>664343.30848589842</v>
      </c>
      <c r="AH20" s="245">
        <f>Z20+AG20</f>
        <v>1214343.3084858984</v>
      </c>
      <c r="AI20" s="245">
        <f t="shared" si="13"/>
        <v>1196128.1588586099</v>
      </c>
      <c r="AJ20" s="245">
        <f t="shared" si="14"/>
        <v>21747.784706520179</v>
      </c>
      <c r="AK20" s="245">
        <f t="shared" si="15"/>
        <v>11747.784706520179</v>
      </c>
    </row>
    <row r="21" spans="1:37" ht="13" x14ac:dyDescent="0.3">
      <c r="A21" s="244"/>
      <c r="B21" s="32"/>
      <c r="C21" s="238"/>
      <c r="D21" s="245"/>
      <c r="E21" s="245"/>
      <c r="F21" s="245"/>
      <c r="G21" s="245"/>
      <c r="H21" s="245"/>
      <c r="I21" s="245"/>
      <c r="J21" s="245"/>
      <c r="K21" s="245"/>
      <c r="L21" s="245"/>
      <c r="M21" s="238"/>
      <c r="N21" s="36"/>
      <c r="O21" s="242"/>
      <c r="P21" s="242"/>
      <c r="Q21" s="242"/>
      <c r="R21" s="245"/>
      <c r="S21" s="245"/>
      <c r="T21" s="245"/>
      <c r="U21" s="245"/>
      <c r="V21" s="245"/>
      <c r="W21" s="68"/>
      <c r="X21" s="238"/>
      <c r="Y21" s="245"/>
      <c r="Z21" s="68"/>
      <c r="AA21" s="245"/>
      <c r="AB21" s="245"/>
      <c r="AC21" s="245"/>
      <c r="AD21" s="245"/>
      <c r="AE21" s="245"/>
      <c r="AF21" s="245"/>
      <c r="AG21" s="68"/>
      <c r="AH21" s="245"/>
      <c r="AI21" s="245"/>
      <c r="AJ21" s="245"/>
      <c r="AK21" s="245"/>
    </row>
    <row r="22" spans="1:37" ht="13" x14ac:dyDescent="0.3">
      <c r="A22" s="244">
        <v>9257033</v>
      </c>
      <c r="B22" s="237" t="s">
        <v>220</v>
      </c>
      <c r="C22" s="1186">
        <v>3</v>
      </c>
      <c r="D22" s="245">
        <f>'Funding Model'!$D$22</f>
        <v>314686.51772419503</v>
      </c>
      <c r="E22" s="245">
        <f>'Funding Model'!$E$22</f>
        <v>69201.680689977453</v>
      </c>
      <c r="F22" s="245"/>
      <c r="G22" s="245"/>
      <c r="H22" s="245">
        <f>VLOOKUP(A22,'Band Calculations 1415'!A106:L124,10,FALSE)</f>
        <v>591199.13863892574</v>
      </c>
      <c r="I22" s="245">
        <v>6698</v>
      </c>
      <c r="J22" s="245">
        <v>666.89987413740721</v>
      </c>
      <c r="K22" s="245">
        <f>SUM(D22:J22)</f>
        <v>982452.23692723562</v>
      </c>
      <c r="L22" s="245">
        <f>K22-F22</f>
        <v>982452.23692723562</v>
      </c>
      <c r="M22" s="246">
        <f>VLOOKUP(A22,'Band Calculations 1415'!$A$106:$L$124,12,FALSE)</f>
        <v>60</v>
      </c>
      <c r="N22" s="36"/>
      <c r="O22" s="242">
        <f t="shared" si="4"/>
        <v>16374.203948787261</v>
      </c>
      <c r="P22" s="242">
        <f t="shared" si="5"/>
        <v>600000</v>
      </c>
      <c r="Q22" s="242">
        <f t="shared" si="6"/>
        <v>6374.2039487872607</v>
      </c>
      <c r="R22" s="245">
        <f>VLOOKUP(A22,'2013-14 Funding (4)'!$1:$1048576,31,FALSE)</f>
        <v>5634.4761023849751</v>
      </c>
      <c r="S22" s="245">
        <f t="shared" si="16"/>
        <v>6374.2039487872607</v>
      </c>
      <c r="T22" s="245">
        <f t="shared" si="7"/>
        <v>16374.203948787261</v>
      </c>
      <c r="U22" s="245">
        <f t="shared" si="8"/>
        <v>5210.2039487872607</v>
      </c>
      <c r="V22" s="245">
        <f t="shared" si="17"/>
        <v>0</v>
      </c>
      <c r="W22" s="68">
        <f t="shared" si="9"/>
        <v>982452.23692723562</v>
      </c>
      <c r="X22" s="245">
        <f>VLOOKUP(A22,'Band Calculations 1415'!$A$106:$O$124,13,FALSE)</f>
        <v>600000</v>
      </c>
      <c r="Y22" s="245">
        <f>VLOOKUP(A22,'Band Calculations 1415'!$A$106:$O$124,14,FALSE)</f>
        <v>0</v>
      </c>
      <c r="Z22" s="68">
        <f>VLOOKUP(A22,'Band Calculations 1415'!$A$106:$O$124,15,FALSE)</f>
        <v>600000</v>
      </c>
      <c r="AA22" s="245">
        <f>VLOOKUP(A22,'Band Calculations 1415'!$A$106:$U$124,18,FALSE)</f>
        <v>159355.09871968153</v>
      </c>
      <c r="AB22" s="245">
        <f>VLOOKUP(A22,'Band Calculations 1415'!$A$106:$U$124,19,FALSE)</f>
        <v>223097.13820755412</v>
      </c>
      <c r="AC22" s="245">
        <f t="shared" si="10"/>
        <v>382452.23692723562</v>
      </c>
      <c r="AD22" s="245">
        <f>VLOOKUP(A22,'Band Calculations 1415'!$A$106:$U$124,20,FALSE)</f>
        <v>0</v>
      </c>
      <c r="AE22" s="245">
        <f>VLOOKUP(A22,'Band Calculations 1415'!$A$106:$U$124,21,FALSE)</f>
        <v>0</v>
      </c>
      <c r="AF22" s="245">
        <f t="shared" si="11"/>
        <v>0</v>
      </c>
      <c r="AG22" s="68">
        <f t="shared" si="12"/>
        <v>382452.23692723562</v>
      </c>
      <c r="AH22" s="245">
        <f>Z22+AG22</f>
        <v>982452.23692723562</v>
      </c>
      <c r="AI22" s="245">
        <f t="shared" si="13"/>
        <v>967715.45337332704</v>
      </c>
      <c r="AJ22" s="245">
        <f t="shared" si="14"/>
        <v>16128.590889555451</v>
      </c>
      <c r="AK22" s="245">
        <f t="shared" si="15"/>
        <v>6128.5908895554512</v>
      </c>
    </row>
    <row r="23" spans="1:37" ht="13" x14ac:dyDescent="0.3">
      <c r="A23" s="244">
        <v>9257034</v>
      </c>
      <c r="B23" s="237" t="s">
        <v>221</v>
      </c>
      <c r="C23" s="1187">
        <v>5</v>
      </c>
      <c r="D23" s="245">
        <f>'Funding Model'!D24</f>
        <v>418723.18610831723</v>
      </c>
      <c r="E23" s="245">
        <f>'Funding Model'!E24</f>
        <v>117027.3922528728</v>
      </c>
      <c r="F23" s="245"/>
      <c r="G23" s="245"/>
      <c r="H23" s="245">
        <f>VLOOKUP(A23,'Band Calculations 1415'!A107:L125,10,FALSE)</f>
        <v>1037514.8719128219</v>
      </c>
      <c r="I23" s="245">
        <v>17414</v>
      </c>
      <c r="J23" s="245">
        <v>811.36810468295653</v>
      </c>
      <c r="K23" s="245">
        <f>SUM(D23:J23)</f>
        <v>1591490.8183786951</v>
      </c>
      <c r="L23" s="245">
        <f>K23-F23</f>
        <v>1591490.8183786951</v>
      </c>
      <c r="M23" s="246">
        <f>VLOOKUP(A23,'Band Calculations 1415'!$A$106:$L$124,12,FALSE)</f>
        <v>119.5</v>
      </c>
      <c r="N23" s="36"/>
      <c r="O23" s="242">
        <f t="shared" si="4"/>
        <v>13317.914798148076</v>
      </c>
      <c r="P23" s="242">
        <f t="shared" si="5"/>
        <v>1195000</v>
      </c>
      <c r="Q23" s="242">
        <f t="shared" si="6"/>
        <v>3317.9147981480764</v>
      </c>
      <c r="R23" s="245">
        <f>VLOOKUP(A23,'2013-14 Funding (4)'!$1:$1048576,31,FALSE)</f>
        <v>2702.6851633804708</v>
      </c>
      <c r="S23" s="245">
        <f t="shared" si="16"/>
        <v>3317.9147981480764</v>
      </c>
      <c r="T23" s="245">
        <f t="shared" si="7"/>
        <v>13317.914798148076</v>
      </c>
      <c r="U23" s="245">
        <f t="shared" si="8"/>
        <v>2153.9147981480764</v>
      </c>
      <c r="V23" s="245">
        <f t="shared" si="17"/>
        <v>0</v>
      </c>
      <c r="W23" s="68">
        <f t="shared" si="9"/>
        <v>1591490.8183786951</v>
      </c>
      <c r="X23" s="245">
        <f>VLOOKUP(A23,'Band Calculations 1415'!$A$106:$O$124,13,FALSE)</f>
        <v>885000</v>
      </c>
      <c r="Y23" s="245">
        <f>VLOOKUP(A23,'Band Calculations 1415'!$A$106:$O$124,14,FALSE)</f>
        <v>322028</v>
      </c>
      <c r="Z23" s="68">
        <f>VLOOKUP(A23,'Band Calculations 1415'!$A$106:$O$124,15,FALSE)</f>
        <v>1207028</v>
      </c>
      <c r="AA23" s="245">
        <f>VLOOKUP(A23,'Band Calculations 1415'!$A$106:$U$124,18,FALSE)</f>
        <v>107832.23093981248</v>
      </c>
      <c r="AB23" s="245">
        <f>VLOOKUP(A23,'Band Calculations 1415'!$A$106:$U$124,19,FALSE)</f>
        <v>185803.22869629227</v>
      </c>
      <c r="AC23" s="245">
        <f t="shared" si="10"/>
        <v>293635.45963610476</v>
      </c>
      <c r="AD23" s="245">
        <f>VLOOKUP(A23,'Band Calculations 1415'!$A$106:$U$124,20,FALSE)</f>
        <v>22257.119580863458</v>
      </c>
      <c r="AE23" s="245">
        <f>VLOOKUP(A23,'Band Calculations 1415'!$A$106:$U$124,21,FALSE)</f>
        <v>68570.239161726917</v>
      </c>
      <c r="AF23" s="245">
        <f t="shared" si="11"/>
        <v>90827.358742590382</v>
      </c>
      <c r="AG23" s="68">
        <f t="shared" si="12"/>
        <v>384462.81837869517</v>
      </c>
      <c r="AH23" s="245">
        <f>Z23+AG23</f>
        <v>1591490.8183786953</v>
      </c>
      <c r="AI23" s="245">
        <f t="shared" si="13"/>
        <v>1567618.4561030148</v>
      </c>
      <c r="AJ23" s="245">
        <f t="shared" si="14"/>
        <v>13118.146076175855</v>
      </c>
      <c r="AK23" s="245">
        <f t="shared" si="15"/>
        <v>3118.1460761758553</v>
      </c>
    </row>
    <row r="24" spans="1:37" x14ac:dyDescent="0.25">
      <c r="A24" s="249"/>
      <c r="B24" s="36"/>
      <c r="C24" s="234"/>
      <c r="D24" s="235"/>
      <c r="E24" s="235"/>
      <c r="F24" s="235"/>
      <c r="G24" s="235"/>
      <c r="H24" s="235"/>
      <c r="I24" s="235"/>
      <c r="J24" s="235"/>
      <c r="K24" s="234"/>
      <c r="L24" s="36"/>
      <c r="M24" s="234"/>
      <c r="N24" s="36"/>
      <c r="O24" s="235"/>
      <c r="P24" s="234"/>
      <c r="Q24" s="234"/>
      <c r="R24" s="36"/>
      <c r="S24" s="36"/>
      <c r="T24" s="234"/>
      <c r="U24" s="234"/>
      <c r="V24" s="234"/>
      <c r="W24" s="234"/>
      <c r="X24" s="36"/>
      <c r="Y24" s="36"/>
      <c r="Z24" s="36"/>
      <c r="AA24" s="36"/>
      <c r="AB24" s="36"/>
      <c r="AC24" s="36"/>
      <c r="AD24" s="36"/>
      <c r="AE24" s="36"/>
      <c r="AF24" s="36"/>
      <c r="AG24" s="36"/>
      <c r="AH24" s="36"/>
      <c r="AI24" s="36"/>
      <c r="AJ24" s="36"/>
      <c r="AK24" s="36"/>
    </row>
    <row r="25" spans="1:37" ht="13.5" customHeight="1" thickBot="1" x14ac:dyDescent="0.3">
      <c r="A25" s="249"/>
      <c r="B25" s="36"/>
      <c r="C25" s="36"/>
      <c r="D25" s="250">
        <f t="shared" ref="D25:K25" si="18">SUM(D4:D23)</f>
        <v>6801080.4223687313</v>
      </c>
      <c r="E25" s="250">
        <f t="shared" si="18"/>
        <v>1545487.929406279</v>
      </c>
      <c r="F25" s="250">
        <f t="shared" si="18"/>
        <v>839504</v>
      </c>
      <c r="G25" s="250">
        <f t="shared" si="18"/>
        <v>29207</v>
      </c>
      <c r="H25" s="250">
        <f t="shared" si="18"/>
        <v>15447204.654381447</v>
      </c>
      <c r="I25" s="250">
        <f t="shared" si="18"/>
        <v>215664.5</v>
      </c>
      <c r="J25" s="250">
        <f t="shared" si="18"/>
        <v>13304.411809383275</v>
      </c>
      <c r="K25" s="250">
        <f t="shared" si="18"/>
        <v>24891452.917965844</v>
      </c>
      <c r="L25" s="250">
        <f>SUM(L4:L23)</f>
        <v>24051948.917965844</v>
      </c>
      <c r="M25" s="251">
        <f>SUM(M4:M23)</f>
        <v>1629.5833333333335</v>
      </c>
      <c r="N25" s="36"/>
      <c r="O25" s="235"/>
      <c r="P25" s="235"/>
      <c r="Q25" s="249"/>
      <c r="R25" s="36"/>
      <c r="S25" s="36"/>
      <c r="T25" s="234"/>
      <c r="U25" s="234"/>
      <c r="V25" s="235">
        <f>SUM(V4:V23)</f>
        <v>561033.36475520977</v>
      </c>
      <c r="W25" s="234"/>
      <c r="X25" s="36"/>
      <c r="Y25" s="36"/>
      <c r="Z25" s="36"/>
      <c r="AA25" s="36"/>
      <c r="AB25" s="36"/>
      <c r="AC25" s="36"/>
      <c r="AD25" s="36"/>
      <c r="AE25" s="36"/>
      <c r="AF25" s="36"/>
      <c r="AG25" s="36"/>
      <c r="AH25" s="235">
        <f>SUM(AH4:AH23)</f>
        <v>24612982.282721054</v>
      </c>
      <c r="AI25" s="36"/>
      <c r="AJ25" s="36"/>
      <c r="AK25" s="36"/>
    </row>
    <row r="26" spans="1:37" x14ac:dyDescent="0.25">
      <c r="A26" s="249"/>
      <c r="B26" s="36"/>
      <c r="C26" s="36"/>
      <c r="D26" s="234"/>
      <c r="E26" s="234"/>
      <c r="F26" s="234"/>
      <c r="G26" s="234"/>
      <c r="H26" s="36"/>
      <c r="I26" s="36"/>
      <c r="J26" s="36"/>
      <c r="K26" s="234"/>
      <c r="L26" s="252"/>
      <c r="M26" s="252"/>
      <c r="N26" s="36"/>
      <c r="O26" s="235"/>
      <c r="P26" s="235"/>
      <c r="Q26" s="249"/>
      <c r="R26" s="36"/>
      <c r="S26" s="36"/>
      <c r="T26" s="234"/>
      <c r="U26" s="234"/>
      <c r="V26" s="234"/>
      <c r="W26" s="234"/>
      <c r="X26" s="36"/>
      <c r="Y26" s="36"/>
      <c r="Z26" s="36"/>
      <c r="AA26" s="36"/>
      <c r="AB26" s="36"/>
      <c r="AC26" s="36"/>
      <c r="AD26" s="36"/>
      <c r="AE26" s="36"/>
      <c r="AF26" s="36"/>
      <c r="AG26" s="36"/>
      <c r="AH26" s="235"/>
      <c r="AI26" s="36"/>
      <c r="AJ26" s="36"/>
      <c r="AK26" s="36"/>
    </row>
    <row r="27" spans="1:37" x14ac:dyDescent="0.25">
      <c r="A27" s="36"/>
      <c r="B27" s="234" t="s">
        <v>436</v>
      </c>
      <c r="C27" s="36"/>
      <c r="D27" s="235">
        <f>'2013-14 Funding (4)'!D28</f>
        <v>6543886.7049866961</v>
      </c>
      <c r="E27" s="235">
        <f>'2013-14 Funding (4)'!E28</f>
        <v>1491617.1263370216</v>
      </c>
      <c r="F27" s="235">
        <f>'2013-14 Funding (4)'!F28</f>
        <v>807245</v>
      </c>
      <c r="G27" s="235">
        <f>'2013-14 Funding (4)'!G28</f>
        <v>17037</v>
      </c>
      <c r="H27" s="235">
        <f>'2013-14 Funding (4)'!H28</f>
        <v>15010442.635035809</v>
      </c>
      <c r="I27" s="235">
        <f>'2013-14 Funding (4)'!I28</f>
        <v>233966.5</v>
      </c>
      <c r="J27" s="235">
        <f>'2013-14 Funding (4)'!J28</f>
        <v>13304.411809383275</v>
      </c>
      <c r="K27" s="235">
        <f>'2013-14 Funding (4)'!K28</f>
        <v>24117499.378168918</v>
      </c>
      <c r="L27" s="235">
        <f>'2013-14 Funding (4)'!Q28</f>
        <v>23310254.378168918</v>
      </c>
      <c r="M27" s="253">
        <f>'2013-14 Funding (4)'!R28</f>
        <v>1582.8333333333335</v>
      </c>
      <c r="N27" s="36"/>
      <c r="O27" s="235"/>
      <c r="P27" s="234"/>
      <c r="Q27" s="234"/>
      <c r="R27" s="36"/>
      <c r="S27" s="36"/>
      <c r="T27" s="234"/>
      <c r="U27" s="234"/>
      <c r="V27" s="235">
        <f>'2013-14 Funding (4)'!AA26</f>
        <v>670949.39034196257</v>
      </c>
      <c r="W27" s="234"/>
      <c r="X27" s="36"/>
      <c r="Y27" s="36"/>
      <c r="Z27" s="36"/>
      <c r="AA27" s="36"/>
      <c r="AB27" s="36"/>
      <c r="AC27" s="36"/>
      <c r="AD27" s="36"/>
      <c r="AE27" s="36"/>
      <c r="AF27" s="36"/>
      <c r="AG27" s="36"/>
      <c r="AH27" s="235">
        <f>'2013-14 Funding (4)'!AB28</f>
        <v>23981203.768510878</v>
      </c>
      <c r="AI27" s="36"/>
      <c r="AJ27" s="36"/>
      <c r="AK27" s="36"/>
    </row>
    <row r="28" spans="1:37" x14ac:dyDescent="0.25">
      <c r="A28" s="36"/>
      <c r="B28" s="234"/>
      <c r="C28" s="36"/>
      <c r="D28" s="234"/>
      <c r="E28" s="234"/>
      <c r="F28" s="234"/>
      <c r="G28" s="234"/>
      <c r="H28" s="36"/>
      <c r="I28" s="36"/>
      <c r="J28" s="36"/>
      <c r="K28" s="234"/>
      <c r="L28" s="36"/>
      <c r="M28" s="253"/>
      <c r="N28" s="36"/>
      <c r="O28" s="235"/>
      <c r="P28" s="234"/>
      <c r="Q28" s="234"/>
      <c r="R28" s="36"/>
      <c r="S28" s="36"/>
      <c r="T28" s="234"/>
      <c r="U28" s="234"/>
      <c r="V28" s="234"/>
      <c r="W28" s="234"/>
      <c r="X28" s="36"/>
      <c r="Y28" s="36"/>
      <c r="Z28" s="36"/>
      <c r="AA28" s="36"/>
      <c r="AB28" s="36"/>
      <c r="AC28" s="36"/>
      <c r="AD28" s="36"/>
      <c r="AE28" s="36"/>
      <c r="AF28" s="36"/>
      <c r="AG28" s="36"/>
      <c r="AH28" s="235"/>
      <c r="AI28" s="36"/>
      <c r="AJ28" s="36"/>
      <c r="AK28" s="36"/>
    </row>
    <row r="29" spans="1:37" x14ac:dyDescent="0.25">
      <c r="A29" s="36"/>
      <c r="B29" s="234" t="s">
        <v>19</v>
      </c>
      <c r="C29" s="36"/>
      <c r="D29" s="235">
        <f>D25-D27</f>
        <v>257193.71738203522</v>
      </c>
      <c r="E29" s="235">
        <f t="shared" ref="E29:J29" si="19">E25-E27</f>
        <v>53870.80306925741</v>
      </c>
      <c r="F29" s="235">
        <f t="shared" si="19"/>
        <v>32259</v>
      </c>
      <c r="G29" s="235">
        <f t="shared" si="19"/>
        <v>12170</v>
      </c>
      <c r="H29" s="235">
        <f t="shared" si="19"/>
        <v>436762.01934563741</v>
      </c>
      <c r="I29" s="235">
        <f t="shared" si="19"/>
        <v>-18302</v>
      </c>
      <c r="J29" s="235">
        <f t="shared" si="19"/>
        <v>0</v>
      </c>
      <c r="K29" s="235">
        <f>K25-K27</f>
        <v>773953.53979692608</v>
      </c>
      <c r="L29" s="235">
        <f>L25-L27</f>
        <v>741694.53979692608</v>
      </c>
      <c r="M29" s="253">
        <f>M25-M27</f>
        <v>46.75</v>
      </c>
      <c r="N29" s="235">
        <f>N25-N27</f>
        <v>0</v>
      </c>
      <c r="O29" s="235"/>
      <c r="P29" s="234"/>
      <c r="Q29" s="234"/>
      <c r="R29" s="36"/>
      <c r="S29" s="36"/>
      <c r="T29" s="234"/>
      <c r="U29" s="234"/>
      <c r="V29" s="235">
        <f>V25-V27</f>
        <v>-109916.0255867528</v>
      </c>
      <c r="W29" s="234"/>
      <c r="X29" s="36"/>
      <c r="Y29" s="36"/>
      <c r="Z29" s="36"/>
      <c r="AA29" s="36"/>
      <c r="AB29" s="36"/>
      <c r="AC29" s="36"/>
      <c r="AD29" s="36"/>
      <c r="AE29" s="36"/>
      <c r="AF29" s="36"/>
      <c r="AG29" s="36"/>
      <c r="AH29" s="235">
        <f>AH25-AH27</f>
        <v>631778.51421017572</v>
      </c>
      <c r="AI29" s="36"/>
      <c r="AJ29" s="36"/>
      <c r="AK29" s="36"/>
    </row>
    <row r="30" spans="1:37" x14ac:dyDescent="0.25">
      <c r="A30" s="1190" t="s">
        <v>437</v>
      </c>
      <c r="B30" s="234"/>
      <c r="C30" s="36"/>
      <c r="D30" s="234"/>
      <c r="E30" s="234"/>
      <c r="F30" s="234"/>
      <c r="G30" s="234"/>
      <c r="H30" s="36"/>
      <c r="I30" s="36"/>
      <c r="J30" s="36"/>
      <c r="K30" s="234"/>
      <c r="L30" s="36"/>
      <c r="M30" s="253"/>
      <c r="N30" s="36"/>
      <c r="O30" s="235"/>
      <c r="P30" s="234"/>
      <c r="Q30" s="234"/>
      <c r="R30" s="36"/>
      <c r="S30" s="36"/>
      <c r="T30" s="234"/>
      <c r="U30" s="234"/>
      <c r="V30" s="234"/>
      <c r="W30" s="234"/>
      <c r="X30" s="36"/>
      <c r="Y30" s="36"/>
      <c r="Z30" s="36"/>
      <c r="AA30" s="36"/>
      <c r="AB30" s="36"/>
      <c r="AC30" s="36"/>
      <c r="AD30" s="36"/>
      <c r="AE30" s="36"/>
      <c r="AF30" s="36"/>
      <c r="AG30" s="36"/>
      <c r="AH30" s="36"/>
      <c r="AI30" s="36"/>
      <c r="AJ30" s="36"/>
      <c r="AK30" s="36"/>
    </row>
    <row r="31" spans="1:37" x14ac:dyDescent="0.25">
      <c r="A31" s="36"/>
      <c r="B31" s="234"/>
      <c r="C31" s="36"/>
      <c r="D31" s="234" t="s">
        <v>438</v>
      </c>
      <c r="E31" s="234" t="s">
        <v>438</v>
      </c>
      <c r="F31" s="234" t="s">
        <v>438</v>
      </c>
      <c r="G31" s="234" t="s">
        <v>438</v>
      </c>
      <c r="H31" s="234" t="s">
        <v>438</v>
      </c>
      <c r="I31" s="234" t="s">
        <v>439</v>
      </c>
      <c r="J31" s="234" t="s">
        <v>438</v>
      </c>
      <c r="K31" s="234"/>
      <c r="L31" s="234"/>
      <c r="M31" s="234"/>
      <c r="N31" s="36"/>
      <c r="O31" s="235"/>
      <c r="P31" s="234"/>
      <c r="Q31" s="234"/>
      <c r="R31" s="36"/>
      <c r="S31" s="36"/>
      <c r="T31" s="234"/>
      <c r="U31" s="234"/>
      <c r="V31" s="234" t="s">
        <v>438</v>
      </c>
      <c r="W31" s="234"/>
      <c r="X31" s="36"/>
      <c r="Y31" s="36"/>
      <c r="Z31" s="36"/>
      <c r="AA31" s="36"/>
      <c r="AB31" s="36"/>
      <c r="AC31" s="36"/>
      <c r="AD31" s="36"/>
      <c r="AE31" s="36"/>
      <c r="AF31" s="36"/>
      <c r="AG31" s="36"/>
      <c r="AH31" s="234" t="s">
        <v>438</v>
      </c>
      <c r="AI31" s="36"/>
      <c r="AJ31" s="36"/>
      <c r="AK31" s="36"/>
    </row>
    <row r="32" spans="1:37" x14ac:dyDescent="0.25">
      <c r="A32" s="36"/>
      <c r="B32" s="234"/>
      <c r="C32" s="36"/>
      <c r="D32" s="234"/>
      <c r="E32" s="234"/>
      <c r="F32" s="234"/>
      <c r="G32" s="234"/>
      <c r="H32" s="234"/>
      <c r="I32" s="234"/>
      <c r="J32" s="234"/>
      <c r="K32" s="234"/>
      <c r="L32" s="234"/>
      <c r="M32" s="234"/>
      <c r="N32" s="36"/>
      <c r="O32" s="235"/>
      <c r="P32" s="234"/>
      <c r="Q32" s="234"/>
      <c r="R32" s="36"/>
      <c r="S32" s="36"/>
      <c r="T32" s="234"/>
      <c r="U32" s="234"/>
      <c r="V32" s="234"/>
      <c r="W32" s="234"/>
      <c r="X32" s="36"/>
      <c r="Y32" s="36"/>
      <c r="Z32" s="36"/>
      <c r="AA32" s="36"/>
      <c r="AB32" s="36"/>
      <c r="AC32" s="36"/>
      <c r="AD32" s="36"/>
      <c r="AE32" s="36"/>
      <c r="AF32" s="36"/>
      <c r="AG32" s="36"/>
      <c r="AH32" s="36"/>
      <c r="AI32" s="36"/>
      <c r="AJ32" s="36"/>
      <c r="AK32" s="36"/>
    </row>
    <row r="33" spans="4:10" x14ac:dyDescent="0.25">
      <c r="D33" s="1439" t="s">
        <v>440</v>
      </c>
      <c r="E33" s="1439"/>
      <c r="F33" s="234" t="s">
        <v>7</v>
      </c>
      <c r="G33" s="234" t="s">
        <v>441</v>
      </c>
      <c r="H33" s="1488" t="s">
        <v>442</v>
      </c>
      <c r="I33" s="36"/>
      <c r="J33" s="234" t="s">
        <v>443</v>
      </c>
    </row>
    <row r="34" spans="4:10" x14ac:dyDescent="0.25">
      <c r="D34" s="234"/>
      <c r="E34" s="234"/>
      <c r="F34" s="234"/>
      <c r="G34" s="234"/>
      <c r="H34" s="1488"/>
      <c r="I34" s="36"/>
      <c r="J34" s="36"/>
    </row>
  </sheetData>
  <sheetProtection password="C462" sheet="1" objects="1" scenarios="1"/>
  <mergeCells count="3">
    <mergeCell ref="X2:Z2"/>
    <mergeCell ref="D33:E33"/>
    <mergeCell ref="H33:H34"/>
  </mergeCells>
  <phoneticPr fontId="60" type="noConversion"/>
  <pageMargins left="0.39370078740157483" right="0.39370078740157483" top="0.98425196850393704" bottom="0.98425196850393704" header="0.51181102362204722" footer="0.51181102362204722"/>
  <pageSetup paperSize="8" scale="59" orientation="landscape" r:id="rId1"/>
  <headerFooter alignWithMargins="0">
    <oddFooter>&amp;F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00B050"/>
    <pageSetUpPr fitToPage="1"/>
  </sheetPr>
  <dimension ref="A1:AJ51"/>
  <sheetViews>
    <sheetView zoomScale="85" zoomScaleNormal="100" workbookViewId="0">
      <pane xSplit="2" topLeftCell="C1" activePane="topRight" state="frozen"/>
      <selection activeCell="B1" sqref="B1"/>
      <selection pane="topRight" activeCell="G11" sqref="G11"/>
    </sheetView>
  </sheetViews>
  <sheetFormatPr defaultColWidth="10.26953125" defaultRowHeight="12.5" x14ac:dyDescent="0.25"/>
  <cols>
    <col min="1" max="1" width="10.26953125" style="29"/>
    <col min="2" max="2" width="31.54296875" style="29" customWidth="1"/>
    <col min="3" max="3" width="6.1796875" style="29" customWidth="1"/>
    <col min="4" max="7" width="15.7265625" style="30" customWidth="1"/>
    <col min="8" max="10" width="15.7265625" style="29" customWidth="1"/>
    <col min="11" max="11" width="15.7265625" style="30" customWidth="1"/>
    <col min="12" max="14" width="15.7265625" style="30" hidden="1" customWidth="1"/>
    <col min="15" max="16" width="15.7265625" style="29" hidden="1" customWidth="1"/>
    <col min="17" max="17" width="17.26953125" style="29" customWidth="1"/>
    <col min="18" max="18" width="10.26953125" style="30" customWidth="1"/>
    <col min="19" max="19" width="0.81640625" style="29" customWidth="1"/>
    <col min="20" max="20" width="10.26953125" style="31" customWidth="1"/>
    <col min="21" max="21" width="11.81640625" style="30" bestFit="1" customWidth="1"/>
    <col min="22" max="22" width="10.26953125" style="30"/>
    <col min="23" max="24" width="10.26953125" style="29"/>
    <col min="25" max="26" width="9.54296875" style="30" customWidth="1"/>
    <col min="27" max="27" width="10.26953125" style="30"/>
    <col min="28" max="28" width="11.54296875" style="30" customWidth="1"/>
    <col min="29" max="16384" width="10.26953125" style="29"/>
  </cols>
  <sheetData>
    <row r="1" spans="1:32" ht="17.5" x14ac:dyDescent="0.35">
      <c r="A1" s="36"/>
      <c r="B1" s="33" t="s">
        <v>444</v>
      </c>
      <c r="C1" s="36"/>
      <c r="D1" s="234"/>
      <c r="E1" s="234"/>
      <c r="F1" s="234"/>
      <c r="G1" s="234"/>
      <c r="H1" s="36"/>
      <c r="I1" s="36"/>
      <c r="J1" s="36"/>
      <c r="K1" s="234"/>
      <c r="L1" s="234"/>
      <c r="M1" s="234"/>
      <c r="N1" s="234"/>
      <c r="O1" s="36"/>
      <c r="P1" s="36"/>
      <c r="Q1" s="36"/>
      <c r="R1" s="234"/>
      <c r="S1" s="36"/>
      <c r="T1" s="235"/>
      <c r="U1" s="234"/>
      <c r="V1" s="234"/>
      <c r="W1" s="36"/>
      <c r="X1" s="36"/>
      <c r="Y1" s="234"/>
      <c r="Z1" s="234"/>
      <c r="AA1" s="234"/>
      <c r="AB1" s="234"/>
      <c r="AC1" s="36"/>
      <c r="AD1" s="36"/>
      <c r="AE1" s="36"/>
      <c r="AF1" s="36"/>
    </row>
    <row r="2" spans="1:32" x14ac:dyDescent="0.25">
      <c r="A2" s="36"/>
      <c r="B2" s="36"/>
      <c r="C2" s="36"/>
      <c r="D2" s="234"/>
      <c r="E2" s="234"/>
      <c r="F2" s="234"/>
      <c r="G2" s="234"/>
      <c r="H2" s="36"/>
      <c r="I2" s="36"/>
      <c r="J2" s="36"/>
      <c r="K2" s="234"/>
      <c r="L2" s="234"/>
      <c r="M2" s="234"/>
      <c r="N2" s="234"/>
      <c r="O2" s="36"/>
      <c r="P2" s="36"/>
      <c r="Q2" s="36"/>
      <c r="R2" s="234"/>
      <c r="S2" s="36"/>
      <c r="T2" s="235"/>
      <c r="U2" s="234"/>
      <c r="V2" s="234"/>
      <c r="W2" s="36"/>
      <c r="X2" s="36"/>
      <c r="Y2" s="234"/>
      <c r="Z2" s="234"/>
      <c r="AA2" s="234"/>
      <c r="AB2" s="234"/>
      <c r="AC2" s="36"/>
      <c r="AD2" s="36"/>
      <c r="AE2" s="36"/>
      <c r="AF2" s="36"/>
    </row>
    <row r="3" spans="1:32" ht="39" customHeight="1" x14ac:dyDescent="0.25">
      <c r="A3" s="236" t="s">
        <v>182</v>
      </c>
      <c r="B3" s="237" t="s">
        <v>183</v>
      </c>
      <c r="C3" s="238" t="s">
        <v>184</v>
      </c>
      <c r="D3" s="239" t="s">
        <v>58</v>
      </c>
      <c r="E3" s="240" t="s">
        <v>59</v>
      </c>
      <c r="F3" s="238" t="s">
        <v>147</v>
      </c>
      <c r="G3" s="238" t="s">
        <v>185</v>
      </c>
      <c r="H3" s="238" t="s">
        <v>103</v>
      </c>
      <c r="I3" s="241" t="s">
        <v>187</v>
      </c>
      <c r="J3" s="241" t="s">
        <v>188</v>
      </c>
      <c r="K3" s="238" t="s">
        <v>189</v>
      </c>
      <c r="L3" s="241" t="s">
        <v>445</v>
      </c>
      <c r="M3" s="241" t="s">
        <v>446</v>
      </c>
      <c r="N3" s="238" t="s">
        <v>19</v>
      </c>
      <c r="O3" s="36"/>
      <c r="P3" s="36"/>
      <c r="Q3" s="241" t="s">
        <v>190</v>
      </c>
      <c r="R3" s="241" t="s">
        <v>447</v>
      </c>
      <c r="S3" s="36"/>
      <c r="T3" s="241" t="s">
        <v>192</v>
      </c>
      <c r="U3" s="242" t="s">
        <v>193</v>
      </c>
      <c r="V3" s="242" t="s">
        <v>194</v>
      </c>
      <c r="W3" s="242" t="s">
        <v>448</v>
      </c>
      <c r="X3" s="242" t="s">
        <v>431</v>
      </c>
      <c r="Y3" s="241" t="s">
        <v>197</v>
      </c>
      <c r="Z3" s="241" t="s">
        <v>449</v>
      </c>
      <c r="AA3" s="241" t="s">
        <v>198</v>
      </c>
      <c r="AB3" s="1166" t="s">
        <v>450</v>
      </c>
      <c r="AC3" s="1166" t="s">
        <v>200</v>
      </c>
      <c r="AD3" s="1166" t="s">
        <v>201</v>
      </c>
      <c r="AE3" s="1166" t="s">
        <v>202</v>
      </c>
      <c r="AF3" s="36"/>
    </row>
    <row r="4" spans="1:32" x14ac:dyDescent="0.25">
      <c r="A4" s="244">
        <v>9257010</v>
      </c>
      <c r="B4" s="237" t="s">
        <v>205</v>
      </c>
      <c r="C4" s="238">
        <v>3</v>
      </c>
      <c r="D4" s="245">
        <f>'Funding Model'!$D$22</f>
        <v>314686.51772419503</v>
      </c>
      <c r="E4" s="245">
        <f>'Funding Model'!$E$22</f>
        <v>69201.680689977453</v>
      </c>
      <c r="F4" s="245"/>
      <c r="G4" s="245"/>
      <c r="H4" s="245">
        <f>'Band Calculations'!Y5</f>
        <v>425593.21832531283</v>
      </c>
      <c r="I4" s="245">
        <v>4912</v>
      </c>
      <c r="J4" s="245">
        <v>616.77824313180849</v>
      </c>
      <c r="K4" s="245">
        <f t="shared" ref="K4:K16" si="0">SUM(D4:J4)</f>
        <v>815010.19498261716</v>
      </c>
      <c r="L4" s="245" t="e">
        <f>#REF!</f>
        <v>#REF!</v>
      </c>
      <c r="M4" s="245" t="e">
        <f>#REF!</f>
        <v>#REF!</v>
      </c>
      <c r="N4" s="245" t="e">
        <f>K4-L4-M4</f>
        <v>#REF!</v>
      </c>
      <c r="O4" s="36"/>
      <c r="P4" s="36"/>
      <c r="Q4" s="245">
        <f>K4-F4</f>
        <v>815010.19498261716</v>
      </c>
      <c r="R4" s="246">
        <f>'Band Calculations'!Z5</f>
        <v>43</v>
      </c>
      <c r="S4" s="36"/>
      <c r="T4" s="242">
        <f>Q4/R4</f>
        <v>18953.725464712028</v>
      </c>
      <c r="U4" s="242">
        <f>R4*10000</f>
        <v>430000</v>
      </c>
      <c r="V4" s="242">
        <f>T4-10000</f>
        <v>8953.725464712028</v>
      </c>
      <c r="W4" s="1188">
        <f>'2012-13 Top-ups'!Y7</f>
        <v>9006.8611079459952</v>
      </c>
      <c r="X4" s="245">
        <f>IF(V4&gt;W4,(V4),(W4))</f>
        <v>9006.8611079459952</v>
      </c>
      <c r="Y4" s="245">
        <f>10000+X4</f>
        <v>19006.861107945995</v>
      </c>
      <c r="Z4" s="245">
        <f>Y4-11165</f>
        <v>7841.8611079459952</v>
      </c>
      <c r="AA4" s="245">
        <f>(X4-V4)*R4</f>
        <v>2284.8326590605866</v>
      </c>
      <c r="AB4" s="245">
        <f>Q4+AA4</f>
        <v>817295.02764167776</v>
      </c>
      <c r="AC4" s="245">
        <f>AB4*98.5%</f>
        <v>805035.60222705256</v>
      </c>
      <c r="AD4" s="245">
        <f>AC4/R4</f>
        <v>18721.758191326804</v>
      </c>
      <c r="AE4" s="245">
        <f>AD4-10000</f>
        <v>8721.7581913268041</v>
      </c>
      <c r="AF4" s="36"/>
    </row>
    <row r="5" spans="1:32" x14ac:dyDescent="0.25">
      <c r="A5" s="244">
        <v>9257005</v>
      </c>
      <c r="B5" s="237" t="s">
        <v>208</v>
      </c>
      <c r="C5" s="238">
        <v>3</v>
      </c>
      <c r="D5" s="245">
        <f>'Funding Model'!$D$22</f>
        <v>314686.51772419503</v>
      </c>
      <c r="E5" s="245">
        <f>'Funding Model'!$E$22</f>
        <v>69201.680689977453</v>
      </c>
      <c r="F5" s="245"/>
      <c r="G5" s="245"/>
      <c r="H5" s="245">
        <f>'Band Calculations'!Y6</f>
        <v>553473.01366939745</v>
      </c>
      <c r="I5" s="245">
        <v>12055.5</v>
      </c>
      <c r="J5" s="245">
        <v>675.74486784427756</v>
      </c>
      <c r="K5" s="245">
        <f t="shared" si="0"/>
        <v>950092.45695141423</v>
      </c>
      <c r="L5" s="245" t="e">
        <f>#REF!</f>
        <v>#REF!</v>
      </c>
      <c r="M5" s="245" t="e">
        <f>#REF!</f>
        <v>#REF!</v>
      </c>
      <c r="N5" s="245" t="e">
        <f t="shared" ref="N5:N16" si="1">K5-L5-M5</f>
        <v>#REF!</v>
      </c>
      <c r="O5" s="36"/>
      <c r="P5" s="36"/>
      <c r="Q5" s="245">
        <f t="shared" ref="Q5:Q24" si="2">K5-F5</f>
        <v>950092.45695141423</v>
      </c>
      <c r="R5" s="246">
        <f>'Band Calculations'!Z6</f>
        <v>63</v>
      </c>
      <c r="S5" s="36"/>
      <c r="T5" s="242">
        <f t="shared" ref="T5:T24" si="3">Q5/R5</f>
        <v>15080.832650022448</v>
      </c>
      <c r="U5" s="242">
        <f t="shared" ref="U5:U24" si="4">R5*10000</f>
        <v>630000</v>
      </c>
      <c r="V5" s="242">
        <f t="shared" ref="V5:V24" si="5">T5-10000</f>
        <v>5080.8326500224484</v>
      </c>
      <c r="W5" s="1188">
        <f>'2012-13 Top-ups'!Y8</f>
        <v>5281.5922329240384</v>
      </c>
      <c r="X5" s="245">
        <f>IF(V5&gt;W5,(V5),(W5))</f>
        <v>5281.5922329240384</v>
      </c>
      <c r="Y5" s="245">
        <f t="shared" ref="Y5:Y24" si="6">10000+X5</f>
        <v>15281.592232924038</v>
      </c>
      <c r="Z5" s="245">
        <f t="shared" ref="Z5:Z24" si="7">Y5-11165</f>
        <v>4116.5922329240384</v>
      </c>
      <c r="AA5" s="245">
        <f t="shared" ref="AA5:AA15" si="8">(X5-V5)*R5</f>
        <v>12647.853722800168</v>
      </c>
      <c r="AB5" s="245">
        <f t="shared" ref="AB5:AB24" si="9">Q5+AA5</f>
        <v>962740.31067421439</v>
      </c>
      <c r="AC5" s="245">
        <f t="shared" ref="AC5:AC24" si="10">AB5*98.5%</f>
        <v>948299.20601410116</v>
      </c>
      <c r="AD5" s="245">
        <f t="shared" ref="AD5:AD24" si="11">AC5/R5</f>
        <v>15052.368349430177</v>
      </c>
      <c r="AE5" s="245">
        <f t="shared" ref="AE5:AE24" si="12">AD5-10000</f>
        <v>5052.3683494301767</v>
      </c>
      <c r="AF5" s="36"/>
    </row>
    <row r="6" spans="1:32" x14ac:dyDescent="0.25">
      <c r="A6" s="244">
        <v>9257025</v>
      </c>
      <c r="B6" s="237" t="s">
        <v>209</v>
      </c>
      <c r="C6" s="238">
        <v>3</v>
      </c>
      <c r="D6" s="245">
        <f>'Funding Model'!$D$22</f>
        <v>314686.51772419503</v>
      </c>
      <c r="E6" s="245">
        <f>'Funding Model'!$E$22</f>
        <v>69201.680689977453</v>
      </c>
      <c r="F6" s="245"/>
      <c r="G6" s="245"/>
      <c r="H6" s="1191">
        <f>'Band Calculations'!Y7</f>
        <v>688368.83281983854</v>
      </c>
      <c r="I6" s="245">
        <v>4465</v>
      </c>
      <c r="J6" s="245">
        <v>646.26155548804309</v>
      </c>
      <c r="K6" s="245">
        <f t="shared" si="0"/>
        <v>1077368.292789499</v>
      </c>
      <c r="L6" s="245" t="e">
        <f>#REF!</f>
        <v>#REF!</v>
      </c>
      <c r="M6" s="245" t="e">
        <f>#REF!</f>
        <v>#REF!</v>
      </c>
      <c r="N6" s="245" t="e">
        <f t="shared" si="1"/>
        <v>#REF!</v>
      </c>
      <c r="O6" s="36"/>
      <c r="P6" s="36"/>
      <c r="Q6" s="245">
        <f t="shared" si="2"/>
        <v>1077368.292789499</v>
      </c>
      <c r="R6" s="246">
        <f>'Band Calculations'!Z7</f>
        <v>63</v>
      </c>
      <c r="S6" s="36"/>
      <c r="T6" s="242">
        <f t="shared" si="3"/>
        <v>17101.08401253173</v>
      </c>
      <c r="U6" s="242">
        <f t="shared" si="4"/>
        <v>630000</v>
      </c>
      <c r="V6" s="242">
        <f t="shared" si="5"/>
        <v>7101.08401253173</v>
      </c>
      <c r="W6" s="1188">
        <f>'2012-13 Top-ups'!Y9</f>
        <v>9266.6596869076475</v>
      </c>
      <c r="X6" s="245">
        <f t="shared" ref="X6:X24" si="13">IF(V6&gt;W6,(V6),(W6))</f>
        <v>9266.6596869076475</v>
      </c>
      <c r="Y6" s="245">
        <f t="shared" si="6"/>
        <v>19266.659686907646</v>
      </c>
      <c r="Z6" s="245">
        <f t="shared" si="7"/>
        <v>8101.6596869076457</v>
      </c>
      <c r="AA6" s="245">
        <f t="shared" si="8"/>
        <v>136431.26748568279</v>
      </c>
      <c r="AB6" s="245">
        <f t="shared" si="9"/>
        <v>1213799.5602751819</v>
      </c>
      <c r="AC6" s="245">
        <f t="shared" si="10"/>
        <v>1195592.5668710542</v>
      </c>
      <c r="AD6" s="245">
        <f t="shared" si="11"/>
        <v>18977.659791604037</v>
      </c>
      <c r="AE6" s="245">
        <f t="shared" si="12"/>
        <v>8977.6597916040373</v>
      </c>
      <c r="AF6" s="36"/>
    </row>
    <row r="7" spans="1:32" x14ac:dyDescent="0.25">
      <c r="A7" s="244">
        <v>9257011</v>
      </c>
      <c r="B7" s="237" t="s">
        <v>210</v>
      </c>
      <c r="C7" s="238">
        <v>3</v>
      </c>
      <c r="D7" s="245">
        <f>'Funding Model'!$D$22</f>
        <v>314686.51772419503</v>
      </c>
      <c r="E7" s="245">
        <f>'Funding Model'!$E$22</f>
        <v>69201.680689977453</v>
      </c>
      <c r="F7" s="245"/>
      <c r="G7" s="245"/>
      <c r="H7" s="245">
        <f>'Band Calculations'!Y8</f>
        <v>431340.2745136476</v>
      </c>
      <c r="I7" s="245">
        <v>4911.5</v>
      </c>
      <c r="J7" s="245">
        <v>610.88158066056155</v>
      </c>
      <c r="K7" s="245">
        <f t="shared" si="0"/>
        <v>820750.85450848076</v>
      </c>
      <c r="L7" s="245" t="e">
        <f>#REF!</f>
        <v>#REF!</v>
      </c>
      <c r="M7" s="245" t="e">
        <f>#REF!</f>
        <v>#REF!</v>
      </c>
      <c r="N7" s="245" t="e">
        <f t="shared" si="1"/>
        <v>#REF!</v>
      </c>
      <c r="O7" s="36"/>
      <c r="P7" s="36"/>
      <c r="Q7" s="245">
        <f t="shared" si="2"/>
        <v>820750.85450848076</v>
      </c>
      <c r="R7" s="246">
        <f>'Band Calculations'!Z8</f>
        <v>41</v>
      </c>
      <c r="S7" s="36"/>
      <c r="T7" s="242">
        <f t="shared" si="3"/>
        <v>20018.313524597092</v>
      </c>
      <c r="U7" s="242">
        <f t="shared" si="4"/>
        <v>410000</v>
      </c>
      <c r="V7" s="242">
        <f t="shared" si="5"/>
        <v>10018.313524597092</v>
      </c>
      <c r="W7" s="245">
        <f>'2012-13 Top-ups'!Y10</f>
        <v>9842.6358739976295</v>
      </c>
      <c r="X7" s="245">
        <f t="shared" si="13"/>
        <v>10018.313524597092</v>
      </c>
      <c r="Y7" s="245">
        <f t="shared" si="6"/>
        <v>20018.313524597092</v>
      </c>
      <c r="Z7" s="245">
        <f t="shared" si="7"/>
        <v>8853.3135245970916</v>
      </c>
      <c r="AA7" s="245">
        <f t="shared" si="8"/>
        <v>0</v>
      </c>
      <c r="AB7" s="245">
        <f t="shared" si="9"/>
        <v>820750.85450848076</v>
      </c>
      <c r="AC7" s="245">
        <f t="shared" si="10"/>
        <v>808439.59169085359</v>
      </c>
      <c r="AD7" s="245">
        <f t="shared" si="11"/>
        <v>19718.038821728136</v>
      </c>
      <c r="AE7" s="245">
        <f t="shared" si="12"/>
        <v>9718.0388217281361</v>
      </c>
      <c r="AF7" s="36"/>
    </row>
    <row r="8" spans="1:32" x14ac:dyDescent="0.25">
      <c r="A8" s="244">
        <v>9257024</v>
      </c>
      <c r="B8" s="237" t="s">
        <v>211</v>
      </c>
      <c r="C8" s="238">
        <v>3</v>
      </c>
      <c r="D8" s="245">
        <f>'Funding Model'!$D$22</f>
        <v>314686.51772419503</v>
      </c>
      <c r="E8" s="245">
        <f>'Funding Model'!$E$22</f>
        <v>69201.680689977453</v>
      </c>
      <c r="F8" s="245"/>
      <c r="G8" s="245"/>
      <c r="H8" s="245">
        <f>'Band Calculations'!Y9</f>
        <v>413562.54341202579</v>
      </c>
      <c r="I8" s="245">
        <v>8483.5</v>
      </c>
      <c r="J8" s="245">
        <v>628.57156807430238</v>
      </c>
      <c r="K8" s="245">
        <f t="shared" si="0"/>
        <v>806562.81339427258</v>
      </c>
      <c r="L8" s="245" t="e">
        <f>#REF!</f>
        <v>#REF!</v>
      </c>
      <c r="M8" s="245" t="e">
        <f>#REF!</f>
        <v>#REF!</v>
      </c>
      <c r="N8" s="245" t="e">
        <f t="shared" si="1"/>
        <v>#REF!</v>
      </c>
      <c r="O8" s="36"/>
      <c r="P8" s="36"/>
      <c r="Q8" s="245">
        <f t="shared" si="2"/>
        <v>806562.81339427258</v>
      </c>
      <c r="R8" s="246">
        <f>'Band Calculations'!Z9</f>
        <v>47</v>
      </c>
      <c r="S8" s="36"/>
      <c r="T8" s="242">
        <f t="shared" si="3"/>
        <v>17160.910923282394</v>
      </c>
      <c r="U8" s="242">
        <f t="shared" si="4"/>
        <v>470000</v>
      </c>
      <c r="V8" s="242">
        <f t="shared" si="5"/>
        <v>7160.9109232823939</v>
      </c>
      <c r="W8" s="245">
        <f>'2012-13 Top-ups'!Y11</f>
        <v>7021.6194829533033</v>
      </c>
      <c r="X8" s="245">
        <f t="shared" si="13"/>
        <v>7160.9109232823939</v>
      </c>
      <c r="Y8" s="245">
        <f t="shared" si="6"/>
        <v>17160.910923282394</v>
      </c>
      <c r="Z8" s="245">
        <f t="shared" si="7"/>
        <v>5995.9109232823939</v>
      </c>
      <c r="AA8" s="245">
        <f t="shared" si="8"/>
        <v>0</v>
      </c>
      <c r="AB8" s="245">
        <f t="shared" si="9"/>
        <v>806562.81339427258</v>
      </c>
      <c r="AC8" s="245">
        <f t="shared" si="10"/>
        <v>794464.37119335844</v>
      </c>
      <c r="AD8" s="245">
        <f t="shared" si="11"/>
        <v>16903.497259433159</v>
      </c>
      <c r="AE8" s="245">
        <f t="shared" si="12"/>
        <v>6903.4972594331593</v>
      </c>
      <c r="AF8" s="36"/>
    </row>
    <row r="9" spans="1:32" x14ac:dyDescent="0.25">
      <c r="A9" s="244">
        <v>9257008</v>
      </c>
      <c r="B9" s="237" t="s">
        <v>212</v>
      </c>
      <c r="C9" s="238">
        <v>3</v>
      </c>
      <c r="D9" s="245">
        <f>'Funding Model'!D22</f>
        <v>314686.51772419503</v>
      </c>
      <c r="E9" s="245">
        <f>'Funding Model'!E22</f>
        <v>69201.680689977453</v>
      </c>
      <c r="F9" s="245"/>
      <c r="G9" s="245"/>
      <c r="H9" s="245">
        <f>'Band Calculations'!Y12</f>
        <v>763633.2768432966</v>
      </c>
      <c r="I9" s="245">
        <v>10716</v>
      </c>
      <c r="J9" s="245">
        <v>737.65982379237016</v>
      </c>
      <c r="K9" s="245">
        <f t="shared" si="0"/>
        <v>1158975.1350812614</v>
      </c>
      <c r="L9" s="245" t="e">
        <f>#REF!</f>
        <v>#REF!</v>
      </c>
      <c r="M9" s="245" t="e">
        <f>#REF!</f>
        <v>#REF!</v>
      </c>
      <c r="N9" s="245" t="e">
        <f t="shared" si="1"/>
        <v>#REF!</v>
      </c>
      <c r="O9" s="36"/>
      <c r="P9" s="36"/>
      <c r="Q9" s="245">
        <f t="shared" si="2"/>
        <v>1158975.1350812614</v>
      </c>
      <c r="R9" s="246">
        <f>'Band Calculations'!Z12</f>
        <v>84</v>
      </c>
      <c r="S9" s="36"/>
      <c r="T9" s="242">
        <f t="shared" si="3"/>
        <v>13797.323036681682</v>
      </c>
      <c r="U9" s="242">
        <f t="shared" si="4"/>
        <v>840000</v>
      </c>
      <c r="V9" s="242">
        <f t="shared" si="5"/>
        <v>3797.3230366816824</v>
      </c>
      <c r="W9" s="1188">
        <f>'2012-13 Top-ups'!Y12</f>
        <v>4046.8427447784434</v>
      </c>
      <c r="X9" s="245">
        <f t="shared" si="13"/>
        <v>4046.8427447784434</v>
      </c>
      <c r="Y9" s="245">
        <f t="shared" si="6"/>
        <v>14046.842744778443</v>
      </c>
      <c r="Z9" s="245">
        <f t="shared" si="7"/>
        <v>2881.8427447784434</v>
      </c>
      <c r="AA9" s="245">
        <f t="shared" si="8"/>
        <v>20959.65548012792</v>
      </c>
      <c r="AB9" s="245">
        <f t="shared" si="9"/>
        <v>1179934.7905613894</v>
      </c>
      <c r="AC9" s="245">
        <f t="shared" si="10"/>
        <v>1162235.7687029685</v>
      </c>
      <c r="AD9" s="245">
        <f t="shared" si="11"/>
        <v>13836.140103606767</v>
      </c>
      <c r="AE9" s="245">
        <f t="shared" si="12"/>
        <v>3836.1401036067673</v>
      </c>
      <c r="AF9" s="36"/>
    </row>
    <row r="10" spans="1:32" x14ac:dyDescent="0.25">
      <c r="A10" s="244">
        <v>9257002</v>
      </c>
      <c r="B10" s="237" t="s">
        <v>213</v>
      </c>
      <c r="C10" s="238">
        <v>4</v>
      </c>
      <c r="D10" s="245">
        <f>'Funding Model'!$D$23</f>
        <v>405763.82046267512</v>
      </c>
      <c r="E10" s="245">
        <f>'Funding Model'!$E$23</f>
        <v>88790.687513148558</v>
      </c>
      <c r="F10" s="245"/>
      <c r="G10" s="245"/>
      <c r="H10" s="245">
        <f>'Band Calculations'!Y14</f>
        <v>953428.91014556075</v>
      </c>
      <c r="I10" s="245">
        <v>20092.5</v>
      </c>
      <c r="J10" s="245">
        <v>873.28306063104901</v>
      </c>
      <c r="K10" s="245">
        <f t="shared" si="0"/>
        <v>1468949.2011820155</v>
      </c>
      <c r="L10" s="245" t="e">
        <f>#REF!</f>
        <v>#REF!</v>
      </c>
      <c r="M10" s="245" t="e">
        <f>#REF!</f>
        <v>#REF!</v>
      </c>
      <c r="N10" s="245" t="e">
        <f t="shared" si="1"/>
        <v>#REF!</v>
      </c>
      <c r="O10" s="36"/>
      <c r="P10" s="36"/>
      <c r="Q10" s="245">
        <f t="shared" si="2"/>
        <v>1468949.2011820155</v>
      </c>
      <c r="R10" s="246">
        <f>'Band Calculations'!Z14</f>
        <v>130</v>
      </c>
      <c r="S10" s="36"/>
      <c r="T10" s="242">
        <f t="shared" si="3"/>
        <v>11299.609239861658</v>
      </c>
      <c r="U10" s="242">
        <f t="shared" si="4"/>
        <v>1300000</v>
      </c>
      <c r="V10" s="242">
        <f t="shared" si="5"/>
        <v>1299.6092398616584</v>
      </c>
      <c r="W10" s="1188">
        <f>'2012-13 Top-ups'!Y13</f>
        <v>1473.9679208874052</v>
      </c>
      <c r="X10" s="245">
        <f t="shared" si="13"/>
        <v>1473.9679208874052</v>
      </c>
      <c r="Y10" s="245">
        <f t="shared" si="6"/>
        <v>11473.967920887406</v>
      </c>
      <c r="Z10" s="245">
        <f t="shared" si="7"/>
        <v>308.96792088740585</v>
      </c>
      <c r="AA10" s="245">
        <f t="shared" si="8"/>
        <v>22666.628533347088</v>
      </c>
      <c r="AB10" s="245">
        <f t="shared" si="9"/>
        <v>1491615.8297153625</v>
      </c>
      <c r="AC10" s="245">
        <f t="shared" si="10"/>
        <v>1469241.592269632</v>
      </c>
      <c r="AD10" s="245">
        <f t="shared" si="11"/>
        <v>11301.858402074093</v>
      </c>
      <c r="AE10" s="245">
        <f t="shared" si="12"/>
        <v>1301.8584020740927</v>
      </c>
      <c r="AF10" s="36"/>
    </row>
    <row r="11" spans="1:32" ht="13" x14ac:dyDescent="0.3">
      <c r="A11" s="244">
        <v>9257009</v>
      </c>
      <c r="B11" s="237" t="s">
        <v>214</v>
      </c>
      <c r="C11" s="238">
        <v>5</v>
      </c>
      <c r="D11" s="69">
        <v>418723</v>
      </c>
      <c r="E11" s="69">
        <v>117027</v>
      </c>
      <c r="F11" s="245"/>
      <c r="G11" s="245"/>
      <c r="H11" s="245">
        <f>'Band Calculations'!Y15</f>
        <v>998240.72223642375</v>
      </c>
      <c r="I11" s="245">
        <v>19199.5</v>
      </c>
      <c r="J11" s="245">
        <v>876.23139186667242</v>
      </c>
      <c r="K11" s="245">
        <f t="shared" si="0"/>
        <v>1554066.4536282904</v>
      </c>
      <c r="L11" s="245" t="e">
        <f>#REF!</f>
        <v>#REF!</v>
      </c>
      <c r="M11" s="245" t="e">
        <f>#REF!</f>
        <v>#REF!</v>
      </c>
      <c r="N11" s="245" t="e">
        <f t="shared" si="1"/>
        <v>#REF!</v>
      </c>
      <c r="O11" s="36"/>
      <c r="P11" s="36"/>
      <c r="Q11" s="245">
        <f t="shared" si="2"/>
        <v>1554066.4536282904</v>
      </c>
      <c r="R11" s="246">
        <f>'Band Calculations'!Z15</f>
        <v>131</v>
      </c>
      <c r="S11" s="36"/>
      <c r="T11" s="242">
        <f t="shared" si="3"/>
        <v>11863.102699452598</v>
      </c>
      <c r="U11" s="242">
        <f t="shared" si="4"/>
        <v>1310000</v>
      </c>
      <c r="V11" s="242">
        <f t="shared" si="5"/>
        <v>1863.1026994525982</v>
      </c>
      <c r="W11" s="245">
        <f>'2012-13 Top-ups'!Y14</f>
        <v>1236.4721328262956</v>
      </c>
      <c r="X11" s="245">
        <f t="shared" si="13"/>
        <v>1863.1026994525982</v>
      </c>
      <c r="Y11" s="245">
        <f t="shared" si="6"/>
        <v>11863.102699452598</v>
      </c>
      <c r="Z11" s="245">
        <f t="shared" si="7"/>
        <v>698.10269945259824</v>
      </c>
      <c r="AA11" s="245">
        <f t="shared" si="8"/>
        <v>0</v>
      </c>
      <c r="AB11" s="245">
        <f t="shared" si="9"/>
        <v>1554066.4536282904</v>
      </c>
      <c r="AC11" s="245">
        <f t="shared" si="10"/>
        <v>1530755.4568238661</v>
      </c>
      <c r="AD11" s="245">
        <f t="shared" si="11"/>
        <v>11685.15615896081</v>
      </c>
      <c r="AE11" s="245">
        <f t="shared" si="12"/>
        <v>1685.15615896081</v>
      </c>
      <c r="AF11" s="36"/>
    </row>
    <row r="12" spans="1:32" ht="13" x14ac:dyDescent="0.3">
      <c r="A12" s="244">
        <v>9257028</v>
      </c>
      <c r="B12" s="237" t="s">
        <v>215</v>
      </c>
      <c r="C12" s="238">
        <v>5</v>
      </c>
      <c r="D12" s="69">
        <v>418723</v>
      </c>
      <c r="E12" s="69">
        <v>117027</v>
      </c>
      <c r="F12" s="245"/>
      <c r="G12" s="245"/>
      <c r="H12" s="245">
        <f>'Band Calculations'!Y19</f>
        <v>772394.9035265795</v>
      </c>
      <c r="I12" s="245">
        <v>9823</v>
      </c>
      <c r="J12" s="245">
        <v>705.22818020051216</v>
      </c>
      <c r="K12" s="245">
        <f t="shared" si="0"/>
        <v>1318673.1317067801</v>
      </c>
      <c r="L12" s="245" t="e">
        <f>#REF!</f>
        <v>#REF!</v>
      </c>
      <c r="M12" s="245" t="e">
        <f>#REF!</f>
        <v>#REF!</v>
      </c>
      <c r="N12" s="245" t="e">
        <f t="shared" si="1"/>
        <v>#REF!</v>
      </c>
      <c r="O12" s="36"/>
      <c r="P12" s="36"/>
      <c r="Q12" s="245">
        <f t="shared" si="2"/>
        <v>1318673.1317067801</v>
      </c>
      <c r="R12" s="246">
        <f>'Band Calculations'!Z19</f>
        <v>73</v>
      </c>
      <c r="S12" s="36"/>
      <c r="T12" s="242">
        <f t="shared" si="3"/>
        <v>18064.015502832604</v>
      </c>
      <c r="U12" s="242">
        <f t="shared" si="4"/>
        <v>730000</v>
      </c>
      <c r="V12" s="242">
        <f t="shared" si="5"/>
        <v>8064.0155028326044</v>
      </c>
      <c r="W12" s="245">
        <f>'2012-13 Top-ups'!Y15</f>
        <v>7904.5929792820807</v>
      </c>
      <c r="X12" s="245">
        <f t="shared" si="13"/>
        <v>8064.0155028326044</v>
      </c>
      <c r="Y12" s="245">
        <f t="shared" si="6"/>
        <v>18064.015502832604</v>
      </c>
      <c r="Z12" s="245">
        <f t="shared" si="7"/>
        <v>6899.0155028326044</v>
      </c>
      <c r="AA12" s="245">
        <f t="shared" si="8"/>
        <v>0</v>
      </c>
      <c r="AB12" s="245">
        <f t="shared" si="9"/>
        <v>1318673.1317067801</v>
      </c>
      <c r="AC12" s="245">
        <f t="shared" si="10"/>
        <v>1298893.0347311783</v>
      </c>
      <c r="AD12" s="245">
        <f t="shared" si="11"/>
        <v>17793.055270290115</v>
      </c>
      <c r="AE12" s="245">
        <f t="shared" si="12"/>
        <v>7793.055270290115</v>
      </c>
      <c r="AF12" s="36"/>
    </row>
    <row r="13" spans="1:32" x14ac:dyDescent="0.25">
      <c r="A13" s="244">
        <v>9257021</v>
      </c>
      <c r="B13" s="237" t="s">
        <v>216</v>
      </c>
      <c r="C13" s="238">
        <v>5</v>
      </c>
      <c r="D13" s="245">
        <f>'Funding Model'!$D$24</f>
        <v>418723.18610831723</v>
      </c>
      <c r="E13" s="245">
        <f>'Funding Model'!$E$24</f>
        <v>117027.3922528728</v>
      </c>
      <c r="F13" s="245"/>
      <c r="G13" s="245"/>
      <c r="H13" s="245">
        <f>'Band Calculations'!Y20</f>
        <v>1057721.8869930455</v>
      </c>
      <c r="I13" s="245">
        <v>23664.5</v>
      </c>
      <c r="J13" s="245">
        <v>908.66303545853043</v>
      </c>
      <c r="K13" s="245">
        <f t="shared" si="0"/>
        <v>1618045.6283896938</v>
      </c>
      <c r="L13" s="245" t="e">
        <f>#REF!</f>
        <v>#REF!</v>
      </c>
      <c r="M13" s="245" t="e">
        <f>#REF!</f>
        <v>#REF!</v>
      </c>
      <c r="N13" s="245" t="e">
        <f t="shared" si="1"/>
        <v>#REF!</v>
      </c>
      <c r="O13" s="36"/>
      <c r="P13" s="36"/>
      <c r="Q13" s="245">
        <f t="shared" si="2"/>
        <v>1618045.6283896938</v>
      </c>
      <c r="R13" s="246">
        <f>'Band Calculations'!Z20</f>
        <v>142</v>
      </c>
      <c r="S13" s="36"/>
      <c r="T13" s="242">
        <f t="shared" si="3"/>
        <v>11394.687523871084</v>
      </c>
      <c r="U13" s="242">
        <f t="shared" si="4"/>
        <v>1420000</v>
      </c>
      <c r="V13" s="242">
        <f t="shared" si="5"/>
        <v>1394.6875238710836</v>
      </c>
      <c r="W13" s="245">
        <f>'2012-13 Top-ups'!Y16</f>
        <v>531.61770718907042</v>
      </c>
      <c r="X13" s="245">
        <f t="shared" si="13"/>
        <v>1394.6875238710836</v>
      </c>
      <c r="Y13" s="245">
        <f t="shared" si="6"/>
        <v>11394.687523871084</v>
      </c>
      <c r="Z13" s="245">
        <f t="shared" si="7"/>
        <v>229.68752387108361</v>
      </c>
      <c r="AA13" s="245">
        <f t="shared" si="8"/>
        <v>0</v>
      </c>
      <c r="AB13" s="245">
        <f t="shared" si="9"/>
        <v>1618045.6283896938</v>
      </c>
      <c r="AC13" s="245">
        <f t="shared" si="10"/>
        <v>1593774.9439638483</v>
      </c>
      <c r="AD13" s="245">
        <f t="shared" si="11"/>
        <v>11223.767211013017</v>
      </c>
      <c r="AE13" s="245">
        <f t="shared" si="12"/>
        <v>1223.767211013017</v>
      </c>
      <c r="AF13" s="36"/>
    </row>
    <row r="14" spans="1:32" x14ac:dyDescent="0.25">
      <c r="A14" s="244">
        <v>9257015</v>
      </c>
      <c r="B14" s="237" t="s">
        <v>217</v>
      </c>
      <c r="C14" s="238">
        <v>5</v>
      </c>
      <c r="D14" s="245">
        <f>'Funding Model'!D24</f>
        <v>418723.18610831723</v>
      </c>
      <c r="E14" s="245">
        <f>'Funding Model'!E24</f>
        <v>117027.3922528728</v>
      </c>
      <c r="F14" s="245"/>
      <c r="G14" s="245">
        <v>17037</v>
      </c>
      <c r="H14" s="245">
        <f>'Band Calculations'!Y21</f>
        <v>1707600.4078561282</v>
      </c>
      <c r="I14" s="245">
        <v>33934</v>
      </c>
      <c r="J14" s="245">
        <v>1056.0795972397032</v>
      </c>
      <c r="K14" s="245">
        <f t="shared" si="0"/>
        <v>2295378.065814558</v>
      </c>
      <c r="L14" s="245" t="e">
        <f>#REF!</f>
        <v>#REF!</v>
      </c>
      <c r="M14" s="245" t="e">
        <f>#REF!</f>
        <v>#REF!</v>
      </c>
      <c r="N14" s="245" t="e">
        <f t="shared" si="1"/>
        <v>#REF!</v>
      </c>
      <c r="O14" s="36"/>
      <c r="P14" s="36"/>
      <c r="Q14" s="245">
        <f t="shared" si="2"/>
        <v>2295378.065814558</v>
      </c>
      <c r="R14" s="246">
        <f>'Band Calculations'!Z21</f>
        <v>230.83333333333337</v>
      </c>
      <c r="S14" s="36"/>
      <c r="T14" s="242">
        <f t="shared" si="3"/>
        <v>9943.8760973915851</v>
      </c>
      <c r="U14" s="242">
        <f>R14*10000</f>
        <v>2308333.3333333335</v>
      </c>
      <c r="V14" s="242">
        <f>T14-10000</f>
        <v>-56.123902608414937</v>
      </c>
      <c r="W14" s="245">
        <f>'2012-13 Top-ups'!Y17</f>
        <v>566.81728358124712</v>
      </c>
      <c r="X14" s="245">
        <f t="shared" si="13"/>
        <v>566.81728358124712</v>
      </c>
      <c r="Y14" s="245">
        <f t="shared" si="6"/>
        <v>10566.817283581247</v>
      </c>
      <c r="Z14" s="245">
        <f t="shared" si="7"/>
        <v>-598.18271641875253</v>
      </c>
      <c r="AA14" s="245">
        <f>(X14-V14)*R14</f>
        <v>143795.59047878036</v>
      </c>
      <c r="AB14" s="245">
        <f>Q14+AA14</f>
        <v>2439173.6562933382</v>
      </c>
      <c r="AC14" s="245">
        <f t="shared" si="10"/>
        <v>2402586.051448938</v>
      </c>
      <c r="AD14" s="245">
        <f t="shared" si="11"/>
        <v>10408.315024327527</v>
      </c>
      <c r="AE14" s="245">
        <f t="shared" si="12"/>
        <v>408.31502432752677</v>
      </c>
      <c r="AF14" s="36"/>
    </row>
    <row r="15" spans="1:32" x14ac:dyDescent="0.25">
      <c r="A15" s="244">
        <v>9257017</v>
      </c>
      <c r="B15" s="237" t="s">
        <v>451</v>
      </c>
      <c r="C15" s="238">
        <v>5</v>
      </c>
      <c r="D15" s="245">
        <f>(5/12)*'Funding Model'!$D$24</f>
        <v>174467.99421179885</v>
      </c>
      <c r="E15" s="245">
        <f>(5/12)*'Funding Model'!$E$24</f>
        <v>48761.413438697004</v>
      </c>
      <c r="F15" s="245"/>
      <c r="G15" s="245"/>
      <c r="H15" s="245">
        <f>'Band Calculations'!Y22</f>
        <v>147253.4775666777</v>
      </c>
      <c r="I15" s="245">
        <f>(5/12)*7144</f>
        <v>2976.666666666667</v>
      </c>
      <c r="J15" s="245">
        <v>690.48652402239486</v>
      </c>
      <c r="K15" s="245">
        <f t="shared" si="0"/>
        <v>374150.03840786265</v>
      </c>
      <c r="L15" s="245" t="e">
        <f>#REF!</f>
        <v>#REF!</v>
      </c>
      <c r="M15" s="245" t="e">
        <f>#REF!</f>
        <v>#REF!</v>
      </c>
      <c r="N15" s="245" t="e">
        <f t="shared" si="1"/>
        <v>#REF!</v>
      </c>
      <c r="O15" s="36"/>
      <c r="P15" s="36"/>
      <c r="Q15" s="245">
        <f t="shared" si="2"/>
        <v>374150.03840786265</v>
      </c>
      <c r="R15" s="246">
        <f>'Band Calculations'!Z22</f>
        <v>15.416666666666668</v>
      </c>
      <c r="S15" s="36"/>
      <c r="T15" s="242">
        <f t="shared" si="3"/>
        <v>24269.191680510008</v>
      </c>
      <c r="U15" s="242">
        <f t="shared" si="4"/>
        <v>154166.66666666669</v>
      </c>
      <c r="V15" s="242">
        <f t="shared" si="5"/>
        <v>14269.191680510008</v>
      </c>
      <c r="W15" s="245">
        <f>'2012-13 Top-ups'!Y18</f>
        <v>7924.7200338559323</v>
      </c>
      <c r="X15" s="245">
        <f t="shared" si="13"/>
        <v>14269.191680510008</v>
      </c>
      <c r="Y15" s="245">
        <f t="shared" si="6"/>
        <v>24269.191680510008</v>
      </c>
      <c r="Z15" s="245">
        <f t="shared" si="7"/>
        <v>13104.191680510008</v>
      </c>
      <c r="AA15" s="245">
        <f t="shared" si="8"/>
        <v>0</v>
      </c>
      <c r="AB15" s="245">
        <f t="shared" si="9"/>
        <v>374150.03840786265</v>
      </c>
      <c r="AC15" s="245">
        <f t="shared" si="10"/>
        <v>368537.7878317447</v>
      </c>
      <c r="AD15" s="245">
        <f t="shared" si="11"/>
        <v>23905.153805302358</v>
      </c>
      <c r="AE15" s="245">
        <f t="shared" si="12"/>
        <v>13905.153805302358</v>
      </c>
      <c r="AF15" s="234" t="s">
        <v>452</v>
      </c>
    </row>
    <row r="16" spans="1:32" x14ac:dyDescent="0.25">
      <c r="A16" s="244">
        <v>9257016</v>
      </c>
      <c r="B16" s="237" t="s">
        <v>219</v>
      </c>
      <c r="C16" s="238">
        <v>6</v>
      </c>
      <c r="D16" s="245">
        <f>'Funding Model'!D25</f>
        <v>493762.11190507573</v>
      </c>
      <c r="E16" s="245">
        <f>'Funding Model'!E25</f>
        <v>131719.7894229154</v>
      </c>
      <c r="F16" s="245"/>
      <c r="G16" s="245"/>
      <c r="H16" s="245">
        <f>'Band Calculations'!Y23</f>
        <v>1449833.142735743</v>
      </c>
      <c r="I16" s="245">
        <v>12055.5</v>
      </c>
      <c r="J16" s="245">
        <v>832.00642333232065</v>
      </c>
      <c r="K16" s="245">
        <f t="shared" si="0"/>
        <v>2088202.5504870664</v>
      </c>
      <c r="L16" s="245" t="e">
        <f>#REF!</f>
        <v>#REF!</v>
      </c>
      <c r="M16" s="245" t="e">
        <f>#REF!-#REF!</f>
        <v>#REF!</v>
      </c>
      <c r="N16" s="245" t="e">
        <f t="shared" si="1"/>
        <v>#REF!</v>
      </c>
      <c r="O16" s="36"/>
      <c r="P16" s="36"/>
      <c r="Q16" s="245">
        <f t="shared" si="2"/>
        <v>2088202.5504870664</v>
      </c>
      <c r="R16" s="246">
        <f>'Band Calculations'!Z23</f>
        <v>129</v>
      </c>
      <c r="S16" s="36"/>
      <c r="T16" s="242">
        <f t="shared" si="3"/>
        <v>16187.616670442376</v>
      </c>
      <c r="U16" s="242">
        <f t="shared" si="4"/>
        <v>1290000</v>
      </c>
      <c r="V16" s="242">
        <f t="shared" si="5"/>
        <v>6187.6166704423758</v>
      </c>
      <c r="W16" s="1188">
        <f>'2012-13 Top-ups'!Y19</f>
        <v>7115.6740291999495</v>
      </c>
      <c r="X16" s="245">
        <f t="shared" si="13"/>
        <v>7115.6740291999495</v>
      </c>
      <c r="Y16" s="245">
        <f t="shared" si="6"/>
        <v>17115.674029199949</v>
      </c>
      <c r="Z16" s="245">
        <f t="shared" si="7"/>
        <v>5950.6740291999486</v>
      </c>
      <c r="AA16" s="245">
        <f>(X16-V16)*R16</f>
        <v>119719.399279727</v>
      </c>
      <c r="AB16" s="245">
        <f t="shared" si="9"/>
        <v>2207921.9497667933</v>
      </c>
      <c r="AC16" s="245">
        <f t="shared" si="10"/>
        <v>2174803.1205202914</v>
      </c>
      <c r="AD16" s="245">
        <f t="shared" si="11"/>
        <v>16858.938918761949</v>
      </c>
      <c r="AE16" s="245">
        <f t="shared" si="12"/>
        <v>6858.938918761949</v>
      </c>
      <c r="AF16" s="36"/>
    </row>
    <row r="17" spans="1:36" ht="25" x14ac:dyDescent="0.25">
      <c r="A17" s="244"/>
      <c r="B17" s="237"/>
      <c r="C17" s="238"/>
      <c r="D17" s="245"/>
      <c r="E17" s="245"/>
      <c r="F17" s="245"/>
      <c r="G17" s="245"/>
      <c r="H17" s="245"/>
      <c r="I17" s="245"/>
      <c r="J17" s="245"/>
      <c r="K17" s="245"/>
      <c r="L17" s="245"/>
      <c r="M17" s="1192"/>
      <c r="N17" s="1192"/>
      <c r="O17" s="241" t="s">
        <v>453</v>
      </c>
      <c r="P17" s="1193" t="s">
        <v>454</v>
      </c>
      <c r="Q17" s="245"/>
      <c r="R17" s="238"/>
      <c r="S17" s="36"/>
      <c r="T17" s="242"/>
      <c r="U17" s="242"/>
      <c r="V17" s="242"/>
      <c r="W17" s="245"/>
      <c r="X17" s="245"/>
      <c r="Y17" s="245"/>
      <c r="Z17" s="245"/>
      <c r="AA17" s="245"/>
      <c r="AB17" s="245"/>
      <c r="AC17" s="245"/>
      <c r="AD17" s="245"/>
      <c r="AE17" s="245"/>
      <c r="AF17" s="36"/>
      <c r="AG17" s="36"/>
      <c r="AH17" s="36"/>
      <c r="AI17" s="36"/>
      <c r="AJ17" s="36"/>
    </row>
    <row r="18" spans="1:36" ht="13" x14ac:dyDescent="0.3">
      <c r="A18" s="244">
        <v>9257031</v>
      </c>
      <c r="B18" s="32" t="s">
        <v>148</v>
      </c>
      <c r="C18" s="238">
        <v>3</v>
      </c>
      <c r="D18" s="245">
        <f>'Funding Model'!D26</f>
        <v>280697.16623783787</v>
      </c>
      <c r="E18" s="245">
        <f>'Funding Model'!E26</f>
        <v>55663.058379368813</v>
      </c>
      <c r="F18" s="245">
        <f>'2012-13 Top-ups'!F41</f>
        <v>154884</v>
      </c>
      <c r="G18" s="245"/>
      <c r="H18" s="245">
        <f>'Band Calculations'!Y10</f>
        <v>873951.18016309384</v>
      </c>
      <c r="I18" s="245">
        <v>10716</v>
      </c>
      <c r="J18" s="245">
        <v>669.84820537303062</v>
      </c>
      <c r="K18" s="245">
        <f>SUM(D18:J18)</f>
        <v>1376581.2529856735</v>
      </c>
      <c r="L18" s="245" t="e">
        <f>#REF!</f>
        <v>#REF!</v>
      </c>
      <c r="M18" s="245" t="e">
        <f>#REF!</f>
        <v>#REF!</v>
      </c>
      <c r="N18" s="245" t="e">
        <f>K18-L18-M18</f>
        <v>#REF!</v>
      </c>
      <c r="O18" s="245" t="e">
        <f>#REF!</f>
        <v>#REF!</v>
      </c>
      <c r="P18" s="1192" t="e">
        <f>N18+O18</f>
        <v>#REF!</v>
      </c>
      <c r="Q18" s="245">
        <f t="shared" si="2"/>
        <v>1221697.2529856735</v>
      </c>
      <c r="R18" s="246">
        <f>'Band Calculations'!Z10</f>
        <v>61</v>
      </c>
      <c r="S18" s="36"/>
      <c r="T18" s="242">
        <f>Q18/R18</f>
        <v>20027.823819437272</v>
      </c>
      <c r="U18" s="242">
        <f>R18*10000</f>
        <v>610000</v>
      </c>
      <c r="V18" s="242">
        <f>T18-10000</f>
        <v>10027.823819437272</v>
      </c>
      <c r="W18" s="1188">
        <f>'2012-13 Top-ups'!Y20</f>
        <v>10454.001885681211</v>
      </c>
      <c r="X18" s="245">
        <f t="shared" si="13"/>
        <v>10454.001885681211</v>
      </c>
      <c r="Y18" s="245">
        <f t="shared" si="6"/>
        <v>20454.001885681209</v>
      </c>
      <c r="Z18" s="245">
        <f t="shared" si="7"/>
        <v>9289.0018856812094</v>
      </c>
      <c r="AA18" s="1194">
        <v>40316.591859062166</v>
      </c>
      <c r="AB18" s="245">
        <f>Q18+AA18</f>
        <v>1262013.8448447357</v>
      </c>
      <c r="AC18" s="245">
        <f t="shared" si="10"/>
        <v>1243083.6371720647</v>
      </c>
      <c r="AD18" s="245">
        <f t="shared" si="11"/>
        <v>20378.420281509258</v>
      </c>
      <c r="AE18" s="245">
        <f t="shared" si="12"/>
        <v>10378.420281509258</v>
      </c>
      <c r="AF18" s="1491" t="s">
        <v>455</v>
      </c>
      <c r="AG18" s="1492"/>
      <c r="AH18" s="1492"/>
      <c r="AI18" s="36"/>
      <c r="AJ18" s="36"/>
    </row>
    <row r="19" spans="1:36" ht="13" x14ac:dyDescent="0.3">
      <c r="A19" s="244">
        <v>9257029</v>
      </c>
      <c r="B19" s="32" t="s">
        <v>149</v>
      </c>
      <c r="C19" s="238">
        <v>4</v>
      </c>
      <c r="D19" s="245">
        <f>'Funding Model'!$D$27</f>
        <v>360067.26321081078</v>
      </c>
      <c r="E19" s="245">
        <f>'Funding Model'!$E$27</f>
        <v>58044.118057617408</v>
      </c>
      <c r="F19" s="245">
        <f>'2012-13 Top-ups'!F42</f>
        <v>219086</v>
      </c>
      <c r="G19" s="245"/>
      <c r="H19" s="245">
        <f>'Band Calculations'!Y16</f>
        <v>888278.24869035766</v>
      </c>
      <c r="I19" s="245">
        <v>10269.5</v>
      </c>
      <c r="J19" s="245">
        <v>672.79653660865415</v>
      </c>
      <c r="K19" s="245">
        <f>SUM(D19:J19)</f>
        <v>1536417.9264953944</v>
      </c>
      <c r="L19" s="245" t="e">
        <f>#REF!</f>
        <v>#REF!</v>
      </c>
      <c r="M19" s="245" t="e">
        <f>#REF!</f>
        <v>#REF!</v>
      </c>
      <c r="N19" s="245" t="e">
        <f>K19-L19-M19</f>
        <v>#REF!</v>
      </c>
      <c r="O19" s="245" t="e">
        <f>#REF!</f>
        <v>#REF!</v>
      </c>
      <c r="P19" s="1192" t="e">
        <f>N19+O19</f>
        <v>#REF!</v>
      </c>
      <c r="Q19" s="245">
        <f t="shared" si="2"/>
        <v>1317331.9264953944</v>
      </c>
      <c r="R19" s="246">
        <f>'Band Calculations'!Z16</f>
        <v>62.000000000000007</v>
      </c>
      <c r="S19" s="36"/>
      <c r="T19" s="242">
        <f t="shared" si="3"/>
        <v>21247.28913702249</v>
      </c>
      <c r="U19" s="242">
        <f t="shared" si="4"/>
        <v>620000.00000000012</v>
      </c>
      <c r="V19" s="242">
        <f t="shared" si="5"/>
        <v>11247.28913702249</v>
      </c>
      <c r="W19" s="1188">
        <f>'2012-13 Top-ups'!Y21</f>
        <v>12588.373556603292</v>
      </c>
      <c r="X19" s="245">
        <f t="shared" si="13"/>
        <v>12588.373556603292</v>
      </c>
      <c r="Y19" s="245">
        <f t="shared" si="6"/>
        <v>22588.373556603292</v>
      </c>
      <c r="Z19" s="245">
        <f t="shared" si="7"/>
        <v>11423.373556603292</v>
      </c>
      <c r="AA19" s="1194">
        <v>79860.944014009787</v>
      </c>
      <c r="AB19" s="245">
        <f>Q19+AA19</f>
        <v>1397192.8705094042</v>
      </c>
      <c r="AC19" s="245">
        <f t="shared" si="10"/>
        <v>1376234.9774517631</v>
      </c>
      <c r="AD19" s="245">
        <f t="shared" si="11"/>
        <v>22197.338345996177</v>
      </c>
      <c r="AE19" s="245">
        <f t="shared" si="12"/>
        <v>12197.338345996177</v>
      </c>
      <c r="AF19" s="1491"/>
      <c r="AG19" s="1492"/>
      <c r="AH19" s="1492"/>
      <c r="AI19" s="36"/>
      <c r="AJ19" s="36"/>
    </row>
    <row r="20" spans="1:36" ht="13" x14ac:dyDescent="0.3">
      <c r="A20" s="244">
        <v>9257032</v>
      </c>
      <c r="B20" s="32" t="s">
        <v>150</v>
      </c>
      <c r="C20" s="238">
        <v>5</v>
      </c>
      <c r="D20" s="245">
        <f>'Funding Model'!$D$27</f>
        <v>360067.26321081078</v>
      </c>
      <c r="E20" s="245">
        <f>'Funding Model'!$E$27</f>
        <v>58044.118057617408</v>
      </c>
      <c r="F20" s="245">
        <f>'2012-13 Top-ups'!F43</f>
        <v>194478</v>
      </c>
      <c r="G20" s="245"/>
      <c r="H20" s="245">
        <f>'Band Calculations'!Y17</f>
        <v>845297.04310856608</v>
      </c>
      <c r="I20" s="245">
        <v>12948.5</v>
      </c>
      <c r="J20" s="245">
        <v>663.9515429017838</v>
      </c>
      <c r="K20" s="245">
        <f>SUM(D20:J20)</f>
        <v>1471498.8759198962</v>
      </c>
      <c r="L20" s="245" t="e">
        <f>#REF!</f>
        <v>#REF!</v>
      </c>
      <c r="M20" s="245" t="e">
        <f>#REF!</f>
        <v>#REF!</v>
      </c>
      <c r="N20" s="245" t="e">
        <f>K20-L20-M20</f>
        <v>#REF!</v>
      </c>
      <c r="O20" s="245" t="e">
        <f>#REF!</f>
        <v>#REF!</v>
      </c>
      <c r="P20" s="1192" t="e">
        <f>N20+O20</f>
        <v>#REF!</v>
      </c>
      <c r="Q20" s="245">
        <f t="shared" si="2"/>
        <v>1277020.8759198962</v>
      </c>
      <c r="R20" s="246">
        <f>'Band Calculations'!Z17</f>
        <v>59.000000000000007</v>
      </c>
      <c r="S20" s="36"/>
      <c r="T20" s="242">
        <f t="shared" si="3"/>
        <v>21644.421625760948</v>
      </c>
      <c r="U20" s="242">
        <f t="shared" si="4"/>
        <v>590000.00000000012</v>
      </c>
      <c r="V20" s="242">
        <f t="shared" si="5"/>
        <v>11644.421625760948</v>
      </c>
      <c r="W20" s="1188">
        <f>'2012-13 Top-ups'!Y22</f>
        <v>12489.112053133687</v>
      </c>
      <c r="X20" s="245">
        <f t="shared" si="13"/>
        <v>12489.112053133687</v>
      </c>
      <c r="Y20" s="245">
        <f t="shared" si="6"/>
        <v>22489.112053133686</v>
      </c>
      <c r="Z20" s="245">
        <f t="shared" si="7"/>
        <v>11324.112053133686</v>
      </c>
      <c r="AA20" s="1194">
        <v>26602.507487718856</v>
      </c>
      <c r="AB20" s="245">
        <f t="shared" si="9"/>
        <v>1303623.3834076151</v>
      </c>
      <c r="AC20" s="245">
        <f t="shared" si="10"/>
        <v>1284069.0326565008</v>
      </c>
      <c r="AD20" s="245">
        <f t="shared" si="11"/>
        <v>21763.881909432213</v>
      </c>
      <c r="AE20" s="245">
        <f t="shared" si="12"/>
        <v>11763.881909432213</v>
      </c>
      <c r="AF20" s="1491"/>
      <c r="AG20" s="1492"/>
      <c r="AH20" s="1492"/>
      <c r="AI20" s="36"/>
      <c r="AJ20" s="36"/>
    </row>
    <row r="21" spans="1:36" ht="13" x14ac:dyDescent="0.3">
      <c r="A21" s="244">
        <v>9257030</v>
      </c>
      <c r="B21" s="32" t="s">
        <v>152</v>
      </c>
      <c r="C21" s="238">
        <v>4</v>
      </c>
      <c r="D21" s="245">
        <f>'Funding Model'!$D$27</f>
        <v>360067.26321081078</v>
      </c>
      <c r="E21" s="245">
        <f>'Funding Model'!$E$27</f>
        <v>58044.118057617408</v>
      </c>
      <c r="F21" s="245">
        <f>'2012-13 Top-ups'!F44</f>
        <v>238797</v>
      </c>
      <c r="G21" s="245"/>
      <c r="H21" s="245">
        <f>'Band Calculations'!Y18</f>
        <v>787988.76899951079</v>
      </c>
      <c r="I21" s="245">
        <v>8483.5</v>
      </c>
      <c r="J21" s="245">
        <v>652.15821795928991</v>
      </c>
      <c r="K21" s="245">
        <f>SUM(D21:J21)</f>
        <v>1454032.8084858984</v>
      </c>
      <c r="L21" s="245" t="e">
        <f>#REF!</f>
        <v>#REF!</v>
      </c>
      <c r="M21" s="245" t="e">
        <f>#REF!</f>
        <v>#REF!</v>
      </c>
      <c r="N21" s="245" t="e">
        <f>K21-L21-M21</f>
        <v>#REF!</v>
      </c>
      <c r="O21" s="245" t="e">
        <f>#REF!</f>
        <v>#REF!</v>
      </c>
      <c r="P21" s="1192" t="e">
        <f>N21+O21</f>
        <v>#REF!</v>
      </c>
      <c r="Q21" s="245">
        <f t="shared" si="2"/>
        <v>1215235.8084858984</v>
      </c>
      <c r="R21" s="246">
        <f>'Band Calculations'!Z18</f>
        <v>55</v>
      </c>
      <c r="S21" s="36"/>
      <c r="T21" s="242">
        <f t="shared" si="3"/>
        <v>22095.196517925426</v>
      </c>
      <c r="U21" s="242">
        <f t="shared" si="4"/>
        <v>550000</v>
      </c>
      <c r="V21" s="242">
        <f t="shared" si="5"/>
        <v>12095.196517925426</v>
      </c>
      <c r="W21" s="1188">
        <f>'2012-13 Top-ups'!Y23</f>
        <v>12845.087262459823</v>
      </c>
      <c r="X21" s="245">
        <f t="shared" si="13"/>
        <v>12845.087262459823</v>
      </c>
      <c r="Y21" s="245">
        <f t="shared" si="6"/>
        <v>22845.087262459823</v>
      </c>
      <c r="Z21" s="245">
        <f t="shared" si="7"/>
        <v>11680.087262459823</v>
      </c>
      <c r="AA21" s="1194">
        <v>14526.12988381803</v>
      </c>
      <c r="AB21" s="245">
        <f t="shared" si="9"/>
        <v>1229761.9383697165</v>
      </c>
      <c r="AC21" s="245">
        <f t="shared" si="10"/>
        <v>1211315.5092941707</v>
      </c>
      <c r="AD21" s="245">
        <f t="shared" si="11"/>
        <v>22023.918350803102</v>
      </c>
      <c r="AE21" s="245">
        <f t="shared" si="12"/>
        <v>12023.918350803102</v>
      </c>
      <c r="AF21" s="1491"/>
      <c r="AG21" s="1492"/>
      <c r="AH21" s="1492"/>
      <c r="AI21" s="36"/>
      <c r="AJ21" s="36"/>
    </row>
    <row r="22" spans="1:36" ht="13" x14ac:dyDescent="0.3">
      <c r="A22" s="244"/>
      <c r="B22" s="32"/>
      <c r="C22" s="238"/>
      <c r="D22" s="245"/>
      <c r="E22" s="245"/>
      <c r="F22" s="245"/>
      <c r="G22" s="245"/>
      <c r="H22" s="245"/>
      <c r="I22" s="245"/>
      <c r="J22" s="245"/>
      <c r="K22" s="245"/>
      <c r="L22" s="1195"/>
      <c r="M22" s="1195"/>
      <c r="N22" s="245"/>
      <c r="O22" s="36"/>
      <c r="P22" s="36"/>
      <c r="Q22" s="245"/>
      <c r="R22" s="238"/>
      <c r="S22" s="36"/>
      <c r="T22" s="242"/>
      <c r="U22" s="242"/>
      <c r="V22" s="242"/>
      <c r="W22" s="245"/>
      <c r="X22" s="245"/>
      <c r="Y22" s="245"/>
      <c r="Z22" s="245"/>
      <c r="AA22" s="245"/>
      <c r="AB22" s="245"/>
      <c r="AC22" s="245"/>
      <c r="AD22" s="245"/>
      <c r="AE22" s="245"/>
      <c r="AF22" s="36"/>
      <c r="AG22" s="36"/>
      <c r="AH22" s="36"/>
      <c r="AI22" s="36"/>
      <c r="AJ22" s="36"/>
    </row>
    <row r="23" spans="1:36" x14ac:dyDescent="0.25">
      <c r="A23" s="244">
        <v>9257033</v>
      </c>
      <c r="B23" s="237" t="s">
        <v>220</v>
      </c>
      <c r="C23" s="238">
        <v>3</v>
      </c>
      <c r="D23" s="245">
        <f>'Funding Model'!$D$22</f>
        <v>314686.51772419503</v>
      </c>
      <c r="E23" s="245">
        <f>'Funding Model'!$E$22</f>
        <v>69201.680689977453</v>
      </c>
      <c r="F23" s="245"/>
      <c r="G23" s="245"/>
      <c r="H23" s="245">
        <f>'Band Calculations'!Y11</f>
        <v>505498.28651081503</v>
      </c>
      <c r="I23" s="245">
        <v>11162.5</v>
      </c>
      <c r="J23" s="245">
        <v>666.89987413740721</v>
      </c>
      <c r="K23" s="245">
        <f>SUM(D23:J23)</f>
        <v>901215.88479912491</v>
      </c>
      <c r="L23" s="1196" t="e">
        <f>#REF!</f>
        <v>#REF!</v>
      </c>
      <c r="M23" s="1196" t="e">
        <f>#REF!</f>
        <v>#REF!</v>
      </c>
      <c r="N23" s="245" t="e">
        <f>K23-L23-M23</f>
        <v>#REF!</v>
      </c>
      <c r="O23" s="36"/>
      <c r="P23" s="36"/>
      <c r="Q23" s="245">
        <f t="shared" si="2"/>
        <v>901215.88479912491</v>
      </c>
      <c r="R23" s="246">
        <f>'Band Calculations'!Z11</f>
        <v>60</v>
      </c>
      <c r="S23" s="36"/>
      <c r="T23" s="242">
        <f t="shared" si="3"/>
        <v>15020.264746652081</v>
      </c>
      <c r="U23" s="242">
        <f t="shared" si="4"/>
        <v>600000</v>
      </c>
      <c r="V23" s="242">
        <f t="shared" si="5"/>
        <v>5020.2647466520812</v>
      </c>
      <c r="W23" s="1188">
        <f>'2012-13 Top-ups'!Y24</f>
        <v>5872.5645709492128</v>
      </c>
      <c r="X23" s="245">
        <f t="shared" si="13"/>
        <v>5872.5645709492128</v>
      </c>
      <c r="Y23" s="245">
        <f t="shared" si="6"/>
        <v>15872.564570949213</v>
      </c>
      <c r="Z23" s="245">
        <f t="shared" si="7"/>
        <v>4707.5645709492128</v>
      </c>
      <c r="AA23" s="245">
        <f>(X23-V23)*R23</f>
        <v>51137.989457827898</v>
      </c>
      <c r="AB23" s="245">
        <f t="shared" si="9"/>
        <v>952353.87425695278</v>
      </c>
      <c r="AC23" s="245">
        <f t="shared" si="10"/>
        <v>938068.56614309852</v>
      </c>
      <c r="AD23" s="245">
        <f t="shared" si="11"/>
        <v>15634.476102384975</v>
      </c>
      <c r="AE23" s="245">
        <f t="shared" si="12"/>
        <v>5634.4761023849751</v>
      </c>
      <c r="AF23" s="36"/>
      <c r="AG23" s="36"/>
      <c r="AH23" s="36"/>
      <c r="AI23" s="36"/>
      <c r="AJ23" s="36"/>
    </row>
    <row r="24" spans="1:36" x14ac:dyDescent="0.25">
      <c r="A24" s="244">
        <v>9257034</v>
      </c>
      <c r="B24" s="237" t="s">
        <v>221</v>
      </c>
      <c r="C24" s="238">
        <v>4</v>
      </c>
      <c r="D24" s="245">
        <f>'Funding Model'!$D$23</f>
        <v>405763.82046267512</v>
      </c>
      <c r="E24" s="245">
        <f>'Funding Model'!$E$23</f>
        <v>88790.687513148558</v>
      </c>
      <c r="F24" s="245"/>
      <c r="G24" s="245"/>
      <c r="H24" s="245">
        <f>'Band Calculations'!Y13</f>
        <v>894237.97448646929</v>
      </c>
      <c r="I24" s="245">
        <v>16074</v>
      </c>
      <c r="J24" s="245">
        <v>811.36810468295653</v>
      </c>
      <c r="K24" s="245">
        <f>SUM(D24:J24)</f>
        <v>1405677.850566976</v>
      </c>
      <c r="L24" s="1197" t="e">
        <f>#REF!</f>
        <v>#REF!</v>
      </c>
      <c r="M24" s="1197" t="e">
        <f>#REF!</f>
        <v>#REF!</v>
      </c>
      <c r="N24" s="245" t="e">
        <f>K24-L24-M24</f>
        <v>#REF!</v>
      </c>
      <c r="O24" s="36"/>
      <c r="P24" s="36"/>
      <c r="Q24" s="245">
        <f t="shared" si="2"/>
        <v>1405677.850566976</v>
      </c>
      <c r="R24" s="246">
        <f>'Band Calculations'!Z13</f>
        <v>109</v>
      </c>
      <c r="S24" s="36"/>
      <c r="T24" s="242">
        <f t="shared" si="3"/>
        <v>12896.127069421798</v>
      </c>
      <c r="U24" s="242">
        <f t="shared" si="4"/>
        <v>1090000</v>
      </c>
      <c r="V24" s="242">
        <f t="shared" si="5"/>
        <v>2896.1270694217983</v>
      </c>
      <c r="W24" s="245">
        <f>'2012-13 Top-ups'!Y25</f>
        <v>2604.6020198467581</v>
      </c>
      <c r="X24" s="245">
        <f t="shared" si="13"/>
        <v>2896.1270694217983</v>
      </c>
      <c r="Y24" s="245">
        <f t="shared" si="6"/>
        <v>12896.127069421798</v>
      </c>
      <c r="Z24" s="245">
        <f t="shared" si="7"/>
        <v>1731.1270694217983</v>
      </c>
      <c r="AA24" s="245">
        <f>(X24-V24)*R24</f>
        <v>0</v>
      </c>
      <c r="AB24" s="245">
        <f t="shared" si="9"/>
        <v>1405677.850566976</v>
      </c>
      <c r="AC24" s="245">
        <f t="shared" si="10"/>
        <v>1384592.6828084714</v>
      </c>
      <c r="AD24" s="245">
        <f t="shared" si="11"/>
        <v>12702.685163380471</v>
      </c>
      <c r="AE24" s="245">
        <f t="shared" si="12"/>
        <v>2702.6851633804708</v>
      </c>
      <c r="AF24" s="36"/>
      <c r="AG24" s="36"/>
      <c r="AH24" s="36"/>
      <c r="AI24" s="36"/>
      <c r="AJ24" s="36"/>
    </row>
    <row r="25" spans="1:36" x14ac:dyDescent="0.25">
      <c r="A25" s="249"/>
      <c r="B25" s="36"/>
      <c r="C25" s="234"/>
      <c r="D25" s="235"/>
      <c r="E25" s="235"/>
      <c r="F25" s="235"/>
      <c r="G25" s="235"/>
      <c r="H25" s="235"/>
      <c r="I25" s="235"/>
      <c r="J25" s="235"/>
      <c r="K25" s="234"/>
      <c r="L25" s="235"/>
      <c r="M25" s="235"/>
      <c r="N25" s="234"/>
      <c r="O25" s="36"/>
      <c r="P25" s="36"/>
      <c r="Q25" s="36"/>
      <c r="R25" s="234"/>
      <c r="S25" s="36"/>
      <c r="T25" s="235"/>
      <c r="U25" s="234"/>
      <c r="V25" s="234"/>
      <c r="W25" s="36"/>
      <c r="X25" s="36"/>
      <c r="Y25" s="234"/>
      <c r="Z25" s="234"/>
      <c r="AA25" s="234"/>
      <c r="AB25" s="234"/>
      <c r="AC25" s="36"/>
      <c r="AD25" s="36"/>
      <c r="AE25" s="36"/>
      <c r="AF25" s="36"/>
      <c r="AG25" s="36"/>
      <c r="AH25" s="36"/>
      <c r="AI25" s="36"/>
      <c r="AJ25" s="36"/>
    </row>
    <row r="26" spans="1:36" ht="13.5" customHeight="1" thickBot="1" x14ac:dyDescent="0.3">
      <c r="A26" s="249"/>
      <c r="B26" s="36"/>
      <c r="C26" s="36"/>
      <c r="D26" s="250">
        <f t="shared" ref="D26:R26" si="14">SUM(D4:D24)</f>
        <v>6718354.6991984947</v>
      </c>
      <c r="E26" s="250">
        <f t="shared" si="14"/>
        <v>1540378.5397757187</v>
      </c>
      <c r="F26" s="250">
        <f t="shared" si="14"/>
        <v>807245</v>
      </c>
      <c r="G26" s="250">
        <f t="shared" si="14"/>
        <v>17037</v>
      </c>
      <c r="H26" s="250">
        <f t="shared" si="14"/>
        <v>15157696.112602487</v>
      </c>
      <c r="I26" s="250">
        <f t="shared" si="14"/>
        <v>236943.16666666666</v>
      </c>
      <c r="J26" s="250">
        <f t="shared" si="14"/>
        <v>13994.89833340567</v>
      </c>
      <c r="K26" s="250">
        <f>SUM(K4:K24)</f>
        <v>24491649.41657678</v>
      </c>
      <c r="L26" s="250" t="e">
        <f t="shared" ref="L26:Q26" si="15">SUM(L4:L24)</f>
        <v>#REF!</v>
      </c>
      <c r="M26" s="250" t="e">
        <f t="shared" si="15"/>
        <v>#REF!</v>
      </c>
      <c r="N26" s="250" t="e">
        <f t="shared" si="15"/>
        <v>#REF!</v>
      </c>
      <c r="O26" s="250" t="e">
        <f t="shared" si="15"/>
        <v>#REF!</v>
      </c>
      <c r="P26" s="250" t="e">
        <f t="shared" si="15"/>
        <v>#REF!</v>
      </c>
      <c r="Q26" s="250">
        <f t="shared" si="15"/>
        <v>23684404.41657678</v>
      </c>
      <c r="R26" s="251">
        <f t="shared" si="14"/>
        <v>1598.2500000000002</v>
      </c>
      <c r="S26" s="36"/>
      <c r="T26" s="235"/>
      <c r="U26" s="235"/>
      <c r="V26" s="249"/>
      <c r="W26" s="36"/>
      <c r="X26" s="36"/>
      <c r="Y26" s="234"/>
      <c r="Z26" s="234"/>
      <c r="AA26" s="235">
        <f>SUM(AA4:AA24)</f>
        <v>670949.39034196257</v>
      </c>
      <c r="AB26" s="235">
        <f>SUM(AB4:AB24)</f>
        <v>24355353.80691874</v>
      </c>
      <c r="AC26" s="36"/>
      <c r="AD26" s="36"/>
      <c r="AE26" s="36"/>
      <c r="AF26" s="36"/>
      <c r="AG26" s="36"/>
      <c r="AH26" s="36"/>
      <c r="AI26" s="36"/>
      <c r="AJ26" s="36"/>
    </row>
    <row r="27" spans="1:36" x14ac:dyDescent="0.25">
      <c r="A27" s="249"/>
      <c r="B27" s="36"/>
      <c r="C27" s="36"/>
      <c r="D27" s="234"/>
      <c r="E27" s="234"/>
      <c r="F27" s="234"/>
      <c r="G27" s="234"/>
      <c r="H27" s="36"/>
      <c r="I27" s="36"/>
      <c r="J27" s="36"/>
      <c r="K27" s="234"/>
      <c r="L27" s="235"/>
      <c r="M27" s="235"/>
      <c r="N27" s="234"/>
      <c r="O27" s="36"/>
      <c r="P27" s="252"/>
      <c r="Q27" s="252"/>
      <c r="R27" s="252"/>
      <c r="S27" s="36"/>
      <c r="T27" s="235"/>
      <c r="U27" s="235"/>
      <c r="V27" s="249"/>
      <c r="W27" s="36"/>
      <c r="X27" s="36"/>
      <c r="Y27" s="234"/>
      <c r="Z27" s="234"/>
      <c r="AA27" s="234"/>
      <c r="AB27" s="234"/>
      <c r="AC27" s="36"/>
      <c r="AD27" s="36"/>
      <c r="AE27" s="36"/>
      <c r="AF27" s="36"/>
      <c r="AG27" s="36"/>
      <c r="AH27" s="36"/>
      <c r="AI27" s="36"/>
      <c r="AJ27" s="36"/>
    </row>
    <row r="28" spans="1:36" x14ac:dyDescent="0.25">
      <c r="A28" s="36"/>
      <c r="B28" s="36" t="s">
        <v>456</v>
      </c>
      <c r="C28" s="36"/>
      <c r="D28" s="235">
        <f>D26-D15</f>
        <v>6543886.7049866961</v>
      </c>
      <c r="E28" s="235">
        <f t="shared" ref="E28:R28" si="16">E26-E15</f>
        <v>1491617.1263370216</v>
      </c>
      <c r="F28" s="235">
        <f t="shared" si="16"/>
        <v>807245</v>
      </c>
      <c r="G28" s="235">
        <f t="shared" si="16"/>
        <v>17037</v>
      </c>
      <c r="H28" s="235">
        <f t="shared" si="16"/>
        <v>15010442.635035809</v>
      </c>
      <c r="I28" s="235">
        <f t="shared" si="16"/>
        <v>233966.5</v>
      </c>
      <c r="J28" s="235">
        <f t="shared" si="16"/>
        <v>13304.411809383275</v>
      </c>
      <c r="K28" s="235">
        <f t="shared" si="16"/>
        <v>24117499.378168918</v>
      </c>
      <c r="L28" s="235" t="e">
        <f t="shared" si="16"/>
        <v>#REF!</v>
      </c>
      <c r="M28" s="235" t="e">
        <f t="shared" si="16"/>
        <v>#REF!</v>
      </c>
      <c r="N28" s="235" t="e">
        <f t="shared" si="16"/>
        <v>#REF!</v>
      </c>
      <c r="O28" s="235" t="e">
        <f t="shared" si="16"/>
        <v>#REF!</v>
      </c>
      <c r="P28" s="235" t="e">
        <f t="shared" si="16"/>
        <v>#REF!</v>
      </c>
      <c r="Q28" s="235">
        <f t="shared" si="16"/>
        <v>23310254.378168918</v>
      </c>
      <c r="R28" s="253">
        <f t="shared" si="16"/>
        <v>1582.8333333333335</v>
      </c>
      <c r="S28" s="36"/>
      <c r="T28" s="235"/>
      <c r="U28" s="234"/>
      <c r="V28" s="234"/>
      <c r="W28" s="36"/>
      <c r="X28" s="36"/>
      <c r="Y28" s="234"/>
      <c r="Z28" s="234"/>
      <c r="AA28" s="234"/>
      <c r="AB28" s="235">
        <f>AB26-AB15</f>
        <v>23981203.768510878</v>
      </c>
      <c r="AC28" s="36"/>
      <c r="AD28" s="36"/>
      <c r="AE28" s="36"/>
      <c r="AF28" s="36"/>
      <c r="AG28" s="36"/>
      <c r="AH28" s="36"/>
      <c r="AI28" s="36"/>
      <c r="AJ28" s="36"/>
    </row>
    <row r="31" spans="1:36" x14ac:dyDescent="0.25">
      <c r="A31" s="36"/>
      <c r="B31" s="36"/>
      <c r="C31" s="36"/>
      <c r="D31" s="234"/>
      <c r="E31" s="234"/>
      <c r="F31" s="234"/>
      <c r="G31" s="234"/>
      <c r="H31" s="1198"/>
      <c r="I31" s="36"/>
      <c r="J31" s="36"/>
      <c r="K31" s="234"/>
      <c r="L31" s="234"/>
      <c r="M31" s="234"/>
      <c r="N31" s="234"/>
      <c r="O31" s="36"/>
      <c r="P31" s="36"/>
      <c r="Q31" s="36"/>
      <c r="R31" s="234"/>
      <c r="S31" s="36"/>
      <c r="T31" s="235"/>
      <c r="U31" s="234"/>
      <c r="V31" s="234"/>
      <c r="W31" s="36"/>
      <c r="X31" s="36"/>
      <c r="Y31" s="234"/>
      <c r="Z31" s="234"/>
      <c r="AA31" s="234"/>
      <c r="AB31" s="234"/>
      <c r="AC31" s="36"/>
      <c r="AD31" s="36"/>
      <c r="AE31" s="36"/>
      <c r="AF31" s="36"/>
      <c r="AG31" s="36"/>
      <c r="AH31" s="36"/>
      <c r="AI31" s="36"/>
      <c r="AJ31" s="36"/>
    </row>
    <row r="32" spans="1:36" x14ac:dyDescent="0.25">
      <c r="A32" s="36"/>
      <c r="B32" s="36"/>
      <c r="C32" s="36"/>
      <c r="D32" s="234"/>
      <c r="E32" s="234"/>
      <c r="F32" s="234"/>
      <c r="G32" s="234"/>
      <c r="H32" s="1198"/>
      <c r="I32" s="36"/>
      <c r="J32" s="36"/>
      <c r="K32" s="234"/>
      <c r="L32" s="234"/>
      <c r="M32" s="234"/>
      <c r="N32" s="234"/>
      <c r="O32" s="36"/>
      <c r="P32" s="36"/>
      <c r="Q32" s="36"/>
      <c r="R32" s="234"/>
      <c r="S32" s="36"/>
      <c r="T32" s="235"/>
      <c r="U32" s="234"/>
      <c r="V32" s="234"/>
      <c r="W32" s="36"/>
      <c r="X32" s="36"/>
      <c r="Y32" s="234"/>
      <c r="Z32" s="234"/>
      <c r="AA32" s="234"/>
      <c r="AB32" s="234"/>
      <c r="AC32" s="36"/>
      <c r="AD32" s="36"/>
      <c r="AE32" s="36"/>
      <c r="AF32" s="36"/>
      <c r="AG32" s="36"/>
      <c r="AH32" s="36"/>
      <c r="AI32" s="36"/>
      <c r="AJ32" s="36"/>
    </row>
    <row r="33" spans="8:8" x14ac:dyDescent="0.25">
      <c r="H33" s="1198"/>
    </row>
    <row r="34" spans="8:8" x14ac:dyDescent="0.25">
      <c r="H34" s="1198"/>
    </row>
    <row r="35" spans="8:8" x14ac:dyDescent="0.25">
      <c r="H35" s="1198"/>
    </row>
    <row r="36" spans="8:8" x14ac:dyDescent="0.25">
      <c r="H36" s="1198"/>
    </row>
    <row r="37" spans="8:8" x14ac:dyDescent="0.25">
      <c r="H37" s="1198"/>
    </row>
    <row r="38" spans="8:8" x14ac:dyDescent="0.25">
      <c r="H38" s="1198"/>
    </row>
    <row r="39" spans="8:8" x14ac:dyDescent="0.25">
      <c r="H39" s="1198"/>
    </row>
    <row r="40" spans="8:8" x14ac:dyDescent="0.25">
      <c r="H40" s="1198"/>
    </row>
    <row r="41" spans="8:8" x14ac:dyDescent="0.25">
      <c r="H41" s="1198"/>
    </row>
    <row r="42" spans="8:8" x14ac:dyDescent="0.25">
      <c r="H42" s="1198"/>
    </row>
    <row r="43" spans="8:8" x14ac:dyDescent="0.25">
      <c r="H43" s="1198"/>
    </row>
    <row r="44" spans="8:8" x14ac:dyDescent="0.25">
      <c r="H44" s="1198"/>
    </row>
    <row r="45" spans="8:8" x14ac:dyDescent="0.25">
      <c r="H45" s="1198"/>
    </row>
    <row r="46" spans="8:8" x14ac:dyDescent="0.25">
      <c r="H46" s="1198"/>
    </row>
    <row r="47" spans="8:8" x14ac:dyDescent="0.25">
      <c r="H47" s="1198"/>
    </row>
    <row r="48" spans="8:8" x14ac:dyDescent="0.25">
      <c r="H48" s="1198"/>
    </row>
    <row r="49" spans="8:8" x14ac:dyDescent="0.25">
      <c r="H49" s="1198"/>
    </row>
    <row r="50" spans="8:8" x14ac:dyDescent="0.25">
      <c r="H50" s="1198"/>
    </row>
    <row r="51" spans="8:8" x14ac:dyDescent="0.25">
      <c r="H51" s="1198"/>
    </row>
  </sheetData>
  <sheetProtection password="C462" sheet="1" objects="1" scenarios="1"/>
  <mergeCells count="1">
    <mergeCell ref="AF18:AH21"/>
  </mergeCells>
  <phoneticPr fontId="60" type="noConversion"/>
  <pageMargins left="0.39370078740157483" right="0.39370078740157483" top="0.98425196850393704" bottom="0.98425196850393704" header="0.51181102362204722" footer="0.51181102362204722"/>
  <pageSetup paperSize="8" scale="63" orientation="landscape" r:id="rId1"/>
  <headerFooter alignWithMargins="0">
    <oddFooter>&amp;F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rgb="FF00B050"/>
    <pageSetUpPr fitToPage="1"/>
  </sheetPr>
  <dimension ref="A1:Z51"/>
  <sheetViews>
    <sheetView zoomScale="85" zoomScaleNormal="100" workbookViewId="0">
      <pane xSplit="2" topLeftCell="C1" activePane="topRight" state="frozen"/>
      <selection activeCell="B1" sqref="B1"/>
      <selection pane="topRight" activeCell="F42" sqref="F42"/>
    </sheetView>
  </sheetViews>
  <sheetFormatPr defaultColWidth="10.26953125" defaultRowHeight="12.5" x14ac:dyDescent="0.25"/>
  <cols>
    <col min="1" max="1" width="10.26953125" style="29"/>
    <col min="2" max="2" width="31.54296875" style="29" customWidth="1"/>
    <col min="3" max="3" width="6.1796875" style="29" customWidth="1"/>
    <col min="4" max="7" width="15.7265625" style="30" customWidth="1"/>
    <col min="8" max="10" width="15.7265625" style="29" customWidth="1"/>
    <col min="11" max="11" width="15.7265625" style="30" customWidth="1"/>
    <col min="12" max="14" width="15.7265625" style="30" hidden="1" customWidth="1"/>
    <col min="15" max="16" width="15.7265625" style="29" hidden="1" customWidth="1"/>
    <col min="17" max="17" width="15.7265625" style="29" customWidth="1"/>
    <col min="18" max="18" width="10.26953125" style="30" customWidth="1"/>
    <col min="19" max="19" width="0.81640625" style="29" customWidth="1"/>
    <col min="20" max="20" width="12.54296875" style="30" customWidth="1"/>
    <col min="21" max="23" width="12.54296875" style="31" customWidth="1"/>
    <col min="24" max="24" width="1.26953125" style="31" customWidth="1"/>
    <col min="25" max="25" width="12.54296875" style="31" customWidth="1"/>
    <col min="26" max="26" width="10.26953125" style="61" customWidth="1"/>
    <col min="27" max="16384" width="10.26953125" style="29"/>
  </cols>
  <sheetData>
    <row r="1" spans="1:25" ht="15.5" x14ac:dyDescent="0.35">
      <c r="A1" s="36"/>
      <c r="B1" s="65" t="s">
        <v>457</v>
      </c>
      <c r="C1" s="36"/>
      <c r="D1" s="234"/>
      <c r="E1" s="234"/>
      <c r="F1" s="234"/>
      <c r="G1" s="234"/>
      <c r="H1" s="36"/>
      <c r="I1" s="36"/>
      <c r="J1" s="36"/>
      <c r="K1" s="234"/>
      <c r="L1" s="234"/>
      <c r="M1" s="234"/>
      <c r="N1" s="234"/>
      <c r="O1" s="36"/>
      <c r="P1" s="36"/>
      <c r="Q1" s="36"/>
      <c r="R1" s="234"/>
      <c r="S1" s="36"/>
      <c r="T1" s="66" t="s">
        <v>458</v>
      </c>
      <c r="U1" s="235"/>
      <c r="V1" s="235"/>
      <c r="W1" s="235"/>
      <c r="X1" s="235"/>
      <c r="Y1" s="235"/>
    </row>
    <row r="2" spans="1:25" ht="15.5" x14ac:dyDescent="0.35">
      <c r="A2" s="36"/>
      <c r="B2" s="65"/>
      <c r="C2" s="36"/>
      <c r="D2" s="234"/>
      <c r="E2" s="234"/>
      <c r="F2" s="234"/>
      <c r="G2" s="234"/>
      <c r="H2" s="36"/>
      <c r="I2" s="36"/>
      <c r="J2" s="36"/>
      <c r="K2" s="234"/>
      <c r="L2" s="234"/>
      <c r="M2" s="234"/>
      <c r="N2" s="234"/>
      <c r="O2" s="36"/>
      <c r="P2" s="36"/>
      <c r="Q2" s="36"/>
      <c r="R2" s="234"/>
      <c r="S2" s="36"/>
      <c r="T2" s="66"/>
      <c r="U2" s="235"/>
      <c r="V2" s="235"/>
      <c r="W2" s="235"/>
      <c r="X2" s="235"/>
      <c r="Y2" s="235"/>
    </row>
    <row r="3" spans="1:25" ht="15.5" x14ac:dyDescent="0.35">
      <c r="A3" s="36"/>
      <c r="B3" s="67" t="s">
        <v>459</v>
      </c>
      <c r="C3" s="36"/>
      <c r="D3" s="234"/>
      <c r="E3" s="234"/>
      <c r="F3" s="234"/>
      <c r="G3" s="234"/>
      <c r="H3" s="36"/>
      <c r="I3" s="36"/>
      <c r="J3" s="36"/>
      <c r="K3" s="234"/>
      <c r="L3" s="234"/>
      <c r="M3" s="234"/>
      <c r="N3" s="234"/>
      <c r="O3" s="36"/>
      <c r="P3" s="36"/>
      <c r="Q3" s="36"/>
      <c r="R3" s="234"/>
      <c r="S3" s="36"/>
      <c r="T3" s="1495" t="s">
        <v>192</v>
      </c>
      <c r="U3" s="1493" t="s">
        <v>193</v>
      </c>
      <c r="V3" s="1493" t="s">
        <v>460</v>
      </c>
      <c r="W3" s="1496" t="s">
        <v>189</v>
      </c>
      <c r="X3" s="245"/>
      <c r="Y3" s="1493" t="s">
        <v>460</v>
      </c>
    </row>
    <row r="4" spans="1:25" x14ac:dyDescent="0.25">
      <c r="A4" s="36"/>
      <c r="B4" s="36"/>
      <c r="C4" s="36"/>
      <c r="D4" s="234"/>
      <c r="E4" s="234"/>
      <c r="F4" s="234"/>
      <c r="G4" s="234"/>
      <c r="H4" s="36"/>
      <c r="I4" s="36"/>
      <c r="J4" s="36"/>
      <c r="K4" s="234"/>
      <c r="L4" s="234"/>
      <c r="M4" s="234"/>
      <c r="N4" s="234"/>
      <c r="O4" s="36"/>
      <c r="P4" s="36"/>
      <c r="Q4" s="36"/>
      <c r="R4" s="234"/>
      <c r="S4" s="36"/>
      <c r="T4" s="1495"/>
      <c r="U4" s="1493"/>
      <c r="V4" s="1493"/>
      <c r="W4" s="1496"/>
      <c r="X4" s="245"/>
      <c r="Y4" s="1493"/>
    </row>
    <row r="5" spans="1:25" x14ac:dyDescent="0.25">
      <c r="A5" s="36"/>
      <c r="B5" s="36"/>
      <c r="C5" s="36"/>
      <c r="D5" s="234"/>
      <c r="E5" s="234"/>
      <c r="F5" s="234"/>
      <c r="G5" s="234"/>
      <c r="H5" s="36"/>
      <c r="I5" s="36"/>
      <c r="J5" s="36"/>
      <c r="K5" s="234"/>
      <c r="L5" s="234"/>
      <c r="M5" s="234"/>
      <c r="N5" s="234"/>
      <c r="O5" s="36"/>
      <c r="P5" s="36"/>
      <c r="Q5" s="36"/>
      <c r="R5" s="234"/>
      <c r="S5" s="36"/>
      <c r="T5" s="241"/>
      <c r="U5" s="242">
        <v>10000</v>
      </c>
      <c r="V5" s="242" t="s">
        <v>461</v>
      </c>
      <c r="W5" s="1496"/>
      <c r="X5" s="245"/>
      <c r="Y5" s="242" t="s">
        <v>461</v>
      </c>
    </row>
    <row r="6" spans="1:25" ht="50" x14ac:dyDescent="0.25">
      <c r="A6" s="265" t="s">
        <v>182</v>
      </c>
      <c r="B6" s="237" t="s">
        <v>183</v>
      </c>
      <c r="C6" s="238" t="s">
        <v>184</v>
      </c>
      <c r="D6" s="239" t="s">
        <v>58</v>
      </c>
      <c r="E6" s="240" t="s">
        <v>59</v>
      </c>
      <c r="F6" s="238" t="s">
        <v>147</v>
      </c>
      <c r="G6" s="238" t="s">
        <v>185</v>
      </c>
      <c r="H6" s="238" t="s">
        <v>103</v>
      </c>
      <c r="I6" s="241" t="s">
        <v>462</v>
      </c>
      <c r="J6" s="238" t="s">
        <v>105</v>
      </c>
      <c r="K6" s="238" t="s">
        <v>189</v>
      </c>
      <c r="L6" s="241" t="s">
        <v>445</v>
      </c>
      <c r="M6" s="241" t="s">
        <v>446</v>
      </c>
      <c r="N6" s="238" t="s">
        <v>19</v>
      </c>
      <c r="O6" s="36"/>
      <c r="P6" s="36"/>
      <c r="Q6" s="241" t="s">
        <v>190</v>
      </c>
      <c r="R6" s="238" t="s">
        <v>463</v>
      </c>
      <c r="S6" s="36"/>
      <c r="T6" s="241" t="s">
        <v>464</v>
      </c>
      <c r="U6" s="242" t="s">
        <v>465</v>
      </c>
      <c r="V6" s="242" t="s">
        <v>466</v>
      </c>
      <c r="W6" s="242"/>
      <c r="X6" s="242"/>
      <c r="Y6" s="242" t="s">
        <v>467</v>
      </c>
    </row>
    <row r="7" spans="1:25" ht="13" x14ac:dyDescent="0.3">
      <c r="A7" s="244">
        <v>9257010</v>
      </c>
      <c r="B7" s="237" t="s">
        <v>205</v>
      </c>
      <c r="C7" s="238">
        <v>3</v>
      </c>
      <c r="D7" s="245">
        <v>314686.51772419503</v>
      </c>
      <c r="E7" s="245">
        <v>69201.680689977453</v>
      </c>
      <c r="F7" s="245"/>
      <c r="G7" s="245"/>
      <c r="H7" s="245">
        <v>415695.701620073</v>
      </c>
      <c r="I7" s="245"/>
      <c r="J7" s="245">
        <v>4465</v>
      </c>
      <c r="K7" s="245">
        <f>SUM(D7:J7)</f>
        <v>804048.90003424557</v>
      </c>
      <c r="L7" s="245" t="e">
        <f>#REF!</f>
        <v>#REF!</v>
      </c>
      <c r="M7" s="245" t="e">
        <f>#REF!</f>
        <v>#REF!</v>
      </c>
      <c r="N7" s="245" t="e">
        <f>K7-L7-M7</f>
        <v>#REF!</v>
      </c>
      <c r="O7" s="36"/>
      <c r="P7" s="36"/>
      <c r="Q7" s="245">
        <f>K7-F7</f>
        <v>804048.90003424557</v>
      </c>
      <c r="R7" s="238">
        <v>42</v>
      </c>
      <c r="S7" s="36"/>
      <c r="T7" s="1199">
        <f t="shared" ref="T7:T25" si="0">Q7/R7</f>
        <v>19144.021429386798</v>
      </c>
      <c r="U7" s="245">
        <f t="shared" ref="U7:U25" si="1">R7*10000</f>
        <v>420000</v>
      </c>
      <c r="V7" s="68">
        <f>T7-$U$5</f>
        <v>9144.0214293867975</v>
      </c>
      <c r="W7" s="245">
        <f t="shared" ref="W7:W25" si="2">($U$5+V7)*R7</f>
        <v>804048.90003424545</v>
      </c>
      <c r="X7" s="245"/>
      <c r="Y7" s="68">
        <f>V7*98.5%</f>
        <v>9006.8611079459952</v>
      </c>
    </row>
    <row r="8" spans="1:25" ht="13" x14ac:dyDescent="0.3">
      <c r="A8" s="244">
        <v>9257005</v>
      </c>
      <c r="B8" s="237" t="s">
        <v>208</v>
      </c>
      <c r="C8" s="238">
        <v>3</v>
      </c>
      <c r="D8" s="245">
        <v>314686.51772419503</v>
      </c>
      <c r="E8" s="245">
        <v>69201.680689977453</v>
      </c>
      <c r="F8" s="245"/>
      <c r="G8" s="245"/>
      <c r="H8" s="245">
        <v>527117.15587561659</v>
      </c>
      <c r="I8" s="245"/>
      <c r="J8" s="245">
        <v>10716</v>
      </c>
      <c r="K8" s="245">
        <f t="shared" ref="K8:K25" si="3">SUM(D8:J8)</f>
        <v>921721.3542897891</v>
      </c>
      <c r="L8" s="245" t="e">
        <f>#REF!</f>
        <v>#REF!</v>
      </c>
      <c r="M8" s="245" t="e">
        <f>#REF!</f>
        <v>#REF!</v>
      </c>
      <c r="N8" s="245" t="e">
        <f t="shared" ref="N8:N19" si="4">K8-L8-M8</f>
        <v>#REF!</v>
      </c>
      <c r="O8" s="36"/>
      <c r="P8" s="36"/>
      <c r="Q8" s="245">
        <f t="shared" ref="Q8:Q25" si="5">K8-F8</f>
        <v>921721.3542897891</v>
      </c>
      <c r="R8" s="238">
        <v>60</v>
      </c>
      <c r="S8" s="36"/>
      <c r="T8" s="1199">
        <f t="shared" si="0"/>
        <v>15362.022571496485</v>
      </c>
      <c r="U8" s="245">
        <f t="shared" si="1"/>
        <v>600000</v>
      </c>
      <c r="V8" s="68">
        <f t="shared" ref="V8:V25" si="6">T8-$U$5</f>
        <v>5362.0225714964854</v>
      </c>
      <c r="W8" s="245">
        <f t="shared" si="2"/>
        <v>921721.3542897891</v>
      </c>
      <c r="X8" s="245"/>
      <c r="Y8" s="68">
        <f t="shared" ref="Y8:Y25" si="7">V8*98.5%</f>
        <v>5281.5922329240384</v>
      </c>
    </row>
    <row r="9" spans="1:25" ht="13" x14ac:dyDescent="0.3">
      <c r="A9" s="244">
        <v>9257025</v>
      </c>
      <c r="B9" s="237" t="s">
        <v>209</v>
      </c>
      <c r="C9" s="238">
        <v>3</v>
      </c>
      <c r="D9" s="245">
        <v>314686.51772419503</v>
      </c>
      <c r="E9" s="245">
        <v>69201.680689977453</v>
      </c>
      <c r="F9" s="245"/>
      <c r="G9" s="245"/>
      <c r="H9" s="245">
        <v>502618.51285258046</v>
      </c>
      <c r="I9" s="245"/>
      <c r="J9" s="245">
        <v>6251</v>
      </c>
      <c r="K9" s="245">
        <f t="shared" si="3"/>
        <v>892757.71126675303</v>
      </c>
      <c r="L9" s="245" t="e">
        <f>#REF!</f>
        <v>#REF!</v>
      </c>
      <c r="M9" s="245" t="e">
        <f>#REF!</f>
        <v>#REF!</v>
      </c>
      <c r="N9" s="245" t="e">
        <f t="shared" si="4"/>
        <v>#REF!</v>
      </c>
      <c r="O9" s="36"/>
      <c r="P9" s="36"/>
      <c r="Q9" s="245">
        <f t="shared" si="5"/>
        <v>892757.71126675303</v>
      </c>
      <c r="R9" s="238">
        <v>46</v>
      </c>
      <c r="S9" s="36"/>
      <c r="T9" s="1199">
        <f t="shared" si="0"/>
        <v>19407.776331885936</v>
      </c>
      <c r="U9" s="245">
        <f t="shared" si="1"/>
        <v>460000</v>
      </c>
      <c r="V9" s="68">
        <f t="shared" si="6"/>
        <v>9407.7763318859361</v>
      </c>
      <c r="W9" s="245">
        <f t="shared" si="2"/>
        <v>892757.71126675303</v>
      </c>
      <c r="X9" s="245"/>
      <c r="Y9" s="68">
        <f t="shared" si="7"/>
        <v>9266.6596869076475</v>
      </c>
    </row>
    <row r="10" spans="1:25" ht="13" x14ac:dyDescent="0.3">
      <c r="A10" s="244">
        <v>9257011</v>
      </c>
      <c r="B10" s="237" t="s">
        <v>210</v>
      </c>
      <c r="C10" s="238">
        <v>3</v>
      </c>
      <c r="D10" s="245">
        <v>314686.51772419503</v>
      </c>
      <c r="E10" s="245">
        <v>69201.680689977453</v>
      </c>
      <c r="F10" s="245"/>
      <c r="G10" s="245"/>
      <c r="H10" s="245">
        <v>431340.27451364766</v>
      </c>
      <c r="I10" s="245"/>
      <c r="J10" s="245">
        <v>4465</v>
      </c>
      <c r="K10" s="245">
        <f t="shared" si="3"/>
        <v>819693.47292782017</v>
      </c>
      <c r="L10" s="245" t="e">
        <f>#REF!</f>
        <v>#REF!</v>
      </c>
      <c r="M10" s="245" t="e">
        <f>#REF!</f>
        <v>#REF!</v>
      </c>
      <c r="N10" s="245" t="e">
        <f t="shared" si="4"/>
        <v>#REF!</v>
      </c>
      <c r="O10" s="36"/>
      <c r="P10" s="36"/>
      <c r="Q10" s="245">
        <f t="shared" si="5"/>
        <v>819693.47292782017</v>
      </c>
      <c r="R10" s="238">
        <v>41</v>
      </c>
      <c r="S10" s="36"/>
      <c r="T10" s="1199">
        <f t="shared" si="0"/>
        <v>19992.523729946832</v>
      </c>
      <c r="U10" s="245">
        <f t="shared" si="1"/>
        <v>410000</v>
      </c>
      <c r="V10" s="68">
        <f t="shared" si="6"/>
        <v>9992.5237299468317</v>
      </c>
      <c r="W10" s="245">
        <f t="shared" si="2"/>
        <v>819693.47292782005</v>
      </c>
      <c r="X10" s="245"/>
      <c r="Y10" s="68">
        <f t="shared" si="7"/>
        <v>9842.6358739976295</v>
      </c>
    </row>
    <row r="11" spans="1:25" ht="13" x14ac:dyDescent="0.3">
      <c r="A11" s="244">
        <v>9257024</v>
      </c>
      <c r="B11" s="237" t="s">
        <v>211</v>
      </c>
      <c r="C11" s="238">
        <v>3</v>
      </c>
      <c r="D11" s="245">
        <v>314686.51772419503</v>
      </c>
      <c r="E11" s="245">
        <v>69201.680689977453</v>
      </c>
      <c r="F11" s="245"/>
      <c r="G11" s="245"/>
      <c r="H11" s="245">
        <v>413562.54341202567</v>
      </c>
      <c r="I11" s="245"/>
      <c r="J11" s="245">
        <v>7591</v>
      </c>
      <c r="K11" s="245">
        <f t="shared" si="3"/>
        <v>805041.74182619818</v>
      </c>
      <c r="L11" s="245" t="e">
        <f>#REF!</f>
        <v>#REF!</v>
      </c>
      <c r="M11" s="245" t="e">
        <f>#REF!</f>
        <v>#REF!</v>
      </c>
      <c r="N11" s="245" t="e">
        <f t="shared" si="4"/>
        <v>#REF!</v>
      </c>
      <c r="O11" s="36"/>
      <c r="P11" s="36"/>
      <c r="Q11" s="245">
        <f t="shared" si="5"/>
        <v>805041.74182619818</v>
      </c>
      <c r="R11" s="238">
        <v>47</v>
      </c>
      <c r="S11" s="36"/>
      <c r="T11" s="1199">
        <f t="shared" si="0"/>
        <v>17128.547698429749</v>
      </c>
      <c r="U11" s="245">
        <f t="shared" si="1"/>
        <v>470000</v>
      </c>
      <c r="V11" s="68">
        <f t="shared" si="6"/>
        <v>7128.5476984297493</v>
      </c>
      <c r="W11" s="245">
        <f t="shared" si="2"/>
        <v>805041.74182619818</v>
      </c>
      <c r="X11" s="245"/>
      <c r="Y11" s="68">
        <f t="shared" si="7"/>
        <v>7021.6194829533033</v>
      </c>
    </row>
    <row r="12" spans="1:25" ht="13" x14ac:dyDescent="0.3">
      <c r="A12" s="244">
        <v>9257008</v>
      </c>
      <c r="B12" s="237" t="s">
        <v>212</v>
      </c>
      <c r="C12" s="238">
        <v>3</v>
      </c>
      <c r="D12" s="245">
        <v>314686.51772419503</v>
      </c>
      <c r="E12" s="245">
        <v>69201.680689977453</v>
      </c>
      <c r="F12" s="245"/>
      <c r="G12" s="245"/>
      <c r="H12" s="245">
        <v>718178.9151264336</v>
      </c>
      <c r="I12" s="245"/>
      <c r="J12" s="245">
        <v>12502</v>
      </c>
      <c r="K12" s="245">
        <f t="shared" si="3"/>
        <v>1114569.1135406061</v>
      </c>
      <c r="L12" s="245" t="e">
        <f>#REF!</f>
        <v>#REF!</v>
      </c>
      <c r="M12" s="245" t="e">
        <f>#REF!</f>
        <v>#REF!</v>
      </c>
      <c r="N12" s="245" t="e">
        <f t="shared" si="4"/>
        <v>#REF!</v>
      </c>
      <c r="O12" s="36"/>
      <c r="P12" s="36"/>
      <c r="Q12" s="245">
        <f t="shared" si="5"/>
        <v>1114569.1135406061</v>
      </c>
      <c r="R12" s="238">
        <v>79</v>
      </c>
      <c r="S12" s="36"/>
      <c r="T12" s="1199">
        <f t="shared" si="0"/>
        <v>14108.469791653242</v>
      </c>
      <c r="U12" s="245">
        <f t="shared" si="1"/>
        <v>790000</v>
      </c>
      <c r="V12" s="68">
        <f t="shared" si="6"/>
        <v>4108.4697916532423</v>
      </c>
      <c r="W12" s="245">
        <f t="shared" si="2"/>
        <v>1114569.1135406061</v>
      </c>
      <c r="X12" s="245"/>
      <c r="Y12" s="68">
        <f t="shared" si="7"/>
        <v>4046.8427447784434</v>
      </c>
    </row>
    <row r="13" spans="1:25" ht="13" x14ac:dyDescent="0.3">
      <c r="A13" s="244">
        <v>9257002</v>
      </c>
      <c r="B13" s="237" t="s">
        <v>213</v>
      </c>
      <c r="C13" s="238">
        <v>4</v>
      </c>
      <c r="D13" s="245">
        <v>405763.82046267512</v>
      </c>
      <c r="E13" s="245">
        <v>88790.687513148558</v>
      </c>
      <c r="F13" s="245"/>
      <c r="G13" s="245"/>
      <c r="H13" s="245">
        <v>902090.43036849203</v>
      </c>
      <c r="I13" s="245"/>
      <c r="J13" s="245">
        <v>17414</v>
      </c>
      <c r="K13" s="245">
        <f t="shared" si="3"/>
        <v>1414058.9383443156</v>
      </c>
      <c r="L13" s="245" t="e">
        <f>#REF!</f>
        <v>#REF!</v>
      </c>
      <c r="M13" s="245" t="e">
        <f>#REF!</f>
        <v>#REF!</v>
      </c>
      <c r="N13" s="245" t="e">
        <f t="shared" si="4"/>
        <v>#REF!</v>
      </c>
      <c r="O13" s="36"/>
      <c r="P13" s="36"/>
      <c r="Q13" s="245">
        <f t="shared" si="5"/>
        <v>1414058.9383443156</v>
      </c>
      <c r="R13" s="238">
        <v>123</v>
      </c>
      <c r="S13" s="36"/>
      <c r="T13" s="1199">
        <f t="shared" si="0"/>
        <v>11496.414132880614</v>
      </c>
      <c r="U13" s="245">
        <f t="shared" si="1"/>
        <v>1230000</v>
      </c>
      <c r="V13" s="68">
        <f t="shared" si="6"/>
        <v>1496.4141328806145</v>
      </c>
      <c r="W13" s="245">
        <f t="shared" si="2"/>
        <v>1414058.9383443156</v>
      </c>
      <c r="X13" s="245"/>
      <c r="Y13" s="68">
        <f t="shared" si="7"/>
        <v>1473.9679208874052</v>
      </c>
    </row>
    <row r="14" spans="1:25" ht="13" x14ac:dyDescent="0.3">
      <c r="A14" s="244">
        <v>9257009</v>
      </c>
      <c r="B14" s="237" t="s">
        <v>214</v>
      </c>
      <c r="C14" s="238">
        <v>4</v>
      </c>
      <c r="D14" s="245">
        <v>405763.82046267512</v>
      </c>
      <c r="E14" s="245">
        <v>88790.687513148558</v>
      </c>
      <c r="F14" s="245"/>
      <c r="G14" s="245"/>
      <c r="H14" s="245">
        <v>983000.40586640185</v>
      </c>
      <c r="I14" s="245">
        <v>-42588</v>
      </c>
      <c r="J14" s="245">
        <v>16967</v>
      </c>
      <c r="K14" s="245">
        <f>SUM(D14:J14)</f>
        <v>1451933.9138422254</v>
      </c>
      <c r="L14" s="245" t="e">
        <f>#REF!</f>
        <v>#REF!</v>
      </c>
      <c r="M14" s="245" t="e">
        <f>#REF!</f>
        <v>#REF!</v>
      </c>
      <c r="N14" s="245" t="e">
        <f t="shared" si="4"/>
        <v>#REF!</v>
      </c>
      <c r="O14" s="36"/>
      <c r="P14" s="36"/>
      <c r="Q14" s="245">
        <f t="shared" si="5"/>
        <v>1451933.9138422254</v>
      </c>
      <c r="R14" s="238">
        <v>129</v>
      </c>
      <c r="S14" s="36"/>
      <c r="T14" s="1199">
        <f t="shared" si="0"/>
        <v>11255.301657691671</v>
      </c>
      <c r="U14" s="245">
        <f t="shared" si="1"/>
        <v>1290000</v>
      </c>
      <c r="V14" s="68">
        <f t="shared" si="6"/>
        <v>1255.3016576916707</v>
      </c>
      <c r="W14" s="245">
        <f t="shared" si="2"/>
        <v>1451933.9138422254</v>
      </c>
      <c r="X14" s="245"/>
      <c r="Y14" s="68">
        <f t="shared" si="7"/>
        <v>1236.4721328262956</v>
      </c>
    </row>
    <row r="15" spans="1:25" ht="13" x14ac:dyDescent="0.3">
      <c r="A15" s="244">
        <v>9257028</v>
      </c>
      <c r="B15" s="237" t="s">
        <v>215</v>
      </c>
      <c r="C15" s="238">
        <v>4</v>
      </c>
      <c r="D15" s="245">
        <v>405763.82046267512</v>
      </c>
      <c r="E15" s="245">
        <v>88790.687513148558</v>
      </c>
      <c r="F15" s="245"/>
      <c r="G15" s="245"/>
      <c r="H15" s="245">
        <v>761814.15142347582</v>
      </c>
      <c r="I15" s="245">
        <v>32945</v>
      </c>
      <c r="J15" s="245">
        <v>8484</v>
      </c>
      <c r="K15" s="245">
        <f t="shared" si="3"/>
        <v>1297797.6593992994</v>
      </c>
      <c r="L15" s="245" t="e">
        <f>#REF!</f>
        <v>#REF!</v>
      </c>
      <c r="M15" s="245" t="e">
        <f>#REF!</f>
        <v>#REF!</v>
      </c>
      <c r="N15" s="245" t="e">
        <f t="shared" si="4"/>
        <v>#REF!</v>
      </c>
      <c r="O15" s="36"/>
      <c r="P15" s="36"/>
      <c r="Q15" s="245">
        <f t="shared" si="5"/>
        <v>1297797.6593992994</v>
      </c>
      <c r="R15" s="238">
        <v>72</v>
      </c>
      <c r="S15" s="36"/>
      <c r="T15" s="1199">
        <f t="shared" si="0"/>
        <v>18024.967491656935</v>
      </c>
      <c r="U15" s="245">
        <f t="shared" si="1"/>
        <v>720000</v>
      </c>
      <c r="V15" s="68">
        <f t="shared" si="6"/>
        <v>8024.9674916569347</v>
      </c>
      <c r="W15" s="245">
        <f t="shared" si="2"/>
        <v>1297797.6593992994</v>
      </c>
      <c r="X15" s="245"/>
      <c r="Y15" s="68">
        <f t="shared" si="7"/>
        <v>7904.5929792820807</v>
      </c>
    </row>
    <row r="16" spans="1:25" ht="13" x14ac:dyDescent="0.3">
      <c r="A16" s="244">
        <v>9257021</v>
      </c>
      <c r="B16" s="237" t="s">
        <v>216</v>
      </c>
      <c r="C16" s="238">
        <v>5</v>
      </c>
      <c r="D16" s="245">
        <v>418723.18610831723</v>
      </c>
      <c r="E16" s="245">
        <v>117027.3922528728</v>
      </c>
      <c r="F16" s="245"/>
      <c r="G16" s="245"/>
      <c r="H16" s="245">
        <v>1020478.1585777974</v>
      </c>
      <c r="I16" s="245">
        <v>-128362</v>
      </c>
      <c r="J16" s="245">
        <v>16074</v>
      </c>
      <c r="K16" s="245">
        <f t="shared" si="3"/>
        <v>1443940.7369389874</v>
      </c>
      <c r="L16" s="245" t="e">
        <f>#REF!</f>
        <v>#REF!</v>
      </c>
      <c r="M16" s="245" t="e">
        <f>#REF!</f>
        <v>#REF!</v>
      </c>
      <c r="N16" s="245" t="e">
        <f t="shared" si="4"/>
        <v>#REF!</v>
      </c>
      <c r="O16" s="36"/>
      <c r="P16" s="36"/>
      <c r="Q16" s="245">
        <f t="shared" si="5"/>
        <v>1443940.7369389874</v>
      </c>
      <c r="R16" s="238">
        <v>137</v>
      </c>
      <c r="S16" s="36"/>
      <c r="T16" s="1199">
        <f t="shared" si="0"/>
        <v>10539.713408313777</v>
      </c>
      <c r="U16" s="245">
        <f t="shared" si="1"/>
        <v>1370000</v>
      </c>
      <c r="V16" s="68">
        <f t="shared" si="6"/>
        <v>539.71340831377711</v>
      </c>
      <c r="W16" s="245">
        <f t="shared" si="2"/>
        <v>1443940.7369389874</v>
      </c>
      <c r="X16" s="245"/>
      <c r="Y16" s="68">
        <f t="shared" si="7"/>
        <v>531.61770718907042</v>
      </c>
    </row>
    <row r="17" spans="1:26" s="61" customFormat="1" ht="13" x14ac:dyDescent="0.3">
      <c r="A17" s="244">
        <v>9257015</v>
      </c>
      <c r="B17" s="237" t="s">
        <v>217</v>
      </c>
      <c r="C17" s="238">
        <v>5</v>
      </c>
      <c r="D17" s="245">
        <v>418723.18610831723</v>
      </c>
      <c r="E17" s="245">
        <v>117027.3922528728</v>
      </c>
      <c r="F17" s="245"/>
      <c r="G17" s="245"/>
      <c r="H17" s="245">
        <v>1316763.3469966392</v>
      </c>
      <c r="I17" s="245"/>
      <c r="J17" s="245">
        <v>29916</v>
      </c>
      <c r="K17" s="245">
        <f t="shared" si="3"/>
        <v>1882429.9253578293</v>
      </c>
      <c r="L17" s="245" t="e">
        <f>#REF!</f>
        <v>#REF!</v>
      </c>
      <c r="M17" s="245" t="e">
        <f>#REF!</f>
        <v>#REF!</v>
      </c>
      <c r="N17" s="245" t="e">
        <f t="shared" si="4"/>
        <v>#REF!</v>
      </c>
      <c r="O17" s="36"/>
      <c r="P17" s="36"/>
      <c r="Q17" s="245">
        <f t="shared" si="5"/>
        <v>1882429.9253578293</v>
      </c>
      <c r="R17" s="238">
        <v>178</v>
      </c>
      <c r="S17" s="36"/>
      <c r="T17" s="1199">
        <f t="shared" si="0"/>
        <v>10575.44901886421</v>
      </c>
      <c r="U17" s="245">
        <f t="shared" si="1"/>
        <v>1780000</v>
      </c>
      <c r="V17" s="68">
        <f t="shared" si="6"/>
        <v>575.4490188642103</v>
      </c>
      <c r="W17" s="245">
        <f t="shared" si="2"/>
        <v>1882429.9253578295</v>
      </c>
      <c r="X17" s="245"/>
      <c r="Y17" s="68">
        <f t="shared" si="7"/>
        <v>566.81728358124712</v>
      </c>
      <c r="Z17" s="247"/>
    </row>
    <row r="18" spans="1:26" s="61" customFormat="1" ht="13" x14ac:dyDescent="0.3">
      <c r="A18" s="244">
        <v>9257017</v>
      </c>
      <c r="B18" s="237" t="s">
        <v>451</v>
      </c>
      <c r="C18" s="238">
        <v>5</v>
      </c>
      <c r="D18" s="245">
        <v>418723.18610831723</v>
      </c>
      <c r="E18" s="245">
        <v>117027.3922528728</v>
      </c>
      <c r="F18" s="245"/>
      <c r="G18" s="245">
        <v>29207</v>
      </c>
      <c r="H18" s="245">
        <v>783229.30770600447</v>
      </c>
      <c r="I18" s="245">
        <v>126178</v>
      </c>
      <c r="J18" s="245">
        <v>5358</v>
      </c>
      <c r="K18" s="245">
        <f t="shared" si="3"/>
        <v>1479722.8860671944</v>
      </c>
      <c r="L18" s="245" t="e">
        <f>#REF!</f>
        <v>#REF!</v>
      </c>
      <c r="M18" s="245" t="e">
        <f>#REF!</f>
        <v>#REF!</v>
      </c>
      <c r="N18" s="245" t="e">
        <f t="shared" si="4"/>
        <v>#REF!</v>
      </c>
      <c r="O18" s="36"/>
      <c r="P18" s="36"/>
      <c r="Q18" s="245">
        <f t="shared" si="5"/>
        <v>1479722.8860671944</v>
      </c>
      <c r="R18" s="238">
        <v>82</v>
      </c>
      <c r="S18" s="36"/>
      <c r="T18" s="1199">
        <f>Q18/R18</f>
        <v>18045.401049599932</v>
      </c>
      <c r="U18" s="245">
        <f t="shared" si="1"/>
        <v>820000</v>
      </c>
      <c r="V18" s="68">
        <f t="shared" si="6"/>
        <v>8045.4010495999319</v>
      </c>
      <c r="W18" s="245">
        <f t="shared" si="2"/>
        <v>1479722.8860671944</v>
      </c>
      <c r="X18" s="245"/>
      <c r="Y18" s="68">
        <f t="shared" si="7"/>
        <v>7924.7200338559323</v>
      </c>
      <c r="Z18" s="247"/>
    </row>
    <row r="19" spans="1:26" s="61" customFormat="1" ht="13" x14ac:dyDescent="0.3">
      <c r="A19" s="244">
        <v>9257016</v>
      </c>
      <c r="B19" s="237" t="s">
        <v>219</v>
      </c>
      <c r="C19" s="238">
        <v>6</v>
      </c>
      <c r="D19" s="245">
        <v>493762.11190507573</v>
      </c>
      <c r="E19" s="245">
        <v>131719.7894229154</v>
      </c>
      <c r="F19" s="245"/>
      <c r="G19" s="245"/>
      <c r="H19" s="245">
        <v>1191335.7606975872</v>
      </c>
      <c r="I19" s="245"/>
      <c r="J19" s="245">
        <v>8930</v>
      </c>
      <c r="K19" s="245">
        <f t="shared" si="3"/>
        <v>1825747.6620255783</v>
      </c>
      <c r="L19" s="245" t="e">
        <f>#REF!</f>
        <v>#REF!</v>
      </c>
      <c r="M19" s="245" t="e">
        <f>#REF!-#REF!</f>
        <v>#REF!</v>
      </c>
      <c r="N19" s="245" t="e">
        <f t="shared" si="4"/>
        <v>#REF!</v>
      </c>
      <c r="O19" s="36"/>
      <c r="P19" s="36"/>
      <c r="Q19" s="245">
        <f t="shared" si="5"/>
        <v>1825747.6620255783</v>
      </c>
      <c r="R19" s="238">
        <v>106</v>
      </c>
      <c r="S19" s="36"/>
      <c r="T19" s="1199">
        <f t="shared" si="0"/>
        <v>17224.034547411116</v>
      </c>
      <c r="U19" s="245">
        <f t="shared" si="1"/>
        <v>1060000</v>
      </c>
      <c r="V19" s="68">
        <f t="shared" si="6"/>
        <v>7224.0345474111164</v>
      </c>
      <c r="W19" s="245">
        <f t="shared" si="2"/>
        <v>1825747.6620255783</v>
      </c>
      <c r="X19" s="245"/>
      <c r="Y19" s="68">
        <f t="shared" si="7"/>
        <v>7115.6740291999495</v>
      </c>
      <c r="Z19" s="247"/>
    </row>
    <row r="20" spans="1:26" s="31" customFormat="1" ht="13" x14ac:dyDescent="0.3">
      <c r="A20" s="244">
        <v>9257031</v>
      </c>
      <c r="B20" s="32" t="s">
        <v>148</v>
      </c>
      <c r="C20" s="238">
        <v>3</v>
      </c>
      <c r="D20" s="245">
        <v>280697.16623783787</v>
      </c>
      <c r="E20" s="245">
        <v>55663.058379368813</v>
      </c>
      <c r="F20" s="245">
        <v>154884</v>
      </c>
      <c r="G20" s="245"/>
      <c r="H20" s="245">
        <v>787988.76899951079</v>
      </c>
      <c r="I20" s="245"/>
      <c r="J20" s="245">
        <v>9377</v>
      </c>
      <c r="K20" s="245">
        <f t="shared" si="3"/>
        <v>1288609.9936167174</v>
      </c>
      <c r="L20" s="245" t="e">
        <f>#REF!</f>
        <v>#REF!</v>
      </c>
      <c r="M20" s="245" t="e">
        <f>#REF!</f>
        <v>#REF!</v>
      </c>
      <c r="N20" s="245" t="e">
        <f t="shared" ref="N20:N25" si="8">K20-L20-M20</f>
        <v>#REF!</v>
      </c>
      <c r="O20" s="245" t="e">
        <f>#REF!</f>
        <v>#REF!</v>
      </c>
      <c r="P20" s="1192" t="e">
        <f>N20+O20</f>
        <v>#REF!</v>
      </c>
      <c r="Q20" s="245">
        <f t="shared" si="5"/>
        <v>1133725.9936167174</v>
      </c>
      <c r="R20" s="238">
        <v>55</v>
      </c>
      <c r="S20" s="36"/>
      <c r="T20" s="1199">
        <f>Q20/R20</f>
        <v>20613.199883940317</v>
      </c>
      <c r="U20" s="245">
        <f>R20*10000</f>
        <v>550000</v>
      </c>
      <c r="V20" s="121">
        <f>T20-$U$5</f>
        <v>10613.199883940317</v>
      </c>
      <c r="W20" s="245">
        <f t="shared" si="2"/>
        <v>1133725.9936167174</v>
      </c>
      <c r="X20" s="245"/>
      <c r="Y20" s="68">
        <f t="shared" si="7"/>
        <v>10454.001885681211</v>
      </c>
      <c r="Z20" s="247"/>
    </row>
    <row r="21" spans="1:26" s="31" customFormat="1" ht="13" x14ac:dyDescent="0.3">
      <c r="A21" s="244">
        <v>9257029</v>
      </c>
      <c r="B21" s="32" t="s">
        <v>149</v>
      </c>
      <c r="C21" s="238">
        <v>4</v>
      </c>
      <c r="D21" s="245">
        <v>360067.26321081078</v>
      </c>
      <c r="E21" s="245">
        <v>58044.118057617408</v>
      </c>
      <c r="F21" s="245">
        <v>219086</v>
      </c>
      <c r="G21" s="245"/>
      <c r="H21" s="245">
        <v>888278.24869035766</v>
      </c>
      <c r="I21" s="245">
        <v>97045</v>
      </c>
      <c r="J21" s="245">
        <v>8930</v>
      </c>
      <c r="K21" s="245">
        <f>SUM(D21:J21)</f>
        <v>1631450.6299587858</v>
      </c>
      <c r="L21" s="245" t="e">
        <f>#REF!</f>
        <v>#REF!</v>
      </c>
      <c r="M21" s="245" t="e">
        <f>#REF!</f>
        <v>#REF!</v>
      </c>
      <c r="N21" s="245" t="e">
        <f t="shared" si="8"/>
        <v>#REF!</v>
      </c>
      <c r="O21" s="245" t="e">
        <f>#REF!</f>
        <v>#REF!</v>
      </c>
      <c r="P21" s="1192" t="e">
        <f>N21+O21</f>
        <v>#REF!</v>
      </c>
      <c r="Q21" s="245">
        <f t="shared" si="5"/>
        <v>1412364.6299587858</v>
      </c>
      <c r="R21" s="238">
        <v>62</v>
      </c>
      <c r="S21" s="36"/>
      <c r="T21" s="1199">
        <f>Q21/R21</f>
        <v>22780.074676754612</v>
      </c>
      <c r="U21" s="245">
        <f t="shared" si="1"/>
        <v>620000</v>
      </c>
      <c r="V21" s="121">
        <f>T21-$U$5</f>
        <v>12780.074676754612</v>
      </c>
      <c r="W21" s="245">
        <f t="shared" si="2"/>
        <v>1412364.6299587858</v>
      </c>
      <c r="X21" s="245"/>
      <c r="Y21" s="68">
        <f>V21*98.5%</f>
        <v>12588.373556603292</v>
      </c>
      <c r="Z21" s="247"/>
    </row>
    <row r="22" spans="1:26" s="31" customFormat="1" ht="13" x14ac:dyDescent="0.3">
      <c r="A22" s="244">
        <v>9257032</v>
      </c>
      <c r="B22" s="32" t="s">
        <v>150</v>
      </c>
      <c r="C22" s="238">
        <v>5</v>
      </c>
      <c r="D22" s="245">
        <v>360067.26321081078</v>
      </c>
      <c r="E22" s="245">
        <v>58044.118057617408</v>
      </c>
      <c r="F22" s="245">
        <v>194478</v>
      </c>
      <c r="G22" s="245"/>
      <c r="H22" s="245">
        <v>945586.52279941295</v>
      </c>
      <c r="I22" s="245">
        <v>122420</v>
      </c>
      <c r="J22" s="245">
        <v>10716</v>
      </c>
      <c r="K22" s="245">
        <f t="shared" si="3"/>
        <v>1691311.9040678411</v>
      </c>
      <c r="L22" s="245" t="e">
        <f>#REF!</f>
        <v>#REF!</v>
      </c>
      <c r="M22" s="245" t="e">
        <f>#REF!</f>
        <v>#REF!</v>
      </c>
      <c r="N22" s="245" t="e">
        <f t="shared" si="8"/>
        <v>#REF!</v>
      </c>
      <c r="O22" s="245" t="e">
        <f>#REF!</f>
        <v>#REF!</v>
      </c>
      <c r="P22" s="1192" t="e">
        <f>N22+O22</f>
        <v>#REF!</v>
      </c>
      <c r="Q22" s="245">
        <f t="shared" si="5"/>
        <v>1496833.9040678411</v>
      </c>
      <c r="R22" s="238">
        <v>66</v>
      </c>
      <c r="S22" s="36"/>
      <c r="T22" s="1199">
        <f>Q22/R22</f>
        <v>22679.30157678547</v>
      </c>
      <c r="U22" s="245">
        <f t="shared" si="1"/>
        <v>660000</v>
      </c>
      <c r="V22" s="121">
        <f>T22-$U$5</f>
        <v>12679.30157678547</v>
      </c>
      <c r="W22" s="245">
        <f>($U$5+V22)*R22</f>
        <v>1496833.9040678411</v>
      </c>
      <c r="X22" s="245"/>
      <c r="Y22" s="68">
        <f>V22*98.5%</f>
        <v>12489.112053133687</v>
      </c>
      <c r="Z22" s="247"/>
    </row>
    <row r="23" spans="1:26" s="31" customFormat="1" ht="13" x14ac:dyDescent="0.3">
      <c r="A23" s="244">
        <v>9257030</v>
      </c>
      <c r="B23" s="32" t="s">
        <v>152</v>
      </c>
      <c r="C23" s="238">
        <v>4</v>
      </c>
      <c r="D23" s="245">
        <v>360067.26321081078</v>
      </c>
      <c r="E23" s="245">
        <v>58044.118057617408</v>
      </c>
      <c r="F23" s="245">
        <v>238797</v>
      </c>
      <c r="G23" s="245"/>
      <c r="H23" s="245">
        <v>873951.18016309384</v>
      </c>
      <c r="I23" s="245">
        <v>108062</v>
      </c>
      <c r="J23" s="245">
        <v>5358</v>
      </c>
      <c r="K23" s="245">
        <f t="shared" si="3"/>
        <v>1644279.561431522</v>
      </c>
      <c r="L23" s="245" t="e">
        <f>#REF!</f>
        <v>#REF!</v>
      </c>
      <c r="M23" s="245" t="e">
        <f>#REF!</f>
        <v>#REF!</v>
      </c>
      <c r="N23" s="245" t="e">
        <f t="shared" si="8"/>
        <v>#REF!</v>
      </c>
      <c r="O23" s="245" t="e">
        <f>#REF!</f>
        <v>#REF!</v>
      </c>
      <c r="P23" s="1192" t="e">
        <f>N23+O23</f>
        <v>#REF!</v>
      </c>
      <c r="Q23" s="245">
        <f t="shared" si="5"/>
        <v>1405482.561431522</v>
      </c>
      <c r="R23" s="238">
        <v>61</v>
      </c>
      <c r="S23" s="36"/>
      <c r="T23" s="1199">
        <f t="shared" si="0"/>
        <v>23040.697728385607</v>
      </c>
      <c r="U23" s="245">
        <f t="shared" si="1"/>
        <v>610000</v>
      </c>
      <c r="V23" s="121">
        <f t="shared" si="6"/>
        <v>13040.697728385607</v>
      </c>
      <c r="W23" s="245">
        <f t="shared" si="2"/>
        <v>1405482.561431522</v>
      </c>
      <c r="X23" s="245"/>
      <c r="Y23" s="68">
        <f t="shared" si="7"/>
        <v>12845.087262459823</v>
      </c>
      <c r="Z23" s="247"/>
    </row>
    <row r="24" spans="1:26" s="31" customFormat="1" ht="13" x14ac:dyDescent="0.3">
      <c r="A24" s="244">
        <v>9257033</v>
      </c>
      <c r="B24" s="237" t="s">
        <v>220</v>
      </c>
      <c r="C24" s="238">
        <v>3</v>
      </c>
      <c r="D24" s="245">
        <v>314686.51772419503</v>
      </c>
      <c r="E24" s="245">
        <v>69201.680689977453</v>
      </c>
      <c r="F24" s="245"/>
      <c r="G24" s="245"/>
      <c r="H24" s="245">
        <v>438098.5149760397</v>
      </c>
      <c r="I24" s="245"/>
      <c r="J24" s="245">
        <v>8037</v>
      </c>
      <c r="K24" s="245">
        <f t="shared" si="3"/>
        <v>830023.71339021227</v>
      </c>
      <c r="L24" s="1196" t="e">
        <f>#REF!</f>
        <v>#REF!</v>
      </c>
      <c r="M24" s="1196" t="e">
        <f>#REF!</f>
        <v>#REF!</v>
      </c>
      <c r="N24" s="245" t="e">
        <f t="shared" si="8"/>
        <v>#REF!</v>
      </c>
      <c r="O24" s="36"/>
      <c r="P24" s="36"/>
      <c r="Q24" s="245">
        <f t="shared" si="5"/>
        <v>830023.71339021227</v>
      </c>
      <c r="R24" s="238">
        <v>52</v>
      </c>
      <c r="S24" s="36"/>
      <c r="T24" s="1199">
        <f t="shared" si="0"/>
        <v>15961.994488273313</v>
      </c>
      <c r="U24" s="245">
        <f t="shared" si="1"/>
        <v>520000</v>
      </c>
      <c r="V24" s="121">
        <f t="shared" si="6"/>
        <v>5961.9944882733125</v>
      </c>
      <c r="W24" s="245">
        <f t="shared" si="2"/>
        <v>830023.71339021227</v>
      </c>
      <c r="X24" s="245"/>
      <c r="Y24" s="68">
        <f t="shared" si="7"/>
        <v>5872.5645709492128</v>
      </c>
      <c r="Z24" s="247"/>
    </row>
    <row r="25" spans="1:26" s="31" customFormat="1" ht="13" x14ac:dyDescent="0.3">
      <c r="A25" s="244">
        <v>9257034</v>
      </c>
      <c r="B25" s="237" t="s">
        <v>221</v>
      </c>
      <c r="C25" s="238">
        <v>4</v>
      </c>
      <c r="D25" s="245">
        <v>405763.82046267512</v>
      </c>
      <c r="E25" s="245">
        <v>88790.687513148558</v>
      </c>
      <c r="F25" s="245"/>
      <c r="G25" s="245"/>
      <c r="H25" s="245">
        <v>943462.0831737977</v>
      </c>
      <c r="I25" s="245"/>
      <c r="J25" s="245">
        <v>16074</v>
      </c>
      <c r="K25" s="245">
        <f t="shared" si="3"/>
        <v>1454090.5911496214</v>
      </c>
      <c r="L25" s="1197" t="e">
        <f>#REF!</f>
        <v>#REF!</v>
      </c>
      <c r="M25" s="1197" t="e">
        <f>#REF!</f>
        <v>#REF!</v>
      </c>
      <c r="N25" s="245" t="e">
        <f t="shared" si="8"/>
        <v>#REF!</v>
      </c>
      <c r="O25" s="36"/>
      <c r="P25" s="36"/>
      <c r="Q25" s="245">
        <f t="shared" si="5"/>
        <v>1454090.5911496214</v>
      </c>
      <c r="R25" s="238">
        <v>115</v>
      </c>
      <c r="S25" s="36"/>
      <c r="T25" s="1199">
        <f t="shared" si="0"/>
        <v>12644.266009996709</v>
      </c>
      <c r="U25" s="245">
        <f t="shared" si="1"/>
        <v>1150000</v>
      </c>
      <c r="V25" s="121">
        <f t="shared" si="6"/>
        <v>2644.2660099967088</v>
      </c>
      <c r="W25" s="245">
        <f t="shared" si="2"/>
        <v>1454090.5911496214</v>
      </c>
      <c r="X25" s="245"/>
      <c r="Y25" s="68">
        <f t="shared" si="7"/>
        <v>2604.6020198467581</v>
      </c>
      <c r="Z25" s="247"/>
    </row>
    <row r="26" spans="1:26" s="31" customFormat="1" x14ac:dyDescent="0.25">
      <c r="A26" s="235"/>
      <c r="B26" s="36"/>
      <c r="C26" s="234"/>
      <c r="D26" s="235"/>
      <c r="E26" s="235"/>
      <c r="F26" s="235"/>
      <c r="G26" s="235"/>
      <c r="H26" s="235"/>
      <c r="I26" s="235"/>
      <c r="J26" s="235"/>
      <c r="K26" s="234"/>
      <c r="L26" s="235"/>
      <c r="M26" s="235"/>
      <c r="N26" s="234"/>
      <c r="O26" s="36"/>
      <c r="P26" s="36"/>
      <c r="Q26" s="36"/>
      <c r="R26" s="234"/>
      <c r="S26" s="36"/>
      <c r="T26" s="1200"/>
      <c r="U26" s="235"/>
      <c r="V26" s="235"/>
      <c r="W26" s="235"/>
      <c r="X26" s="235"/>
      <c r="Y26" s="235"/>
      <c r="Z26" s="247"/>
    </row>
    <row r="27" spans="1:26" s="31" customFormat="1" ht="13.5" customHeight="1" thickBot="1" x14ac:dyDescent="0.3">
      <c r="A27" s="235"/>
      <c r="B27" s="36"/>
      <c r="C27" s="36"/>
      <c r="D27" s="250">
        <f t="shared" ref="D27:S27" si="9">SUM(D7:D25)</f>
        <v>6936691.532020363</v>
      </c>
      <c r="E27" s="250">
        <f t="shared" si="9"/>
        <v>1552171.8936161916</v>
      </c>
      <c r="F27" s="250">
        <f t="shared" si="9"/>
        <v>807245</v>
      </c>
      <c r="G27" s="250">
        <f t="shared" si="9"/>
        <v>29207</v>
      </c>
      <c r="H27" s="250">
        <f t="shared" si="9"/>
        <v>14844589.983838988</v>
      </c>
      <c r="I27" s="250">
        <f t="shared" si="9"/>
        <v>315700</v>
      </c>
      <c r="J27" s="250">
        <f>SUM(J7:J25)</f>
        <v>207625</v>
      </c>
      <c r="K27" s="250">
        <f t="shared" si="9"/>
        <v>24693230.409475543</v>
      </c>
      <c r="L27" s="250" t="e">
        <f t="shared" si="9"/>
        <v>#REF!</v>
      </c>
      <c r="M27" s="250" t="e">
        <f t="shared" si="9"/>
        <v>#REF!</v>
      </c>
      <c r="N27" s="250" t="e">
        <f t="shared" si="9"/>
        <v>#REF!</v>
      </c>
      <c r="O27" s="250" t="e">
        <f t="shared" si="9"/>
        <v>#REF!</v>
      </c>
      <c r="P27" s="250" t="e">
        <f t="shared" si="9"/>
        <v>#REF!</v>
      </c>
      <c r="Q27" s="250">
        <f t="shared" si="9"/>
        <v>23885985.409475543</v>
      </c>
      <c r="R27" s="251">
        <f t="shared" si="9"/>
        <v>1553</v>
      </c>
      <c r="S27" s="250">
        <f t="shared" si="9"/>
        <v>0</v>
      </c>
      <c r="T27" s="1201" t="s">
        <v>468</v>
      </c>
      <c r="U27" s="235"/>
      <c r="V27" s="235"/>
      <c r="W27" s="235"/>
      <c r="X27" s="235"/>
      <c r="Y27" s="235"/>
      <c r="Z27" s="247"/>
    </row>
    <row r="28" spans="1:26" s="31" customFormat="1" x14ac:dyDescent="0.25">
      <c r="A28" s="36"/>
      <c r="B28" s="36"/>
      <c r="C28" s="36"/>
      <c r="D28" s="234"/>
      <c r="E28" s="234"/>
      <c r="F28" s="234"/>
      <c r="G28" s="234"/>
      <c r="H28" s="36"/>
      <c r="I28" s="36"/>
      <c r="J28" s="36"/>
      <c r="K28" s="234"/>
      <c r="L28" s="235"/>
      <c r="M28" s="235"/>
      <c r="N28" s="234"/>
      <c r="O28" s="36"/>
      <c r="P28" s="252"/>
      <c r="Q28" s="252"/>
      <c r="R28" s="252"/>
      <c r="S28" s="36"/>
      <c r="T28" s="1497" t="s">
        <v>469</v>
      </c>
      <c r="U28" s="1497"/>
      <c r="V28" s="1497"/>
      <c r="W28" s="1497"/>
      <c r="X28" s="1497"/>
      <c r="Y28" s="235"/>
      <c r="Z28" s="247"/>
    </row>
    <row r="29" spans="1:26" s="31" customFormat="1" x14ac:dyDescent="0.25">
      <c r="A29" s="36"/>
      <c r="B29" s="36"/>
      <c r="C29" s="36"/>
      <c r="D29" s="234"/>
      <c r="E29" s="234"/>
      <c r="F29" s="234"/>
      <c r="G29" s="234"/>
      <c r="H29" s="36"/>
      <c r="I29" s="36"/>
      <c r="J29" s="36"/>
      <c r="K29" s="234"/>
      <c r="L29" s="234"/>
      <c r="M29" s="234"/>
      <c r="N29" s="234"/>
      <c r="O29" s="36"/>
      <c r="P29" s="36"/>
      <c r="Q29" s="36"/>
      <c r="R29" s="234"/>
      <c r="S29" s="36"/>
      <c r="T29" s="1497"/>
      <c r="U29" s="1497"/>
      <c r="V29" s="1497"/>
      <c r="W29" s="1497"/>
      <c r="X29" s="1497"/>
      <c r="Y29" s="235"/>
      <c r="Z29" s="247"/>
    </row>
    <row r="30" spans="1:26" s="31" customFormat="1" hidden="1" x14ac:dyDescent="0.25">
      <c r="A30" s="247"/>
      <c r="B30" s="287" t="s">
        <v>470</v>
      </c>
      <c r="C30" s="287"/>
      <c r="D30" s="245">
        <f>'Funding Model'!D29</f>
        <v>0</v>
      </c>
      <c r="E30" s="245">
        <f>'Funding Model'!E29</f>
        <v>0</v>
      </c>
      <c r="F30" s="245"/>
      <c r="G30" s="245"/>
      <c r="H30" s="245">
        <f>'[14]Band Calculations'!K24</f>
        <v>233840.41276193573</v>
      </c>
      <c r="I30" s="245">
        <v>233</v>
      </c>
      <c r="J30" s="245"/>
      <c r="K30" s="245">
        <f>SUM(D30:H30)</f>
        <v>233840.41276193573</v>
      </c>
      <c r="L30" s="245" t="e">
        <f>#REF!</f>
        <v>#REF!</v>
      </c>
      <c r="M30" s="245" t="e">
        <f>#REF!</f>
        <v>#REF!</v>
      </c>
      <c r="N30" s="245" t="e">
        <f>K30-L30-M30</f>
        <v>#REF!</v>
      </c>
      <c r="O30" s="247"/>
      <c r="P30" s="247"/>
      <c r="Q30" s="247"/>
      <c r="R30" s="246">
        <f>'[14]Band Calculations'!I24</f>
        <v>20</v>
      </c>
      <c r="S30" s="247"/>
      <c r="T30" s="235"/>
      <c r="U30" s="235"/>
      <c r="V30" s="235"/>
      <c r="W30" s="235"/>
      <c r="X30" s="235"/>
      <c r="Y30" s="235"/>
      <c r="Z30" s="247"/>
    </row>
    <row r="31" spans="1:26" s="31" customFormat="1" hidden="1" x14ac:dyDescent="0.25">
      <c r="A31" s="247"/>
      <c r="B31" s="287" t="s">
        <v>471</v>
      </c>
      <c r="C31" s="287"/>
      <c r="D31" s="245">
        <f>'Funding Model'!D28</f>
        <v>0</v>
      </c>
      <c r="E31" s="245">
        <f>'Funding Model'!E28</f>
        <v>0</v>
      </c>
      <c r="F31" s="245"/>
      <c r="G31" s="245"/>
      <c r="H31" s="245">
        <f>'[14]Band Calculations'!K25</f>
        <v>105228.18574287108</v>
      </c>
      <c r="I31" s="245"/>
      <c r="J31" s="245"/>
      <c r="K31" s="245">
        <f>SUM(D31:H31)</f>
        <v>105228.18574287108</v>
      </c>
      <c r="L31" s="245" t="e">
        <f>#REF!</f>
        <v>#REF!</v>
      </c>
      <c r="M31" s="245" t="e">
        <f>#REF!</f>
        <v>#REF!</v>
      </c>
      <c r="N31" s="245" t="e">
        <f>K31-L31-M31</f>
        <v>#REF!</v>
      </c>
      <c r="O31" s="247"/>
      <c r="P31" s="247"/>
      <c r="Q31" s="247"/>
      <c r="R31" s="246">
        <f>'[14]Band Calculations'!I25</f>
        <v>9</v>
      </c>
      <c r="S31" s="247"/>
      <c r="T31" s="235"/>
      <c r="U31" s="235"/>
      <c r="V31" s="235"/>
      <c r="W31" s="235"/>
      <c r="X31" s="235"/>
      <c r="Y31" s="235"/>
      <c r="Z31" s="247"/>
    </row>
    <row r="32" spans="1:26" s="31" customFormat="1" x14ac:dyDescent="0.25">
      <c r="A32" s="247"/>
      <c r="B32" s="247"/>
      <c r="C32" s="247"/>
      <c r="D32" s="235"/>
      <c r="E32" s="235"/>
      <c r="F32" s="235"/>
      <c r="G32" s="235"/>
      <c r="H32" s="235"/>
      <c r="I32" s="235"/>
      <c r="J32" s="235"/>
      <c r="K32" s="235"/>
      <c r="L32" s="235"/>
      <c r="M32" s="235"/>
      <c r="N32" s="235"/>
      <c r="O32" s="247"/>
      <c r="P32" s="247"/>
      <c r="Q32" s="247"/>
      <c r="R32" s="253"/>
      <c r="S32" s="247"/>
      <c r="T32" s="235"/>
      <c r="U32" s="235"/>
      <c r="V32" s="235"/>
      <c r="W32" s="235"/>
      <c r="X32" s="235"/>
      <c r="Y32" s="235"/>
      <c r="Z32" s="247"/>
    </row>
    <row r="33" spans="1:26" s="31" customFormat="1" x14ac:dyDescent="0.25">
      <c r="A33" s="247"/>
      <c r="B33" s="247"/>
      <c r="C33" s="247"/>
      <c r="D33" s="235"/>
      <c r="E33" s="235"/>
      <c r="F33" s="235"/>
      <c r="G33" s="235"/>
      <c r="H33" s="235"/>
      <c r="I33" s="235"/>
      <c r="J33" s="235"/>
      <c r="K33" s="235"/>
      <c r="L33" s="1202"/>
      <c r="M33" s="1202"/>
      <c r="N33" s="235"/>
      <c r="O33" s="247"/>
      <c r="P33" s="247"/>
      <c r="Q33" s="247"/>
      <c r="R33" s="235"/>
      <c r="S33" s="247"/>
      <c r="T33" s="405"/>
      <c r="U33" s="235"/>
      <c r="V33" s="235"/>
      <c r="W33" s="235"/>
      <c r="X33" s="235"/>
      <c r="Y33" s="235"/>
      <c r="Z33" s="247"/>
    </row>
    <row r="34" spans="1:26" s="31" customFormat="1" ht="13" thickBot="1" x14ac:dyDescent="0.3">
      <c r="A34" s="247"/>
      <c r="B34" s="94" t="s">
        <v>472</v>
      </c>
      <c r="C34" s="247"/>
      <c r="D34" s="235"/>
      <c r="E34" s="235"/>
      <c r="F34" s="235"/>
      <c r="G34" s="235"/>
      <c r="H34" s="235"/>
      <c r="I34" s="235"/>
      <c r="J34" s="235"/>
      <c r="K34" s="235"/>
      <c r="L34" s="250" t="e">
        <f>L27+L30+L31</f>
        <v>#REF!</v>
      </c>
      <c r="M34" s="250" t="e">
        <f>M27+M30+M31</f>
        <v>#REF!</v>
      </c>
      <c r="N34" s="250" t="e">
        <f>N27+N30+N31</f>
        <v>#REF!</v>
      </c>
      <c r="O34" s="247"/>
      <c r="P34" s="247"/>
      <c r="Q34" s="247"/>
      <c r="R34" s="235"/>
      <c r="S34" s="247"/>
      <c r="T34" s="405" t="s">
        <v>473</v>
      </c>
      <c r="U34" s="235"/>
      <c r="V34" s="235"/>
      <c r="W34" s="235"/>
      <c r="X34" s="235"/>
      <c r="Y34" s="235"/>
      <c r="Z34" s="247"/>
    </row>
    <row r="35" spans="1:26" s="61" customFormat="1" ht="12.75" customHeight="1" x14ac:dyDescent="0.25">
      <c r="A35" s="247"/>
      <c r="B35" s="36" t="s">
        <v>474</v>
      </c>
      <c r="C35" s="247"/>
      <c r="D35" s="235"/>
      <c r="E35" s="235"/>
      <c r="F35" s="235"/>
      <c r="G35" s="235"/>
      <c r="H35" s="235"/>
      <c r="I35" s="235"/>
      <c r="J35" s="235"/>
      <c r="K35" s="235"/>
      <c r="L35" s="1202"/>
      <c r="M35" s="1202"/>
      <c r="N35" s="235"/>
      <c r="O35" s="247"/>
      <c r="P35" s="247"/>
      <c r="Q35" s="247"/>
      <c r="R35" s="235"/>
      <c r="S35" s="247"/>
      <c r="T35" s="1494" t="s">
        <v>475</v>
      </c>
      <c r="U35" s="1494"/>
      <c r="V35" s="1494"/>
      <c r="W35" s="1494"/>
      <c r="X35" s="252"/>
      <c r="Y35" s="235"/>
      <c r="Z35" s="247"/>
    </row>
    <row r="36" spans="1:26" s="61" customFormat="1" ht="12.75" customHeight="1" x14ac:dyDescent="0.25">
      <c r="A36" s="247"/>
      <c r="B36" s="36" t="s">
        <v>476</v>
      </c>
      <c r="C36" s="247"/>
      <c r="D36" s="235"/>
      <c r="E36" s="235"/>
      <c r="F36" s="235"/>
      <c r="G36" s="235"/>
      <c r="H36" s="235"/>
      <c r="I36" s="235"/>
      <c r="J36" s="235"/>
      <c r="K36" s="235"/>
      <c r="L36" s="1202"/>
      <c r="M36" s="1202"/>
      <c r="N36" s="235"/>
      <c r="O36" s="247"/>
      <c r="P36" s="247"/>
      <c r="Q36" s="247"/>
      <c r="R36" s="235"/>
      <c r="S36" s="247"/>
      <c r="T36" s="1494"/>
      <c r="U36" s="1494"/>
      <c r="V36" s="1494"/>
      <c r="W36" s="1494"/>
      <c r="X36" s="252"/>
      <c r="Y36" s="235"/>
      <c r="Z36" s="247"/>
    </row>
    <row r="37" spans="1:26" s="61" customFormat="1" x14ac:dyDescent="0.25">
      <c r="A37" s="36"/>
      <c r="B37" s="36" t="s">
        <v>477</v>
      </c>
      <c r="C37" s="36"/>
      <c r="D37" s="234"/>
      <c r="E37" s="234"/>
      <c r="F37" s="234"/>
      <c r="G37" s="234"/>
      <c r="H37" s="36"/>
      <c r="I37" s="36"/>
      <c r="J37" s="36"/>
      <c r="K37" s="235"/>
      <c r="L37" s="249"/>
      <c r="M37" s="249"/>
      <c r="N37" s="234"/>
      <c r="O37" s="235"/>
      <c r="P37" s="235"/>
      <c r="Q37" s="235"/>
      <c r="R37" s="234"/>
      <c r="S37" s="36"/>
      <c r="T37" s="1494"/>
      <c r="U37" s="1494"/>
      <c r="V37" s="1494"/>
      <c r="W37" s="1494"/>
      <c r="X37" s="252"/>
      <c r="Y37" s="235"/>
      <c r="Z37" s="247"/>
    </row>
    <row r="38" spans="1:26" s="61" customFormat="1" x14ac:dyDescent="0.25">
      <c r="A38" s="36"/>
      <c r="B38" s="36" t="s">
        <v>478</v>
      </c>
      <c r="C38" s="36"/>
      <c r="D38" s="234"/>
      <c r="E38" s="234"/>
      <c r="F38" s="234"/>
      <c r="G38" s="234"/>
      <c r="H38" s="36"/>
      <c r="I38" s="36"/>
      <c r="J38" s="36"/>
      <c r="K38" s="235"/>
      <c r="L38" s="249"/>
      <c r="M38" s="249"/>
      <c r="N38" s="234"/>
      <c r="O38" s="235"/>
      <c r="P38" s="235"/>
      <c r="Q38" s="235"/>
      <c r="R38" s="234"/>
      <c r="S38" s="36"/>
      <c r="T38" s="252"/>
      <c r="U38" s="252"/>
      <c r="V38" s="252"/>
      <c r="W38" s="252"/>
      <c r="X38" s="252"/>
      <c r="Y38" s="235"/>
      <c r="Z38" s="247"/>
    </row>
    <row r="39" spans="1:26" s="61" customFormat="1" x14ac:dyDescent="0.25">
      <c r="A39" s="36"/>
      <c r="B39" s="36" t="s">
        <v>479</v>
      </c>
      <c r="C39" s="36"/>
      <c r="D39" s="234"/>
      <c r="E39" s="234"/>
      <c r="F39" s="234"/>
      <c r="G39" s="234"/>
      <c r="H39" s="36"/>
      <c r="I39" s="36"/>
      <c r="J39" s="36"/>
      <c r="K39" s="235"/>
      <c r="L39" s="249"/>
      <c r="M39" s="249"/>
      <c r="N39" s="234"/>
      <c r="O39" s="235"/>
      <c r="P39" s="235"/>
      <c r="Q39" s="235"/>
      <c r="R39" s="234"/>
      <c r="S39" s="36"/>
      <c r="T39" s="272"/>
      <c r="U39" s="272"/>
      <c r="V39" s="272"/>
      <c r="W39" s="272"/>
      <c r="X39" s="272"/>
      <c r="Y39" s="235"/>
      <c r="Z39" s="247"/>
    </row>
    <row r="40" spans="1:26" s="61" customFormat="1" ht="13" thickBot="1" x14ac:dyDescent="0.3">
      <c r="A40" s="36"/>
      <c r="B40" s="36"/>
      <c r="C40" s="36"/>
      <c r="D40" s="234"/>
      <c r="E40" s="234"/>
      <c r="F40" s="234"/>
      <c r="G40" s="234"/>
      <c r="H40" s="36"/>
      <c r="I40" s="36"/>
      <c r="J40" s="36"/>
      <c r="K40" s="235"/>
      <c r="L40" s="249" t="s">
        <v>480</v>
      </c>
      <c r="M40" s="249"/>
      <c r="N40" s="234"/>
      <c r="O40" s="235"/>
      <c r="P40" s="235"/>
      <c r="Q40" s="235"/>
      <c r="R40" s="234"/>
      <c r="S40" s="36"/>
      <c r="T40" s="272"/>
      <c r="U40" s="272"/>
      <c r="V40" s="272"/>
      <c r="W40" s="272"/>
      <c r="X40" s="272"/>
      <c r="Y40" s="235"/>
      <c r="Z40" s="247"/>
    </row>
    <row r="41" spans="1:26" s="61" customFormat="1" x14ac:dyDescent="0.25">
      <c r="A41" s="36"/>
      <c r="B41" s="36"/>
      <c r="C41" s="36"/>
      <c r="D41" s="234"/>
      <c r="E41" s="1203" t="s">
        <v>481</v>
      </c>
      <c r="F41" s="1204">
        <v>154884</v>
      </c>
      <c r="G41" s="36"/>
      <c r="H41" s="235"/>
      <c r="I41" s="235"/>
      <c r="J41" s="235"/>
      <c r="K41" s="234"/>
      <c r="L41" s="249"/>
      <c r="M41" s="249"/>
      <c r="N41" s="234"/>
      <c r="O41" s="235"/>
      <c r="P41" s="235"/>
      <c r="Q41" s="235"/>
      <c r="R41" s="234"/>
      <c r="S41" s="36"/>
      <c r="T41" s="272"/>
      <c r="U41" s="272"/>
      <c r="V41" s="272"/>
      <c r="W41" s="272"/>
      <c r="X41" s="272"/>
      <c r="Y41" s="235"/>
      <c r="Z41" s="247"/>
    </row>
    <row r="42" spans="1:26" s="61" customFormat="1" ht="13" x14ac:dyDescent="0.3">
      <c r="A42" s="36"/>
      <c r="B42" s="36"/>
      <c r="C42" s="36"/>
      <c r="D42" s="234"/>
      <c r="E42" s="1205" t="s">
        <v>482</v>
      </c>
      <c r="F42" s="1206">
        <v>219086</v>
      </c>
      <c r="G42" s="234"/>
      <c r="H42" s="63"/>
      <c r="I42" s="63"/>
      <c r="J42" s="63"/>
      <c r="K42" s="64"/>
      <c r="L42" s="249" t="s">
        <v>483</v>
      </c>
      <c r="M42" s="249"/>
      <c r="N42" s="234"/>
      <c r="O42" s="235"/>
      <c r="P42" s="235"/>
      <c r="Q42" s="235"/>
      <c r="R42" s="234"/>
      <c r="S42" s="36"/>
      <c r="T42" s="272"/>
      <c r="U42" s="272"/>
      <c r="V42" s="272"/>
      <c r="W42" s="272"/>
      <c r="X42" s="272"/>
      <c r="Y42" s="235"/>
      <c r="Z42" s="247"/>
    </row>
    <row r="43" spans="1:26" s="61" customFormat="1" ht="13" x14ac:dyDescent="0.3">
      <c r="A43" s="36"/>
      <c r="B43" s="36"/>
      <c r="C43" s="36"/>
      <c r="D43" s="234"/>
      <c r="E43" s="1205" t="s">
        <v>484</v>
      </c>
      <c r="F43" s="1206">
        <v>194478</v>
      </c>
      <c r="G43" s="234"/>
      <c r="H43" s="63"/>
      <c r="I43" s="63"/>
      <c r="J43" s="63"/>
      <c r="K43" s="64"/>
      <c r="L43" s="249"/>
      <c r="M43" s="249"/>
      <c r="N43" s="234"/>
      <c r="O43" s="235"/>
      <c r="P43" s="235"/>
      <c r="Q43" s="235"/>
      <c r="R43" s="234"/>
      <c r="S43" s="36"/>
      <c r="T43" s="272"/>
      <c r="U43" s="272"/>
      <c r="V43" s="272"/>
      <c r="W43" s="272"/>
      <c r="X43" s="272"/>
      <c r="Y43" s="235"/>
      <c r="Z43" s="247"/>
    </row>
    <row r="44" spans="1:26" s="61" customFormat="1" ht="13.5" thickBot="1" x14ac:dyDescent="0.35">
      <c r="A44" s="36"/>
      <c r="B44" s="36"/>
      <c r="C44" s="36"/>
      <c r="D44" s="234"/>
      <c r="E44" s="1207" t="s">
        <v>485</v>
      </c>
      <c r="F44" s="1208">
        <v>238797</v>
      </c>
      <c r="G44" s="234"/>
      <c r="H44" s="63"/>
      <c r="I44" s="63"/>
      <c r="J44" s="63"/>
      <c r="K44" s="64"/>
      <c r="L44" s="249"/>
      <c r="M44" s="249"/>
      <c r="N44" s="234"/>
      <c r="O44" s="235"/>
      <c r="P44" s="235"/>
      <c r="Q44" s="235"/>
      <c r="R44" s="234"/>
      <c r="S44" s="36"/>
      <c r="T44" s="272"/>
      <c r="U44" s="272"/>
      <c r="V44" s="272"/>
      <c r="W44" s="272"/>
      <c r="X44" s="272"/>
      <c r="Y44" s="235"/>
      <c r="Z44" s="247"/>
    </row>
    <row r="45" spans="1:26" s="61" customFormat="1" x14ac:dyDescent="0.25">
      <c r="A45" s="36"/>
      <c r="B45" s="36"/>
      <c r="C45" s="36"/>
      <c r="D45" s="234"/>
      <c r="E45" s="234"/>
      <c r="F45" s="235"/>
      <c r="G45" s="234"/>
      <c r="H45" s="36"/>
      <c r="I45" s="36"/>
      <c r="J45" s="36"/>
      <c r="K45" s="234"/>
      <c r="L45" s="411"/>
      <c r="M45" s="249"/>
      <c r="N45" s="234"/>
      <c r="O45" s="235"/>
      <c r="P45" s="235"/>
      <c r="Q45" s="235"/>
      <c r="R45" s="234"/>
      <c r="S45" s="36"/>
      <c r="T45" s="272"/>
      <c r="U45" s="272"/>
      <c r="V45" s="272"/>
      <c r="W45" s="272"/>
      <c r="X45" s="272"/>
      <c r="Y45" s="235"/>
      <c r="Z45" s="247"/>
    </row>
    <row r="46" spans="1:26" s="61" customFormat="1" x14ac:dyDescent="0.25">
      <c r="A46" s="36"/>
      <c r="B46" s="36"/>
      <c r="C46" s="36"/>
      <c r="D46" s="234"/>
      <c r="E46" s="234"/>
      <c r="F46" s="234"/>
      <c r="G46" s="234"/>
      <c r="H46" s="36"/>
      <c r="I46" s="36"/>
      <c r="J46" s="36"/>
      <c r="K46" s="234"/>
      <c r="L46" s="249"/>
      <c r="M46" s="249"/>
      <c r="N46" s="235"/>
      <c r="O46" s="235"/>
      <c r="P46" s="235"/>
      <c r="Q46" s="235"/>
      <c r="R46" s="234"/>
      <c r="S46" s="36"/>
      <c r="T46" s="272"/>
      <c r="U46" s="272"/>
      <c r="V46" s="272"/>
      <c r="W46" s="272"/>
      <c r="X46" s="272"/>
      <c r="Y46" s="235"/>
      <c r="Z46" s="247"/>
    </row>
    <row r="47" spans="1:26" s="61" customFormat="1" x14ac:dyDescent="0.25">
      <c r="A47" s="36"/>
      <c r="B47" s="36"/>
      <c r="C47" s="36"/>
      <c r="D47" s="234"/>
      <c r="E47" s="234"/>
      <c r="F47" s="234"/>
      <c r="G47" s="234"/>
      <c r="H47" s="36"/>
      <c r="I47" s="36"/>
      <c r="J47" s="36"/>
      <c r="K47" s="234"/>
      <c r="L47" s="36" t="s">
        <v>486</v>
      </c>
      <c r="M47" s="411"/>
      <c r="N47" s="235"/>
      <c r="O47" s="235"/>
      <c r="P47" s="36"/>
      <c r="Q47" s="36"/>
      <c r="R47" s="234"/>
      <c r="S47" s="36"/>
      <c r="T47" s="234"/>
      <c r="U47" s="235"/>
      <c r="V47" s="235"/>
      <c r="W47" s="235"/>
      <c r="X47" s="235"/>
      <c r="Y47" s="235"/>
      <c r="Z47" s="247"/>
    </row>
    <row r="48" spans="1:26" s="61" customFormat="1" x14ac:dyDescent="0.25">
      <c r="A48" s="36"/>
      <c r="B48" s="36"/>
      <c r="C48" s="36"/>
      <c r="D48" s="234"/>
      <c r="E48" s="234"/>
      <c r="F48" s="234"/>
      <c r="G48" s="234"/>
      <c r="H48" s="36"/>
      <c r="I48" s="36"/>
      <c r="J48" s="36"/>
      <c r="K48" s="234"/>
      <c r="L48" s="36" t="s">
        <v>487</v>
      </c>
      <c r="M48" s="249"/>
      <c r="N48" s="235">
        <v>-281813.35687466699</v>
      </c>
      <c r="O48" s="235"/>
      <c r="P48" s="235"/>
      <c r="Q48" s="235"/>
      <c r="R48" s="234"/>
      <c r="S48" s="36"/>
      <c r="T48" s="1209"/>
      <c r="U48" s="235"/>
      <c r="V48" s="235"/>
      <c r="W48" s="235"/>
      <c r="X48" s="235"/>
      <c r="Y48" s="235"/>
      <c r="Z48" s="247"/>
    </row>
    <row r="49" spans="2:20" x14ac:dyDescent="0.25">
      <c r="B49" s="36"/>
      <c r="C49" s="36"/>
      <c r="D49" s="234"/>
      <c r="E49" s="234"/>
      <c r="F49" s="234"/>
      <c r="G49" s="234"/>
      <c r="H49" s="36"/>
      <c r="I49" s="36"/>
      <c r="J49" s="36"/>
      <c r="K49" s="234"/>
      <c r="L49" s="36" t="s">
        <v>488</v>
      </c>
      <c r="M49" s="234"/>
      <c r="N49" s="235">
        <v>-217634.72639999999</v>
      </c>
      <c r="O49" s="36"/>
      <c r="P49" s="36"/>
      <c r="Q49" s="36"/>
      <c r="R49" s="234"/>
      <c r="S49" s="36"/>
      <c r="T49" s="249"/>
    </row>
    <row r="50" spans="2:20" x14ac:dyDescent="0.25">
      <c r="B50" s="1210"/>
      <c r="C50" s="272"/>
      <c r="D50" s="272"/>
      <c r="E50" s="272"/>
      <c r="F50" s="272"/>
      <c r="G50" s="272"/>
      <c r="H50" s="272"/>
      <c r="I50" s="272"/>
      <c r="J50" s="272"/>
      <c r="K50" s="272"/>
      <c r="L50" s="36" t="s">
        <v>489</v>
      </c>
      <c r="M50" s="272"/>
      <c r="N50" s="277">
        <v>62139.81013245543</v>
      </c>
      <c r="O50" s="272"/>
      <c r="P50" s="1131"/>
      <c r="Q50" s="1131"/>
      <c r="R50" s="234"/>
      <c r="S50" s="36"/>
      <c r="T50" s="234"/>
    </row>
    <row r="51" spans="2:20" x14ac:dyDescent="0.25">
      <c r="B51" s="272"/>
      <c r="C51" s="272"/>
      <c r="D51" s="272"/>
      <c r="E51" s="272"/>
      <c r="F51" s="272"/>
      <c r="G51" s="272"/>
      <c r="H51" s="272"/>
      <c r="I51" s="272"/>
      <c r="J51" s="272"/>
      <c r="K51" s="272"/>
      <c r="L51" s="272"/>
      <c r="M51" s="272"/>
      <c r="N51" s="1211">
        <v>-437308.27314221102</v>
      </c>
      <c r="O51" s="272"/>
      <c r="P51" s="1131"/>
      <c r="Q51" s="1131"/>
      <c r="R51" s="234"/>
      <c r="S51" s="36"/>
      <c r="T51" s="234"/>
    </row>
  </sheetData>
  <sheetProtection password="C462" sheet="1" objects="1" scenarios="1"/>
  <mergeCells count="7">
    <mergeCell ref="Y3:Y4"/>
    <mergeCell ref="T35:W37"/>
    <mergeCell ref="T3:T4"/>
    <mergeCell ref="U3:U4"/>
    <mergeCell ref="V3:V4"/>
    <mergeCell ref="W3:W5"/>
    <mergeCell ref="T28:X29"/>
  </mergeCells>
  <phoneticPr fontId="60" type="noConversion"/>
  <pageMargins left="0.39370078740157483" right="0.39370078740157483" top="0.98425196850393704" bottom="0.98425196850393704" header="0.51181102362204722" footer="0.51181102362204722"/>
  <pageSetup paperSize="9" scale="53" orientation="landscape" r:id="rId1"/>
  <headerFooter alignWithMargins="0">
    <oddFooter>&amp;F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rgb="FF00B050"/>
    <pageSetUpPr fitToPage="1"/>
  </sheetPr>
  <dimension ref="A1:W130"/>
  <sheetViews>
    <sheetView topLeftCell="A109" zoomScale="85" zoomScaleNormal="85" workbookViewId="0">
      <pane xSplit="2" topLeftCell="C1" activePane="topRight" state="frozen"/>
      <selection pane="topRight" activeCell="J126" sqref="J126"/>
    </sheetView>
  </sheetViews>
  <sheetFormatPr defaultColWidth="10.26953125" defaultRowHeight="12.5" x14ac:dyDescent="0.25"/>
  <cols>
    <col min="1" max="1" width="9.1796875" style="29" customWidth="1"/>
    <col min="2" max="2" width="26.7265625" style="29" customWidth="1"/>
    <col min="3" max="3" width="6.26953125" style="29" bestFit="1" customWidth="1"/>
    <col min="4" max="8" width="10.26953125" style="29" customWidth="1"/>
    <col min="9" max="9" width="10.26953125" style="30" customWidth="1"/>
    <col min="10" max="10" width="11.1796875" style="30" customWidth="1"/>
    <col min="11" max="11" width="10.26953125" style="29" customWidth="1"/>
    <col min="12" max="12" width="10.54296875" style="29" customWidth="1"/>
    <col min="13" max="13" width="11.54296875" style="29" customWidth="1"/>
    <col min="14" max="14" width="10.26953125" style="29" customWidth="1"/>
    <col min="15" max="17" width="10.26953125" style="29"/>
    <col min="18" max="19" width="11.26953125" style="29" bestFit="1" customWidth="1"/>
    <col min="20" max="16384" width="10.26953125" style="29"/>
  </cols>
  <sheetData>
    <row r="1" spans="1:14" x14ac:dyDescent="0.25">
      <c r="A1" s="94" t="s">
        <v>230</v>
      </c>
      <c r="B1" s="36"/>
      <c r="C1" s="36"/>
      <c r="D1" s="36"/>
      <c r="E1" s="36"/>
      <c r="F1" s="36"/>
      <c r="G1" s="36"/>
      <c r="H1" s="36"/>
      <c r="I1" s="234"/>
      <c r="J1" s="234"/>
      <c r="K1" s="36"/>
      <c r="L1" s="36"/>
      <c r="M1" s="36"/>
      <c r="N1" s="36"/>
    </row>
    <row r="2" spans="1:14" x14ac:dyDescent="0.25">
      <c r="A2" s="94"/>
      <c r="B2" s="36"/>
      <c r="C2" s="36"/>
      <c r="D2" s="36"/>
      <c r="E2" s="36"/>
      <c r="F2" s="36"/>
      <c r="G2" s="36"/>
      <c r="H2" s="36"/>
      <c r="I2" s="234"/>
      <c r="J2" s="234"/>
      <c r="K2" s="36"/>
      <c r="L2" s="36"/>
      <c r="M2" s="36"/>
      <c r="N2" s="36"/>
    </row>
    <row r="3" spans="1:14" ht="13" x14ac:dyDescent="0.3">
      <c r="A3" s="93" t="s">
        <v>235</v>
      </c>
      <c r="B3" s="36"/>
      <c r="C3" s="36"/>
      <c r="D3" s="36"/>
      <c r="E3" s="36"/>
      <c r="F3" s="36"/>
      <c r="G3" s="36"/>
      <c r="H3" s="36"/>
      <c r="I3" s="94" t="s">
        <v>490</v>
      </c>
      <c r="J3" s="234"/>
      <c r="K3" s="36"/>
      <c r="L3" s="36"/>
      <c r="M3" s="36"/>
      <c r="N3" s="36"/>
    </row>
    <row r="4" spans="1:14" x14ac:dyDescent="0.25">
      <c r="A4" s="36"/>
      <c r="B4" s="263"/>
      <c r="C4" s="263"/>
      <c r="D4" s="36"/>
      <c r="E4" s="36"/>
      <c r="F4" s="36"/>
      <c r="G4" s="36"/>
      <c r="H4" s="36"/>
      <c r="I4" s="234"/>
      <c r="J4" s="234"/>
      <c r="K4" s="36"/>
      <c r="L4" s="36"/>
      <c r="M4" s="36"/>
      <c r="N4" s="36"/>
    </row>
    <row r="5" spans="1:14" ht="37.5" x14ac:dyDescent="0.25">
      <c r="A5" s="265" t="s">
        <v>182</v>
      </c>
      <c r="B5" s="237" t="s">
        <v>183</v>
      </c>
      <c r="C5" s="238" t="s">
        <v>184</v>
      </c>
      <c r="D5" s="36" t="s">
        <v>240</v>
      </c>
      <c r="E5" s="36" t="s">
        <v>241</v>
      </c>
      <c r="F5" s="36" t="s">
        <v>242</v>
      </c>
      <c r="G5" s="36" t="s">
        <v>243</v>
      </c>
      <c r="H5" s="36" t="s">
        <v>244</v>
      </c>
      <c r="I5" s="243" t="s">
        <v>245</v>
      </c>
      <c r="J5" s="243" t="s">
        <v>246</v>
      </c>
      <c r="K5" s="243" t="s">
        <v>247</v>
      </c>
      <c r="L5" s="243" t="s">
        <v>249</v>
      </c>
      <c r="M5" s="243" t="s">
        <v>252</v>
      </c>
      <c r="N5" s="243" t="s">
        <v>253</v>
      </c>
    </row>
    <row r="6" spans="1:14" x14ac:dyDescent="0.25">
      <c r="A6" s="244">
        <v>9257010</v>
      </c>
      <c r="B6" s="237" t="s">
        <v>205</v>
      </c>
      <c r="C6" s="1186">
        <v>3</v>
      </c>
      <c r="D6" s="268">
        <f>'Revised Band Returns'!F30</f>
        <v>0.40476190476190477</v>
      </c>
      <c r="E6" s="268">
        <f>'Revised Band Returns'!H30</f>
        <v>0.2857142857142857</v>
      </c>
      <c r="F6" s="268">
        <f>'Revised Band Returns'!J30</f>
        <v>0.11904761904761904</v>
      </c>
      <c r="G6" s="268">
        <f>'Revised Band Returns'!L30</f>
        <v>0.11904761904761904</v>
      </c>
      <c r="H6" s="268">
        <f>'Revised Band Returns'!N30</f>
        <v>7.1428571428571425E-2</v>
      </c>
      <c r="I6" s="269">
        <v>0</v>
      </c>
      <c r="J6" s="269">
        <v>35</v>
      </c>
      <c r="K6" s="269">
        <f>SUM(I6:J6)</f>
        <v>35</v>
      </c>
      <c r="L6" s="235">
        <f t="shared" ref="L6:L23" si="0">((((K6*D6)*$G$92)+((K6*E6)*$G$94)+((K6*F6)*$G$96)+((K6*G6)*$G$98)+((K6*H6)*$G$100)+((K6*H6)*$G$102)))*(5/12)</f>
        <v>145703.46716918354</v>
      </c>
      <c r="M6" s="235">
        <f>(K6*(5/12))*10000</f>
        <v>145833.33333333334</v>
      </c>
      <c r="N6" s="235">
        <f>(VLOOKUP(A6,'2014-15 Funding Detail'!$A$3:$Z$23,19,FALSE)*(5/12))*K6</f>
        <v>129377.959388285</v>
      </c>
    </row>
    <row r="7" spans="1:14" x14ac:dyDescent="0.25">
      <c r="A7" s="244">
        <v>9257005</v>
      </c>
      <c r="B7" s="237" t="s">
        <v>208</v>
      </c>
      <c r="C7" s="1187">
        <v>4</v>
      </c>
      <c r="D7" s="268">
        <f>'Revised Band Returns'!F31</f>
        <v>0.13157894736842105</v>
      </c>
      <c r="E7" s="268">
        <f>'Revised Band Returns'!H31</f>
        <v>0.35526315789473684</v>
      </c>
      <c r="F7" s="268">
        <f>'Revised Band Returns'!J31</f>
        <v>0.17105263157894737</v>
      </c>
      <c r="G7" s="268">
        <f>'Revised Band Returns'!L31</f>
        <v>0.14473684210526316</v>
      </c>
      <c r="H7" s="268">
        <f>'Revised Band Returns'!N31</f>
        <v>0.19736842105263158</v>
      </c>
      <c r="I7" s="269">
        <v>0</v>
      </c>
      <c r="J7" s="269">
        <v>38</v>
      </c>
      <c r="K7" s="269">
        <f t="shared" ref="K7:K23" si="1">SUM(I7:J7)</f>
        <v>38</v>
      </c>
      <c r="L7" s="235">
        <f t="shared" si="0"/>
        <v>154179.31505896556</v>
      </c>
      <c r="M7" s="235">
        <f t="shared" ref="M7:M23" si="2">(K7*(5/12))*10000</f>
        <v>158333.33333333334</v>
      </c>
      <c r="N7" s="235">
        <f>(VLOOKUP(A7,'2014-15 Funding Detail'!$A$3:$Z$23,19,FALSE)*(5/12))*K7</f>
        <v>107984.34773996435</v>
      </c>
    </row>
    <row r="8" spans="1:14" x14ac:dyDescent="0.25">
      <c r="A8" s="244">
        <v>9257025</v>
      </c>
      <c r="B8" s="237" t="s">
        <v>209</v>
      </c>
      <c r="C8" s="1187">
        <v>4</v>
      </c>
      <c r="D8" s="268">
        <f>'Revised Band Returns'!F32</f>
        <v>0.26415094339622641</v>
      </c>
      <c r="E8" s="268">
        <f>'Revised Band Returns'!H32</f>
        <v>0.41509433962264153</v>
      </c>
      <c r="F8" s="268">
        <f>'Revised Band Returns'!J32</f>
        <v>5.6603773584905662E-2</v>
      </c>
      <c r="G8" s="268">
        <f>'Revised Band Returns'!L32</f>
        <v>5.6603773584905662E-2</v>
      </c>
      <c r="H8" s="268">
        <f>'Revised Band Returns'!N32</f>
        <v>0.20754716981132076</v>
      </c>
      <c r="I8" s="269">
        <v>10</v>
      </c>
      <c r="J8" s="269">
        <v>39</v>
      </c>
      <c r="K8" s="269">
        <f t="shared" si="1"/>
        <v>49</v>
      </c>
      <c r="L8" s="235">
        <f t="shared" si="0"/>
        <v>206784.77709866289</v>
      </c>
      <c r="M8" s="235">
        <f t="shared" si="2"/>
        <v>204166.66666666669</v>
      </c>
      <c r="N8" s="235">
        <f>(VLOOKUP(A8,'2014-15 Funding Detail'!$A$3:$Z$23,19,FALSE)*(5/12))*K8</f>
        <v>183293.88741191576</v>
      </c>
    </row>
    <row r="9" spans="1:14" x14ac:dyDescent="0.25">
      <c r="A9" s="244">
        <v>9257011</v>
      </c>
      <c r="B9" s="237" t="s">
        <v>210</v>
      </c>
      <c r="C9" s="1186">
        <v>3</v>
      </c>
      <c r="D9" s="268">
        <f>'Revised Band Returns'!F33</f>
        <v>0.4</v>
      </c>
      <c r="E9" s="268">
        <f>'Revised Band Returns'!H33</f>
        <v>0.42222222222222222</v>
      </c>
      <c r="F9" s="268">
        <f>'Revised Band Returns'!J33</f>
        <v>0</v>
      </c>
      <c r="G9" s="268">
        <f>'Revised Band Returns'!L33</f>
        <v>2.2222222222222223E-2</v>
      </c>
      <c r="H9" s="268">
        <f>'Revised Band Returns'!N33</f>
        <v>0.15555555555555556</v>
      </c>
      <c r="I9" s="269">
        <v>0</v>
      </c>
      <c r="J9" s="269">
        <v>39</v>
      </c>
      <c r="K9" s="269">
        <f t="shared" si="1"/>
        <v>39</v>
      </c>
      <c r="L9" s="235">
        <f t="shared" si="0"/>
        <v>166866.0387354678</v>
      </c>
      <c r="M9" s="235">
        <f t="shared" si="2"/>
        <v>162500</v>
      </c>
      <c r="N9" s="235">
        <f>(VLOOKUP(A9,'2014-15 Funding Detail'!$A$3:$Z$23,19,FALSE)*(5/12))*K9</f>
        <v>157918.13085308223</v>
      </c>
    </row>
    <row r="10" spans="1:14" x14ac:dyDescent="0.25">
      <c r="A10" s="244">
        <v>9257024</v>
      </c>
      <c r="B10" s="237" t="s">
        <v>211</v>
      </c>
      <c r="C10" s="1212">
        <v>3</v>
      </c>
      <c r="D10" s="268">
        <f>'Revised Band Returns'!F34</f>
        <v>0.2</v>
      </c>
      <c r="E10" s="268">
        <f>'Revised Band Returns'!H34</f>
        <v>0.5636363636363636</v>
      </c>
      <c r="F10" s="268">
        <f>'Revised Band Returns'!J34</f>
        <v>1.8181818181818181E-2</v>
      </c>
      <c r="G10" s="268">
        <f>'Revised Band Returns'!L34</f>
        <v>0.16363636363636364</v>
      </c>
      <c r="H10" s="268">
        <f>'Revised Band Returns'!N34</f>
        <v>5.4545454545454543E-2</v>
      </c>
      <c r="I10" s="269">
        <v>0</v>
      </c>
      <c r="J10" s="269">
        <v>36</v>
      </c>
      <c r="K10" s="269">
        <f t="shared" si="1"/>
        <v>36</v>
      </c>
      <c r="L10" s="235">
        <f t="shared" si="0"/>
        <v>139341.7481429239</v>
      </c>
      <c r="M10" s="235">
        <f t="shared" si="2"/>
        <v>150000</v>
      </c>
      <c r="N10" s="235">
        <f>(VLOOKUP(A10,'2014-15 Funding Detail'!$A$3:$Z$23,19,FALSE)*(5/12))*K10</f>
        <v>103552.4588914974</v>
      </c>
    </row>
    <row r="11" spans="1:14" x14ac:dyDescent="0.25">
      <c r="A11" s="244">
        <v>9257031</v>
      </c>
      <c r="B11" s="237" t="s">
        <v>257</v>
      </c>
      <c r="C11" s="1186">
        <v>3</v>
      </c>
      <c r="D11" s="268">
        <f>'Revised Band Returns'!F35</f>
        <v>0</v>
      </c>
      <c r="E11" s="268">
        <f>'Revised Band Returns'!H35</f>
        <v>0</v>
      </c>
      <c r="F11" s="268">
        <f>'Revised Band Returns'!J35</f>
        <v>0</v>
      </c>
      <c r="G11" s="268">
        <f>'Revised Band Returns'!L35</f>
        <v>0</v>
      </c>
      <c r="H11" s="268">
        <f>'Revised Band Returns'!N35</f>
        <v>1</v>
      </c>
      <c r="I11" s="269">
        <v>0</v>
      </c>
      <c r="J11" s="269">
        <v>61</v>
      </c>
      <c r="K11" s="269">
        <f t="shared" si="1"/>
        <v>61</v>
      </c>
      <c r="L11" s="235">
        <f t="shared" si="0"/>
        <v>364146.32506795577</v>
      </c>
      <c r="M11" s="235">
        <f t="shared" si="2"/>
        <v>254166.66666666669</v>
      </c>
      <c r="N11" s="235">
        <f>(VLOOKUP(A11,'2014-15 Funding Detail'!$A$3:$Z$23,19,FALSE)*(5/12))*K11</f>
        <v>263784.84882169362</v>
      </c>
    </row>
    <row r="12" spans="1:14" x14ac:dyDescent="0.25">
      <c r="A12" s="244">
        <v>9257033</v>
      </c>
      <c r="B12" s="237" t="s">
        <v>220</v>
      </c>
      <c r="C12" s="1186">
        <v>3</v>
      </c>
      <c r="D12" s="268">
        <f>'Revised Band Returns'!F36</f>
        <v>3.6363636363636362E-2</v>
      </c>
      <c r="E12" s="268">
        <f>'Revised Band Returns'!H36</f>
        <v>0.29090909090909089</v>
      </c>
      <c r="F12" s="268">
        <f>'Revised Band Returns'!J36</f>
        <v>0.27272727272727271</v>
      </c>
      <c r="G12" s="268">
        <f>'Revised Band Returns'!L36</f>
        <v>5.4545454545454543E-2</v>
      </c>
      <c r="H12" s="268">
        <f>'Revised Band Returns'!N36</f>
        <v>0.34545454545454546</v>
      </c>
      <c r="I12" s="269">
        <v>10</v>
      </c>
      <c r="J12" s="269">
        <v>50</v>
      </c>
      <c r="K12" s="269">
        <f t="shared" si="1"/>
        <v>60</v>
      </c>
      <c r="L12" s="235">
        <f t="shared" si="0"/>
        <v>246332.97443288573</v>
      </c>
      <c r="M12" s="235">
        <f t="shared" si="2"/>
        <v>250000</v>
      </c>
      <c r="N12" s="235">
        <f>(VLOOKUP(A12,'2014-15 Funding Detail'!$A$3:$Z$23,19,FALSE)*(5/12))*K12</f>
        <v>159355.09871968153</v>
      </c>
    </row>
    <row r="13" spans="1:14" x14ac:dyDescent="0.25">
      <c r="A13" s="244">
        <v>9257008</v>
      </c>
      <c r="B13" s="237" t="s">
        <v>212</v>
      </c>
      <c r="C13" s="1186">
        <v>3</v>
      </c>
      <c r="D13" s="268">
        <f>'Revised Band Returns'!F37</f>
        <v>0</v>
      </c>
      <c r="E13" s="268">
        <f>'Revised Band Returns'!H37</f>
        <v>8.2352941176470587E-2</v>
      </c>
      <c r="F13" s="268">
        <f>'Revised Band Returns'!J37</f>
        <v>0.61176470588235299</v>
      </c>
      <c r="G13" s="268">
        <f>'Revised Band Returns'!L37</f>
        <v>2.3529411764705882E-2</v>
      </c>
      <c r="H13" s="268">
        <f>'Revised Band Returns'!N37</f>
        <v>0.28235294117647058</v>
      </c>
      <c r="I13" s="269">
        <v>10</v>
      </c>
      <c r="J13" s="269">
        <v>74</v>
      </c>
      <c r="K13" s="269">
        <f t="shared" si="1"/>
        <v>84</v>
      </c>
      <c r="L13" s="235">
        <f t="shared" si="0"/>
        <v>306088.73366611655</v>
      </c>
      <c r="M13" s="235">
        <f t="shared" si="2"/>
        <v>350000</v>
      </c>
      <c r="N13" s="235">
        <f>(VLOOKUP(A13,'2014-15 Funding Detail'!$A$3:$Z$23,19,FALSE)*(5/12))*K13</f>
        <v>134264.90362623686</v>
      </c>
    </row>
    <row r="14" spans="1:14" x14ac:dyDescent="0.25">
      <c r="A14" s="244">
        <v>9257034</v>
      </c>
      <c r="B14" s="237" t="s">
        <v>221</v>
      </c>
      <c r="C14" s="1187">
        <v>5</v>
      </c>
      <c r="D14" s="268">
        <f>'Revised Band Returns'!F38</f>
        <v>7.0866141732283464E-2</v>
      </c>
      <c r="E14" s="268">
        <f>'Revised Band Returns'!H38</f>
        <v>0.16535433070866143</v>
      </c>
      <c r="F14" s="268">
        <f>'Revised Band Returns'!J38</f>
        <v>0.51968503937007871</v>
      </c>
      <c r="G14" s="268">
        <f>'Revised Band Returns'!L38</f>
        <v>3.937007874015748E-2</v>
      </c>
      <c r="H14" s="268">
        <f>'Revised Band Returns'!N38</f>
        <v>0.20472440944881889</v>
      </c>
      <c r="I14" s="269">
        <v>0</v>
      </c>
      <c r="J14" s="269">
        <v>78</v>
      </c>
      <c r="K14" s="269">
        <f t="shared" si="1"/>
        <v>78</v>
      </c>
      <c r="L14" s="235">
        <f t="shared" si="0"/>
        <v>282169.31662901014</v>
      </c>
      <c r="M14" s="235">
        <f t="shared" si="2"/>
        <v>325000</v>
      </c>
      <c r="N14" s="235">
        <f>(VLOOKUP(A14,'2014-15 Funding Detail'!$A$3:$Z$23,19,FALSE)*(5/12))*K14</f>
        <v>107832.23093981248</v>
      </c>
    </row>
    <row r="15" spans="1:14" x14ac:dyDescent="0.25">
      <c r="A15" s="244">
        <v>9257002</v>
      </c>
      <c r="B15" s="237" t="s">
        <v>213</v>
      </c>
      <c r="C15" s="1186">
        <v>4</v>
      </c>
      <c r="D15" s="268">
        <f>'Revised Band Returns'!F39</f>
        <v>8.4033613445378148E-3</v>
      </c>
      <c r="E15" s="268">
        <f>'Revised Band Returns'!H39</f>
        <v>0.27731092436974791</v>
      </c>
      <c r="F15" s="268">
        <f>'Revised Band Returns'!J39</f>
        <v>0.59663865546218486</v>
      </c>
      <c r="G15" s="268">
        <f>'Revised Band Returns'!L39</f>
        <v>2.5210084033613446E-2</v>
      </c>
      <c r="H15" s="268">
        <f>'Revised Band Returns'!N39</f>
        <v>9.2436974789915971E-2</v>
      </c>
      <c r="I15" s="269">
        <v>0</v>
      </c>
      <c r="J15" s="269">
        <v>130</v>
      </c>
      <c r="K15" s="269">
        <f t="shared" si="1"/>
        <v>130</v>
      </c>
      <c r="L15" s="235">
        <f t="shared" si="0"/>
        <v>405214.4423928553</v>
      </c>
      <c r="M15" s="235">
        <f t="shared" si="2"/>
        <v>541666.66666666674</v>
      </c>
      <c r="N15" s="235">
        <f>(VLOOKUP(A15,'2014-15 Funding Detail'!$A$3:$Z$23,19,FALSE)*(5/12))*K15</f>
        <v>84802.239937422433</v>
      </c>
    </row>
    <row r="16" spans="1:14" x14ac:dyDescent="0.25">
      <c r="A16" s="244">
        <v>9257009</v>
      </c>
      <c r="B16" s="237" t="s">
        <v>214</v>
      </c>
      <c r="C16" s="1187">
        <v>4</v>
      </c>
      <c r="D16" s="268">
        <f>'Revised Band Returns'!F40</f>
        <v>0</v>
      </c>
      <c r="E16" s="268">
        <f>'Revised Band Returns'!H40</f>
        <v>0.14615384615384616</v>
      </c>
      <c r="F16" s="268">
        <f>'Revised Band Returns'!J40</f>
        <v>0.7</v>
      </c>
      <c r="G16" s="268">
        <f>'Revised Band Returns'!L40</f>
        <v>1.5384615384615385E-2</v>
      </c>
      <c r="H16" s="268">
        <f>'Revised Band Returns'!N40</f>
        <v>0.13846153846153847</v>
      </c>
      <c r="I16" s="269">
        <v>0</v>
      </c>
      <c r="J16" s="269">
        <v>131</v>
      </c>
      <c r="K16" s="269">
        <f t="shared" si="1"/>
        <v>131</v>
      </c>
      <c r="L16" s="235">
        <f t="shared" si="0"/>
        <v>415296.41019249673</v>
      </c>
      <c r="M16" s="235">
        <f t="shared" si="2"/>
        <v>545833.33333333337</v>
      </c>
      <c r="N16" s="235">
        <f>(VLOOKUP(A16,'2014-15 Funding Detail'!$A$3:$Z$23,19,FALSE)*(5/12))*K16</f>
        <v>91981.440343277543</v>
      </c>
    </row>
    <row r="17" spans="1:14" x14ac:dyDescent="0.25">
      <c r="A17" s="244">
        <v>9257029</v>
      </c>
      <c r="B17" s="237" t="s">
        <v>259</v>
      </c>
      <c r="C17" s="1212">
        <v>4</v>
      </c>
      <c r="D17" s="268">
        <f>'Revised Band Returns'!F41</f>
        <v>0</v>
      </c>
      <c r="E17" s="268">
        <f>'Revised Band Returns'!H41</f>
        <v>0</v>
      </c>
      <c r="F17" s="268">
        <f>'Revised Band Returns'!J41</f>
        <v>0</v>
      </c>
      <c r="G17" s="268">
        <f>'Revised Band Returns'!L41</f>
        <v>0</v>
      </c>
      <c r="H17" s="268">
        <f>'Revised Band Returns'!N41</f>
        <v>1</v>
      </c>
      <c r="I17" s="269">
        <v>0</v>
      </c>
      <c r="J17" s="269">
        <v>62</v>
      </c>
      <c r="K17" s="269">
        <f t="shared" si="1"/>
        <v>62</v>
      </c>
      <c r="L17" s="235">
        <f t="shared" si="0"/>
        <v>370115.93695431569</v>
      </c>
      <c r="M17" s="235">
        <f t="shared" si="2"/>
        <v>258333.33333333334</v>
      </c>
      <c r="N17" s="235">
        <f>(VLOOKUP(A17,'2014-15 Funding Detail'!$A$3:$Z$23,19,FALSE)*(5/12))*K17</f>
        <v>315097.90727156791</v>
      </c>
    </row>
    <row r="18" spans="1:14" x14ac:dyDescent="0.25">
      <c r="A18" s="244">
        <v>9257032</v>
      </c>
      <c r="B18" s="237" t="s">
        <v>261</v>
      </c>
      <c r="C18" s="1186">
        <v>4</v>
      </c>
      <c r="D18" s="268">
        <f>'Revised Band Returns'!F42</f>
        <v>0</v>
      </c>
      <c r="E18" s="268">
        <f>'Revised Band Returns'!H42</f>
        <v>0</v>
      </c>
      <c r="F18" s="268">
        <f>'Revised Band Returns'!J42</f>
        <v>0</v>
      </c>
      <c r="G18" s="268">
        <f>'Revised Band Returns'!L42</f>
        <v>0</v>
      </c>
      <c r="H18" s="268">
        <f>'Revised Band Returns'!N42</f>
        <v>1</v>
      </c>
      <c r="I18" s="269">
        <v>0</v>
      </c>
      <c r="J18" s="269">
        <v>59</v>
      </c>
      <c r="K18" s="269">
        <f t="shared" si="1"/>
        <v>59</v>
      </c>
      <c r="L18" s="235">
        <f t="shared" si="0"/>
        <v>352207.10129523586</v>
      </c>
      <c r="M18" s="235">
        <f t="shared" si="2"/>
        <v>245833.33333333334</v>
      </c>
      <c r="N18" s="235">
        <f>(VLOOKUP(A18,'2014-15 Funding Detail'!$A$3:$Z$23,19,FALSE)*(5/12))*K18</f>
        <v>289195.43027354195</v>
      </c>
    </row>
    <row r="19" spans="1:14" x14ac:dyDescent="0.25">
      <c r="A19" s="244">
        <v>9257030</v>
      </c>
      <c r="B19" s="237" t="s">
        <v>262</v>
      </c>
      <c r="C19" s="1187">
        <v>3</v>
      </c>
      <c r="D19" s="268">
        <f>'Revised Band Returns'!F43</f>
        <v>0</v>
      </c>
      <c r="E19" s="268">
        <f>'Revised Band Returns'!H43</f>
        <v>0</v>
      </c>
      <c r="F19" s="268">
        <f>'Revised Band Returns'!J43</f>
        <v>0</v>
      </c>
      <c r="G19" s="268">
        <f>'Revised Band Returns'!L43</f>
        <v>0</v>
      </c>
      <c r="H19" s="268">
        <f>'Revised Band Returns'!N43</f>
        <v>1</v>
      </c>
      <c r="I19" s="269">
        <v>0</v>
      </c>
      <c r="J19" s="269">
        <v>55</v>
      </c>
      <c r="K19" s="269">
        <f t="shared" si="1"/>
        <v>55</v>
      </c>
      <c r="L19" s="235">
        <f t="shared" si="0"/>
        <v>328328.65374979615</v>
      </c>
      <c r="M19" s="235">
        <f t="shared" si="2"/>
        <v>229166.66666666669</v>
      </c>
      <c r="N19" s="235">
        <f>(VLOOKUP(A19,'2014-15 Funding Detail'!$A$3:$Z$23,19,FALSE)*(5/12))*K19</f>
        <v>276809.71186912438</v>
      </c>
    </row>
    <row r="20" spans="1:14" x14ac:dyDescent="0.25">
      <c r="A20" s="244">
        <v>9257028</v>
      </c>
      <c r="B20" s="237" t="s">
        <v>215</v>
      </c>
      <c r="C20" s="1186">
        <v>5</v>
      </c>
      <c r="D20" s="268">
        <f>'Revised Band Returns'!F44</f>
        <v>0.23943661971830985</v>
      </c>
      <c r="E20" s="268">
        <f>'Revised Band Returns'!H44</f>
        <v>0.3380281690140845</v>
      </c>
      <c r="F20" s="268">
        <f>'Revised Band Returns'!J44</f>
        <v>0</v>
      </c>
      <c r="G20" s="268">
        <f>'Revised Band Returns'!L44</f>
        <v>0.18309859154929578</v>
      </c>
      <c r="H20" s="268">
        <f>'Revised Band Returns'!N44</f>
        <v>0.23943661971830985</v>
      </c>
      <c r="I20" s="269">
        <v>0</v>
      </c>
      <c r="J20" s="269">
        <v>56</v>
      </c>
      <c r="K20" s="269">
        <f t="shared" si="1"/>
        <v>56</v>
      </c>
      <c r="L20" s="235">
        <f t="shared" si="0"/>
        <v>253289.64017957877</v>
      </c>
      <c r="M20" s="235">
        <f t="shared" si="2"/>
        <v>233333.33333333334</v>
      </c>
      <c r="N20" s="235">
        <f>(VLOOKUP(A20,'2014-15 Funding Detail'!$A$3:$Z$23,19,FALSE)*(5/12))*K20</f>
        <v>196591.50300240816</v>
      </c>
    </row>
    <row r="21" spans="1:14" x14ac:dyDescent="0.25">
      <c r="A21" s="244">
        <v>9257021</v>
      </c>
      <c r="B21" s="237" t="s">
        <v>216</v>
      </c>
      <c r="C21" s="1186">
        <v>5</v>
      </c>
      <c r="D21" s="268">
        <f>'Revised Band Returns'!F45</f>
        <v>0</v>
      </c>
      <c r="E21" s="268">
        <f>'Revised Band Returns'!H45</f>
        <v>9.8591549295774641E-2</v>
      </c>
      <c r="F21" s="268">
        <f>'Revised Band Returns'!J45</f>
        <v>0.71830985915492962</v>
      </c>
      <c r="G21" s="268">
        <f>'Revised Band Returns'!L45</f>
        <v>4.2253521126760563E-2</v>
      </c>
      <c r="H21" s="268">
        <f>'Revised Band Returns'!N45</f>
        <v>0.14084507042253522</v>
      </c>
      <c r="I21" s="269">
        <v>0</v>
      </c>
      <c r="J21" s="269">
        <v>142</v>
      </c>
      <c r="K21" s="269">
        <f t="shared" si="1"/>
        <v>142</v>
      </c>
      <c r="L21" s="235">
        <f t="shared" si="0"/>
        <v>456856.40829387784</v>
      </c>
      <c r="M21" s="235">
        <f t="shared" si="2"/>
        <v>591666.66666666674</v>
      </c>
      <c r="N21" s="235">
        <f>(VLOOKUP(A21,'2014-15 Funding Detail'!$A$3:$Z$23,19,FALSE)*(5/12))*K21</f>
        <v>100928.66996640975</v>
      </c>
    </row>
    <row r="22" spans="1:14" x14ac:dyDescent="0.25">
      <c r="A22" s="244">
        <v>9257015</v>
      </c>
      <c r="B22" s="237" t="s">
        <v>217</v>
      </c>
      <c r="C22" s="1187">
        <v>7</v>
      </c>
      <c r="D22" s="268">
        <f>'Revised Band Returns'!F46</f>
        <v>6.0483870967741937E-2</v>
      </c>
      <c r="E22" s="268">
        <f>'Revised Band Returns'!H46</f>
        <v>0.22177419354838709</v>
      </c>
      <c r="F22" s="268">
        <f>'Revised Band Returns'!J46</f>
        <v>0.65322580645161288</v>
      </c>
      <c r="G22" s="268">
        <f>'Revised Band Returns'!L46</f>
        <v>0</v>
      </c>
      <c r="H22" s="268">
        <f>'Revised Band Returns'!N46</f>
        <v>6.4516129032258063E-2</v>
      </c>
      <c r="I22" s="269">
        <v>10</v>
      </c>
      <c r="J22" s="269">
        <v>218</v>
      </c>
      <c r="K22" s="269">
        <f t="shared" si="1"/>
        <v>228</v>
      </c>
      <c r="L22" s="235">
        <f t="shared" si="0"/>
        <v>697313.24672939302</v>
      </c>
      <c r="M22" s="235">
        <f t="shared" si="2"/>
        <v>950000</v>
      </c>
      <c r="N22" s="235">
        <f>(VLOOKUP(A22,'2014-15 Funding Detail'!$A$3:$Z$23,19,FALSE)*(5/12))*K22</f>
        <v>38789.927311115047</v>
      </c>
    </row>
    <row r="23" spans="1:14" x14ac:dyDescent="0.25">
      <c r="A23" s="244">
        <v>9257016</v>
      </c>
      <c r="B23" s="237" t="s">
        <v>219</v>
      </c>
      <c r="C23" s="1186">
        <v>6</v>
      </c>
      <c r="D23" s="268">
        <f>'Revised Band Returns'!F47</f>
        <v>0.50370370370370365</v>
      </c>
      <c r="E23" s="268">
        <f>'Revised Band Returns'!H47</f>
        <v>0</v>
      </c>
      <c r="F23" s="268">
        <f>'Revised Band Returns'!J47</f>
        <v>0.28888888888888886</v>
      </c>
      <c r="G23" s="268">
        <f>'Revised Band Returns'!L47</f>
        <v>0.2074074074074074</v>
      </c>
      <c r="H23" s="268">
        <f>'Revised Band Returns'!N47</f>
        <v>0</v>
      </c>
      <c r="I23" s="269">
        <v>0</v>
      </c>
      <c r="J23" s="269">
        <v>79</v>
      </c>
      <c r="K23" s="269">
        <f t="shared" si="1"/>
        <v>79</v>
      </c>
      <c r="L23" s="235">
        <f t="shared" si="0"/>
        <v>333053.08543802291</v>
      </c>
      <c r="M23" s="235">
        <f t="shared" si="2"/>
        <v>329166.66666666669</v>
      </c>
      <c r="N23" s="235">
        <f>(VLOOKUP(A23,'2014-15 Funding Detail'!$A$3:$Z$23,19,FALSE)*(5/12))*K23</f>
        <v>225773.40607591419</v>
      </c>
    </row>
    <row r="24" spans="1:14" x14ac:dyDescent="0.25">
      <c r="A24" s="249"/>
      <c r="B24" s="36"/>
      <c r="C24" s="234"/>
      <c r="D24" s="268"/>
      <c r="E24" s="268"/>
      <c r="F24" s="268"/>
      <c r="G24" s="268"/>
      <c r="H24" s="268"/>
      <c r="I24" s="269"/>
      <c r="J24" s="269"/>
      <c r="K24" s="269"/>
      <c r="L24" s="235"/>
      <c r="M24" s="269"/>
      <c r="N24" s="269"/>
    </row>
    <row r="25" spans="1:14" ht="13" x14ac:dyDescent="0.3">
      <c r="A25" s="93" t="s">
        <v>263</v>
      </c>
      <c r="B25" s="36"/>
      <c r="C25" s="234"/>
      <c r="D25" s="268"/>
      <c r="E25" s="268"/>
      <c r="F25" s="268"/>
      <c r="G25" s="268"/>
      <c r="H25" s="268"/>
      <c r="I25" s="269"/>
      <c r="J25" s="269"/>
      <c r="K25" s="269"/>
      <c r="L25" s="235"/>
      <c r="M25" s="269"/>
      <c r="N25" s="269"/>
    </row>
    <row r="26" spans="1:14" x14ac:dyDescent="0.25">
      <c r="A26" s="249"/>
      <c r="B26" s="36"/>
      <c r="C26" s="234"/>
      <c r="D26" s="268"/>
      <c r="E26" s="268"/>
      <c r="F26" s="268"/>
      <c r="G26" s="268"/>
      <c r="H26" s="268"/>
      <c r="I26" s="94" t="s">
        <v>490</v>
      </c>
      <c r="J26" s="269"/>
      <c r="K26" s="269"/>
      <c r="L26" s="235"/>
      <c r="M26" s="269"/>
      <c r="N26" s="269"/>
    </row>
    <row r="27" spans="1:14" ht="37.5" x14ac:dyDescent="0.25">
      <c r="A27" s="265" t="s">
        <v>182</v>
      </c>
      <c r="B27" s="237" t="s">
        <v>183</v>
      </c>
      <c r="C27" s="238" t="s">
        <v>184</v>
      </c>
      <c r="D27" s="36" t="s">
        <v>240</v>
      </c>
      <c r="E27" s="36" t="s">
        <v>241</v>
      </c>
      <c r="F27" s="36" t="s">
        <v>242</v>
      </c>
      <c r="G27" s="36" t="s">
        <v>243</v>
      </c>
      <c r="H27" s="36" t="s">
        <v>244</v>
      </c>
      <c r="I27" s="243" t="s">
        <v>264</v>
      </c>
      <c r="J27" s="243" t="s">
        <v>265</v>
      </c>
      <c r="K27" s="276" t="s">
        <v>267</v>
      </c>
      <c r="L27" s="243" t="s">
        <v>268</v>
      </c>
      <c r="M27" s="269"/>
      <c r="N27" s="269"/>
    </row>
    <row r="28" spans="1:14" x14ac:dyDescent="0.25">
      <c r="A28" s="244">
        <v>9257010</v>
      </c>
      <c r="B28" s="237" t="s">
        <v>205</v>
      </c>
      <c r="C28" s="1186">
        <v>3</v>
      </c>
      <c r="D28" s="268">
        <f>'Revised Band Returns'!F30</f>
        <v>0.40476190476190477</v>
      </c>
      <c r="E28" s="268">
        <f>'Revised Band Returns'!H30</f>
        <v>0.2857142857142857</v>
      </c>
      <c r="F28" s="268">
        <f>'Revised Band Returns'!J30</f>
        <v>0.11904761904761904</v>
      </c>
      <c r="G28" s="268">
        <f>'Revised Band Returns'!L30</f>
        <v>0.11904761904761904</v>
      </c>
      <c r="H28" s="268">
        <f>'Revised Band Returns'!N30</f>
        <v>7.1428571428571425E-2</v>
      </c>
      <c r="I28" s="269">
        <v>8</v>
      </c>
      <c r="J28" s="235">
        <f>((((I28*D28)*$G$92)+((I28*E28)*$G$94)+((I28*F28)*$G$96)+((I28*G28)*$G$98)+((I28*H28)*$G$100)+((I28*H28)*$G$102)))*(4/12)</f>
        <v>26642.919710936421</v>
      </c>
      <c r="K28" s="235">
        <f>(I28*(4/12))*11164</f>
        <v>29770.666666666664</v>
      </c>
      <c r="L28" s="235">
        <f>(VLOOKUP(A28,'2014-15 Funding Detail'!$A$3:$Z$23,21,FALSE)*4/12)*I28</f>
        <v>20553.684002429258</v>
      </c>
      <c r="M28" s="269"/>
      <c r="N28" s="269"/>
    </row>
    <row r="29" spans="1:14" x14ac:dyDescent="0.25">
      <c r="A29" s="244">
        <v>9257005</v>
      </c>
      <c r="B29" s="237" t="s">
        <v>208</v>
      </c>
      <c r="C29" s="1187">
        <v>4</v>
      </c>
      <c r="D29" s="268">
        <f>'Revised Band Returns'!F31</f>
        <v>0.13157894736842105</v>
      </c>
      <c r="E29" s="268">
        <f>'Revised Band Returns'!H31</f>
        <v>0.35526315789473684</v>
      </c>
      <c r="F29" s="268">
        <f>'Revised Band Returns'!J31</f>
        <v>0.17105263157894737</v>
      </c>
      <c r="G29" s="268">
        <f>'Revised Band Returns'!L31</f>
        <v>0.14473684210526316</v>
      </c>
      <c r="H29" s="268">
        <f>'Revised Band Returns'!N31</f>
        <v>0.19736842105263158</v>
      </c>
      <c r="I29" s="269">
        <v>25</v>
      </c>
      <c r="J29" s="235">
        <f>((((I29*D29)*$G$92)+((I29*E29)*$G$94)+((I29*F29)*$G$96)+((I29*G29)*$G$98)+((I29*H29)*$G$100)+((I29*H29)*$G$102)))*(4/12)</f>
        <v>81147.007925771351</v>
      </c>
      <c r="K29" s="235">
        <f t="shared" ref="K29:K45" si="3">(I29*(4/12))*11164</f>
        <v>93033.333333333314</v>
      </c>
      <c r="L29" s="235">
        <f>(VLOOKUP(A29,'2014-15 Funding Detail'!$A$3:$Z$23,21,FALSE)*4/12)*I29</f>
        <v>47133.86723156018</v>
      </c>
      <c r="M29" s="269"/>
      <c r="N29" s="269"/>
    </row>
    <row r="30" spans="1:14" x14ac:dyDescent="0.25">
      <c r="A30" s="244">
        <v>9257025</v>
      </c>
      <c r="B30" s="237" t="s">
        <v>209</v>
      </c>
      <c r="C30" s="1187">
        <v>4</v>
      </c>
      <c r="D30" s="268">
        <f>'Revised Band Returns'!F32</f>
        <v>0.26415094339622641</v>
      </c>
      <c r="E30" s="268">
        <f>'Revised Band Returns'!H32</f>
        <v>0.41509433962264153</v>
      </c>
      <c r="F30" s="268">
        <f>'Revised Band Returns'!J32</f>
        <v>5.6603773584905662E-2</v>
      </c>
      <c r="G30" s="268">
        <f>'Revised Band Returns'!L32</f>
        <v>5.6603773584905662E-2</v>
      </c>
      <c r="H30" s="268">
        <f>'Revised Band Returns'!N32</f>
        <v>0.20754716981132076</v>
      </c>
      <c r="I30" s="269">
        <v>14</v>
      </c>
      <c r="J30" s="235">
        <f t="shared" ref="J30:J45" si="4">((((I30*D30)*$G$92)+((I30*E30)*$G$94)+((I30*F30)*$G$96)+((I30*G30)*$G$98)+((I30*H30)*$G$100)+((I30*H30)*$G$102)))*(4/12)</f>
        <v>47265.091908265807</v>
      </c>
      <c r="K30" s="235">
        <f t="shared" si="3"/>
        <v>52098.666666666657</v>
      </c>
      <c r="L30" s="235">
        <f>(VLOOKUP(A30,'2014-15 Funding Detail'!$A$3:$Z$23,21,FALSE)*4/12)*I30</f>
        <v>36463.745694152174</v>
      </c>
      <c r="M30" s="269"/>
      <c r="N30" s="269"/>
    </row>
    <row r="31" spans="1:14" x14ac:dyDescent="0.25">
      <c r="A31" s="244">
        <v>9257011</v>
      </c>
      <c r="B31" s="237" t="s">
        <v>210</v>
      </c>
      <c r="C31" s="1186">
        <v>3</v>
      </c>
      <c r="D31" s="268">
        <f>'Revised Band Returns'!F33</f>
        <v>0.4</v>
      </c>
      <c r="E31" s="268">
        <f>'Revised Band Returns'!H33</f>
        <v>0.42222222222222222</v>
      </c>
      <c r="F31" s="268">
        <f>'Revised Band Returns'!J33</f>
        <v>0</v>
      </c>
      <c r="G31" s="268">
        <f>'Revised Band Returns'!L33</f>
        <v>2.2222222222222223E-2</v>
      </c>
      <c r="H31" s="268">
        <f>'Revised Band Returns'!N33</f>
        <v>0.15555555555555556</v>
      </c>
      <c r="I31" s="269">
        <v>2</v>
      </c>
      <c r="J31" s="235">
        <f t="shared" si="4"/>
        <v>6845.7862045320117</v>
      </c>
      <c r="K31" s="235">
        <f t="shared" si="3"/>
        <v>7442.6666666666661</v>
      </c>
      <c r="L31" s="235">
        <f>(VLOOKUP(A31,'2014-15 Funding Detail'!$A$3:$Z$23,21,FALSE)*4/12)*I31</f>
        <v>5702.6925478187577</v>
      </c>
      <c r="M31" s="269"/>
      <c r="N31" s="269"/>
    </row>
    <row r="32" spans="1:14" x14ac:dyDescent="0.25">
      <c r="A32" s="244">
        <v>9257024</v>
      </c>
      <c r="B32" s="237" t="s">
        <v>211</v>
      </c>
      <c r="C32" s="1212">
        <v>3</v>
      </c>
      <c r="D32" s="268">
        <f>'Revised Band Returns'!F34</f>
        <v>0.2</v>
      </c>
      <c r="E32" s="268">
        <f>'Revised Band Returns'!H34</f>
        <v>0.5636363636363636</v>
      </c>
      <c r="F32" s="268">
        <f>'Revised Band Returns'!J34</f>
        <v>1.8181818181818181E-2</v>
      </c>
      <c r="G32" s="268">
        <f>'Revised Band Returns'!L34</f>
        <v>0.16363636363636364</v>
      </c>
      <c r="H32" s="268">
        <f>'Revised Band Returns'!N34</f>
        <v>5.4545454545454543E-2</v>
      </c>
      <c r="I32" s="269">
        <v>11</v>
      </c>
      <c r="J32" s="235">
        <f t="shared" si="4"/>
        <v>34061.316212714722</v>
      </c>
      <c r="K32" s="235">
        <f t="shared" si="3"/>
        <v>40934.666666666664</v>
      </c>
      <c r="L32" s="235">
        <f>(VLOOKUP(A32,'2014-15 Funding Detail'!$A$3:$Z$23,21,FALSE)*4/12)*I32</f>
        <v>21044.823284588248</v>
      </c>
      <c r="M32" s="269"/>
      <c r="N32" s="269"/>
    </row>
    <row r="33" spans="1:14" x14ac:dyDescent="0.25">
      <c r="A33" s="244">
        <v>9257031</v>
      </c>
      <c r="B33" s="237" t="s">
        <v>257</v>
      </c>
      <c r="C33" s="1186">
        <v>3</v>
      </c>
      <c r="D33" s="268">
        <f>'Revised Band Returns'!F35</f>
        <v>0</v>
      </c>
      <c r="E33" s="268">
        <f>'Revised Band Returns'!H35</f>
        <v>0</v>
      </c>
      <c r="F33" s="268">
        <f>'Revised Band Returns'!J35</f>
        <v>0</v>
      </c>
      <c r="G33" s="268">
        <f>'Revised Band Returns'!L35</f>
        <v>0</v>
      </c>
      <c r="H33" s="268">
        <f>'Revised Band Returns'!N35</f>
        <v>1</v>
      </c>
      <c r="I33" s="269">
        <v>0</v>
      </c>
      <c r="J33" s="235">
        <f t="shared" si="4"/>
        <v>0</v>
      </c>
      <c r="K33" s="235">
        <f t="shared" si="3"/>
        <v>0</v>
      </c>
      <c r="L33" s="235">
        <f>(VLOOKUP(A33,'2014-15 Funding Detail'!$A$3:$Z$23,21,FALSE)*4/12)*I33</f>
        <v>0</v>
      </c>
      <c r="M33" s="269"/>
      <c r="N33" s="269"/>
    </row>
    <row r="34" spans="1:14" x14ac:dyDescent="0.25">
      <c r="A34" s="244">
        <v>9257033</v>
      </c>
      <c r="B34" s="237" t="s">
        <v>220</v>
      </c>
      <c r="C34" s="1186">
        <v>3</v>
      </c>
      <c r="D34" s="268">
        <f>'Revised Band Returns'!F36</f>
        <v>3.6363636363636362E-2</v>
      </c>
      <c r="E34" s="268">
        <f>'Revised Band Returns'!H36</f>
        <v>0.29090909090909089</v>
      </c>
      <c r="F34" s="268">
        <f>'Revised Band Returns'!J36</f>
        <v>0.27272727272727271</v>
      </c>
      <c r="G34" s="268">
        <f>'Revised Band Returns'!L36</f>
        <v>5.4545454545454543E-2</v>
      </c>
      <c r="H34" s="268">
        <f>'Revised Band Returns'!N36</f>
        <v>0.34545454545454546</v>
      </c>
      <c r="I34" s="269">
        <v>0</v>
      </c>
      <c r="J34" s="235">
        <f t="shared" si="4"/>
        <v>0</v>
      </c>
      <c r="K34" s="235">
        <f t="shared" si="3"/>
        <v>0</v>
      </c>
      <c r="L34" s="235">
        <f>(VLOOKUP(A34,'2014-15 Funding Detail'!$A$3:$Z$23,21,FALSE)*4/12)*I34</f>
        <v>0</v>
      </c>
      <c r="M34" s="269"/>
      <c r="N34" s="269"/>
    </row>
    <row r="35" spans="1:14" x14ac:dyDescent="0.25">
      <c r="A35" s="244">
        <v>9257008</v>
      </c>
      <c r="B35" s="237" t="s">
        <v>212</v>
      </c>
      <c r="C35" s="1186">
        <v>3</v>
      </c>
      <c r="D35" s="268">
        <f>'Revised Band Returns'!F37</f>
        <v>0</v>
      </c>
      <c r="E35" s="268">
        <f>'Revised Band Returns'!H37</f>
        <v>8.2352941176470587E-2</v>
      </c>
      <c r="F35" s="268">
        <f>'Revised Band Returns'!J37</f>
        <v>0.61176470588235299</v>
      </c>
      <c r="G35" s="268">
        <f>'Revised Band Returns'!L37</f>
        <v>2.3529411764705882E-2</v>
      </c>
      <c r="H35" s="268">
        <f>'Revised Band Returns'!N37</f>
        <v>0.28235294117647058</v>
      </c>
      <c r="I35" s="269">
        <v>0</v>
      </c>
      <c r="J35" s="235">
        <f t="shared" si="4"/>
        <v>0</v>
      </c>
      <c r="K35" s="235">
        <f t="shared" si="3"/>
        <v>0</v>
      </c>
      <c r="L35" s="235">
        <f>(VLOOKUP(A35,'2014-15 Funding Detail'!$A$3:$Z$23,21,FALSE)*4/12)*I35</f>
        <v>0</v>
      </c>
      <c r="M35" s="269"/>
      <c r="N35" s="269"/>
    </row>
    <row r="36" spans="1:14" x14ac:dyDescent="0.25">
      <c r="A36" s="244">
        <v>9257034</v>
      </c>
      <c r="B36" s="237" t="s">
        <v>221</v>
      </c>
      <c r="C36" s="1187">
        <v>5</v>
      </c>
      <c r="D36" s="268">
        <f>'Revised Band Returns'!F38</f>
        <v>7.0866141732283464E-2</v>
      </c>
      <c r="E36" s="268">
        <f>'Revised Band Returns'!H38</f>
        <v>0.16535433070866143</v>
      </c>
      <c r="F36" s="268">
        <f>'Revised Band Returns'!J38</f>
        <v>0.51968503937007871</v>
      </c>
      <c r="G36" s="268">
        <f>'Revised Band Returns'!L38</f>
        <v>3.937007874015748E-2</v>
      </c>
      <c r="H36" s="268">
        <f>'Revised Band Returns'!N38</f>
        <v>0.20472440944881889</v>
      </c>
      <c r="I36" s="269">
        <v>31</v>
      </c>
      <c r="J36" s="235">
        <f t="shared" si="4"/>
        <v>89715.372466659639</v>
      </c>
      <c r="K36" s="235">
        <f t="shared" si="3"/>
        <v>115361.33333333331</v>
      </c>
      <c r="L36" s="235">
        <f>(VLOOKUP(A36,'2014-15 Funding Detail'!$A$3:$Z$23,21,FALSE)*4/12)*I36</f>
        <v>22257.119580863458</v>
      </c>
      <c r="M36" s="269"/>
      <c r="N36" s="269"/>
    </row>
    <row r="37" spans="1:14" x14ac:dyDescent="0.25">
      <c r="A37" s="244">
        <v>9257002</v>
      </c>
      <c r="B37" s="237" t="s">
        <v>213</v>
      </c>
      <c r="C37" s="1186">
        <v>4</v>
      </c>
      <c r="D37" s="268">
        <f>'Revised Band Returns'!F39</f>
        <v>8.4033613445378148E-3</v>
      </c>
      <c r="E37" s="268">
        <f>'Revised Band Returns'!H39</f>
        <v>0.27731092436974791</v>
      </c>
      <c r="F37" s="268">
        <f>'Revised Band Returns'!J39</f>
        <v>0.59663865546218486</v>
      </c>
      <c r="G37" s="268">
        <f>'Revised Band Returns'!L39</f>
        <v>2.5210084033613446E-2</v>
      </c>
      <c r="H37" s="268">
        <f>'Revised Band Returns'!N39</f>
        <v>9.2436974789915971E-2</v>
      </c>
      <c r="I37" s="269">
        <v>0</v>
      </c>
      <c r="J37" s="235">
        <f t="shared" si="4"/>
        <v>0</v>
      </c>
      <c r="K37" s="235">
        <f t="shared" si="3"/>
        <v>0</v>
      </c>
      <c r="L37" s="235">
        <f>(VLOOKUP(A37,'2014-15 Funding Detail'!$A$3:$Z$23,21,FALSE)*4/12)*I37</f>
        <v>0</v>
      </c>
      <c r="M37" s="269"/>
      <c r="N37" s="269"/>
    </row>
    <row r="38" spans="1:14" x14ac:dyDescent="0.25">
      <c r="A38" s="244">
        <v>9257009</v>
      </c>
      <c r="B38" s="237" t="s">
        <v>214</v>
      </c>
      <c r="C38" s="1187">
        <v>4</v>
      </c>
      <c r="D38" s="268">
        <f>'Revised Band Returns'!F40</f>
        <v>0</v>
      </c>
      <c r="E38" s="268">
        <f>'Revised Band Returns'!H40</f>
        <v>0.14615384615384616</v>
      </c>
      <c r="F38" s="268">
        <f>'Revised Band Returns'!J40</f>
        <v>0.7</v>
      </c>
      <c r="G38" s="268">
        <f>'Revised Band Returns'!L40</f>
        <v>1.5384615384615385E-2</v>
      </c>
      <c r="H38" s="268">
        <f>'Revised Band Returns'!N40</f>
        <v>0.13846153846153847</v>
      </c>
      <c r="I38" s="269">
        <v>0</v>
      </c>
      <c r="J38" s="235">
        <f t="shared" si="4"/>
        <v>0</v>
      </c>
      <c r="K38" s="235">
        <f t="shared" si="3"/>
        <v>0</v>
      </c>
      <c r="L38" s="235">
        <f>(VLOOKUP(A38,'2014-15 Funding Detail'!$A$3:$Z$23,21,FALSE)*4/12)*I38</f>
        <v>0</v>
      </c>
      <c r="M38" s="269"/>
      <c r="N38" s="269"/>
    </row>
    <row r="39" spans="1:14" x14ac:dyDescent="0.25">
      <c r="A39" s="244">
        <v>9257029</v>
      </c>
      <c r="B39" s="237" t="s">
        <v>259</v>
      </c>
      <c r="C39" s="1212">
        <v>4</v>
      </c>
      <c r="D39" s="268">
        <f>'Revised Band Returns'!F41</f>
        <v>0</v>
      </c>
      <c r="E39" s="268">
        <f>'Revised Band Returns'!H41</f>
        <v>0</v>
      </c>
      <c r="F39" s="268">
        <f>'Revised Band Returns'!J41</f>
        <v>0</v>
      </c>
      <c r="G39" s="268">
        <f>'Revised Band Returns'!L41</f>
        <v>0</v>
      </c>
      <c r="H39" s="268">
        <f>'Revised Band Returns'!N41</f>
        <v>1</v>
      </c>
      <c r="I39" s="269">
        <v>0</v>
      </c>
      <c r="J39" s="235">
        <f t="shared" si="4"/>
        <v>0</v>
      </c>
      <c r="K39" s="235">
        <f t="shared" si="3"/>
        <v>0</v>
      </c>
      <c r="L39" s="235">
        <f>(VLOOKUP(A39,'2014-15 Funding Detail'!$A$3:$Z$23,21,FALSE)*4/12)*I39</f>
        <v>0</v>
      </c>
      <c r="M39" s="269"/>
      <c r="N39" s="269"/>
    </row>
    <row r="40" spans="1:14" x14ac:dyDescent="0.25">
      <c r="A40" s="244">
        <v>9257032</v>
      </c>
      <c r="B40" s="237" t="s">
        <v>261</v>
      </c>
      <c r="C40" s="1186">
        <v>4</v>
      </c>
      <c r="D40" s="268">
        <f>'Revised Band Returns'!F42</f>
        <v>0</v>
      </c>
      <c r="E40" s="268">
        <f>'Revised Band Returns'!H42</f>
        <v>0</v>
      </c>
      <c r="F40" s="268">
        <f>'Revised Band Returns'!J42</f>
        <v>0</v>
      </c>
      <c r="G40" s="268">
        <f>'Revised Band Returns'!L42</f>
        <v>0</v>
      </c>
      <c r="H40" s="268">
        <f>'Revised Band Returns'!N42</f>
        <v>1</v>
      </c>
      <c r="I40" s="269">
        <v>0</v>
      </c>
      <c r="J40" s="235">
        <f t="shared" si="4"/>
        <v>0</v>
      </c>
      <c r="K40" s="235">
        <f t="shared" si="3"/>
        <v>0</v>
      </c>
      <c r="L40" s="235">
        <f>(VLOOKUP(A40,'2014-15 Funding Detail'!$A$3:$Z$23,21,FALSE)*4/12)*I40</f>
        <v>0</v>
      </c>
      <c r="M40" s="269"/>
      <c r="N40" s="269"/>
    </row>
    <row r="41" spans="1:14" x14ac:dyDescent="0.25">
      <c r="A41" s="244">
        <v>9257030</v>
      </c>
      <c r="B41" s="237" t="s">
        <v>262</v>
      </c>
      <c r="C41" s="1187">
        <v>3</v>
      </c>
      <c r="D41" s="268">
        <f>'Revised Band Returns'!F43</f>
        <v>0</v>
      </c>
      <c r="E41" s="268">
        <f>'Revised Band Returns'!H43</f>
        <v>0</v>
      </c>
      <c r="F41" s="268">
        <f>'Revised Band Returns'!J43</f>
        <v>0</v>
      </c>
      <c r="G41" s="268">
        <f>'Revised Band Returns'!L43</f>
        <v>0</v>
      </c>
      <c r="H41" s="268">
        <f>'Revised Band Returns'!N43</f>
        <v>1</v>
      </c>
      <c r="I41" s="269">
        <v>0</v>
      </c>
      <c r="J41" s="235">
        <f t="shared" si="4"/>
        <v>0</v>
      </c>
      <c r="K41" s="235">
        <f t="shared" si="3"/>
        <v>0</v>
      </c>
      <c r="L41" s="235">
        <f>(VLOOKUP(A41,'2014-15 Funding Detail'!$A$3:$Z$23,21,FALSE)*4/12)*I41</f>
        <v>0</v>
      </c>
      <c r="M41" s="269"/>
      <c r="N41" s="269"/>
    </row>
    <row r="42" spans="1:14" x14ac:dyDescent="0.25">
      <c r="A42" s="244">
        <v>9257028</v>
      </c>
      <c r="B42" s="237" t="s">
        <v>215</v>
      </c>
      <c r="C42" s="1186">
        <v>5</v>
      </c>
      <c r="D42" s="268">
        <f>'Revised Band Returns'!F44</f>
        <v>0.23943661971830985</v>
      </c>
      <c r="E42" s="268">
        <f>'Revised Band Returns'!H44</f>
        <v>0.3380281690140845</v>
      </c>
      <c r="F42" s="268">
        <f>'Revised Band Returns'!J44</f>
        <v>0</v>
      </c>
      <c r="G42" s="268">
        <f>'Revised Band Returns'!L44</f>
        <v>0.18309859154929578</v>
      </c>
      <c r="H42" s="268">
        <f>'Revised Band Returns'!N44</f>
        <v>0.23943661971830985</v>
      </c>
      <c r="I42" s="269">
        <v>17</v>
      </c>
      <c r="J42" s="235">
        <f t="shared" si="4"/>
        <v>61513.198329326246</v>
      </c>
      <c r="K42" s="235">
        <f t="shared" si="3"/>
        <v>63262.666666666657</v>
      </c>
      <c r="L42" s="235">
        <f>(VLOOKUP(A42,'2014-15 Funding Detail'!$A$3:$Z$23,21,FALSE)*4/12)*I42</f>
        <v>41147.650729156274</v>
      </c>
      <c r="M42" s="269"/>
      <c r="N42" s="269"/>
    </row>
    <row r="43" spans="1:14" x14ac:dyDescent="0.25">
      <c r="A43" s="244">
        <v>9257021</v>
      </c>
      <c r="B43" s="237" t="s">
        <v>216</v>
      </c>
      <c r="C43" s="1186">
        <v>5</v>
      </c>
      <c r="D43" s="268">
        <f>'Revised Band Returns'!F45</f>
        <v>0</v>
      </c>
      <c r="E43" s="268">
        <f>'Revised Band Returns'!H45</f>
        <v>9.8591549295774641E-2</v>
      </c>
      <c r="F43" s="268">
        <f>'Revised Band Returns'!J45</f>
        <v>0.71830985915492962</v>
      </c>
      <c r="G43" s="268">
        <f>'Revised Band Returns'!L45</f>
        <v>4.2253521126760563E-2</v>
      </c>
      <c r="H43" s="268">
        <f>'Revised Band Returns'!N45</f>
        <v>0.14084507042253522</v>
      </c>
      <c r="I43" s="269">
        <v>0</v>
      </c>
      <c r="J43" s="235">
        <f t="shared" si="4"/>
        <v>0</v>
      </c>
      <c r="K43" s="235">
        <f t="shared" si="3"/>
        <v>0</v>
      </c>
      <c r="L43" s="235">
        <f>(VLOOKUP(A43,'2014-15 Funding Detail'!$A$3:$Z$23,21,FALSE)*4/12)*I43</f>
        <v>0</v>
      </c>
      <c r="M43" s="269"/>
      <c r="N43" s="269"/>
    </row>
    <row r="44" spans="1:14" x14ac:dyDescent="0.25">
      <c r="A44" s="244">
        <v>9257015</v>
      </c>
      <c r="B44" s="237" t="s">
        <v>217</v>
      </c>
      <c r="C44" s="1187">
        <v>7</v>
      </c>
      <c r="D44" s="268">
        <f>'Revised Band Returns'!F46</f>
        <v>6.0483870967741937E-2</v>
      </c>
      <c r="E44" s="268">
        <f>'Revised Band Returns'!H46</f>
        <v>0.22177419354838709</v>
      </c>
      <c r="F44" s="268">
        <f>'Revised Band Returns'!J46</f>
        <v>0.65322580645161288</v>
      </c>
      <c r="G44" s="268">
        <f>'Revised Band Returns'!L46</f>
        <v>0</v>
      </c>
      <c r="H44" s="268">
        <f>'Revised Band Returns'!N46</f>
        <v>6.4516129032258063E-2</v>
      </c>
      <c r="I44" s="269">
        <v>17</v>
      </c>
      <c r="J44" s="235">
        <f t="shared" si="4"/>
        <v>41594.123489121688</v>
      </c>
      <c r="K44" s="235">
        <f t="shared" si="3"/>
        <v>63262.666666666657</v>
      </c>
      <c r="L44" s="235">
        <f>(VLOOKUP(A44,'2014-15 Funding Detail'!$A$3:$Z$23,21,FALSE)*4/12)*I44</f>
        <v>-4282.2148621440147</v>
      </c>
      <c r="M44" s="269"/>
      <c r="N44" s="269"/>
    </row>
    <row r="45" spans="1:14" x14ac:dyDescent="0.25">
      <c r="A45" s="244">
        <v>9257016</v>
      </c>
      <c r="B45" s="237" t="s">
        <v>219</v>
      </c>
      <c r="C45" s="1186">
        <v>6</v>
      </c>
      <c r="D45" s="268">
        <f>'Revised Band Returns'!F47</f>
        <v>0.50370370370370365</v>
      </c>
      <c r="E45" s="268">
        <f>'Revised Band Returns'!H47</f>
        <v>0</v>
      </c>
      <c r="F45" s="268">
        <f>'Revised Band Returns'!J47</f>
        <v>0.28888888888888886</v>
      </c>
      <c r="G45" s="268">
        <f>'Revised Band Returns'!L47</f>
        <v>0.2074074074074074</v>
      </c>
      <c r="H45" s="268">
        <f>'Revised Band Returns'!N47</f>
        <v>0</v>
      </c>
      <c r="I45" s="269">
        <v>50</v>
      </c>
      <c r="J45" s="235">
        <f t="shared" si="4"/>
        <v>168634.47363950528</v>
      </c>
      <c r="K45" s="235">
        <f t="shared" si="3"/>
        <v>186066.66666666663</v>
      </c>
      <c r="L45" s="235">
        <f>(VLOOKUP(A45,'2014-15 Funding Detail'!$A$3:$Z$23,21,FALSE)*4/12)*I45</f>
        <v>94915.648646032481</v>
      </c>
      <c r="M45" s="269"/>
      <c r="N45" s="269"/>
    </row>
    <row r="46" spans="1:14" x14ac:dyDescent="0.25">
      <c r="A46" s="249"/>
      <c r="B46" s="36"/>
      <c r="C46" s="234"/>
      <c r="D46" s="268"/>
      <c r="E46" s="268"/>
      <c r="F46" s="268"/>
      <c r="G46" s="268"/>
      <c r="H46" s="268"/>
      <c r="I46" s="269"/>
      <c r="J46" s="269"/>
      <c r="K46" s="269"/>
      <c r="L46" s="235"/>
      <c r="M46" s="269"/>
      <c r="N46" s="269"/>
    </row>
    <row r="47" spans="1:14" ht="13" x14ac:dyDescent="0.3">
      <c r="A47" s="93" t="s">
        <v>270</v>
      </c>
      <c r="B47" s="36"/>
      <c r="C47" s="36"/>
      <c r="D47" s="36"/>
      <c r="E47" s="36"/>
      <c r="F47" s="36"/>
      <c r="G47" s="36"/>
      <c r="H47" s="36"/>
      <c r="I47" s="234"/>
      <c r="J47" s="234"/>
      <c r="K47" s="36"/>
      <c r="L47" s="36"/>
      <c r="M47" s="36"/>
      <c r="N47" s="36"/>
    </row>
    <row r="48" spans="1:14" x14ac:dyDescent="0.25">
      <c r="A48" s="36"/>
      <c r="B48" s="36"/>
      <c r="C48" s="36"/>
      <c r="D48" s="36"/>
      <c r="E48" s="36"/>
      <c r="F48" s="36"/>
      <c r="G48" s="36"/>
      <c r="H48" s="36"/>
      <c r="I48" s="94" t="s">
        <v>424</v>
      </c>
      <c r="J48" s="234"/>
      <c r="K48" s="36"/>
      <c r="L48" s="36"/>
      <c r="M48" s="36"/>
      <c r="N48" s="36"/>
    </row>
    <row r="49" spans="1:14" ht="39.75" customHeight="1" x14ac:dyDescent="0.25">
      <c r="A49" s="265" t="s">
        <v>182</v>
      </c>
      <c r="B49" s="237" t="s">
        <v>183</v>
      </c>
      <c r="C49" s="238" t="s">
        <v>184</v>
      </c>
      <c r="D49" s="36" t="s">
        <v>240</v>
      </c>
      <c r="E49" s="36" t="s">
        <v>241</v>
      </c>
      <c r="F49" s="36" t="s">
        <v>242</v>
      </c>
      <c r="G49" s="36" t="s">
        <v>243</v>
      </c>
      <c r="H49" s="36" t="s">
        <v>244</v>
      </c>
      <c r="I49" s="243" t="s">
        <v>245</v>
      </c>
      <c r="J49" s="243" t="s">
        <v>246</v>
      </c>
      <c r="K49" s="243" t="s">
        <v>247</v>
      </c>
      <c r="L49" s="243" t="s">
        <v>274</v>
      </c>
      <c r="M49" s="277" t="s">
        <v>275</v>
      </c>
      <c r="N49" s="243" t="s">
        <v>276</v>
      </c>
    </row>
    <row r="50" spans="1:14" x14ac:dyDescent="0.25">
      <c r="A50" s="244">
        <v>9257010</v>
      </c>
      <c r="B50" s="237" t="s">
        <v>205</v>
      </c>
      <c r="C50" s="1186">
        <v>3</v>
      </c>
      <c r="D50" s="268">
        <f>'Revised Band Returns'!F30</f>
        <v>0.40476190476190477</v>
      </c>
      <c r="E50" s="268">
        <f>'Revised Band Returns'!H30</f>
        <v>0.2857142857142857</v>
      </c>
      <c r="F50" s="268">
        <f>'Revised Band Returns'!J30</f>
        <v>0.11904761904761904</v>
      </c>
      <c r="G50" s="268">
        <f>'Revised Band Returns'!L30</f>
        <v>0.11904761904761904</v>
      </c>
      <c r="H50" s="268">
        <f>'Revised Band Returns'!N30</f>
        <v>7.1428571428571425E-2</v>
      </c>
      <c r="I50" s="269">
        <v>0</v>
      </c>
      <c r="J50" s="269">
        <v>34</v>
      </c>
      <c r="K50" s="269">
        <f>SUM(I50:J50)</f>
        <v>34</v>
      </c>
      <c r="L50" s="235">
        <f t="shared" ref="L50:L67" si="5">((((K50*D50)*$G$92)+((K50*E50)*$G$94)+((K50*F50)*$G$96)+((K50*G50)*$G$98)+((K50*H50)*$G$100)+((K50*H50)*$G$102)))*(7/12)</f>
        <v>198156.71535008965</v>
      </c>
      <c r="M50" s="235">
        <f>(K50*(7/12))*10000</f>
        <v>198333.33333333334</v>
      </c>
      <c r="N50" s="235">
        <f>(VLOOKUP(A50,'2014-15 Funding Detail'!$A$3:$Z$23,19,FALSE)*7/12)*K50</f>
        <v>175954.02476806761</v>
      </c>
    </row>
    <row r="51" spans="1:14" x14ac:dyDescent="0.25">
      <c r="A51" s="244">
        <v>9257005</v>
      </c>
      <c r="B51" s="237" t="s">
        <v>208</v>
      </c>
      <c r="C51" s="1187">
        <v>4</v>
      </c>
      <c r="D51" s="268">
        <f>'Revised Band Returns'!F31</f>
        <v>0.13157894736842105</v>
      </c>
      <c r="E51" s="268">
        <f>'Revised Band Returns'!H31</f>
        <v>0.35526315789473684</v>
      </c>
      <c r="F51" s="268">
        <f>'Revised Band Returns'!J31</f>
        <v>0.17105263157894737</v>
      </c>
      <c r="G51" s="268">
        <f>'Revised Band Returns'!L31</f>
        <v>0.14473684210526316</v>
      </c>
      <c r="H51" s="268">
        <f>'Revised Band Returns'!N31</f>
        <v>0.19736842105263158</v>
      </c>
      <c r="I51" s="269">
        <v>0</v>
      </c>
      <c r="J51" s="269">
        <v>48</v>
      </c>
      <c r="K51" s="269">
        <f t="shared" ref="K51:K67" si="6">SUM(I51:J51)</f>
        <v>48</v>
      </c>
      <c r="L51" s="235">
        <f t="shared" si="5"/>
        <v>272653.94663059182</v>
      </c>
      <c r="M51" s="235">
        <f t="shared" ref="M51:M67" si="7">(K51*(7/12))*10000</f>
        <v>280000</v>
      </c>
      <c r="N51" s="235">
        <f>(VLOOKUP(A51,'2014-15 Funding Detail'!$A$3:$Z$23,19,FALSE)*7/12)*K51</f>
        <v>190961.7938980422</v>
      </c>
    </row>
    <row r="52" spans="1:14" x14ac:dyDescent="0.25">
      <c r="A52" s="244">
        <v>9257025</v>
      </c>
      <c r="B52" s="237" t="s">
        <v>209</v>
      </c>
      <c r="C52" s="1187">
        <v>4</v>
      </c>
      <c r="D52" s="268">
        <f>'Revised Band Returns'!F32</f>
        <v>0.26415094339622641</v>
      </c>
      <c r="E52" s="268">
        <f>'Revised Band Returns'!H32</f>
        <v>0.41509433962264153</v>
      </c>
      <c r="F52" s="268">
        <f>'Revised Band Returns'!J32</f>
        <v>5.6603773584905662E-2</v>
      </c>
      <c r="G52" s="268">
        <f>'Revised Band Returns'!L32</f>
        <v>5.6603773584905662E-2</v>
      </c>
      <c r="H52" s="268">
        <f>'Revised Band Returns'!N32</f>
        <v>0.20754716981132076</v>
      </c>
      <c r="I52" s="269">
        <v>10</v>
      </c>
      <c r="J52" s="269">
        <v>39</v>
      </c>
      <c r="K52" s="269">
        <f t="shared" si="6"/>
        <v>49</v>
      </c>
      <c r="L52" s="235">
        <f t="shared" si="5"/>
        <v>289498.68793812807</v>
      </c>
      <c r="M52" s="235">
        <f t="shared" si="7"/>
        <v>285833.33333333337</v>
      </c>
      <c r="N52" s="235">
        <f>(VLOOKUP(A52,'2014-15 Funding Detail'!$A$3:$Z$23,19,FALSE)*7/12)*K52</f>
        <v>256611.44237668207</v>
      </c>
    </row>
    <row r="53" spans="1:14" x14ac:dyDescent="0.25">
      <c r="A53" s="244">
        <v>9257011</v>
      </c>
      <c r="B53" s="237" t="s">
        <v>210</v>
      </c>
      <c r="C53" s="1186">
        <v>3</v>
      </c>
      <c r="D53" s="268">
        <f>'Revised Band Returns'!F33</f>
        <v>0.4</v>
      </c>
      <c r="E53" s="268">
        <f>'Revised Band Returns'!H33</f>
        <v>0.42222222222222222</v>
      </c>
      <c r="F53" s="268">
        <f>'Revised Band Returns'!J33</f>
        <v>0</v>
      </c>
      <c r="G53" s="268">
        <f>'Revised Band Returns'!L33</f>
        <v>2.2222222222222223E-2</v>
      </c>
      <c r="H53" s="268">
        <f>'Revised Band Returns'!N33</f>
        <v>0.15555555555555556</v>
      </c>
      <c r="I53" s="269">
        <v>0</v>
      </c>
      <c r="J53" s="269">
        <v>42</v>
      </c>
      <c r="K53" s="269">
        <f t="shared" si="6"/>
        <v>42</v>
      </c>
      <c r="L53" s="235">
        <f t="shared" si="5"/>
        <v>251582.64301655148</v>
      </c>
      <c r="M53" s="235">
        <f t="shared" si="7"/>
        <v>245000</v>
      </c>
      <c r="N53" s="235">
        <f>(VLOOKUP(A53,'2014-15 Funding Detail'!$A$3:$Z$23,19,FALSE)*7/12)*K53</f>
        <v>238091.95113233931</v>
      </c>
    </row>
    <row r="54" spans="1:14" x14ac:dyDescent="0.25">
      <c r="A54" s="244">
        <v>9257024</v>
      </c>
      <c r="B54" s="237" t="s">
        <v>211</v>
      </c>
      <c r="C54" s="1212">
        <v>3</v>
      </c>
      <c r="D54" s="268">
        <f>'Revised Band Returns'!F34</f>
        <v>0.2</v>
      </c>
      <c r="E54" s="268">
        <f>'Revised Band Returns'!H34</f>
        <v>0.5636363636363636</v>
      </c>
      <c r="F54" s="268">
        <f>'Revised Band Returns'!J34</f>
        <v>1.8181818181818181E-2</v>
      </c>
      <c r="G54" s="268">
        <f>'Revised Band Returns'!L34</f>
        <v>0.16363636363636364</v>
      </c>
      <c r="H54" s="268">
        <f>'Revised Band Returns'!N34</f>
        <v>5.4545454545454543E-2</v>
      </c>
      <c r="I54" s="269">
        <v>5</v>
      </c>
      <c r="J54" s="269">
        <v>39</v>
      </c>
      <c r="K54" s="269">
        <f t="shared" si="6"/>
        <v>44</v>
      </c>
      <c r="L54" s="235">
        <f t="shared" si="5"/>
        <v>238429.21348900307</v>
      </c>
      <c r="M54" s="235">
        <f t="shared" si="7"/>
        <v>256666.66666666669</v>
      </c>
      <c r="N54" s="235">
        <f>(VLOOKUP(A54,'2014-15 Funding Detail'!$A$3:$Z$23,19,FALSE)*7/12)*K54</f>
        <v>177189.76299211773</v>
      </c>
    </row>
    <row r="55" spans="1:14" x14ac:dyDescent="0.25">
      <c r="A55" s="244">
        <v>9257031</v>
      </c>
      <c r="B55" s="237" t="s">
        <v>257</v>
      </c>
      <c r="C55" s="1186">
        <v>3</v>
      </c>
      <c r="D55" s="268">
        <f>'Revised Band Returns'!F35</f>
        <v>0</v>
      </c>
      <c r="E55" s="268">
        <f>'Revised Band Returns'!H35</f>
        <v>0</v>
      </c>
      <c r="F55" s="268">
        <f>'Revised Band Returns'!J35</f>
        <v>0</v>
      </c>
      <c r="G55" s="268">
        <f>'Revised Band Returns'!L35</f>
        <v>0</v>
      </c>
      <c r="H55" s="268">
        <f>'Revised Band Returns'!N35</f>
        <v>1</v>
      </c>
      <c r="I55" s="269">
        <v>0</v>
      </c>
      <c r="J55" s="269">
        <v>62</v>
      </c>
      <c r="K55" s="269">
        <f t="shared" si="6"/>
        <v>62</v>
      </c>
      <c r="L55" s="235">
        <f t="shared" si="5"/>
        <v>518162.31173604203</v>
      </c>
      <c r="M55" s="235">
        <f t="shared" si="7"/>
        <v>361666.66666666669</v>
      </c>
      <c r="N55" s="235">
        <f>(VLOOKUP(A55,'2014-15 Funding Detail'!$A$3:$Z$23,19,FALSE)*7/12)*K55</f>
        <v>375352.86684791814</v>
      </c>
    </row>
    <row r="56" spans="1:14" x14ac:dyDescent="0.25">
      <c r="A56" s="244">
        <v>9257033</v>
      </c>
      <c r="B56" s="237" t="s">
        <v>220</v>
      </c>
      <c r="C56" s="1186">
        <v>3</v>
      </c>
      <c r="D56" s="268">
        <f>'Revised Band Returns'!F36</f>
        <v>3.6363636363636362E-2</v>
      </c>
      <c r="E56" s="268">
        <f>'Revised Band Returns'!H36</f>
        <v>0.29090909090909089</v>
      </c>
      <c r="F56" s="268">
        <f>'Revised Band Returns'!J36</f>
        <v>0.27272727272727271</v>
      </c>
      <c r="G56" s="268">
        <f>'Revised Band Returns'!L36</f>
        <v>5.4545454545454543E-2</v>
      </c>
      <c r="H56" s="268">
        <f>'Revised Band Returns'!N36</f>
        <v>0.34545454545454546</v>
      </c>
      <c r="I56" s="269">
        <v>10</v>
      </c>
      <c r="J56" s="269">
        <v>50</v>
      </c>
      <c r="K56" s="269">
        <f t="shared" si="6"/>
        <v>60</v>
      </c>
      <c r="L56" s="235">
        <f t="shared" si="5"/>
        <v>344866.16420604003</v>
      </c>
      <c r="M56" s="235">
        <f t="shared" si="7"/>
        <v>350000</v>
      </c>
      <c r="N56" s="235">
        <f>(VLOOKUP(A56,'2014-15 Funding Detail'!$A$3:$Z$23,19,FALSE)*7/12)*K56</f>
        <v>223097.13820755412</v>
      </c>
    </row>
    <row r="57" spans="1:14" x14ac:dyDescent="0.25">
      <c r="A57" s="244">
        <v>9257008</v>
      </c>
      <c r="B57" s="237" t="s">
        <v>212</v>
      </c>
      <c r="C57" s="1186">
        <v>3</v>
      </c>
      <c r="D57" s="268">
        <f>'Revised Band Returns'!F37</f>
        <v>0</v>
      </c>
      <c r="E57" s="268">
        <f>'Revised Band Returns'!H37</f>
        <v>8.2352941176470587E-2</v>
      </c>
      <c r="F57" s="268">
        <f>'Revised Band Returns'!J37</f>
        <v>0.61176470588235299</v>
      </c>
      <c r="G57" s="268">
        <f>'Revised Band Returns'!L37</f>
        <v>2.3529411764705882E-2</v>
      </c>
      <c r="H57" s="268">
        <f>'Revised Band Returns'!N37</f>
        <v>0.28235294117647058</v>
      </c>
      <c r="I57" s="269">
        <v>10</v>
      </c>
      <c r="J57" s="269">
        <v>80</v>
      </c>
      <c r="K57" s="269">
        <f t="shared" si="6"/>
        <v>90</v>
      </c>
      <c r="L57" s="235">
        <f t="shared" si="5"/>
        <v>459133.10049917467</v>
      </c>
      <c r="M57" s="235">
        <f t="shared" si="7"/>
        <v>525000</v>
      </c>
      <c r="N57" s="235">
        <f>(VLOOKUP(A57,'2014-15 Funding Detail'!$A$3:$Z$23,19,FALSE)*7/12)*K57</f>
        <v>201397.35543935528</v>
      </c>
    </row>
    <row r="58" spans="1:14" x14ac:dyDescent="0.25">
      <c r="A58" s="244">
        <v>9257034</v>
      </c>
      <c r="B58" s="237" t="s">
        <v>221</v>
      </c>
      <c r="C58" s="1187">
        <v>5</v>
      </c>
      <c r="D58" s="268">
        <f>'Revised Band Returns'!F38</f>
        <v>7.0866141732283464E-2</v>
      </c>
      <c r="E58" s="268">
        <f>'Revised Band Returns'!H38</f>
        <v>0.16535433070866143</v>
      </c>
      <c r="F58" s="268">
        <f>'Revised Band Returns'!J38</f>
        <v>0.51968503937007871</v>
      </c>
      <c r="G58" s="268">
        <f>'Revised Band Returns'!L38</f>
        <v>3.937007874015748E-2</v>
      </c>
      <c r="H58" s="268">
        <f>'Revised Band Returns'!N38</f>
        <v>0.20472440944881889</v>
      </c>
      <c r="I58" s="269">
        <v>0</v>
      </c>
      <c r="J58" s="269">
        <v>96</v>
      </c>
      <c r="K58" s="269">
        <f t="shared" si="6"/>
        <v>96</v>
      </c>
      <c r="L58" s="235">
        <f t="shared" si="5"/>
        <v>486199.4378838329</v>
      </c>
      <c r="M58" s="235">
        <f t="shared" si="7"/>
        <v>560000</v>
      </c>
      <c r="N58" s="235">
        <f>(VLOOKUP(A58,'2014-15 Funding Detail'!$A$3:$Z$23,19,FALSE)*7/12)*K58</f>
        <v>185803.22869629227</v>
      </c>
    </row>
    <row r="59" spans="1:14" x14ac:dyDescent="0.25">
      <c r="A59" s="244">
        <v>9257002</v>
      </c>
      <c r="B59" s="237" t="s">
        <v>213</v>
      </c>
      <c r="C59" s="1186">
        <v>4</v>
      </c>
      <c r="D59" s="268">
        <f>'Revised Band Returns'!F39</f>
        <v>8.4033613445378148E-3</v>
      </c>
      <c r="E59" s="268">
        <f>'Revised Band Returns'!H39</f>
        <v>0.27731092436974791</v>
      </c>
      <c r="F59" s="268">
        <f>'Revised Band Returns'!J39</f>
        <v>0.59663865546218486</v>
      </c>
      <c r="G59" s="268">
        <f>'Revised Band Returns'!L39</f>
        <v>2.5210084033613446E-2</v>
      </c>
      <c r="H59" s="268">
        <f>'Revised Band Returns'!N39</f>
        <v>9.2436974789915971E-2</v>
      </c>
      <c r="I59" s="269">
        <v>0</v>
      </c>
      <c r="J59" s="269">
        <v>122</v>
      </c>
      <c r="K59" s="269">
        <f t="shared" si="6"/>
        <v>122</v>
      </c>
      <c r="L59" s="235">
        <f t="shared" si="5"/>
        <v>532389.43662076688</v>
      </c>
      <c r="M59" s="235">
        <f t="shared" si="7"/>
        <v>711666.66666666674</v>
      </c>
      <c r="N59" s="235">
        <f>(VLOOKUP(A59,'2014-15 Funding Detail'!$A$3:$Z$23,19,FALSE)*7/12)*K59</f>
        <v>111417.09677932116</v>
      </c>
    </row>
    <row r="60" spans="1:14" x14ac:dyDescent="0.25">
      <c r="A60" s="244">
        <v>9257009</v>
      </c>
      <c r="B60" s="237" t="s">
        <v>214</v>
      </c>
      <c r="C60" s="1187">
        <v>4</v>
      </c>
      <c r="D60" s="268">
        <f>'Revised Band Returns'!F40</f>
        <v>0</v>
      </c>
      <c r="E60" s="268">
        <f>'Revised Band Returns'!H40</f>
        <v>0.14615384615384616</v>
      </c>
      <c r="F60" s="268">
        <f>'Revised Band Returns'!J40</f>
        <v>0.7</v>
      </c>
      <c r="G60" s="268">
        <f>'Revised Band Returns'!L40</f>
        <v>1.5384615384615385E-2</v>
      </c>
      <c r="H60" s="268">
        <f>'Revised Band Returns'!N40</f>
        <v>0.13846153846153847</v>
      </c>
      <c r="I60" s="269">
        <v>0</v>
      </c>
      <c r="J60" s="269">
        <v>130</v>
      </c>
      <c r="K60" s="269">
        <f t="shared" si="6"/>
        <v>130</v>
      </c>
      <c r="L60" s="235">
        <f t="shared" si="5"/>
        <v>576976.69202316343</v>
      </c>
      <c r="M60" s="235">
        <f t="shared" si="7"/>
        <v>758333.33333333337</v>
      </c>
      <c r="N60" s="235">
        <f>(VLOOKUP(A60,'2014-15 Funding Detail'!$A$3:$Z$23,19,FALSE)*7/12)*K60</f>
        <v>127791.00872119475</v>
      </c>
    </row>
    <row r="61" spans="1:14" x14ac:dyDescent="0.25">
      <c r="A61" s="244">
        <v>9257029</v>
      </c>
      <c r="B61" s="237" t="s">
        <v>259</v>
      </c>
      <c r="C61" s="1212">
        <v>4</v>
      </c>
      <c r="D61" s="268">
        <f>'Revised Band Returns'!F41</f>
        <v>0</v>
      </c>
      <c r="E61" s="268">
        <f>'Revised Band Returns'!H41</f>
        <v>0</v>
      </c>
      <c r="F61" s="268">
        <f>'Revised Band Returns'!J41</f>
        <v>0</v>
      </c>
      <c r="G61" s="268">
        <f>'Revised Band Returns'!L41</f>
        <v>0</v>
      </c>
      <c r="H61" s="268">
        <f>'Revised Band Returns'!N41</f>
        <v>1</v>
      </c>
      <c r="I61" s="269">
        <v>0</v>
      </c>
      <c r="J61" s="269">
        <v>55</v>
      </c>
      <c r="K61" s="269">
        <f t="shared" si="6"/>
        <v>55</v>
      </c>
      <c r="L61" s="235">
        <f t="shared" si="5"/>
        <v>459660.11524971464</v>
      </c>
      <c r="M61" s="235">
        <f t="shared" si="7"/>
        <v>320833.33333333337</v>
      </c>
      <c r="N61" s="235">
        <f>(VLOOKUP(A61,'2014-15 Funding Detail'!$A$3:$Z$23,19,FALSE)*7/12)*K61</f>
        <v>391331.27193404397</v>
      </c>
    </row>
    <row r="62" spans="1:14" x14ac:dyDescent="0.25">
      <c r="A62" s="244">
        <v>9257032</v>
      </c>
      <c r="B62" s="237" t="s">
        <v>261</v>
      </c>
      <c r="C62" s="1186">
        <v>4</v>
      </c>
      <c r="D62" s="268">
        <f>'Revised Band Returns'!F42</f>
        <v>0</v>
      </c>
      <c r="E62" s="268">
        <f>'Revised Band Returns'!H42</f>
        <v>0</v>
      </c>
      <c r="F62" s="268">
        <f>'Revised Band Returns'!J42</f>
        <v>0</v>
      </c>
      <c r="G62" s="268">
        <f>'Revised Band Returns'!L42</f>
        <v>0</v>
      </c>
      <c r="H62" s="268">
        <f>'Revised Band Returns'!N42</f>
        <v>1</v>
      </c>
      <c r="I62" s="269">
        <v>0</v>
      </c>
      <c r="J62" s="269">
        <v>60</v>
      </c>
      <c r="K62" s="269">
        <f t="shared" si="6"/>
        <v>60</v>
      </c>
      <c r="L62" s="235">
        <f t="shared" si="5"/>
        <v>501447.39845423424</v>
      </c>
      <c r="M62" s="235">
        <f t="shared" si="7"/>
        <v>350000</v>
      </c>
      <c r="N62" s="235">
        <f>(VLOOKUP(A62,'2014-15 Funding Detail'!$A$3:$Z$23,19,FALSE)*7/12)*K62</f>
        <v>411735.86683012749</v>
      </c>
    </row>
    <row r="63" spans="1:14" x14ac:dyDescent="0.25">
      <c r="A63" s="244">
        <v>9257030</v>
      </c>
      <c r="B63" s="237" t="s">
        <v>262</v>
      </c>
      <c r="C63" s="1187">
        <v>3</v>
      </c>
      <c r="D63" s="268">
        <f>'Revised Band Returns'!F43</f>
        <v>0</v>
      </c>
      <c r="E63" s="268">
        <f>'Revised Band Returns'!H43</f>
        <v>0</v>
      </c>
      <c r="F63" s="268">
        <f>'Revised Band Returns'!J43</f>
        <v>0</v>
      </c>
      <c r="G63" s="268">
        <f>'Revised Band Returns'!L43</f>
        <v>0</v>
      </c>
      <c r="H63" s="268">
        <f>'Revised Band Returns'!N43</f>
        <v>1</v>
      </c>
      <c r="I63" s="269">
        <v>0</v>
      </c>
      <c r="J63" s="269">
        <v>55</v>
      </c>
      <c r="K63" s="269">
        <f t="shared" si="6"/>
        <v>55</v>
      </c>
      <c r="L63" s="235">
        <f t="shared" si="5"/>
        <v>459660.11524971464</v>
      </c>
      <c r="M63" s="235">
        <f t="shared" si="7"/>
        <v>320833.33333333337</v>
      </c>
      <c r="N63" s="235">
        <f>(VLOOKUP(A63,'2014-15 Funding Detail'!$A$3:$Z$23,19,FALSE)*7/12)*K63</f>
        <v>387533.5966167741</v>
      </c>
    </row>
    <row r="64" spans="1:14" x14ac:dyDescent="0.25">
      <c r="A64" s="244">
        <v>9257028</v>
      </c>
      <c r="B64" s="237" t="s">
        <v>215</v>
      </c>
      <c r="C64" s="1186">
        <v>5</v>
      </c>
      <c r="D64" s="268">
        <f>'Revised Band Returns'!F44</f>
        <v>0.23943661971830985</v>
      </c>
      <c r="E64" s="268">
        <f>'Revised Band Returns'!H44</f>
        <v>0.3380281690140845</v>
      </c>
      <c r="F64" s="268">
        <f>'Revised Band Returns'!J44</f>
        <v>0</v>
      </c>
      <c r="G64" s="268">
        <f>'Revised Band Returns'!L44</f>
        <v>0.18309859154929578</v>
      </c>
      <c r="H64" s="268">
        <f>'Revised Band Returns'!N44</f>
        <v>0.23943661971830985</v>
      </c>
      <c r="I64" s="269">
        <v>5</v>
      </c>
      <c r="J64" s="269">
        <v>50</v>
      </c>
      <c r="K64" s="269">
        <f t="shared" si="6"/>
        <v>55</v>
      </c>
      <c r="L64" s="235">
        <f t="shared" si="5"/>
        <v>348273.25524692074</v>
      </c>
      <c r="M64" s="235">
        <f t="shared" si="7"/>
        <v>320833.33333333337</v>
      </c>
      <c r="N64" s="235">
        <f>(VLOOKUP(A64,'2014-15 Funding Detail'!$A$3:$Z$23,19,FALSE)*7/12)*K64</f>
        <v>270313.31662831124</v>
      </c>
    </row>
    <row r="65" spans="1:14" x14ac:dyDescent="0.25">
      <c r="A65" s="244">
        <v>9257021</v>
      </c>
      <c r="B65" s="237" t="s">
        <v>216</v>
      </c>
      <c r="C65" s="1186">
        <v>5</v>
      </c>
      <c r="D65" s="268">
        <f>'Revised Band Returns'!F45</f>
        <v>0</v>
      </c>
      <c r="E65" s="268">
        <f>'Revised Band Returns'!H45</f>
        <v>9.8591549295774641E-2</v>
      </c>
      <c r="F65" s="268">
        <f>'Revised Band Returns'!J45</f>
        <v>0.71830985915492962</v>
      </c>
      <c r="G65" s="268">
        <f>'Revised Band Returns'!L45</f>
        <v>4.2253521126760563E-2</v>
      </c>
      <c r="H65" s="268">
        <f>'Revised Band Returns'!N45</f>
        <v>0.14084507042253522</v>
      </c>
      <c r="I65" s="269">
        <v>0</v>
      </c>
      <c r="J65" s="269">
        <v>141</v>
      </c>
      <c r="K65" s="269">
        <f t="shared" si="6"/>
        <v>141</v>
      </c>
      <c r="L65" s="235">
        <f t="shared" si="5"/>
        <v>635094.75350148929</v>
      </c>
      <c r="M65" s="235">
        <f t="shared" si="7"/>
        <v>822500</v>
      </c>
      <c r="N65" s="235">
        <f>(VLOOKUP(A65,'2014-15 Funding Detail'!$A$3:$Z$23,19,FALSE)*7/12)*K65</f>
        <v>140305.06655893862</v>
      </c>
    </row>
    <row r="66" spans="1:14" x14ac:dyDescent="0.25">
      <c r="A66" s="244">
        <v>9257015</v>
      </c>
      <c r="B66" s="237" t="s">
        <v>217</v>
      </c>
      <c r="C66" s="1187">
        <v>7</v>
      </c>
      <c r="D66" s="268">
        <f>'Revised Band Returns'!F46</f>
        <v>6.0483870967741937E-2</v>
      </c>
      <c r="E66" s="268">
        <f>'Revised Band Returns'!H46</f>
        <v>0.22177419354838709</v>
      </c>
      <c r="F66" s="268">
        <f>'Revised Band Returns'!J46</f>
        <v>0.65322580645161288</v>
      </c>
      <c r="G66" s="268">
        <f>'Revised Band Returns'!L46</f>
        <v>0</v>
      </c>
      <c r="H66" s="268">
        <f>'Revised Band Returns'!N46</f>
        <v>6.4516129032258063E-2</v>
      </c>
      <c r="I66" s="269">
        <v>10</v>
      </c>
      <c r="J66" s="269">
        <v>231</v>
      </c>
      <c r="K66" s="269">
        <f t="shared" si="6"/>
        <v>241</v>
      </c>
      <c r="L66" s="235">
        <f t="shared" si="5"/>
        <v>1031901.2695021809</v>
      </c>
      <c r="M66" s="235">
        <f t="shared" si="7"/>
        <v>1405833.3333333335</v>
      </c>
      <c r="N66" s="235">
        <f>(VLOOKUP(A66,'2014-15 Funding Detail'!$A$3:$Z$23,19,FALSE)*7/12)*K66</f>
        <v>57402.287170044809</v>
      </c>
    </row>
    <row r="67" spans="1:14" x14ac:dyDescent="0.25">
      <c r="A67" s="244">
        <v>9257016</v>
      </c>
      <c r="B67" s="237" t="s">
        <v>219</v>
      </c>
      <c r="C67" s="1186">
        <v>6</v>
      </c>
      <c r="D67" s="268">
        <f>'Revised Band Returns'!F47</f>
        <v>0.50370370370370365</v>
      </c>
      <c r="E67" s="268">
        <f>'Revised Band Returns'!H47</f>
        <v>0</v>
      </c>
      <c r="F67" s="268">
        <f>'Revised Band Returns'!J47</f>
        <v>0.28888888888888886</v>
      </c>
      <c r="G67" s="268">
        <f>'Revised Band Returns'!L47</f>
        <v>0.2074074074074074</v>
      </c>
      <c r="H67" s="268">
        <f>'Revised Band Returns'!N47</f>
        <v>0</v>
      </c>
      <c r="I67" s="269">
        <v>0</v>
      </c>
      <c r="J67" s="269">
        <v>79</v>
      </c>
      <c r="K67" s="269">
        <f t="shared" si="6"/>
        <v>79</v>
      </c>
      <c r="L67" s="235">
        <f t="shared" si="5"/>
        <v>466274.3196132321</v>
      </c>
      <c r="M67" s="235">
        <f t="shared" si="7"/>
        <v>460833.33333333337</v>
      </c>
      <c r="N67" s="235">
        <f>(VLOOKUP(A67,'2014-15 Funding Detail'!$A$3:$Z$23,19,FALSE)*7/12)*K67</f>
        <v>316082.7685062798</v>
      </c>
    </row>
    <row r="68" spans="1:14" x14ac:dyDescent="0.25">
      <c r="A68" s="36"/>
      <c r="B68" s="36"/>
      <c r="C68" s="36"/>
      <c r="D68" s="36"/>
      <c r="E68" s="36"/>
      <c r="F68" s="36"/>
      <c r="G68" s="36"/>
      <c r="H68" s="36"/>
      <c r="I68" s="234"/>
      <c r="J68" s="234"/>
      <c r="K68" s="36"/>
      <c r="L68" s="36"/>
      <c r="M68" s="36"/>
      <c r="N68" s="36"/>
    </row>
    <row r="69" spans="1:14" ht="13" x14ac:dyDescent="0.3">
      <c r="A69" s="93" t="s">
        <v>278</v>
      </c>
      <c r="B69" s="36"/>
      <c r="C69" s="36"/>
      <c r="D69" s="36"/>
      <c r="E69" s="36"/>
      <c r="F69" s="36"/>
      <c r="G69" s="36"/>
      <c r="H69" s="36"/>
      <c r="I69" s="234"/>
      <c r="J69" s="234"/>
      <c r="K69" s="36"/>
      <c r="L69" s="36"/>
      <c r="M69" s="36"/>
      <c r="N69" s="36"/>
    </row>
    <row r="70" spans="1:14" x14ac:dyDescent="0.25">
      <c r="A70" s="36"/>
      <c r="B70" s="36"/>
      <c r="C70" s="36"/>
      <c r="D70" s="36"/>
      <c r="E70" s="36"/>
      <c r="F70" s="36"/>
      <c r="G70" s="36"/>
      <c r="H70" s="36"/>
      <c r="I70" s="234"/>
      <c r="J70" s="234"/>
      <c r="K70" s="36"/>
      <c r="L70" s="36"/>
      <c r="M70" s="36"/>
      <c r="N70" s="36"/>
    </row>
    <row r="71" spans="1:14" ht="37.5" x14ac:dyDescent="0.25">
      <c r="A71" s="265" t="s">
        <v>182</v>
      </c>
      <c r="B71" s="237" t="s">
        <v>183</v>
      </c>
      <c r="C71" s="238" t="s">
        <v>184</v>
      </c>
      <c r="D71" s="36" t="s">
        <v>240</v>
      </c>
      <c r="E71" s="36" t="s">
        <v>241</v>
      </c>
      <c r="F71" s="36" t="s">
        <v>242</v>
      </c>
      <c r="G71" s="36" t="s">
        <v>243</v>
      </c>
      <c r="H71" s="36" t="s">
        <v>244</v>
      </c>
      <c r="I71" s="243" t="s">
        <v>264</v>
      </c>
      <c r="J71" s="243" t="s">
        <v>279</v>
      </c>
      <c r="K71" s="243" t="s">
        <v>267</v>
      </c>
      <c r="L71" s="243" t="s">
        <v>281</v>
      </c>
      <c r="M71" s="243"/>
      <c r="N71" s="243"/>
    </row>
    <row r="72" spans="1:14" x14ac:dyDescent="0.25">
      <c r="A72" s="244">
        <v>9257010</v>
      </c>
      <c r="B72" s="237" t="s">
        <v>205</v>
      </c>
      <c r="C72" s="1186">
        <v>3</v>
      </c>
      <c r="D72" s="268">
        <f>'Revised Band Returns'!F30</f>
        <v>0.40476190476190477</v>
      </c>
      <c r="E72" s="268">
        <f>'Revised Band Returns'!H30</f>
        <v>0.2857142857142857</v>
      </c>
      <c r="F72" s="268">
        <f>'Revised Band Returns'!J30</f>
        <v>0.11904761904761904</v>
      </c>
      <c r="G72" s="268">
        <f>'Revised Band Returns'!L30</f>
        <v>0.11904761904761904</v>
      </c>
      <c r="H72" s="268">
        <f>'Revised Band Returns'!N30</f>
        <v>7.1428571428571425E-2</v>
      </c>
      <c r="I72" s="269">
        <v>10</v>
      </c>
      <c r="J72" s="235">
        <f>((((I72*D72)*$G$92)+((I72*E72)*$G$94)+((I72*F72)*$G$96)+((I72*G72)*$G$98)+((I72*H72)*$G$100)+((I72*H72)*$G$102)))*(8/12)</f>
        <v>66607.299277341037</v>
      </c>
      <c r="K72" s="235">
        <f>(I72*(8/12))*10000</f>
        <v>66666.666666666657</v>
      </c>
      <c r="L72" s="235">
        <f>(VLOOKUP(A72,'2014-15 Funding Detail'!$A$3:$Z$23,19,FALSE)*8/12)*I72</f>
        <v>59144.210006073146</v>
      </c>
      <c r="M72" s="269"/>
      <c r="N72" s="269"/>
    </row>
    <row r="73" spans="1:14" x14ac:dyDescent="0.25">
      <c r="A73" s="244">
        <v>9257005</v>
      </c>
      <c r="B73" s="237" t="s">
        <v>208</v>
      </c>
      <c r="C73" s="1187">
        <v>4</v>
      </c>
      <c r="D73" s="268">
        <f>'Revised Band Returns'!F31</f>
        <v>0.13157894736842105</v>
      </c>
      <c r="E73" s="268">
        <f>'Revised Band Returns'!H31</f>
        <v>0.35526315789473684</v>
      </c>
      <c r="F73" s="268">
        <f>'Revised Band Returns'!J31</f>
        <v>0.17105263157894737</v>
      </c>
      <c r="G73" s="268">
        <f>'Revised Band Returns'!L31</f>
        <v>0.14473684210526316</v>
      </c>
      <c r="H73" s="268">
        <f>'Revised Band Returns'!N31</f>
        <v>0.19736842105263158</v>
      </c>
      <c r="I73" s="269">
        <v>29</v>
      </c>
      <c r="J73" s="235">
        <f t="shared" ref="J73:J89" si="8">((((I73*D73)*$G$92)+((I73*E73)*$G$94)+((I73*F73)*$G$96)+((I73*G73)*$G$98)+((I73*H73)*$G$100)+((I73*H73)*$G$102)))*(8/12)</f>
        <v>188261.05838778956</v>
      </c>
      <c r="K73" s="235">
        <f t="shared" ref="K73:K89" si="9">(I73*(8/12))*10000</f>
        <v>193333.33333333331</v>
      </c>
      <c r="L73" s="235">
        <f>(VLOOKUP(A73,'2014-15 Funding Detail'!$A$3:$Z$23,19,FALSE)*8/12)*I73</f>
        <v>131854.5719772196</v>
      </c>
      <c r="M73" s="269"/>
      <c r="N73" s="269"/>
    </row>
    <row r="74" spans="1:14" x14ac:dyDescent="0.25">
      <c r="A74" s="244">
        <v>9257025</v>
      </c>
      <c r="B74" s="237" t="s">
        <v>209</v>
      </c>
      <c r="C74" s="1187">
        <v>4</v>
      </c>
      <c r="D74" s="268">
        <f>'Revised Band Returns'!F32</f>
        <v>0.26415094339622641</v>
      </c>
      <c r="E74" s="268">
        <f>'Revised Band Returns'!H32</f>
        <v>0.41509433962264153</v>
      </c>
      <c r="F74" s="268">
        <f>'Revised Band Returns'!J32</f>
        <v>5.6603773584905662E-2</v>
      </c>
      <c r="G74" s="268">
        <f>'Revised Band Returns'!L32</f>
        <v>5.6603773584905662E-2</v>
      </c>
      <c r="H74" s="268">
        <f>'Revised Band Returns'!N32</f>
        <v>0.20754716981132076</v>
      </c>
      <c r="I74" s="269">
        <v>13</v>
      </c>
      <c r="J74" s="235">
        <f t="shared" si="8"/>
        <v>87778.027829636485</v>
      </c>
      <c r="K74" s="235">
        <f t="shared" si="9"/>
        <v>86666.666666666657</v>
      </c>
      <c r="L74" s="235">
        <f>(VLOOKUP(A74,'2014-15 Funding Detail'!$A$3:$Z$23,19,FALSE)*8/12)*I74</f>
        <v>77806.384860568331</v>
      </c>
      <c r="M74" s="269"/>
      <c r="N74" s="269"/>
    </row>
    <row r="75" spans="1:14" x14ac:dyDescent="0.25">
      <c r="A75" s="244">
        <v>9257011</v>
      </c>
      <c r="B75" s="237" t="s">
        <v>210</v>
      </c>
      <c r="C75" s="1186">
        <v>3</v>
      </c>
      <c r="D75" s="268">
        <f>'Revised Band Returns'!F33</f>
        <v>0.4</v>
      </c>
      <c r="E75" s="268">
        <f>'Revised Band Returns'!H33</f>
        <v>0.42222222222222222</v>
      </c>
      <c r="F75" s="268">
        <f>'Revised Band Returns'!J33</f>
        <v>0</v>
      </c>
      <c r="G75" s="268">
        <f>'Revised Band Returns'!L33</f>
        <v>2.2222222222222223E-2</v>
      </c>
      <c r="H75" s="268">
        <f>'Revised Band Returns'!N33</f>
        <v>0.15555555555555556</v>
      </c>
      <c r="I75" s="269">
        <v>3</v>
      </c>
      <c r="J75" s="235">
        <f t="shared" si="8"/>
        <v>20537.358613596036</v>
      </c>
      <c r="K75" s="235">
        <f t="shared" si="9"/>
        <v>20000</v>
      </c>
      <c r="L75" s="235">
        <f>(VLOOKUP(A75,'2014-15 Funding Detail'!$A$3:$Z$23,19,FALSE)*8/12)*I75</f>
        <v>19436.077643456272</v>
      </c>
      <c r="M75" s="269"/>
      <c r="N75" s="269"/>
    </row>
    <row r="76" spans="1:14" x14ac:dyDescent="0.25">
      <c r="A76" s="244">
        <v>9257024</v>
      </c>
      <c r="B76" s="237" t="s">
        <v>211</v>
      </c>
      <c r="C76" s="1212">
        <v>3</v>
      </c>
      <c r="D76" s="268">
        <f>'Revised Band Returns'!F34</f>
        <v>0.2</v>
      </c>
      <c r="E76" s="268">
        <f>'Revised Band Returns'!H34</f>
        <v>0.5636363636363636</v>
      </c>
      <c r="F76" s="268">
        <f>'Revised Band Returns'!J34</f>
        <v>1.8181818181818181E-2</v>
      </c>
      <c r="G76" s="268">
        <f>'Revised Band Returns'!L34</f>
        <v>0.16363636363636364</v>
      </c>
      <c r="H76" s="268">
        <f>'Revised Band Returns'!N34</f>
        <v>5.4545454545454543E-2</v>
      </c>
      <c r="I76" s="269">
        <v>13</v>
      </c>
      <c r="J76" s="235">
        <f t="shared" si="8"/>
        <v>80508.565593689375</v>
      </c>
      <c r="K76" s="235">
        <f t="shared" si="9"/>
        <v>86666.666666666657</v>
      </c>
      <c r="L76" s="235">
        <f>(VLOOKUP(A76,'2014-15 Funding Detail'!$A$3:$Z$23,19,FALSE)*8/12)*I76</f>
        <v>59830.309581754052</v>
      </c>
      <c r="M76" s="269"/>
      <c r="N76" s="269"/>
    </row>
    <row r="77" spans="1:14" x14ac:dyDescent="0.25">
      <c r="A77" s="244">
        <v>9257031</v>
      </c>
      <c r="B77" s="237" t="s">
        <v>257</v>
      </c>
      <c r="C77" s="1186">
        <v>3</v>
      </c>
      <c r="D77" s="268">
        <f>'Revised Band Returns'!F35</f>
        <v>0</v>
      </c>
      <c r="E77" s="268">
        <f>'Revised Band Returns'!H35</f>
        <v>0</v>
      </c>
      <c r="F77" s="268">
        <f>'Revised Band Returns'!J35</f>
        <v>0</v>
      </c>
      <c r="G77" s="268">
        <f>'Revised Band Returns'!L35</f>
        <v>0</v>
      </c>
      <c r="H77" s="268">
        <f>'Revised Band Returns'!N35</f>
        <v>1</v>
      </c>
      <c r="I77" s="269">
        <v>0</v>
      </c>
      <c r="J77" s="235">
        <f t="shared" si="8"/>
        <v>0</v>
      </c>
      <c r="K77" s="235">
        <f t="shared" si="9"/>
        <v>0</v>
      </c>
      <c r="L77" s="235">
        <f>(VLOOKUP(A77,'2014-15 Funding Detail'!$A$3:$Z$23,19,FALSE)*8/12)*I77</f>
        <v>0</v>
      </c>
      <c r="M77" s="269"/>
      <c r="N77" s="269"/>
    </row>
    <row r="78" spans="1:14" x14ac:dyDescent="0.25">
      <c r="A78" s="244">
        <v>9257033</v>
      </c>
      <c r="B78" s="237" t="s">
        <v>220</v>
      </c>
      <c r="C78" s="1186">
        <v>3</v>
      </c>
      <c r="D78" s="268">
        <f>'Revised Band Returns'!F36</f>
        <v>3.6363636363636362E-2</v>
      </c>
      <c r="E78" s="268">
        <f>'Revised Band Returns'!H36</f>
        <v>0.29090909090909089</v>
      </c>
      <c r="F78" s="268">
        <f>'Revised Band Returns'!J36</f>
        <v>0.27272727272727271</v>
      </c>
      <c r="G78" s="268">
        <f>'Revised Band Returns'!L36</f>
        <v>5.4545454545454543E-2</v>
      </c>
      <c r="H78" s="268">
        <f>'Revised Band Returns'!N36</f>
        <v>0.34545454545454546</v>
      </c>
      <c r="I78" s="269">
        <v>0</v>
      </c>
      <c r="J78" s="235">
        <f t="shared" si="8"/>
        <v>0</v>
      </c>
      <c r="K78" s="235">
        <f t="shared" si="9"/>
        <v>0</v>
      </c>
      <c r="L78" s="235">
        <f>(VLOOKUP(A78,'2014-15 Funding Detail'!$A$3:$Z$23,19,FALSE)*8/12)*I78</f>
        <v>0</v>
      </c>
      <c r="M78" s="269"/>
      <c r="N78" s="269"/>
    </row>
    <row r="79" spans="1:14" x14ac:dyDescent="0.25">
      <c r="A79" s="244">
        <v>9257008</v>
      </c>
      <c r="B79" s="237" t="s">
        <v>212</v>
      </c>
      <c r="C79" s="1186">
        <v>3</v>
      </c>
      <c r="D79" s="268">
        <f>'Revised Band Returns'!F37</f>
        <v>0</v>
      </c>
      <c r="E79" s="268">
        <f>'Revised Band Returns'!H37</f>
        <v>8.2352941176470587E-2</v>
      </c>
      <c r="F79" s="268">
        <f>'Revised Band Returns'!J37</f>
        <v>0.61176470588235299</v>
      </c>
      <c r="G79" s="268">
        <f>'Revised Band Returns'!L37</f>
        <v>2.3529411764705882E-2</v>
      </c>
      <c r="H79" s="268">
        <f>'Revised Band Returns'!N37</f>
        <v>0.28235294117647058</v>
      </c>
      <c r="I79" s="269">
        <v>0</v>
      </c>
      <c r="J79" s="235">
        <f t="shared" si="8"/>
        <v>0</v>
      </c>
      <c r="K79" s="235">
        <f t="shared" si="9"/>
        <v>0</v>
      </c>
      <c r="L79" s="235">
        <f>(VLOOKUP(A79,'2014-15 Funding Detail'!$A$3:$Z$23,19,FALSE)*8/12)*I79</f>
        <v>0</v>
      </c>
      <c r="M79" s="269"/>
      <c r="N79" s="269"/>
    </row>
    <row r="80" spans="1:14" x14ac:dyDescent="0.25">
      <c r="A80" s="244">
        <v>9257034</v>
      </c>
      <c r="B80" s="237" t="s">
        <v>221</v>
      </c>
      <c r="C80" s="1187">
        <v>5</v>
      </c>
      <c r="D80" s="268">
        <f>'Revised Band Returns'!F38</f>
        <v>7.0866141732283464E-2</v>
      </c>
      <c r="E80" s="268">
        <f>'Revised Band Returns'!H38</f>
        <v>0.16535433070866143</v>
      </c>
      <c r="F80" s="268">
        <f>'Revised Band Returns'!J38</f>
        <v>0.51968503937007871</v>
      </c>
      <c r="G80" s="268">
        <f>'Revised Band Returns'!L38</f>
        <v>3.937007874015748E-2</v>
      </c>
      <c r="H80" s="268">
        <f>'Revised Band Returns'!N38</f>
        <v>0.20472440944881889</v>
      </c>
      <c r="I80" s="269">
        <v>31</v>
      </c>
      <c r="J80" s="235">
        <f t="shared" si="8"/>
        <v>179430.74493331928</v>
      </c>
      <c r="K80" s="235">
        <f t="shared" si="9"/>
        <v>206666.66666666666</v>
      </c>
      <c r="L80" s="235">
        <f>(VLOOKUP(A80,'2014-15 Funding Detail'!$A$3:$Z$23,19,FALSE)*8/12)*I80</f>
        <v>68570.239161726917</v>
      </c>
      <c r="M80" s="269"/>
      <c r="N80" s="269"/>
    </row>
    <row r="81" spans="1:14" x14ac:dyDescent="0.25">
      <c r="A81" s="244">
        <v>9257002</v>
      </c>
      <c r="B81" s="237" t="s">
        <v>213</v>
      </c>
      <c r="C81" s="1186">
        <v>4</v>
      </c>
      <c r="D81" s="268">
        <f>'Revised Band Returns'!F39</f>
        <v>8.4033613445378148E-3</v>
      </c>
      <c r="E81" s="268">
        <f>'Revised Band Returns'!H39</f>
        <v>0.27731092436974791</v>
      </c>
      <c r="F81" s="268">
        <f>'Revised Band Returns'!J39</f>
        <v>0.59663865546218486</v>
      </c>
      <c r="G81" s="268">
        <f>'Revised Band Returns'!L39</f>
        <v>2.5210084033613446E-2</v>
      </c>
      <c r="H81" s="268">
        <f>'Revised Band Returns'!N39</f>
        <v>9.2436974789915971E-2</v>
      </c>
      <c r="I81" s="269">
        <v>0</v>
      </c>
      <c r="J81" s="235">
        <f t="shared" si="8"/>
        <v>0</v>
      </c>
      <c r="K81" s="235">
        <f t="shared" si="9"/>
        <v>0</v>
      </c>
      <c r="L81" s="235">
        <f>(VLOOKUP(A81,'2014-15 Funding Detail'!$A$3:$Z$23,19,FALSE)*8/12)*I81</f>
        <v>0</v>
      </c>
      <c r="M81" s="269"/>
      <c r="N81" s="269"/>
    </row>
    <row r="82" spans="1:14" x14ac:dyDescent="0.25">
      <c r="A82" s="244">
        <v>9257009</v>
      </c>
      <c r="B82" s="237" t="s">
        <v>214</v>
      </c>
      <c r="C82" s="1187">
        <v>4</v>
      </c>
      <c r="D82" s="268">
        <f>'Revised Band Returns'!F40</f>
        <v>0</v>
      </c>
      <c r="E82" s="268">
        <f>'Revised Band Returns'!H40</f>
        <v>0.14615384615384616</v>
      </c>
      <c r="F82" s="268">
        <f>'Revised Band Returns'!J40</f>
        <v>0.7</v>
      </c>
      <c r="G82" s="268">
        <f>'Revised Band Returns'!L40</f>
        <v>1.5384615384615385E-2</v>
      </c>
      <c r="H82" s="268">
        <f>'Revised Band Returns'!N40</f>
        <v>0.13846153846153847</v>
      </c>
      <c r="I82" s="269">
        <v>0</v>
      </c>
      <c r="J82" s="235">
        <f t="shared" si="8"/>
        <v>0</v>
      </c>
      <c r="K82" s="235">
        <f t="shared" si="9"/>
        <v>0</v>
      </c>
      <c r="L82" s="235">
        <f>(VLOOKUP(A82,'2014-15 Funding Detail'!$A$3:$Z$23,19,FALSE)*8/12)*I82</f>
        <v>0</v>
      </c>
      <c r="M82" s="269"/>
      <c r="N82" s="269"/>
    </row>
    <row r="83" spans="1:14" x14ac:dyDescent="0.25">
      <c r="A83" s="244">
        <v>9257029</v>
      </c>
      <c r="B83" s="237" t="s">
        <v>259</v>
      </c>
      <c r="C83" s="1212">
        <v>4</v>
      </c>
      <c r="D83" s="268">
        <f>'Revised Band Returns'!F41</f>
        <v>0</v>
      </c>
      <c r="E83" s="268">
        <f>'Revised Band Returns'!H41</f>
        <v>0</v>
      </c>
      <c r="F83" s="268">
        <f>'Revised Band Returns'!J41</f>
        <v>0</v>
      </c>
      <c r="G83" s="268">
        <f>'Revised Band Returns'!L41</f>
        <v>0</v>
      </c>
      <c r="H83" s="268">
        <f>'Revised Band Returns'!N41</f>
        <v>1</v>
      </c>
      <c r="I83" s="269">
        <v>0</v>
      </c>
      <c r="J83" s="235">
        <f t="shared" si="8"/>
        <v>0</v>
      </c>
      <c r="K83" s="235">
        <f t="shared" si="9"/>
        <v>0</v>
      </c>
      <c r="L83" s="235">
        <f>(VLOOKUP(A83,'2014-15 Funding Detail'!$A$3:$Z$23,19,FALSE)*8/12)*I83</f>
        <v>0</v>
      </c>
      <c r="M83" s="269"/>
      <c r="N83" s="269"/>
    </row>
    <row r="84" spans="1:14" x14ac:dyDescent="0.25">
      <c r="A84" s="244">
        <v>9257032</v>
      </c>
      <c r="B84" s="237" t="s">
        <v>261</v>
      </c>
      <c r="C84" s="1186">
        <v>4</v>
      </c>
      <c r="D84" s="268">
        <f>'Revised Band Returns'!F42</f>
        <v>0</v>
      </c>
      <c r="E84" s="268">
        <f>'Revised Band Returns'!H42</f>
        <v>0</v>
      </c>
      <c r="F84" s="268">
        <f>'Revised Band Returns'!J42</f>
        <v>0</v>
      </c>
      <c r="G84" s="268">
        <f>'Revised Band Returns'!L42</f>
        <v>0</v>
      </c>
      <c r="H84" s="268">
        <f>'Revised Band Returns'!N42</f>
        <v>1</v>
      </c>
      <c r="I84" s="269">
        <v>0</v>
      </c>
      <c r="J84" s="235">
        <f t="shared" si="8"/>
        <v>0</v>
      </c>
      <c r="K84" s="235">
        <f t="shared" si="9"/>
        <v>0</v>
      </c>
      <c r="L84" s="235">
        <f>(VLOOKUP(A84,'2014-15 Funding Detail'!$A$3:$Z$23,19,FALSE)*8/12)*I84</f>
        <v>0</v>
      </c>
      <c r="M84" s="269"/>
      <c r="N84" s="269"/>
    </row>
    <row r="85" spans="1:14" x14ac:dyDescent="0.25">
      <c r="A85" s="244">
        <v>9257030</v>
      </c>
      <c r="B85" s="237" t="s">
        <v>262</v>
      </c>
      <c r="C85" s="1187">
        <v>3</v>
      </c>
      <c r="D85" s="268">
        <f>'Revised Band Returns'!F43</f>
        <v>0</v>
      </c>
      <c r="E85" s="268">
        <f>'Revised Band Returns'!H43</f>
        <v>0</v>
      </c>
      <c r="F85" s="268">
        <f>'Revised Band Returns'!J43</f>
        <v>0</v>
      </c>
      <c r="G85" s="268">
        <f>'Revised Band Returns'!L43</f>
        <v>0</v>
      </c>
      <c r="H85" s="268">
        <f>'Revised Band Returns'!N43</f>
        <v>1</v>
      </c>
      <c r="I85" s="269">
        <v>0</v>
      </c>
      <c r="J85" s="235">
        <f t="shared" si="8"/>
        <v>0</v>
      </c>
      <c r="K85" s="235">
        <f t="shared" si="9"/>
        <v>0</v>
      </c>
      <c r="L85" s="235">
        <f>(VLOOKUP(A85,'2014-15 Funding Detail'!$A$3:$Z$23,19,FALSE)*8/12)*I85</f>
        <v>0</v>
      </c>
      <c r="M85" s="269"/>
      <c r="N85" s="269"/>
    </row>
    <row r="86" spans="1:14" x14ac:dyDescent="0.25">
      <c r="A86" s="244">
        <v>9257028</v>
      </c>
      <c r="B86" s="237" t="s">
        <v>215</v>
      </c>
      <c r="C86" s="1186">
        <v>5</v>
      </c>
      <c r="D86" s="268">
        <f>'Revised Band Returns'!F44</f>
        <v>0.23943661971830985</v>
      </c>
      <c r="E86" s="268">
        <f>'Revised Band Returns'!H44</f>
        <v>0.3380281690140845</v>
      </c>
      <c r="F86" s="268">
        <f>'Revised Band Returns'!J44</f>
        <v>0</v>
      </c>
      <c r="G86" s="268">
        <f>'Revised Band Returns'!L44</f>
        <v>0.18309859154929578</v>
      </c>
      <c r="H86" s="268">
        <f>'Revised Band Returns'!N44</f>
        <v>0.23943661971830985</v>
      </c>
      <c r="I86" s="269">
        <v>16</v>
      </c>
      <c r="J86" s="235">
        <f t="shared" si="8"/>
        <v>115789.54979637884</v>
      </c>
      <c r="K86" s="235">
        <f t="shared" si="9"/>
        <v>106666.66666666666</v>
      </c>
      <c r="L86" s="235">
        <f>(VLOOKUP(A86,'2014-15 Funding Detail'!$A$3:$Z$23,19,FALSE)*8/12)*I86</f>
        <v>89870.40137252945</v>
      </c>
      <c r="M86" s="269"/>
      <c r="N86" s="269"/>
    </row>
    <row r="87" spans="1:14" x14ac:dyDescent="0.25">
      <c r="A87" s="244">
        <v>9257021</v>
      </c>
      <c r="B87" s="237" t="s">
        <v>216</v>
      </c>
      <c r="C87" s="1186">
        <v>5</v>
      </c>
      <c r="D87" s="268">
        <f>'Revised Band Returns'!F45</f>
        <v>0</v>
      </c>
      <c r="E87" s="268">
        <f>'Revised Band Returns'!H45</f>
        <v>9.8591549295774641E-2</v>
      </c>
      <c r="F87" s="268">
        <f>'Revised Band Returns'!J45</f>
        <v>0.71830985915492962</v>
      </c>
      <c r="G87" s="268">
        <f>'Revised Band Returns'!L45</f>
        <v>4.2253521126760563E-2</v>
      </c>
      <c r="H87" s="268">
        <f>'Revised Band Returns'!N45</f>
        <v>0.14084507042253522</v>
      </c>
      <c r="I87" s="269">
        <v>0</v>
      </c>
      <c r="J87" s="235">
        <f t="shared" si="8"/>
        <v>0</v>
      </c>
      <c r="K87" s="235">
        <f t="shared" si="9"/>
        <v>0</v>
      </c>
      <c r="L87" s="235">
        <f>(VLOOKUP(A87,'2014-15 Funding Detail'!$A$3:$Z$23,19,FALSE)*8/12)*I87</f>
        <v>0</v>
      </c>
      <c r="M87" s="269"/>
      <c r="N87" s="269"/>
    </row>
    <row r="88" spans="1:14" x14ac:dyDescent="0.25">
      <c r="A88" s="244">
        <v>9257015</v>
      </c>
      <c r="B88" s="237" t="s">
        <v>217</v>
      </c>
      <c r="C88" s="1187">
        <v>7</v>
      </c>
      <c r="D88" s="268">
        <f>'Revised Band Returns'!F46</f>
        <v>6.0483870967741937E-2</v>
      </c>
      <c r="E88" s="268">
        <f>'Revised Band Returns'!H46</f>
        <v>0.22177419354838709</v>
      </c>
      <c r="F88" s="268">
        <f>'Revised Band Returns'!J46</f>
        <v>0.65322580645161288</v>
      </c>
      <c r="G88" s="268">
        <f>'Revised Band Returns'!L46</f>
        <v>0</v>
      </c>
      <c r="H88" s="268">
        <f>'Revised Band Returns'!N46</f>
        <v>6.4516129032258063E-2</v>
      </c>
      <c r="I88" s="269">
        <v>19</v>
      </c>
      <c r="J88" s="235">
        <f t="shared" si="8"/>
        <v>92975.099563919066</v>
      </c>
      <c r="K88" s="235">
        <f t="shared" si="9"/>
        <v>126666.66666666666</v>
      </c>
      <c r="L88" s="235">
        <f>(VLOOKUP(A88,'2014-15 Funding Detail'!$A$3:$Z$23,19,FALSE)*8/12)*I88</f>
        <v>5171.9903081486727</v>
      </c>
      <c r="M88" s="269"/>
      <c r="N88" s="269"/>
    </row>
    <row r="89" spans="1:14" x14ac:dyDescent="0.25">
      <c r="A89" s="244">
        <v>9257016</v>
      </c>
      <c r="B89" s="237" t="s">
        <v>219</v>
      </c>
      <c r="C89" s="1186">
        <v>6</v>
      </c>
      <c r="D89" s="268">
        <f>'Revised Band Returns'!F47</f>
        <v>0.50370370370370365</v>
      </c>
      <c r="E89" s="268">
        <f>'Revised Band Returns'!H47</f>
        <v>0</v>
      </c>
      <c r="F89" s="268">
        <f>'Revised Band Returns'!J47</f>
        <v>0.28888888888888886</v>
      </c>
      <c r="G89" s="268">
        <f>'Revised Band Returns'!L47</f>
        <v>0.2074074074074074</v>
      </c>
      <c r="H89" s="268">
        <f>'Revised Band Returns'!N47</f>
        <v>0</v>
      </c>
      <c r="I89" s="269">
        <v>54</v>
      </c>
      <c r="J89" s="235">
        <f t="shared" si="8"/>
        <v>364250.46306133131</v>
      </c>
      <c r="K89" s="235">
        <f t="shared" si="9"/>
        <v>360000</v>
      </c>
      <c r="L89" s="235">
        <f>(VLOOKUP(A89,'2014-15 Funding Detail'!$A$3:$Z$23,19,FALSE)*8/12)*I89</f>
        <v>246921.80107543018</v>
      </c>
      <c r="M89" s="269"/>
      <c r="N89" s="269"/>
    </row>
    <row r="90" spans="1:14" x14ac:dyDescent="0.25">
      <c r="A90" s="36"/>
      <c r="B90" s="36"/>
      <c r="C90" s="36"/>
      <c r="D90" s="36"/>
      <c r="E90" s="36"/>
      <c r="F90" s="36"/>
      <c r="G90" s="36"/>
      <c r="H90" s="36"/>
      <c r="I90" s="234"/>
      <c r="J90" s="234"/>
      <c r="K90" s="36"/>
      <c r="L90" s="36"/>
      <c r="M90" s="36"/>
      <c r="N90" s="36"/>
    </row>
    <row r="92" spans="1:14" x14ac:dyDescent="0.25">
      <c r="A92" s="36"/>
      <c r="B92" s="36"/>
      <c r="C92" s="35"/>
      <c r="D92" s="36"/>
      <c r="E92" s="36" t="s">
        <v>39</v>
      </c>
      <c r="F92" s="36"/>
      <c r="G92" s="235">
        <f>'Funding Model'!D7</f>
        <v>11692.020638096787</v>
      </c>
      <c r="H92" s="281"/>
      <c r="I92" s="281"/>
      <c r="J92" s="281"/>
      <c r="K92" s="281"/>
      <c r="L92" s="281"/>
      <c r="M92" s="281"/>
      <c r="N92" s="281"/>
    </row>
    <row r="93" spans="1:14" x14ac:dyDescent="0.25">
      <c r="A93" s="36"/>
      <c r="B93" s="36"/>
      <c r="C93" s="36"/>
      <c r="D93" s="36"/>
      <c r="E93" s="36"/>
      <c r="F93" s="36"/>
      <c r="G93" s="235"/>
      <c r="H93" s="281"/>
      <c r="I93" s="281"/>
      <c r="J93" s="281"/>
      <c r="K93" s="281"/>
      <c r="L93" s="281"/>
      <c r="M93" s="281"/>
      <c r="N93" s="281"/>
    </row>
    <row r="94" spans="1:14" x14ac:dyDescent="0.25">
      <c r="A94" s="36"/>
      <c r="B94" s="36"/>
      <c r="C94" s="35"/>
      <c r="D94" s="36"/>
      <c r="E94" s="36" t="s">
        <v>42</v>
      </c>
      <c r="F94" s="36"/>
      <c r="G94" s="235">
        <f>'Funding Model'!D9</f>
        <v>7350.1419469065795</v>
      </c>
      <c r="H94" s="281"/>
      <c r="I94" s="281"/>
      <c r="J94" s="281"/>
      <c r="K94" s="281"/>
      <c r="L94" s="281"/>
      <c r="M94" s="281"/>
      <c r="N94" s="281"/>
    </row>
    <row r="95" spans="1:14" x14ac:dyDescent="0.25">
      <c r="A95" s="36"/>
      <c r="B95" s="36"/>
      <c r="C95" s="36"/>
      <c r="D95" s="36"/>
      <c r="E95" s="36"/>
      <c r="F95" s="36"/>
      <c r="G95" s="235"/>
      <c r="H95" s="281"/>
      <c r="I95" s="281"/>
      <c r="J95" s="281"/>
      <c r="K95" s="281"/>
      <c r="L95" s="281"/>
      <c r="M95" s="281"/>
      <c r="N95" s="281"/>
    </row>
    <row r="96" spans="1:14" x14ac:dyDescent="0.25">
      <c r="A96" s="36"/>
      <c r="B96" s="36"/>
      <c r="C96" s="35"/>
      <c r="D96" s="36"/>
      <c r="E96" s="36" t="s">
        <v>45</v>
      </c>
      <c r="F96" s="36"/>
      <c r="G96" s="235">
        <f>'Funding Model'!D11</f>
        <v>6243.7244928897762</v>
      </c>
      <c r="H96" s="281"/>
      <c r="I96" s="281"/>
      <c r="J96" s="281"/>
      <c r="K96" s="281"/>
      <c r="L96" s="281"/>
      <c r="M96" s="281"/>
      <c r="N96" s="281"/>
    </row>
    <row r="97" spans="1:23" x14ac:dyDescent="0.25">
      <c r="A97" s="36"/>
      <c r="B97" s="36"/>
      <c r="C97" s="36"/>
      <c r="D97" s="36"/>
      <c r="E97" s="36"/>
      <c r="F97" s="36"/>
      <c r="G97" s="235"/>
      <c r="H97" s="281"/>
      <c r="I97" s="281"/>
      <c r="J97" s="281"/>
      <c r="K97" s="281"/>
      <c r="L97" s="281"/>
      <c r="M97" s="281"/>
      <c r="N97" s="281"/>
      <c r="O97" s="36"/>
      <c r="P97" s="36"/>
      <c r="Q97" s="36"/>
      <c r="R97" s="36"/>
      <c r="S97" s="36"/>
      <c r="T97" s="36"/>
      <c r="U97" s="36"/>
      <c r="V97" s="36"/>
      <c r="W97" s="36"/>
    </row>
    <row r="98" spans="1:23" x14ac:dyDescent="0.25">
      <c r="A98" s="36"/>
      <c r="B98" s="36"/>
      <c r="C98" s="35"/>
      <c r="D98" s="36"/>
      <c r="E98" s="36" t="s">
        <v>48</v>
      </c>
      <c r="F98" s="36"/>
      <c r="G98" s="235">
        <f>'Funding Model'!D13</f>
        <v>11692.020638096787</v>
      </c>
      <c r="H98" s="281"/>
      <c r="I98" s="281"/>
      <c r="J98" s="281"/>
      <c r="K98" s="281"/>
      <c r="L98" s="281"/>
      <c r="M98" s="281"/>
      <c r="N98" s="281"/>
      <c r="O98" s="36"/>
      <c r="P98" s="36"/>
      <c r="Q98" s="36"/>
      <c r="R98" s="36"/>
      <c r="S98" s="36"/>
      <c r="T98" s="36"/>
      <c r="U98" s="36"/>
      <c r="V98" s="36"/>
      <c r="W98" s="36"/>
    </row>
    <row r="99" spans="1:23" x14ac:dyDescent="0.25">
      <c r="A99" s="36"/>
      <c r="B99" s="36"/>
      <c r="C99" s="36"/>
      <c r="D99" s="36"/>
      <c r="E99" s="36"/>
      <c r="F99" s="36"/>
      <c r="G99" s="235"/>
      <c r="H99" s="281"/>
      <c r="I99" s="281"/>
      <c r="J99" s="281"/>
      <c r="K99" s="281"/>
      <c r="L99" s="281"/>
      <c r="M99" s="281"/>
      <c r="N99" s="281"/>
      <c r="O99" s="36"/>
      <c r="P99" s="36"/>
      <c r="Q99" s="36"/>
      <c r="R99" s="36"/>
      <c r="S99" s="36"/>
      <c r="T99" s="36"/>
      <c r="U99" s="36"/>
      <c r="V99" s="36"/>
      <c r="W99" s="36"/>
    </row>
    <row r="100" spans="1:23" x14ac:dyDescent="0.25">
      <c r="A100" s="36"/>
      <c r="B100" s="36"/>
      <c r="C100" s="35"/>
      <c r="D100" s="36"/>
      <c r="E100" s="36" t="s">
        <v>51</v>
      </c>
      <c r="F100" s="36"/>
      <c r="G100" s="235">
        <f>'Funding Model'!D15</f>
        <v>11692.020638096787</v>
      </c>
      <c r="H100" s="281"/>
      <c r="I100" s="281"/>
      <c r="J100" s="281"/>
      <c r="K100" s="281"/>
      <c r="L100" s="281"/>
      <c r="M100" s="281"/>
      <c r="N100" s="281"/>
      <c r="O100" s="36"/>
      <c r="P100" s="36"/>
      <c r="Q100" s="36"/>
      <c r="R100" s="36"/>
      <c r="S100" s="36"/>
      <c r="T100" s="36"/>
      <c r="U100" s="36"/>
      <c r="V100" s="36"/>
      <c r="W100" s="36"/>
    </row>
    <row r="101" spans="1:23" ht="14" x14ac:dyDescent="0.3">
      <c r="A101" s="36"/>
      <c r="B101" s="37"/>
      <c r="C101" s="38"/>
      <c r="D101" s="39"/>
      <c r="E101" s="281"/>
      <c r="F101" s="36"/>
      <c r="G101" s="36"/>
      <c r="H101" s="282"/>
      <c r="I101" s="281"/>
      <c r="J101" s="281"/>
      <c r="K101" s="282"/>
      <c r="L101" s="282"/>
      <c r="M101" s="282"/>
      <c r="N101" s="282"/>
      <c r="O101" s="36"/>
      <c r="P101" s="36"/>
      <c r="Q101" s="36"/>
      <c r="R101" s="36"/>
      <c r="S101" s="36"/>
      <c r="T101" s="36"/>
      <c r="U101" s="36"/>
      <c r="V101" s="36"/>
      <c r="W101" s="36"/>
    </row>
    <row r="102" spans="1:23" ht="14" x14ac:dyDescent="0.3">
      <c r="A102" s="36"/>
      <c r="B102" s="40"/>
      <c r="C102" s="41"/>
      <c r="D102" s="36"/>
      <c r="E102" s="36" t="s">
        <v>283</v>
      </c>
      <c r="F102" s="36"/>
      <c r="G102" s="235">
        <f>'Funding Model'!D17</f>
        <v>2635.0478891670464</v>
      </c>
      <c r="H102" s="281"/>
      <c r="I102" s="281"/>
      <c r="J102" s="281"/>
      <c r="K102" s="281"/>
      <c r="L102" s="281"/>
      <c r="M102" s="281"/>
      <c r="N102" s="281"/>
      <c r="O102" s="36"/>
      <c r="P102" s="36"/>
      <c r="Q102" s="36"/>
      <c r="R102" s="36"/>
      <c r="S102" s="36"/>
      <c r="T102" s="36"/>
      <c r="U102" s="36"/>
      <c r="V102" s="36"/>
      <c r="W102" s="36"/>
    </row>
    <row r="104" spans="1:23" ht="13" thickBot="1" x14ac:dyDescent="0.3">
      <c r="A104" s="36"/>
      <c r="B104" s="36"/>
      <c r="C104" s="36"/>
      <c r="D104" s="36"/>
      <c r="E104" s="36"/>
      <c r="F104" s="36"/>
      <c r="G104" s="36"/>
      <c r="H104" s="36"/>
      <c r="I104" s="234"/>
      <c r="J104" s="234"/>
      <c r="K104" s="36"/>
      <c r="L104" s="36"/>
      <c r="M104" s="36"/>
      <c r="N104" s="36"/>
      <c r="O104" s="36"/>
      <c r="P104" s="36"/>
      <c r="Q104" s="36"/>
      <c r="R104" s="36"/>
      <c r="S104" s="36"/>
      <c r="T104" s="36"/>
      <c r="U104" s="36"/>
      <c r="V104" s="36"/>
      <c r="W104" s="36"/>
    </row>
    <row r="105" spans="1:23" ht="13" thickBot="1" x14ac:dyDescent="0.3">
      <c r="A105" s="36"/>
      <c r="B105" s="36"/>
      <c r="C105" s="36"/>
      <c r="D105" s="1498" t="s">
        <v>491</v>
      </c>
      <c r="E105" s="1499"/>
      <c r="F105" s="1500"/>
      <c r="G105" s="1498" t="s">
        <v>492</v>
      </c>
      <c r="H105" s="1499"/>
      <c r="I105" s="1500"/>
      <c r="J105" s="234"/>
      <c r="K105" s="36"/>
      <c r="L105" s="36"/>
      <c r="M105" s="1501" t="s">
        <v>238</v>
      </c>
      <c r="N105" s="1502"/>
      <c r="O105" s="1503"/>
      <c r="P105" s="36"/>
      <c r="Q105" s="36"/>
      <c r="R105" s="36"/>
      <c r="S105" s="36"/>
      <c r="T105" s="36"/>
      <c r="U105" s="36"/>
      <c r="V105" s="36"/>
      <c r="W105" s="36"/>
    </row>
    <row r="106" spans="1:23" ht="39" x14ac:dyDescent="0.3">
      <c r="A106" s="265" t="s">
        <v>182</v>
      </c>
      <c r="B106" s="237" t="s">
        <v>183</v>
      </c>
      <c r="C106" s="1130" t="s">
        <v>184</v>
      </c>
      <c r="D106" s="1213" t="s">
        <v>493</v>
      </c>
      <c r="E106" s="1214" t="s">
        <v>494</v>
      </c>
      <c r="F106" s="95" t="s">
        <v>357</v>
      </c>
      <c r="G106" s="1214" t="s">
        <v>495</v>
      </c>
      <c r="H106" s="1214" t="s">
        <v>496</v>
      </c>
      <c r="I106" s="95" t="s">
        <v>357</v>
      </c>
      <c r="J106" s="96" t="s">
        <v>290</v>
      </c>
      <c r="K106" s="241" t="s">
        <v>294</v>
      </c>
      <c r="L106" s="241" t="s">
        <v>497</v>
      </c>
      <c r="M106" s="1215" t="s">
        <v>295</v>
      </c>
      <c r="N106" s="1215" t="s">
        <v>267</v>
      </c>
      <c r="O106" s="99" t="s">
        <v>296</v>
      </c>
      <c r="P106" s="241" t="s">
        <v>498</v>
      </c>
      <c r="Q106" s="241" t="s">
        <v>194</v>
      </c>
      <c r="R106" s="241" t="s">
        <v>297</v>
      </c>
      <c r="S106" s="241" t="s">
        <v>298</v>
      </c>
      <c r="T106" s="241" t="s">
        <v>300</v>
      </c>
      <c r="U106" s="241" t="s">
        <v>301</v>
      </c>
      <c r="V106" s="243"/>
      <c r="W106" s="36"/>
    </row>
    <row r="107" spans="1:23" ht="13" x14ac:dyDescent="0.3">
      <c r="A107" s="244">
        <v>9257010</v>
      </c>
      <c r="B107" s="237" t="s">
        <v>205</v>
      </c>
      <c r="C107" s="1130">
        <v>3</v>
      </c>
      <c r="D107" s="245">
        <f>L6</f>
        <v>145703.46716918354</v>
      </c>
      <c r="E107" s="245">
        <f>L50</f>
        <v>198156.71535008965</v>
      </c>
      <c r="F107" s="68">
        <f>SUM(D107:E107)</f>
        <v>343860.18251927319</v>
      </c>
      <c r="G107" s="245">
        <f>J28</f>
        <v>26642.919710936421</v>
      </c>
      <c r="H107" s="245">
        <f>J72</f>
        <v>66607.299277341037</v>
      </c>
      <c r="I107" s="68">
        <f>SUM(G107:H107)</f>
        <v>93250.218988277455</v>
      </c>
      <c r="J107" s="68">
        <f>F107+I107</f>
        <v>437110.40150755062</v>
      </c>
      <c r="K107" s="245">
        <f>(D72*$G$92)+(E72*$G$94)+(F72*$G$96)+(G72*$G$98)+(H72*$G$100)+(H72*$G$102)</f>
        <v>9991.0948916011585</v>
      </c>
      <c r="L107" s="1216">
        <f>(K6*(5/12))+(K50*(7/12))+(I28*(4/12))+(I72*(8/12))</f>
        <v>43.75</v>
      </c>
      <c r="M107" s="245">
        <f>M6+M50</f>
        <v>344166.66666666669</v>
      </c>
      <c r="N107" s="245">
        <f>K28+K72</f>
        <v>96437.333333333314</v>
      </c>
      <c r="O107" s="68">
        <f>M107+N107</f>
        <v>440604</v>
      </c>
      <c r="P107" s="245">
        <f>VLOOKUP(A107,'2014-15 Funding Detail'!$A$3:$Z$23,23,FALSE)</f>
        <v>825633.87816485495</v>
      </c>
      <c r="Q107" s="245">
        <f>P107-O107</f>
        <v>385029.87816485495</v>
      </c>
      <c r="R107" s="245">
        <f>N6</f>
        <v>129377.959388285</v>
      </c>
      <c r="S107" s="245">
        <f>N50</f>
        <v>175954.02476806761</v>
      </c>
      <c r="T107" s="245">
        <f>L28</f>
        <v>20553.684002429258</v>
      </c>
      <c r="U107" s="245">
        <f>L72</f>
        <v>59144.210006073146</v>
      </c>
      <c r="V107" s="247"/>
      <c r="W107" s="247"/>
    </row>
    <row r="108" spans="1:23" ht="13" x14ac:dyDescent="0.3">
      <c r="A108" s="244">
        <v>9257005</v>
      </c>
      <c r="B108" s="237" t="s">
        <v>208</v>
      </c>
      <c r="C108" s="1130">
        <v>3</v>
      </c>
      <c r="D108" s="245">
        <f t="shared" ref="D108:D124" si="10">L7</f>
        <v>154179.31505896556</v>
      </c>
      <c r="E108" s="245">
        <f t="shared" ref="E108:E124" si="11">L51</f>
        <v>272653.94663059182</v>
      </c>
      <c r="F108" s="68">
        <f t="shared" ref="F108:F124" si="12">SUM(D108:E108)</f>
        <v>426833.26168955734</v>
      </c>
      <c r="G108" s="245">
        <f t="shared" ref="G108:G124" si="13">J29</f>
        <v>81147.007925771351</v>
      </c>
      <c r="H108" s="245">
        <f t="shared" ref="H108:H124" si="14">J73</f>
        <v>188261.05838778956</v>
      </c>
      <c r="I108" s="68">
        <f t="shared" ref="I108:I124" si="15">SUM(G108:H108)</f>
        <v>269408.06631356094</v>
      </c>
      <c r="J108" s="68">
        <f t="shared" ref="J108:J124" si="16">F108+I108</f>
        <v>696241.32800311828</v>
      </c>
      <c r="K108" s="245">
        <f t="shared" ref="K108:K124" si="17">(D73*$G$92)+(E73*$G$94)+(F73*$G$96)+(G73*$G$98)+(H73*$G$100)+(H73*$G$102)</f>
        <v>9737.6409510925623</v>
      </c>
      <c r="L108" s="1216">
        <f t="shared" ref="L108:L124" si="18">(K7*(5/12))+(K51*(7/12))+(I29*(4/12))+(I73*(8/12))</f>
        <v>71.5</v>
      </c>
      <c r="M108" s="245">
        <f t="shared" ref="M108:M124" si="19">M7+M51</f>
        <v>438333.33333333337</v>
      </c>
      <c r="N108" s="245">
        <f t="shared" ref="N108:N124" si="20">K29+K73</f>
        <v>286366.66666666663</v>
      </c>
      <c r="O108" s="68">
        <f t="shared" ref="O108:O124" si="21">M108+N108</f>
        <v>724700</v>
      </c>
      <c r="P108" s="245">
        <f>VLOOKUP(A108,'2014-15 Funding Detail'!$A$3:$Z$23,23,FALSE)</f>
        <v>1202634.5808467863</v>
      </c>
      <c r="Q108" s="245">
        <f t="shared" ref="Q108:Q124" si="22">P108-O108</f>
        <v>477934.58084678627</v>
      </c>
      <c r="R108" s="245">
        <f t="shared" ref="R108:R124" si="23">N7</f>
        <v>107984.34773996435</v>
      </c>
      <c r="S108" s="245">
        <f t="shared" ref="S108:S124" si="24">N51</f>
        <v>190961.7938980422</v>
      </c>
      <c r="T108" s="245">
        <f t="shared" ref="T108:T124" si="25">L29</f>
        <v>47133.86723156018</v>
      </c>
      <c r="U108" s="245">
        <f t="shared" ref="U108:U124" si="26">L73</f>
        <v>131854.5719772196</v>
      </c>
      <c r="V108" s="247"/>
      <c r="W108" s="247"/>
    </row>
    <row r="109" spans="1:23" ht="13" x14ac:dyDescent="0.3">
      <c r="A109" s="244">
        <v>9257025</v>
      </c>
      <c r="B109" s="237" t="s">
        <v>209</v>
      </c>
      <c r="C109" s="1130">
        <v>3</v>
      </c>
      <c r="D109" s="245">
        <f t="shared" si="10"/>
        <v>206784.77709866289</v>
      </c>
      <c r="E109" s="245">
        <f t="shared" si="11"/>
        <v>289498.68793812807</v>
      </c>
      <c r="F109" s="68">
        <f t="shared" si="12"/>
        <v>496283.46503679093</v>
      </c>
      <c r="G109" s="245">
        <f t="shared" si="13"/>
        <v>47265.091908265807</v>
      </c>
      <c r="H109" s="245">
        <f t="shared" si="14"/>
        <v>87778.027829636485</v>
      </c>
      <c r="I109" s="68">
        <f t="shared" si="15"/>
        <v>135043.11973790231</v>
      </c>
      <c r="J109" s="68">
        <f t="shared" si="16"/>
        <v>631326.58477469324</v>
      </c>
      <c r="K109" s="245">
        <f t="shared" si="17"/>
        <v>10128.233980342673</v>
      </c>
      <c r="L109" s="1216">
        <f t="shared" si="18"/>
        <v>62.333333333333329</v>
      </c>
      <c r="M109" s="245">
        <f t="shared" si="19"/>
        <v>490000.00000000006</v>
      </c>
      <c r="N109" s="245">
        <f t="shared" si="20"/>
        <v>138765.33333333331</v>
      </c>
      <c r="O109" s="68">
        <f t="shared" si="21"/>
        <v>628765.33333333337</v>
      </c>
      <c r="P109" s="245">
        <f>VLOOKUP(A109,'2014-15 Funding Detail'!$A$3:$Z$23,23,FALSE)</f>
        <v>1182940.7936766515</v>
      </c>
      <c r="Q109" s="245">
        <f t="shared" si="22"/>
        <v>554175.46034331818</v>
      </c>
      <c r="R109" s="245">
        <f t="shared" si="23"/>
        <v>183293.88741191576</v>
      </c>
      <c r="S109" s="245">
        <f t="shared" si="24"/>
        <v>256611.44237668207</v>
      </c>
      <c r="T109" s="245">
        <f t="shared" si="25"/>
        <v>36463.745694152174</v>
      </c>
      <c r="U109" s="245">
        <f t="shared" si="26"/>
        <v>77806.384860568331</v>
      </c>
      <c r="V109" s="247"/>
      <c r="W109" s="247"/>
    </row>
    <row r="110" spans="1:23" ht="13" x14ac:dyDescent="0.3">
      <c r="A110" s="244">
        <v>9257011</v>
      </c>
      <c r="B110" s="237" t="s">
        <v>210</v>
      </c>
      <c r="C110" s="1130">
        <v>3</v>
      </c>
      <c r="D110" s="245">
        <f t="shared" si="10"/>
        <v>166866.0387354678</v>
      </c>
      <c r="E110" s="245">
        <f t="shared" si="11"/>
        <v>251582.64301655148</v>
      </c>
      <c r="F110" s="68">
        <f t="shared" si="12"/>
        <v>418448.68175201927</v>
      </c>
      <c r="G110" s="245">
        <f t="shared" si="13"/>
        <v>6845.7862045320117</v>
      </c>
      <c r="H110" s="245">
        <f t="shared" si="14"/>
        <v>20537.358613596036</v>
      </c>
      <c r="I110" s="68">
        <f t="shared" si="15"/>
        <v>27383.144818128047</v>
      </c>
      <c r="J110" s="68">
        <f t="shared" si="16"/>
        <v>445831.8265701473</v>
      </c>
      <c r="K110" s="245">
        <f t="shared" si="17"/>
        <v>10268.679306798018</v>
      </c>
      <c r="L110" s="1216">
        <f t="shared" si="18"/>
        <v>43.416666666666664</v>
      </c>
      <c r="M110" s="245">
        <f t="shared" si="19"/>
        <v>407500</v>
      </c>
      <c r="N110" s="245">
        <f t="shared" si="20"/>
        <v>27442.666666666664</v>
      </c>
      <c r="O110" s="68">
        <f t="shared" si="21"/>
        <v>434942.66666666669</v>
      </c>
      <c r="P110" s="245">
        <f>VLOOKUP(A110,'2014-15 Funding Detail'!$A$3:$Z$23,23,FALSE)</f>
        <v>856091.51884336316</v>
      </c>
      <c r="Q110" s="245">
        <f t="shared" si="22"/>
        <v>421148.85217669647</v>
      </c>
      <c r="R110" s="245">
        <f t="shared" si="23"/>
        <v>157918.13085308223</v>
      </c>
      <c r="S110" s="245">
        <f t="shared" si="24"/>
        <v>238091.95113233931</v>
      </c>
      <c r="T110" s="245">
        <f t="shared" si="25"/>
        <v>5702.6925478187577</v>
      </c>
      <c r="U110" s="245">
        <f t="shared" si="26"/>
        <v>19436.077643456272</v>
      </c>
      <c r="V110" s="247"/>
      <c r="W110" s="247"/>
    </row>
    <row r="111" spans="1:23" ht="13" x14ac:dyDescent="0.3">
      <c r="A111" s="244">
        <v>9257024</v>
      </c>
      <c r="B111" s="237" t="s">
        <v>211</v>
      </c>
      <c r="C111" s="1130">
        <v>3</v>
      </c>
      <c r="D111" s="245">
        <f t="shared" si="10"/>
        <v>139341.7481429239</v>
      </c>
      <c r="E111" s="245">
        <f t="shared" si="11"/>
        <v>238429.21348900307</v>
      </c>
      <c r="F111" s="68">
        <f t="shared" si="12"/>
        <v>377770.96163192694</v>
      </c>
      <c r="G111" s="245">
        <f t="shared" si="13"/>
        <v>34061.316212714722</v>
      </c>
      <c r="H111" s="245">
        <f t="shared" si="14"/>
        <v>80508.565593689375</v>
      </c>
      <c r="I111" s="68">
        <f t="shared" si="15"/>
        <v>114569.8818064041</v>
      </c>
      <c r="J111" s="68">
        <f t="shared" si="16"/>
        <v>492340.84343833104</v>
      </c>
      <c r="K111" s="245">
        <f t="shared" si="17"/>
        <v>9289.4498761949271</v>
      </c>
      <c r="L111" s="1216">
        <f t="shared" si="18"/>
        <v>53</v>
      </c>
      <c r="M111" s="245">
        <f t="shared" si="19"/>
        <v>406666.66666666669</v>
      </c>
      <c r="N111" s="245">
        <f t="shared" si="20"/>
        <v>127601.33333333331</v>
      </c>
      <c r="O111" s="68">
        <f t="shared" si="21"/>
        <v>534268</v>
      </c>
      <c r="P111" s="245">
        <f>VLOOKUP(A111,'2014-15 Funding Detail'!$A$3:$Z$23,23,FALSE)</f>
        <v>895885.35474995745</v>
      </c>
      <c r="Q111" s="245">
        <f t="shared" si="22"/>
        <v>361617.35474995745</v>
      </c>
      <c r="R111" s="245">
        <f t="shared" si="23"/>
        <v>103552.4588914974</v>
      </c>
      <c r="S111" s="245">
        <f t="shared" si="24"/>
        <v>177189.76299211773</v>
      </c>
      <c r="T111" s="245">
        <f t="shared" si="25"/>
        <v>21044.823284588248</v>
      </c>
      <c r="U111" s="245">
        <f t="shared" si="26"/>
        <v>59830.309581754052</v>
      </c>
      <c r="V111" s="247"/>
      <c r="W111" s="247"/>
    </row>
    <row r="112" spans="1:23" ht="13" x14ac:dyDescent="0.3">
      <c r="A112" s="244">
        <v>9257031</v>
      </c>
      <c r="B112" s="237" t="s">
        <v>257</v>
      </c>
      <c r="C112" s="1130">
        <v>3</v>
      </c>
      <c r="D112" s="245">
        <f t="shared" si="10"/>
        <v>364146.32506795577</v>
      </c>
      <c r="E112" s="245">
        <f t="shared" si="11"/>
        <v>518162.31173604203</v>
      </c>
      <c r="F112" s="68">
        <f t="shared" si="12"/>
        <v>882308.6368039978</v>
      </c>
      <c r="G112" s="245">
        <f t="shared" si="13"/>
        <v>0</v>
      </c>
      <c r="H112" s="245">
        <f t="shared" si="14"/>
        <v>0</v>
      </c>
      <c r="I112" s="68">
        <f t="shared" si="15"/>
        <v>0</v>
      </c>
      <c r="J112" s="68">
        <f t="shared" si="16"/>
        <v>882308.6368039978</v>
      </c>
      <c r="K112" s="245">
        <f t="shared" si="17"/>
        <v>14327.068527263833</v>
      </c>
      <c r="L112" s="1216">
        <f t="shared" si="18"/>
        <v>61.583333333333343</v>
      </c>
      <c r="M112" s="245">
        <f t="shared" si="19"/>
        <v>615833.33333333337</v>
      </c>
      <c r="N112" s="245">
        <f t="shared" si="20"/>
        <v>0</v>
      </c>
      <c r="O112" s="68">
        <f t="shared" si="21"/>
        <v>615833.33333333337</v>
      </c>
      <c r="P112" s="245">
        <f>VLOOKUP(A112,'2014-15 Funding Detail'!$A$3:$Z$23,23,FALSE)</f>
        <v>1254971.0490029454</v>
      </c>
      <c r="Q112" s="245">
        <f t="shared" si="22"/>
        <v>639137.71566961205</v>
      </c>
      <c r="R112" s="245">
        <f t="shared" si="23"/>
        <v>263784.84882169362</v>
      </c>
      <c r="S112" s="245">
        <f t="shared" si="24"/>
        <v>375352.86684791814</v>
      </c>
      <c r="T112" s="245">
        <f t="shared" si="25"/>
        <v>0</v>
      </c>
      <c r="U112" s="245">
        <f t="shared" si="26"/>
        <v>0</v>
      </c>
      <c r="V112" s="247"/>
      <c r="W112" s="247"/>
    </row>
    <row r="113" spans="1:23" ht="13" x14ac:dyDescent="0.3">
      <c r="A113" s="244">
        <v>9257033</v>
      </c>
      <c r="B113" s="237" t="s">
        <v>220</v>
      </c>
      <c r="C113" s="1130">
        <v>3</v>
      </c>
      <c r="D113" s="245">
        <f t="shared" si="10"/>
        <v>246332.97443288573</v>
      </c>
      <c r="E113" s="245">
        <f t="shared" si="11"/>
        <v>344866.16420604003</v>
      </c>
      <c r="F113" s="68">
        <f t="shared" si="12"/>
        <v>591199.13863892574</v>
      </c>
      <c r="G113" s="245">
        <f t="shared" si="13"/>
        <v>0</v>
      </c>
      <c r="H113" s="245">
        <f t="shared" si="14"/>
        <v>0</v>
      </c>
      <c r="I113" s="68">
        <f t="shared" si="15"/>
        <v>0</v>
      </c>
      <c r="J113" s="68">
        <f t="shared" si="16"/>
        <v>591199.13863892574</v>
      </c>
      <c r="K113" s="245">
        <f t="shared" si="17"/>
        <v>9853.3189773154299</v>
      </c>
      <c r="L113" s="1216">
        <f t="shared" si="18"/>
        <v>60</v>
      </c>
      <c r="M113" s="245">
        <f t="shared" si="19"/>
        <v>600000</v>
      </c>
      <c r="N113" s="245">
        <f t="shared" si="20"/>
        <v>0</v>
      </c>
      <c r="O113" s="68">
        <f t="shared" si="21"/>
        <v>600000</v>
      </c>
      <c r="P113" s="245">
        <f>VLOOKUP(A113,'2014-15 Funding Detail'!$A$3:$Z$23,23,FALSE)</f>
        <v>982452.23692723562</v>
      </c>
      <c r="Q113" s="245">
        <f t="shared" si="22"/>
        <v>382452.23692723562</v>
      </c>
      <c r="R113" s="245">
        <f t="shared" si="23"/>
        <v>159355.09871968153</v>
      </c>
      <c r="S113" s="245">
        <f t="shared" si="24"/>
        <v>223097.13820755412</v>
      </c>
      <c r="T113" s="245">
        <f t="shared" si="25"/>
        <v>0</v>
      </c>
      <c r="U113" s="245">
        <f t="shared" si="26"/>
        <v>0</v>
      </c>
      <c r="V113" s="247"/>
      <c r="W113" s="247"/>
    </row>
    <row r="114" spans="1:23" ht="13" x14ac:dyDescent="0.3">
      <c r="A114" s="244">
        <v>9257008</v>
      </c>
      <c r="B114" s="237" t="s">
        <v>212</v>
      </c>
      <c r="C114" s="1130">
        <v>3</v>
      </c>
      <c r="D114" s="245">
        <f t="shared" si="10"/>
        <v>306088.73366611655</v>
      </c>
      <c r="E114" s="245">
        <f t="shared" si="11"/>
        <v>459133.10049917467</v>
      </c>
      <c r="F114" s="68">
        <f t="shared" si="12"/>
        <v>765221.83416529116</v>
      </c>
      <c r="G114" s="245">
        <f t="shared" si="13"/>
        <v>0</v>
      </c>
      <c r="H114" s="245">
        <f t="shared" si="14"/>
        <v>0</v>
      </c>
      <c r="I114" s="68">
        <f t="shared" si="15"/>
        <v>0</v>
      </c>
      <c r="J114" s="68">
        <f t="shared" si="16"/>
        <v>765221.83416529116</v>
      </c>
      <c r="K114" s="245">
        <f t="shared" si="17"/>
        <v>8745.3923904604708</v>
      </c>
      <c r="L114" s="1216">
        <f t="shared" si="18"/>
        <v>87.5</v>
      </c>
      <c r="M114" s="245">
        <f t="shared" si="19"/>
        <v>875000</v>
      </c>
      <c r="N114" s="245">
        <f t="shared" si="20"/>
        <v>0</v>
      </c>
      <c r="O114" s="68">
        <f t="shared" si="21"/>
        <v>875000</v>
      </c>
      <c r="P114" s="245">
        <f>VLOOKUP(A114,'2014-15 Funding Detail'!$A$3:$Z$23,23,FALSE)</f>
        <v>1210662.2590655922</v>
      </c>
      <c r="Q114" s="245">
        <f t="shared" si="22"/>
        <v>335662.2590655922</v>
      </c>
      <c r="R114" s="245">
        <f t="shared" si="23"/>
        <v>134264.90362623686</v>
      </c>
      <c r="S114" s="245">
        <f t="shared" si="24"/>
        <v>201397.35543935528</v>
      </c>
      <c r="T114" s="245">
        <f t="shared" si="25"/>
        <v>0</v>
      </c>
      <c r="U114" s="245">
        <f t="shared" si="26"/>
        <v>0</v>
      </c>
      <c r="V114" s="247"/>
      <c r="W114" s="247"/>
    </row>
    <row r="115" spans="1:23" ht="13" x14ac:dyDescent="0.3">
      <c r="A115" s="244">
        <v>9257034</v>
      </c>
      <c r="B115" s="237" t="s">
        <v>221</v>
      </c>
      <c r="C115" s="1130">
        <v>4</v>
      </c>
      <c r="D115" s="245">
        <f t="shared" si="10"/>
        <v>282169.31662901014</v>
      </c>
      <c r="E115" s="245">
        <f t="shared" si="11"/>
        <v>486199.4378838329</v>
      </c>
      <c r="F115" s="68">
        <f t="shared" si="12"/>
        <v>768368.75451284298</v>
      </c>
      <c r="G115" s="245">
        <f t="shared" si="13"/>
        <v>89715.372466659639</v>
      </c>
      <c r="H115" s="245">
        <f t="shared" si="14"/>
        <v>179430.74493331928</v>
      </c>
      <c r="I115" s="68">
        <f t="shared" si="15"/>
        <v>269146.11739997892</v>
      </c>
      <c r="J115" s="68">
        <f t="shared" si="16"/>
        <v>1037514.8719128219</v>
      </c>
      <c r="K115" s="245">
        <f t="shared" si="17"/>
        <v>8682.1328193541576</v>
      </c>
      <c r="L115" s="1216">
        <f t="shared" si="18"/>
        <v>119.5</v>
      </c>
      <c r="M115" s="245">
        <f t="shared" si="19"/>
        <v>885000</v>
      </c>
      <c r="N115" s="245">
        <f t="shared" si="20"/>
        <v>322028</v>
      </c>
      <c r="O115" s="68">
        <f t="shared" si="21"/>
        <v>1207028</v>
      </c>
      <c r="P115" s="245">
        <f>VLOOKUP(A115,'2014-15 Funding Detail'!$A$3:$Z$23,23,FALSE)</f>
        <v>1591490.8183786951</v>
      </c>
      <c r="Q115" s="245">
        <f t="shared" si="22"/>
        <v>384462.81837869505</v>
      </c>
      <c r="R115" s="245">
        <f t="shared" si="23"/>
        <v>107832.23093981248</v>
      </c>
      <c r="S115" s="245">
        <f t="shared" si="24"/>
        <v>185803.22869629227</v>
      </c>
      <c r="T115" s="245">
        <f t="shared" si="25"/>
        <v>22257.119580863458</v>
      </c>
      <c r="U115" s="245">
        <f t="shared" si="26"/>
        <v>68570.239161726917</v>
      </c>
      <c r="V115" s="247"/>
      <c r="W115" s="247"/>
    </row>
    <row r="116" spans="1:23" ht="13" x14ac:dyDescent="0.3">
      <c r="A116" s="244">
        <v>9257002</v>
      </c>
      <c r="B116" s="237" t="s">
        <v>213</v>
      </c>
      <c r="C116" s="1130">
        <v>4</v>
      </c>
      <c r="D116" s="245">
        <f t="shared" si="10"/>
        <v>405214.4423928553</v>
      </c>
      <c r="E116" s="245">
        <f t="shared" si="11"/>
        <v>532389.43662076688</v>
      </c>
      <c r="F116" s="68">
        <f t="shared" si="12"/>
        <v>937603.87901362218</v>
      </c>
      <c r="G116" s="245">
        <f t="shared" si="13"/>
        <v>0</v>
      </c>
      <c r="H116" s="245">
        <f t="shared" si="14"/>
        <v>0</v>
      </c>
      <c r="I116" s="68">
        <f t="shared" si="15"/>
        <v>0</v>
      </c>
      <c r="J116" s="68">
        <f t="shared" si="16"/>
        <v>937603.87901362218</v>
      </c>
      <c r="K116" s="245">
        <f t="shared" si="17"/>
        <v>7480.8820134065591</v>
      </c>
      <c r="L116" s="1216">
        <f t="shared" si="18"/>
        <v>125.33333333333334</v>
      </c>
      <c r="M116" s="245">
        <f t="shared" si="19"/>
        <v>1253333.3333333335</v>
      </c>
      <c r="N116" s="245">
        <f t="shared" si="20"/>
        <v>0</v>
      </c>
      <c r="O116" s="68">
        <f t="shared" si="21"/>
        <v>1253333.3333333335</v>
      </c>
      <c r="P116" s="245">
        <f>VLOOKUP(A116,'2014-15 Funding Detail'!$A$3:$Z$23,23,FALSE)</f>
        <v>1449552.6700500769</v>
      </c>
      <c r="Q116" s="245">
        <f t="shared" si="22"/>
        <v>196219.33671674342</v>
      </c>
      <c r="R116" s="245">
        <f t="shared" si="23"/>
        <v>84802.239937422433</v>
      </c>
      <c r="S116" s="245">
        <f t="shared" si="24"/>
        <v>111417.09677932116</v>
      </c>
      <c r="T116" s="245">
        <f t="shared" si="25"/>
        <v>0</v>
      </c>
      <c r="U116" s="245">
        <f t="shared" si="26"/>
        <v>0</v>
      </c>
      <c r="V116" s="247"/>
      <c r="W116" s="247"/>
    </row>
    <row r="117" spans="1:23" ht="13" x14ac:dyDescent="0.3">
      <c r="A117" s="244">
        <v>9257009</v>
      </c>
      <c r="B117" s="237" t="s">
        <v>214</v>
      </c>
      <c r="C117" s="1130">
        <v>4</v>
      </c>
      <c r="D117" s="245">
        <f t="shared" si="10"/>
        <v>415296.41019249673</v>
      </c>
      <c r="E117" s="245">
        <f t="shared" si="11"/>
        <v>576976.69202316343</v>
      </c>
      <c r="F117" s="68">
        <f t="shared" si="12"/>
        <v>992273.10221566015</v>
      </c>
      <c r="G117" s="245">
        <f t="shared" si="13"/>
        <v>0</v>
      </c>
      <c r="H117" s="245">
        <f t="shared" si="14"/>
        <v>0</v>
      </c>
      <c r="I117" s="68">
        <f t="shared" si="15"/>
        <v>0</v>
      </c>
      <c r="J117" s="68">
        <f t="shared" si="16"/>
        <v>992273.10221566015</v>
      </c>
      <c r="K117" s="245">
        <f t="shared" si="17"/>
        <v>7608.483850854901</v>
      </c>
      <c r="L117" s="1216">
        <f t="shared" si="18"/>
        <v>130.41666666666669</v>
      </c>
      <c r="M117" s="245">
        <f t="shared" si="19"/>
        <v>1304166.6666666667</v>
      </c>
      <c r="N117" s="245">
        <f t="shared" si="20"/>
        <v>0</v>
      </c>
      <c r="O117" s="68">
        <f t="shared" si="21"/>
        <v>1304166.6666666667</v>
      </c>
      <c r="P117" s="245">
        <f>VLOOKUP(A117,'2014-15 Funding Detail'!$A$3:$Z$23,23,FALSE)</f>
        <v>1523939.1157311392</v>
      </c>
      <c r="Q117" s="245">
        <f t="shared" si="22"/>
        <v>219772.44906447246</v>
      </c>
      <c r="R117" s="245">
        <f t="shared" si="23"/>
        <v>91981.440343277543</v>
      </c>
      <c r="S117" s="245">
        <f t="shared" si="24"/>
        <v>127791.00872119475</v>
      </c>
      <c r="T117" s="245">
        <f t="shared" si="25"/>
        <v>0</v>
      </c>
      <c r="U117" s="245">
        <f t="shared" si="26"/>
        <v>0</v>
      </c>
      <c r="V117" s="247"/>
      <c r="W117" s="247"/>
    </row>
    <row r="118" spans="1:23" ht="13" x14ac:dyDescent="0.3">
      <c r="A118" s="244">
        <v>9257029</v>
      </c>
      <c r="B118" s="237" t="s">
        <v>259</v>
      </c>
      <c r="C118" s="1130">
        <v>4</v>
      </c>
      <c r="D118" s="245">
        <f t="shared" si="10"/>
        <v>370115.93695431569</v>
      </c>
      <c r="E118" s="245">
        <f t="shared" si="11"/>
        <v>459660.11524971464</v>
      </c>
      <c r="F118" s="68">
        <f t="shared" si="12"/>
        <v>829776.05220403033</v>
      </c>
      <c r="G118" s="245">
        <f t="shared" si="13"/>
        <v>0</v>
      </c>
      <c r="H118" s="245">
        <f t="shared" si="14"/>
        <v>0</v>
      </c>
      <c r="I118" s="68">
        <f t="shared" si="15"/>
        <v>0</v>
      </c>
      <c r="J118" s="68">
        <f t="shared" si="16"/>
        <v>829776.05220403033</v>
      </c>
      <c r="K118" s="245">
        <f t="shared" si="17"/>
        <v>14327.068527263833</v>
      </c>
      <c r="L118" s="1216">
        <f t="shared" si="18"/>
        <v>57.916666666666671</v>
      </c>
      <c r="M118" s="245">
        <f t="shared" si="19"/>
        <v>579166.66666666674</v>
      </c>
      <c r="N118" s="245">
        <f t="shared" si="20"/>
        <v>0</v>
      </c>
      <c r="O118" s="68">
        <f t="shared" si="21"/>
        <v>579166.66666666674</v>
      </c>
      <c r="P118" s="245">
        <f>VLOOKUP(A118,'2014-15 Funding Detail'!$A$3:$Z$23,23,FALSE)</f>
        <v>1285595.8458722786</v>
      </c>
      <c r="Q118" s="245">
        <f t="shared" si="22"/>
        <v>706429.17920561181</v>
      </c>
      <c r="R118" s="245">
        <f t="shared" si="23"/>
        <v>315097.90727156791</v>
      </c>
      <c r="S118" s="245">
        <f t="shared" si="24"/>
        <v>391331.27193404397</v>
      </c>
      <c r="T118" s="245">
        <f t="shared" si="25"/>
        <v>0</v>
      </c>
      <c r="U118" s="245">
        <f t="shared" si="26"/>
        <v>0</v>
      </c>
      <c r="V118" s="247"/>
      <c r="W118" s="247"/>
    </row>
    <row r="119" spans="1:23" ht="13" x14ac:dyDescent="0.3">
      <c r="A119" s="244">
        <v>9257032</v>
      </c>
      <c r="B119" s="237" t="s">
        <v>261</v>
      </c>
      <c r="C119" s="1130">
        <v>4</v>
      </c>
      <c r="D119" s="245">
        <f t="shared" si="10"/>
        <v>352207.10129523586</v>
      </c>
      <c r="E119" s="245">
        <f t="shared" si="11"/>
        <v>501447.39845423424</v>
      </c>
      <c r="F119" s="68">
        <f t="shared" si="12"/>
        <v>853654.49974947004</v>
      </c>
      <c r="G119" s="245">
        <f t="shared" si="13"/>
        <v>0</v>
      </c>
      <c r="H119" s="245">
        <f t="shared" si="14"/>
        <v>0</v>
      </c>
      <c r="I119" s="68">
        <f t="shared" si="15"/>
        <v>0</v>
      </c>
      <c r="J119" s="68">
        <f t="shared" si="16"/>
        <v>853654.49974947004</v>
      </c>
      <c r="K119" s="245">
        <f t="shared" si="17"/>
        <v>14327.068527263833</v>
      </c>
      <c r="L119" s="1216">
        <f t="shared" si="18"/>
        <v>59.583333333333336</v>
      </c>
      <c r="M119" s="245">
        <f t="shared" si="19"/>
        <v>595833.33333333337</v>
      </c>
      <c r="N119" s="245">
        <f t="shared" si="20"/>
        <v>0</v>
      </c>
      <c r="O119" s="68">
        <f t="shared" si="21"/>
        <v>595833.33333333337</v>
      </c>
      <c r="P119" s="245">
        <f>VLOOKUP(A119,'2014-15 Funding Detail'!$A$3:$Z$23,23,FALSE)</f>
        <v>1296764.6304370028</v>
      </c>
      <c r="Q119" s="245">
        <f t="shared" si="22"/>
        <v>700931.29710366938</v>
      </c>
      <c r="R119" s="245">
        <f t="shared" si="23"/>
        <v>289195.43027354195</v>
      </c>
      <c r="S119" s="245">
        <f t="shared" si="24"/>
        <v>411735.86683012749</v>
      </c>
      <c r="T119" s="245">
        <f t="shared" si="25"/>
        <v>0</v>
      </c>
      <c r="U119" s="245">
        <f t="shared" si="26"/>
        <v>0</v>
      </c>
      <c r="V119" s="247"/>
      <c r="W119" s="247"/>
    </row>
    <row r="120" spans="1:23" ht="13" x14ac:dyDescent="0.3">
      <c r="A120" s="244">
        <v>9257030</v>
      </c>
      <c r="B120" s="237" t="s">
        <v>262</v>
      </c>
      <c r="C120" s="1130">
        <v>4</v>
      </c>
      <c r="D120" s="245">
        <f t="shared" si="10"/>
        <v>328328.65374979615</v>
      </c>
      <c r="E120" s="245">
        <f t="shared" si="11"/>
        <v>459660.11524971464</v>
      </c>
      <c r="F120" s="68">
        <f t="shared" si="12"/>
        <v>787988.76899951079</v>
      </c>
      <c r="G120" s="245">
        <f t="shared" si="13"/>
        <v>0</v>
      </c>
      <c r="H120" s="245">
        <f t="shared" si="14"/>
        <v>0</v>
      </c>
      <c r="I120" s="68">
        <f t="shared" si="15"/>
        <v>0</v>
      </c>
      <c r="J120" s="68">
        <f t="shared" si="16"/>
        <v>787988.76899951079</v>
      </c>
      <c r="K120" s="245">
        <f t="shared" si="17"/>
        <v>14327.068527263833</v>
      </c>
      <c r="L120" s="1216">
        <f t="shared" si="18"/>
        <v>55</v>
      </c>
      <c r="M120" s="245">
        <f t="shared" si="19"/>
        <v>550000</v>
      </c>
      <c r="N120" s="245">
        <f t="shared" si="20"/>
        <v>0</v>
      </c>
      <c r="O120" s="68">
        <f t="shared" si="21"/>
        <v>550000</v>
      </c>
      <c r="P120" s="245">
        <f>VLOOKUP(A120,'2014-15 Funding Detail'!$A$3:$Z$23,23,FALSE)</f>
        <v>1214343.3084858984</v>
      </c>
      <c r="Q120" s="245">
        <f t="shared" si="22"/>
        <v>664343.30848589842</v>
      </c>
      <c r="R120" s="245">
        <f t="shared" si="23"/>
        <v>276809.71186912438</v>
      </c>
      <c r="S120" s="245">
        <f t="shared" si="24"/>
        <v>387533.5966167741</v>
      </c>
      <c r="T120" s="245">
        <f t="shared" si="25"/>
        <v>0</v>
      </c>
      <c r="U120" s="245">
        <f t="shared" si="26"/>
        <v>0</v>
      </c>
      <c r="V120" s="247"/>
      <c r="W120" s="247"/>
    </row>
    <row r="121" spans="1:23" ht="13" x14ac:dyDescent="0.3">
      <c r="A121" s="244">
        <v>9257028</v>
      </c>
      <c r="B121" s="237" t="s">
        <v>215</v>
      </c>
      <c r="C121" s="1130">
        <v>4</v>
      </c>
      <c r="D121" s="245">
        <f t="shared" si="10"/>
        <v>253289.64017957877</v>
      </c>
      <c r="E121" s="245">
        <f t="shared" si="11"/>
        <v>348273.25524692074</v>
      </c>
      <c r="F121" s="68">
        <f t="shared" si="12"/>
        <v>601562.89542649954</v>
      </c>
      <c r="G121" s="245">
        <f t="shared" si="13"/>
        <v>61513.198329326246</v>
      </c>
      <c r="H121" s="245">
        <f t="shared" si="14"/>
        <v>115789.54979637884</v>
      </c>
      <c r="I121" s="68">
        <f t="shared" si="15"/>
        <v>177302.74812570508</v>
      </c>
      <c r="J121" s="68">
        <f t="shared" si="16"/>
        <v>778865.64355220459</v>
      </c>
      <c r="K121" s="245">
        <f t="shared" si="17"/>
        <v>10855.270293410516</v>
      </c>
      <c r="L121" s="1216">
        <f t="shared" si="18"/>
        <v>71.75</v>
      </c>
      <c r="M121" s="245">
        <f t="shared" si="19"/>
        <v>554166.66666666674</v>
      </c>
      <c r="N121" s="245">
        <f t="shared" si="20"/>
        <v>169929.33333333331</v>
      </c>
      <c r="O121" s="68">
        <f t="shared" si="21"/>
        <v>724096</v>
      </c>
      <c r="P121" s="245">
        <f>VLOOKUP(A121,'2014-15 Funding Detail'!$A$3:$Z$23,23,FALSE)</f>
        <v>1322018.8717324052</v>
      </c>
      <c r="Q121" s="245">
        <f t="shared" si="22"/>
        <v>597922.87173240515</v>
      </c>
      <c r="R121" s="245">
        <f t="shared" si="23"/>
        <v>196591.50300240816</v>
      </c>
      <c r="S121" s="245">
        <f t="shared" si="24"/>
        <v>270313.31662831124</v>
      </c>
      <c r="T121" s="245">
        <f t="shared" si="25"/>
        <v>41147.650729156274</v>
      </c>
      <c r="U121" s="245">
        <f t="shared" si="26"/>
        <v>89870.40137252945</v>
      </c>
      <c r="V121" s="247"/>
      <c r="W121" s="247"/>
    </row>
    <row r="122" spans="1:23" ht="13" x14ac:dyDescent="0.3">
      <c r="A122" s="244">
        <v>9257021</v>
      </c>
      <c r="B122" s="237" t="s">
        <v>216</v>
      </c>
      <c r="C122" s="1130">
        <v>5</v>
      </c>
      <c r="D122" s="245">
        <f t="shared" si="10"/>
        <v>456856.40829387784</v>
      </c>
      <c r="E122" s="245">
        <f t="shared" si="11"/>
        <v>635094.75350148929</v>
      </c>
      <c r="F122" s="68">
        <f t="shared" si="12"/>
        <v>1091951.161795367</v>
      </c>
      <c r="G122" s="245">
        <f t="shared" si="13"/>
        <v>0</v>
      </c>
      <c r="H122" s="245">
        <f t="shared" si="14"/>
        <v>0</v>
      </c>
      <c r="I122" s="68">
        <f t="shared" si="15"/>
        <v>0</v>
      </c>
      <c r="J122" s="68">
        <f t="shared" si="16"/>
        <v>1091951.161795367</v>
      </c>
      <c r="K122" s="245">
        <f t="shared" si="17"/>
        <v>7721.5167598965254</v>
      </c>
      <c r="L122" s="1216">
        <f t="shared" si="18"/>
        <v>141.41666666666669</v>
      </c>
      <c r="M122" s="245">
        <f t="shared" si="19"/>
        <v>1414166.6666666667</v>
      </c>
      <c r="N122" s="245">
        <f t="shared" si="20"/>
        <v>0</v>
      </c>
      <c r="O122" s="68">
        <f t="shared" si="21"/>
        <v>1414166.6666666667</v>
      </c>
      <c r="P122" s="245">
        <f>VLOOKUP(A122,'2014-15 Funding Detail'!$A$3:$Z$23,23,FALSE)</f>
        <v>1655400.4031920154</v>
      </c>
      <c r="Q122" s="245">
        <f t="shared" si="22"/>
        <v>241233.73652534862</v>
      </c>
      <c r="R122" s="245">
        <f t="shared" si="23"/>
        <v>100928.66996640975</v>
      </c>
      <c r="S122" s="245">
        <f t="shared" si="24"/>
        <v>140305.06655893862</v>
      </c>
      <c r="T122" s="245">
        <f t="shared" si="25"/>
        <v>0</v>
      </c>
      <c r="U122" s="245">
        <f t="shared" si="26"/>
        <v>0</v>
      </c>
      <c r="V122" s="247"/>
      <c r="W122" s="247"/>
    </row>
    <row r="123" spans="1:23" ht="13" x14ac:dyDescent="0.3">
      <c r="A123" s="1217">
        <v>9257015</v>
      </c>
      <c r="B123" s="1218" t="s">
        <v>217</v>
      </c>
      <c r="C123" s="1219">
        <v>5</v>
      </c>
      <c r="D123" s="1188">
        <f t="shared" si="10"/>
        <v>697313.24672939302</v>
      </c>
      <c r="E123" s="1188">
        <f t="shared" si="11"/>
        <v>1031901.2695021809</v>
      </c>
      <c r="F123" s="97">
        <f t="shared" si="12"/>
        <v>1729214.5162315739</v>
      </c>
      <c r="G123" s="1188">
        <f t="shared" si="13"/>
        <v>41594.123489121688</v>
      </c>
      <c r="H123" s="1188">
        <f t="shared" si="14"/>
        <v>92975.099563919066</v>
      </c>
      <c r="I123" s="97">
        <f t="shared" si="15"/>
        <v>134569.22305304074</v>
      </c>
      <c r="J123" s="97">
        <f t="shared" si="16"/>
        <v>1863783.7392846146</v>
      </c>
      <c r="K123" s="1188">
        <f t="shared" si="17"/>
        <v>7340.139439256769</v>
      </c>
      <c r="L123" s="1216">
        <f t="shared" si="18"/>
        <v>253.91666666666666</v>
      </c>
      <c r="M123" s="245">
        <f t="shared" si="19"/>
        <v>2355833.3333333335</v>
      </c>
      <c r="N123" s="245">
        <f t="shared" si="20"/>
        <v>189929.33333333331</v>
      </c>
      <c r="O123" s="68">
        <f t="shared" si="21"/>
        <v>2545762.666666667</v>
      </c>
      <c r="P123" s="245">
        <f>VLOOKUP(A123,'2014-15 Funding Detail'!$A$3:$Z$23,23,FALSE)</f>
        <v>2642844.6565938313</v>
      </c>
      <c r="Q123" s="245">
        <f t="shared" si="22"/>
        <v>97081.989927164279</v>
      </c>
      <c r="R123" s="245">
        <f t="shared" si="23"/>
        <v>38789.927311115047</v>
      </c>
      <c r="S123" s="245">
        <f t="shared" si="24"/>
        <v>57402.287170044809</v>
      </c>
      <c r="T123" s="245">
        <f t="shared" si="25"/>
        <v>-4282.2148621440147</v>
      </c>
      <c r="U123" s="245">
        <f t="shared" si="26"/>
        <v>5171.9903081486727</v>
      </c>
      <c r="V123" s="247"/>
      <c r="W123" s="247"/>
    </row>
    <row r="124" spans="1:23" ht="13" x14ac:dyDescent="0.3">
      <c r="A124" s="244">
        <v>9257016</v>
      </c>
      <c r="B124" s="237" t="s">
        <v>219</v>
      </c>
      <c r="C124" s="1130">
        <v>6</v>
      </c>
      <c r="D124" s="245">
        <f t="shared" si="10"/>
        <v>333053.08543802291</v>
      </c>
      <c r="E124" s="245">
        <f t="shared" si="11"/>
        <v>466274.3196132321</v>
      </c>
      <c r="F124" s="68">
        <f t="shared" si="12"/>
        <v>799327.40505125502</v>
      </c>
      <c r="G124" s="245">
        <f t="shared" si="13"/>
        <v>168634.47363950528</v>
      </c>
      <c r="H124" s="245">
        <f t="shared" si="14"/>
        <v>364250.46306133131</v>
      </c>
      <c r="I124" s="68">
        <f t="shared" si="15"/>
        <v>532884.93670083652</v>
      </c>
      <c r="J124" s="68">
        <f t="shared" si="16"/>
        <v>1332212.3417520914</v>
      </c>
      <c r="K124" s="245">
        <f t="shared" si="17"/>
        <v>10118.068418370316</v>
      </c>
      <c r="L124" s="1216">
        <f t="shared" si="18"/>
        <v>131.66666666666666</v>
      </c>
      <c r="M124" s="245">
        <f t="shared" si="19"/>
        <v>790000</v>
      </c>
      <c r="N124" s="245">
        <f t="shared" si="20"/>
        <v>546066.66666666663</v>
      </c>
      <c r="O124" s="68">
        <f t="shared" si="21"/>
        <v>1336066.6666666665</v>
      </c>
      <c r="P124" s="245">
        <f>VLOOKUP(A124,'2014-15 Funding Detail'!$A$3:$Z$23,23,FALSE)</f>
        <v>2219760.2909703231</v>
      </c>
      <c r="Q124" s="245">
        <f t="shared" si="22"/>
        <v>883693.62430365663</v>
      </c>
      <c r="R124" s="245">
        <f t="shared" si="23"/>
        <v>225773.40607591419</v>
      </c>
      <c r="S124" s="245">
        <f t="shared" si="24"/>
        <v>316082.7685062798</v>
      </c>
      <c r="T124" s="245">
        <f t="shared" si="25"/>
        <v>94915.648646032481</v>
      </c>
      <c r="U124" s="245">
        <f t="shared" si="26"/>
        <v>246921.80107543018</v>
      </c>
      <c r="V124" s="247"/>
      <c r="W124" s="247"/>
    </row>
    <row r="126" spans="1:23" ht="13" thickBot="1" x14ac:dyDescent="0.3">
      <c r="A126" s="36"/>
      <c r="B126" s="36"/>
      <c r="C126" s="36"/>
      <c r="D126" s="36"/>
      <c r="E126" s="36"/>
      <c r="F126" s="36"/>
      <c r="G126" s="36"/>
      <c r="H126" s="36"/>
      <c r="I126" s="234"/>
      <c r="J126" s="250">
        <f>SUM(J107:J124)</f>
        <v>15447204.654381448</v>
      </c>
      <c r="K126" s="36"/>
      <c r="L126" s="251">
        <f>SUM(L107:L124)</f>
        <v>1629.5833333333337</v>
      </c>
      <c r="M126" s="36"/>
      <c r="N126" s="36"/>
      <c r="O126" s="36"/>
      <c r="P126" s="36"/>
      <c r="Q126" s="36"/>
      <c r="R126" s="36"/>
      <c r="S126" s="36"/>
      <c r="T126" s="36"/>
      <c r="U126" s="36"/>
      <c r="V126" s="36"/>
      <c r="W126" s="36"/>
    </row>
    <row r="130" spans="11:11" x14ac:dyDescent="0.25">
      <c r="K130" s="247">
        <f>AVERAGE(K107:K124)</f>
        <v>10284.921004300575</v>
      </c>
    </row>
  </sheetData>
  <sheetProtection password="C462" sheet="1" objects="1" scenarios="1"/>
  <mergeCells count="3">
    <mergeCell ref="D105:F105"/>
    <mergeCell ref="G105:I105"/>
    <mergeCell ref="M105:O105"/>
  </mergeCells>
  <phoneticPr fontId="60" type="noConversion"/>
  <pageMargins left="0.39370078740157483" right="0.39370078740157483" top="0.98425196850393704" bottom="0.98425196850393704" header="0.51181102362204722" footer="0.51181102362204722"/>
  <pageSetup paperSize="9" scale="40" orientation="portrait" r:id="rId1"/>
  <headerFooter alignWithMargins="0">
    <oddFooter>&amp;F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92D050"/>
    <pageSetUpPr fitToPage="1"/>
  </sheetPr>
  <dimension ref="A1:AA76"/>
  <sheetViews>
    <sheetView topLeftCell="A10" zoomScale="85" zoomScaleNormal="85" workbookViewId="0">
      <pane xSplit="2" topLeftCell="C1" activePane="topRight" state="frozen"/>
      <selection pane="topRight" activeCell="AA19" sqref="AA19"/>
    </sheetView>
  </sheetViews>
  <sheetFormatPr defaultColWidth="10.26953125" defaultRowHeight="13" x14ac:dyDescent="0.3"/>
  <cols>
    <col min="1" max="1" width="9.1796875" style="29" customWidth="1"/>
    <col min="2" max="2" width="26.7265625" style="29" customWidth="1"/>
    <col min="3" max="3" width="6.26953125" style="29" bestFit="1" customWidth="1"/>
    <col min="4" max="8" width="10.26953125" style="29" customWidth="1"/>
    <col min="9" max="10" width="10.26953125" style="30" customWidth="1"/>
    <col min="11" max="23" width="10.26953125" style="29" customWidth="1"/>
    <col min="24" max="25" width="10.26953125" style="73" customWidth="1"/>
    <col min="26" max="26" width="10.26953125" style="29" customWidth="1"/>
    <col min="27" max="16384" width="10.26953125" style="29"/>
  </cols>
  <sheetData>
    <row r="1" spans="1:27" x14ac:dyDescent="0.3">
      <c r="A1" s="94" t="s">
        <v>230</v>
      </c>
      <c r="B1" s="36"/>
      <c r="C1" s="36"/>
      <c r="D1" s="36"/>
      <c r="E1" s="36"/>
      <c r="F1" s="36"/>
      <c r="G1" s="36"/>
      <c r="H1" s="36"/>
      <c r="I1" s="234"/>
      <c r="J1" s="234"/>
      <c r="K1" s="36"/>
      <c r="L1" s="36"/>
      <c r="M1" s="36"/>
      <c r="N1" s="36"/>
      <c r="O1" s="36"/>
      <c r="P1" s="36"/>
      <c r="Q1" s="36"/>
      <c r="R1" s="36"/>
      <c r="S1" s="36"/>
      <c r="T1" s="36"/>
      <c r="U1" s="36"/>
      <c r="V1" s="36"/>
      <c r="W1" s="36"/>
      <c r="Z1" s="36"/>
      <c r="AA1" s="36"/>
    </row>
    <row r="2" spans="1:27" x14ac:dyDescent="0.3">
      <c r="A2" s="94" t="s">
        <v>499</v>
      </c>
      <c r="B2" s="36"/>
      <c r="C2" s="36"/>
      <c r="D2" s="36"/>
      <c r="E2" s="36"/>
      <c r="F2" s="36"/>
      <c r="G2" s="36"/>
      <c r="H2" s="36"/>
      <c r="I2" s="234"/>
      <c r="J2" s="234"/>
      <c r="K2" s="36"/>
      <c r="L2" s="36"/>
      <c r="M2" s="94" t="s">
        <v>500</v>
      </c>
      <c r="N2" s="94"/>
      <c r="O2" s="94"/>
      <c r="P2" s="94"/>
      <c r="Q2" s="94"/>
      <c r="R2" s="94"/>
      <c r="S2" s="94"/>
      <c r="T2" s="94"/>
      <c r="U2" s="94"/>
      <c r="V2" s="94"/>
      <c r="W2" s="94"/>
      <c r="X2" s="74"/>
      <c r="Y2" s="74"/>
      <c r="Z2" s="36"/>
      <c r="AA2" s="36"/>
    </row>
    <row r="3" spans="1:27" x14ac:dyDescent="0.3">
      <c r="A3" s="36"/>
      <c r="B3" s="263"/>
      <c r="C3" s="263"/>
      <c r="D3" s="36"/>
      <c r="E3" s="36"/>
      <c r="F3" s="36"/>
      <c r="G3" s="36"/>
      <c r="H3" s="36"/>
      <c r="I3" s="234"/>
      <c r="J3" s="234"/>
      <c r="K3" s="36"/>
      <c r="L3" s="36"/>
      <c r="M3" s="243"/>
      <c r="N3" s="243"/>
      <c r="O3" s="243"/>
      <c r="P3" s="36"/>
      <c r="Q3" s="36"/>
      <c r="R3" s="36"/>
      <c r="S3" s="36"/>
      <c r="T3" s="36"/>
      <c r="U3" s="36"/>
      <c r="V3" s="36"/>
      <c r="W3" s="36"/>
      <c r="Z3" s="36"/>
      <c r="AA3" s="36"/>
    </row>
    <row r="4" spans="1:27" ht="39" x14ac:dyDescent="0.3">
      <c r="A4" s="265" t="s">
        <v>182</v>
      </c>
      <c r="B4" s="237" t="s">
        <v>183</v>
      </c>
      <c r="C4" s="238" t="s">
        <v>184</v>
      </c>
      <c r="D4" s="36" t="s">
        <v>240</v>
      </c>
      <c r="E4" s="36" t="s">
        <v>241</v>
      </c>
      <c r="F4" s="36" t="s">
        <v>242</v>
      </c>
      <c r="G4" s="36" t="s">
        <v>243</v>
      </c>
      <c r="H4" s="36" t="s">
        <v>244</v>
      </c>
      <c r="I4" s="243" t="s">
        <v>245</v>
      </c>
      <c r="J4" s="243" t="s">
        <v>246</v>
      </c>
      <c r="K4" s="243" t="s">
        <v>247</v>
      </c>
      <c r="L4" s="243" t="s">
        <v>264</v>
      </c>
      <c r="M4" s="243" t="s">
        <v>501</v>
      </c>
      <c r="N4" s="243" t="s">
        <v>491</v>
      </c>
      <c r="O4" s="243" t="s">
        <v>492</v>
      </c>
      <c r="P4" s="71" t="s">
        <v>502</v>
      </c>
      <c r="Q4" s="243" t="s">
        <v>245</v>
      </c>
      <c r="R4" s="243" t="s">
        <v>246</v>
      </c>
      <c r="S4" s="243" t="s">
        <v>247</v>
      </c>
      <c r="T4" s="243" t="s">
        <v>264</v>
      </c>
      <c r="U4" s="243" t="s">
        <v>503</v>
      </c>
      <c r="V4" s="243" t="s">
        <v>491</v>
      </c>
      <c r="W4" s="243" t="s">
        <v>492</v>
      </c>
      <c r="X4" s="71" t="s">
        <v>504</v>
      </c>
      <c r="Y4" s="71" t="s">
        <v>505</v>
      </c>
      <c r="Z4" s="243" t="s">
        <v>506</v>
      </c>
      <c r="AA4" s="243" t="s">
        <v>134</v>
      </c>
    </row>
    <row r="5" spans="1:27" x14ac:dyDescent="0.3">
      <c r="A5" s="244">
        <v>9257010</v>
      </c>
      <c r="B5" s="237" t="s">
        <v>205</v>
      </c>
      <c r="C5" s="238">
        <v>3</v>
      </c>
      <c r="D5" s="268">
        <f>'Revised Band Returns'!F5</f>
        <v>0.30952380952380953</v>
      </c>
      <c r="E5" s="268">
        <f>'Revised Band Returns'!H5</f>
        <v>0.5</v>
      </c>
      <c r="F5" s="268">
        <f>'Revised Band Returns'!J5</f>
        <v>0</v>
      </c>
      <c r="G5" s="268">
        <f>'Revised Band Returns'!L5</f>
        <v>4.7619047619047616E-2</v>
      </c>
      <c r="H5" s="268">
        <f>'Revised Band Returns'!N5</f>
        <v>0.14285714285714285</v>
      </c>
      <c r="I5" s="269">
        <v>0</v>
      </c>
      <c r="J5" s="269">
        <v>29</v>
      </c>
      <c r="K5" s="269">
        <f>SUM(I5:J5)</f>
        <v>29</v>
      </c>
      <c r="L5" s="269">
        <v>14</v>
      </c>
      <c r="M5" s="376">
        <f>SUM(K5:L5)</f>
        <v>43</v>
      </c>
      <c r="N5" s="235">
        <f>((((K5*D5)*$G$57)+((K5*E5)*$G$59)+((K5*F5)*$G$61)+((K5*G5)*$G$63)+((K5*H5)*$G$65)+((K5*H5)*$G$67)))*(5/12)</f>
        <v>119594.99352164795</v>
      </c>
      <c r="O5" s="235">
        <f>((((L5*D5)*$G$57)+((L5*E5)*$G$59)+((L5*F5)*$G$61)+((L5*G5)*$G$63)+((L5*H5)*$G$65)+((L5*H5)*$G$67)))*(5/12)</f>
        <v>57735.514113899037</v>
      </c>
      <c r="P5" s="72">
        <f>SUM(N5:O5)</f>
        <v>177330.50763554699</v>
      </c>
      <c r="Q5" s="269">
        <v>0</v>
      </c>
      <c r="R5" s="804">
        <v>35</v>
      </c>
      <c r="S5" s="804">
        <f>SUM(Q5:R5)</f>
        <v>35</v>
      </c>
      <c r="T5" s="804">
        <v>8</v>
      </c>
      <c r="U5" s="804">
        <f>SUM(S5:T5)</f>
        <v>43</v>
      </c>
      <c r="V5" s="235">
        <f>((((S5*D5)*$G$57)+((S5*E5)*$G$59)+((S5*F5)*$G$61)+((S5*G5)*$G$63)+((S5*H5)*$G$65)+((S5*H5)*$G$67)))*(7/12)</f>
        <v>202074.2993986466</v>
      </c>
      <c r="W5" s="235">
        <f>((((T5*D5)*$G$57)+((T5*E5)*$G$59)+((T5*F5)*$G$61)+((T5*G5)*$G$63)+((T5*H5)*$G$65)+((T5*H5)*$G$67)))*(7/12)</f>
        <v>46188.411291119228</v>
      </c>
      <c r="X5" s="42">
        <f>SUM(V5:W5)</f>
        <v>248262.71068976584</v>
      </c>
      <c r="Y5" s="42">
        <f>P5+X5</f>
        <v>425593.21832531283</v>
      </c>
      <c r="Z5" s="253">
        <f>((5/12)*M5)+((7/12)*U5)</f>
        <v>43</v>
      </c>
      <c r="AA5" s="1200">
        <f>Y5/Z5</f>
        <v>9897.5167052398338</v>
      </c>
    </row>
    <row r="6" spans="1:27" x14ac:dyDescent="0.3">
      <c r="A6" s="244">
        <v>9257005</v>
      </c>
      <c r="B6" s="237" t="s">
        <v>208</v>
      </c>
      <c r="C6" s="238">
        <v>3</v>
      </c>
      <c r="D6" s="268">
        <f>'Revised Band Returns'!F6</f>
        <v>0.1206896551724138</v>
      </c>
      <c r="E6" s="268">
        <f>'Revised Band Returns'!H6</f>
        <v>0.39655172413793105</v>
      </c>
      <c r="F6" s="268">
        <f>'Revised Band Returns'!J6</f>
        <v>0.27586206896551724</v>
      </c>
      <c r="G6" s="268">
        <f>'Revised Band Returns'!L6</f>
        <v>8.6206896551724144E-2</v>
      </c>
      <c r="H6" s="268">
        <f>'Revised Band Returns'!N6</f>
        <v>0.1206896551724138</v>
      </c>
      <c r="I6" s="269">
        <v>0</v>
      </c>
      <c r="J6" s="269">
        <v>38</v>
      </c>
      <c r="K6" s="269">
        <f t="shared" ref="K6:K23" si="0">SUM(I6:J6)</f>
        <v>38</v>
      </c>
      <c r="L6" s="269">
        <v>25</v>
      </c>
      <c r="M6" s="376">
        <f t="shared" ref="M6:M23" si="1">SUM(K6:L6)</f>
        <v>63</v>
      </c>
      <c r="N6" s="235">
        <f t="shared" ref="N6:N23" si="2">((((K6*D6)*$G$57)+((K6*E6)*$G$59)+((K6*F6)*$G$61)+((K6*G6)*$G$63)+((K6*H6)*$G$65)+((K6*H6)*$G$67)))*(5/12)</f>
        <v>139100.36057828771</v>
      </c>
      <c r="O6" s="235">
        <f t="shared" ref="O6:O25" si="3">((((L6*D6)*$G$57)+((L6*E6)*$G$59)+((L6*F6)*$G$61)+((L6*G6)*$G$63)+((L6*H6)*$G$65)+((L6*H6)*$G$67)))*(5/12)</f>
        <v>91513.395117294538</v>
      </c>
      <c r="P6" s="72">
        <f t="shared" ref="P6:P25" si="4">SUM(N6:O6)</f>
        <v>230613.75569558225</v>
      </c>
      <c r="Q6" s="269">
        <v>0</v>
      </c>
      <c r="R6" s="804">
        <v>38</v>
      </c>
      <c r="S6" s="804">
        <f t="shared" ref="S6:S23" si="5">SUM(Q6:R6)</f>
        <v>38</v>
      </c>
      <c r="T6" s="804">
        <v>25</v>
      </c>
      <c r="U6" s="804">
        <f t="shared" ref="U6:U25" si="6">SUM(S6:T6)</f>
        <v>63</v>
      </c>
      <c r="V6" s="235">
        <f t="shared" ref="V6:V25" si="7">((((S6*D6)*$G$57)+((S6*E6)*$G$59)+((S6*F6)*$G$61)+((S6*G6)*$G$63)+((S6*H6)*$G$65)+((S6*H6)*$G$67)))*(7/12)</f>
        <v>194740.5048096028</v>
      </c>
      <c r="W6" s="235">
        <f t="shared" ref="W6:W25" si="8">((((T6*D6)*$G$57)+((T6*E6)*$G$59)+((T6*F6)*$G$61)+((T6*G6)*$G$63)+((T6*H6)*$G$65)+((T6*H6)*$G$67)))*(7/12)</f>
        <v>128118.75316421235</v>
      </c>
      <c r="X6" s="42">
        <f t="shared" ref="X6:X25" si="9">SUM(V6:W6)</f>
        <v>322859.25797381514</v>
      </c>
      <c r="Y6" s="42">
        <f t="shared" ref="Y6:Y25" si="10">P6+X6</f>
        <v>553473.01366939745</v>
      </c>
      <c r="Z6" s="253">
        <f t="shared" ref="Z6:Z25" si="11">((5/12)*M6)+((7/12)*U6)</f>
        <v>63</v>
      </c>
      <c r="AA6" s="1200">
        <f t="shared" ref="AA6:AA25" si="12">Y6/Z6</f>
        <v>8785.2859312602777</v>
      </c>
    </row>
    <row r="7" spans="1:27" x14ac:dyDescent="0.3">
      <c r="A7" s="244">
        <v>9257025</v>
      </c>
      <c r="B7" s="237" t="s">
        <v>209</v>
      </c>
      <c r="C7" s="238">
        <v>3</v>
      </c>
      <c r="D7" s="268">
        <f>'Revised Band Returns'!F7</f>
        <v>0.32608695652173914</v>
      </c>
      <c r="E7" s="268">
        <f>'Revised Band Returns'!H7</f>
        <v>0.34782608695652173</v>
      </c>
      <c r="F7" s="268">
        <f>'Revised Band Returns'!J7</f>
        <v>0</v>
      </c>
      <c r="G7" s="268">
        <f>'Revised Band Returns'!L7</f>
        <v>4.3478260869565216E-2</v>
      </c>
      <c r="H7" s="268">
        <f>'Revised Band Returns'!N7</f>
        <v>0.28260869565217389</v>
      </c>
      <c r="I7" s="269">
        <v>10</v>
      </c>
      <c r="J7" s="269">
        <v>41</v>
      </c>
      <c r="K7" s="269">
        <f t="shared" si="0"/>
        <v>51</v>
      </c>
      <c r="L7" s="269">
        <v>12</v>
      </c>
      <c r="M7" s="376">
        <f t="shared" si="1"/>
        <v>63</v>
      </c>
      <c r="N7" s="235">
        <f t="shared" si="2"/>
        <v>232187.89995907253</v>
      </c>
      <c r="O7" s="235">
        <f t="shared" si="3"/>
        <v>54632.447049193535</v>
      </c>
      <c r="P7" s="72">
        <f t="shared" si="4"/>
        <v>286820.34700826608</v>
      </c>
      <c r="Q7" s="269">
        <v>10</v>
      </c>
      <c r="R7" s="804">
        <v>39</v>
      </c>
      <c r="S7" s="804">
        <f t="shared" si="5"/>
        <v>49</v>
      </c>
      <c r="T7" s="804">
        <v>14</v>
      </c>
      <c r="U7" s="804">
        <f t="shared" si="6"/>
        <v>63</v>
      </c>
      <c r="V7" s="235">
        <f t="shared" si="7"/>
        <v>312315.48896455637</v>
      </c>
      <c r="W7" s="235">
        <f t="shared" si="8"/>
        <v>89232.996847016097</v>
      </c>
      <c r="X7" s="42">
        <f t="shared" si="9"/>
        <v>401548.48581157246</v>
      </c>
      <c r="Y7" s="42">
        <f t="shared" si="10"/>
        <v>688368.83281983854</v>
      </c>
      <c r="Z7" s="253">
        <f t="shared" si="11"/>
        <v>63</v>
      </c>
      <c r="AA7" s="1200">
        <f t="shared" si="12"/>
        <v>10926.489409838707</v>
      </c>
    </row>
    <row r="8" spans="1:27" x14ac:dyDescent="0.3">
      <c r="A8" s="244">
        <v>9257011</v>
      </c>
      <c r="B8" s="237" t="s">
        <v>210</v>
      </c>
      <c r="C8" s="238">
        <v>3</v>
      </c>
      <c r="D8" s="268">
        <f>'Revised Band Returns'!F8</f>
        <v>0.35</v>
      </c>
      <c r="E8" s="268">
        <f>'Revised Band Returns'!H8</f>
        <v>0.375</v>
      </c>
      <c r="F8" s="268">
        <f>'Revised Band Returns'!J8</f>
        <v>2.5000000000000001E-2</v>
      </c>
      <c r="G8" s="268">
        <f>'Revised Band Returns'!L8</f>
        <v>2.5000000000000001E-2</v>
      </c>
      <c r="H8" s="268">
        <f>'Revised Band Returns'!N8</f>
        <v>0.22500000000000001</v>
      </c>
      <c r="I8" s="269">
        <v>0</v>
      </c>
      <c r="J8" s="269">
        <v>38</v>
      </c>
      <c r="K8" s="269">
        <f t="shared" si="0"/>
        <v>38</v>
      </c>
      <c r="L8" s="269">
        <v>3</v>
      </c>
      <c r="M8" s="376">
        <f t="shared" si="1"/>
        <v>41</v>
      </c>
      <c r="N8" s="235">
        <f t="shared" si="2"/>
        <v>166574.49625527041</v>
      </c>
      <c r="O8" s="235">
        <f t="shared" si="3"/>
        <v>13150.618125416086</v>
      </c>
      <c r="P8" s="72">
        <f t="shared" si="4"/>
        <v>179725.11438068649</v>
      </c>
      <c r="Q8" s="269">
        <v>0</v>
      </c>
      <c r="R8" s="804">
        <v>39</v>
      </c>
      <c r="S8" s="804">
        <f t="shared" si="5"/>
        <v>39</v>
      </c>
      <c r="T8" s="804">
        <v>2</v>
      </c>
      <c r="U8" s="804">
        <f t="shared" si="6"/>
        <v>41</v>
      </c>
      <c r="V8" s="235">
        <f t="shared" si="7"/>
        <v>239341.24988257277</v>
      </c>
      <c r="W8" s="235">
        <f t="shared" si="8"/>
        <v>12273.910250388348</v>
      </c>
      <c r="X8" s="42">
        <f t="shared" si="9"/>
        <v>251615.16013296111</v>
      </c>
      <c r="Y8" s="42">
        <f t="shared" si="10"/>
        <v>431340.2745136476</v>
      </c>
      <c r="Z8" s="253">
        <f t="shared" si="11"/>
        <v>41</v>
      </c>
      <c r="AA8" s="1200">
        <f t="shared" si="12"/>
        <v>10520.494500332868</v>
      </c>
    </row>
    <row r="9" spans="1:27" x14ac:dyDescent="0.3">
      <c r="A9" s="244">
        <v>9257024</v>
      </c>
      <c r="B9" s="237" t="s">
        <v>211</v>
      </c>
      <c r="C9" s="238">
        <v>3</v>
      </c>
      <c r="D9" s="268">
        <f>'Revised Band Returns'!F9</f>
        <v>0.15217391304347827</v>
      </c>
      <c r="E9" s="268">
        <f>'Revised Band Returns'!H9</f>
        <v>0.65217391304347827</v>
      </c>
      <c r="F9" s="268">
        <f>'Revised Band Returns'!J9</f>
        <v>2.1739130434782608E-2</v>
      </c>
      <c r="G9" s="268">
        <f>'Revised Band Returns'!L9</f>
        <v>0.15217391304347827</v>
      </c>
      <c r="H9" s="268">
        <f>'Revised Band Returns'!N9</f>
        <v>2.1739130434782608E-2</v>
      </c>
      <c r="I9" s="269">
        <v>0</v>
      </c>
      <c r="J9" s="269">
        <v>38</v>
      </c>
      <c r="K9" s="269">
        <f t="shared" si="0"/>
        <v>38</v>
      </c>
      <c r="L9" s="269">
        <v>9</v>
      </c>
      <c r="M9" s="376">
        <f t="shared" si="1"/>
        <v>47</v>
      </c>
      <c r="N9" s="235">
        <f t="shared" si="2"/>
        <v>139320.71497922856</v>
      </c>
      <c r="O9" s="235">
        <f t="shared" si="3"/>
        <v>32997.011442448857</v>
      </c>
      <c r="P9" s="72">
        <f t="shared" si="4"/>
        <v>172317.72642167742</v>
      </c>
      <c r="Q9" s="269">
        <v>0</v>
      </c>
      <c r="R9" s="804">
        <v>36</v>
      </c>
      <c r="S9" s="804">
        <f t="shared" si="5"/>
        <v>36</v>
      </c>
      <c r="T9" s="804">
        <v>11</v>
      </c>
      <c r="U9" s="804">
        <f t="shared" si="6"/>
        <v>47</v>
      </c>
      <c r="V9" s="235">
        <f t="shared" si="7"/>
        <v>184783.2640777136</v>
      </c>
      <c r="W9" s="235">
        <f t="shared" si="8"/>
        <v>56461.552912634725</v>
      </c>
      <c r="X9" s="42">
        <f t="shared" si="9"/>
        <v>241244.81699034834</v>
      </c>
      <c r="Y9" s="42">
        <f t="shared" si="10"/>
        <v>413562.54341202579</v>
      </c>
      <c r="Z9" s="253">
        <f t="shared" si="11"/>
        <v>47</v>
      </c>
      <c r="AA9" s="1200">
        <f t="shared" si="12"/>
        <v>8799.2030513196969</v>
      </c>
    </row>
    <row r="10" spans="1:27" x14ac:dyDescent="0.3">
      <c r="A10" s="244">
        <v>9257031</v>
      </c>
      <c r="B10" s="237" t="s">
        <v>257</v>
      </c>
      <c r="C10" s="238">
        <v>3</v>
      </c>
      <c r="D10" s="268">
        <f>'Revised Band Returns'!F10</f>
        <v>0</v>
      </c>
      <c r="E10" s="268">
        <f>'Revised Band Returns'!H10</f>
        <v>0</v>
      </c>
      <c r="F10" s="268">
        <f>'Revised Band Returns'!J10</f>
        <v>0</v>
      </c>
      <c r="G10" s="268">
        <f>'Revised Band Returns'!L10</f>
        <v>0</v>
      </c>
      <c r="H10" s="268">
        <f>'Revised Band Returns'!N10</f>
        <v>1</v>
      </c>
      <c r="I10" s="269">
        <v>0</v>
      </c>
      <c r="J10" s="269">
        <v>61</v>
      </c>
      <c r="K10" s="269">
        <f t="shared" si="0"/>
        <v>61</v>
      </c>
      <c r="L10" s="269">
        <v>0</v>
      </c>
      <c r="M10" s="376">
        <f t="shared" si="1"/>
        <v>61</v>
      </c>
      <c r="N10" s="235">
        <f t="shared" si="2"/>
        <v>364146.32506795577</v>
      </c>
      <c r="O10" s="235">
        <f t="shared" si="3"/>
        <v>0</v>
      </c>
      <c r="P10" s="72">
        <f t="shared" si="4"/>
        <v>364146.32506795577</v>
      </c>
      <c r="Q10" s="269">
        <v>0</v>
      </c>
      <c r="R10" s="804">
        <v>61</v>
      </c>
      <c r="S10" s="804">
        <f t="shared" si="5"/>
        <v>61</v>
      </c>
      <c r="T10" s="804">
        <v>0</v>
      </c>
      <c r="U10" s="804">
        <f t="shared" si="6"/>
        <v>61</v>
      </c>
      <c r="V10" s="235">
        <f t="shared" si="7"/>
        <v>509804.85509513813</v>
      </c>
      <c r="W10" s="235">
        <f t="shared" si="8"/>
        <v>0</v>
      </c>
      <c r="X10" s="42">
        <f t="shared" si="9"/>
        <v>509804.85509513813</v>
      </c>
      <c r="Y10" s="42">
        <f t="shared" si="10"/>
        <v>873951.18016309384</v>
      </c>
      <c r="Z10" s="253">
        <f t="shared" si="11"/>
        <v>61</v>
      </c>
      <c r="AA10" s="1200">
        <f t="shared" si="12"/>
        <v>14327.068527263833</v>
      </c>
    </row>
    <row r="11" spans="1:27" x14ac:dyDescent="0.3">
      <c r="A11" s="244">
        <v>9257033</v>
      </c>
      <c r="B11" s="237" t="s">
        <v>220</v>
      </c>
      <c r="C11" s="238">
        <v>3</v>
      </c>
      <c r="D11" s="268">
        <f>'Revised Band Returns'!F11</f>
        <v>8.6956521739130432E-2</v>
      </c>
      <c r="E11" s="268">
        <f>'Revised Band Returns'!H11</f>
        <v>0.21739130434782608</v>
      </c>
      <c r="F11" s="268">
        <f>'Revised Band Returns'!J11</f>
        <v>0.5</v>
      </c>
      <c r="G11" s="268">
        <f>'Revised Band Returns'!L11</f>
        <v>4.3478260869565216E-2</v>
      </c>
      <c r="H11" s="268">
        <f>'Revised Band Returns'!N11</f>
        <v>0.15217391304347827</v>
      </c>
      <c r="I11" s="269">
        <v>10</v>
      </c>
      <c r="J11" s="269">
        <v>50</v>
      </c>
      <c r="K11" s="269">
        <f t="shared" si="0"/>
        <v>60</v>
      </c>
      <c r="L11" s="269">
        <v>0</v>
      </c>
      <c r="M11" s="376">
        <f t="shared" si="1"/>
        <v>60</v>
      </c>
      <c r="N11" s="235">
        <f t="shared" si="2"/>
        <v>210624.28604617293</v>
      </c>
      <c r="O11" s="235">
        <f t="shared" si="3"/>
        <v>0</v>
      </c>
      <c r="P11" s="72">
        <f t="shared" si="4"/>
        <v>210624.28604617293</v>
      </c>
      <c r="Q11" s="269">
        <v>10</v>
      </c>
      <c r="R11" s="804">
        <v>50</v>
      </c>
      <c r="S11" s="804">
        <f t="shared" si="5"/>
        <v>60</v>
      </c>
      <c r="T11" s="804">
        <v>0</v>
      </c>
      <c r="U11" s="804">
        <f t="shared" si="6"/>
        <v>60</v>
      </c>
      <c r="V11" s="235">
        <f t="shared" si="7"/>
        <v>294874.00046464213</v>
      </c>
      <c r="W11" s="235">
        <f t="shared" si="8"/>
        <v>0</v>
      </c>
      <c r="X11" s="42">
        <f t="shared" si="9"/>
        <v>294874.00046464213</v>
      </c>
      <c r="Y11" s="42">
        <f t="shared" si="10"/>
        <v>505498.28651081503</v>
      </c>
      <c r="Z11" s="253">
        <f t="shared" si="11"/>
        <v>60</v>
      </c>
      <c r="AA11" s="1200">
        <f t="shared" si="12"/>
        <v>8424.9714418469175</v>
      </c>
    </row>
    <row r="12" spans="1:27" x14ac:dyDescent="0.3">
      <c r="A12" s="244">
        <v>9257008</v>
      </c>
      <c r="B12" s="237" t="s">
        <v>212</v>
      </c>
      <c r="C12" s="238">
        <v>3</v>
      </c>
      <c r="D12" s="268">
        <f>'Revised Band Returns'!F12</f>
        <v>0</v>
      </c>
      <c r="E12" s="268">
        <f>'Revised Band Returns'!H12</f>
        <v>0.10526315789473684</v>
      </c>
      <c r="F12" s="268">
        <f>'Revised Band Returns'!J12</f>
        <v>0.55263157894736847</v>
      </c>
      <c r="G12" s="268">
        <f>'Revised Band Returns'!L12</f>
        <v>1.3157894736842105E-2</v>
      </c>
      <c r="H12" s="268">
        <f>'Revised Band Returns'!N12</f>
        <v>0.32894736842105265</v>
      </c>
      <c r="I12" s="269">
        <v>10</v>
      </c>
      <c r="J12" s="269">
        <v>74</v>
      </c>
      <c r="K12" s="269">
        <f t="shared" si="0"/>
        <v>84</v>
      </c>
      <c r="L12" s="269">
        <v>0</v>
      </c>
      <c r="M12" s="376">
        <f t="shared" si="1"/>
        <v>84</v>
      </c>
      <c r="N12" s="235">
        <f t="shared" si="2"/>
        <v>318180.53201804025</v>
      </c>
      <c r="O12" s="235">
        <f t="shared" si="3"/>
        <v>0</v>
      </c>
      <c r="P12" s="72">
        <f t="shared" si="4"/>
        <v>318180.53201804025</v>
      </c>
      <c r="Q12" s="269">
        <v>10</v>
      </c>
      <c r="R12" s="804">
        <v>74</v>
      </c>
      <c r="S12" s="804">
        <f t="shared" si="5"/>
        <v>84</v>
      </c>
      <c r="T12" s="804">
        <v>0</v>
      </c>
      <c r="U12" s="804">
        <f t="shared" si="6"/>
        <v>84</v>
      </c>
      <c r="V12" s="235">
        <f t="shared" si="7"/>
        <v>445452.74482525635</v>
      </c>
      <c r="W12" s="235">
        <f t="shared" si="8"/>
        <v>0</v>
      </c>
      <c r="X12" s="42">
        <f t="shared" si="9"/>
        <v>445452.74482525635</v>
      </c>
      <c r="Y12" s="42">
        <f t="shared" si="10"/>
        <v>763633.2768432966</v>
      </c>
      <c r="Z12" s="253">
        <f t="shared" si="11"/>
        <v>84</v>
      </c>
      <c r="AA12" s="1200">
        <f t="shared" si="12"/>
        <v>9090.8723433725791</v>
      </c>
    </row>
    <row r="13" spans="1:27" x14ac:dyDescent="0.3">
      <c r="A13" s="244">
        <v>9257034</v>
      </c>
      <c r="B13" s="237" t="s">
        <v>221</v>
      </c>
      <c r="C13" s="238">
        <v>4</v>
      </c>
      <c r="D13" s="268">
        <f>'Revised Band Returns'!F13</f>
        <v>5.3571428571428568E-2</v>
      </c>
      <c r="E13" s="268">
        <f>'Revised Band Returns'!H13</f>
        <v>7.1428571428571425E-2</v>
      </c>
      <c r="F13" s="268">
        <f>'Revised Band Returns'!J13</f>
        <v>0.6696428571428571</v>
      </c>
      <c r="G13" s="268">
        <f>'Revised Band Returns'!L13</f>
        <v>2.6785714285714284E-2</v>
      </c>
      <c r="H13" s="268">
        <f>'Revised Band Returns'!N13</f>
        <v>0.17857142857142858</v>
      </c>
      <c r="I13" s="269">
        <v>0</v>
      </c>
      <c r="J13" s="269">
        <v>82</v>
      </c>
      <c r="K13" s="269">
        <f t="shared" si="0"/>
        <v>82</v>
      </c>
      <c r="L13" s="269">
        <v>27</v>
      </c>
      <c r="M13" s="376">
        <f t="shared" si="1"/>
        <v>109</v>
      </c>
      <c r="N13" s="235">
        <f t="shared" si="2"/>
        <v>280303.95224728779</v>
      </c>
      <c r="O13" s="235">
        <f t="shared" si="3"/>
        <v>92295.203788741113</v>
      </c>
      <c r="P13" s="72">
        <f t="shared" si="4"/>
        <v>372599.15603602887</v>
      </c>
      <c r="Q13" s="269">
        <v>0</v>
      </c>
      <c r="R13" s="804">
        <v>78</v>
      </c>
      <c r="S13" s="804">
        <f t="shared" si="5"/>
        <v>78</v>
      </c>
      <c r="T13" s="804">
        <v>31</v>
      </c>
      <c r="U13" s="804">
        <f t="shared" si="6"/>
        <v>109</v>
      </c>
      <c r="V13" s="235">
        <f t="shared" si="7"/>
        <v>373282.8242122418</v>
      </c>
      <c r="W13" s="235">
        <f t="shared" si="8"/>
        <v>148355.99423819865</v>
      </c>
      <c r="X13" s="42">
        <f t="shared" si="9"/>
        <v>521638.81845044042</v>
      </c>
      <c r="Y13" s="42">
        <f t="shared" si="10"/>
        <v>894237.97448646929</v>
      </c>
      <c r="Z13" s="253">
        <f t="shared" si="11"/>
        <v>109</v>
      </c>
      <c r="AA13" s="1200">
        <f t="shared" si="12"/>
        <v>8204.0181145547649</v>
      </c>
    </row>
    <row r="14" spans="1:27" x14ac:dyDescent="0.3">
      <c r="A14" s="244">
        <v>9257002</v>
      </c>
      <c r="B14" s="237" t="s">
        <v>213</v>
      </c>
      <c r="C14" s="238">
        <v>4</v>
      </c>
      <c r="D14" s="268">
        <f>'Revised Band Returns'!F14</f>
        <v>1.6260162601626018E-2</v>
      </c>
      <c r="E14" s="268">
        <f>'Revised Band Returns'!H14</f>
        <v>0.25203252032520324</v>
      </c>
      <c r="F14" s="268">
        <f>'Revised Band Returns'!J14</f>
        <v>0.64227642276422769</v>
      </c>
      <c r="G14" s="268">
        <f>'Revised Band Returns'!L14</f>
        <v>0</v>
      </c>
      <c r="H14" s="268">
        <f>'Revised Band Returns'!N14</f>
        <v>8.943089430894309E-2</v>
      </c>
      <c r="I14" s="269">
        <v>0</v>
      </c>
      <c r="J14" s="269">
        <v>130</v>
      </c>
      <c r="K14" s="269">
        <f t="shared" si="0"/>
        <v>130</v>
      </c>
      <c r="L14" s="269">
        <v>0</v>
      </c>
      <c r="M14" s="376">
        <f t="shared" si="1"/>
        <v>130</v>
      </c>
      <c r="N14" s="235">
        <f t="shared" si="2"/>
        <v>397262.04589398362</v>
      </c>
      <c r="O14" s="235">
        <f t="shared" si="3"/>
        <v>0</v>
      </c>
      <c r="P14" s="72">
        <f t="shared" si="4"/>
        <v>397262.04589398362</v>
      </c>
      <c r="Q14" s="269">
        <v>0</v>
      </c>
      <c r="R14" s="804">
        <v>130</v>
      </c>
      <c r="S14" s="804">
        <f t="shared" si="5"/>
        <v>130</v>
      </c>
      <c r="T14" s="804">
        <v>0</v>
      </c>
      <c r="U14" s="804">
        <f t="shared" si="6"/>
        <v>130</v>
      </c>
      <c r="V14" s="235">
        <f t="shared" si="7"/>
        <v>556166.86425157706</v>
      </c>
      <c r="W14" s="235">
        <f t="shared" si="8"/>
        <v>0</v>
      </c>
      <c r="X14" s="42">
        <f t="shared" si="9"/>
        <v>556166.86425157706</v>
      </c>
      <c r="Y14" s="42">
        <f t="shared" si="10"/>
        <v>953428.91014556075</v>
      </c>
      <c r="Z14" s="253">
        <f t="shared" si="11"/>
        <v>130</v>
      </c>
      <c r="AA14" s="1200">
        <f t="shared" si="12"/>
        <v>7334.0685395812361</v>
      </c>
    </row>
    <row r="15" spans="1:27" x14ac:dyDescent="0.3">
      <c r="A15" s="244">
        <v>9257009</v>
      </c>
      <c r="B15" s="237" t="s">
        <v>214</v>
      </c>
      <c r="C15" s="238">
        <v>4</v>
      </c>
      <c r="D15" s="268">
        <f>'Revised Band Returns'!F15</f>
        <v>0</v>
      </c>
      <c r="E15" s="268">
        <f>'Revised Band Returns'!H15</f>
        <v>0.192</v>
      </c>
      <c r="F15" s="268">
        <f>'Revised Band Returns'!J15</f>
        <v>0.66400000000000003</v>
      </c>
      <c r="G15" s="268">
        <f>'Revised Band Returns'!L15</f>
        <v>0</v>
      </c>
      <c r="H15" s="268">
        <f>'Revised Band Returns'!N15</f>
        <v>0.14399999999999999</v>
      </c>
      <c r="I15" s="269">
        <v>0</v>
      </c>
      <c r="J15" s="269">
        <v>131</v>
      </c>
      <c r="K15" s="269">
        <f t="shared" si="0"/>
        <v>131</v>
      </c>
      <c r="L15" s="269">
        <v>0</v>
      </c>
      <c r="M15" s="376">
        <f t="shared" si="1"/>
        <v>131</v>
      </c>
      <c r="N15" s="235">
        <f t="shared" si="2"/>
        <v>415933.63426517654</v>
      </c>
      <c r="O15" s="235">
        <f t="shared" si="3"/>
        <v>0</v>
      </c>
      <c r="P15" s="72">
        <f t="shared" si="4"/>
        <v>415933.63426517654</v>
      </c>
      <c r="Q15" s="269">
        <v>0</v>
      </c>
      <c r="R15" s="804">
        <v>131</v>
      </c>
      <c r="S15" s="804">
        <f t="shared" si="5"/>
        <v>131</v>
      </c>
      <c r="T15" s="804">
        <v>0</v>
      </c>
      <c r="U15" s="804">
        <f t="shared" si="6"/>
        <v>131</v>
      </c>
      <c r="V15" s="235">
        <f t="shared" si="7"/>
        <v>582307.08797124715</v>
      </c>
      <c r="W15" s="235">
        <f t="shared" si="8"/>
        <v>0</v>
      </c>
      <c r="X15" s="42">
        <f t="shared" si="9"/>
        <v>582307.08797124715</v>
      </c>
      <c r="Y15" s="42">
        <f t="shared" si="10"/>
        <v>998240.72223642375</v>
      </c>
      <c r="Z15" s="253">
        <f t="shared" si="11"/>
        <v>131</v>
      </c>
      <c r="AA15" s="1200">
        <f t="shared" si="12"/>
        <v>7620.1581850108687</v>
      </c>
    </row>
    <row r="16" spans="1:27" x14ac:dyDescent="0.3">
      <c r="A16" s="244">
        <v>9257029</v>
      </c>
      <c r="B16" s="237" t="s">
        <v>259</v>
      </c>
      <c r="C16" s="238">
        <v>4</v>
      </c>
      <c r="D16" s="268">
        <f>'Revised Band Returns'!F16</f>
        <v>0</v>
      </c>
      <c r="E16" s="268">
        <f>'Revised Band Returns'!H16</f>
        <v>0</v>
      </c>
      <c r="F16" s="268">
        <f>'Revised Band Returns'!J16</f>
        <v>0</v>
      </c>
      <c r="G16" s="268">
        <f>'Revised Band Returns'!L16</f>
        <v>0</v>
      </c>
      <c r="H16" s="268">
        <f>'Revised Band Returns'!N16</f>
        <v>1</v>
      </c>
      <c r="I16" s="269">
        <v>0</v>
      </c>
      <c r="J16" s="269">
        <v>62</v>
      </c>
      <c r="K16" s="269">
        <f t="shared" si="0"/>
        <v>62</v>
      </c>
      <c r="L16" s="269">
        <v>0</v>
      </c>
      <c r="M16" s="376">
        <f t="shared" si="1"/>
        <v>62</v>
      </c>
      <c r="N16" s="235">
        <f t="shared" si="2"/>
        <v>370115.93695431569</v>
      </c>
      <c r="O16" s="235">
        <f t="shared" si="3"/>
        <v>0</v>
      </c>
      <c r="P16" s="72">
        <f t="shared" si="4"/>
        <v>370115.93695431569</v>
      </c>
      <c r="Q16" s="269">
        <v>0</v>
      </c>
      <c r="R16" s="804">
        <v>62</v>
      </c>
      <c r="S16" s="804">
        <f t="shared" si="5"/>
        <v>62</v>
      </c>
      <c r="T16" s="804">
        <v>0</v>
      </c>
      <c r="U16" s="804">
        <f t="shared" si="6"/>
        <v>62</v>
      </c>
      <c r="V16" s="235">
        <f t="shared" si="7"/>
        <v>518162.31173604203</v>
      </c>
      <c r="W16" s="235">
        <f t="shared" si="8"/>
        <v>0</v>
      </c>
      <c r="X16" s="42">
        <f t="shared" si="9"/>
        <v>518162.31173604203</v>
      </c>
      <c r="Y16" s="42">
        <f t="shared" si="10"/>
        <v>888278.24869035766</v>
      </c>
      <c r="Z16" s="253">
        <f t="shared" si="11"/>
        <v>62.000000000000007</v>
      </c>
      <c r="AA16" s="1200">
        <f t="shared" si="12"/>
        <v>14327.068527263831</v>
      </c>
    </row>
    <row r="17" spans="1:27" x14ac:dyDescent="0.3">
      <c r="A17" s="244">
        <v>9257032</v>
      </c>
      <c r="B17" s="237" t="s">
        <v>261</v>
      </c>
      <c r="C17" s="238">
        <v>4</v>
      </c>
      <c r="D17" s="268">
        <f>'Revised Band Returns'!F17</f>
        <v>0</v>
      </c>
      <c r="E17" s="268">
        <f>'Revised Band Returns'!H17</f>
        <v>0</v>
      </c>
      <c r="F17" s="268">
        <f>'Revised Band Returns'!J17</f>
        <v>0</v>
      </c>
      <c r="G17" s="268">
        <f>'Revised Band Returns'!L17</f>
        <v>0</v>
      </c>
      <c r="H17" s="268">
        <f>'Revised Band Returns'!N17</f>
        <v>1</v>
      </c>
      <c r="I17" s="269">
        <v>0</v>
      </c>
      <c r="J17" s="269">
        <v>59</v>
      </c>
      <c r="K17" s="269">
        <f t="shared" si="0"/>
        <v>59</v>
      </c>
      <c r="L17" s="269">
        <v>0</v>
      </c>
      <c r="M17" s="376">
        <f t="shared" si="1"/>
        <v>59</v>
      </c>
      <c r="N17" s="235">
        <f t="shared" si="2"/>
        <v>352207.10129523586</v>
      </c>
      <c r="O17" s="235">
        <f t="shared" si="3"/>
        <v>0</v>
      </c>
      <c r="P17" s="72">
        <f t="shared" si="4"/>
        <v>352207.10129523586</v>
      </c>
      <c r="Q17" s="269">
        <v>0</v>
      </c>
      <c r="R17" s="804">
        <v>59</v>
      </c>
      <c r="S17" s="804">
        <f t="shared" si="5"/>
        <v>59</v>
      </c>
      <c r="T17" s="804">
        <v>0</v>
      </c>
      <c r="U17" s="804">
        <f t="shared" si="6"/>
        <v>59</v>
      </c>
      <c r="V17" s="235">
        <f t="shared" si="7"/>
        <v>493089.94181333022</v>
      </c>
      <c r="W17" s="235">
        <f t="shared" si="8"/>
        <v>0</v>
      </c>
      <c r="X17" s="42">
        <f t="shared" si="9"/>
        <v>493089.94181333022</v>
      </c>
      <c r="Y17" s="42">
        <f t="shared" si="10"/>
        <v>845297.04310856608</v>
      </c>
      <c r="Z17" s="253">
        <f t="shared" si="11"/>
        <v>59.000000000000007</v>
      </c>
      <c r="AA17" s="1200">
        <f t="shared" si="12"/>
        <v>14327.068527263829</v>
      </c>
    </row>
    <row r="18" spans="1:27" x14ac:dyDescent="0.3">
      <c r="A18" s="244">
        <v>9257030</v>
      </c>
      <c r="B18" s="237" t="s">
        <v>262</v>
      </c>
      <c r="C18" s="238">
        <v>4</v>
      </c>
      <c r="D18" s="268">
        <f>'Revised Band Returns'!F18</f>
        <v>0</v>
      </c>
      <c r="E18" s="268">
        <f>'Revised Band Returns'!H18</f>
        <v>0</v>
      </c>
      <c r="F18" s="268">
        <f>'Revised Band Returns'!J18</f>
        <v>0</v>
      </c>
      <c r="G18" s="268">
        <f>'Revised Band Returns'!L18</f>
        <v>0</v>
      </c>
      <c r="H18" s="268">
        <f>'Revised Band Returns'!N18</f>
        <v>1</v>
      </c>
      <c r="I18" s="269">
        <v>0</v>
      </c>
      <c r="J18" s="269">
        <v>55</v>
      </c>
      <c r="K18" s="269">
        <f t="shared" si="0"/>
        <v>55</v>
      </c>
      <c r="L18" s="269">
        <v>0</v>
      </c>
      <c r="M18" s="376">
        <f t="shared" si="1"/>
        <v>55</v>
      </c>
      <c r="N18" s="235">
        <f t="shared" si="2"/>
        <v>328328.65374979615</v>
      </c>
      <c r="O18" s="235">
        <f t="shared" si="3"/>
        <v>0</v>
      </c>
      <c r="P18" s="72">
        <f t="shared" si="4"/>
        <v>328328.65374979615</v>
      </c>
      <c r="Q18" s="269">
        <v>0</v>
      </c>
      <c r="R18" s="804">
        <v>55</v>
      </c>
      <c r="S18" s="804">
        <f t="shared" si="5"/>
        <v>55</v>
      </c>
      <c r="T18" s="804">
        <v>0</v>
      </c>
      <c r="U18" s="804">
        <f t="shared" si="6"/>
        <v>55</v>
      </c>
      <c r="V18" s="235">
        <f t="shared" si="7"/>
        <v>459660.11524971464</v>
      </c>
      <c r="W18" s="235">
        <f t="shared" si="8"/>
        <v>0</v>
      </c>
      <c r="X18" s="42">
        <f t="shared" si="9"/>
        <v>459660.11524971464</v>
      </c>
      <c r="Y18" s="42">
        <f t="shared" si="10"/>
        <v>787988.76899951079</v>
      </c>
      <c r="Z18" s="253">
        <f t="shared" si="11"/>
        <v>55</v>
      </c>
      <c r="AA18" s="1200">
        <f t="shared" si="12"/>
        <v>14327.068527263833</v>
      </c>
    </row>
    <row r="19" spans="1:27" x14ac:dyDescent="0.3">
      <c r="A19" s="244">
        <v>9257028</v>
      </c>
      <c r="B19" s="237" t="s">
        <v>215</v>
      </c>
      <c r="C19" s="238">
        <v>4</v>
      </c>
      <c r="D19" s="268">
        <f>'Revised Band Returns'!F19</f>
        <v>0.25714285714285712</v>
      </c>
      <c r="E19" s="268">
        <f>'Revised Band Returns'!H19</f>
        <v>0.31428571428571428</v>
      </c>
      <c r="F19" s="268">
        <f>'Revised Band Returns'!J19</f>
        <v>5.7142857142857141E-2</v>
      </c>
      <c r="G19" s="268">
        <f>'Revised Band Returns'!L19</f>
        <v>0.15714285714285714</v>
      </c>
      <c r="H19" s="268">
        <f>'Revised Band Returns'!N19</f>
        <v>0.21428571428571427</v>
      </c>
      <c r="I19" s="269">
        <v>0</v>
      </c>
      <c r="J19" s="269">
        <v>59</v>
      </c>
      <c r="K19" s="269">
        <f t="shared" si="0"/>
        <v>59</v>
      </c>
      <c r="L19" s="269">
        <v>14</v>
      </c>
      <c r="M19" s="376">
        <f t="shared" si="1"/>
        <v>73</v>
      </c>
      <c r="N19" s="235">
        <f t="shared" si="2"/>
        <v>260110.15586796915</v>
      </c>
      <c r="O19" s="235">
        <f t="shared" si="3"/>
        <v>61721.053934772346</v>
      </c>
      <c r="P19" s="72">
        <f t="shared" si="4"/>
        <v>321831.20980274148</v>
      </c>
      <c r="Q19" s="269">
        <v>0</v>
      </c>
      <c r="R19" s="804">
        <v>56</v>
      </c>
      <c r="S19" s="804">
        <f t="shared" si="5"/>
        <v>56</v>
      </c>
      <c r="T19" s="804">
        <v>17</v>
      </c>
      <c r="U19" s="804">
        <f t="shared" si="6"/>
        <v>73</v>
      </c>
      <c r="V19" s="235">
        <f t="shared" si="7"/>
        <v>345637.90203472512</v>
      </c>
      <c r="W19" s="235">
        <f t="shared" si="8"/>
        <v>104925.79168911299</v>
      </c>
      <c r="X19" s="42">
        <f t="shared" si="9"/>
        <v>450563.69372383808</v>
      </c>
      <c r="Y19" s="42">
        <f t="shared" si="10"/>
        <v>772394.9035265795</v>
      </c>
      <c r="Z19" s="253">
        <f t="shared" si="11"/>
        <v>73</v>
      </c>
      <c r="AA19" s="1200">
        <f t="shared" si="12"/>
        <v>10580.752103103829</v>
      </c>
    </row>
    <row r="20" spans="1:27" x14ac:dyDescent="0.3">
      <c r="A20" s="244">
        <v>9257021</v>
      </c>
      <c r="B20" s="237" t="s">
        <v>216</v>
      </c>
      <c r="C20" s="238">
        <v>5</v>
      </c>
      <c r="D20" s="268">
        <f>'Revised Band Returns'!F20</f>
        <v>1.4598540145985401E-2</v>
      </c>
      <c r="E20" s="268">
        <f>'Revised Band Returns'!H20</f>
        <v>0.10948905109489052</v>
      </c>
      <c r="F20" s="268">
        <f>'Revised Band Returns'!J20</f>
        <v>0.74452554744525545</v>
      </c>
      <c r="G20" s="268">
        <f>'Revised Band Returns'!L20</f>
        <v>2.1897810218978103E-2</v>
      </c>
      <c r="H20" s="268">
        <f>'Revised Band Returns'!N20</f>
        <v>0.10948905109489052</v>
      </c>
      <c r="I20" s="269">
        <v>0</v>
      </c>
      <c r="J20" s="269">
        <v>142</v>
      </c>
      <c r="K20" s="269">
        <f t="shared" si="0"/>
        <v>142</v>
      </c>
      <c r="L20" s="269">
        <v>0</v>
      </c>
      <c r="M20" s="376">
        <f t="shared" si="1"/>
        <v>142</v>
      </c>
      <c r="N20" s="235">
        <f t="shared" si="2"/>
        <v>440717.45291376894</v>
      </c>
      <c r="O20" s="235">
        <f t="shared" si="3"/>
        <v>0</v>
      </c>
      <c r="P20" s="72">
        <f t="shared" si="4"/>
        <v>440717.45291376894</v>
      </c>
      <c r="Q20" s="269">
        <v>0</v>
      </c>
      <c r="R20" s="804">
        <v>142</v>
      </c>
      <c r="S20" s="804">
        <f t="shared" si="5"/>
        <v>142</v>
      </c>
      <c r="T20" s="804">
        <v>0</v>
      </c>
      <c r="U20" s="804">
        <f t="shared" si="6"/>
        <v>142</v>
      </c>
      <c r="V20" s="235">
        <f t="shared" si="7"/>
        <v>617004.43407927651</v>
      </c>
      <c r="W20" s="235">
        <f t="shared" si="8"/>
        <v>0</v>
      </c>
      <c r="X20" s="42">
        <f t="shared" si="9"/>
        <v>617004.43407927651</v>
      </c>
      <c r="Y20" s="42">
        <f t="shared" si="10"/>
        <v>1057721.8869930455</v>
      </c>
      <c r="Z20" s="253">
        <f t="shared" si="11"/>
        <v>142</v>
      </c>
      <c r="AA20" s="1200">
        <f t="shared" si="12"/>
        <v>7448.7456830496158</v>
      </c>
    </row>
    <row r="21" spans="1:27" x14ac:dyDescent="0.3">
      <c r="A21" s="244">
        <v>9257015</v>
      </c>
      <c r="B21" s="237" t="s">
        <v>217</v>
      </c>
      <c r="C21" s="238">
        <v>5</v>
      </c>
      <c r="D21" s="268">
        <f>'Revised Band Returns'!F21</f>
        <v>4.9723756906077346E-2</v>
      </c>
      <c r="E21" s="268">
        <f>'Revised Band Returns'!H21</f>
        <v>0.13812154696132597</v>
      </c>
      <c r="F21" s="268">
        <f>'Revised Band Returns'!J21</f>
        <v>0.71823204419889508</v>
      </c>
      <c r="G21" s="268">
        <f>'Revised Band Returns'!L21</f>
        <v>1.1049723756906077E-2</v>
      </c>
      <c r="H21" s="268">
        <f>'Revised Band Returns'!N21</f>
        <v>8.2872928176795577E-2</v>
      </c>
      <c r="I21" s="269">
        <v>10</v>
      </c>
      <c r="J21" s="269">
        <v>201</v>
      </c>
      <c r="K21" s="269">
        <f t="shared" si="0"/>
        <v>211</v>
      </c>
      <c r="L21" s="269">
        <v>0</v>
      </c>
      <c r="M21" s="376">
        <f t="shared" si="1"/>
        <v>211</v>
      </c>
      <c r="N21" s="235">
        <f t="shared" si="2"/>
        <v>650367.66436397668</v>
      </c>
      <c r="O21" s="235">
        <f t="shared" si="3"/>
        <v>0</v>
      </c>
      <c r="P21" s="72">
        <f t="shared" si="4"/>
        <v>650367.66436397668</v>
      </c>
      <c r="Q21" s="269">
        <v>10</v>
      </c>
      <c r="R21" s="804">
        <v>218</v>
      </c>
      <c r="S21" s="804">
        <f t="shared" si="5"/>
        <v>228</v>
      </c>
      <c r="T21" s="804">
        <v>17</v>
      </c>
      <c r="U21" s="804">
        <f t="shared" si="6"/>
        <v>245</v>
      </c>
      <c r="V21" s="235">
        <f t="shared" si="7"/>
        <v>983873.73680085957</v>
      </c>
      <c r="W21" s="235">
        <f t="shared" si="8"/>
        <v>73359.006691292161</v>
      </c>
      <c r="X21" s="42">
        <f t="shared" si="9"/>
        <v>1057232.7434921516</v>
      </c>
      <c r="Y21" s="42">
        <f t="shared" si="10"/>
        <v>1707600.4078561282</v>
      </c>
      <c r="Z21" s="253">
        <f t="shared" si="11"/>
        <v>230.83333333333337</v>
      </c>
      <c r="AA21" s="1200">
        <f t="shared" si="12"/>
        <v>7397.5468932395434</v>
      </c>
    </row>
    <row r="22" spans="1:27" x14ac:dyDescent="0.3">
      <c r="A22" s="244">
        <v>9257017</v>
      </c>
      <c r="B22" s="237" t="s">
        <v>451</v>
      </c>
      <c r="C22" s="238">
        <v>5</v>
      </c>
      <c r="D22" s="268">
        <f>'Revised Band Returns'!F22</f>
        <v>0.30864197530864196</v>
      </c>
      <c r="E22" s="268">
        <f>'Revised Band Returns'!H22</f>
        <v>0.5679012345679012</v>
      </c>
      <c r="F22" s="268">
        <f>'Revised Band Returns'!J22</f>
        <v>0</v>
      </c>
      <c r="G22" s="268">
        <f>'Revised Band Returns'!L22</f>
        <v>0</v>
      </c>
      <c r="H22" s="268">
        <f>'Revised Band Returns'!N22</f>
        <v>0.12345679012345678</v>
      </c>
      <c r="I22" s="269">
        <v>0</v>
      </c>
      <c r="J22" s="269">
        <v>25</v>
      </c>
      <c r="K22" s="269">
        <f t="shared" si="0"/>
        <v>25</v>
      </c>
      <c r="L22" s="269">
        <v>12</v>
      </c>
      <c r="M22" s="376">
        <f t="shared" si="1"/>
        <v>37</v>
      </c>
      <c r="N22" s="235">
        <f t="shared" si="2"/>
        <v>99495.592950457911</v>
      </c>
      <c r="O22" s="235">
        <f t="shared" si="3"/>
        <v>47757.884616219795</v>
      </c>
      <c r="P22" s="72">
        <f t="shared" si="4"/>
        <v>147253.4775666777</v>
      </c>
      <c r="Q22" s="269">
        <v>0</v>
      </c>
      <c r="R22" s="804">
        <v>0</v>
      </c>
      <c r="S22" s="804">
        <f t="shared" si="5"/>
        <v>0</v>
      </c>
      <c r="T22" s="804">
        <v>0</v>
      </c>
      <c r="U22" s="804">
        <f t="shared" si="6"/>
        <v>0</v>
      </c>
      <c r="V22" s="235">
        <f t="shared" si="7"/>
        <v>0</v>
      </c>
      <c r="W22" s="235">
        <f t="shared" si="8"/>
        <v>0</v>
      </c>
      <c r="X22" s="42">
        <f t="shared" si="9"/>
        <v>0</v>
      </c>
      <c r="Y22" s="42">
        <f t="shared" si="10"/>
        <v>147253.4775666777</v>
      </c>
      <c r="Z22" s="253">
        <f t="shared" si="11"/>
        <v>15.416666666666668</v>
      </c>
      <c r="AA22" s="1200">
        <f t="shared" si="12"/>
        <v>9551.5769232439579</v>
      </c>
    </row>
    <row r="23" spans="1:27" x14ac:dyDescent="0.3">
      <c r="A23" s="244">
        <v>9257016</v>
      </c>
      <c r="B23" s="237" t="s">
        <v>219</v>
      </c>
      <c r="C23" s="238">
        <v>6</v>
      </c>
      <c r="D23" s="268">
        <f>'Revised Band Returns'!F23</f>
        <v>0.42307692307692307</v>
      </c>
      <c r="E23" s="268">
        <f>'Revised Band Returns'!H23</f>
        <v>0</v>
      </c>
      <c r="F23" s="268">
        <f>'Revised Band Returns'!J23</f>
        <v>0.125</v>
      </c>
      <c r="G23" s="268">
        <f>'Revised Band Returns'!L23</f>
        <v>0.36538461538461536</v>
      </c>
      <c r="H23" s="268">
        <f>'Revised Band Returns'!N23</f>
        <v>8.6538461538461536E-2</v>
      </c>
      <c r="I23" s="269">
        <v>0</v>
      </c>
      <c r="J23" s="269">
        <v>83</v>
      </c>
      <c r="K23" s="269">
        <f t="shared" si="0"/>
        <v>83</v>
      </c>
      <c r="L23" s="269">
        <v>46</v>
      </c>
      <c r="M23" s="376">
        <f t="shared" si="1"/>
        <v>129</v>
      </c>
      <c r="N23" s="235">
        <f t="shared" si="2"/>
        <v>388682.65777476312</v>
      </c>
      <c r="O23" s="235">
        <f t="shared" si="3"/>
        <v>215414.48503179642</v>
      </c>
      <c r="P23" s="72">
        <f t="shared" si="4"/>
        <v>604097.14280655957</v>
      </c>
      <c r="Q23" s="269">
        <v>0</v>
      </c>
      <c r="R23" s="804">
        <v>79</v>
      </c>
      <c r="S23" s="804">
        <f t="shared" si="5"/>
        <v>79</v>
      </c>
      <c r="T23" s="804">
        <v>50</v>
      </c>
      <c r="U23" s="804">
        <f t="shared" si="6"/>
        <v>129</v>
      </c>
      <c r="V23" s="235">
        <f t="shared" si="7"/>
        <v>517931.34879384103</v>
      </c>
      <c r="W23" s="235">
        <f t="shared" si="8"/>
        <v>327804.65113534243</v>
      </c>
      <c r="X23" s="42">
        <f t="shared" si="9"/>
        <v>845735.9999291834</v>
      </c>
      <c r="Y23" s="42">
        <f t="shared" si="10"/>
        <v>1449833.142735743</v>
      </c>
      <c r="Z23" s="253">
        <f t="shared" si="11"/>
        <v>129</v>
      </c>
      <c r="AA23" s="1200">
        <f t="shared" si="12"/>
        <v>11239.016610354596</v>
      </c>
    </row>
    <row r="24" spans="1:27" hidden="1" x14ac:dyDescent="0.3">
      <c r="A24" s="244">
        <v>9257012</v>
      </c>
      <c r="B24" s="244" t="s">
        <v>470</v>
      </c>
      <c r="C24" s="1220"/>
      <c r="D24" s="268">
        <v>0</v>
      </c>
      <c r="E24" s="268">
        <v>0</v>
      </c>
      <c r="F24" s="268">
        <v>0</v>
      </c>
      <c r="G24" s="268">
        <v>1</v>
      </c>
      <c r="H24" s="316">
        <v>0</v>
      </c>
      <c r="I24" s="269">
        <v>0</v>
      </c>
      <c r="J24" s="316"/>
      <c r="K24" s="376">
        <v>20</v>
      </c>
      <c r="L24" s="376">
        <v>0</v>
      </c>
      <c r="M24" s="376">
        <f>SUM(K24:L24)</f>
        <v>20</v>
      </c>
      <c r="N24" s="235">
        <f>((((K24*D24)*$G$57)+((K24*E24)*$G$59)+((K24*F24)*$G$61)+((K24*G24)*$G$63)+((K24*H24)*$G$65)+((K24*H24)*$G$67)))*(5/12)</f>
        <v>97433.505317473231</v>
      </c>
      <c r="O24" s="235">
        <f t="shared" si="3"/>
        <v>0</v>
      </c>
      <c r="P24" s="72">
        <f t="shared" si="4"/>
        <v>97433.505317473231</v>
      </c>
      <c r="Q24" s="72"/>
      <c r="R24" s="72"/>
      <c r="S24" s="316">
        <v>20</v>
      </c>
      <c r="T24" s="316">
        <v>0</v>
      </c>
      <c r="U24" s="316">
        <f t="shared" si="6"/>
        <v>20</v>
      </c>
      <c r="V24" s="235">
        <f t="shared" si="7"/>
        <v>136406.90744446253</v>
      </c>
      <c r="W24" s="235">
        <f t="shared" si="8"/>
        <v>0</v>
      </c>
      <c r="X24" s="42">
        <f t="shared" si="9"/>
        <v>136406.90744446253</v>
      </c>
      <c r="Y24" s="42">
        <f t="shared" si="10"/>
        <v>233840.41276193576</v>
      </c>
      <c r="Z24" s="253">
        <f t="shared" si="11"/>
        <v>20</v>
      </c>
      <c r="AA24" s="1200">
        <f t="shared" si="12"/>
        <v>11692.020638096788</v>
      </c>
    </row>
    <row r="25" spans="1:27" hidden="1" x14ac:dyDescent="0.3">
      <c r="A25" s="244">
        <v>9257003</v>
      </c>
      <c r="B25" s="244" t="s">
        <v>471</v>
      </c>
      <c r="C25" s="1220"/>
      <c r="D25" s="268">
        <v>0</v>
      </c>
      <c r="E25" s="268">
        <v>0</v>
      </c>
      <c r="F25" s="268">
        <v>0</v>
      </c>
      <c r="G25" s="268">
        <v>1</v>
      </c>
      <c r="H25" s="316">
        <v>0</v>
      </c>
      <c r="I25" s="269">
        <v>0</v>
      </c>
      <c r="J25" s="316"/>
      <c r="K25" s="376">
        <v>9</v>
      </c>
      <c r="L25" s="376">
        <v>0</v>
      </c>
      <c r="M25" s="376">
        <f>SUM(K25:L25)</f>
        <v>9</v>
      </c>
      <c r="N25" s="235">
        <f>((((K25*D25)*$G$57)+((K25*E25)*$G$59)+((K25*F25)*$G$61)+((K25*G25)*$G$63)+((K25*H25)*$G$65)+((K25*H25)*$G$67)))*(5/12)</f>
        <v>43845.07739286295</v>
      </c>
      <c r="O25" s="235">
        <f t="shared" si="3"/>
        <v>0</v>
      </c>
      <c r="P25" s="72">
        <f t="shared" si="4"/>
        <v>43845.07739286295</v>
      </c>
      <c r="Q25" s="72"/>
      <c r="R25" s="72"/>
      <c r="S25" s="316">
        <v>9</v>
      </c>
      <c r="T25" s="316">
        <v>0</v>
      </c>
      <c r="U25" s="316">
        <f t="shared" si="6"/>
        <v>9</v>
      </c>
      <c r="V25" s="235">
        <f t="shared" si="7"/>
        <v>61383.108350008137</v>
      </c>
      <c r="W25" s="235">
        <f t="shared" si="8"/>
        <v>0</v>
      </c>
      <c r="X25" s="42">
        <f t="shared" si="9"/>
        <v>61383.108350008137</v>
      </c>
      <c r="Y25" s="42">
        <f t="shared" si="10"/>
        <v>105228.18574287108</v>
      </c>
      <c r="Z25" s="253">
        <f t="shared" si="11"/>
        <v>9</v>
      </c>
      <c r="AA25" s="1200">
        <f t="shared" si="12"/>
        <v>11692.020638096787</v>
      </c>
    </row>
    <row r="26" spans="1:27" x14ac:dyDescent="0.3">
      <c r="A26" s="36"/>
      <c r="B26" s="36"/>
      <c r="C26" s="36"/>
      <c r="D26" s="36"/>
      <c r="E26" s="36"/>
      <c r="F26" s="36"/>
      <c r="G26" s="36"/>
      <c r="H26" s="36"/>
      <c r="I26" s="234"/>
      <c r="J26" s="234"/>
      <c r="K26" s="36"/>
      <c r="L26" s="36"/>
      <c r="M26" s="36"/>
      <c r="N26" s="36"/>
      <c r="O26" s="36"/>
      <c r="P26" s="36"/>
      <c r="Q26" s="36"/>
      <c r="R26" s="36"/>
      <c r="S26" s="36"/>
      <c r="T26" s="36"/>
      <c r="U26" s="36"/>
      <c r="V26" s="36"/>
      <c r="W26" s="235"/>
      <c r="Z26" s="36"/>
      <c r="AA26" s="36"/>
    </row>
    <row r="27" spans="1:27" x14ac:dyDescent="0.3">
      <c r="A27" s="36"/>
      <c r="B27" s="36"/>
      <c r="C27" s="36"/>
      <c r="D27" s="36"/>
      <c r="E27" s="36"/>
      <c r="F27" s="36"/>
      <c r="G27" s="36"/>
      <c r="H27" s="36"/>
      <c r="I27" s="234"/>
      <c r="J27" s="234"/>
      <c r="K27" s="36"/>
      <c r="L27" s="36"/>
      <c r="M27" s="36"/>
      <c r="N27" s="36"/>
      <c r="O27" s="36"/>
      <c r="P27" s="36"/>
      <c r="Q27" s="36"/>
      <c r="R27" s="36"/>
      <c r="S27" s="36"/>
      <c r="T27" s="36"/>
      <c r="U27" s="36"/>
      <c r="V27" s="36"/>
      <c r="W27" s="235"/>
      <c r="Z27" s="36"/>
      <c r="AA27" s="36"/>
    </row>
    <row r="28" spans="1:27" x14ac:dyDescent="0.3">
      <c r="A28" s="36"/>
      <c r="B28" s="36"/>
      <c r="C28" s="36"/>
      <c r="D28" s="36"/>
      <c r="E28" s="36"/>
      <c r="F28" s="36"/>
      <c r="G28" s="36"/>
      <c r="H28" s="36"/>
      <c r="I28" s="234"/>
      <c r="J28" s="234"/>
      <c r="K28" s="36"/>
      <c r="L28" s="36"/>
      <c r="M28" s="36"/>
      <c r="N28" s="36"/>
      <c r="O28" s="36"/>
      <c r="P28" s="36"/>
      <c r="Q28" s="36"/>
      <c r="R28" s="36"/>
      <c r="S28" s="36"/>
      <c r="T28" s="36"/>
      <c r="U28" s="36"/>
      <c r="V28" s="36"/>
      <c r="W28" s="235"/>
      <c r="Z28" s="36"/>
      <c r="AA28" s="36"/>
    </row>
    <row r="29" spans="1:27" x14ac:dyDescent="0.3">
      <c r="A29" s="36"/>
      <c r="B29" s="36"/>
      <c r="C29" s="36"/>
      <c r="D29" s="36"/>
      <c r="E29" s="36"/>
      <c r="F29" s="36"/>
      <c r="G29" s="36"/>
      <c r="H29" s="36"/>
      <c r="I29" s="234"/>
      <c r="J29" s="234"/>
      <c r="K29" s="36"/>
      <c r="L29" s="36"/>
      <c r="M29" s="36"/>
      <c r="N29" s="36"/>
      <c r="O29" s="36"/>
      <c r="P29" s="36"/>
      <c r="Q29" s="36"/>
      <c r="R29" s="36"/>
      <c r="S29" s="36"/>
      <c r="T29" s="36"/>
      <c r="U29" s="36"/>
      <c r="V29" s="36"/>
      <c r="W29" s="235"/>
      <c r="Z29" s="36"/>
      <c r="AA29" s="36"/>
    </row>
    <row r="30" spans="1:27" x14ac:dyDescent="0.3">
      <c r="A30" s="36"/>
      <c r="B30" s="36"/>
      <c r="C30" s="36"/>
      <c r="D30" s="36"/>
      <c r="E30" s="36"/>
      <c r="F30" s="36"/>
      <c r="G30" s="36"/>
      <c r="H30" s="36"/>
      <c r="I30" s="234"/>
      <c r="J30" s="234"/>
      <c r="K30" s="36"/>
      <c r="L30" s="36"/>
      <c r="M30" s="36"/>
      <c r="N30" s="36"/>
      <c r="O30" s="36"/>
      <c r="P30" s="36"/>
      <c r="Q30" s="36"/>
      <c r="R30" s="36"/>
      <c r="S30" s="36"/>
      <c r="T30" s="36"/>
      <c r="U30" s="36"/>
      <c r="V30" s="36"/>
      <c r="W30" s="235"/>
      <c r="Z30" s="36"/>
      <c r="AA30" s="36"/>
    </row>
    <row r="31" spans="1:27" x14ac:dyDescent="0.3">
      <c r="A31" s="36"/>
      <c r="B31" s="36"/>
      <c r="C31" s="36"/>
      <c r="D31" s="36"/>
      <c r="E31" s="36"/>
      <c r="F31" s="36"/>
      <c r="G31" s="36"/>
      <c r="H31" s="36"/>
      <c r="I31" s="234"/>
      <c r="J31" s="234"/>
      <c r="K31" s="36"/>
      <c r="L31" s="36"/>
      <c r="M31" s="36"/>
      <c r="N31" s="36"/>
      <c r="O31" s="36"/>
      <c r="P31" s="36"/>
      <c r="Q31" s="36"/>
      <c r="R31" s="36"/>
      <c r="S31" s="36"/>
      <c r="T31" s="36"/>
      <c r="U31" s="36"/>
      <c r="V31" s="36"/>
      <c r="W31" s="235"/>
      <c r="Z31" s="36"/>
      <c r="AA31" s="36"/>
    </row>
    <row r="32" spans="1:27" x14ac:dyDescent="0.3">
      <c r="A32" s="36"/>
      <c r="B32" s="36"/>
      <c r="C32" s="36"/>
      <c r="D32" s="36"/>
      <c r="E32" s="36"/>
      <c r="F32" s="36"/>
      <c r="G32" s="36"/>
      <c r="H32" s="36"/>
      <c r="I32" s="234"/>
      <c r="J32" s="234"/>
      <c r="K32" s="36"/>
      <c r="L32" s="36"/>
      <c r="M32" s="36"/>
      <c r="N32" s="36"/>
      <c r="O32" s="36"/>
      <c r="P32" s="36"/>
      <c r="Q32" s="36"/>
      <c r="R32" s="36"/>
      <c r="S32" s="36"/>
      <c r="T32" s="36"/>
      <c r="U32" s="36"/>
      <c r="V32" s="36"/>
      <c r="W32" s="235"/>
      <c r="Z32" s="36"/>
      <c r="AA32" s="36"/>
    </row>
    <row r="33" spans="2:23" x14ac:dyDescent="0.3">
      <c r="B33" s="36"/>
      <c r="C33" s="36"/>
      <c r="D33" s="36"/>
      <c r="E33" s="36"/>
      <c r="F33" s="36"/>
      <c r="G33" s="36"/>
      <c r="H33" s="36"/>
      <c r="I33" s="234"/>
      <c r="J33" s="234"/>
      <c r="K33" s="36"/>
      <c r="L33" s="36"/>
      <c r="M33" s="36"/>
      <c r="N33" s="36"/>
      <c r="O33" s="36"/>
      <c r="P33" s="36"/>
      <c r="Q33" s="36"/>
      <c r="R33" s="36"/>
      <c r="S33" s="36"/>
      <c r="T33" s="36"/>
      <c r="U33" s="36"/>
      <c r="V33" s="36"/>
      <c r="W33" s="235"/>
    </row>
    <row r="34" spans="2:23" x14ac:dyDescent="0.3">
      <c r="B34" s="36"/>
      <c r="C34" s="36"/>
      <c r="D34" s="36"/>
      <c r="E34" s="36"/>
      <c r="F34" s="36"/>
      <c r="G34" s="36"/>
      <c r="H34" s="36"/>
      <c r="I34" s="234"/>
      <c r="J34" s="234"/>
      <c r="K34" s="36"/>
      <c r="L34" s="36"/>
      <c r="M34" s="36"/>
      <c r="N34" s="36"/>
      <c r="O34" s="36"/>
      <c r="P34" s="36"/>
      <c r="Q34" s="36"/>
      <c r="R34" s="36"/>
      <c r="S34" s="36"/>
      <c r="T34" s="36"/>
      <c r="U34" s="36"/>
      <c r="V34" s="36"/>
      <c r="W34" s="235"/>
    </row>
    <row r="35" spans="2:23" x14ac:dyDescent="0.3">
      <c r="B35" s="36"/>
      <c r="C35" s="36"/>
      <c r="D35" s="36"/>
      <c r="E35" s="36"/>
      <c r="F35" s="36"/>
      <c r="G35" s="36"/>
      <c r="H35" s="36"/>
      <c r="I35" s="234"/>
      <c r="J35" s="234"/>
      <c r="K35" s="36"/>
      <c r="L35" s="36"/>
      <c r="M35" s="36"/>
      <c r="N35" s="36"/>
      <c r="O35" s="36"/>
      <c r="P35" s="36"/>
      <c r="Q35" s="36"/>
      <c r="R35" s="36"/>
      <c r="S35" s="36"/>
      <c r="T35" s="36"/>
      <c r="U35" s="36"/>
      <c r="V35" s="36"/>
      <c r="W35" s="235"/>
    </row>
    <row r="36" spans="2:23" x14ac:dyDescent="0.3">
      <c r="B36" s="36"/>
      <c r="C36" s="36"/>
      <c r="D36" s="36"/>
      <c r="E36" s="36"/>
      <c r="F36" s="36"/>
      <c r="G36" s="36"/>
      <c r="H36" s="36"/>
      <c r="I36" s="234"/>
      <c r="J36" s="234"/>
      <c r="K36" s="36"/>
      <c r="L36" s="36"/>
      <c r="M36" s="36"/>
      <c r="N36" s="36"/>
      <c r="O36" s="36"/>
      <c r="P36" s="36"/>
      <c r="Q36" s="36"/>
      <c r="R36" s="36"/>
      <c r="S36" s="36"/>
      <c r="T36" s="36"/>
      <c r="U36" s="36"/>
      <c r="V36" s="36"/>
      <c r="W36" s="235"/>
    </row>
    <row r="37" spans="2:23" x14ac:dyDescent="0.3">
      <c r="B37" s="36"/>
      <c r="C37" s="36"/>
      <c r="D37" s="36"/>
      <c r="E37" s="36"/>
      <c r="F37" s="36"/>
      <c r="G37" s="36"/>
      <c r="H37" s="36"/>
      <c r="I37" s="234"/>
      <c r="J37" s="234"/>
      <c r="K37" s="36"/>
      <c r="L37" s="36"/>
      <c r="M37" s="36"/>
      <c r="N37" s="36"/>
      <c r="O37" s="36"/>
      <c r="P37" s="36"/>
      <c r="Q37" s="36"/>
      <c r="R37" s="36"/>
      <c r="S37" s="36"/>
      <c r="T37" s="36"/>
      <c r="U37" s="36"/>
      <c r="V37" s="36"/>
      <c r="W37" s="235"/>
    </row>
    <row r="38" spans="2:23" x14ac:dyDescent="0.3">
      <c r="B38" s="36"/>
      <c r="C38" s="36"/>
      <c r="D38" s="36"/>
      <c r="E38" s="36"/>
      <c r="F38" s="36"/>
      <c r="G38" s="36"/>
      <c r="H38" s="36"/>
      <c r="I38" s="234"/>
      <c r="J38" s="234"/>
      <c r="K38" s="36"/>
      <c r="L38" s="36"/>
      <c r="M38" s="36"/>
      <c r="N38" s="36"/>
      <c r="O38" s="36"/>
      <c r="P38" s="36"/>
      <c r="Q38" s="36"/>
      <c r="R38" s="36"/>
      <c r="S38" s="36"/>
      <c r="T38" s="36"/>
      <c r="U38" s="36"/>
      <c r="V38" s="36"/>
      <c r="W38" s="235"/>
    </row>
    <row r="39" spans="2:23" x14ac:dyDescent="0.3">
      <c r="B39" s="36"/>
      <c r="C39" s="36"/>
      <c r="D39" s="36"/>
      <c r="E39" s="36"/>
      <c r="F39" s="36"/>
      <c r="G39" s="36"/>
      <c r="H39" s="36"/>
      <c r="I39" s="234"/>
      <c r="J39" s="234"/>
      <c r="K39" s="36"/>
      <c r="L39" s="36"/>
      <c r="M39" s="36"/>
      <c r="N39" s="36"/>
      <c r="O39" s="36"/>
      <c r="P39" s="36"/>
      <c r="Q39" s="36"/>
      <c r="R39" s="36"/>
      <c r="S39" s="36"/>
      <c r="T39" s="36"/>
      <c r="U39" s="36"/>
      <c r="V39" s="36"/>
      <c r="W39" s="235"/>
    </row>
    <row r="40" spans="2:23" x14ac:dyDescent="0.3">
      <c r="B40" s="36"/>
      <c r="C40" s="36"/>
      <c r="D40" s="36"/>
      <c r="E40" s="36"/>
      <c r="F40" s="36"/>
      <c r="G40" s="36"/>
      <c r="H40" s="36"/>
      <c r="I40" s="234"/>
      <c r="J40" s="234"/>
      <c r="K40" s="36"/>
      <c r="L40" s="36"/>
      <c r="M40" s="36"/>
      <c r="N40" s="36"/>
      <c r="O40" s="36"/>
      <c r="P40" s="36"/>
      <c r="Q40" s="36"/>
      <c r="R40" s="36"/>
      <c r="S40" s="36"/>
      <c r="T40" s="36"/>
      <c r="U40" s="36"/>
      <c r="V40" s="36"/>
      <c r="W40" s="235"/>
    </row>
    <row r="41" spans="2:23" x14ac:dyDescent="0.3">
      <c r="B41" s="36"/>
      <c r="C41" s="36"/>
      <c r="D41" s="36"/>
      <c r="E41" s="36"/>
      <c r="F41" s="36"/>
      <c r="G41" s="36"/>
      <c r="H41" s="36"/>
      <c r="I41" s="234"/>
      <c r="J41" s="234"/>
      <c r="K41" s="36"/>
      <c r="L41" s="36"/>
      <c r="M41" s="36"/>
      <c r="N41" s="36"/>
      <c r="O41" s="36"/>
      <c r="P41" s="36"/>
      <c r="Q41" s="36"/>
      <c r="R41" s="36"/>
      <c r="S41" s="36"/>
      <c r="T41" s="36"/>
      <c r="U41" s="36"/>
      <c r="V41" s="36"/>
      <c r="W41" s="235"/>
    </row>
    <row r="42" spans="2:23" x14ac:dyDescent="0.3">
      <c r="B42" s="36"/>
      <c r="C42" s="36"/>
      <c r="D42" s="36"/>
      <c r="E42" s="36"/>
      <c r="F42" s="36"/>
      <c r="G42" s="36"/>
      <c r="H42" s="36"/>
      <c r="I42" s="234"/>
      <c r="J42" s="234"/>
      <c r="K42" s="36"/>
      <c r="L42" s="36"/>
      <c r="M42" s="36"/>
      <c r="N42" s="36"/>
      <c r="O42" s="36"/>
      <c r="P42" s="36"/>
      <c r="Q42" s="36"/>
      <c r="R42" s="36"/>
      <c r="S42" s="36"/>
      <c r="T42" s="36"/>
      <c r="U42" s="36"/>
      <c r="V42" s="36"/>
      <c r="W42" s="235"/>
    </row>
    <row r="43" spans="2:23" x14ac:dyDescent="0.3">
      <c r="B43" s="36"/>
      <c r="C43" s="36"/>
      <c r="D43" s="36"/>
      <c r="E43" s="36"/>
      <c r="F43" s="36"/>
      <c r="G43" s="36"/>
      <c r="H43" s="36"/>
      <c r="I43" s="234"/>
      <c r="J43" s="234"/>
      <c r="K43" s="36"/>
      <c r="L43" s="36"/>
      <c r="M43" s="36"/>
      <c r="N43" s="36"/>
      <c r="O43" s="36"/>
      <c r="P43" s="36"/>
      <c r="Q43" s="36"/>
      <c r="R43" s="36"/>
      <c r="S43" s="36"/>
      <c r="T43" s="36"/>
      <c r="U43" s="36"/>
      <c r="V43" s="36"/>
      <c r="W43" s="235"/>
    </row>
    <row r="44" spans="2:23" x14ac:dyDescent="0.3">
      <c r="B44" s="36"/>
      <c r="C44" s="36"/>
      <c r="D44" s="36"/>
      <c r="E44" s="36"/>
      <c r="F44" s="36"/>
      <c r="G44" s="36"/>
      <c r="H44" s="36"/>
      <c r="I44" s="234"/>
      <c r="J44" s="234"/>
      <c r="K44" s="36"/>
      <c r="L44" s="36"/>
      <c r="M44" s="36"/>
      <c r="N44" s="36"/>
      <c r="O44" s="36"/>
      <c r="P44" s="36"/>
      <c r="Q44" s="36"/>
      <c r="R44" s="36"/>
      <c r="S44" s="36"/>
      <c r="T44" s="36"/>
      <c r="U44" s="36"/>
      <c r="V44" s="36"/>
      <c r="W44" s="235"/>
    </row>
    <row r="45" spans="2:23" x14ac:dyDescent="0.3">
      <c r="B45" s="36"/>
      <c r="C45" s="36"/>
      <c r="D45" s="36"/>
      <c r="E45" s="36"/>
      <c r="F45" s="36"/>
      <c r="G45" s="36"/>
      <c r="H45" s="36"/>
      <c r="I45" s="234"/>
      <c r="J45" s="234"/>
      <c r="K45" s="36"/>
      <c r="L45" s="36"/>
      <c r="M45" s="36"/>
      <c r="N45" s="36"/>
      <c r="O45" s="36"/>
      <c r="P45" s="36"/>
      <c r="Q45" s="36"/>
      <c r="R45" s="36"/>
      <c r="S45" s="36"/>
      <c r="T45" s="36"/>
      <c r="U45" s="36"/>
      <c r="V45" s="36"/>
      <c r="W45" s="235"/>
    </row>
    <row r="46" spans="2:23" x14ac:dyDescent="0.3">
      <c r="B46" s="36"/>
      <c r="C46" s="36"/>
      <c r="D46" s="36"/>
      <c r="E46" s="36"/>
      <c r="F46" s="36"/>
      <c r="G46" s="36"/>
      <c r="H46" s="36"/>
      <c r="I46" s="234"/>
      <c r="J46" s="234"/>
      <c r="K46" s="36"/>
      <c r="L46" s="36"/>
      <c r="M46" s="36"/>
      <c r="N46" s="36"/>
      <c r="O46" s="36"/>
      <c r="P46" s="36"/>
      <c r="Q46" s="36"/>
      <c r="R46" s="36"/>
      <c r="S46" s="36"/>
      <c r="T46" s="36"/>
      <c r="U46" s="36"/>
      <c r="V46" s="36"/>
      <c r="W46" s="235"/>
    </row>
    <row r="47" spans="2:23" x14ac:dyDescent="0.3">
      <c r="B47" s="36"/>
      <c r="C47" s="36"/>
      <c r="D47" s="36"/>
      <c r="E47" s="36"/>
      <c r="F47" s="36"/>
      <c r="G47" s="36"/>
      <c r="H47" s="36"/>
      <c r="I47" s="234"/>
      <c r="J47" s="234"/>
      <c r="K47" s="36"/>
      <c r="L47" s="36"/>
      <c r="M47" s="36"/>
      <c r="N47" s="36"/>
      <c r="O47" s="36"/>
      <c r="P47" s="36"/>
      <c r="Q47" s="36"/>
      <c r="R47" s="36"/>
      <c r="S47" s="36"/>
      <c r="T47" s="36"/>
      <c r="U47" s="36"/>
      <c r="V47" s="36"/>
      <c r="W47" s="235"/>
    </row>
    <row r="48" spans="2:23" x14ac:dyDescent="0.3">
      <c r="B48" s="36"/>
      <c r="C48" s="36"/>
      <c r="D48" s="36"/>
      <c r="E48" s="36"/>
      <c r="F48" s="36"/>
      <c r="G48" s="36"/>
      <c r="H48" s="36"/>
      <c r="I48" s="234"/>
      <c r="J48" s="234"/>
      <c r="K48" s="36"/>
      <c r="L48" s="36"/>
      <c r="M48" s="36"/>
      <c r="N48" s="36"/>
      <c r="O48" s="36"/>
      <c r="P48" s="36"/>
      <c r="Q48" s="36"/>
      <c r="R48" s="36"/>
      <c r="S48" s="36"/>
      <c r="T48" s="36"/>
      <c r="U48" s="36"/>
      <c r="V48" s="36"/>
      <c r="W48" s="235"/>
    </row>
    <row r="49" spans="2:26" x14ac:dyDescent="0.3">
      <c r="B49" s="36"/>
      <c r="C49" s="36"/>
      <c r="D49" s="36"/>
      <c r="E49" s="36"/>
      <c r="F49" s="36"/>
      <c r="G49" s="36"/>
      <c r="H49" s="36"/>
      <c r="I49" s="234"/>
      <c r="J49" s="234"/>
      <c r="K49" s="36"/>
      <c r="L49" s="36"/>
      <c r="M49" s="36"/>
      <c r="N49" s="36"/>
      <c r="O49" s="36"/>
      <c r="P49" s="36"/>
      <c r="Q49" s="36"/>
      <c r="R49" s="36"/>
      <c r="S49" s="36"/>
      <c r="T49" s="36"/>
      <c r="U49" s="36"/>
      <c r="V49" s="36"/>
      <c r="W49" s="235"/>
      <c r="Z49" s="36"/>
    </row>
    <row r="50" spans="2:26" x14ac:dyDescent="0.3">
      <c r="B50" s="36"/>
      <c r="C50" s="36"/>
      <c r="D50" s="36"/>
      <c r="E50" s="36"/>
      <c r="F50" s="36"/>
      <c r="G50" s="36"/>
      <c r="H50" s="36"/>
      <c r="I50" s="234"/>
      <c r="J50" s="234"/>
      <c r="K50" s="36"/>
      <c r="L50" s="36"/>
      <c r="M50" s="36"/>
      <c r="N50" s="36"/>
      <c r="O50" s="36"/>
      <c r="P50" s="36"/>
      <c r="Q50" s="36"/>
      <c r="R50" s="36"/>
      <c r="S50" s="36"/>
      <c r="T50" s="36"/>
      <c r="U50" s="36"/>
      <c r="V50" s="36"/>
      <c r="W50" s="235"/>
      <c r="Z50" s="36"/>
    </row>
    <row r="51" spans="2:26" x14ac:dyDescent="0.3">
      <c r="B51" s="36"/>
      <c r="C51" s="36"/>
      <c r="D51" s="36"/>
      <c r="E51" s="36"/>
      <c r="F51" s="36"/>
      <c r="G51" s="36"/>
      <c r="H51" s="36"/>
      <c r="I51" s="234"/>
      <c r="J51" s="234"/>
      <c r="K51" s="36"/>
      <c r="L51" s="36"/>
      <c r="M51" s="36"/>
      <c r="N51" s="36"/>
      <c r="O51" s="36"/>
      <c r="P51" s="36"/>
      <c r="Q51" s="36"/>
      <c r="R51" s="36"/>
      <c r="S51" s="36"/>
      <c r="T51" s="36"/>
      <c r="U51" s="36"/>
      <c r="V51" s="36"/>
      <c r="W51" s="235"/>
      <c r="Z51" s="36"/>
    </row>
    <row r="52" spans="2:26" x14ac:dyDescent="0.3">
      <c r="B52" s="36"/>
      <c r="C52" s="36"/>
      <c r="D52" s="36"/>
      <c r="E52" s="36"/>
      <c r="F52" s="36"/>
      <c r="G52" s="36"/>
      <c r="H52" s="36"/>
      <c r="I52" s="234"/>
      <c r="J52" s="234"/>
      <c r="K52" s="36"/>
      <c r="L52" s="36"/>
      <c r="M52" s="36"/>
      <c r="N52" s="36"/>
      <c r="O52" s="36"/>
      <c r="P52" s="36"/>
      <c r="Q52" s="36"/>
      <c r="R52" s="36"/>
      <c r="S52" s="36"/>
      <c r="T52" s="36"/>
      <c r="U52" s="36"/>
      <c r="V52" s="36"/>
      <c r="W52" s="235"/>
      <c r="Z52" s="36"/>
    </row>
    <row r="53" spans="2:26" x14ac:dyDescent="0.3">
      <c r="B53" s="36"/>
      <c r="C53" s="36"/>
      <c r="D53" s="36"/>
      <c r="E53" s="36"/>
      <c r="F53" s="36"/>
      <c r="G53" s="36"/>
      <c r="H53" s="36"/>
      <c r="I53" s="234"/>
      <c r="J53" s="234"/>
      <c r="K53" s="36"/>
      <c r="L53" s="36"/>
      <c r="M53" s="36"/>
      <c r="N53" s="36"/>
      <c r="O53" s="36"/>
      <c r="P53" s="36"/>
      <c r="Q53" s="36"/>
      <c r="R53" s="36"/>
      <c r="S53" s="36"/>
      <c r="T53" s="36"/>
      <c r="U53" s="36"/>
      <c r="V53" s="36"/>
      <c r="W53" s="36"/>
      <c r="Z53" s="42"/>
    </row>
    <row r="54" spans="2:26" x14ac:dyDescent="0.3">
      <c r="B54" s="36"/>
      <c r="C54" s="36"/>
      <c r="D54" s="36"/>
      <c r="E54" s="36"/>
      <c r="F54" s="36"/>
      <c r="G54" s="36"/>
      <c r="H54" s="36"/>
      <c r="I54" s="234"/>
      <c r="J54" s="234"/>
      <c r="K54" s="36"/>
      <c r="L54" s="36"/>
      <c r="M54" s="36"/>
      <c r="N54" s="36"/>
      <c r="O54" s="36"/>
      <c r="P54" s="36"/>
      <c r="Q54" s="36"/>
      <c r="R54" s="36"/>
      <c r="S54" s="36"/>
      <c r="T54" s="36"/>
      <c r="U54" s="36"/>
      <c r="V54" s="36"/>
      <c r="W54" s="36"/>
      <c r="Z54" s="36"/>
    </row>
    <row r="55" spans="2:26" ht="12.5" x14ac:dyDescent="0.25">
      <c r="B55" s="36"/>
      <c r="C55" s="36"/>
      <c r="D55" s="36"/>
      <c r="E55" s="36"/>
      <c r="F55" s="36"/>
      <c r="G55" s="36"/>
      <c r="H55" s="36"/>
      <c r="I55" s="234"/>
      <c r="J55" s="234"/>
      <c r="K55" s="36"/>
      <c r="L55" s="36"/>
      <c r="M55" s="90"/>
      <c r="N55" s="90"/>
      <c r="O55" s="90"/>
      <c r="P55" s="90"/>
      <c r="Q55" s="90"/>
      <c r="R55" s="90"/>
      <c r="S55" s="234"/>
      <c r="T55" s="70"/>
      <c r="U55" s="70"/>
      <c r="V55" s="70"/>
      <c r="W55" s="70"/>
      <c r="X55" s="75"/>
      <c r="Y55" s="75"/>
      <c r="Z55" s="36"/>
    </row>
    <row r="56" spans="2:26" ht="12.5" x14ac:dyDescent="0.25">
      <c r="B56" s="36"/>
      <c r="C56" s="36"/>
      <c r="D56" s="36"/>
      <c r="E56" s="36"/>
      <c r="F56" s="36"/>
      <c r="G56" s="36"/>
      <c r="H56" s="36"/>
      <c r="I56" s="234"/>
      <c r="J56" s="234"/>
      <c r="K56" s="36"/>
      <c r="L56" s="36"/>
      <c r="M56" s="90"/>
      <c r="N56" s="90"/>
      <c r="O56" s="90"/>
      <c r="P56" s="90"/>
      <c r="Q56" s="90"/>
      <c r="R56" s="90"/>
      <c r="S56" s="234"/>
      <c r="T56" s="70"/>
      <c r="U56" s="70"/>
      <c r="V56" s="70"/>
      <c r="W56" s="70"/>
      <c r="X56" s="75"/>
      <c r="Y56" s="75"/>
      <c r="Z56" s="36"/>
    </row>
    <row r="57" spans="2:26" ht="12.5" x14ac:dyDescent="0.25">
      <c r="B57" s="36"/>
      <c r="C57" s="35"/>
      <c r="D57" s="36"/>
      <c r="E57" s="36" t="s">
        <v>39</v>
      </c>
      <c r="F57" s="36"/>
      <c r="G57" s="235">
        <f>'Funding Model'!D7</f>
        <v>11692.020638096787</v>
      </c>
      <c r="H57" s="281">
        <f>'Funding Model'!E7</f>
        <v>0</v>
      </c>
      <c r="I57" s="281"/>
      <c r="J57" s="281"/>
      <c r="K57" s="281"/>
      <c r="L57" s="281"/>
      <c r="M57" s="90"/>
      <c r="N57" s="90"/>
      <c r="O57" s="90"/>
      <c r="P57" s="90"/>
      <c r="Q57" s="90"/>
      <c r="R57" s="90"/>
      <c r="S57" s="234"/>
      <c r="T57" s="70"/>
      <c r="U57" s="70"/>
      <c r="V57" s="70"/>
      <c r="W57" s="70"/>
      <c r="X57" s="75"/>
      <c r="Y57" s="75"/>
      <c r="Z57" s="36"/>
    </row>
    <row r="58" spans="2:26" ht="12.5" x14ac:dyDescent="0.25">
      <c r="B58" s="36"/>
      <c r="C58" s="36"/>
      <c r="D58" s="36"/>
      <c r="E58" s="36"/>
      <c r="F58" s="36"/>
      <c r="G58" s="235"/>
      <c r="H58" s="281"/>
      <c r="I58" s="281"/>
      <c r="J58" s="281"/>
      <c r="K58" s="281"/>
      <c r="L58" s="281"/>
      <c r="M58" s="90"/>
      <c r="N58" s="90"/>
      <c r="O58" s="90"/>
      <c r="P58" s="90"/>
      <c r="Q58" s="90"/>
      <c r="R58" s="90"/>
      <c r="S58" s="234"/>
      <c r="T58" s="70"/>
      <c r="U58" s="70"/>
      <c r="V58" s="70"/>
      <c r="W58" s="70"/>
      <c r="X58" s="75"/>
      <c r="Y58" s="75"/>
      <c r="Z58" s="36"/>
    </row>
    <row r="59" spans="2:26" ht="12.5" x14ac:dyDescent="0.25">
      <c r="B59" s="36"/>
      <c r="C59" s="35"/>
      <c r="D59" s="36"/>
      <c r="E59" s="36" t="s">
        <v>42</v>
      </c>
      <c r="F59" s="36"/>
      <c r="G59" s="235">
        <f>'Funding Model'!D9</f>
        <v>7350.1419469065795</v>
      </c>
      <c r="H59" s="281">
        <f>'Funding Model'!E9</f>
        <v>0</v>
      </c>
      <c r="I59" s="281"/>
      <c r="J59" s="281"/>
      <c r="K59" s="281"/>
      <c r="L59" s="281"/>
      <c r="M59" s="90"/>
      <c r="N59" s="90"/>
      <c r="O59" s="90"/>
      <c r="P59" s="90"/>
      <c r="Q59" s="90"/>
      <c r="R59" s="90"/>
      <c r="S59" s="234"/>
      <c r="T59" s="70"/>
      <c r="U59" s="70"/>
      <c r="V59" s="70"/>
      <c r="W59" s="70"/>
      <c r="X59" s="75"/>
      <c r="Y59" s="75"/>
      <c r="Z59" s="36"/>
    </row>
    <row r="60" spans="2:26" ht="12.5" x14ac:dyDescent="0.25">
      <c r="B60" s="36"/>
      <c r="C60" s="36"/>
      <c r="D60" s="36"/>
      <c r="E60" s="36"/>
      <c r="F60" s="36"/>
      <c r="G60" s="235"/>
      <c r="H60" s="281"/>
      <c r="I60" s="281"/>
      <c r="J60" s="281"/>
      <c r="K60" s="281"/>
      <c r="L60" s="281"/>
      <c r="M60" s="90"/>
      <c r="N60" s="90"/>
      <c r="O60" s="90"/>
      <c r="P60" s="90"/>
      <c r="Q60" s="90"/>
      <c r="R60" s="90"/>
      <c r="S60" s="234"/>
      <c r="T60" s="70"/>
      <c r="U60" s="70"/>
      <c r="V60" s="70"/>
      <c r="W60" s="70"/>
      <c r="X60" s="75"/>
      <c r="Y60" s="75"/>
      <c r="Z60" s="36"/>
    </row>
    <row r="61" spans="2:26" ht="12.5" x14ac:dyDescent="0.25">
      <c r="B61" s="36"/>
      <c r="C61" s="35"/>
      <c r="D61" s="36"/>
      <c r="E61" s="36" t="s">
        <v>45</v>
      </c>
      <c r="F61" s="36"/>
      <c r="G61" s="235">
        <f>'Funding Model'!D11</f>
        <v>6243.7244928897762</v>
      </c>
      <c r="H61" s="281">
        <f>'Funding Model'!E11</f>
        <v>0</v>
      </c>
      <c r="I61" s="281"/>
      <c r="J61" s="281"/>
      <c r="K61" s="281"/>
      <c r="L61" s="281"/>
      <c r="M61" s="90"/>
      <c r="N61" s="90"/>
      <c r="O61" s="90"/>
      <c r="P61" s="90"/>
      <c r="Q61" s="90"/>
      <c r="R61" s="90"/>
      <c r="S61" s="234"/>
      <c r="T61" s="70"/>
      <c r="U61" s="70"/>
      <c r="V61" s="70"/>
      <c r="W61" s="70"/>
      <c r="X61" s="75"/>
      <c r="Y61" s="75"/>
      <c r="Z61" s="36"/>
    </row>
    <row r="62" spans="2:26" ht="12.5" x14ac:dyDescent="0.25">
      <c r="B62" s="36"/>
      <c r="C62" s="36"/>
      <c r="D62" s="36"/>
      <c r="E62" s="36"/>
      <c r="F62" s="36"/>
      <c r="G62" s="235"/>
      <c r="H62" s="281"/>
      <c r="I62" s="281"/>
      <c r="J62" s="281"/>
      <c r="K62" s="281"/>
      <c r="L62" s="281"/>
      <c r="M62" s="90"/>
      <c r="N62"/>
      <c r="O62" s="91"/>
      <c r="P62" s="90"/>
      <c r="Q62" s="90"/>
      <c r="R62" s="90"/>
      <c r="S62" s="234"/>
      <c r="T62" s="70"/>
      <c r="U62" s="70"/>
      <c r="V62" s="70"/>
      <c r="W62" s="70"/>
      <c r="X62" s="75"/>
      <c r="Y62" s="75"/>
      <c r="Z62" s="36"/>
    </row>
    <row r="63" spans="2:26" ht="12.5" x14ac:dyDescent="0.25">
      <c r="B63" s="36"/>
      <c r="C63" s="35"/>
      <c r="D63" s="36"/>
      <c r="E63" s="36" t="s">
        <v>48</v>
      </c>
      <c r="F63" s="36"/>
      <c r="G63" s="235">
        <f>'Funding Model'!D13</f>
        <v>11692.020638096787</v>
      </c>
      <c r="H63" s="281">
        <f>'Funding Model'!E13</f>
        <v>0</v>
      </c>
      <c r="I63" s="281"/>
      <c r="J63" s="281"/>
      <c r="K63" s="281"/>
      <c r="L63" s="281"/>
      <c r="M63" s="90"/>
      <c r="N63" s="90"/>
      <c r="O63" s="90"/>
      <c r="P63" s="90"/>
      <c r="Q63" s="90"/>
      <c r="R63" s="90"/>
      <c r="S63" s="234"/>
      <c r="T63" s="70"/>
      <c r="U63" s="70"/>
      <c r="V63" s="70"/>
      <c r="W63" s="70"/>
      <c r="X63" s="75"/>
      <c r="Y63" s="75"/>
      <c r="Z63" s="36"/>
    </row>
    <row r="64" spans="2:26" ht="12.5" x14ac:dyDescent="0.25">
      <c r="B64" s="36"/>
      <c r="C64" s="36"/>
      <c r="D64" s="36"/>
      <c r="E64" s="36"/>
      <c r="F64" s="36"/>
      <c r="G64" s="235"/>
      <c r="H64" s="281"/>
      <c r="I64" s="281"/>
      <c r="J64" s="281"/>
      <c r="K64" s="281"/>
      <c r="L64" s="281"/>
      <c r="M64" s="90"/>
      <c r="N64"/>
      <c r="O64" s="91"/>
      <c r="P64" s="90"/>
      <c r="Q64" s="90"/>
      <c r="R64" s="90"/>
      <c r="S64" s="234"/>
      <c r="T64" s="70"/>
      <c r="U64" s="70"/>
      <c r="V64" s="70"/>
      <c r="W64" s="70"/>
      <c r="X64" s="75"/>
      <c r="Y64" s="75"/>
      <c r="Z64" s="36"/>
    </row>
    <row r="65" spans="2:25" ht="12.5" x14ac:dyDescent="0.25">
      <c r="B65" s="36"/>
      <c r="C65" s="35"/>
      <c r="D65" s="36"/>
      <c r="E65" s="36" t="s">
        <v>51</v>
      </c>
      <c r="F65" s="36"/>
      <c r="G65" s="235">
        <f>'Funding Model'!D15</f>
        <v>11692.020638096787</v>
      </c>
      <c r="H65" s="281">
        <f>'Funding Model'!E15</f>
        <v>0</v>
      </c>
      <c r="I65" s="281"/>
      <c r="J65" s="281"/>
      <c r="K65" s="281"/>
      <c r="L65" s="281"/>
      <c r="M65" s="90"/>
      <c r="N65" s="90"/>
      <c r="O65" s="90"/>
      <c r="P65" s="90"/>
      <c r="Q65" s="90"/>
      <c r="R65" s="90"/>
      <c r="S65" s="234"/>
      <c r="T65" s="70"/>
      <c r="U65" s="70"/>
      <c r="V65" s="70"/>
      <c r="W65" s="70"/>
      <c r="X65" s="75"/>
      <c r="Y65" s="75"/>
    </row>
    <row r="66" spans="2:25" ht="14" x14ac:dyDescent="0.3">
      <c r="B66" s="37"/>
      <c r="C66" s="38"/>
      <c r="D66" s="39"/>
      <c r="E66" s="281"/>
      <c r="F66" s="36"/>
      <c r="G66" s="36"/>
      <c r="H66" s="282"/>
      <c r="I66" s="281"/>
      <c r="J66" s="281"/>
      <c r="K66" s="282"/>
      <c r="L66" s="282"/>
      <c r="M66" s="90"/>
      <c r="N66" s="90"/>
      <c r="O66" s="90"/>
      <c r="P66" s="90"/>
      <c r="Q66" s="90"/>
      <c r="R66" s="90"/>
      <c r="S66" s="234"/>
      <c r="T66" s="70"/>
      <c r="U66" s="70"/>
      <c r="V66" s="70"/>
      <c r="W66" s="70"/>
      <c r="X66" s="75"/>
      <c r="Y66" s="75"/>
    </row>
    <row r="67" spans="2:25" ht="14" x14ac:dyDescent="0.3">
      <c r="B67" s="40"/>
      <c r="C67" s="41"/>
      <c r="D67" s="36"/>
      <c r="E67" s="36" t="s">
        <v>283</v>
      </c>
      <c r="F67" s="36"/>
      <c r="G67" s="235">
        <f>'Funding Model'!D17</f>
        <v>2635.0478891670464</v>
      </c>
      <c r="H67" s="281">
        <f>'Funding Model'!E17</f>
        <v>0</v>
      </c>
      <c r="I67" s="281"/>
      <c r="J67" s="281"/>
      <c r="K67" s="281"/>
      <c r="L67" s="281"/>
      <c r="M67" s="90"/>
      <c r="N67" s="90"/>
      <c r="O67" s="90"/>
      <c r="P67" s="90"/>
      <c r="Q67" s="90"/>
      <c r="R67" s="90"/>
      <c r="S67" s="234"/>
      <c r="T67" s="70"/>
      <c r="U67" s="70"/>
      <c r="V67" s="70"/>
      <c r="W67" s="70"/>
      <c r="X67" s="75"/>
      <c r="Y67" s="75"/>
    </row>
    <row r="68" spans="2:25" ht="12.5" x14ac:dyDescent="0.25">
      <c r="B68" s="36"/>
      <c r="C68" s="36"/>
      <c r="D68" s="36"/>
      <c r="E68" s="36"/>
      <c r="F68" s="36"/>
      <c r="G68" s="36"/>
      <c r="H68" s="36"/>
      <c r="I68" s="234"/>
      <c r="J68" s="234"/>
      <c r="K68" s="36"/>
      <c r="L68" s="36"/>
      <c r="M68" s="90"/>
      <c r="N68" s="90"/>
      <c r="O68" s="90"/>
      <c r="P68" s="90"/>
      <c r="Q68" s="90"/>
      <c r="R68" s="90"/>
      <c r="S68" s="234"/>
      <c r="T68" s="70"/>
      <c r="U68" s="70"/>
      <c r="V68" s="70"/>
      <c r="W68" s="70"/>
      <c r="X68" s="75"/>
      <c r="Y68" s="75"/>
    </row>
    <row r="69" spans="2:25" ht="12.5" x14ac:dyDescent="0.25">
      <c r="B69" s="36"/>
      <c r="C69" s="36"/>
      <c r="D69" s="36"/>
      <c r="E69" s="36"/>
      <c r="F69" s="36"/>
      <c r="G69" s="36"/>
      <c r="H69" s="36"/>
      <c r="I69" s="234"/>
      <c r="J69" s="234"/>
      <c r="K69" s="36"/>
      <c r="L69" s="36"/>
      <c r="M69" s="90"/>
      <c r="N69" s="90"/>
      <c r="O69" s="90"/>
      <c r="P69" s="90"/>
      <c r="Q69" s="90"/>
      <c r="R69" s="90"/>
      <c r="S69" s="234"/>
      <c r="T69" s="70"/>
      <c r="U69" s="70"/>
      <c r="V69" s="70"/>
      <c r="W69" s="70"/>
      <c r="X69" s="75"/>
      <c r="Y69" s="75"/>
    </row>
    <row r="70" spans="2:25" ht="12.5" x14ac:dyDescent="0.25">
      <c r="B70" s="36"/>
      <c r="C70" s="36"/>
      <c r="D70" s="36"/>
      <c r="E70" s="36"/>
      <c r="F70" s="36"/>
      <c r="G70" s="36"/>
      <c r="H70" s="36"/>
      <c r="I70" s="234"/>
      <c r="J70" s="234"/>
      <c r="K70" s="36"/>
      <c r="L70" s="36"/>
      <c r="M70" s="90"/>
      <c r="N70" s="90"/>
      <c r="O70" s="90"/>
      <c r="P70" s="90"/>
      <c r="Q70" s="90"/>
      <c r="R70" s="90"/>
      <c r="S70" s="234"/>
      <c r="T70" s="70"/>
      <c r="U70" s="70"/>
      <c r="V70" s="70"/>
      <c r="W70" s="70"/>
      <c r="X70" s="75"/>
      <c r="Y70" s="75"/>
    </row>
    <row r="71" spans="2:25" ht="12.5" x14ac:dyDescent="0.25">
      <c r="B71" s="36"/>
      <c r="C71" s="36"/>
      <c r="D71" s="36"/>
      <c r="E71" s="36"/>
      <c r="F71" s="36"/>
      <c r="G71" s="36"/>
      <c r="H71" s="36"/>
      <c r="I71" s="234"/>
      <c r="J71" s="234"/>
      <c r="K71" s="36"/>
      <c r="L71" s="36"/>
      <c r="M71" s="90"/>
      <c r="N71" s="90"/>
      <c r="O71" s="90"/>
      <c r="P71" s="90"/>
      <c r="Q71" s="90"/>
      <c r="R71" s="90"/>
      <c r="S71" s="234"/>
      <c r="T71" s="70"/>
      <c r="U71" s="70"/>
      <c r="V71" s="70"/>
      <c r="W71" s="70"/>
      <c r="X71" s="75"/>
      <c r="Y71" s="75"/>
    </row>
    <row r="72" spans="2:25" ht="12.5" x14ac:dyDescent="0.25">
      <c r="B72" s="36"/>
      <c r="C72" s="36"/>
      <c r="D72" s="36"/>
      <c r="E72" s="36"/>
      <c r="F72" s="36"/>
      <c r="G72" s="36"/>
      <c r="H72" s="36"/>
      <c r="I72" s="234"/>
      <c r="J72" s="234"/>
      <c r="K72" s="36"/>
      <c r="L72" s="36"/>
      <c r="M72" s="90"/>
      <c r="N72" s="90"/>
      <c r="O72" s="90"/>
      <c r="P72" s="90"/>
      <c r="Q72" s="90"/>
      <c r="R72" s="90"/>
      <c r="S72" s="234"/>
      <c r="T72" s="70"/>
      <c r="U72" s="70"/>
      <c r="V72" s="70"/>
      <c r="W72" s="70"/>
      <c r="X72" s="75"/>
      <c r="Y72" s="75"/>
    </row>
    <row r="73" spans="2:25" ht="12.5" x14ac:dyDescent="0.25">
      <c r="B73" s="36"/>
      <c r="C73" s="36"/>
      <c r="D73" s="36"/>
      <c r="E73" s="36"/>
      <c r="F73" s="36"/>
      <c r="G73" s="36"/>
      <c r="H73" s="36"/>
      <c r="I73" s="234"/>
      <c r="J73" s="234"/>
      <c r="K73" s="36"/>
      <c r="L73" s="36"/>
      <c r="M73" s="90"/>
      <c r="N73" s="90"/>
      <c r="O73" s="90"/>
      <c r="P73" s="90"/>
      <c r="Q73" s="90"/>
      <c r="R73" s="90"/>
      <c r="S73" s="234"/>
      <c r="T73" s="70"/>
      <c r="U73" s="70"/>
      <c r="V73" s="70"/>
      <c r="W73" s="70"/>
      <c r="X73" s="75"/>
      <c r="Y73" s="75"/>
    </row>
    <row r="74" spans="2:25" ht="12.5" x14ac:dyDescent="0.25">
      <c r="B74" s="36"/>
      <c r="C74" s="36"/>
      <c r="D74" s="36"/>
      <c r="E74" s="36"/>
      <c r="F74" s="36"/>
      <c r="G74" s="36"/>
      <c r="H74" s="36"/>
      <c r="I74" s="234"/>
      <c r="J74" s="234"/>
      <c r="K74" s="36"/>
      <c r="L74" s="36"/>
      <c r="M74" s="90"/>
      <c r="N74" s="90"/>
      <c r="O74" s="90"/>
      <c r="P74" s="90"/>
      <c r="Q74" s="90"/>
      <c r="R74" s="90"/>
      <c r="S74" s="234"/>
      <c r="T74" s="70"/>
      <c r="U74" s="70"/>
      <c r="V74" s="70"/>
      <c r="W74" s="70"/>
      <c r="X74" s="75"/>
      <c r="Y74" s="75"/>
    </row>
    <row r="75" spans="2:25" ht="12.5" x14ac:dyDescent="0.25">
      <c r="B75" s="36"/>
      <c r="C75" s="36"/>
      <c r="D75" s="36"/>
      <c r="E75" s="36"/>
      <c r="F75" s="36"/>
      <c r="G75" s="36"/>
      <c r="H75" s="36"/>
      <c r="I75" s="234"/>
      <c r="J75" s="234"/>
      <c r="K75" s="36"/>
      <c r="L75" s="36"/>
      <c r="M75" s="90"/>
      <c r="N75" s="90"/>
      <c r="O75" s="90"/>
      <c r="P75" s="90"/>
      <c r="Q75" s="90"/>
      <c r="R75" s="90"/>
      <c r="S75" s="234"/>
      <c r="T75" s="70"/>
      <c r="U75" s="70"/>
      <c r="V75" s="70"/>
      <c r="W75" s="70"/>
      <c r="X75" s="75"/>
      <c r="Y75" s="75"/>
    </row>
    <row r="76" spans="2:25" x14ac:dyDescent="0.3">
      <c r="B76" s="36"/>
      <c r="C76" s="36"/>
      <c r="D76" s="36"/>
      <c r="E76" s="36"/>
      <c r="F76" s="36"/>
      <c r="G76" s="36"/>
      <c r="H76" s="36"/>
      <c r="I76" s="234"/>
      <c r="J76" s="234"/>
      <c r="K76" s="36"/>
      <c r="L76" s="36"/>
      <c r="M76" s="36"/>
      <c r="N76" s="36"/>
      <c r="O76" s="36"/>
      <c r="P76" s="36"/>
      <c r="Q76" s="36"/>
      <c r="R76" s="36"/>
      <c r="S76" s="36"/>
      <c r="T76" s="36"/>
      <c r="U76" s="36"/>
      <c r="V76" s="36"/>
      <c r="W76" s="36"/>
    </row>
  </sheetData>
  <sheetProtection password="C462" sheet="1" objects="1" scenarios="1"/>
  <phoneticPr fontId="20" type="noConversion"/>
  <pageMargins left="0.39370078740157483" right="0.39370078740157483" top="0.98425196850393704" bottom="0.98425196850393704" header="0.51181102362204722" footer="0.51181102362204722"/>
  <pageSetup paperSize="9" scale="49" orientation="landscape" r:id="rId1"/>
  <headerFooter alignWithMargins="0">
    <oddFooter>&amp;F</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rgb="FF00B0F0"/>
    <pageSetUpPr fitToPage="1"/>
  </sheetPr>
  <dimension ref="A2:AE66"/>
  <sheetViews>
    <sheetView topLeftCell="O13" zoomScale="85" workbookViewId="0">
      <selection activeCell="Z66" sqref="Z66"/>
    </sheetView>
  </sheetViews>
  <sheetFormatPr defaultColWidth="9.1796875" defaultRowHeight="12" customHeight="1" x14ac:dyDescent="0.35"/>
  <cols>
    <col min="1" max="1" width="10.54296875" style="78" bestFit="1" customWidth="1"/>
    <col min="2" max="5" width="9.1796875" style="77"/>
    <col min="6" max="6" width="10.26953125" style="77" customWidth="1"/>
    <col min="7" max="8" width="9.1796875" style="77" customWidth="1"/>
    <col min="9" max="9" width="10.7265625" style="77" customWidth="1"/>
    <col min="10" max="12" width="10.7265625" style="78" customWidth="1"/>
    <col min="13" max="14" width="10.7265625" style="79" customWidth="1"/>
    <col min="15" max="19" width="10.7265625" style="77" customWidth="1"/>
    <col min="20" max="20" width="3.26953125" style="77" customWidth="1"/>
    <col min="21" max="23" width="10.7265625" style="77" customWidth="1"/>
    <col min="24" max="24" width="9.1796875" style="77" customWidth="1"/>
    <col min="25" max="25" width="10.81640625" style="78" customWidth="1"/>
    <col min="26" max="26" width="9.1796875" style="77"/>
    <col min="27" max="27" width="9.1796875" style="77" customWidth="1"/>
    <col min="28" max="28" width="9.1796875" style="77"/>
    <col min="29" max="29" width="11.26953125" style="79" bestFit="1" customWidth="1"/>
    <col min="30" max="30" width="9.7265625" style="79" customWidth="1"/>
    <col min="31" max="31" width="12.453125" style="79" customWidth="1"/>
    <col min="32" max="16384" width="9.1796875" style="79"/>
  </cols>
  <sheetData>
    <row r="2" spans="1:31" ht="12" customHeight="1" x14ac:dyDescent="0.35">
      <c r="A2" s="293"/>
      <c r="B2" s="76" t="s">
        <v>304</v>
      </c>
      <c r="C2" s="1172"/>
      <c r="D2" s="1172"/>
      <c r="E2" s="1172"/>
      <c r="F2" s="1172"/>
      <c r="G2" s="1172"/>
      <c r="H2" s="1172"/>
      <c r="I2" s="1172"/>
      <c r="J2" s="293"/>
      <c r="K2" s="293"/>
      <c r="L2" s="293"/>
      <c r="O2" s="1172"/>
      <c r="P2" s="1172"/>
      <c r="Q2" s="1172"/>
      <c r="R2" s="1172"/>
      <c r="S2" s="1172"/>
      <c r="T2" s="1172"/>
      <c r="U2" s="1172"/>
      <c r="V2" s="1455" t="s">
        <v>305</v>
      </c>
      <c r="W2" s="1172"/>
      <c r="X2" s="1172"/>
      <c r="Y2" s="293"/>
      <c r="Z2" s="1172"/>
      <c r="AA2" s="1172"/>
      <c r="AB2" s="1172"/>
    </row>
    <row r="3" spans="1:31" ht="12" customHeight="1" x14ac:dyDescent="0.35">
      <c r="A3" s="293"/>
      <c r="B3" s="1172"/>
      <c r="C3" s="1172"/>
      <c r="D3" s="1172"/>
      <c r="E3" s="1172"/>
      <c r="F3" s="1172"/>
      <c r="G3" s="1172"/>
      <c r="H3" s="1172"/>
      <c r="I3" s="1172"/>
      <c r="J3" s="293"/>
      <c r="K3" s="293"/>
      <c r="L3" s="293"/>
      <c r="O3" s="1172"/>
      <c r="P3" s="1172"/>
      <c r="Q3" s="1172"/>
      <c r="R3" s="1172"/>
      <c r="S3" s="1172"/>
      <c r="T3" s="1172"/>
      <c r="U3" s="1172"/>
      <c r="V3" s="1456"/>
      <c r="W3" s="1172"/>
      <c r="X3" s="1174" t="s">
        <v>306</v>
      </c>
      <c r="Y3" s="293"/>
      <c r="Z3" s="1172"/>
      <c r="AA3" s="1172"/>
      <c r="AB3" s="1172"/>
    </row>
    <row r="4" spans="1:31" s="80" customFormat="1" ht="12" customHeight="1" x14ac:dyDescent="0.3">
      <c r="A4" s="293"/>
      <c r="B4" s="1172"/>
      <c r="C4" s="1172"/>
      <c r="D4" s="1172"/>
      <c r="E4" s="1172"/>
      <c r="F4" s="1457" t="s">
        <v>307</v>
      </c>
      <c r="G4" s="1457" t="s">
        <v>308</v>
      </c>
      <c r="H4" s="1457" t="s">
        <v>309</v>
      </c>
      <c r="I4" s="1458" t="s">
        <v>310</v>
      </c>
      <c r="J4" s="1459" t="s">
        <v>311</v>
      </c>
      <c r="K4" s="1459" t="s">
        <v>312</v>
      </c>
      <c r="L4" s="1459" t="s">
        <v>313</v>
      </c>
      <c r="M4" s="1459" t="s">
        <v>314</v>
      </c>
      <c r="N4" s="1459" t="s">
        <v>315</v>
      </c>
      <c r="O4" s="1459" t="s">
        <v>316</v>
      </c>
      <c r="P4" s="1459" t="s">
        <v>317</v>
      </c>
      <c r="Q4" s="1459" t="s">
        <v>318</v>
      </c>
      <c r="R4" s="1459" t="s">
        <v>319</v>
      </c>
      <c r="S4" s="1459" t="s">
        <v>320</v>
      </c>
      <c r="T4" s="1174"/>
      <c r="U4" s="1459" t="s">
        <v>321</v>
      </c>
      <c r="V4" s="1462" t="s">
        <v>322</v>
      </c>
      <c r="W4" s="1174"/>
      <c r="X4" s="1459" t="s">
        <v>323</v>
      </c>
      <c r="Y4" s="1459" t="s">
        <v>324</v>
      </c>
      <c r="Z4" s="1458" t="s">
        <v>325</v>
      </c>
      <c r="AA4" s="1459" t="s">
        <v>326</v>
      </c>
      <c r="AB4" s="1459" t="s">
        <v>327</v>
      </c>
      <c r="AC4" s="1462" t="s">
        <v>328</v>
      </c>
      <c r="AD4" s="1459" t="s">
        <v>329</v>
      </c>
      <c r="AE4" s="1459" t="s">
        <v>330</v>
      </c>
    </row>
    <row r="5" spans="1:31" s="80" customFormat="1" ht="12" customHeight="1" x14ac:dyDescent="0.3">
      <c r="A5" s="293"/>
      <c r="B5" s="1172"/>
      <c r="C5" s="1172"/>
      <c r="D5" s="1172"/>
      <c r="E5" s="1172"/>
      <c r="F5" s="1457"/>
      <c r="G5" s="1457"/>
      <c r="H5" s="1457"/>
      <c r="I5" s="1458"/>
      <c r="J5" s="1459"/>
      <c r="K5" s="1459"/>
      <c r="L5" s="1459"/>
      <c r="M5" s="1459"/>
      <c r="N5" s="1459"/>
      <c r="O5" s="1459"/>
      <c r="P5" s="1459"/>
      <c r="Q5" s="1459"/>
      <c r="R5" s="1459"/>
      <c r="S5" s="1459"/>
      <c r="T5" s="1174"/>
      <c r="U5" s="1459"/>
      <c r="V5" s="1463"/>
      <c r="W5" s="1174"/>
      <c r="X5" s="1459"/>
      <c r="Y5" s="1459"/>
      <c r="Z5" s="1458"/>
      <c r="AA5" s="1459"/>
      <c r="AB5" s="1459"/>
      <c r="AC5" s="1463"/>
      <c r="AD5" s="1459"/>
      <c r="AE5" s="1459"/>
    </row>
    <row r="6" spans="1:31" s="80" customFormat="1" ht="12" customHeight="1" x14ac:dyDescent="0.3">
      <c r="A6" s="293"/>
      <c r="B6" s="1465" t="s">
        <v>336</v>
      </c>
      <c r="C6" s="1466"/>
      <c r="D6" s="1466"/>
      <c r="E6" s="1467"/>
      <c r="F6" s="1457"/>
      <c r="G6" s="1457"/>
      <c r="H6" s="1457"/>
      <c r="I6" s="1458"/>
      <c r="J6" s="1459"/>
      <c r="K6" s="1459"/>
      <c r="L6" s="1459"/>
      <c r="M6" s="1459"/>
      <c r="N6" s="1459"/>
      <c r="O6" s="1459"/>
      <c r="P6" s="1459"/>
      <c r="Q6" s="1459"/>
      <c r="R6" s="1459"/>
      <c r="S6" s="1459"/>
      <c r="T6" s="1174"/>
      <c r="U6" s="1459"/>
      <c r="V6" s="1464"/>
      <c r="W6" s="1174"/>
      <c r="X6" s="1459"/>
      <c r="Y6" s="1459"/>
      <c r="Z6" s="1458"/>
      <c r="AA6" s="1459"/>
      <c r="AB6" s="1459"/>
      <c r="AC6" s="1464"/>
      <c r="AD6" s="1459"/>
      <c r="AE6" s="1459"/>
    </row>
    <row r="7" spans="1:31" ht="12" customHeight="1" x14ac:dyDescent="0.35">
      <c r="A7" s="1175">
        <v>9257010</v>
      </c>
      <c r="B7" s="1460" t="s">
        <v>337</v>
      </c>
      <c r="C7" s="1461"/>
      <c r="D7" s="1461"/>
      <c r="E7" s="1461"/>
      <c r="F7" s="1176">
        <v>35258</v>
      </c>
      <c r="G7" s="1176">
        <v>35258</v>
      </c>
      <c r="H7" s="1176">
        <v>35258</v>
      </c>
      <c r="I7" s="1176">
        <v>35258</v>
      </c>
      <c r="J7" s="1177"/>
      <c r="K7" s="1177"/>
      <c r="L7" s="1177"/>
      <c r="M7" s="1178">
        <v>0</v>
      </c>
      <c r="N7" s="1179"/>
      <c r="O7" s="1177"/>
      <c r="P7" s="86"/>
      <c r="Q7" s="86"/>
      <c r="R7" s="1174"/>
      <c r="S7" s="1174"/>
      <c r="T7" s="1174"/>
      <c r="U7" s="1174"/>
      <c r="V7" s="255">
        <f>(9/12)*51500</f>
        <v>38625</v>
      </c>
      <c r="W7" s="1174"/>
      <c r="X7" s="255">
        <f>(8/12)*864</f>
        <v>576</v>
      </c>
      <c r="Y7" s="89">
        <f>I7+L7+Q7+U7+V7</f>
        <v>73883</v>
      </c>
      <c r="Z7" s="255">
        <f>I7</f>
        <v>35258</v>
      </c>
      <c r="AA7" s="255"/>
      <c r="AB7" s="255"/>
      <c r="AC7" s="255">
        <f>51500*(5/12)</f>
        <v>21458.333333333336</v>
      </c>
      <c r="AD7" s="255"/>
      <c r="AE7" s="255">
        <f>SUM(Z7:AD7)</f>
        <v>56716.333333333336</v>
      </c>
    </row>
    <row r="8" spans="1:31" ht="12" customHeight="1" x14ac:dyDescent="0.35">
      <c r="A8" s="1175">
        <v>9257030</v>
      </c>
      <c r="B8" s="1460" t="s">
        <v>338</v>
      </c>
      <c r="C8" s="1461"/>
      <c r="D8" s="1461"/>
      <c r="E8" s="1461"/>
      <c r="F8" s="255"/>
      <c r="G8" s="255"/>
      <c r="H8" s="255"/>
      <c r="I8" s="255"/>
      <c r="J8" s="1177"/>
      <c r="K8" s="1177"/>
      <c r="L8" s="1177"/>
      <c r="M8" s="1178">
        <v>0</v>
      </c>
      <c r="N8" s="1179"/>
      <c r="O8" s="1177"/>
      <c r="P8" s="1177"/>
      <c r="Q8" s="1177"/>
      <c r="R8" s="1174"/>
      <c r="S8" s="1174"/>
      <c r="T8" s="1174"/>
      <c r="U8" s="1174"/>
      <c r="V8" s="255"/>
      <c r="W8" s="1174"/>
      <c r="X8" s="255"/>
      <c r="Y8" s="89">
        <f t="shared" ref="Y8:Y25" si="0">I8+L8+Q8+U8+V8</f>
        <v>0</v>
      </c>
      <c r="Z8" s="255"/>
      <c r="AA8" s="255"/>
      <c r="AB8" s="255"/>
      <c r="AC8" s="158"/>
      <c r="AD8" s="255"/>
      <c r="AE8" s="255">
        <f t="shared" ref="AE8:AE26" si="1">SUM(Z8:AD8)</f>
        <v>0</v>
      </c>
    </row>
    <row r="9" spans="1:31" ht="12" customHeight="1" x14ac:dyDescent="0.35">
      <c r="A9" s="1175">
        <v>9257031</v>
      </c>
      <c r="B9" s="1460" t="s">
        <v>339</v>
      </c>
      <c r="C9" s="1461"/>
      <c r="D9" s="1461"/>
      <c r="E9" s="1461"/>
      <c r="F9" s="255"/>
      <c r="G9" s="255"/>
      <c r="H9" s="255"/>
      <c r="I9" s="255"/>
      <c r="J9" s="1177"/>
      <c r="K9" s="1177"/>
      <c r="L9" s="1177"/>
      <c r="M9" s="1178">
        <v>0</v>
      </c>
      <c r="N9" s="1179"/>
      <c r="O9" s="1177"/>
      <c r="P9" s="1177"/>
      <c r="Q9" s="1177"/>
      <c r="R9" s="1174"/>
      <c r="S9" s="1174"/>
      <c r="T9" s="1174"/>
      <c r="U9" s="1174"/>
      <c r="V9" s="255"/>
      <c r="W9" s="1174"/>
      <c r="X9" s="255"/>
      <c r="Y9" s="89">
        <f t="shared" si="0"/>
        <v>0</v>
      </c>
      <c r="Z9" s="255"/>
      <c r="AA9" s="255"/>
      <c r="AB9" s="255"/>
      <c r="AC9" s="158"/>
      <c r="AD9" s="255"/>
      <c r="AE9" s="255">
        <f t="shared" si="1"/>
        <v>0</v>
      </c>
    </row>
    <row r="10" spans="1:31" ht="12" customHeight="1" x14ac:dyDescent="0.35">
      <c r="A10" s="1175">
        <v>9257008</v>
      </c>
      <c r="B10" s="1460" t="s">
        <v>340</v>
      </c>
      <c r="C10" s="1461"/>
      <c r="D10" s="1461"/>
      <c r="E10" s="1461"/>
      <c r="F10" s="255"/>
      <c r="G10" s="255"/>
      <c r="H10" s="255"/>
      <c r="I10" s="255"/>
      <c r="J10" s="255"/>
      <c r="K10" s="255"/>
      <c r="L10" s="255"/>
      <c r="M10" s="1180">
        <v>4</v>
      </c>
      <c r="N10" s="1176">
        <v>44916</v>
      </c>
      <c r="O10" s="255">
        <v>51500</v>
      </c>
      <c r="P10" s="255">
        <v>51500</v>
      </c>
      <c r="Q10" s="255">
        <v>51500</v>
      </c>
      <c r="R10" s="1174"/>
      <c r="S10" s="1174"/>
      <c r="T10" s="1174"/>
      <c r="U10" s="1174"/>
      <c r="V10" s="255"/>
      <c r="W10" s="1174"/>
      <c r="X10" s="255"/>
      <c r="Y10" s="89">
        <f t="shared" si="0"/>
        <v>51500</v>
      </c>
      <c r="Z10" s="255"/>
      <c r="AA10" s="255"/>
      <c r="AB10" s="255">
        <f>Q10*(5/12)</f>
        <v>21458.333333333336</v>
      </c>
      <c r="AC10" s="255">
        <f>51500*(5/12)</f>
        <v>21458.333333333336</v>
      </c>
      <c r="AD10" s="255"/>
      <c r="AE10" s="255">
        <f t="shared" si="1"/>
        <v>42916.666666666672</v>
      </c>
    </row>
    <row r="11" spans="1:31" ht="12" customHeight="1" x14ac:dyDescent="0.35">
      <c r="A11" s="1175">
        <v>9257002</v>
      </c>
      <c r="B11" s="1460" t="s">
        <v>341</v>
      </c>
      <c r="C11" s="1461"/>
      <c r="D11" s="1461"/>
      <c r="E11" s="1461"/>
      <c r="F11" s="255"/>
      <c r="G11" s="255"/>
      <c r="H11" s="255"/>
      <c r="I11" s="255"/>
      <c r="J11" s="255">
        <v>60000</v>
      </c>
      <c r="K11" s="255">
        <v>60000</v>
      </c>
      <c r="L11" s="255">
        <v>60000</v>
      </c>
      <c r="M11" s="1178">
        <v>0</v>
      </c>
      <c r="N11" s="1176"/>
      <c r="O11" s="255"/>
      <c r="P11" s="255"/>
      <c r="Q11" s="255"/>
      <c r="R11" s="1174"/>
      <c r="S11" s="1174"/>
      <c r="T11" s="1174"/>
      <c r="U11" s="1174"/>
      <c r="V11" s="255"/>
      <c r="W11" s="1174"/>
      <c r="X11" s="255"/>
      <c r="Y11" s="89">
        <f t="shared" si="0"/>
        <v>60000</v>
      </c>
      <c r="Z11" s="255"/>
      <c r="AA11" s="255"/>
      <c r="AB11" s="255"/>
      <c r="AC11" s="158"/>
      <c r="AD11" s="255"/>
      <c r="AE11" s="255">
        <f t="shared" si="1"/>
        <v>0</v>
      </c>
    </row>
    <row r="12" spans="1:31" ht="12" customHeight="1" x14ac:dyDescent="0.35">
      <c r="A12" s="1175">
        <v>9257005</v>
      </c>
      <c r="B12" s="1460" t="s">
        <v>342</v>
      </c>
      <c r="C12" s="1461"/>
      <c r="D12" s="1461"/>
      <c r="E12" s="1461"/>
      <c r="F12" s="1176">
        <v>35258</v>
      </c>
      <c r="G12" s="1176">
        <v>35258</v>
      </c>
      <c r="H12" s="1176">
        <v>35258</v>
      </c>
      <c r="I12" s="1176">
        <v>35258</v>
      </c>
      <c r="J12" s="255"/>
      <c r="K12" s="255"/>
      <c r="L12" s="255"/>
      <c r="M12" s="1178">
        <v>0</v>
      </c>
      <c r="N12" s="1176"/>
      <c r="O12" s="255"/>
      <c r="P12" s="255"/>
      <c r="Q12" s="255"/>
      <c r="R12" s="1174"/>
      <c r="S12" s="1174"/>
      <c r="T12" s="1174"/>
      <c r="U12" s="1174"/>
      <c r="V12" s="255"/>
      <c r="W12" s="1174"/>
      <c r="X12" s="255">
        <f>(8/12)*2591</f>
        <v>1727.3333333333333</v>
      </c>
      <c r="Y12" s="89">
        <f t="shared" si="0"/>
        <v>35258</v>
      </c>
      <c r="Z12" s="255">
        <f>I12</f>
        <v>35258</v>
      </c>
      <c r="AA12" s="255"/>
      <c r="AB12" s="255"/>
      <c r="AC12" s="158"/>
      <c r="AD12" s="255"/>
      <c r="AE12" s="255">
        <f t="shared" si="1"/>
        <v>35258</v>
      </c>
    </row>
    <row r="13" spans="1:31" ht="12" customHeight="1" x14ac:dyDescent="0.35">
      <c r="A13" s="1175">
        <v>9257034</v>
      </c>
      <c r="B13" s="1460" t="s">
        <v>343</v>
      </c>
      <c r="C13" s="1461"/>
      <c r="D13" s="1461"/>
      <c r="E13" s="1461"/>
      <c r="F13" s="255"/>
      <c r="G13" s="255"/>
      <c r="H13" s="255"/>
      <c r="I13" s="255"/>
      <c r="J13" s="255"/>
      <c r="K13" s="255"/>
      <c r="L13" s="255"/>
      <c r="M13" s="1178">
        <v>0</v>
      </c>
      <c r="N13" s="1176"/>
      <c r="O13" s="255"/>
      <c r="P13" s="255"/>
      <c r="Q13" s="255"/>
      <c r="R13" s="1174"/>
      <c r="S13" s="1174"/>
      <c r="T13" s="1174"/>
      <c r="U13" s="1174"/>
      <c r="V13" s="255"/>
      <c r="W13" s="1174"/>
      <c r="X13" s="255">
        <f>(8/12)*3455</f>
        <v>2303.333333333333</v>
      </c>
      <c r="Y13" s="89">
        <f t="shared" si="0"/>
        <v>0</v>
      </c>
      <c r="Z13" s="255"/>
      <c r="AA13" s="255"/>
      <c r="AB13" s="255"/>
      <c r="AC13" s="158"/>
      <c r="AD13" s="255"/>
      <c r="AE13" s="255">
        <f t="shared" si="1"/>
        <v>0</v>
      </c>
    </row>
    <row r="14" spans="1:31" ht="12" customHeight="1" x14ac:dyDescent="0.35">
      <c r="A14" s="1175">
        <v>9257021</v>
      </c>
      <c r="B14" s="1460" t="s">
        <v>344</v>
      </c>
      <c r="C14" s="1461"/>
      <c r="D14" s="1461"/>
      <c r="E14" s="1461"/>
      <c r="F14" s="255"/>
      <c r="G14" s="255"/>
      <c r="H14" s="255">
        <v>35258</v>
      </c>
      <c r="I14" s="1176">
        <v>35258</v>
      </c>
      <c r="J14" s="255"/>
      <c r="K14" s="255"/>
      <c r="L14" s="255"/>
      <c r="M14" s="1178">
        <v>0</v>
      </c>
      <c r="N14" s="1176"/>
      <c r="O14" s="255"/>
      <c r="P14" s="255"/>
      <c r="Q14" s="255"/>
      <c r="R14" s="255">
        <v>274420</v>
      </c>
      <c r="S14" s="255">
        <f>R14*(3/12)</f>
        <v>68605</v>
      </c>
      <c r="T14" s="1174" t="s">
        <v>345</v>
      </c>
      <c r="U14" s="1174"/>
      <c r="V14" s="255"/>
      <c r="W14" s="1174"/>
      <c r="X14" s="255"/>
      <c r="Y14" s="89">
        <f t="shared" si="0"/>
        <v>35258</v>
      </c>
      <c r="Z14" s="255">
        <f>I14</f>
        <v>35258</v>
      </c>
      <c r="AA14" s="255"/>
      <c r="AB14" s="255"/>
      <c r="AC14" s="158"/>
      <c r="AD14" s="255"/>
      <c r="AE14" s="255">
        <f t="shared" si="1"/>
        <v>35258</v>
      </c>
    </row>
    <row r="15" spans="1:31" s="77" customFormat="1" ht="12" customHeight="1" x14ac:dyDescent="0.3">
      <c r="A15" s="1175">
        <v>9257033</v>
      </c>
      <c r="B15" s="1460" t="s">
        <v>346</v>
      </c>
      <c r="C15" s="1461"/>
      <c r="D15" s="1461"/>
      <c r="E15" s="1461"/>
      <c r="F15" s="1176">
        <v>35258</v>
      </c>
      <c r="G15" s="1176">
        <v>35258</v>
      </c>
      <c r="H15" s="1176">
        <f>35258</f>
        <v>35258</v>
      </c>
      <c r="I15" s="1176">
        <v>35258</v>
      </c>
      <c r="J15" s="255"/>
      <c r="K15" s="255"/>
      <c r="L15" s="255"/>
      <c r="M15" s="1178">
        <v>0</v>
      </c>
      <c r="N15" s="1176"/>
      <c r="O15" s="255"/>
      <c r="P15" s="86"/>
      <c r="Q15" s="86"/>
      <c r="R15" s="1174"/>
      <c r="S15" s="1174"/>
      <c r="T15" s="1174"/>
      <c r="U15" s="1174"/>
      <c r="V15" s="255">
        <f>(9/12)*51500</f>
        <v>38625</v>
      </c>
      <c r="W15" s="1174"/>
      <c r="X15" s="255"/>
      <c r="Y15" s="89">
        <f t="shared" si="0"/>
        <v>73883</v>
      </c>
      <c r="Z15" s="255">
        <f>I15</f>
        <v>35258</v>
      </c>
      <c r="AA15" s="255"/>
      <c r="AB15" s="255"/>
      <c r="AC15" s="255">
        <f>51500*(5/12)</f>
        <v>21458.333333333336</v>
      </c>
      <c r="AD15" s="255"/>
      <c r="AE15" s="255">
        <f t="shared" si="1"/>
        <v>56716.333333333336</v>
      </c>
    </row>
    <row r="16" spans="1:31" s="77" customFormat="1" ht="12" customHeight="1" x14ac:dyDescent="0.3">
      <c r="A16" s="1175">
        <v>9257017</v>
      </c>
      <c r="B16" s="1460" t="s">
        <v>347</v>
      </c>
      <c r="C16" s="1461"/>
      <c r="D16" s="1461"/>
      <c r="E16" s="1461"/>
      <c r="F16" s="1176">
        <v>55122</v>
      </c>
      <c r="G16" s="1176">
        <v>35258</v>
      </c>
      <c r="H16" s="1176">
        <f>(5/12)*35258</f>
        <v>14690.833333333334</v>
      </c>
      <c r="I16" s="1176"/>
      <c r="J16" s="255"/>
      <c r="K16" s="255"/>
      <c r="L16" s="255"/>
      <c r="M16" s="1178">
        <v>0</v>
      </c>
      <c r="N16" s="1176"/>
      <c r="O16" s="255"/>
      <c r="P16" s="255"/>
      <c r="Q16" s="255"/>
      <c r="R16" s="1174"/>
      <c r="S16" s="1174"/>
      <c r="T16" s="1174"/>
      <c r="U16" s="1174"/>
      <c r="V16" s="255"/>
      <c r="W16" s="1174"/>
      <c r="X16" s="255"/>
      <c r="Y16" s="89">
        <f t="shared" si="0"/>
        <v>0</v>
      </c>
      <c r="Z16" s="255"/>
      <c r="AA16" s="255"/>
      <c r="AB16" s="255"/>
      <c r="AC16" s="255"/>
      <c r="AD16" s="255"/>
      <c r="AE16" s="255">
        <f t="shared" si="1"/>
        <v>0</v>
      </c>
    </row>
    <row r="17" spans="1:31" ht="12" customHeight="1" x14ac:dyDescent="0.35">
      <c r="A17" s="1175">
        <v>9257015</v>
      </c>
      <c r="B17" s="1460" t="s">
        <v>348</v>
      </c>
      <c r="C17" s="1461"/>
      <c r="D17" s="1461"/>
      <c r="E17" s="1461"/>
      <c r="F17" s="255"/>
      <c r="G17" s="255"/>
      <c r="H17" s="255">
        <f>(7/12)*35258</f>
        <v>20567.166666666668</v>
      </c>
      <c r="I17" s="255">
        <v>35258</v>
      </c>
      <c r="J17" s="255"/>
      <c r="K17" s="255"/>
      <c r="L17" s="255"/>
      <c r="M17" s="1180">
        <v>6</v>
      </c>
      <c r="N17" s="1176">
        <v>67374</v>
      </c>
      <c r="O17" s="255">
        <v>67374</v>
      </c>
      <c r="P17" s="255">
        <v>51500</v>
      </c>
      <c r="Q17" s="255">
        <v>51500</v>
      </c>
      <c r="R17" s="1174"/>
      <c r="S17" s="1174"/>
      <c r="T17" s="1174" t="s">
        <v>9</v>
      </c>
      <c r="U17" s="1174"/>
      <c r="V17" s="255"/>
      <c r="W17" s="1174"/>
      <c r="X17" s="255">
        <f>(8/12)*2015</f>
        <v>1343.3333333333333</v>
      </c>
      <c r="Y17" s="89">
        <f t="shared" si="0"/>
        <v>86758</v>
      </c>
      <c r="Z17" s="255">
        <f>I17</f>
        <v>35258</v>
      </c>
      <c r="AA17" s="255"/>
      <c r="AB17" s="255">
        <f>Q17*(5/12)</f>
        <v>21458.333333333336</v>
      </c>
      <c r="AC17" s="158"/>
      <c r="AD17" s="255"/>
      <c r="AE17" s="255">
        <f t="shared" si="1"/>
        <v>56716.333333333336</v>
      </c>
    </row>
    <row r="18" spans="1:31" ht="12" customHeight="1" x14ac:dyDescent="0.35">
      <c r="A18" s="1175">
        <v>9257016</v>
      </c>
      <c r="B18" s="1460" t="s">
        <v>349</v>
      </c>
      <c r="C18" s="1461"/>
      <c r="D18" s="1461"/>
      <c r="E18" s="1461"/>
      <c r="F18" s="255"/>
      <c r="G18" s="255"/>
      <c r="H18" s="255"/>
      <c r="I18" s="255"/>
      <c r="J18" s="255">
        <v>60000</v>
      </c>
      <c r="K18" s="255">
        <v>60000</v>
      </c>
      <c r="L18" s="255">
        <v>60000</v>
      </c>
      <c r="M18" s="1180">
        <v>8.5</v>
      </c>
      <c r="N18" s="1176">
        <v>88935.5</v>
      </c>
      <c r="O18" s="255">
        <v>88936</v>
      </c>
      <c r="P18" s="255">
        <v>88936</v>
      </c>
      <c r="Q18" s="255">
        <v>88936</v>
      </c>
      <c r="R18" s="255">
        <v>582568</v>
      </c>
      <c r="S18" s="255">
        <v>582568</v>
      </c>
      <c r="T18" s="1174"/>
      <c r="U18" s="255">
        <v>582568</v>
      </c>
      <c r="V18" s="255"/>
      <c r="W18" s="1174"/>
      <c r="X18" s="255">
        <f>(8/12)*5470</f>
        <v>3646.6666666666665</v>
      </c>
      <c r="Y18" s="89">
        <f t="shared" si="0"/>
        <v>731504</v>
      </c>
      <c r="Z18" s="255"/>
      <c r="AA18" s="255">
        <f>L18*(5/12)</f>
        <v>25000</v>
      </c>
      <c r="AB18" s="255">
        <f>Q18*(5/12)</f>
        <v>37056.666666666672</v>
      </c>
      <c r="AC18" s="158"/>
      <c r="AD18" s="255">
        <f>U18</f>
        <v>582568</v>
      </c>
      <c r="AE18" s="255">
        <f t="shared" si="1"/>
        <v>644624.66666666663</v>
      </c>
    </row>
    <row r="19" spans="1:31" ht="12" customHeight="1" x14ac:dyDescent="0.35">
      <c r="A19" s="1175">
        <v>9257032</v>
      </c>
      <c r="B19" s="1468" t="s">
        <v>350</v>
      </c>
      <c r="C19" s="1469"/>
      <c r="D19" s="1469"/>
      <c r="E19" s="1470"/>
      <c r="F19" s="255"/>
      <c r="G19" s="255"/>
      <c r="H19" s="255"/>
      <c r="I19" s="255"/>
      <c r="J19" s="255">
        <v>60000</v>
      </c>
      <c r="K19" s="255">
        <v>60000</v>
      </c>
      <c r="L19" s="255">
        <v>60000</v>
      </c>
      <c r="M19" s="1178">
        <v>0</v>
      </c>
      <c r="N19" s="1176"/>
      <c r="O19" s="255"/>
      <c r="P19" s="255"/>
      <c r="Q19" s="255"/>
      <c r="R19" s="1174"/>
      <c r="S19" s="1174"/>
      <c r="T19" s="1174"/>
      <c r="U19" s="1174"/>
      <c r="V19" s="255"/>
      <c r="W19" s="1174"/>
      <c r="X19" s="255"/>
      <c r="Y19" s="89">
        <f t="shared" si="0"/>
        <v>60000</v>
      </c>
      <c r="Z19" s="255"/>
      <c r="AA19" s="255">
        <f>L19*(5/12)</f>
        <v>25000</v>
      </c>
      <c r="AB19" s="255"/>
      <c r="AC19" s="158"/>
      <c r="AD19" s="255"/>
      <c r="AE19" s="255">
        <f t="shared" si="1"/>
        <v>25000</v>
      </c>
    </row>
    <row r="20" spans="1:31" ht="12" customHeight="1" x14ac:dyDescent="0.35">
      <c r="A20" s="1175">
        <v>9257025</v>
      </c>
      <c r="B20" s="1460" t="s">
        <v>351</v>
      </c>
      <c r="C20" s="1461"/>
      <c r="D20" s="1461"/>
      <c r="E20" s="1461"/>
      <c r="F20" s="1176">
        <v>35258</v>
      </c>
      <c r="G20" s="1176">
        <v>35258</v>
      </c>
      <c r="H20" s="1176">
        <v>35258</v>
      </c>
      <c r="I20" s="1176">
        <v>35258</v>
      </c>
      <c r="J20" s="255"/>
      <c r="K20" s="255"/>
      <c r="L20" s="255"/>
      <c r="M20" s="1178">
        <v>0</v>
      </c>
      <c r="N20" s="1176"/>
      <c r="O20" s="255"/>
      <c r="P20" s="86"/>
      <c r="Q20" s="86"/>
      <c r="R20" s="255">
        <v>327644</v>
      </c>
      <c r="S20" s="255">
        <v>327644</v>
      </c>
      <c r="T20" s="1174"/>
      <c r="U20" s="255">
        <v>327644</v>
      </c>
      <c r="V20" s="255">
        <f>(9/12)*51500</f>
        <v>38625</v>
      </c>
      <c r="W20" s="1174"/>
      <c r="X20" s="255">
        <f>(8/12)*1727</f>
        <v>1151.3333333333333</v>
      </c>
      <c r="Y20" s="89">
        <f t="shared" si="0"/>
        <v>401527</v>
      </c>
      <c r="Z20" s="255">
        <f>I20</f>
        <v>35258</v>
      </c>
      <c r="AA20" s="255"/>
      <c r="AB20" s="255"/>
      <c r="AC20" s="255">
        <f>51500*(5/12)</f>
        <v>21458.333333333336</v>
      </c>
      <c r="AD20" s="255">
        <f>U20</f>
        <v>327644</v>
      </c>
      <c r="AE20" s="255">
        <f t="shared" si="1"/>
        <v>384360.33333333331</v>
      </c>
    </row>
    <row r="21" spans="1:31" ht="12" customHeight="1" x14ac:dyDescent="0.35">
      <c r="A21" s="1175">
        <v>9257011</v>
      </c>
      <c r="B21" s="1460" t="s">
        <v>352</v>
      </c>
      <c r="C21" s="1461"/>
      <c r="D21" s="1461"/>
      <c r="E21" s="1461"/>
      <c r="F21" s="1176">
        <v>35258</v>
      </c>
      <c r="G21" s="1176">
        <v>35258</v>
      </c>
      <c r="H21" s="1176">
        <v>35258</v>
      </c>
      <c r="I21" s="1176">
        <v>35258</v>
      </c>
      <c r="J21" s="255"/>
      <c r="K21" s="255"/>
      <c r="L21" s="255"/>
      <c r="M21" s="1178">
        <v>0</v>
      </c>
      <c r="N21" s="1176"/>
      <c r="O21" s="255"/>
      <c r="P21" s="255"/>
      <c r="Q21" s="255"/>
      <c r="R21" s="1174"/>
      <c r="S21" s="1174"/>
      <c r="T21" s="1174"/>
      <c r="U21" s="1174"/>
      <c r="V21" s="255">
        <f>((9/12)*51500)/2</f>
        <v>19312.5</v>
      </c>
      <c r="W21" s="1174"/>
      <c r="X21" s="255">
        <f>(8/12)*500</f>
        <v>333.33333333333331</v>
      </c>
      <c r="Y21" s="89">
        <f t="shared" si="0"/>
        <v>54570.5</v>
      </c>
      <c r="Z21" s="255">
        <f>I21</f>
        <v>35258</v>
      </c>
      <c r="AA21" s="255"/>
      <c r="AB21" s="255"/>
      <c r="AC21" s="255">
        <f>(51500)*(5/12)</f>
        <v>21458.333333333336</v>
      </c>
      <c r="AD21" s="255"/>
      <c r="AE21" s="255">
        <f t="shared" si="1"/>
        <v>56716.333333333336</v>
      </c>
    </row>
    <row r="22" spans="1:31" ht="12" customHeight="1" x14ac:dyDescent="0.35">
      <c r="A22" s="1175">
        <v>9257009</v>
      </c>
      <c r="B22" s="1460" t="s">
        <v>353</v>
      </c>
      <c r="C22" s="1461"/>
      <c r="D22" s="1461"/>
      <c r="E22" s="1461"/>
      <c r="F22" s="255"/>
      <c r="G22" s="255"/>
      <c r="H22" s="255"/>
      <c r="I22" s="255"/>
      <c r="J22" s="255"/>
      <c r="K22" s="255"/>
      <c r="L22" s="255"/>
      <c r="M22" s="1178">
        <v>0</v>
      </c>
      <c r="N22" s="1176"/>
      <c r="O22" s="255"/>
      <c r="P22" s="86"/>
      <c r="Q22" s="86"/>
      <c r="R22" s="1174"/>
      <c r="S22" s="1174"/>
      <c r="T22" s="1174"/>
      <c r="U22" s="1174"/>
      <c r="V22" s="255">
        <f>((9/12)*51500)/2</f>
        <v>19312.5</v>
      </c>
      <c r="W22" s="1174"/>
      <c r="X22" s="255"/>
      <c r="Y22" s="89">
        <f t="shared" si="0"/>
        <v>19312.5</v>
      </c>
      <c r="Z22" s="255"/>
      <c r="AA22" s="255"/>
      <c r="AB22" s="255"/>
      <c r="AC22" s="255">
        <f>(51500)*(5/12)</f>
        <v>21458.333333333336</v>
      </c>
      <c r="AD22" s="255"/>
      <c r="AE22" s="255">
        <f t="shared" si="1"/>
        <v>21458.333333333336</v>
      </c>
    </row>
    <row r="23" spans="1:31" ht="12" customHeight="1" x14ac:dyDescent="0.35">
      <c r="A23" s="1175">
        <v>9257024</v>
      </c>
      <c r="B23" s="1460" t="s">
        <v>354</v>
      </c>
      <c r="C23" s="1461"/>
      <c r="D23" s="1461"/>
      <c r="E23" s="1461"/>
      <c r="F23" s="1176">
        <v>35258</v>
      </c>
      <c r="G23" s="1176">
        <v>35258</v>
      </c>
      <c r="H23" s="1176">
        <v>35258</v>
      </c>
      <c r="I23" s="1176">
        <v>35258</v>
      </c>
      <c r="J23" s="255">
        <v>60000</v>
      </c>
      <c r="K23" s="255">
        <v>60000</v>
      </c>
      <c r="L23" s="255">
        <v>60000</v>
      </c>
      <c r="M23" s="1178">
        <v>0</v>
      </c>
      <c r="N23" s="1176"/>
      <c r="O23" s="255"/>
      <c r="P23" s="255"/>
      <c r="Q23" s="255"/>
      <c r="R23" s="1174"/>
      <c r="S23" s="1174"/>
      <c r="T23" s="1174"/>
      <c r="U23" s="1174"/>
      <c r="V23" s="255"/>
      <c r="W23" s="1174"/>
      <c r="X23" s="255">
        <f>(8/12)*1152</f>
        <v>768</v>
      </c>
      <c r="Y23" s="89">
        <f t="shared" si="0"/>
        <v>95258</v>
      </c>
      <c r="Z23" s="255">
        <f>I23</f>
        <v>35258</v>
      </c>
      <c r="AA23" s="255">
        <f>L23*(5/12)</f>
        <v>25000</v>
      </c>
      <c r="AB23" s="255"/>
      <c r="AC23" s="158"/>
      <c r="AD23" s="255"/>
      <c r="AE23" s="255">
        <f t="shared" si="1"/>
        <v>60258</v>
      </c>
    </row>
    <row r="24" spans="1:31" ht="12" customHeight="1" x14ac:dyDescent="0.35">
      <c r="A24" s="1175">
        <v>9257028</v>
      </c>
      <c r="B24" s="1460" t="s">
        <v>355</v>
      </c>
      <c r="C24" s="1461"/>
      <c r="D24" s="1461"/>
      <c r="E24" s="1461"/>
      <c r="F24" s="1176">
        <v>35258</v>
      </c>
      <c r="G24" s="1176">
        <v>35258</v>
      </c>
      <c r="H24" s="1176">
        <v>35258</v>
      </c>
      <c r="I24" s="1176">
        <v>35258</v>
      </c>
      <c r="J24" s="255">
        <v>60000</v>
      </c>
      <c r="K24" s="255">
        <v>60000</v>
      </c>
      <c r="L24" s="255">
        <v>60000</v>
      </c>
      <c r="M24" s="1178">
        <v>0</v>
      </c>
      <c r="N24" s="1176"/>
      <c r="O24" s="255"/>
      <c r="P24" s="255"/>
      <c r="Q24" s="255"/>
      <c r="R24" s="1174"/>
      <c r="S24" s="1174"/>
      <c r="T24" s="1174"/>
      <c r="U24" s="1174"/>
      <c r="V24" s="255"/>
      <c r="W24" s="1174"/>
      <c r="X24" s="255">
        <f>(8/12)*2015</f>
        <v>1343.3333333333333</v>
      </c>
      <c r="Y24" s="89">
        <f t="shared" si="0"/>
        <v>95258</v>
      </c>
      <c r="Z24" s="255">
        <f>I24</f>
        <v>35258</v>
      </c>
      <c r="AA24" s="255"/>
      <c r="AB24" s="255"/>
      <c r="AC24" s="158"/>
      <c r="AD24" s="255"/>
      <c r="AE24" s="255">
        <f t="shared" si="1"/>
        <v>35258</v>
      </c>
    </row>
    <row r="25" spans="1:31" ht="12" customHeight="1" x14ac:dyDescent="0.35">
      <c r="A25" s="1175">
        <v>9257029</v>
      </c>
      <c r="B25" s="1471" t="s">
        <v>356</v>
      </c>
      <c r="C25" s="1472"/>
      <c r="D25" s="1472"/>
      <c r="E25" s="1473"/>
      <c r="F25" s="1176"/>
      <c r="G25" s="1176"/>
      <c r="H25" s="1176"/>
      <c r="I25" s="1176"/>
      <c r="J25" s="255">
        <v>60000</v>
      </c>
      <c r="K25" s="255">
        <v>60000</v>
      </c>
      <c r="L25" s="255">
        <v>60000</v>
      </c>
      <c r="M25" s="1178">
        <v>0</v>
      </c>
      <c r="N25" s="1176"/>
      <c r="O25" s="255"/>
      <c r="P25" s="255"/>
      <c r="Q25" s="255"/>
      <c r="R25" s="1174"/>
      <c r="S25" s="1174"/>
      <c r="T25" s="1174"/>
      <c r="U25" s="1174"/>
      <c r="V25" s="255"/>
      <c r="W25" s="1174"/>
      <c r="X25" s="255"/>
      <c r="Y25" s="89">
        <f t="shared" si="0"/>
        <v>60000</v>
      </c>
      <c r="Z25" s="255"/>
      <c r="AA25" s="255">
        <f>L25*(5/12)</f>
        <v>25000</v>
      </c>
      <c r="AB25" s="255"/>
      <c r="AC25" s="158"/>
      <c r="AD25" s="255"/>
      <c r="AE25" s="255">
        <f t="shared" si="1"/>
        <v>25000</v>
      </c>
    </row>
    <row r="26" spans="1:31" ht="12" customHeight="1" x14ac:dyDescent="0.35">
      <c r="A26" s="293"/>
      <c r="B26" s="1474" t="s">
        <v>357</v>
      </c>
      <c r="C26" s="1474"/>
      <c r="D26" s="1474"/>
      <c r="E26" s="1474"/>
      <c r="F26" s="81">
        <f t="shared" ref="F26:V26" si="2">SUM(F7:F25)</f>
        <v>301928</v>
      </c>
      <c r="G26" s="81">
        <f t="shared" si="2"/>
        <v>282064</v>
      </c>
      <c r="H26" s="81">
        <f t="shared" si="2"/>
        <v>317322</v>
      </c>
      <c r="I26" s="81">
        <f t="shared" si="2"/>
        <v>317322</v>
      </c>
      <c r="J26" s="81">
        <f t="shared" si="2"/>
        <v>360000</v>
      </c>
      <c r="K26" s="81">
        <f t="shared" si="2"/>
        <v>360000</v>
      </c>
      <c r="L26" s="81">
        <f t="shared" si="2"/>
        <v>360000</v>
      </c>
      <c r="M26" s="82">
        <f t="shared" si="2"/>
        <v>18.5</v>
      </c>
      <c r="N26" s="81">
        <f t="shared" si="2"/>
        <v>201225.5</v>
      </c>
      <c r="O26" s="81">
        <f t="shared" si="2"/>
        <v>207810</v>
      </c>
      <c r="P26" s="81">
        <f t="shared" si="2"/>
        <v>191936</v>
      </c>
      <c r="Q26" s="81">
        <f t="shared" si="2"/>
        <v>191936</v>
      </c>
      <c r="R26" s="81">
        <f t="shared" si="2"/>
        <v>1184632</v>
      </c>
      <c r="S26" s="81">
        <f t="shared" si="2"/>
        <v>978817</v>
      </c>
      <c r="T26" s="81">
        <f t="shared" si="2"/>
        <v>0</v>
      </c>
      <c r="U26" s="81">
        <f t="shared" si="2"/>
        <v>910212</v>
      </c>
      <c r="V26" s="81">
        <f t="shared" si="2"/>
        <v>154500</v>
      </c>
      <c r="W26" s="1174"/>
      <c r="X26" s="89">
        <f>SUM(X7:X25)</f>
        <v>13192.666666666668</v>
      </c>
      <c r="Y26" s="89">
        <f>I26+L26+Q26+U26+V26</f>
        <v>1933970</v>
      </c>
      <c r="Z26" s="255">
        <f>SUM(Z7:Z25)</f>
        <v>317322</v>
      </c>
      <c r="AA26" s="255">
        <f>SUM(AA7:AA25)</f>
        <v>100000</v>
      </c>
      <c r="AB26" s="255">
        <f>SUM(AB7:AB25)</f>
        <v>79973.333333333343</v>
      </c>
      <c r="AC26" s="255">
        <f>SUM(AC7:AC25)</f>
        <v>128750.00000000003</v>
      </c>
      <c r="AD26" s="255">
        <f>SUM(AD7:AD25)</f>
        <v>910212</v>
      </c>
      <c r="AE26" s="255">
        <f t="shared" si="1"/>
        <v>1536257.3333333335</v>
      </c>
    </row>
    <row r="27" spans="1:31" ht="15" customHeight="1" x14ac:dyDescent="0.35">
      <c r="A27" s="293"/>
      <c r="B27" s="1172"/>
      <c r="C27" s="1172"/>
      <c r="D27" s="1172"/>
      <c r="E27" s="1172"/>
      <c r="F27" s="1172"/>
      <c r="G27" s="1172"/>
      <c r="H27" s="1172"/>
      <c r="I27" s="1172"/>
      <c r="J27" s="293"/>
      <c r="K27" s="293"/>
      <c r="L27" s="293"/>
      <c r="O27" s="1172"/>
      <c r="P27" s="1172"/>
      <c r="Q27" s="1172"/>
      <c r="R27" s="1172"/>
      <c r="S27" s="1172"/>
      <c r="T27" s="1172"/>
      <c r="U27" s="1172"/>
      <c r="V27" s="1172"/>
      <c r="W27" s="1172"/>
      <c r="X27" s="1172"/>
      <c r="Y27" s="293"/>
      <c r="Z27" s="1172"/>
      <c r="AA27" s="1172"/>
      <c r="AB27" s="1172"/>
    </row>
    <row r="28" spans="1:31" ht="15" hidden="1" customHeight="1" x14ac:dyDescent="0.35">
      <c r="A28" s="293"/>
      <c r="B28" s="83" t="s">
        <v>358</v>
      </c>
      <c r="C28" s="1172"/>
      <c r="D28" s="1172"/>
      <c r="E28" s="1172"/>
      <c r="F28" s="1172"/>
      <c r="G28" s="1172"/>
      <c r="H28" s="1172"/>
      <c r="I28" s="1172"/>
      <c r="J28" s="293"/>
      <c r="K28" s="293"/>
      <c r="L28" s="293"/>
      <c r="O28" s="1172"/>
      <c r="P28" s="1172"/>
      <c r="Q28" s="1172"/>
      <c r="R28" s="1172"/>
      <c r="S28" s="1172"/>
      <c r="T28" s="1172"/>
      <c r="U28" s="1172"/>
      <c r="V28" s="1172"/>
      <c r="W28" s="1172"/>
      <c r="X28" s="1172"/>
      <c r="Y28" s="293"/>
      <c r="Z28" s="1172"/>
      <c r="AA28" s="1172"/>
      <c r="AB28" s="1172"/>
    </row>
    <row r="29" spans="1:31" ht="15" hidden="1" customHeight="1" x14ac:dyDescent="0.35">
      <c r="A29" s="293"/>
      <c r="B29" s="84" t="s">
        <v>359</v>
      </c>
      <c r="C29" s="1172"/>
      <c r="D29" s="1172"/>
      <c r="E29" s="1172"/>
      <c r="F29" s="1172"/>
      <c r="G29" s="1172"/>
      <c r="H29" s="1172"/>
      <c r="I29" s="1172"/>
      <c r="J29" s="293"/>
      <c r="K29" s="293"/>
      <c r="L29" s="293"/>
      <c r="O29" s="1172"/>
      <c r="P29" s="1172"/>
      <c r="Q29" s="1172"/>
      <c r="R29" s="1172"/>
      <c r="S29" s="1172"/>
      <c r="T29" s="1172"/>
      <c r="U29" s="1172"/>
      <c r="V29" s="1172"/>
      <c r="W29" s="1172"/>
      <c r="X29" s="1172"/>
      <c r="Y29" s="293"/>
      <c r="Z29" s="1172"/>
      <c r="AA29" s="1172"/>
      <c r="AB29" s="1172"/>
    </row>
    <row r="30" spans="1:31" ht="15" hidden="1" customHeight="1" x14ac:dyDescent="0.35">
      <c r="A30" s="293"/>
      <c r="B30" s="1477" t="s">
        <v>360</v>
      </c>
      <c r="C30" s="1477"/>
      <c r="D30" s="1477"/>
      <c r="E30" s="1477"/>
      <c r="F30" s="1477"/>
      <c r="G30" s="1477"/>
      <c r="H30" s="1477"/>
      <c r="I30" s="1477"/>
      <c r="J30" s="1477"/>
      <c r="K30" s="1477"/>
      <c r="L30" s="1477"/>
      <c r="M30" s="1477"/>
      <c r="N30" s="1477"/>
      <c r="O30" s="1477"/>
      <c r="P30" s="1477"/>
      <c r="Q30" s="1477"/>
      <c r="R30" s="1477"/>
      <c r="S30" s="1477"/>
      <c r="T30" s="1477"/>
      <c r="U30" s="1477"/>
      <c r="V30" s="1477"/>
      <c r="W30" s="1172"/>
      <c r="X30" s="1172"/>
      <c r="Y30" s="293"/>
      <c r="Z30" s="1172"/>
      <c r="AA30" s="1172"/>
      <c r="AB30" s="1172"/>
    </row>
    <row r="31" spans="1:31" ht="15" hidden="1" customHeight="1" x14ac:dyDescent="0.35">
      <c r="A31" s="293"/>
      <c r="B31" s="1477"/>
      <c r="C31" s="1477"/>
      <c r="D31" s="1477"/>
      <c r="E31" s="1477"/>
      <c r="F31" s="1477"/>
      <c r="G31" s="1477"/>
      <c r="H31" s="1477"/>
      <c r="I31" s="1477"/>
      <c r="J31" s="1477"/>
      <c r="K31" s="1477"/>
      <c r="L31" s="1477"/>
      <c r="M31" s="1477"/>
      <c r="N31" s="1477"/>
      <c r="O31" s="1477"/>
      <c r="P31" s="1477"/>
      <c r="Q31" s="1477"/>
      <c r="R31" s="1477"/>
      <c r="S31" s="1477"/>
      <c r="T31" s="1477"/>
      <c r="U31" s="1477"/>
      <c r="V31" s="1477"/>
      <c r="W31" s="1172"/>
      <c r="X31" s="1172"/>
      <c r="Y31" s="293"/>
      <c r="Z31" s="1172"/>
      <c r="AA31" s="1172"/>
      <c r="AB31" s="1172"/>
    </row>
    <row r="32" spans="1:31" ht="15" hidden="1" customHeight="1" x14ac:dyDescent="0.35">
      <c r="A32" s="293"/>
      <c r="B32" s="1477"/>
      <c r="C32" s="1477"/>
      <c r="D32" s="1477"/>
      <c r="E32" s="1477"/>
      <c r="F32" s="1477"/>
      <c r="G32" s="1477"/>
      <c r="H32" s="1477"/>
      <c r="I32" s="1477"/>
      <c r="J32" s="1477"/>
      <c r="K32" s="1477"/>
      <c r="L32" s="1477"/>
      <c r="M32" s="1477"/>
      <c r="N32" s="1477"/>
      <c r="O32" s="1477"/>
      <c r="P32" s="1477"/>
      <c r="Q32" s="1477"/>
      <c r="R32" s="1477"/>
      <c r="S32" s="1477"/>
      <c r="T32" s="1477"/>
      <c r="U32" s="1477"/>
      <c r="V32" s="1477"/>
      <c r="W32" s="1172"/>
      <c r="X32" s="1172"/>
      <c r="Y32" s="293"/>
      <c r="Z32" s="1172"/>
      <c r="AA32" s="1172"/>
      <c r="AB32" s="1172"/>
    </row>
    <row r="33" spans="1:28" ht="18.75" hidden="1" customHeight="1" x14ac:dyDescent="0.35">
      <c r="A33" s="293"/>
      <c r="B33" s="1477"/>
      <c r="C33" s="1477"/>
      <c r="D33" s="1477"/>
      <c r="E33" s="1477"/>
      <c r="F33" s="1477"/>
      <c r="G33" s="1477"/>
      <c r="H33" s="1477"/>
      <c r="I33" s="1477"/>
      <c r="J33" s="1477"/>
      <c r="K33" s="1477"/>
      <c r="L33" s="1477"/>
      <c r="M33" s="1477"/>
      <c r="N33" s="1477"/>
      <c r="O33" s="1477"/>
      <c r="P33" s="1477"/>
      <c r="Q33" s="1477"/>
      <c r="R33" s="1477"/>
      <c r="S33" s="1477"/>
      <c r="T33" s="1477"/>
      <c r="U33" s="1477"/>
      <c r="V33" s="1477"/>
      <c r="W33" s="1172"/>
      <c r="X33" s="1172"/>
      <c r="Y33" s="293"/>
      <c r="Z33" s="1172"/>
      <c r="AA33" s="1172"/>
      <c r="AB33" s="1172"/>
    </row>
    <row r="34" spans="1:28" ht="15" hidden="1" customHeight="1" x14ac:dyDescent="0.35">
      <c r="A34" s="293"/>
      <c r="B34" s="1181"/>
      <c r="C34" s="1181"/>
      <c r="D34" s="1181"/>
      <c r="E34" s="1181"/>
      <c r="F34" s="1181"/>
      <c r="G34" s="1181"/>
      <c r="H34" s="1181"/>
      <c r="I34" s="1181"/>
      <c r="J34" s="1173"/>
      <c r="K34" s="1173"/>
      <c r="L34" s="1173"/>
      <c r="M34" s="1181"/>
      <c r="N34" s="1181"/>
      <c r="O34" s="1172"/>
      <c r="P34" s="1172"/>
      <c r="Q34" s="1172"/>
      <c r="R34" s="1172"/>
      <c r="S34" s="1172"/>
      <c r="T34" s="1172"/>
      <c r="U34" s="1172"/>
      <c r="V34" s="1172"/>
      <c r="W34" s="1172"/>
      <c r="X34" s="1172"/>
      <c r="Y34" s="293"/>
      <c r="Z34" s="1172"/>
      <c r="AA34" s="1172"/>
      <c r="AB34" s="1172"/>
    </row>
    <row r="35" spans="1:28" ht="15" hidden="1" customHeight="1" x14ac:dyDescent="0.35">
      <c r="A35" s="293"/>
      <c r="B35" s="84" t="s">
        <v>361</v>
      </c>
      <c r="C35" s="1172"/>
      <c r="D35" s="1172"/>
      <c r="E35" s="1172"/>
      <c r="F35" s="1172"/>
      <c r="G35" s="1172"/>
      <c r="H35" s="1172"/>
      <c r="I35" s="1172"/>
      <c r="J35" s="293"/>
      <c r="K35" s="293"/>
      <c r="L35" s="293"/>
      <c r="O35" s="1172"/>
      <c r="P35" s="1172"/>
      <c r="Q35" s="1172"/>
      <c r="R35" s="1172"/>
      <c r="S35" s="1172"/>
      <c r="T35" s="1172"/>
      <c r="U35" s="1172"/>
      <c r="V35" s="1172"/>
      <c r="W35" s="1172"/>
      <c r="X35" s="1172"/>
      <c r="Y35" s="293"/>
      <c r="Z35" s="1172"/>
      <c r="AA35" s="1172"/>
      <c r="AB35" s="1172"/>
    </row>
    <row r="36" spans="1:28" ht="15" hidden="1" customHeight="1" x14ac:dyDescent="0.35">
      <c r="A36" s="293"/>
      <c r="B36" s="1477" t="s">
        <v>362</v>
      </c>
      <c r="C36" s="1477"/>
      <c r="D36" s="1477"/>
      <c r="E36" s="1477"/>
      <c r="F36" s="1477"/>
      <c r="G36" s="1477"/>
      <c r="H36" s="1477"/>
      <c r="I36" s="1477"/>
      <c r="J36" s="1477"/>
      <c r="K36" s="1477"/>
      <c r="L36" s="1477"/>
      <c r="M36" s="1477"/>
      <c r="N36" s="1477"/>
      <c r="O36" s="1477"/>
      <c r="P36" s="1477"/>
      <c r="Q36" s="1477"/>
      <c r="R36" s="1477"/>
      <c r="S36" s="1477"/>
      <c r="T36" s="1477"/>
      <c r="U36" s="1477"/>
      <c r="V36" s="1477"/>
      <c r="W36" s="1172"/>
      <c r="X36" s="1172"/>
      <c r="Y36" s="293"/>
      <c r="Z36" s="1172"/>
      <c r="AA36" s="1172"/>
      <c r="AB36" s="1172"/>
    </row>
    <row r="37" spans="1:28" ht="15" hidden="1" customHeight="1" x14ac:dyDescent="0.35">
      <c r="A37" s="293"/>
      <c r="B37" s="1477"/>
      <c r="C37" s="1477"/>
      <c r="D37" s="1477"/>
      <c r="E37" s="1477"/>
      <c r="F37" s="1477"/>
      <c r="G37" s="1477"/>
      <c r="H37" s="1477"/>
      <c r="I37" s="1477"/>
      <c r="J37" s="1477"/>
      <c r="K37" s="1477"/>
      <c r="L37" s="1477"/>
      <c r="M37" s="1477"/>
      <c r="N37" s="1477"/>
      <c r="O37" s="1477"/>
      <c r="P37" s="1477"/>
      <c r="Q37" s="1477"/>
      <c r="R37" s="1477"/>
      <c r="S37" s="1477"/>
      <c r="T37" s="1477"/>
      <c r="U37" s="1477"/>
      <c r="V37" s="1477"/>
      <c r="W37" s="1172"/>
      <c r="X37" s="1172"/>
      <c r="Y37" s="293"/>
      <c r="Z37" s="1172"/>
      <c r="AA37" s="1172"/>
      <c r="AB37" s="1172"/>
    </row>
    <row r="38" spans="1:28" ht="23.25" hidden="1" customHeight="1" x14ac:dyDescent="0.35">
      <c r="A38" s="293"/>
      <c r="B38" s="1477"/>
      <c r="C38" s="1477"/>
      <c r="D38" s="1477"/>
      <c r="E38" s="1477"/>
      <c r="F38" s="1477"/>
      <c r="G38" s="1477"/>
      <c r="H38" s="1477"/>
      <c r="I38" s="1477"/>
      <c r="J38" s="1477"/>
      <c r="K38" s="1477"/>
      <c r="L38" s="1477"/>
      <c r="M38" s="1477"/>
      <c r="N38" s="1477"/>
      <c r="O38" s="1477"/>
      <c r="P38" s="1477"/>
      <c r="Q38" s="1477"/>
      <c r="R38" s="1477"/>
      <c r="S38" s="1477"/>
      <c r="T38" s="1477"/>
      <c r="U38" s="1477"/>
      <c r="V38" s="1477"/>
      <c r="W38" s="1172"/>
      <c r="X38" s="1172"/>
      <c r="Y38" s="293"/>
      <c r="Z38" s="1172"/>
      <c r="AA38" s="1172"/>
      <c r="AB38" s="1172"/>
    </row>
    <row r="39" spans="1:28" ht="15.5" hidden="1" x14ac:dyDescent="0.35">
      <c r="A39" s="293"/>
      <c r="B39" s="1182"/>
      <c r="C39" s="1182"/>
      <c r="D39" s="1182"/>
      <c r="E39" s="1182"/>
      <c r="F39" s="1182"/>
      <c r="G39" s="1182"/>
      <c r="H39" s="1182"/>
      <c r="I39" s="1182"/>
      <c r="J39" s="1182"/>
      <c r="K39" s="1182"/>
      <c r="L39" s="1182"/>
      <c r="M39" s="1182"/>
      <c r="N39" s="1182"/>
      <c r="O39" s="1172"/>
      <c r="P39" s="1172"/>
      <c r="Q39" s="1172"/>
      <c r="R39" s="1172"/>
      <c r="S39" s="1172"/>
      <c r="T39" s="1172"/>
      <c r="U39" s="1172"/>
      <c r="V39" s="1172"/>
      <c r="W39" s="1172"/>
      <c r="X39" s="1172"/>
      <c r="Y39" s="293"/>
      <c r="Z39" s="1172"/>
      <c r="AA39" s="1172"/>
      <c r="AB39" s="1172"/>
    </row>
    <row r="40" spans="1:28" ht="15.5" hidden="1" x14ac:dyDescent="0.35">
      <c r="A40" s="293"/>
      <c r="B40" s="85" t="s">
        <v>363</v>
      </c>
      <c r="C40" s="1182"/>
      <c r="D40" s="1182"/>
      <c r="E40" s="1182"/>
      <c r="F40" s="1182"/>
      <c r="G40" s="1182"/>
      <c r="H40" s="1182"/>
      <c r="I40" s="1182"/>
      <c r="J40" s="1182"/>
      <c r="K40" s="1182"/>
      <c r="L40" s="1182"/>
      <c r="M40" s="1182"/>
      <c r="N40" s="1182"/>
      <c r="O40" s="1172"/>
      <c r="P40" s="1172"/>
      <c r="Q40" s="1172"/>
      <c r="R40" s="1172"/>
      <c r="S40" s="1172"/>
      <c r="T40" s="1172"/>
      <c r="U40" s="1172"/>
      <c r="V40" s="1172"/>
      <c r="W40" s="1172"/>
      <c r="X40" s="1172"/>
      <c r="Y40" s="293"/>
      <c r="Z40" s="1172"/>
      <c r="AA40" s="1172"/>
      <c r="AB40" s="1172"/>
    </row>
    <row r="41" spans="1:28" ht="15.75" hidden="1" customHeight="1" x14ac:dyDescent="0.35">
      <c r="A41" s="293"/>
      <c r="B41" s="1477" t="s">
        <v>364</v>
      </c>
      <c r="C41" s="1477"/>
      <c r="D41" s="1477"/>
      <c r="E41" s="1477"/>
      <c r="F41" s="1477"/>
      <c r="G41" s="1477"/>
      <c r="H41" s="1477"/>
      <c r="I41" s="1477"/>
      <c r="J41" s="1477"/>
      <c r="K41" s="1477"/>
      <c r="L41" s="1477"/>
      <c r="M41" s="1477"/>
      <c r="N41" s="1477"/>
      <c r="O41" s="1477"/>
      <c r="P41" s="1477"/>
      <c r="Q41" s="1477"/>
      <c r="R41" s="1477"/>
      <c r="S41" s="1477"/>
      <c r="T41" s="1477"/>
      <c r="U41" s="1477"/>
      <c r="V41" s="1477"/>
      <c r="W41" s="1172"/>
      <c r="X41" s="1172"/>
      <c r="Y41" s="293"/>
      <c r="Z41" s="1172"/>
      <c r="AA41" s="1172"/>
      <c r="AB41" s="1172"/>
    </row>
    <row r="42" spans="1:28" ht="15.5" hidden="1" x14ac:dyDescent="0.35">
      <c r="A42" s="293"/>
      <c r="B42" s="1477"/>
      <c r="C42" s="1477"/>
      <c r="D42" s="1477"/>
      <c r="E42" s="1477"/>
      <c r="F42" s="1477"/>
      <c r="G42" s="1477"/>
      <c r="H42" s="1477"/>
      <c r="I42" s="1477"/>
      <c r="J42" s="1477"/>
      <c r="K42" s="1477"/>
      <c r="L42" s="1477"/>
      <c r="M42" s="1477"/>
      <c r="N42" s="1477"/>
      <c r="O42" s="1477"/>
      <c r="P42" s="1477"/>
      <c r="Q42" s="1477"/>
      <c r="R42" s="1477"/>
      <c r="S42" s="1477"/>
      <c r="T42" s="1477"/>
      <c r="U42" s="1477"/>
      <c r="V42" s="1477"/>
      <c r="W42" s="1172"/>
      <c r="X42" s="1172"/>
      <c r="Y42" s="293"/>
      <c r="Z42" s="1172"/>
      <c r="AA42" s="1172"/>
      <c r="AB42" s="1172"/>
    </row>
    <row r="43" spans="1:28" ht="15.5" hidden="1" x14ac:dyDescent="0.35">
      <c r="A43" s="293"/>
      <c r="B43" s="1477"/>
      <c r="C43" s="1477"/>
      <c r="D43" s="1477"/>
      <c r="E43" s="1477"/>
      <c r="F43" s="1477"/>
      <c r="G43" s="1477"/>
      <c r="H43" s="1477"/>
      <c r="I43" s="1477"/>
      <c r="J43" s="1477"/>
      <c r="K43" s="1477"/>
      <c r="L43" s="1477"/>
      <c r="M43" s="1477"/>
      <c r="N43" s="1477"/>
      <c r="O43" s="1477"/>
      <c r="P43" s="1477"/>
      <c r="Q43" s="1477"/>
      <c r="R43" s="1477"/>
      <c r="S43" s="1477"/>
      <c r="T43" s="1477"/>
      <c r="U43" s="1477"/>
      <c r="V43" s="1477"/>
      <c r="W43" s="1172"/>
      <c r="X43" s="1172"/>
      <c r="Y43" s="293"/>
      <c r="Z43" s="1172"/>
      <c r="AA43" s="1172"/>
      <c r="AB43" s="1172"/>
    </row>
    <row r="44" spans="1:28" ht="15.5" hidden="1" x14ac:dyDescent="0.35">
      <c r="A44" s="293"/>
      <c r="B44" s="1477"/>
      <c r="C44" s="1477"/>
      <c r="D44" s="1477"/>
      <c r="E44" s="1477"/>
      <c r="F44" s="1477"/>
      <c r="G44" s="1477"/>
      <c r="H44" s="1477"/>
      <c r="I44" s="1477"/>
      <c r="J44" s="1477"/>
      <c r="K44" s="1477"/>
      <c r="L44" s="1477"/>
      <c r="M44" s="1477"/>
      <c r="N44" s="1477"/>
      <c r="O44" s="1477"/>
      <c r="P44" s="1477"/>
      <c r="Q44" s="1477"/>
      <c r="R44" s="1477"/>
      <c r="S44" s="1477"/>
      <c r="T44" s="1477"/>
      <c r="U44" s="1477"/>
      <c r="V44" s="1477"/>
      <c r="W44" s="1172"/>
      <c r="X44" s="1172"/>
      <c r="Y44" s="293"/>
      <c r="Z44" s="1172"/>
      <c r="AA44" s="1172"/>
      <c r="AB44" s="1172"/>
    </row>
    <row r="45" spans="1:28" ht="15" hidden="1" customHeight="1" x14ac:dyDescent="0.35">
      <c r="A45" s="293"/>
      <c r="B45" s="1182"/>
      <c r="C45" s="1182"/>
      <c r="D45" s="1182"/>
      <c r="E45" s="1182"/>
      <c r="F45" s="1182"/>
      <c r="G45" s="1182"/>
      <c r="H45" s="1182"/>
      <c r="I45" s="1182"/>
      <c r="J45" s="1182"/>
      <c r="K45" s="1182"/>
      <c r="L45" s="1182"/>
      <c r="M45" s="1182"/>
      <c r="N45" s="1182"/>
      <c r="O45" s="1172"/>
      <c r="P45" s="1172"/>
      <c r="Q45" s="1172"/>
      <c r="R45" s="1172"/>
      <c r="S45" s="1172"/>
      <c r="T45" s="1172"/>
      <c r="U45" s="1172"/>
      <c r="V45" s="1172"/>
      <c r="W45" s="1172"/>
      <c r="X45" s="1172"/>
      <c r="Y45" s="293"/>
      <c r="Z45" s="1172"/>
      <c r="AA45" s="1172"/>
      <c r="AB45" s="1172"/>
    </row>
    <row r="46" spans="1:28" ht="15" hidden="1" customHeight="1" x14ac:dyDescent="0.35">
      <c r="A46" s="293"/>
      <c r="B46" s="1477" t="s">
        <v>365</v>
      </c>
      <c r="C46" s="1477"/>
      <c r="D46" s="1477"/>
      <c r="E46" s="1477"/>
      <c r="F46" s="1477"/>
      <c r="G46" s="1477"/>
      <c r="H46" s="1477"/>
      <c r="I46" s="1477"/>
      <c r="J46" s="1477"/>
      <c r="K46" s="1477"/>
      <c r="L46" s="1477"/>
      <c r="M46" s="1477"/>
      <c r="N46" s="1477"/>
      <c r="O46" s="1477"/>
      <c r="P46" s="1477"/>
      <c r="Q46" s="1477"/>
      <c r="R46" s="1477"/>
      <c r="S46" s="1477"/>
      <c r="T46" s="1477"/>
      <c r="U46" s="1477"/>
      <c r="V46" s="1477"/>
      <c r="W46" s="1172"/>
      <c r="X46" s="1172"/>
      <c r="Y46" s="293"/>
      <c r="Z46" s="1172"/>
      <c r="AA46" s="1172"/>
      <c r="AB46" s="1172"/>
    </row>
    <row r="47" spans="1:28" ht="15.5" hidden="1" x14ac:dyDescent="0.35">
      <c r="A47" s="293"/>
      <c r="B47" s="1477"/>
      <c r="C47" s="1477"/>
      <c r="D47" s="1477"/>
      <c r="E47" s="1477"/>
      <c r="F47" s="1477"/>
      <c r="G47" s="1477"/>
      <c r="H47" s="1477"/>
      <c r="I47" s="1477"/>
      <c r="J47" s="1477"/>
      <c r="K47" s="1477"/>
      <c r="L47" s="1477"/>
      <c r="M47" s="1477"/>
      <c r="N47" s="1477"/>
      <c r="O47" s="1477"/>
      <c r="P47" s="1477"/>
      <c r="Q47" s="1477"/>
      <c r="R47" s="1477"/>
      <c r="S47" s="1477"/>
      <c r="T47" s="1477"/>
      <c r="U47" s="1477"/>
      <c r="V47" s="1477"/>
      <c r="W47" s="1172"/>
      <c r="X47" s="1172"/>
      <c r="Y47" s="293"/>
      <c r="Z47" s="1172"/>
      <c r="AA47" s="1172"/>
      <c r="AB47" s="1172"/>
    </row>
    <row r="48" spans="1:28" ht="15" hidden="1" customHeight="1" x14ac:dyDescent="0.35">
      <c r="A48" s="293"/>
      <c r="B48" s="1477" t="s">
        <v>366</v>
      </c>
      <c r="C48" s="1477"/>
      <c r="D48" s="1477"/>
      <c r="E48" s="1477"/>
      <c r="F48" s="1477"/>
      <c r="G48" s="1477"/>
      <c r="H48" s="1477"/>
      <c r="I48" s="1477"/>
      <c r="J48" s="1477"/>
      <c r="K48" s="1477"/>
      <c r="L48" s="1477"/>
      <c r="M48" s="1477"/>
      <c r="N48" s="1477"/>
      <c r="O48" s="1477"/>
      <c r="P48" s="1477"/>
      <c r="Q48" s="1477"/>
      <c r="R48" s="1477"/>
      <c r="S48" s="1477"/>
      <c r="T48" s="1477"/>
      <c r="U48" s="1477"/>
      <c r="V48" s="1477"/>
      <c r="W48" s="1172"/>
      <c r="X48" s="1172"/>
      <c r="Y48" s="293"/>
      <c r="Z48" s="1172"/>
      <c r="AA48" s="1172"/>
      <c r="AB48" s="1172"/>
    </row>
    <row r="49" spans="1:31" ht="37.5" hidden="1" customHeight="1" x14ac:dyDescent="0.35">
      <c r="A49" s="293"/>
      <c r="B49" s="1477"/>
      <c r="C49" s="1477"/>
      <c r="D49" s="1477"/>
      <c r="E49" s="1477"/>
      <c r="F49" s="1477"/>
      <c r="G49" s="1477"/>
      <c r="H49" s="1477"/>
      <c r="I49" s="1477"/>
      <c r="J49" s="1477"/>
      <c r="K49" s="1477"/>
      <c r="L49" s="1477"/>
      <c r="M49" s="1477"/>
      <c r="N49" s="1477"/>
      <c r="O49" s="1477"/>
      <c r="P49" s="1477"/>
      <c r="Q49" s="1477"/>
      <c r="R49" s="1477"/>
      <c r="S49" s="1477"/>
      <c r="T49" s="1477"/>
      <c r="U49" s="1477"/>
      <c r="V49" s="1477"/>
      <c r="W49" s="1172"/>
      <c r="X49" s="1172"/>
      <c r="Y49" s="293"/>
      <c r="Z49" s="1172"/>
      <c r="AA49" s="1172"/>
      <c r="AB49" s="1172"/>
    </row>
    <row r="50" spans="1:31" ht="15" hidden="1" customHeight="1" x14ac:dyDescent="0.35">
      <c r="A50" s="293"/>
      <c r="B50" s="1172"/>
      <c r="C50" s="1172"/>
      <c r="D50" s="1172"/>
      <c r="E50" s="1172"/>
      <c r="F50" s="1172"/>
      <c r="G50" s="1172"/>
      <c r="H50" s="1172"/>
      <c r="I50" s="1172"/>
      <c r="J50" s="293"/>
      <c r="K50" s="293"/>
      <c r="L50" s="293"/>
      <c r="O50" s="1172"/>
      <c r="P50" s="1172"/>
      <c r="Q50" s="1172"/>
      <c r="R50" s="1172"/>
      <c r="S50" s="1172"/>
      <c r="T50" s="1172"/>
      <c r="U50" s="1172"/>
      <c r="V50" s="1172"/>
      <c r="W50" s="1172"/>
      <c r="X50" s="1172"/>
      <c r="Y50" s="293"/>
      <c r="Z50" s="1172"/>
      <c r="AA50" s="1172"/>
      <c r="AB50" s="1172"/>
    </row>
    <row r="51" spans="1:31" ht="15" hidden="1" customHeight="1" x14ac:dyDescent="0.35">
      <c r="A51" s="293"/>
      <c r="B51" s="84" t="s">
        <v>11</v>
      </c>
      <c r="C51" s="1172"/>
      <c r="D51" s="1172"/>
      <c r="E51" s="1172"/>
      <c r="F51" s="88" t="s">
        <v>367</v>
      </c>
      <c r="G51" s="88" t="s">
        <v>368</v>
      </c>
      <c r="H51" s="1172"/>
      <c r="I51" s="1172"/>
      <c r="J51" s="293"/>
      <c r="K51" s="293"/>
      <c r="L51" s="293"/>
      <c r="O51" s="1172"/>
      <c r="P51" s="1172"/>
      <c r="Q51" s="1172"/>
      <c r="R51" s="1172"/>
      <c r="S51" s="1172"/>
      <c r="T51" s="1172"/>
      <c r="U51" s="1172"/>
      <c r="V51" s="1172"/>
      <c r="W51" s="1172"/>
      <c r="X51" s="1172"/>
      <c r="Y51" s="293"/>
      <c r="Z51" s="1172"/>
      <c r="AA51" s="1172"/>
      <c r="AB51" s="1172"/>
    </row>
    <row r="52" spans="1:31" ht="15" hidden="1" customHeight="1" x14ac:dyDescent="0.35">
      <c r="A52" s="293">
        <v>9257021</v>
      </c>
      <c r="B52" s="1460" t="s">
        <v>344</v>
      </c>
      <c r="C52" s="1461"/>
      <c r="D52" s="1461"/>
      <c r="E52" s="1476"/>
      <c r="F52" s="255">
        <v>274420</v>
      </c>
      <c r="G52" s="255">
        <f>F52*(3/12)</f>
        <v>68605</v>
      </c>
      <c r="H52" s="1172"/>
      <c r="I52" s="1172"/>
      <c r="J52" s="293" t="s">
        <v>369</v>
      </c>
      <c r="K52" s="293"/>
      <c r="L52" s="293"/>
      <c r="O52" s="1172"/>
      <c r="P52" s="1172"/>
      <c r="Q52" s="1172"/>
      <c r="R52" s="1172"/>
      <c r="S52" s="1172"/>
      <c r="T52" s="1172"/>
      <c r="U52" s="1172"/>
      <c r="V52" s="1172"/>
      <c r="W52" s="1172"/>
      <c r="X52" s="1172"/>
      <c r="Y52" s="293"/>
      <c r="Z52" s="1172"/>
      <c r="AA52" s="1172"/>
      <c r="AB52" s="1172"/>
    </row>
    <row r="53" spans="1:31" ht="15" hidden="1" customHeight="1" x14ac:dyDescent="0.35">
      <c r="A53" s="293">
        <v>9257016</v>
      </c>
      <c r="B53" s="1460" t="s">
        <v>349</v>
      </c>
      <c r="C53" s="1461"/>
      <c r="D53" s="1461"/>
      <c r="E53" s="1476"/>
      <c r="F53" s="255">
        <v>582568</v>
      </c>
      <c r="G53" s="255">
        <f>F53</f>
        <v>582568</v>
      </c>
      <c r="H53" s="1172"/>
      <c r="I53" s="1172"/>
      <c r="J53" s="293"/>
      <c r="K53" s="293"/>
      <c r="L53" s="293"/>
      <c r="O53" s="1172"/>
      <c r="P53" s="1172"/>
      <c r="Q53" s="1172"/>
      <c r="R53" s="1172"/>
      <c r="S53" s="1172"/>
      <c r="T53" s="1172"/>
      <c r="U53" s="1172"/>
      <c r="V53" s="1172"/>
      <c r="W53" s="1172"/>
      <c r="X53" s="1172"/>
      <c r="Y53" s="293"/>
      <c r="Z53" s="1172"/>
      <c r="AA53" s="1172"/>
      <c r="AB53" s="1172"/>
    </row>
    <row r="54" spans="1:31" ht="15" hidden="1" customHeight="1" x14ac:dyDescent="0.35">
      <c r="A54" s="293">
        <v>9257025</v>
      </c>
      <c r="B54" s="1460" t="s">
        <v>351</v>
      </c>
      <c r="C54" s="1461"/>
      <c r="D54" s="1461"/>
      <c r="E54" s="1476"/>
      <c r="F54" s="255">
        <v>327644</v>
      </c>
      <c r="G54" s="255">
        <f>F54</f>
        <v>327644</v>
      </c>
      <c r="H54" s="1172"/>
      <c r="I54" s="1172"/>
      <c r="J54" s="293"/>
      <c r="K54" s="293"/>
      <c r="L54" s="293"/>
      <c r="O54" s="1172"/>
      <c r="P54" s="1172"/>
      <c r="Q54" s="1172"/>
      <c r="R54" s="1172"/>
      <c r="S54" s="1172"/>
      <c r="T54" s="1172"/>
      <c r="U54" s="1172"/>
      <c r="V54" s="1172"/>
      <c r="W54" s="1172"/>
      <c r="X54" s="1172"/>
      <c r="Y54" s="293"/>
      <c r="Z54" s="1172"/>
      <c r="AA54" s="1172"/>
      <c r="AB54" s="1172"/>
    </row>
    <row r="55" spans="1:31" ht="15" hidden="1" customHeight="1" x14ac:dyDescent="0.35">
      <c r="A55" s="293"/>
      <c r="B55" s="1172"/>
      <c r="C55" s="1172"/>
      <c r="D55" s="1172"/>
      <c r="E55" s="1172"/>
      <c r="F55" s="87">
        <f>SUM(F52:F54)</f>
        <v>1184632</v>
      </c>
      <c r="G55" s="89">
        <f>SUM(G52:G54)</f>
        <v>978817</v>
      </c>
      <c r="H55" s="1172" t="s">
        <v>370</v>
      </c>
      <c r="I55" s="1172"/>
      <c r="J55" s="293"/>
      <c r="K55" s="293"/>
      <c r="L55" s="293"/>
      <c r="O55" s="1172"/>
      <c r="P55" s="1172"/>
      <c r="Q55" s="1172"/>
      <c r="R55" s="1172"/>
      <c r="S55" s="1172"/>
      <c r="T55" s="1172"/>
      <c r="U55" s="1172"/>
      <c r="V55" s="1172"/>
      <c r="W55" s="1172"/>
      <c r="X55" s="1172"/>
      <c r="Y55" s="293"/>
      <c r="Z55" s="1172"/>
      <c r="AA55" s="1172"/>
      <c r="AB55" s="1172"/>
    </row>
    <row r="56" spans="1:31" ht="15" hidden="1" customHeight="1" x14ac:dyDescent="0.35">
      <c r="A56" s="293"/>
      <c r="B56" s="1172"/>
      <c r="C56" s="1172"/>
      <c r="D56" s="1172"/>
      <c r="E56" s="1172"/>
      <c r="F56" s="1183"/>
      <c r="G56" s="1183"/>
      <c r="H56" s="1172"/>
      <c r="I56" s="1172"/>
      <c r="J56" s="293"/>
      <c r="K56" s="293"/>
      <c r="L56" s="293"/>
      <c r="O56" s="1172"/>
      <c r="P56" s="1172"/>
      <c r="Q56" s="1172"/>
      <c r="R56" s="1172"/>
      <c r="S56" s="1172"/>
      <c r="T56" s="1172"/>
      <c r="U56" s="1172"/>
      <c r="V56" s="1172"/>
      <c r="W56" s="1172"/>
      <c r="X56" s="1172"/>
      <c r="Y56" s="293"/>
      <c r="Z56" s="1172"/>
      <c r="AA56" s="1172"/>
      <c r="AB56" s="1172"/>
    </row>
    <row r="57" spans="1:31" ht="15" hidden="1" customHeight="1" x14ac:dyDescent="0.35">
      <c r="A57" s="293"/>
      <c r="B57" s="1172" t="s">
        <v>371</v>
      </c>
      <c r="C57" s="1172"/>
      <c r="D57" s="1172"/>
      <c r="E57" s="1172"/>
      <c r="F57" s="1172"/>
      <c r="G57" s="1172"/>
      <c r="H57" s="1172"/>
      <c r="I57" s="1172"/>
      <c r="J57" s="293"/>
      <c r="K57" s="293"/>
      <c r="L57" s="293"/>
      <c r="O57" s="1172"/>
      <c r="P57" s="1172"/>
      <c r="Q57" s="1172"/>
      <c r="R57" s="1172"/>
      <c r="S57" s="1172"/>
      <c r="T57" s="1172"/>
      <c r="U57" s="1172"/>
      <c r="V57" s="1172"/>
      <c r="W57" s="1172"/>
      <c r="X57" s="1172"/>
      <c r="Y57" s="293"/>
      <c r="Z57" s="1172"/>
      <c r="AA57" s="1172"/>
      <c r="AB57" s="1172"/>
    </row>
    <row r="58" spans="1:31" ht="15" hidden="1" customHeight="1" x14ac:dyDescent="0.35">
      <c r="A58" s="293"/>
      <c r="B58" s="1172"/>
      <c r="C58" s="1172"/>
      <c r="D58" s="1172"/>
      <c r="E58" s="1172"/>
      <c r="F58" s="1172"/>
      <c r="G58" s="1172"/>
      <c r="H58" s="1172"/>
      <c r="I58" s="1172"/>
      <c r="J58" s="293"/>
      <c r="K58" s="293"/>
      <c r="L58" s="293"/>
      <c r="O58" s="1172"/>
      <c r="P58" s="1172"/>
      <c r="Q58" s="1172"/>
      <c r="R58" s="1172"/>
      <c r="S58" s="1172"/>
      <c r="T58" s="1172"/>
      <c r="U58" s="1172"/>
      <c r="V58" s="1172"/>
      <c r="W58" s="1172"/>
      <c r="X58" s="1172"/>
      <c r="Y58" s="293"/>
      <c r="Z58" s="1172"/>
      <c r="AA58" s="1172"/>
      <c r="AB58" s="1172"/>
    </row>
    <row r="59" spans="1:31" ht="15" customHeight="1" x14ac:dyDescent="0.35">
      <c r="A59" s="293"/>
      <c r="B59" s="1172"/>
      <c r="C59" s="1172"/>
      <c r="D59" s="1172"/>
      <c r="E59" s="1172"/>
      <c r="F59" s="1172"/>
      <c r="G59" s="1172"/>
      <c r="H59" s="1172"/>
      <c r="I59" s="1172"/>
      <c r="J59" s="293"/>
      <c r="K59" s="293"/>
      <c r="L59" s="293"/>
      <c r="O59" s="1172"/>
      <c r="P59" s="1172"/>
      <c r="Q59" s="1172"/>
      <c r="R59" s="1172"/>
      <c r="S59" s="1172"/>
      <c r="T59" s="1172"/>
      <c r="U59" s="1172"/>
      <c r="V59" s="1172"/>
      <c r="W59" s="1172"/>
      <c r="X59" s="1172"/>
      <c r="Y59" s="293"/>
      <c r="Z59" s="293" t="s">
        <v>207</v>
      </c>
      <c r="AA59" s="1184">
        <f>L26-AA26</f>
        <v>260000</v>
      </c>
      <c r="AB59" s="1184">
        <f>Q26-AB26</f>
        <v>111962.66666666666</v>
      </c>
      <c r="AC59" s="1184">
        <f>206000-AC26</f>
        <v>77249.999999999971</v>
      </c>
      <c r="AD59" s="1184" t="s">
        <v>207</v>
      </c>
      <c r="AE59" s="1183"/>
    </row>
    <row r="60" spans="1:31" ht="15" customHeight="1" x14ac:dyDescent="0.35">
      <c r="A60" s="293"/>
      <c r="B60" s="1172"/>
      <c r="C60" s="1172"/>
      <c r="D60" s="1172"/>
      <c r="E60" s="1172"/>
      <c r="F60" s="1172"/>
      <c r="G60" s="1172"/>
      <c r="H60" s="1172"/>
      <c r="I60" s="1172"/>
      <c r="J60" s="293"/>
      <c r="K60" s="293"/>
      <c r="L60" s="293"/>
      <c r="O60" s="1172"/>
      <c r="P60" s="1172"/>
      <c r="Q60" s="1172"/>
      <c r="R60" s="1172"/>
      <c r="S60" s="1172"/>
      <c r="T60" s="1172"/>
      <c r="U60" s="1172"/>
      <c r="V60" s="1172"/>
      <c r="W60" s="1172"/>
      <c r="X60" s="1172"/>
      <c r="Y60" s="293"/>
      <c r="Z60" s="1172"/>
      <c r="AA60" s="1172"/>
      <c r="AB60" s="1172"/>
      <c r="AC60" s="1184"/>
      <c r="AD60" s="1183"/>
      <c r="AE60" s="1183"/>
    </row>
    <row r="61" spans="1:31" ht="15" customHeight="1" x14ac:dyDescent="0.35">
      <c r="A61" s="293"/>
      <c r="B61" s="1172"/>
      <c r="C61" s="1172"/>
      <c r="D61" s="1172"/>
      <c r="E61" s="1172"/>
      <c r="F61" s="1172"/>
      <c r="G61" s="1172"/>
      <c r="H61" s="1172"/>
      <c r="I61" s="1172"/>
      <c r="J61" s="293"/>
      <c r="K61" s="293"/>
      <c r="L61" s="293"/>
      <c r="O61" s="1172"/>
      <c r="P61" s="1172"/>
      <c r="Q61" s="1172"/>
      <c r="R61" s="1172"/>
      <c r="S61" s="1172"/>
      <c r="T61" s="1172"/>
      <c r="U61" s="1172"/>
      <c r="V61" s="1172"/>
      <c r="W61" s="1172"/>
      <c r="X61" s="1172"/>
      <c r="Y61" s="293"/>
      <c r="Z61" s="1172"/>
      <c r="AA61" s="293" t="s">
        <v>207</v>
      </c>
      <c r="AB61" s="293" t="s">
        <v>207</v>
      </c>
      <c r="AC61" s="293" t="s">
        <v>207</v>
      </c>
      <c r="AD61" s="1183"/>
      <c r="AE61" s="1183"/>
    </row>
    <row r="62" spans="1:31" ht="15" customHeight="1" x14ac:dyDescent="0.35">
      <c r="A62" s="293"/>
      <c r="B62" s="1172"/>
      <c r="C62" s="1172"/>
      <c r="D62" s="1172"/>
      <c r="E62" s="1172"/>
      <c r="F62" s="1172"/>
      <c r="G62" s="1172"/>
      <c r="H62" s="1172"/>
      <c r="I62" s="1172"/>
      <c r="J62" s="293"/>
      <c r="K62" s="293"/>
      <c r="L62" s="293"/>
      <c r="O62" s="1172"/>
      <c r="P62" s="1172"/>
      <c r="Q62" s="1172"/>
      <c r="R62" s="1172"/>
      <c r="S62" s="1172"/>
      <c r="T62" s="1172"/>
      <c r="U62" s="1172"/>
      <c r="V62" s="1172"/>
      <c r="W62" s="1172"/>
      <c r="X62" s="1172"/>
      <c r="Y62" s="293"/>
      <c r="Z62" s="1172"/>
      <c r="AA62" s="1183">
        <f>((L18+L19+L23+L24+L25)*(7/12))+L11</f>
        <v>235000</v>
      </c>
      <c r="AB62" s="1184">
        <f>Q26*(7/12)</f>
        <v>111962.66666666667</v>
      </c>
      <c r="AC62" s="1184">
        <f>(7/12)*206000</f>
        <v>120166.66666666667</v>
      </c>
      <c r="AD62" s="1183"/>
      <c r="AE62" s="1183"/>
    </row>
    <row r="63" spans="1:31" ht="15" customHeight="1" x14ac:dyDescent="0.35">
      <c r="A63" s="293"/>
      <c r="B63" s="1172"/>
      <c r="C63" s="1172"/>
      <c r="D63" s="1172"/>
      <c r="E63" s="1172"/>
      <c r="F63" s="1172"/>
      <c r="G63" s="1172"/>
      <c r="H63" s="1172"/>
      <c r="I63" s="1172"/>
      <c r="J63" s="293"/>
      <c r="K63" s="293"/>
      <c r="L63" s="293"/>
      <c r="O63" s="1172"/>
      <c r="P63" s="1172"/>
      <c r="Q63" s="1172"/>
      <c r="R63" s="1172"/>
      <c r="S63" s="1172"/>
      <c r="T63" s="1172"/>
      <c r="U63" s="1172"/>
      <c r="V63" s="1172"/>
      <c r="W63" s="1172"/>
      <c r="X63" s="1172"/>
      <c r="Y63" s="293"/>
      <c r="Z63" s="1172"/>
      <c r="AA63" s="1172"/>
      <c r="AB63" s="1172"/>
      <c r="AC63" s="1183"/>
      <c r="AD63" s="1183"/>
      <c r="AE63" s="1183"/>
    </row>
    <row r="64" spans="1:31" ht="12" customHeight="1" x14ac:dyDescent="0.35">
      <c r="A64" s="293"/>
      <c r="B64" s="1172"/>
      <c r="C64" s="1172"/>
      <c r="D64" s="1172"/>
      <c r="E64" s="1172"/>
      <c r="F64" s="1172"/>
      <c r="G64" s="1172"/>
      <c r="H64" s="1172"/>
      <c r="I64" s="1172"/>
      <c r="J64" s="293"/>
      <c r="K64" s="293"/>
      <c r="L64" s="293"/>
      <c r="O64" s="1172"/>
      <c r="P64" s="1172"/>
      <c r="Q64" s="1172"/>
      <c r="R64" s="1172"/>
      <c r="S64" s="1172"/>
      <c r="T64" s="1172"/>
      <c r="U64" s="1172"/>
      <c r="V64" s="1172"/>
      <c r="W64" s="1172"/>
      <c r="X64" s="1172"/>
      <c r="Y64" s="293"/>
      <c r="Z64" s="1183">
        <f>I26</f>
        <v>317322</v>
      </c>
      <c r="AA64" s="1183">
        <f>L26</f>
        <v>360000</v>
      </c>
      <c r="AB64" s="1183">
        <f>Q26</f>
        <v>191936</v>
      </c>
      <c r="AC64" s="1184">
        <f>206000</f>
        <v>206000</v>
      </c>
      <c r="AD64" s="1184">
        <f>U26</f>
        <v>910212</v>
      </c>
      <c r="AE64" s="1184">
        <f>SUM(Z64:AD64)</f>
        <v>1985470</v>
      </c>
    </row>
    <row r="65" spans="2:31" s="79" customFormat="1" ht="12" customHeight="1" x14ac:dyDescent="0.35">
      <c r="B65" s="159"/>
      <c r="C65" s="1172"/>
      <c r="D65" s="1172"/>
      <c r="E65" s="1172"/>
      <c r="F65" s="1172"/>
      <c r="G65" s="1172"/>
      <c r="H65" s="1172"/>
      <c r="I65" s="1172"/>
      <c r="J65" s="293"/>
      <c r="K65" s="293"/>
      <c r="L65" s="293"/>
      <c r="O65" s="1172"/>
      <c r="P65" s="1172"/>
      <c r="Q65" s="1172"/>
      <c r="R65" s="1172"/>
      <c r="S65" s="1172"/>
      <c r="T65" s="1172"/>
      <c r="U65" s="1172"/>
      <c r="V65" s="1172"/>
      <c r="W65" s="1172"/>
      <c r="X65" s="1172"/>
      <c r="Y65" s="293"/>
      <c r="Z65" s="1172"/>
      <c r="AA65" s="1172"/>
      <c r="AB65" s="1172"/>
      <c r="AC65" s="1184"/>
      <c r="AD65" s="1184"/>
      <c r="AE65" s="1184"/>
    </row>
    <row r="66" spans="2:31" s="79" customFormat="1" ht="12" customHeight="1" x14ac:dyDescent="0.35">
      <c r="B66" s="1172"/>
      <c r="C66" s="1172"/>
      <c r="D66" s="1172"/>
      <c r="E66" s="1185" t="s">
        <v>374</v>
      </c>
      <c r="F66" s="1172"/>
      <c r="G66" s="1172"/>
      <c r="H66" s="1172"/>
      <c r="I66" s="1172"/>
      <c r="J66" s="293"/>
      <c r="K66" s="293"/>
      <c r="L66" s="293"/>
      <c r="O66" s="1172"/>
      <c r="P66" s="1172"/>
      <c r="Q66" s="1172"/>
      <c r="R66" s="1172"/>
      <c r="S66" s="1172"/>
      <c r="T66" s="1172"/>
      <c r="U66" s="1172"/>
      <c r="V66" s="1172"/>
      <c r="W66" s="1172"/>
      <c r="X66" s="1172"/>
      <c r="Y66" s="293"/>
      <c r="Z66" s="1183">
        <f>Z26</f>
        <v>317322</v>
      </c>
      <c r="AA66" s="1172"/>
      <c r="AB66" s="1172"/>
      <c r="AC66" s="1184"/>
      <c r="AD66" s="1184">
        <f>AD26</f>
        <v>910212</v>
      </c>
      <c r="AE66" s="1184"/>
    </row>
  </sheetData>
  <mergeCells count="54">
    <mergeCell ref="Y4:Y6"/>
    <mergeCell ref="AC4:AC6"/>
    <mergeCell ref="AE4:AE6"/>
    <mergeCell ref="AD4:AD6"/>
    <mergeCell ref="AB4:AB6"/>
    <mergeCell ref="Z4:Z6"/>
    <mergeCell ref="AA4:AA6"/>
    <mergeCell ref="B54:E54"/>
    <mergeCell ref="R4:R6"/>
    <mergeCell ref="O4:O6"/>
    <mergeCell ref="B6:E6"/>
    <mergeCell ref="F4:F6"/>
    <mergeCell ref="J4:J6"/>
    <mergeCell ref="I4:I6"/>
    <mergeCell ref="K4:K6"/>
    <mergeCell ref="B12:E12"/>
    <mergeCell ref="B13:E13"/>
    <mergeCell ref="B11:E11"/>
    <mergeCell ref="G4:G6"/>
    <mergeCell ref="B7:E7"/>
    <mergeCell ref="B8:E8"/>
    <mergeCell ref="B9:E9"/>
    <mergeCell ref="B10:E10"/>
    <mergeCell ref="B52:E52"/>
    <mergeCell ref="B53:E53"/>
    <mergeCell ref="B22:E22"/>
    <mergeCell ref="B23:E23"/>
    <mergeCell ref="B24:E24"/>
    <mergeCell ref="B48:V49"/>
    <mergeCell ref="X4:X6"/>
    <mergeCell ref="B25:E25"/>
    <mergeCell ref="B26:E26"/>
    <mergeCell ref="B14:E14"/>
    <mergeCell ref="V4:V6"/>
    <mergeCell ref="P4:P6"/>
    <mergeCell ref="B17:E17"/>
    <mergeCell ref="B18:E18"/>
    <mergeCell ref="B19:E19"/>
    <mergeCell ref="B20:E20"/>
    <mergeCell ref="M4:M6"/>
    <mergeCell ref="N4:N6"/>
    <mergeCell ref="V2:V3"/>
    <mergeCell ref="B36:V38"/>
    <mergeCell ref="B41:V44"/>
    <mergeCell ref="B46:V47"/>
    <mergeCell ref="B15:E15"/>
    <mergeCell ref="B16:E16"/>
    <mergeCell ref="B21:E21"/>
    <mergeCell ref="S4:S6"/>
    <mergeCell ref="H4:H6"/>
    <mergeCell ref="U4:U6"/>
    <mergeCell ref="L4:L6"/>
    <mergeCell ref="Q4:Q6"/>
    <mergeCell ref="B30:V33"/>
  </mergeCells>
  <phoneticPr fontId="60" type="noConversion"/>
  <pageMargins left="0.74803149606299213" right="0.74803149606299213" top="0.98425196850393704" bottom="0.98425196850393704" header="0.51181102362204722" footer="0.51181102362204722"/>
  <pageSetup paperSize="9" orientation="landscape" r:id="rId1"/>
  <headerFooter alignWithMargins="0"/>
  <drawing r:id="rId2"/>
  <legacyDrawing r:id="rId3"/>
  <oleObjects>
    <mc:AlternateContent xmlns:mc="http://schemas.openxmlformats.org/markup-compatibility/2006">
      <mc:Choice Requires="x14">
        <oleObject progId="Document" dvAspect="DVASPECT_ICON" shapeId="25601" r:id="rId4">
          <objectPr defaultSize="0" autoPict="0" r:id="rId5">
            <anchor moveWithCells="1">
              <from>
                <xdr:col>0</xdr:col>
                <xdr:colOff>146050</xdr:colOff>
                <xdr:row>71</xdr:row>
                <xdr:rowOff>19050</xdr:rowOff>
              </from>
              <to>
                <xdr:col>0</xdr:col>
                <xdr:colOff>660400</xdr:colOff>
                <xdr:row>73</xdr:row>
                <xdr:rowOff>95250</xdr:rowOff>
              </to>
            </anchor>
          </objectPr>
        </oleObject>
      </mc:Choice>
      <mc:Fallback>
        <oleObject progId="Document" dvAspect="DVASPECT_ICON" shapeId="25601" r:id="rId4"/>
      </mc:Fallback>
    </mc:AlternateContent>
  </oleObjec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rgb="FF00B050"/>
    <pageSetUpPr fitToPage="1"/>
  </sheetPr>
  <dimension ref="A2:T59"/>
  <sheetViews>
    <sheetView topLeftCell="A40" zoomScale="85" workbookViewId="0">
      <selection activeCell="H22" sqref="H22"/>
    </sheetView>
  </sheetViews>
  <sheetFormatPr defaultColWidth="9.1796875" defaultRowHeight="12.5" x14ac:dyDescent="0.25"/>
  <cols>
    <col min="1" max="1" width="33.81640625" style="6" customWidth="1"/>
    <col min="2" max="2" width="0" style="6" hidden="1" customWidth="1"/>
    <col min="3" max="3" width="9.1796875" style="6"/>
    <col min="4" max="14" width="9.1796875" style="34"/>
    <col min="15" max="17" width="9.1796875" style="6"/>
    <col min="18" max="18" width="10" style="6" customWidth="1"/>
    <col min="19" max="16384" width="9.1796875" style="6"/>
  </cols>
  <sheetData>
    <row r="2" spans="1:16" x14ac:dyDescent="0.25">
      <c r="A2" s="1" t="s">
        <v>507</v>
      </c>
      <c r="B2" s="289"/>
      <c r="C2" s="289"/>
      <c r="D2" s="316"/>
      <c r="E2" s="316"/>
      <c r="F2" s="316"/>
      <c r="G2" s="316"/>
      <c r="H2" s="316"/>
      <c r="I2" s="316"/>
      <c r="J2" s="316"/>
      <c r="K2" s="316"/>
      <c r="L2" s="316"/>
      <c r="M2" s="316"/>
      <c r="N2" s="316"/>
      <c r="O2" s="289"/>
      <c r="P2" s="289"/>
    </row>
    <row r="4" spans="1:16" ht="39" x14ac:dyDescent="0.25">
      <c r="A4" s="47" t="s">
        <v>183</v>
      </c>
      <c r="B4" s="47" t="s">
        <v>508</v>
      </c>
      <c r="C4" s="48" t="s">
        <v>184</v>
      </c>
      <c r="D4" s="49" t="s">
        <v>509</v>
      </c>
      <c r="E4" s="50" t="s">
        <v>510</v>
      </c>
      <c r="F4" s="51" t="s">
        <v>511</v>
      </c>
      <c r="G4" s="50" t="s">
        <v>512</v>
      </c>
      <c r="H4" s="51" t="s">
        <v>513</v>
      </c>
      <c r="I4" s="50" t="s">
        <v>514</v>
      </c>
      <c r="J4" s="51" t="s">
        <v>515</v>
      </c>
      <c r="K4" s="50" t="s">
        <v>516</v>
      </c>
      <c r="L4" s="51" t="s">
        <v>517</v>
      </c>
      <c r="M4" s="52" t="s">
        <v>518</v>
      </c>
      <c r="N4" s="53" t="s">
        <v>519</v>
      </c>
      <c r="O4" s="289"/>
      <c r="P4" s="822" t="s">
        <v>294</v>
      </c>
    </row>
    <row r="5" spans="1:16" ht="12.75" customHeight="1" x14ac:dyDescent="0.25">
      <c r="A5" s="375" t="s">
        <v>205</v>
      </c>
      <c r="B5" s="1221" t="s">
        <v>520</v>
      </c>
      <c r="C5" s="1222">
        <v>3</v>
      </c>
      <c r="D5" s="1223">
        <f t="shared" ref="D5:D23" si="0">E5+G5+I5+K5+M5</f>
        <v>42</v>
      </c>
      <c r="E5" s="1224">
        <v>13</v>
      </c>
      <c r="F5" s="1225">
        <f>E5/D5</f>
        <v>0.30952380952380953</v>
      </c>
      <c r="G5" s="1226">
        <v>21</v>
      </c>
      <c r="H5" s="1225">
        <f t="shared" ref="H5:H23" si="1">G5/D5</f>
        <v>0.5</v>
      </c>
      <c r="I5" s="1226">
        <v>0</v>
      </c>
      <c r="J5" s="1225">
        <f t="shared" ref="J5:J23" si="2">I5/D5</f>
        <v>0</v>
      </c>
      <c r="K5" s="1226">
        <v>2</v>
      </c>
      <c r="L5" s="1225">
        <f t="shared" ref="L5:L23" si="3">K5/D5</f>
        <v>4.7619047619047616E-2</v>
      </c>
      <c r="M5" s="54">
        <v>6</v>
      </c>
      <c r="N5" s="55">
        <f t="shared" ref="N5:N23" si="4">M5/D5</f>
        <v>0.14285714285714285</v>
      </c>
      <c r="O5" s="289"/>
      <c r="P5" s="315">
        <f>(F5*$E$54)+(H5*$G$54)+(J5*$I$54)+(L5*$K$54)+(N5*$M$54)+(N5*$M$56)</f>
        <v>9897.5167052398338</v>
      </c>
    </row>
    <row r="6" spans="1:16" ht="12.75" customHeight="1" x14ac:dyDescent="0.25">
      <c r="A6" s="375" t="s">
        <v>208</v>
      </c>
      <c r="B6" s="1221" t="s">
        <v>521</v>
      </c>
      <c r="C6" s="1222">
        <v>3</v>
      </c>
      <c r="D6" s="1223">
        <f t="shared" si="0"/>
        <v>58</v>
      </c>
      <c r="E6" s="1224">
        <v>7</v>
      </c>
      <c r="F6" s="1225">
        <f t="shared" ref="F6:F23" si="5">E6/D6</f>
        <v>0.1206896551724138</v>
      </c>
      <c r="G6" s="1226">
        <v>23</v>
      </c>
      <c r="H6" s="1225">
        <f t="shared" si="1"/>
        <v>0.39655172413793105</v>
      </c>
      <c r="I6" s="1226">
        <v>16</v>
      </c>
      <c r="J6" s="1225">
        <f t="shared" si="2"/>
        <v>0.27586206896551724</v>
      </c>
      <c r="K6" s="1226">
        <v>5</v>
      </c>
      <c r="L6" s="1225">
        <f t="shared" si="3"/>
        <v>8.6206896551724144E-2</v>
      </c>
      <c r="M6" s="54">
        <v>7</v>
      </c>
      <c r="N6" s="55">
        <f t="shared" si="4"/>
        <v>0.1206896551724138</v>
      </c>
      <c r="O6" s="289"/>
      <c r="P6" s="315">
        <f t="shared" ref="P6:P23" si="6">(F6*$E$54)+(H6*$G$54)+(J6*$I$54)+(L6*$K$54)+(N6*$M$54)+(N6*$M$56)</f>
        <v>8785.2859312602777</v>
      </c>
    </row>
    <row r="7" spans="1:16" ht="12.75" customHeight="1" x14ac:dyDescent="0.25">
      <c r="A7" s="375" t="s">
        <v>209</v>
      </c>
      <c r="B7" s="1221" t="s">
        <v>522</v>
      </c>
      <c r="C7" s="1222">
        <v>3</v>
      </c>
      <c r="D7" s="1223">
        <f t="shared" si="0"/>
        <v>46</v>
      </c>
      <c r="E7" s="1224">
        <v>15</v>
      </c>
      <c r="F7" s="1225">
        <f t="shared" si="5"/>
        <v>0.32608695652173914</v>
      </c>
      <c r="G7" s="1226">
        <v>16</v>
      </c>
      <c r="H7" s="1225">
        <f t="shared" si="1"/>
        <v>0.34782608695652173</v>
      </c>
      <c r="I7" s="1226">
        <v>0</v>
      </c>
      <c r="J7" s="1225">
        <f t="shared" si="2"/>
        <v>0</v>
      </c>
      <c r="K7" s="1226">
        <v>2</v>
      </c>
      <c r="L7" s="1225">
        <f t="shared" si="3"/>
        <v>4.3478260869565216E-2</v>
      </c>
      <c r="M7" s="54">
        <v>13</v>
      </c>
      <c r="N7" s="55">
        <f t="shared" si="4"/>
        <v>0.28260869565217389</v>
      </c>
      <c r="O7" s="289"/>
      <c r="P7" s="315">
        <f t="shared" si="6"/>
        <v>10926.489409838705</v>
      </c>
    </row>
    <row r="8" spans="1:16" ht="12.75" customHeight="1" x14ac:dyDescent="0.25">
      <c r="A8" s="375" t="s">
        <v>210</v>
      </c>
      <c r="B8" s="1221" t="s">
        <v>520</v>
      </c>
      <c r="C8" s="1222">
        <v>3</v>
      </c>
      <c r="D8" s="1223">
        <f t="shared" si="0"/>
        <v>40</v>
      </c>
      <c r="E8" s="1224">
        <v>14</v>
      </c>
      <c r="F8" s="1225">
        <f t="shared" si="5"/>
        <v>0.35</v>
      </c>
      <c r="G8" s="1226">
        <v>15</v>
      </c>
      <c r="H8" s="1225">
        <f t="shared" si="1"/>
        <v>0.375</v>
      </c>
      <c r="I8" s="1226">
        <v>1</v>
      </c>
      <c r="J8" s="1225">
        <f t="shared" si="2"/>
        <v>2.5000000000000001E-2</v>
      </c>
      <c r="K8" s="1226">
        <v>1</v>
      </c>
      <c r="L8" s="1225">
        <f t="shared" si="3"/>
        <v>2.5000000000000001E-2</v>
      </c>
      <c r="M8" s="54">
        <v>9</v>
      </c>
      <c r="N8" s="55">
        <f t="shared" si="4"/>
        <v>0.22500000000000001</v>
      </c>
      <c r="O8" s="289"/>
      <c r="P8" s="315">
        <f t="shared" si="6"/>
        <v>10520.494500332868</v>
      </c>
    </row>
    <row r="9" spans="1:16" ht="12.75" customHeight="1" x14ac:dyDescent="0.25">
      <c r="A9" s="375" t="s">
        <v>211</v>
      </c>
      <c r="B9" s="1221" t="s">
        <v>522</v>
      </c>
      <c r="C9" s="1222">
        <v>3</v>
      </c>
      <c r="D9" s="1223">
        <f t="shared" si="0"/>
        <v>46</v>
      </c>
      <c r="E9" s="1226">
        <v>7</v>
      </c>
      <c r="F9" s="1225">
        <f t="shared" si="5"/>
        <v>0.15217391304347827</v>
      </c>
      <c r="G9" s="1226">
        <v>30</v>
      </c>
      <c r="H9" s="1225">
        <f t="shared" si="1"/>
        <v>0.65217391304347827</v>
      </c>
      <c r="I9" s="1226">
        <v>1</v>
      </c>
      <c r="J9" s="1225">
        <f t="shared" si="2"/>
        <v>2.1739130434782608E-2</v>
      </c>
      <c r="K9" s="1226">
        <v>7</v>
      </c>
      <c r="L9" s="1225">
        <f t="shared" si="3"/>
        <v>0.15217391304347827</v>
      </c>
      <c r="M9" s="54">
        <v>1</v>
      </c>
      <c r="N9" s="55">
        <f t="shared" si="4"/>
        <v>2.1739130434782608E-2</v>
      </c>
      <c r="O9" s="289"/>
      <c r="P9" s="315">
        <f t="shared" si="6"/>
        <v>8799.2030513196951</v>
      </c>
    </row>
    <row r="10" spans="1:16" ht="12.75" customHeight="1" x14ac:dyDescent="0.25">
      <c r="A10" s="375" t="s">
        <v>257</v>
      </c>
      <c r="B10" s="1221" t="s">
        <v>523</v>
      </c>
      <c r="C10" s="1222">
        <v>3</v>
      </c>
      <c r="D10" s="1223">
        <f t="shared" si="0"/>
        <v>53</v>
      </c>
      <c r="E10" s="1226">
        <v>0</v>
      </c>
      <c r="F10" s="1225">
        <f t="shared" si="5"/>
        <v>0</v>
      </c>
      <c r="G10" s="1226">
        <v>0</v>
      </c>
      <c r="H10" s="1225">
        <f t="shared" si="1"/>
        <v>0</v>
      </c>
      <c r="I10" s="1226">
        <v>0</v>
      </c>
      <c r="J10" s="1225">
        <f t="shared" si="2"/>
        <v>0</v>
      </c>
      <c r="K10" s="1226">
        <v>0</v>
      </c>
      <c r="L10" s="1225">
        <f t="shared" si="3"/>
        <v>0</v>
      </c>
      <c r="M10" s="54">
        <v>53</v>
      </c>
      <c r="N10" s="55">
        <f t="shared" si="4"/>
        <v>1</v>
      </c>
      <c r="O10" s="289"/>
      <c r="P10" s="315">
        <f t="shared" si="6"/>
        <v>14327.068527263833</v>
      </c>
    </row>
    <row r="11" spans="1:16" ht="12.75" customHeight="1" x14ac:dyDescent="0.25">
      <c r="A11" s="375" t="s">
        <v>220</v>
      </c>
      <c r="B11" s="1221" t="s">
        <v>521</v>
      </c>
      <c r="C11" s="1222">
        <v>3</v>
      </c>
      <c r="D11" s="1223">
        <f t="shared" si="0"/>
        <v>46</v>
      </c>
      <c r="E11" s="1226">
        <v>4</v>
      </c>
      <c r="F11" s="1225">
        <f t="shared" si="5"/>
        <v>8.6956521739130432E-2</v>
      </c>
      <c r="G11" s="1226">
        <v>10</v>
      </c>
      <c r="H11" s="1225">
        <f t="shared" si="1"/>
        <v>0.21739130434782608</v>
      </c>
      <c r="I11" s="1226">
        <v>23</v>
      </c>
      <c r="J11" s="1225">
        <f t="shared" si="2"/>
        <v>0.5</v>
      </c>
      <c r="K11" s="1227">
        <v>2</v>
      </c>
      <c r="L11" s="1225">
        <f t="shared" si="3"/>
        <v>4.3478260869565216E-2</v>
      </c>
      <c r="M11" s="54">
        <v>7</v>
      </c>
      <c r="N11" s="55">
        <f t="shared" si="4"/>
        <v>0.15217391304347827</v>
      </c>
      <c r="O11" s="289"/>
      <c r="P11" s="315">
        <f t="shared" si="6"/>
        <v>8424.9714418469157</v>
      </c>
    </row>
    <row r="12" spans="1:16" ht="12.75" customHeight="1" x14ac:dyDescent="0.25">
      <c r="A12" s="375" t="s">
        <v>212</v>
      </c>
      <c r="B12" s="1221" t="s">
        <v>522</v>
      </c>
      <c r="C12" s="1222">
        <v>3</v>
      </c>
      <c r="D12" s="1223">
        <f t="shared" si="0"/>
        <v>76</v>
      </c>
      <c r="E12" s="1226">
        <v>0</v>
      </c>
      <c r="F12" s="1225">
        <f t="shared" si="5"/>
        <v>0</v>
      </c>
      <c r="G12" s="1226">
        <v>8</v>
      </c>
      <c r="H12" s="1225">
        <f t="shared" si="1"/>
        <v>0.10526315789473684</v>
      </c>
      <c r="I12" s="1226">
        <v>42</v>
      </c>
      <c r="J12" s="1225">
        <f t="shared" si="2"/>
        <v>0.55263157894736847</v>
      </c>
      <c r="K12" s="1226">
        <v>1</v>
      </c>
      <c r="L12" s="1225">
        <f t="shared" si="3"/>
        <v>1.3157894736842105E-2</v>
      </c>
      <c r="M12" s="1228">
        <v>25</v>
      </c>
      <c r="N12" s="55">
        <f t="shared" si="4"/>
        <v>0.32894736842105265</v>
      </c>
      <c r="O12" s="289"/>
      <c r="P12" s="315">
        <f t="shared" si="6"/>
        <v>9090.8723433725772</v>
      </c>
    </row>
    <row r="13" spans="1:16" ht="12.75" customHeight="1" x14ac:dyDescent="0.25">
      <c r="A13" s="375" t="s">
        <v>221</v>
      </c>
      <c r="B13" s="1221" t="s">
        <v>521</v>
      </c>
      <c r="C13" s="1222">
        <v>4</v>
      </c>
      <c r="D13" s="1223">
        <f t="shared" si="0"/>
        <v>112</v>
      </c>
      <c r="E13" s="1226">
        <v>6</v>
      </c>
      <c r="F13" s="1225">
        <f t="shared" si="5"/>
        <v>5.3571428571428568E-2</v>
      </c>
      <c r="G13" s="1226">
        <v>8</v>
      </c>
      <c r="H13" s="1225">
        <f t="shared" si="1"/>
        <v>7.1428571428571425E-2</v>
      </c>
      <c r="I13" s="1226">
        <v>75</v>
      </c>
      <c r="J13" s="1225">
        <f t="shared" si="2"/>
        <v>0.6696428571428571</v>
      </c>
      <c r="K13" s="1226">
        <v>3</v>
      </c>
      <c r="L13" s="1225">
        <f t="shared" si="3"/>
        <v>2.6785714285714284E-2</v>
      </c>
      <c r="M13" s="54">
        <v>20</v>
      </c>
      <c r="N13" s="55">
        <f t="shared" si="4"/>
        <v>0.17857142857142858</v>
      </c>
      <c r="O13" s="289"/>
      <c r="P13" s="315">
        <f t="shared" si="6"/>
        <v>8204.0181145547631</v>
      </c>
    </row>
    <row r="14" spans="1:16" ht="12.75" customHeight="1" x14ac:dyDescent="0.25">
      <c r="A14" s="375" t="s">
        <v>213</v>
      </c>
      <c r="B14" s="1221" t="s">
        <v>521</v>
      </c>
      <c r="C14" s="1222">
        <v>4</v>
      </c>
      <c r="D14" s="1223">
        <f t="shared" si="0"/>
        <v>123</v>
      </c>
      <c r="E14" s="1226">
        <v>2</v>
      </c>
      <c r="F14" s="1225">
        <f t="shared" si="5"/>
        <v>1.6260162601626018E-2</v>
      </c>
      <c r="G14" s="1226">
        <v>31</v>
      </c>
      <c r="H14" s="1225">
        <f t="shared" si="1"/>
        <v>0.25203252032520324</v>
      </c>
      <c r="I14" s="1226">
        <v>79</v>
      </c>
      <c r="J14" s="1225">
        <f t="shared" si="2"/>
        <v>0.64227642276422769</v>
      </c>
      <c r="K14" s="1226">
        <v>0</v>
      </c>
      <c r="L14" s="1225">
        <f t="shared" si="3"/>
        <v>0</v>
      </c>
      <c r="M14" s="54">
        <v>11</v>
      </c>
      <c r="N14" s="55">
        <f t="shared" si="4"/>
        <v>8.943089430894309E-2</v>
      </c>
      <c r="O14" s="289"/>
      <c r="P14" s="315">
        <f t="shared" si="6"/>
        <v>7334.0685395812361</v>
      </c>
    </row>
    <row r="15" spans="1:16" ht="12.75" customHeight="1" x14ac:dyDescent="0.25">
      <c r="A15" s="375" t="s">
        <v>214</v>
      </c>
      <c r="B15" s="1221" t="s">
        <v>520</v>
      </c>
      <c r="C15" s="1222">
        <v>4</v>
      </c>
      <c r="D15" s="1223">
        <f t="shared" si="0"/>
        <v>125</v>
      </c>
      <c r="E15" s="1226">
        <v>0</v>
      </c>
      <c r="F15" s="1225">
        <f t="shared" si="5"/>
        <v>0</v>
      </c>
      <c r="G15" s="1226">
        <v>24</v>
      </c>
      <c r="H15" s="1225">
        <f t="shared" si="1"/>
        <v>0.192</v>
      </c>
      <c r="I15" s="1226">
        <v>83</v>
      </c>
      <c r="J15" s="1225">
        <f t="shared" si="2"/>
        <v>0.66400000000000003</v>
      </c>
      <c r="K15" s="1226">
        <v>0</v>
      </c>
      <c r="L15" s="1225">
        <f t="shared" si="3"/>
        <v>0</v>
      </c>
      <c r="M15" s="54">
        <v>18</v>
      </c>
      <c r="N15" s="55">
        <f t="shared" si="4"/>
        <v>0.14399999999999999</v>
      </c>
      <c r="O15" s="289"/>
      <c r="P15" s="315">
        <f t="shared" si="6"/>
        <v>7620.1581850108669</v>
      </c>
    </row>
    <row r="16" spans="1:16" ht="12.75" customHeight="1" x14ac:dyDescent="0.25">
      <c r="A16" s="375" t="s">
        <v>259</v>
      </c>
      <c r="B16" s="1221" t="s">
        <v>523</v>
      </c>
      <c r="C16" s="1222">
        <v>4</v>
      </c>
      <c r="D16" s="1223">
        <f t="shared" si="0"/>
        <v>58</v>
      </c>
      <c r="E16" s="1226">
        <v>0</v>
      </c>
      <c r="F16" s="1225">
        <f t="shared" si="5"/>
        <v>0</v>
      </c>
      <c r="G16" s="1226">
        <v>0</v>
      </c>
      <c r="H16" s="1225">
        <f t="shared" si="1"/>
        <v>0</v>
      </c>
      <c r="I16" s="1226">
        <v>0</v>
      </c>
      <c r="J16" s="1225">
        <f t="shared" si="2"/>
        <v>0</v>
      </c>
      <c r="K16" s="1226">
        <v>0</v>
      </c>
      <c r="L16" s="1225">
        <f t="shared" si="3"/>
        <v>0</v>
      </c>
      <c r="M16" s="54">
        <v>58</v>
      </c>
      <c r="N16" s="55">
        <f t="shared" si="4"/>
        <v>1</v>
      </c>
      <c r="O16" s="289"/>
      <c r="P16" s="315">
        <f t="shared" si="6"/>
        <v>14327.068527263833</v>
      </c>
    </row>
    <row r="17" spans="1:20" ht="12.75" customHeight="1" x14ac:dyDescent="0.25">
      <c r="A17" s="375" t="s">
        <v>261</v>
      </c>
      <c r="B17" s="1221" t="s">
        <v>523</v>
      </c>
      <c r="C17" s="1222">
        <v>4</v>
      </c>
      <c r="D17" s="1223">
        <f t="shared" si="0"/>
        <v>67</v>
      </c>
      <c r="E17" s="1226">
        <v>0</v>
      </c>
      <c r="F17" s="1225">
        <f t="shared" si="5"/>
        <v>0</v>
      </c>
      <c r="G17" s="1226">
        <v>0</v>
      </c>
      <c r="H17" s="1225">
        <f t="shared" si="1"/>
        <v>0</v>
      </c>
      <c r="I17" s="1226">
        <v>0</v>
      </c>
      <c r="J17" s="1225">
        <f t="shared" si="2"/>
        <v>0</v>
      </c>
      <c r="K17" s="1226">
        <v>0</v>
      </c>
      <c r="L17" s="1225">
        <f t="shared" si="3"/>
        <v>0</v>
      </c>
      <c r="M17" s="54">
        <v>67</v>
      </c>
      <c r="N17" s="55">
        <f t="shared" si="4"/>
        <v>1</v>
      </c>
      <c r="O17" s="289"/>
      <c r="P17" s="315">
        <f t="shared" si="6"/>
        <v>14327.068527263833</v>
      </c>
      <c r="Q17" s="289"/>
      <c r="R17" s="289"/>
      <c r="S17" s="289"/>
      <c r="T17" s="289"/>
    </row>
    <row r="18" spans="1:20" ht="12.75" customHeight="1" x14ac:dyDescent="0.25">
      <c r="A18" s="375" t="s">
        <v>262</v>
      </c>
      <c r="B18" s="1221" t="s">
        <v>523</v>
      </c>
      <c r="C18" s="1222">
        <v>4</v>
      </c>
      <c r="D18" s="1223">
        <f t="shared" si="0"/>
        <v>61</v>
      </c>
      <c r="E18" s="1224">
        <v>0</v>
      </c>
      <c r="F18" s="1225">
        <f t="shared" si="5"/>
        <v>0</v>
      </c>
      <c r="G18" s="1226">
        <v>0</v>
      </c>
      <c r="H18" s="1225">
        <f t="shared" si="1"/>
        <v>0</v>
      </c>
      <c r="I18" s="1229">
        <v>0</v>
      </c>
      <c r="J18" s="1225">
        <f t="shared" si="2"/>
        <v>0</v>
      </c>
      <c r="K18" s="1229">
        <v>0</v>
      </c>
      <c r="L18" s="1225">
        <f t="shared" si="3"/>
        <v>0</v>
      </c>
      <c r="M18" s="54">
        <v>61</v>
      </c>
      <c r="N18" s="55">
        <f t="shared" si="4"/>
        <v>1</v>
      </c>
      <c r="O18" s="289"/>
      <c r="P18" s="315">
        <f t="shared" si="6"/>
        <v>14327.068527263833</v>
      </c>
      <c r="Q18" s="289"/>
      <c r="R18" s="289"/>
      <c r="S18" s="289"/>
      <c r="T18" s="289"/>
    </row>
    <row r="19" spans="1:20" ht="12.75" customHeight="1" x14ac:dyDescent="0.25">
      <c r="A19" s="375" t="s">
        <v>215</v>
      </c>
      <c r="B19" s="1221" t="s">
        <v>520</v>
      </c>
      <c r="C19" s="1222">
        <v>4</v>
      </c>
      <c r="D19" s="1223">
        <f t="shared" si="0"/>
        <v>70</v>
      </c>
      <c r="E19" s="1226">
        <v>18</v>
      </c>
      <c r="F19" s="1225">
        <f t="shared" si="5"/>
        <v>0.25714285714285712</v>
      </c>
      <c r="G19" s="1224">
        <v>22</v>
      </c>
      <c r="H19" s="1225">
        <f t="shared" si="1"/>
        <v>0.31428571428571428</v>
      </c>
      <c r="I19" s="1224">
        <v>4</v>
      </c>
      <c r="J19" s="1225">
        <f t="shared" si="2"/>
        <v>5.7142857142857141E-2</v>
      </c>
      <c r="K19" s="1224">
        <v>11</v>
      </c>
      <c r="L19" s="1225">
        <f t="shared" si="3"/>
        <v>0.15714285714285714</v>
      </c>
      <c r="M19" s="54">
        <v>15</v>
      </c>
      <c r="N19" s="55">
        <f t="shared" si="4"/>
        <v>0.21428571428571427</v>
      </c>
      <c r="O19" s="289"/>
      <c r="P19" s="315">
        <f t="shared" si="6"/>
        <v>10580.75210310383</v>
      </c>
      <c r="Q19" s="289"/>
      <c r="R19" s="289"/>
      <c r="S19" s="289"/>
      <c r="T19" s="289"/>
    </row>
    <row r="20" spans="1:20" ht="12.75" customHeight="1" x14ac:dyDescent="0.25">
      <c r="A20" s="375" t="s">
        <v>216</v>
      </c>
      <c r="B20" s="1221" t="s">
        <v>522</v>
      </c>
      <c r="C20" s="1222">
        <v>5</v>
      </c>
      <c r="D20" s="1223">
        <f t="shared" si="0"/>
        <v>137</v>
      </c>
      <c r="E20" s="1226">
        <v>2</v>
      </c>
      <c r="F20" s="1225">
        <f t="shared" si="5"/>
        <v>1.4598540145985401E-2</v>
      </c>
      <c r="G20" s="1226">
        <v>15</v>
      </c>
      <c r="H20" s="1225">
        <f t="shared" si="1"/>
        <v>0.10948905109489052</v>
      </c>
      <c r="I20" s="1226">
        <v>102</v>
      </c>
      <c r="J20" s="1225">
        <f t="shared" si="2"/>
        <v>0.74452554744525545</v>
      </c>
      <c r="K20" s="1226">
        <v>3</v>
      </c>
      <c r="L20" s="1225">
        <f t="shared" si="3"/>
        <v>2.1897810218978103E-2</v>
      </c>
      <c r="M20" s="54">
        <v>15</v>
      </c>
      <c r="N20" s="55">
        <f t="shared" si="4"/>
        <v>0.10948905109489052</v>
      </c>
      <c r="O20" s="289"/>
      <c r="P20" s="315">
        <f t="shared" si="6"/>
        <v>7448.7456830496158</v>
      </c>
      <c r="Q20" s="289"/>
      <c r="R20" s="289"/>
      <c r="S20" s="289"/>
      <c r="T20" s="289"/>
    </row>
    <row r="21" spans="1:20" ht="12.75" customHeight="1" x14ac:dyDescent="0.25">
      <c r="A21" s="375" t="s">
        <v>217</v>
      </c>
      <c r="B21" s="1221" t="s">
        <v>522</v>
      </c>
      <c r="C21" s="1222">
        <v>5</v>
      </c>
      <c r="D21" s="1223">
        <f t="shared" si="0"/>
        <v>181</v>
      </c>
      <c r="E21" s="1226">
        <v>9</v>
      </c>
      <c r="F21" s="1225">
        <f t="shared" si="5"/>
        <v>4.9723756906077346E-2</v>
      </c>
      <c r="G21" s="1226">
        <v>25</v>
      </c>
      <c r="H21" s="1225">
        <f t="shared" si="1"/>
        <v>0.13812154696132597</v>
      </c>
      <c r="I21" s="1226">
        <v>130</v>
      </c>
      <c r="J21" s="1225">
        <f t="shared" si="2"/>
        <v>0.71823204419889508</v>
      </c>
      <c r="K21" s="1226">
        <v>2</v>
      </c>
      <c r="L21" s="1225">
        <f t="shared" si="3"/>
        <v>1.1049723756906077E-2</v>
      </c>
      <c r="M21" s="54">
        <v>15</v>
      </c>
      <c r="N21" s="55">
        <f t="shared" si="4"/>
        <v>8.2872928176795577E-2</v>
      </c>
      <c r="O21" s="289"/>
      <c r="P21" s="315">
        <f t="shared" si="6"/>
        <v>7397.5468932395452</v>
      </c>
      <c r="Q21" s="289"/>
      <c r="R21" s="289"/>
      <c r="S21" s="289"/>
      <c r="T21" s="289"/>
    </row>
    <row r="22" spans="1:20" ht="12.75" customHeight="1" x14ac:dyDescent="0.25">
      <c r="A22" s="375" t="s">
        <v>451</v>
      </c>
      <c r="B22" s="1221" t="s">
        <v>524</v>
      </c>
      <c r="C22" s="1222">
        <v>5</v>
      </c>
      <c r="D22" s="1223">
        <f t="shared" si="0"/>
        <v>81</v>
      </c>
      <c r="E22" s="1226">
        <v>25</v>
      </c>
      <c r="F22" s="1225">
        <f t="shared" si="5"/>
        <v>0.30864197530864196</v>
      </c>
      <c r="G22" s="1226">
        <v>46</v>
      </c>
      <c r="H22" s="1225">
        <f t="shared" si="1"/>
        <v>0.5679012345679012</v>
      </c>
      <c r="I22" s="1226">
        <v>0</v>
      </c>
      <c r="J22" s="1225">
        <f t="shared" si="2"/>
        <v>0</v>
      </c>
      <c r="K22" s="1226">
        <v>0</v>
      </c>
      <c r="L22" s="1225">
        <f t="shared" si="3"/>
        <v>0</v>
      </c>
      <c r="M22" s="54">
        <v>10</v>
      </c>
      <c r="N22" s="55">
        <f t="shared" si="4"/>
        <v>0.12345679012345678</v>
      </c>
      <c r="O22" s="289"/>
      <c r="P22" s="315">
        <f t="shared" si="6"/>
        <v>9551.5769232439579</v>
      </c>
      <c r="Q22" s="289"/>
      <c r="R22" s="289"/>
      <c r="S22" s="289"/>
      <c r="T22" s="289"/>
    </row>
    <row r="23" spans="1:20" ht="12.75" customHeight="1" x14ac:dyDescent="0.25">
      <c r="A23" s="375" t="s">
        <v>219</v>
      </c>
      <c r="B23" s="1221" t="s">
        <v>521</v>
      </c>
      <c r="C23" s="1222">
        <v>6</v>
      </c>
      <c r="D23" s="1223">
        <f t="shared" si="0"/>
        <v>104</v>
      </c>
      <c r="E23" s="1226">
        <v>44</v>
      </c>
      <c r="F23" s="1225">
        <f t="shared" si="5"/>
        <v>0.42307692307692307</v>
      </c>
      <c r="G23" s="1226">
        <v>0</v>
      </c>
      <c r="H23" s="1225">
        <f t="shared" si="1"/>
        <v>0</v>
      </c>
      <c r="I23" s="1226">
        <v>13</v>
      </c>
      <c r="J23" s="1225">
        <f t="shared" si="2"/>
        <v>0.125</v>
      </c>
      <c r="K23" s="1226">
        <v>38</v>
      </c>
      <c r="L23" s="1225">
        <f t="shared" si="3"/>
        <v>0.36538461538461536</v>
      </c>
      <c r="M23" s="54">
        <v>9</v>
      </c>
      <c r="N23" s="55">
        <f t="shared" si="4"/>
        <v>8.6538461538461536E-2</v>
      </c>
      <c r="O23" s="289"/>
      <c r="P23" s="315">
        <f t="shared" si="6"/>
        <v>11239.016610354596</v>
      </c>
      <c r="Q23" s="289"/>
      <c r="R23" s="289"/>
      <c r="S23" s="289"/>
      <c r="T23" s="289"/>
    </row>
    <row r="24" spans="1:20" ht="12.75" customHeight="1" x14ac:dyDescent="0.3">
      <c r="A24" s="1230" t="s">
        <v>357</v>
      </c>
      <c r="B24" s="1230"/>
      <c r="C24" s="1230"/>
      <c r="D24" s="56">
        <f>SUM(D5:D23)</f>
        <v>1526</v>
      </c>
      <c r="E24" s="57">
        <f>SUM(E5:E23)</f>
        <v>166</v>
      </c>
      <c r="F24" s="1231">
        <f>AVERAGE(F5:F23)</f>
        <v>0.1299182368291637</v>
      </c>
      <c r="G24" s="57">
        <f>SUM(G5:G23)</f>
        <v>294</v>
      </c>
      <c r="H24" s="1231">
        <f>AVERAGE(H5:H23)</f>
        <v>0.22312972763390007</v>
      </c>
      <c r="I24" s="57">
        <f>SUM(I5:I23)</f>
        <v>569</v>
      </c>
      <c r="J24" s="1231">
        <f>AVERAGE(J5:J23)</f>
        <v>0.26295013194956635</v>
      </c>
      <c r="K24" s="57">
        <f>SUM(K5:K23)</f>
        <v>77</v>
      </c>
      <c r="L24" s="1231">
        <f>AVERAGE(L5:L23)</f>
        <v>5.2282894446278594E-2</v>
      </c>
      <c r="M24" s="58">
        <f>SUM(M5:M23)</f>
        <v>420</v>
      </c>
      <c r="N24" s="1231">
        <f>AVERAGE(N5:N23)</f>
        <v>0.33171900914109131</v>
      </c>
      <c r="O24" s="289"/>
      <c r="P24" s="316"/>
      <c r="Q24" s="289"/>
      <c r="R24" s="289"/>
      <c r="S24" s="289"/>
      <c r="T24" s="289"/>
    </row>
    <row r="25" spans="1:20" ht="12.75" customHeight="1" x14ac:dyDescent="0.25">
      <c r="A25" s="1230" t="s">
        <v>525</v>
      </c>
      <c r="B25" s="1230"/>
      <c r="C25" s="1230"/>
      <c r="D25" s="1232"/>
      <c r="E25" s="1233">
        <f>E24/D24</f>
        <v>0.10878112712975098</v>
      </c>
      <c r="F25" s="1225"/>
      <c r="G25" s="1233">
        <f>G24/D24</f>
        <v>0.19266055045871561</v>
      </c>
      <c r="H25" s="1225"/>
      <c r="I25" s="1233">
        <f>I24/D24</f>
        <v>0.37287024901703802</v>
      </c>
      <c r="J25" s="1225"/>
      <c r="K25" s="1233">
        <f>K24/D24</f>
        <v>5.0458715596330278E-2</v>
      </c>
      <c r="L25" s="1225"/>
      <c r="M25" s="60">
        <f>M24/D24</f>
        <v>0.27522935779816515</v>
      </c>
      <c r="N25" s="59"/>
      <c r="O25" s="289"/>
      <c r="P25" s="316"/>
      <c r="Q25" s="289"/>
      <c r="R25" s="289"/>
      <c r="S25" s="289"/>
      <c r="T25" s="289"/>
    </row>
    <row r="26" spans="1:20" ht="12.75" customHeight="1" x14ac:dyDescent="0.25">
      <c r="A26" s="289"/>
      <c r="B26" s="289"/>
      <c r="C26" s="289"/>
      <c r="D26" s="316"/>
      <c r="E26" s="316"/>
      <c r="F26" s="316"/>
      <c r="G26" s="316"/>
      <c r="H26" s="316"/>
      <c r="I26" s="316"/>
      <c r="J26" s="316"/>
      <c r="K26" s="316"/>
      <c r="L26" s="316"/>
      <c r="M26" s="316"/>
      <c r="N26" s="316"/>
      <c r="O26" s="289"/>
      <c r="P26" s="316"/>
      <c r="Q26" s="289"/>
      <c r="R26" s="289"/>
      <c r="S26" s="289"/>
      <c r="T26" s="289"/>
    </row>
    <row r="27" spans="1:20" ht="12.75" customHeight="1" x14ac:dyDescent="0.25">
      <c r="A27" s="1" t="s">
        <v>526</v>
      </c>
      <c r="B27" s="289"/>
      <c r="C27" s="289"/>
      <c r="D27" s="316"/>
      <c r="E27" s="316"/>
      <c r="F27" s="316"/>
      <c r="G27" s="316"/>
      <c r="H27" s="316"/>
      <c r="I27" s="316"/>
      <c r="J27" s="316"/>
      <c r="K27" s="316"/>
      <c r="L27" s="316"/>
      <c r="M27" s="316"/>
      <c r="N27" s="316"/>
      <c r="O27" s="289"/>
      <c r="P27" s="316"/>
      <c r="Q27" s="289"/>
      <c r="R27" s="289"/>
      <c r="S27" s="289"/>
      <c r="T27" s="289"/>
    </row>
    <row r="28" spans="1:20" x14ac:dyDescent="0.25">
      <c r="A28" s="289"/>
      <c r="B28" s="289"/>
      <c r="C28" s="289"/>
      <c r="D28" s="316"/>
      <c r="E28" s="316"/>
      <c r="F28" s="316"/>
      <c r="G28" s="316"/>
      <c r="H28" s="316"/>
      <c r="I28" s="316"/>
      <c r="J28" s="316"/>
      <c r="K28" s="316"/>
      <c r="L28" s="316"/>
      <c r="M28" s="316"/>
      <c r="N28" s="316"/>
      <c r="O28" s="289"/>
      <c r="P28" s="316"/>
      <c r="Q28" s="289"/>
      <c r="R28" s="289"/>
      <c r="S28" s="289"/>
      <c r="T28" s="289"/>
    </row>
    <row r="29" spans="1:20" ht="39" x14ac:dyDescent="0.25">
      <c r="A29" s="47" t="s">
        <v>183</v>
      </c>
      <c r="B29" s="47" t="s">
        <v>508</v>
      </c>
      <c r="C29" s="48" t="s">
        <v>184</v>
      </c>
      <c r="D29" s="49" t="s">
        <v>527</v>
      </c>
      <c r="E29" s="50" t="s">
        <v>528</v>
      </c>
      <c r="F29" s="51" t="s">
        <v>529</v>
      </c>
      <c r="G29" s="50" t="s">
        <v>530</v>
      </c>
      <c r="H29" s="51" t="s">
        <v>241</v>
      </c>
      <c r="I29" s="50" t="s">
        <v>531</v>
      </c>
      <c r="J29" s="51" t="s">
        <v>532</v>
      </c>
      <c r="K29" s="50" t="s">
        <v>533</v>
      </c>
      <c r="L29" s="51" t="s">
        <v>534</v>
      </c>
      <c r="M29" s="52" t="s">
        <v>535</v>
      </c>
      <c r="N29" s="53" t="s">
        <v>536</v>
      </c>
      <c r="O29" s="289"/>
      <c r="P29" s="822" t="s">
        <v>294</v>
      </c>
      <c r="Q29" s="289"/>
      <c r="R29" s="1234" t="s">
        <v>19</v>
      </c>
      <c r="S29" s="1132" t="s">
        <v>537</v>
      </c>
      <c r="T29" s="1235" t="s">
        <v>538</v>
      </c>
    </row>
    <row r="30" spans="1:20" x14ac:dyDescent="0.25">
      <c r="A30" s="375" t="s">
        <v>205</v>
      </c>
      <c r="B30" s="1221" t="s">
        <v>520</v>
      </c>
      <c r="C30" s="1236">
        <v>3</v>
      </c>
      <c r="D30" s="1223">
        <f t="shared" ref="D30:D47" si="7">E30+G30+I30+K30+M30</f>
        <v>42</v>
      </c>
      <c r="E30" s="1224">
        <v>17</v>
      </c>
      <c r="F30" s="1225">
        <f>E30/D30</f>
        <v>0.40476190476190477</v>
      </c>
      <c r="G30" s="1226">
        <v>12</v>
      </c>
      <c r="H30" s="1225">
        <f t="shared" ref="H30:H47" si="8">G30/D30</f>
        <v>0.2857142857142857</v>
      </c>
      <c r="I30" s="1226">
        <v>5</v>
      </c>
      <c r="J30" s="1225">
        <f t="shared" ref="J30:J47" si="9">I30/D30</f>
        <v>0.11904761904761904</v>
      </c>
      <c r="K30" s="1226">
        <v>5</v>
      </c>
      <c r="L30" s="1225">
        <f t="shared" ref="L30:L47" si="10">K30/D30</f>
        <v>0.11904761904761904</v>
      </c>
      <c r="M30" s="54">
        <v>3</v>
      </c>
      <c r="N30" s="55">
        <f t="shared" ref="N30:N47" si="11">M30/D30</f>
        <v>7.1428571428571425E-2</v>
      </c>
      <c r="O30" s="289"/>
      <c r="P30" s="315">
        <f t="shared" ref="P30:P47" si="12">(F30*$E$54)+(H30*$G$54)+(J30*$I$54)+(L30*$K$54)+(N30*$M$54)+(N30*$M$56)</f>
        <v>9991.0948916011585</v>
      </c>
      <c r="Q30" s="289"/>
      <c r="R30" s="315">
        <f>P30-P5</f>
        <v>93.578186361324697</v>
      </c>
      <c r="S30" s="804">
        <f>'Band Calculations'!Z5</f>
        <v>43</v>
      </c>
      <c r="T30" s="315">
        <f>R30*S30</f>
        <v>4023.862013536962</v>
      </c>
    </row>
    <row r="31" spans="1:20" x14ac:dyDescent="0.25">
      <c r="A31" s="375" t="s">
        <v>208</v>
      </c>
      <c r="B31" s="1221" t="s">
        <v>521</v>
      </c>
      <c r="C31" s="1236">
        <v>3</v>
      </c>
      <c r="D31" s="1223">
        <f t="shared" si="7"/>
        <v>76</v>
      </c>
      <c r="E31" s="1224">
        <v>10</v>
      </c>
      <c r="F31" s="1225">
        <f t="shared" ref="F31:F47" si="13">E31/D31</f>
        <v>0.13157894736842105</v>
      </c>
      <c r="G31" s="1226">
        <v>27</v>
      </c>
      <c r="H31" s="1225">
        <f t="shared" si="8"/>
        <v>0.35526315789473684</v>
      </c>
      <c r="I31" s="1226">
        <v>13</v>
      </c>
      <c r="J31" s="1225">
        <f t="shared" si="9"/>
        <v>0.17105263157894737</v>
      </c>
      <c r="K31" s="1226">
        <v>11</v>
      </c>
      <c r="L31" s="1225">
        <f t="shared" si="10"/>
        <v>0.14473684210526316</v>
      </c>
      <c r="M31" s="54">
        <v>15</v>
      </c>
      <c r="N31" s="55">
        <f t="shared" si="11"/>
        <v>0.19736842105263158</v>
      </c>
      <c r="O31" s="289"/>
      <c r="P31" s="315">
        <f t="shared" si="12"/>
        <v>9737.6409510925623</v>
      </c>
      <c r="Q31" s="289"/>
      <c r="R31" s="315">
        <f t="shared" ref="R31:R44" si="14">P31-P6</f>
        <v>952.3550198322846</v>
      </c>
      <c r="S31" s="804">
        <f>'Band Calculations'!Z6</f>
        <v>63</v>
      </c>
      <c r="T31" s="315">
        <f t="shared" ref="T31:T47" si="15">R31*S31</f>
        <v>59998.36624943393</v>
      </c>
    </row>
    <row r="32" spans="1:20" x14ac:dyDescent="0.25">
      <c r="A32" s="375" t="s">
        <v>209</v>
      </c>
      <c r="B32" s="1221" t="s">
        <v>522</v>
      </c>
      <c r="C32" s="1236">
        <v>3</v>
      </c>
      <c r="D32" s="1223">
        <f t="shared" si="7"/>
        <v>53</v>
      </c>
      <c r="E32" s="1224">
        <v>14</v>
      </c>
      <c r="F32" s="1225">
        <f t="shared" si="13"/>
        <v>0.26415094339622641</v>
      </c>
      <c r="G32" s="1226">
        <v>22</v>
      </c>
      <c r="H32" s="1225">
        <f t="shared" si="8"/>
        <v>0.41509433962264153</v>
      </c>
      <c r="I32" s="1226">
        <v>3</v>
      </c>
      <c r="J32" s="1225">
        <f t="shared" si="9"/>
        <v>5.6603773584905662E-2</v>
      </c>
      <c r="K32" s="1226">
        <v>3</v>
      </c>
      <c r="L32" s="1225">
        <f t="shared" si="10"/>
        <v>5.6603773584905662E-2</v>
      </c>
      <c r="M32" s="54">
        <v>11</v>
      </c>
      <c r="N32" s="55">
        <f t="shared" si="11"/>
        <v>0.20754716981132076</v>
      </c>
      <c r="O32" s="289"/>
      <c r="P32" s="315">
        <f t="shared" si="12"/>
        <v>10128.233980342673</v>
      </c>
      <c r="Q32" s="289"/>
      <c r="R32" s="315">
        <f t="shared" si="14"/>
        <v>-798.25542949603187</v>
      </c>
      <c r="S32" s="804">
        <f>'Band Calculations'!Z7</f>
        <v>63</v>
      </c>
      <c r="T32" s="315">
        <f t="shared" si="15"/>
        <v>-50290.092058250011</v>
      </c>
    </row>
    <row r="33" spans="1:20" x14ac:dyDescent="0.25">
      <c r="A33" s="375" t="s">
        <v>210</v>
      </c>
      <c r="B33" s="1221" t="s">
        <v>520</v>
      </c>
      <c r="C33" s="1236">
        <v>3</v>
      </c>
      <c r="D33" s="1223">
        <f t="shared" si="7"/>
        <v>45</v>
      </c>
      <c r="E33" s="1224">
        <v>18</v>
      </c>
      <c r="F33" s="1225">
        <f t="shared" si="13"/>
        <v>0.4</v>
      </c>
      <c r="G33" s="1226">
        <v>19</v>
      </c>
      <c r="H33" s="1225">
        <f t="shared" si="8"/>
        <v>0.42222222222222222</v>
      </c>
      <c r="I33" s="1226">
        <v>0</v>
      </c>
      <c r="J33" s="1225">
        <f t="shared" si="9"/>
        <v>0</v>
      </c>
      <c r="K33" s="1226">
        <v>1</v>
      </c>
      <c r="L33" s="1225">
        <f t="shared" si="10"/>
        <v>2.2222222222222223E-2</v>
      </c>
      <c r="M33" s="54">
        <v>7</v>
      </c>
      <c r="N33" s="55">
        <f t="shared" si="11"/>
        <v>0.15555555555555556</v>
      </c>
      <c r="O33" s="289"/>
      <c r="P33" s="315">
        <f t="shared" si="12"/>
        <v>10268.679306798018</v>
      </c>
      <c r="Q33" s="289"/>
      <c r="R33" s="315">
        <f t="shared" si="14"/>
        <v>-251.81519353485055</v>
      </c>
      <c r="S33" s="804">
        <f>'Band Calculations'!Z8</f>
        <v>41</v>
      </c>
      <c r="T33" s="315">
        <f t="shared" si="15"/>
        <v>-10324.422934928873</v>
      </c>
    </row>
    <row r="34" spans="1:20" x14ac:dyDescent="0.25">
      <c r="A34" s="375" t="s">
        <v>211</v>
      </c>
      <c r="B34" s="1221" t="s">
        <v>522</v>
      </c>
      <c r="C34" s="1236">
        <v>3</v>
      </c>
      <c r="D34" s="1223">
        <f t="shared" si="7"/>
        <v>55</v>
      </c>
      <c r="E34" s="1226">
        <v>11</v>
      </c>
      <c r="F34" s="1225">
        <f t="shared" si="13"/>
        <v>0.2</v>
      </c>
      <c r="G34" s="1226">
        <v>31</v>
      </c>
      <c r="H34" s="1225">
        <f t="shared" si="8"/>
        <v>0.5636363636363636</v>
      </c>
      <c r="I34" s="1226">
        <v>1</v>
      </c>
      <c r="J34" s="1225">
        <f t="shared" si="9"/>
        <v>1.8181818181818181E-2</v>
      </c>
      <c r="K34" s="1226">
        <v>9</v>
      </c>
      <c r="L34" s="1225">
        <f t="shared" si="10"/>
        <v>0.16363636363636364</v>
      </c>
      <c r="M34" s="54">
        <v>3</v>
      </c>
      <c r="N34" s="55">
        <f t="shared" si="11"/>
        <v>5.4545454545454543E-2</v>
      </c>
      <c r="O34" s="289"/>
      <c r="P34" s="315">
        <f t="shared" si="12"/>
        <v>9289.4498761949271</v>
      </c>
      <c r="Q34" s="289"/>
      <c r="R34" s="315">
        <f t="shared" si="14"/>
        <v>490.24682487523205</v>
      </c>
      <c r="S34" s="804">
        <f>'Band Calculations'!Z9</f>
        <v>47</v>
      </c>
      <c r="T34" s="315">
        <f t="shared" si="15"/>
        <v>23041.600769135905</v>
      </c>
    </row>
    <row r="35" spans="1:20" ht="12" customHeight="1" x14ac:dyDescent="0.25">
      <c r="A35" s="375" t="s">
        <v>257</v>
      </c>
      <c r="B35" s="1221" t="s">
        <v>523</v>
      </c>
      <c r="C35" s="1236">
        <v>3</v>
      </c>
      <c r="D35" s="1223">
        <f t="shared" si="7"/>
        <v>61</v>
      </c>
      <c r="E35" s="1226">
        <v>0</v>
      </c>
      <c r="F35" s="1225">
        <f t="shared" si="13"/>
        <v>0</v>
      </c>
      <c r="G35" s="1226">
        <v>0</v>
      </c>
      <c r="H35" s="1225">
        <f t="shared" si="8"/>
        <v>0</v>
      </c>
      <c r="I35" s="1226">
        <v>0</v>
      </c>
      <c r="J35" s="1225">
        <f t="shared" si="9"/>
        <v>0</v>
      </c>
      <c r="K35" s="1226">
        <v>0</v>
      </c>
      <c r="L35" s="1225">
        <f t="shared" si="10"/>
        <v>0</v>
      </c>
      <c r="M35" s="54">
        <v>61</v>
      </c>
      <c r="N35" s="55">
        <f t="shared" si="11"/>
        <v>1</v>
      </c>
      <c r="O35" s="289"/>
      <c r="P35" s="315">
        <f t="shared" si="12"/>
        <v>14327.068527263833</v>
      </c>
      <c r="Q35" s="289"/>
      <c r="R35" s="315">
        <f t="shared" si="14"/>
        <v>0</v>
      </c>
      <c r="S35" s="804">
        <f>'Band Calculations'!Z10</f>
        <v>61</v>
      </c>
      <c r="T35" s="315">
        <f t="shared" si="15"/>
        <v>0</v>
      </c>
    </row>
    <row r="36" spans="1:20" x14ac:dyDescent="0.25">
      <c r="A36" s="375" t="s">
        <v>220</v>
      </c>
      <c r="B36" s="1221" t="s">
        <v>521</v>
      </c>
      <c r="C36" s="1236">
        <v>3</v>
      </c>
      <c r="D36" s="1223">
        <f t="shared" si="7"/>
        <v>55</v>
      </c>
      <c r="E36" s="1226">
        <v>2</v>
      </c>
      <c r="F36" s="1225">
        <f t="shared" si="13"/>
        <v>3.6363636363636362E-2</v>
      </c>
      <c r="G36" s="1226">
        <v>16</v>
      </c>
      <c r="H36" s="1225">
        <f t="shared" si="8"/>
        <v>0.29090909090909089</v>
      </c>
      <c r="I36" s="1226">
        <v>15</v>
      </c>
      <c r="J36" s="1225">
        <f t="shared" si="9"/>
        <v>0.27272727272727271</v>
      </c>
      <c r="K36" s="1227">
        <v>3</v>
      </c>
      <c r="L36" s="1225">
        <f t="shared" si="10"/>
        <v>5.4545454545454543E-2</v>
      </c>
      <c r="M36" s="54">
        <v>19</v>
      </c>
      <c r="N36" s="55">
        <f t="shared" si="11"/>
        <v>0.34545454545454546</v>
      </c>
      <c r="O36" s="289"/>
      <c r="P36" s="315">
        <f t="shared" si="12"/>
        <v>9853.3189773154299</v>
      </c>
      <c r="Q36" s="289"/>
      <c r="R36" s="315">
        <f t="shared" si="14"/>
        <v>1428.3475354685143</v>
      </c>
      <c r="S36" s="804">
        <f>'Band Calculations'!Z11</f>
        <v>60</v>
      </c>
      <c r="T36" s="315">
        <f t="shared" si="15"/>
        <v>85700.852128110855</v>
      </c>
    </row>
    <row r="37" spans="1:20" x14ac:dyDescent="0.25">
      <c r="A37" s="375" t="s">
        <v>212</v>
      </c>
      <c r="B37" s="1221" t="s">
        <v>522</v>
      </c>
      <c r="C37" s="1236">
        <v>3</v>
      </c>
      <c r="D37" s="1223">
        <f t="shared" si="7"/>
        <v>85</v>
      </c>
      <c r="E37" s="1226">
        <v>0</v>
      </c>
      <c r="F37" s="1225">
        <f t="shared" si="13"/>
        <v>0</v>
      </c>
      <c r="G37" s="1226">
        <v>7</v>
      </c>
      <c r="H37" s="1225">
        <f t="shared" si="8"/>
        <v>8.2352941176470587E-2</v>
      </c>
      <c r="I37" s="1226">
        <v>52</v>
      </c>
      <c r="J37" s="1225">
        <f t="shared" si="9"/>
        <v>0.61176470588235299</v>
      </c>
      <c r="K37" s="1226">
        <v>2</v>
      </c>
      <c r="L37" s="1225">
        <f t="shared" si="10"/>
        <v>2.3529411764705882E-2</v>
      </c>
      <c r="M37" s="1228">
        <v>24</v>
      </c>
      <c r="N37" s="55">
        <f t="shared" si="11"/>
        <v>0.28235294117647058</v>
      </c>
      <c r="O37" s="289"/>
      <c r="P37" s="315">
        <f t="shared" si="12"/>
        <v>8745.3923904604708</v>
      </c>
      <c r="Q37" s="289"/>
      <c r="R37" s="315">
        <f t="shared" si="14"/>
        <v>-345.47995291210646</v>
      </c>
      <c r="S37" s="804">
        <f>'Band Calculations'!Z12</f>
        <v>84</v>
      </c>
      <c r="T37" s="315">
        <f t="shared" si="15"/>
        <v>-29020.316044616942</v>
      </c>
    </row>
    <row r="38" spans="1:20" x14ac:dyDescent="0.25">
      <c r="A38" s="375" t="s">
        <v>221</v>
      </c>
      <c r="B38" s="1221" t="s">
        <v>521</v>
      </c>
      <c r="C38" s="1236">
        <v>4</v>
      </c>
      <c r="D38" s="1223">
        <f t="shared" si="7"/>
        <v>127</v>
      </c>
      <c r="E38" s="1226">
        <v>9</v>
      </c>
      <c r="F38" s="1225">
        <f t="shared" si="13"/>
        <v>7.0866141732283464E-2</v>
      </c>
      <c r="G38" s="1226">
        <v>21</v>
      </c>
      <c r="H38" s="1225">
        <f t="shared" si="8"/>
        <v>0.16535433070866143</v>
      </c>
      <c r="I38" s="1226">
        <v>66</v>
      </c>
      <c r="J38" s="1225">
        <f t="shared" si="9"/>
        <v>0.51968503937007871</v>
      </c>
      <c r="K38" s="1226">
        <v>5</v>
      </c>
      <c r="L38" s="1225">
        <f t="shared" si="10"/>
        <v>3.937007874015748E-2</v>
      </c>
      <c r="M38" s="54">
        <v>26</v>
      </c>
      <c r="N38" s="55">
        <f t="shared" si="11"/>
        <v>0.20472440944881889</v>
      </c>
      <c r="O38" s="289"/>
      <c r="P38" s="315">
        <f t="shared" si="12"/>
        <v>8682.1328193541576</v>
      </c>
      <c r="Q38" s="289"/>
      <c r="R38" s="315">
        <f t="shared" si="14"/>
        <v>478.11470479939453</v>
      </c>
      <c r="S38" s="804">
        <f>'Band Calculations'!Z13</f>
        <v>109</v>
      </c>
      <c r="T38" s="315">
        <f t="shared" si="15"/>
        <v>52114.502823134004</v>
      </c>
    </row>
    <row r="39" spans="1:20" x14ac:dyDescent="0.25">
      <c r="A39" s="375" t="s">
        <v>213</v>
      </c>
      <c r="B39" s="1221" t="s">
        <v>521</v>
      </c>
      <c r="C39" s="1236">
        <v>4</v>
      </c>
      <c r="D39" s="1223">
        <f t="shared" si="7"/>
        <v>119</v>
      </c>
      <c r="E39" s="1226">
        <v>1</v>
      </c>
      <c r="F39" s="1225">
        <f t="shared" si="13"/>
        <v>8.4033613445378148E-3</v>
      </c>
      <c r="G39" s="1226">
        <v>33</v>
      </c>
      <c r="H39" s="1225">
        <f t="shared" si="8"/>
        <v>0.27731092436974791</v>
      </c>
      <c r="I39" s="1226">
        <v>71</v>
      </c>
      <c r="J39" s="1225">
        <f t="shared" si="9"/>
        <v>0.59663865546218486</v>
      </c>
      <c r="K39" s="1226">
        <v>3</v>
      </c>
      <c r="L39" s="1225">
        <f t="shared" si="10"/>
        <v>2.5210084033613446E-2</v>
      </c>
      <c r="M39" s="54">
        <v>11</v>
      </c>
      <c r="N39" s="55">
        <f t="shared" si="11"/>
        <v>9.2436974789915971E-2</v>
      </c>
      <c r="O39" s="289"/>
      <c r="P39" s="315">
        <f t="shared" si="12"/>
        <v>7480.8820134065591</v>
      </c>
      <c r="Q39" s="289"/>
      <c r="R39" s="315">
        <f t="shared" si="14"/>
        <v>146.81347382532294</v>
      </c>
      <c r="S39" s="804">
        <f>'Band Calculations'!Z14</f>
        <v>130</v>
      </c>
      <c r="T39" s="315">
        <f t="shared" si="15"/>
        <v>19085.751597291983</v>
      </c>
    </row>
    <row r="40" spans="1:20" x14ac:dyDescent="0.25">
      <c r="A40" s="375" t="s">
        <v>214</v>
      </c>
      <c r="B40" s="1221" t="s">
        <v>520</v>
      </c>
      <c r="C40" s="1236">
        <v>4</v>
      </c>
      <c r="D40" s="1223">
        <f t="shared" si="7"/>
        <v>130</v>
      </c>
      <c r="E40" s="1226">
        <v>0</v>
      </c>
      <c r="F40" s="1225">
        <f t="shared" si="13"/>
        <v>0</v>
      </c>
      <c r="G40" s="1226">
        <v>19</v>
      </c>
      <c r="H40" s="1225">
        <f t="shared" si="8"/>
        <v>0.14615384615384616</v>
      </c>
      <c r="I40" s="1226">
        <v>91</v>
      </c>
      <c r="J40" s="1225">
        <f t="shared" si="9"/>
        <v>0.7</v>
      </c>
      <c r="K40" s="1226">
        <v>2</v>
      </c>
      <c r="L40" s="1225">
        <f t="shared" si="10"/>
        <v>1.5384615384615385E-2</v>
      </c>
      <c r="M40" s="54">
        <v>18</v>
      </c>
      <c r="N40" s="55">
        <f t="shared" si="11"/>
        <v>0.13846153846153847</v>
      </c>
      <c r="O40" s="289"/>
      <c r="P40" s="315">
        <f t="shared" si="12"/>
        <v>7608.483850854901</v>
      </c>
      <c r="Q40" s="289"/>
      <c r="R40" s="315">
        <f t="shared" si="14"/>
        <v>-11.67433415596588</v>
      </c>
      <c r="S40" s="804">
        <f>'Band Calculations'!Z15</f>
        <v>131</v>
      </c>
      <c r="T40" s="315">
        <f t="shared" si="15"/>
        <v>-1529.3377744315303</v>
      </c>
    </row>
    <row r="41" spans="1:20" ht="12" customHeight="1" x14ac:dyDescent="0.25">
      <c r="A41" s="375" t="s">
        <v>259</v>
      </c>
      <c r="B41" s="1221" t="s">
        <v>523</v>
      </c>
      <c r="C41" s="1236">
        <v>4</v>
      </c>
      <c r="D41" s="1223">
        <f t="shared" si="7"/>
        <v>57</v>
      </c>
      <c r="E41" s="1226">
        <v>0</v>
      </c>
      <c r="F41" s="1225">
        <f t="shared" si="13"/>
        <v>0</v>
      </c>
      <c r="G41" s="1226">
        <v>0</v>
      </c>
      <c r="H41" s="1225">
        <f t="shared" si="8"/>
        <v>0</v>
      </c>
      <c r="I41" s="1226">
        <v>0</v>
      </c>
      <c r="J41" s="1225">
        <f t="shared" si="9"/>
        <v>0</v>
      </c>
      <c r="K41" s="1226">
        <v>0</v>
      </c>
      <c r="L41" s="1225">
        <f t="shared" si="10"/>
        <v>0</v>
      </c>
      <c r="M41" s="54">
        <v>57</v>
      </c>
      <c r="N41" s="55">
        <f t="shared" si="11"/>
        <v>1</v>
      </c>
      <c r="O41" s="289"/>
      <c r="P41" s="315">
        <f t="shared" si="12"/>
        <v>14327.068527263833</v>
      </c>
      <c r="Q41" s="289"/>
      <c r="R41" s="315">
        <f t="shared" si="14"/>
        <v>0</v>
      </c>
      <c r="S41" s="804">
        <f>'Band Calculations'!Z16</f>
        <v>62.000000000000007</v>
      </c>
      <c r="T41" s="315">
        <f t="shared" si="15"/>
        <v>0</v>
      </c>
    </row>
    <row r="42" spans="1:20" ht="12" customHeight="1" x14ac:dyDescent="0.25">
      <c r="A42" s="375" t="s">
        <v>261</v>
      </c>
      <c r="B42" s="1221" t="s">
        <v>523</v>
      </c>
      <c r="C42" s="1236">
        <v>4</v>
      </c>
      <c r="D42" s="1223">
        <f t="shared" si="7"/>
        <v>57</v>
      </c>
      <c r="E42" s="1226">
        <v>0</v>
      </c>
      <c r="F42" s="1225">
        <f t="shared" si="13"/>
        <v>0</v>
      </c>
      <c r="G42" s="1226">
        <v>0</v>
      </c>
      <c r="H42" s="1225">
        <f t="shared" si="8"/>
        <v>0</v>
      </c>
      <c r="I42" s="1226">
        <v>0</v>
      </c>
      <c r="J42" s="1225">
        <f t="shared" si="9"/>
        <v>0</v>
      </c>
      <c r="K42" s="1226">
        <v>0</v>
      </c>
      <c r="L42" s="1225">
        <f t="shared" si="10"/>
        <v>0</v>
      </c>
      <c r="M42" s="54">
        <v>57</v>
      </c>
      <c r="N42" s="55">
        <f t="shared" si="11"/>
        <v>1</v>
      </c>
      <c r="O42" s="289"/>
      <c r="P42" s="315">
        <f t="shared" si="12"/>
        <v>14327.068527263833</v>
      </c>
      <c r="Q42" s="289"/>
      <c r="R42" s="315">
        <f t="shared" si="14"/>
        <v>0</v>
      </c>
      <c r="S42" s="804">
        <f>'Band Calculations'!Z17</f>
        <v>59.000000000000007</v>
      </c>
      <c r="T42" s="315">
        <f t="shared" si="15"/>
        <v>0</v>
      </c>
    </row>
    <row r="43" spans="1:20" ht="12" customHeight="1" x14ac:dyDescent="0.25">
      <c r="A43" s="375" t="s">
        <v>262</v>
      </c>
      <c r="B43" s="1221" t="s">
        <v>523</v>
      </c>
      <c r="C43" s="1236">
        <v>4</v>
      </c>
      <c r="D43" s="1223">
        <f t="shared" si="7"/>
        <v>49</v>
      </c>
      <c r="E43" s="1224">
        <v>0</v>
      </c>
      <c r="F43" s="1225">
        <f t="shared" si="13"/>
        <v>0</v>
      </c>
      <c r="G43" s="1226">
        <v>0</v>
      </c>
      <c r="H43" s="1225">
        <f t="shared" si="8"/>
        <v>0</v>
      </c>
      <c r="I43" s="1226">
        <v>0</v>
      </c>
      <c r="J43" s="1225">
        <f t="shared" si="9"/>
        <v>0</v>
      </c>
      <c r="K43" s="1226">
        <v>0</v>
      </c>
      <c r="L43" s="1225">
        <f t="shared" si="10"/>
        <v>0</v>
      </c>
      <c r="M43" s="54">
        <v>49</v>
      </c>
      <c r="N43" s="55">
        <f t="shared" si="11"/>
        <v>1</v>
      </c>
      <c r="O43" s="289"/>
      <c r="P43" s="315">
        <f t="shared" si="12"/>
        <v>14327.068527263833</v>
      </c>
      <c r="Q43" s="289"/>
      <c r="R43" s="315">
        <f t="shared" si="14"/>
        <v>0</v>
      </c>
      <c r="S43" s="804">
        <f>'Band Calculations'!Z18</f>
        <v>55</v>
      </c>
      <c r="T43" s="315">
        <f t="shared" si="15"/>
        <v>0</v>
      </c>
    </row>
    <row r="44" spans="1:20" x14ac:dyDescent="0.25">
      <c r="A44" s="375" t="s">
        <v>215</v>
      </c>
      <c r="B44" s="1221" t="s">
        <v>520</v>
      </c>
      <c r="C44" s="1236">
        <v>4</v>
      </c>
      <c r="D44" s="1223">
        <f t="shared" si="7"/>
        <v>71</v>
      </c>
      <c r="E44" s="1226">
        <v>17</v>
      </c>
      <c r="F44" s="1225">
        <f t="shared" si="13"/>
        <v>0.23943661971830985</v>
      </c>
      <c r="G44" s="1224">
        <v>24</v>
      </c>
      <c r="H44" s="1225">
        <f t="shared" si="8"/>
        <v>0.3380281690140845</v>
      </c>
      <c r="I44" s="1224">
        <v>0</v>
      </c>
      <c r="J44" s="1225">
        <f t="shared" si="9"/>
        <v>0</v>
      </c>
      <c r="K44" s="1224">
        <v>13</v>
      </c>
      <c r="L44" s="1225">
        <f t="shared" si="10"/>
        <v>0.18309859154929578</v>
      </c>
      <c r="M44" s="54">
        <v>17</v>
      </c>
      <c r="N44" s="55">
        <f t="shared" si="11"/>
        <v>0.23943661971830985</v>
      </c>
      <c r="O44" s="289"/>
      <c r="P44" s="315">
        <f t="shared" si="12"/>
        <v>10855.270293410516</v>
      </c>
      <c r="Q44" s="289"/>
      <c r="R44" s="315">
        <f t="shared" si="14"/>
        <v>274.51819030668594</v>
      </c>
      <c r="S44" s="804">
        <f>'Band Calculations'!Z19</f>
        <v>73</v>
      </c>
      <c r="T44" s="315">
        <f t="shared" si="15"/>
        <v>20039.827892388072</v>
      </c>
    </row>
    <row r="45" spans="1:20" x14ac:dyDescent="0.25">
      <c r="A45" s="375" t="s">
        <v>216</v>
      </c>
      <c r="B45" s="1221" t="s">
        <v>522</v>
      </c>
      <c r="C45" s="1236">
        <v>5</v>
      </c>
      <c r="D45" s="1223">
        <f t="shared" si="7"/>
        <v>142</v>
      </c>
      <c r="E45" s="1226">
        <v>0</v>
      </c>
      <c r="F45" s="1225">
        <f t="shared" si="13"/>
        <v>0</v>
      </c>
      <c r="G45" s="1226">
        <v>14</v>
      </c>
      <c r="H45" s="1225">
        <f t="shared" si="8"/>
        <v>9.8591549295774641E-2</v>
      </c>
      <c r="I45" s="1226">
        <v>102</v>
      </c>
      <c r="J45" s="1225">
        <f t="shared" si="9"/>
        <v>0.71830985915492962</v>
      </c>
      <c r="K45" s="1226">
        <v>6</v>
      </c>
      <c r="L45" s="1225">
        <f t="shared" si="10"/>
        <v>4.2253521126760563E-2</v>
      </c>
      <c r="M45" s="54">
        <v>20</v>
      </c>
      <c r="N45" s="55">
        <f t="shared" si="11"/>
        <v>0.14084507042253522</v>
      </c>
      <c r="O45" s="289"/>
      <c r="P45" s="315">
        <f t="shared" si="12"/>
        <v>7721.5167598965254</v>
      </c>
      <c r="Q45" s="289"/>
      <c r="R45" s="315">
        <f>P45-P20</f>
        <v>272.77107684690964</v>
      </c>
      <c r="S45" s="804">
        <f>'Band Calculations'!Z20</f>
        <v>142</v>
      </c>
      <c r="T45" s="315">
        <f t="shared" si="15"/>
        <v>38733.492912261165</v>
      </c>
    </row>
    <row r="46" spans="1:20" x14ac:dyDescent="0.25">
      <c r="A46" s="375" t="s">
        <v>217</v>
      </c>
      <c r="B46" s="1221" t="s">
        <v>522</v>
      </c>
      <c r="C46" s="1236">
        <v>5</v>
      </c>
      <c r="D46" s="1223">
        <f t="shared" si="7"/>
        <v>248</v>
      </c>
      <c r="E46" s="1226">
        <v>15</v>
      </c>
      <c r="F46" s="1225">
        <f t="shared" si="13"/>
        <v>6.0483870967741937E-2</v>
      </c>
      <c r="G46" s="1226">
        <v>55</v>
      </c>
      <c r="H46" s="1225">
        <f t="shared" si="8"/>
        <v>0.22177419354838709</v>
      </c>
      <c r="I46" s="1226">
        <v>162</v>
      </c>
      <c r="J46" s="1225">
        <f t="shared" si="9"/>
        <v>0.65322580645161288</v>
      </c>
      <c r="K46" s="1226">
        <v>0</v>
      </c>
      <c r="L46" s="1225">
        <f t="shared" si="10"/>
        <v>0</v>
      </c>
      <c r="M46" s="54">
        <v>16</v>
      </c>
      <c r="N46" s="55">
        <f t="shared" si="11"/>
        <v>6.4516129032258063E-2</v>
      </c>
      <c r="O46" s="289"/>
      <c r="P46" s="315">
        <f>(F46*$E$54)+(H46*$G$54)+(J46*$I$54)+(L46*$K$54)+(N46*$M$54)+(N46*$M$56)</f>
        <v>7340.139439256769</v>
      </c>
      <c r="Q46" s="289"/>
      <c r="R46" s="315">
        <f>P46-P21</f>
        <v>-57.407453982776133</v>
      </c>
      <c r="S46" s="804">
        <f>'Band Calculations'!Z21</f>
        <v>230.83333333333337</v>
      </c>
      <c r="T46" s="315">
        <f t="shared" si="15"/>
        <v>-13251.553961024159</v>
      </c>
    </row>
    <row r="47" spans="1:20" x14ac:dyDescent="0.25">
      <c r="A47" s="375" t="s">
        <v>219</v>
      </c>
      <c r="B47" s="1221" t="s">
        <v>521</v>
      </c>
      <c r="C47" s="1236">
        <v>6</v>
      </c>
      <c r="D47" s="1223">
        <f t="shared" si="7"/>
        <v>135</v>
      </c>
      <c r="E47" s="1226">
        <v>68</v>
      </c>
      <c r="F47" s="1225">
        <f t="shared" si="13"/>
        <v>0.50370370370370365</v>
      </c>
      <c r="G47" s="1226">
        <v>0</v>
      </c>
      <c r="H47" s="1225">
        <f t="shared" si="8"/>
        <v>0</v>
      </c>
      <c r="I47" s="1226">
        <v>39</v>
      </c>
      <c r="J47" s="1225">
        <f t="shared" si="9"/>
        <v>0.28888888888888886</v>
      </c>
      <c r="K47" s="1226">
        <v>28</v>
      </c>
      <c r="L47" s="1225">
        <f t="shared" si="10"/>
        <v>0.2074074074074074</v>
      </c>
      <c r="M47" s="54">
        <v>0</v>
      </c>
      <c r="N47" s="55">
        <f t="shared" si="11"/>
        <v>0</v>
      </c>
      <c r="O47" s="289"/>
      <c r="P47" s="315">
        <f t="shared" si="12"/>
        <v>10118.068418370316</v>
      </c>
      <c r="Q47" s="289"/>
      <c r="R47" s="315">
        <f>P47-P23</f>
        <v>-1120.9481919842801</v>
      </c>
      <c r="S47" s="804">
        <f>'Band Calculations'!Z23</f>
        <v>129</v>
      </c>
      <c r="T47" s="315">
        <f t="shared" si="15"/>
        <v>-144602.31676597212</v>
      </c>
    </row>
    <row r="48" spans="1:20" ht="13" x14ac:dyDescent="0.3">
      <c r="A48" s="1230" t="s">
        <v>357</v>
      </c>
      <c r="B48" s="1230"/>
      <c r="C48" s="1230"/>
      <c r="D48" s="56">
        <f>SUM(D30:D47)</f>
        <v>1607</v>
      </c>
      <c r="E48" s="57">
        <f>SUM(E30:E47)</f>
        <v>182</v>
      </c>
      <c r="F48" s="1237"/>
      <c r="G48" s="57">
        <f>SUM(G30:G47)</f>
        <v>300</v>
      </c>
      <c r="H48" s="1238"/>
      <c r="I48" s="57">
        <f>SUM(I30:I47)</f>
        <v>620</v>
      </c>
      <c r="J48" s="1238"/>
      <c r="K48" s="57">
        <f>SUM(K30:K47)</f>
        <v>91</v>
      </c>
      <c r="L48" s="1238"/>
      <c r="M48" s="58">
        <f>SUM(M30:M47)</f>
        <v>414</v>
      </c>
      <c r="N48" s="59"/>
      <c r="O48" s="289"/>
      <c r="P48" s="289"/>
      <c r="Q48" s="289"/>
      <c r="R48" s="289"/>
      <c r="S48" s="569"/>
      <c r="T48" s="289"/>
    </row>
    <row r="49" spans="1:20" ht="13" thickBot="1" x14ac:dyDescent="0.3">
      <c r="A49" s="1230" t="s">
        <v>525</v>
      </c>
      <c r="B49" s="1230"/>
      <c r="C49" s="1230"/>
      <c r="D49" s="1232"/>
      <c r="E49" s="1233">
        <f>E48/D48</f>
        <v>0.11325451151213441</v>
      </c>
      <c r="F49" s="1225"/>
      <c r="G49" s="1233">
        <f>G48/D48</f>
        <v>0.18668326073428748</v>
      </c>
      <c r="H49" s="1225"/>
      <c r="I49" s="1233">
        <f>I48/D48</f>
        <v>0.38581207218419417</v>
      </c>
      <c r="J49" s="1225"/>
      <c r="K49" s="1233">
        <f>K48/D48</f>
        <v>5.6627255756067203E-2</v>
      </c>
      <c r="L49" s="1225"/>
      <c r="M49" s="60">
        <f>M48/D48</f>
        <v>0.25762289981331676</v>
      </c>
      <c r="N49" s="59"/>
      <c r="O49" s="289"/>
      <c r="P49" s="289"/>
      <c r="Q49" s="289"/>
      <c r="R49" s="289"/>
      <c r="S49" s="289"/>
      <c r="T49" s="1239">
        <f>SUM(T30:T47)</f>
        <v>53720.216846069263</v>
      </c>
    </row>
    <row r="52" spans="1:20" x14ac:dyDescent="0.25">
      <c r="A52" s="1504" t="s">
        <v>539</v>
      </c>
      <c r="B52" s="1504"/>
      <c r="C52" s="1504"/>
      <c r="D52" s="1504"/>
      <c r="E52" s="379">
        <f>E49-E25</f>
        <v>4.4733843823834274E-3</v>
      </c>
      <c r="F52" s="379"/>
      <c r="G52" s="379">
        <f>G49-G25</f>
        <v>-5.9772897244281253E-3</v>
      </c>
      <c r="H52" s="379"/>
      <c r="I52" s="379">
        <f>I49-I25</f>
        <v>1.2941823167156141E-2</v>
      </c>
      <c r="J52" s="379"/>
      <c r="K52" s="379">
        <f>K49-K25</f>
        <v>6.1685401597369252E-3</v>
      </c>
      <c r="L52" s="379"/>
      <c r="M52" s="379">
        <f>M49-M25</f>
        <v>-1.7606457984848389E-2</v>
      </c>
      <c r="N52" s="316"/>
      <c r="O52" s="289"/>
      <c r="P52" s="289"/>
      <c r="Q52" s="289"/>
      <c r="R52" s="289"/>
      <c r="S52" s="289"/>
      <c r="T52" s="289"/>
    </row>
    <row r="54" spans="1:20" x14ac:dyDescent="0.25">
      <c r="A54" s="289"/>
      <c r="B54" s="289"/>
      <c r="C54" s="289"/>
      <c r="D54" s="316"/>
      <c r="E54" s="92">
        <v>11692.020638096787</v>
      </c>
      <c r="F54" s="316"/>
      <c r="G54" s="92">
        <v>7350.1419469065795</v>
      </c>
      <c r="H54" s="316"/>
      <c r="I54" s="92">
        <v>6243.7244928897762</v>
      </c>
      <c r="J54" s="316"/>
      <c r="K54" s="92">
        <v>11692.020638096787</v>
      </c>
      <c r="L54" s="316"/>
      <c r="M54" s="92">
        <v>11692.020638096787</v>
      </c>
      <c r="N54" s="316"/>
      <c r="O54" s="289"/>
      <c r="P54" s="289"/>
      <c r="Q54" s="289"/>
      <c r="R54" s="289"/>
      <c r="S54" s="289"/>
      <c r="T54" s="289"/>
    </row>
    <row r="56" spans="1:20" x14ac:dyDescent="0.25">
      <c r="A56" s="289"/>
      <c r="B56" s="289"/>
      <c r="C56" s="289"/>
      <c r="D56" s="316"/>
      <c r="E56" s="316"/>
      <c r="F56" s="316"/>
      <c r="G56" s="316"/>
      <c r="H56" s="316"/>
      <c r="I56" s="316"/>
      <c r="J56" s="316"/>
      <c r="K56" s="316"/>
      <c r="L56" s="316"/>
      <c r="M56" s="235">
        <v>2635.0478891670464</v>
      </c>
      <c r="N56" s="316"/>
      <c r="O56" s="289"/>
      <c r="P56" s="289"/>
      <c r="Q56" s="289"/>
      <c r="R56" s="289"/>
      <c r="S56" s="289"/>
      <c r="T56" s="289"/>
    </row>
    <row r="58" spans="1:20" x14ac:dyDescent="0.25">
      <c r="A58" s="1"/>
      <c r="B58" s="289"/>
      <c r="C58" s="289"/>
      <c r="D58" s="316"/>
      <c r="E58" s="316"/>
      <c r="F58" s="316"/>
      <c r="G58" s="316"/>
      <c r="H58" s="316"/>
      <c r="I58" s="316"/>
      <c r="J58" s="316"/>
      <c r="K58" s="316"/>
      <c r="L58" s="316"/>
      <c r="M58" s="316"/>
      <c r="N58" s="316"/>
      <c r="O58" s="289"/>
      <c r="P58" s="289"/>
      <c r="Q58" s="289"/>
      <c r="R58" s="289"/>
      <c r="S58" s="289"/>
      <c r="T58" s="289"/>
    </row>
    <row r="59" spans="1:20" x14ac:dyDescent="0.25">
      <c r="A59" s="98"/>
      <c r="B59" s="289"/>
      <c r="C59" s="289"/>
      <c r="D59" s="316"/>
      <c r="E59" s="316"/>
      <c r="F59" s="316"/>
      <c r="G59" s="316"/>
      <c r="H59" s="316"/>
      <c r="I59" s="316"/>
      <c r="J59" s="316"/>
      <c r="K59" s="316"/>
      <c r="L59" s="316"/>
      <c r="M59" s="316"/>
      <c r="N59" s="316"/>
      <c r="O59" s="289"/>
      <c r="P59" s="289"/>
      <c r="Q59" s="289"/>
      <c r="R59" s="289"/>
      <c r="S59" s="289"/>
      <c r="T59" s="289"/>
    </row>
  </sheetData>
  <sheetProtection password="D462" sheet="1"/>
  <mergeCells count="1">
    <mergeCell ref="A52:D52"/>
  </mergeCells>
  <phoneticPr fontId="5" type="noConversion"/>
  <pageMargins left="0.74803149606299213" right="0.74803149606299213" top="0.98425196850393704" bottom="0.98425196850393704" header="0.51181102362204722" footer="0.51181102362204722"/>
  <pageSetup paperSize="9" scale="61"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tabColor rgb="FF00B0F0"/>
  </sheetPr>
  <dimension ref="A2:D30"/>
  <sheetViews>
    <sheetView workbookViewId="0">
      <selection activeCell="H46" sqref="H46"/>
    </sheetView>
  </sheetViews>
  <sheetFormatPr defaultRowHeight="12.5" x14ac:dyDescent="0.25"/>
  <cols>
    <col min="2" max="2" width="39.453125" bestFit="1" customWidth="1"/>
    <col min="3" max="3" width="23.1796875" bestFit="1" customWidth="1"/>
    <col min="4" max="4" width="14.7265625" customWidth="1"/>
  </cols>
  <sheetData>
    <row r="2" spans="1:4" ht="13" thickBot="1" x14ac:dyDescent="0.3"/>
    <row r="3" spans="1:4" ht="13" x14ac:dyDescent="0.25">
      <c r="A3" s="141" t="s">
        <v>540</v>
      </c>
      <c r="B3" s="142" t="s">
        <v>541</v>
      </c>
      <c r="C3" s="143" t="s">
        <v>542</v>
      </c>
      <c r="D3" s="143" t="s">
        <v>543</v>
      </c>
    </row>
    <row r="4" spans="1:4" x14ac:dyDescent="0.25">
      <c r="A4" s="156">
        <v>9257002</v>
      </c>
      <c r="B4" s="144" t="s">
        <v>544</v>
      </c>
      <c r="C4" s="145">
        <v>41</v>
      </c>
      <c r="D4" s="146">
        <f>($C$24*$C$25)*C4</f>
        <v>18306.5</v>
      </c>
    </row>
    <row r="5" spans="1:4" x14ac:dyDescent="0.25">
      <c r="A5" s="156">
        <v>9257005</v>
      </c>
      <c r="B5" s="144" t="s">
        <v>545</v>
      </c>
      <c r="C5" s="145">
        <v>24</v>
      </c>
      <c r="D5" s="146">
        <f t="shared" ref="D5:D21" si="0">($C$24*$C$25)*C5</f>
        <v>10716</v>
      </c>
    </row>
    <row r="6" spans="1:4" x14ac:dyDescent="0.25">
      <c r="A6" s="156">
        <v>9257008</v>
      </c>
      <c r="B6" s="144" t="s">
        <v>340</v>
      </c>
      <c r="C6" s="145">
        <v>40</v>
      </c>
      <c r="D6" s="146">
        <f t="shared" si="0"/>
        <v>17860</v>
      </c>
    </row>
    <row r="7" spans="1:4" x14ac:dyDescent="0.25">
      <c r="A7" s="156">
        <v>9257009</v>
      </c>
      <c r="B7" s="144" t="s">
        <v>546</v>
      </c>
      <c r="C7" s="145">
        <v>34</v>
      </c>
      <c r="D7" s="146">
        <f t="shared" si="0"/>
        <v>15181</v>
      </c>
    </row>
    <row r="8" spans="1:4" x14ac:dyDescent="0.25">
      <c r="A8" s="156">
        <v>9257010</v>
      </c>
      <c r="B8" s="144" t="s">
        <v>547</v>
      </c>
      <c r="C8" s="145">
        <v>8</v>
      </c>
      <c r="D8" s="146">
        <f t="shared" si="0"/>
        <v>3572</v>
      </c>
    </row>
    <row r="9" spans="1:4" x14ac:dyDescent="0.25">
      <c r="A9" s="156">
        <v>9257011</v>
      </c>
      <c r="B9" s="144" t="s">
        <v>548</v>
      </c>
      <c r="C9" s="145">
        <v>12</v>
      </c>
      <c r="D9" s="146">
        <f t="shared" si="0"/>
        <v>5358</v>
      </c>
    </row>
    <row r="10" spans="1:4" x14ac:dyDescent="0.25">
      <c r="A10" s="156">
        <v>9257015</v>
      </c>
      <c r="B10" s="144" t="s">
        <v>549</v>
      </c>
      <c r="C10" s="145">
        <v>116</v>
      </c>
      <c r="D10" s="146">
        <f t="shared" si="0"/>
        <v>51794</v>
      </c>
    </row>
    <row r="11" spans="1:4" x14ac:dyDescent="0.25">
      <c r="A11" s="156">
        <v>9257016</v>
      </c>
      <c r="B11" s="144" t="s">
        <v>550</v>
      </c>
      <c r="C11" s="145">
        <v>29</v>
      </c>
      <c r="D11" s="146">
        <f t="shared" si="0"/>
        <v>12948.5</v>
      </c>
    </row>
    <row r="12" spans="1:4" x14ac:dyDescent="0.25">
      <c r="A12" s="156">
        <v>9257021</v>
      </c>
      <c r="B12" s="144" t="s">
        <v>551</v>
      </c>
      <c r="C12" s="145">
        <v>58</v>
      </c>
      <c r="D12" s="146">
        <f t="shared" si="0"/>
        <v>25897</v>
      </c>
    </row>
    <row r="13" spans="1:4" x14ac:dyDescent="0.25">
      <c r="A13" s="156">
        <v>9257024</v>
      </c>
      <c r="B13" s="144" t="s">
        <v>552</v>
      </c>
      <c r="C13" s="145">
        <v>22</v>
      </c>
      <c r="D13" s="146">
        <f t="shared" si="0"/>
        <v>9823</v>
      </c>
    </row>
    <row r="14" spans="1:4" x14ac:dyDescent="0.25">
      <c r="A14" s="156">
        <v>9257025</v>
      </c>
      <c r="B14" s="144" t="s">
        <v>553</v>
      </c>
      <c r="C14" s="145">
        <v>17</v>
      </c>
      <c r="D14" s="146">
        <f t="shared" si="0"/>
        <v>7590.5</v>
      </c>
    </row>
    <row r="15" spans="1:4" x14ac:dyDescent="0.25">
      <c r="A15" s="156">
        <v>9257028</v>
      </c>
      <c r="B15" s="144" t="s">
        <v>554</v>
      </c>
      <c r="C15" s="145">
        <v>22</v>
      </c>
      <c r="D15" s="146">
        <f t="shared" si="0"/>
        <v>9823</v>
      </c>
    </row>
    <row r="16" spans="1:4" x14ac:dyDescent="0.25">
      <c r="A16" s="156">
        <v>9257029</v>
      </c>
      <c r="B16" s="144" t="s">
        <v>555</v>
      </c>
      <c r="C16" s="145">
        <v>16</v>
      </c>
      <c r="D16" s="146">
        <f t="shared" si="0"/>
        <v>7144</v>
      </c>
    </row>
    <row r="17" spans="1:4" x14ac:dyDescent="0.25">
      <c r="A17" s="156">
        <v>9257030</v>
      </c>
      <c r="B17" s="144" t="s">
        <v>556</v>
      </c>
      <c r="C17" s="145">
        <v>29</v>
      </c>
      <c r="D17" s="146">
        <f t="shared" si="0"/>
        <v>12948.5</v>
      </c>
    </row>
    <row r="18" spans="1:4" x14ac:dyDescent="0.25">
      <c r="A18" s="156">
        <v>9257031</v>
      </c>
      <c r="B18" s="144" t="s">
        <v>557</v>
      </c>
      <c r="C18" s="145">
        <v>27</v>
      </c>
      <c r="D18" s="146">
        <f t="shared" si="0"/>
        <v>12055.5</v>
      </c>
    </row>
    <row r="19" spans="1:4" x14ac:dyDescent="0.25">
      <c r="A19" s="156">
        <v>9257032</v>
      </c>
      <c r="B19" s="144" t="s">
        <v>558</v>
      </c>
      <c r="C19" s="145">
        <v>11</v>
      </c>
      <c r="D19" s="146">
        <f t="shared" si="0"/>
        <v>4911.5</v>
      </c>
    </row>
    <row r="20" spans="1:4" x14ac:dyDescent="0.25">
      <c r="A20" s="156">
        <v>9257033</v>
      </c>
      <c r="B20" s="144" t="s">
        <v>559</v>
      </c>
      <c r="C20" s="145">
        <v>26</v>
      </c>
      <c r="D20" s="146">
        <f t="shared" si="0"/>
        <v>11609</v>
      </c>
    </row>
    <row r="21" spans="1:4" ht="13" thickBot="1" x14ac:dyDescent="0.3">
      <c r="A21" s="157">
        <v>9257034</v>
      </c>
      <c r="B21" s="147" t="s">
        <v>560</v>
      </c>
      <c r="C21" s="148">
        <v>41</v>
      </c>
      <c r="D21" s="149">
        <f t="shared" si="0"/>
        <v>18306.5</v>
      </c>
    </row>
    <row r="22" spans="1:4" x14ac:dyDescent="0.25">
      <c r="A22" s="150"/>
      <c r="B22" s="151"/>
      <c r="C22" s="150"/>
      <c r="D22" s="152"/>
    </row>
    <row r="23" spans="1:4" ht="13" thickBot="1" x14ac:dyDescent="0.3">
      <c r="A23" s="150"/>
      <c r="B23" s="151"/>
      <c r="C23" s="150"/>
      <c r="D23" s="155">
        <f>SUM(D4:D21)</f>
        <v>255844.5</v>
      </c>
    </row>
    <row r="24" spans="1:4" x14ac:dyDescent="0.25">
      <c r="A24" s="150"/>
      <c r="B24" s="153" t="s">
        <v>561</v>
      </c>
      <c r="C24" s="154">
        <v>2.35</v>
      </c>
      <c r="D24" s="151"/>
    </row>
    <row r="25" spans="1:4" x14ac:dyDescent="0.25">
      <c r="A25" s="150"/>
      <c r="B25" s="153" t="s">
        <v>562</v>
      </c>
      <c r="C25" s="150">
        <v>190</v>
      </c>
      <c r="D25" s="151"/>
    </row>
    <row r="26" spans="1:4" x14ac:dyDescent="0.25">
      <c r="A26" s="150"/>
      <c r="B26" s="151"/>
      <c r="C26" s="150"/>
      <c r="D26" s="151"/>
    </row>
    <row r="28" spans="1:4" x14ac:dyDescent="0.25">
      <c r="C28" s="289" t="s">
        <v>563</v>
      </c>
      <c r="D28" s="16">
        <f>'2014-15 Funding Detail'!I25</f>
        <v>215664.5</v>
      </c>
    </row>
    <row r="29" spans="1:4" x14ac:dyDescent="0.25">
      <c r="D29" s="16"/>
    </row>
    <row r="30" spans="1:4" x14ac:dyDescent="0.25">
      <c r="C30" s="289" t="s">
        <v>564</v>
      </c>
      <c r="D30" s="16">
        <f>D23-D28</f>
        <v>40180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tabColor rgb="FF00B050"/>
  </sheetPr>
  <dimension ref="A1:C28"/>
  <sheetViews>
    <sheetView topLeftCell="A13" zoomScale="85" zoomScaleNormal="85" workbookViewId="0">
      <selection activeCell="C28" sqref="C28"/>
    </sheetView>
  </sheetViews>
  <sheetFormatPr defaultColWidth="9.1796875" defaultRowHeight="12.5" x14ac:dyDescent="0.25"/>
  <cols>
    <col min="1" max="1" width="14.54296875" style="101" customWidth="1"/>
    <col min="2" max="2" width="27.453125" style="101" bestFit="1" customWidth="1"/>
    <col min="3" max="3" width="11" style="101" bestFit="1" customWidth="1"/>
    <col min="4" max="16384" width="9.1796875" style="101"/>
  </cols>
  <sheetData>
    <row r="1" spans="1:3" ht="13" x14ac:dyDescent="0.3">
      <c r="A1" s="100" t="s">
        <v>565</v>
      </c>
    </row>
    <row r="3" spans="1:3" x14ac:dyDescent="0.25">
      <c r="A3" s="101" t="s">
        <v>566</v>
      </c>
      <c r="C3" s="102">
        <v>0.12565902694384193</v>
      </c>
    </row>
    <row r="4" spans="1:3" x14ac:dyDescent="0.25">
      <c r="C4" s="102"/>
    </row>
    <row r="5" spans="1:3" x14ac:dyDescent="0.25">
      <c r="C5" s="103" t="s">
        <v>567</v>
      </c>
    </row>
    <row r="6" spans="1:3" x14ac:dyDescent="0.25">
      <c r="A6" s="104"/>
      <c r="B6" s="104"/>
      <c r="C6" s="105" t="s">
        <v>568</v>
      </c>
    </row>
    <row r="7" spans="1:3" x14ac:dyDescent="0.25">
      <c r="A7" s="106"/>
      <c r="B7" s="106"/>
      <c r="C7" s="107" t="s">
        <v>569</v>
      </c>
    </row>
    <row r="8" spans="1:3" x14ac:dyDescent="0.25">
      <c r="A8" s="108"/>
      <c r="B8" s="108" t="s">
        <v>570</v>
      </c>
      <c r="C8" s="109" t="s">
        <v>571</v>
      </c>
    </row>
    <row r="9" spans="1:3" x14ac:dyDescent="0.25">
      <c r="A9" s="111">
        <v>9257010</v>
      </c>
      <c r="B9" s="110" t="s">
        <v>205</v>
      </c>
      <c r="C9" s="120">
        <v>8695.8559825677494</v>
      </c>
    </row>
    <row r="10" spans="1:3" x14ac:dyDescent="0.25">
      <c r="A10" s="111">
        <v>9257029</v>
      </c>
      <c r="B10" s="110" t="s">
        <v>572</v>
      </c>
      <c r="C10" s="120">
        <v>7293.7525599283608</v>
      </c>
    </row>
    <row r="11" spans="1:3" x14ac:dyDescent="0.25">
      <c r="A11" s="111">
        <v>9257030</v>
      </c>
      <c r="B11" s="110" t="s">
        <v>262</v>
      </c>
      <c r="C11" s="120">
        <v>7293.7525599283608</v>
      </c>
    </row>
    <row r="12" spans="1:3" x14ac:dyDescent="0.25">
      <c r="A12" s="111">
        <v>9257031</v>
      </c>
      <c r="B12" s="110" t="s">
        <v>573</v>
      </c>
      <c r="C12" s="120">
        <v>6994.5584167750731</v>
      </c>
    </row>
    <row r="13" spans="1:3" x14ac:dyDescent="0.25">
      <c r="A13" s="111">
        <v>9257008</v>
      </c>
      <c r="B13" s="110" t="s">
        <v>212</v>
      </c>
      <c r="C13" s="120">
        <v>8695.8559825677494</v>
      </c>
    </row>
    <row r="14" spans="1:3" x14ac:dyDescent="0.25">
      <c r="A14" s="111">
        <v>9257002</v>
      </c>
      <c r="B14" s="110" t="s">
        <v>213</v>
      </c>
      <c r="C14" s="120">
        <v>11157.390661370669</v>
      </c>
    </row>
    <row r="15" spans="1:3" x14ac:dyDescent="0.25">
      <c r="A15" s="111">
        <v>9257005</v>
      </c>
      <c r="B15" s="110" t="s">
        <v>208</v>
      </c>
      <c r="C15" s="120">
        <v>8695.8559825677494</v>
      </c>
    </row>
    <row r="16" spans="1:3" x14ac:dyDescent="0.25">
      <c r="A16" s="111">
        <v>9257034</v>
      </c>
      <c r="B16" s="110" t="s">
        <v>221</v>
      </c>
      <c r="C16" s="120">
        <v>11157.390661370669</v>
      </c>
    </row>
    <row r="17" spans="1:3" x14ac:dyDescent="0.25">
      <c r="A17" s="111">
        <v>9257021</v>
      </c>
      <c r="B17" s="110" t="s">
        <v>216</v>
      </c>
      <c r="C17" s="120">
        <v>14705.498946156989</v>
      </c>
    </row>
    <row r="18" spans="1:3" x14ac:dyDescent="0.25">
      <c r="A18" s="111">
        <v>9257033</v>
      </c>
      <c r="B18" s="110" t="s">
        <v>574</v>
      </c>
      <c r="C18" s="120">
        <v>8695.8559825677494</v>
      </c>
    </row>
    <row r="19" spans="1:3" x14ac:dyDescent="0.25">
      <c r="A19" s="111">
        <v>9257015</v>
      </c>
      <c r="B19" s="110" t="s">
        <v>217</v>
      </c>
      <c r="C19" s="120">
        <v>14705.498946156989</v>
      </c>
    </row>
    <row r="20" spans="1:3" x14ac:dyDescent="0.25">
      <c r="A20" s="111">
        <v>9257016</v>
      </c>
      <c r="B20" s="110" t="s">
        <v>575</v>
      </c>
      <c r="C20" s="120">
        <v>16551.807029042859</v>
      </c>
    </row>
    <row r="21" spans="1:3" x14ac:dyDescent="0.25">
      <c r="A21" s="111">
        <v>9257032</v>
      </c>
      <c r="B21" s="110" t="s">
        <v>576</v>
      </c>
      <c r="C21" s="120">
        <v>7293.7525599283608</v>
      </c>
    </row>
    <row r="22" spans="1:3" x14ac:dyDescent="0.25">
      <c r="A22" s="111">
        <v>9257025</v>
      </c>
      <c r="B22" s="110" t="s">
        <v>209</v>
      </c>
      <c r="C22" s="120">
        <v>8695.8559825677494</v>
      </c>
    </row>
    <row r="23" spans="1:3" x14ac:dyDescent="0.25">
      <c r="A23" s="111">
        <v>9257011</v>
      </c>
      <c r="B23" s="110" t="s">
        <v>210</v>
      </c>
      <c r="C23" s="120">
        <v>8695.8559825677494</v>
      </c>
    </row>
    <row r="24" spans="1:3" x14ac:dyDescent="0.25">
      <c r="A24" s="111">
        <v>9257009</v>
      </c>
      <c r="B24" s="110" t="s">
        <v>214</v>
      </c>
      <c r="C24" s="120">
        <v>11157.390661370669</v>
      </c>
    </row>
    <row r="25" spans="1:3" x14ac:dyDescent="0.25">
      <c r="A25" s="111">
        <v>9257024</v>
      </c>
      <c r="B25" s="110" t="s">
        <v>211</v>
      </c>
      <c r="C25" s="120">
        <v>8695.8559825677494</v>
      </c>
    </row>
    <row r="26" spans="1:3" x14ac:dyDescent="0.25">
      <c r="A26" s="111">
        <v>9257028</v>
      </c>
      <c r="B26" s="110" t="s">
        <v>577</v>
      </c>
      <c r="C26" s="120">
        <v>11157.390661370669</v>
      </c>
    </row>
    <row r="28" spans="1:3" x14ac:dyDescent="0.25">
      <c r="A28" s="101" t="s">
        <v>578</v>
      </c>
    </row>
  </sheetData>
  <sheetProtection password="C462" sheet="1" objects="1" scenarios="1"/>
  <phoneticPr fontId="60"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2:I30"/>
  <sheetViews>
    <sheetView workbookViewId="0">
      <selection sqref="A1:XFD1048576"/>
    </sheetView>
  </sheetViews>
  <sheetFormatPr defaultRowHeight="12.5" x14ac:dyDescent="0.25"/>
  <cols>
    <col min="1" max="1" width="51.453125" customWidth="1"/>
    <col min="2" max="2" width="15.7265625" style="16" customWidth="1"/>
    <col min="3" max="3" width="57.54296875" style="2" customWidth="1"/>
    <col min="4" max="4" width="15.7265625" style="2" customWidth="1"/>
    <col min="5" max="5" width="1" customWidth="1"/>
    <col min="6" max="6" width="15.7265625" style="2" customWidth="1"/>
    <col min="7" max="7" width="0.81640625" customWidth="1"/>
    <col min="8" max="8" width="42" customWidth="1"/>
    <col min="9" max="9" width="15.7265625" customWidth="1"/>
  </cols>
  <sheetData>
    <row r="2" spans="1:9" ht="13" x14ac:dyDescent="0.3">
      <c r="A2" s="1" t="s">
        <v>0</v>
      </c>
      <c r="B2" s="231" t="s">
        <v>28</v>
      </c>
      <c r="C2" s="231"/>
      <c r="D2" s="231" t="s">
        <v>1</v>
      </c>
      <c r="E2" s="232"/>
      <c r="F2" s="231" t="s">
        <v>3</v>
      </c>
    </row>
    <row r="4" spans="1:9" x14ac:dyDescent="0.25">
      <c r="A4" s="289" t="s">
        <v>4</v>
      </c>
      <c r="B4" s="16">
        <f>'2016-17 Funding Detail'!X25</f>
        <v>25193996.504152969</v>
      </c>
      <c r="D4" s="16">
        <v>24748323.951198339</v>
      </c>
      <c r="E4" s="230"/>
      <c r="F4" s="16">
        <f>B4-D4</f>
        <v>445672.55295462906</v>
      </c>
      <c r="H4" s="289" t="s">
        <v>5</v>
      </c>
    </row>
    <row r="5" spans="1:9" x14ac:dyDescent="0.25">
      <c r="A5" s="289" t="s">
        <v>6</v>
      </c>
      <c r="B5" s="16">
        <f>'2016-17 Funding Detail'!F25</f>
        <v>859007</v>
      </c>
      <c r="D5" s="16">
        <v>850820</v>
      </c>
      <c r="E5" s="230"/>
      <c r="F5" s="16">
        <f t="shared" ref="F5:F10" si="0">B5-D5</f>
        <v>8187</v>
      </c>
      <c r="H5" s="289" t="s">
        <v>7</v>
      </c>
    </row>
    <row r="6" spans="1:9" x14ac:dyDescent="0.25">
      <c r="A6" s="289" t="s">
        <v>8</v>
      </c>
      <c r="B6" s="16">
        <f>'2016-17 Other Funding'!AA64+'2015-16 Other Funding'!AB64+'2016-17 Other Funding'!AC64</f>
        <v>757936</v>
      </c>
      <c r="D6" s="16">
        <v>757936</v>
      </c>
      <c r="E6" s="230"/>
      <c r="F6" s="16">
        <f t="shared" si="0"/>
        <v>0</v>
      </c>
      <c r="H6" s="289" t="s">
        <v>9</v>
      </c>
      <c r="I6" s="16"/>
    </row>
    <row r="7" spans="1:9" ht="13" x14ac:dyDescent="0.3">
      <c r="A7" s="289" t="s">
        <v>10</v>
      </c>
      <c r="B7" s="16">
        <v>317322</v>
      </c>
      <c r="D7" s="16">
        <v>317322</v>
      </c>
      <c r="E7" s="230"/>
      <c r="F7" s="16">
        <f t="shared" si="0"/>
        <v>0</v>
      </c>
      <c r="H7" s="184"/>
      <c r="I7" s="72"/>
    </row>
    <row r="8" spans="1:9" x14ac:dyDescent="0.25">
      <c r="A8" s="289" t="s">
        <v>11</v>
      </c>
      <c r="B8" s="16">
        <f>'2016-17 Other Funding'!AD26</f>
        <v>910212</v>
      </c>
      <c r="D8" s="16">
        <v>910212</v>
      </c>
      <c r="E8" s="230"/>
      <c r="F8" s="16">
        <f t="shared" si="0"/>
        <v>0</v>
      </c>
    </row>
    <row r="9" spans="1:9" x14ac:dyDescent="0.25">
      <c r="A9" s="289" t="s">
        <v>12</v>
      </c>
      <c r="B9" s="16">
        <v>1235496</v>
      </c>
      <c r="D9" s="16">
        <v>1235496</v>
      </c>
      <c r="E9" s="230"/>
      <c r="F9" s="16">
        <f t="shared" si="0"/>
        <v>0</v>
      </c>
      <c r="H9" s="289"/>
    </row>
    <row r="10" spans="1:9" x14ac:dyDescent="0.25">
      <c r="A10" s="289" t="s">
        <v>14</v>
      </c>
      <c r="B10" s="16">
        <v>291991</v>
      </c>
      <c r="D10" s="16">
        <v>294788</v>
      </c>
      <c r="E10" s="230"/>
      <c r="F10" s="16">
        <f t="shared" si="0"/>
        <v>-2797</v>
      </c>
      <c r="H10" s="289" t="s">
        <v>29</v>
      </c>
    </row>
    <row r="11" spans="1:9" ht="13" x14ac:dyDescent="0.3">
      <c r="A11" s="289"/>
      <c r="D11" s="16"/>
      <c r="E11" s="230"/>
      <c r="F11" s="72"/>
    </row>
    <row r="12" spans="1:9" ht="13" x14ac:dyDescent="0.3">
      <c r="A12" s="186" t="s">
        <v>30</v>
      </c>
      <c r="B12" s="72">
        <f>SUM(B4:B10)</f>
        <v>29565960.504152969</v>
      </c>
      <c r="D12" s="72">
        <f>SUM(D4:D11)</f>
        <v>29114897.951198339</v>
      </c>
      <c r="E12" s="72"/>
      <c r="F12" s="72">
        <f>SUM(F4:F11)</f>
        <v>451062.55295462906</v>
      </c>
      <c r="H12" s="184"/>
    </row>
    <row r="13" spans="1:9" ht="13" x14ac:dyDescent="0.3">
      <c r="A13" s="289"/>
      <c r="B13" s="72"/>
      <c r="F13" s="72"/>
      <c r="H13" s="184"/>
    </row>
    <row r="14" spans="1:9" ht="13" x14ac:dyDescent="0.3">
      <c r="A14" s="289" t="s">
        <v>31</v>
      </c>
      <c r="B14" s="290">
        <v>28682997</v>
      </c>
      <c r="D14" s="16">
        <f>B14-D12</f>
        <v>-431900.95119833946</v>
      </c>
      <c r="F14" s="72"/>
      <c r="H14" s="184"/>
    </row>
    <row r="15" spans="1:9" ht="13" x14ac:dyDescent="0.3">
      <c r="A15" s="289" t="s">
        <v>32</v>
      </c>
      <c r="B15" s="290">
        <v>206000</v>
      </c>
      <c r="C15" s="538" t="s">
        <v>9</v>
      </c>
      <c r="F15" s="72"/>
      <c r="H15" s="184"/>
    </row>
    <row r="16" spans="1:9" ht="13" x14ac:dyDescent="0.3">
      <c r="A16" s="289"/>
      <c r="B16" s="72"/>
      <c r="F16" s="72"/>
      <c r="H16" s="184"/>
    </row>
    <row r="17" spans="1:8" ht="13" x14ac:dyDescent="0.3">
      <c r="A17" s="184" t="s">
        <v>19</v>
      </c>
      <c r="B17" s="72">
        <f>B12-B14-B15</f>
        <v>676963.50415296853</v>
      </c>
      <c r="F17" s="72"/>
      <c r="H17" s="184"/>
    </row>
    <row r="18" spans="1:8" ht="13" x14ac:dyDescent="0.3">
      <c r="A18" s="289"/>
      <c r="B18" s="72"/>
      <c r="F18" s="72"/>
      <c r="H18" s="184"/>
    </row>
    <row r="19" spans="1:8" ht="13" x14ac:dyDescent="0.3">
      <c r="A19" s="1408" t="s">
        <v>20</v>
      </c>
      <c r="B19" s="290">
        <v>0</v>
      </c>
      <c r="C19" s="538" t="s">
        <v>21</v>
      </c>
      <c r="F19" s="72"/>
      <c r="H19" s="184"/>
    </row>
    <row r="20" spans="1:8" ht="13" x14ac:dyDescent="0.3">
      <c r="A20" s="1408"/>
      <c r="B20" s="315"/>
      <c r="F20" s="72"/>
      <c r="H20" s="184"/>
    </row>
    <row r="21" spans="1:8" ht="13" x14ac:dyDescent="0.3">
      <c r="A21" s="1133"/>
      <c r="B21" s="315"/>
      <c r="F21" s="72"/>
      <c r="H21" s="184"/>
    </row>
    <row r="22" spans="1:8" ht="13" x14ac:dyDescent="0.3">
      <c r="A22" s="1133"/>
      <c r="B22" s="315">
        <f>B17-B19</f>
        <v>676963.50415296853</v>
      </c>
      <c r="C22" s="538" t="s">
        <v>22</v>
      </c>
      <c r="F22" s="72"/>
      <c r="H22" s="184"/>
    </row>
    <row r="23" spans="1:8" ht="13" x14ac:dyDescent="0.3">
      <c r="A23" s="1133"/>
      <c r="B23" s="315"/>
      <c r="F23" s="72"/>
      <c r="H23" s="184"/>
    </row>
    <row r="24" spans="1:8" ht="13" x14ac:dyDescent="0.3">
      <c r="A24" s="1133" t="s">
        <v>23</v>
      </c>
      <c r="B24" s="290">
        <v>0</v>
      </c>
      <c r="C24" s="538" t="s">
        <v>24</v>
      </c>
      <c r="F24" s="72"/>
      <c r="H24" s="184"/>
    </row>
    <row r="25" spans="1:8" ht="13" x14ac:dyDescent="0.3">
      <c r="A25" s="1133"/>
      <c r="B25" s="315"/>
      <c r="F25" s="72"/>
      <c r="H25" s="184"/>
    </row>
    <row r="26" spans="1:8" ht="13" x14ac:dyDescent="0.3">
      <c r="A26" s="1133" t="s">
        <v>25</v>
      </c>
      <c r="B26" s="315">
        <f>B24-B22</f>
        <v>-676963.50415296853</v>
      </c>
      <c r="F26" s="72"/>
      <c r="H26" s="184"/>
    </row>
    <row r="27" spans="1:8" ht="13" x14ac:dyDescent="0.3">
      <c r="A27" s="1133"/>
      <c r="B27" s="315"/>
      <c r="F27" s="72"/>
      <c r="H27" s="184"/>
    </row>
    <row r="28" spans="1:8" ht="13" x14ac:dyDescent="0.3">
      <c r="A28" s="1133"/>
      <c r="B28" s="315"/>
      <c r="F28" s="72"/>
      <c r="H28" s="184"/>
    </row>
    <row r="29" spans="1:8" ht="13" x14ac:dyDescent="0.3">
      <c r="A29" s="1133"/>
      <c r="B29" s="315"/>
      <c r="F29" s="72"/>
      <c r="H29" s="184"/>
    </row>
    <row r="30" spans="1:8" ht="13" x14ac:dyDescent="0.3">
      <c r="A30" s="289" t="s">
        <v>26</v>
      </c>
      <c r="B30" s="290">
        <v>0</v>
      </c>
      <c r="C30" s="185" t="s">
        <v>27</v>
      </c>
    </row>
  </sheetData>
  <mergeCells count="1">
    <mergeCell ref="A19:A2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tabColor rgb="FF00B0F0"/>
  </sheetPr>
  <dimension ref="A1:H29"/>
  <sheetViews>
    <sheetView topLeftCell="A16" zoomScale="85" zoomScaleNormal="85" workbookViewId="0">
      <selection activeCell="C29" sqref="C29"/>
    </sheetView>
  </sheetViews>
  <sheetFormatPr defaultColWidth="9.1796875" defaultRowHeight="12.5" x14ac:dyDescent="0.25"/>
  <cols>
    <col min="1" max="1" width="14.54296875" style="101" customWidth="1"/>
    <col min="2" max="2" width="27.453125" style="101" bestFit="1" customWidth="1"/>
    <col min="3" max="7" width="20.7265625" style="101" customWidth="1"/>
    <col min="8" max="16384" width="9.1796875" style="101"/>
  </cols>
  <sheetData>
    <row r="1" spans="1:8" ht="13" x14ac:dyDescent="0.3">
      <c r="A1" s="100" t="s">
        <v>579</v>
      </c>
    </row>
    <row r="2" spans="1:8" x14ac:dyDescent="0.25">
      <c r="C2" s="103"/>
    </row>
    <row r="3" spans="1:8" x14ac:dyDescent="0.25">
      <c r="A3" s="165"/>
      <c r="B3" s="165" t="s">
        <v>580</v>
      </c>
      <c r="C3" s="164" t="s">
        <v>59</v>
      </c>
      <c r="D3" s="164" t="s">
        <v>581</v>
      </c>
      <c r="E3" s="103"/>
      <c r="F3" s="103"/>
      <c r="G3" s="103"/>
      <c r="H3" s="103"/>
    </row>
    <row r="4" spans="1:8" x14ac:dyDescent="0.25">
      <c r="A4" s="111">
        <v>9257010</v>
      </c>
      <c r="B4" s="110" t="s">
        <v>205</v>
      </c>
      <c r="C4" s="120">
        <f>VLOOKUP(A4,'2016-17 Funding Detail'!$A$4:$M$23,5,FALSE)</f>
        <v>69201.680689977453</v>
      </c>
      <c r="D4" s="120">
        <f>C4*$C$29</f>
        <v>9717.978735709783</v>
      </c>
    </row>
    <row r="5" spans="1:8" x14ac:dyDescent="0.25">
      <c r="A5" s="111">
        <v>9257029</v>
      </c>
      <c r="B5" s="110" t="s">
        <v>572</v>
      </c>
      <c r="C5" s="120">
        <f>VLOOKUP(A5,'2016-17 Funding Detail'!$A$4:$M$23,5,FALSE)</f>
        <v>55663.058379368813</v>
      </c>
      <c r="D5" s="120">
        <f t="shared" ref="D5:D23" si="0">C5*$C$29</f>
        <v>7816.7526034323919</v>
      </c>
    </row>
    <row r="6" spans="1:8" x14ac:dyDescent="0.25">
      <c r="A6" s="111">
        <v>9257030</v>
      </c>
      <c r="B6" s="110" t="s">
        <v>262</v>
      </c>
      <c r="C6" s="120">
        <f>VLOOKUP(A6,'2016-17 Funding Detail'!$A$4:$M$23,5,FALSE)</f>
        <v>58044.118057617408</v>
      </c>
      <c r="D6" s="120">
        <f t="shared" si="0"/>
        <v>8151.1243569933868</v>
      </c>
    </row>
    <row r="7" spans="1:8" x14ac:dyDescent="0.25">
      <c r="A7" s="111">
        <v>9257031</v>
      </c>
      <c r="B7" s="110" t="s">
        <v>573</v>
      </c>
      <c r="C7" s="120">
        <f>VLOOKUP(A7,'2016-17 Funding Detail'!$A$4:$M$23,5,FALSE)</f>
        <v>58044.118057617408</v>
      </c>
      <c r="D7" s="120">
        <f t="shared" si="0"/>
        <v>8151.1243569933868</v>
      </c>
    </row>
    <row r="8" spans="1:8" x14ac:dyDescent="0.25">
      <c r="A8" s="111">
        <v>9257008</v>
      </c>
      <c r="B8" s="110" t="s">
        <v>212</v>
      </c>
      <c r="C8" s="120">
        <f>VLOOKUP(A8,'2016-17 Funding Detail'!$A$4:$M$23,5,FALSE)</f>
        <v>88790.687513148558</v>
      </c>
      <c r="D8" s="120">
        <f t="shared" si="0"/>
        <v>12468.859203686934</v>
      </c>
    </row>
    <row r="9" spans="1:8" x14ac:dyDescent="0.25">
      <c r="A9" s="111">
        <v>9257002</v>
      </c>
      <c r="B9" s="110" t="s">
        <v>213</v>
      </c>
      <c r="C9" s="120">
        <f>VLOOKUP(A9,'2016-17 Funding Detail'!$A$4:$M$23,5,FALSE)</f>
        <v>117027.3922528728</v>
      </c>
      <c r="D9" s="120">
        <f t="shared" si="0"/>
        <v>16434.134230119897</v>
      </c>
    </row>
    <row r="10" spans="1:8" x14ac:dyDescent="0.25">
      <c r="A10" s="111">
        <v>9257005</v>
      </c>
      <c r="B10" s="110" t="s">
        <v>208</v>
      </c>
      <c r="C10" s="120">
        <f>VLOOKUP(A10,'2016-17 Funding Detail'!$A$4:$M$23,5,FALSE)</f>
        <v>88790.687513148558</v>
      </c>
      <c r="D10" s="120">
        <f t="shared" si="0"/>
        <v>12468.859203686934</v>
      </c>
    </row>
    <row r="11" spans="1:8" x14ac:dyDescent="0.25">
      <c r="A11" s="111">
        <v>9257034</v>
      </c>
      <c r="B11" s="110" t="s">
        <v>221</v>
      </c>
      <c r="C11" s="120">
        <f>VLOOKUP(A11,'2016-17 Funding Detail'!$A$4:$M$23,5,FALSE)</f>
        <v>117027.3922528728</v>
      </c>
      <c r="D11" s="120">
        <f t="shared" si="0"/>
        <v>16434.134230119897</v>
      </c>
    </row>
    <row r="12" spans="1:8" x14ac:dyDescent="0.25">
      <c r="A12" s="111">
        <v>9257021</v>
      </c>
      <c r="B12" s="110" t="s">
        <v>216</v>
      </c>
      <c r="C12" s="120">
        <f>VLOOKUP(A12,'2016-17 Funding Detail'!$A$4:$M$23,5,FALSE)</f>
        <v>117027.3922528728</v>
      </c>
      <c r="D12" s="120">
        <f t="shared" si="0"/>
        <v>16434.134230119897</v>
      </c>
    </row>
    <row r="13" spans="1:8" x14ac:dyDescent="0.25">
      <c r="A13" s="111">
        <v>9257033</v>
      </c>
      <c r="B13" s="110" t="s">
        <v>574</v>
      </c>
      <c r="C13" s="120">
        <f>VLOOKUP(A13,'2016-17 Funding Detail'!$A$4:$M$23,5,FALSE)</f>
        <v>69201.680689977453</v>
      </c>
      <c r="D13" s="120">
        <f t="shared" si="0"/>
        <v>9717.978735709783</v>
      </c>
    </row>
    <row r="14" spans="1:8" x14ac:dyDescent="0.25">
      <c r="A14" s="111">
        <v>9257015</v>
      </c>
      <c r="B14" s="110" t="s">
        <v>217</v>
      </c>
      <c r="C14" s="120">
        <f>VLOOKUP(A14,'2016-17 Funding Detail'!$A$4:$M$23,5,FALSE)</f>
        <v>131719.7894229154</v>
      </c>
      <c r="D14" s="120">
        <f t="shared" si="0"/>
        <v>18497.38474443516</v>
      </c>
    </row>
    <row r="15" spans="1:8" x14ac:dyDescent="0.25">
      <c r="A15" s="111">
        <v>9257016</v>
      </c>
      <c r="B15" s="110" t="s">
        <v>575</v>
      </c>
      <c r="C15" s="120">
        <f>VLOOKUP(A15,'2016-17 Funding Detail'!$A$4:$M$23,5,FALSE)</f>
        <v>131719.7894229154</v>
      </c>
      <c r="D15" s="120">
        <f t="shared" si="0"/>
        <v>18497.38474443516</v>
      </c>
    </row>
    <row r="16" spans="1:8" x14ac:dyDescent="0.25">
      <c r="A16" s="111">
        <v>9257032</v>
      </c>
      <c r="B16" s="110" t="s">
        <v>576</v>
      </c>
      <c r="C16" s="120">
        <f>VLOOKUP(A16,'2016-17 Funding Detail'!$A$4:$M$23,5,FALSE)</f>
        <v>58044.118057617408</v>
      </c>
      <c r="D16" s="120">
        <f t="shared" si="0"/>
        <v>8151.1243569933868</v>
      </c>
    </row>
    <row r="17" spans="1:5" x14ac:dyDescent="0.25">
      <c r="A17" s="111">
        <v>9257025</v>
      </c>
      <c r="B17" s="110" t="s">
        <v>209</v>
      </c>
      <c r="C17" s="120">
        <f>VLOOKUP(A17,'2016-17 Funding Detail'!$A$4:$M$23,5,FALSE)</f>
        <v>88790.687513148558</v>
      </c>
      <c r="D17" s="120">
        <f t="shared" si="0"/>
        <v>12468.859203686934</v>
      </c>
    </row>
    <row r="18" spans="1:5" x14ac:dyDescent="0.25">
      <c r="A18" s="111">
        <v>9257011</v>
      </c>
      <c r="B18" s="110" t="s">
        <v>210</v>
      </c>
      <c r="C18" s="120">
        <f>VLOOKUP(A18,'2016-17 Funding Detail'!$A$4:$M$23,5,FALSE)</f>
        <v>88790.687513148558</v>
      </c>
      <c r="D18" s="120">
        <f t="shared" si="0"/>
        <v>12468.859203686934</v>
      </c>
    </row>
    <row r="19" spans="1:5" x14ac:dyDescent="0.25">
      <c r="A19" s="111">
        <v>9257009</v>
      </c>
      <c r="B19" s="110" t="s">
        <v>214</v>
      </c>
      <c r="C19" s="120">
        <f>VLOOKUP(A19,'2016-17 Funding Detail'!$A$4:$M$23,5,FALSE)</f>
        <v>88790.687513148558</v>
      </c>
      <c r="D19" s="120">
        <f t="shared" si="0"/>
        <v>12468.859203686934</v>
      </c>
    </row>
    <row r="20" spans="1:5" x14ac:dyDescent="0.25">
      <c r="A20" s="111">
        <v>9257024</v>
      </c>
      <c r="B20" s="110" t="s">
        <v>211</v>
      </c>
      <c r="C20" s="120">
        <f>VLOOKUP(A20,'2016-17 Funding Detail'!$A$4:$M$23,5,FALSE)</f>
        <v>69201.680689977453</v>
      </c>
      <c r="D20" s="120">
        <f t="shared" si="0"/>
        <v>9717.978735709783</v>
      </c>
    </row>
    <row r="21" spans="1:5" x14ac:dyDescent="0.25">
      <c r="A21" s="111">
        <v>9257028</v>
      </c>
      <c r="B21" s="110" t="s">
        <v>577</v>
      </c>
      <c r="C21" s="120">
        <f>VLOOKUP(A21,'2016-17 Funding Detail'!$A$4:$M$23,5,FALSE)</f>
        <v>117027.3922528728</v>
      </c>
      <c r="D21" s="120">
        <f t="shared" si="0"/>
        <v>16434.134230119897</v>
      </c>
    </row>
    <row r="22" spans="1:5" x14ac:dyDescent="0.25">
      <c r="A22" s="111">
        <v>771800</v>
      </c>
      <c r="B22" s="166" t="s">
        <v>470</v>
      </c>
      <c r="C22" s="167">
        <v>45920</v>
      </c>
      <c r="D22" s="120">
        <f t="shared" si="0"/>
        <v>6448.5367854428996</v>
      </c>
    </row>
    <row r="23" spans="1:5" x14ac:dyDescent="0.25">
      <c r="A23" s="111">
        <v>771900</v>
      </c>
      <c r="B23" s="166" t="s">
        <v>582</v>
      </c>
      <c r="C23" s="167">
        <v>18682</v>
      </c>
      <c r="D23" s="120">
        <f t="shared" si="0"/>
        <v>2623.5096739034029</v>
      </c>
    </row>
    <row r="24" spans="1:5" x14ac:dyDescent="0.25">
      <c r="A24" s="160"/>
      <c r="B24" s="161"/>
      <c r="C24" s="162"/>
      <c r="D24" s="162"/>
    </row>
    <row r="25" spans="1:5" ht="13" thickBot="1" x14ac:dyDescent="0.3">
      <c r="A25" s="160"/>
      <c r="B25" s="161"/>
      <c r="C25" s="169">
        <f>SUM(C4:C23)</f>
        <v>1677505.0400452185</v>
      </c>
      <c r="D25" s="169">
        <f>SUM(D4:D23)</f>
        <v>235571.71076867284</v>
      </c>
      <c r="E25" s="101" t="s">
        <v>207</v>
      </c>
    </row>
    <row r="27" spans="1:5" x14ac:dyDescent="0.25">
      <c r="B27" s="163" t="s">
        <v>583</v>
      </c>
      <c r="C27" s="162">
        <v>235571.71076867284</v>
      </c>
      <c r="D27" s="101" t="s">
        <v>584</v>
      </c>
    </row>
    <row r="29" spans="1:5" x14ac:dyDescent="0.25">
      <c r="B29" s="163" t="s">
        <v>585</v>
      </c>
      <c r="C29" s="168">
        <f>C27/C25</f>
        <v>0.14042980804535932</v>
      </c>
    </row>
  </sheetData>
  <sheetProtection password="DC62" sheet="1"/>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
    <tabColor rgb="FFFF0000"/>
    <pageSetUpPr fitToPage="1"/>
  </sheetPr>
  <dimension ref="A1:C39"/>
  <sheetViews>
    <sheetView tabSelected="1" zoomScale="85" zoomScaleNormal="85" zoomScalePageLayoutView="85" workbookViewId="0">
      <selection activeCell="A2" sqref="A2"/>
    </sheetView>
  </sheetViews>
  <sheetFormatPr defaultColWidth="8.7265625" defaultRowHeight="15.5" x14ac:dyDescent="0.35"/>
  <cols>
    <col min="1" max="1" width="138.1796875" style="895" customWidth="1"/>
    <col min="2" max="16384" width="8.7265625" style="895"/>
  </cols>
  <sheetData>
    <row r="1" spans="1:3" x14ac:dyDescent="0.35">
      <c r="A1" s="893"/>
      <c r="B1" s="894"/>
    </row>
    <row r="2" spans="1:3" x14ac:dyDescent="0.35">
      <c r="A2" s="896" t="s">
        <v>586</v>
      </c>
      <c r="B2" s="897"/>
    </row>
    <row r="3" spans="1:3" x14ac:dyDescent="0.35">
      <c r="A3" s="898"/>
      <c r="B3" s="897"/>
    </row>
    <row r="4" spans="1:3" x14ac:dyDescent="0.35">
      <c r="A4" s="899" t="s">
        <v>587</v>
      </c>
      <c r="B4" s="897"/>
    </row>
    <row r="5" spans="1:3" x14ac:dyDescent="0.35">
      <c r="A5" s="898" t="s">
        <v>588</v>
      </c>
      <c r="B5" s="897"/>
    </row>
    <row r="6" spans="1:3" x14ac:dyDescent="0.35">
      <c r="A6" s="898" t="s">
        <v>589</v>
      </c>
      <c r="B6" s="897"/>
    </row>
    <row r="7" spans="1:3" x14ac:dyDescent="0.35">
      <c r="A7" s="898" t="s">
        <v>590</v>
      </c>
      <c r="B7" s="897"/>
    </row>
    <row r="8" spans="1:3" x14ac:dyDescent="0.35">
      <c r="A8" s="898" t="s">
        <v>591</v>
      </c>
      <c r="B8" s="897"/>
      <c r="C8" s="900"/>
    </row>
    <row r="9" spans="1:3" x14ac:dyDescent="0.35">
      <c r="A9" s="898" t="s">
        <v>592</v>
      </c>
      <c r="B9" s="897"/>
      <c r="C9" s="900"/>
    </row>
    <row r="10" spans="1:3" x14ac:dyDescent="0.35">
      <c r="A10" s="898" t="s">
        <v>593</v>
      </c>
      <c r="B10" s="897"/>
    </row>
    <row r="11" spans="1:3" x14ac:dyDescent="0.35">
      <c r="A11" s="898" t="s">
        <v>594</v>
      </c>
      <c r="B11" s="897"/>
    </row>
    <row r="12" spans="1:3" x14ac:dyDescent="0.35">
      <c r="A12" s="898" t="s">
        <v>595</v>
      </c>
      <c r="B12" s="897"/>
    </row>
    <row r="13" spans="1:3" x14ac:dyDescent="0.35">
      <c r="A13" s="898"/>
      <c r="B13" s="897"/>
    </row>
    <row r="14" spans="1:3" x14ac:dyDescent="0.35">
      <c r="A14" s="899" t="s">
        <v>596</v>
      </c>
      <c r="B14" s="897"/>
    </row>
    <row r="15" spans="1:3" x14ac:dyDescent="0.35">
      <c r="A15" s="901" t="s">
        <v>597</v>
      </c>
      <c r="B15" s="897"/>
    </row>
    <row r="16" spans="1:3" x14ac:dyDescent="0.35">
      <c r="A16" s="898" t="s">
        <v>598</v>
      </c>
      <c r="B16" s="897"/>
    </row>
    <row r="17" spans="1:2" x14ac:dyDescent="0.35">
      <c r="A17" s="898" t="s">
        <v>599</v>
      </c>
      <c r="B17" s="897"/>
    </row>
    <row r="18" spans="1:2" x14ac:dyDescent="0.35">
      <c r="A18" s="898" t="s">
        <v>600</v>
      </c>
      <c r="B18" s="897"/>
    </row>
    <row r="19" spans="1:2" x14ac:dyDescent="0.35">
      <c r="A19" s="898" t="s">
        <v>601</v>
      </c>
      <c r="B19" s="897"/>
    </row>
    <row r="20" spans="1:2" x14ac:dyDescent="0.35">
      <c r="A20" s="898" t="s">
        <v>602</v>
      </c>
      <c r="B20" s="897"/>
    </row>
    <row r="21" spans="1:2" x14ac:dyDescent="0.35">
      <c r="A21" s="898" t="s">
        <v>603</v>
      </c>
      <c r="B21" s="897"/>
    </row>
    <row r="22" spans="1:2" x14ac:dyDescent="0.35">
      <c r="A22" s="898" t="s">
        <v>604</v>
      </c>
      <c r="B22" s="897"/>
    </row>
    <row r="23" spans="1:2" x14ac:dyDescent="0.35">
      <c r="A23" s="898" t="s">
        <v>605</v>
      </c>
      <c r="B23" s="897"/>
    </row>
    <row r="24" spans="1:2" x14ac:dyDescent="0.35">
      <c r="A24" s="898" t="s">
        <v>606</v>
      </c>
      <c r="B24" s="897"/>
    </row>
    <row r="25" spans="1:2" x14ac:dyDescent="0.35">
      <c r="A25" s="898"/>
      <c r="B25" s="897"/>
    </row>
    <row r="26" spans="1:2" x14ac:dyDescent="0.35">
      <c r="A26" s="899" t="s">
        <v>607</v>
      </c>
      <c r="B26" s="897"/>
    </row>
    <row r="27" spans="1:2" x14ac:dyDescent="0.35">
      <c r="A27" s="901" t="s">
        <v>608</v>
      </c>
      <c r="B27" s="897"/>
    </row>
    <row r="28" spans="1:2" x14ac:dyDescent="0.35">
      <c r="A28" s="898" t="s">
        <v>609</v>
      </c>
      <c r="B28" s="897"/>
    </row>
    <row r="29" spans="1:2" x14ac:dyDescent="0.35">
      <c r="A29" s="902" t="s">
        <v>610</v>
      </c>
      <c r="B29" s="897"/>
    </row>
    <row r="30" spans="1:2" x14ac:dyDescent="0.35">
      <c r="A30" s="902" t="s">
        <v>611</v>
      </c>
      <c r="B30" s="897"/>
    </row>
    <row r="31" spans="1:2" x14ac:dyDescent="0.35">
      <c r="A31" s="898"/>
      <c r="B31" s="897"/>
    </row>
    <row r="32" spans="1:2" x14ac:dyDescent="0.35">
      <c r="A32" s="899" t="s">
        <v>612</v>
      </c>
      <c r="B32" s="897"/>
    </row>
    <row r="33" spans="1:2" x14ac:dyDescent="0.35">
      <c r="A33" s="901" t="s">
        <v>608</v>
      </c>
      <c r="B33" s="897"/>
    </row>
    <row r="34" spans="1:2" x14ac:dyDescent="0.35">
      <c r="A34" s="898" t="s">
        <v>1676</v>
      </c>
      <c r="B34" s="897"/>
    </row>
    <row r="35" spans="1:2" x14ac:dyDescent="0.35">
      <c r="A35" s="901"/>
      <c r="B35" s="897"/>
    </row>
    <row r="36" spans="1:2" x14ac:dyDescent="0.35">
      <c r="A36" s="899" t="s">
        <v>613</v>
      </c>
      <c r="B36" s="897"/>
    </row>
    <row r="37" spans="1:2" x14ac:dyDescent="0.35">
      <c r="A37" s="901" t="s">
        <v>608</v>
      </c>
      <c r="B37" s="897"/>
    </row>
    <row r="38" spans="1:2" x14ac:dyDescent="0.35">
      <c r="A38" s="898" t="s">
        <v>614</v>
      </c>
      <c r="B38" s="897"/>
    </row>
    <row r="39" spans="1:2" x14ac:dyDescent="0.35">
      <c r="A39" s="1405"/>
      <c r="B39" s="903"/>
    </row>
  </sheetData>
  <sheetProtection algorithmName="SHA-512" hashValue="3UhC0RTVk17Poo8b60dGMDwPi87B2OL7403K5caxx8Kn4bdTAbsgrYswbQmuBIFXGg2kFqQ3Q6Q4zXlXTKEPkw==" saltValue="6KXxBw/mbP8uvraQy4qqug==" spinCount="100000" sheet="1" objects="1" scenarios="1"/>
  <phoneticPr fontId="60" type="noConversion"/>
  <pageMargins left="0.70866141732283472" right="0.70866141732283472" top="0.74803149606299213" bottom="0.74803149606299213" header="0.31496062992125984" footer="0.31496062992125984"/>
  <pageSetup paperSize="9" scale="60" orientation="portrait" r:id="rId1"/>
  <headerFooter>
    <oddHeader xml:space="preserve">&amp;CLincolnshire County Council
</oddHeader>
    <oddFooter>&amp;C2023/24 Special School Budget Share Calculation
Front Sheet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
    <tabColor rgb="FFFFFF00"/>
    <pageSetUpPr fitToPage="1"/>
  </sheetPr>
  <dimension ref="A1:B311"/>
  <sheetViews>
    <sheetView zoomScale="85" zoomScaleNormal="85" workbookViewId="0">
      <selection activeCell="B1" sqref="B1:B181"/>
    </sheetView>
  </sheetViews>
  <sheetFormatPr defaultColWidth="8.7265625" defaultRowHeight="15.5" x14ac:dyDescent="0.35"/>
  <cols>
    <col min="1" max="1" width="7.81640625" style="892" customWidth="1"/>
    <col min="2" max="2" width="138" style="892" customWidth="1"/>
    <col min="3" max="16384" width="8.7265625" style="892"/>
  </cols>
  <sheetData>
    <row r="1" spans="1:2" ht="12.65" customHeight="1" x14ac:dyDescent="0.35">
      <c r="A1" s="1338"/>
      <c r="B1" s="1505" t="s">
        <v>615</v>
      </c>
    </row>
    <row r="2" spans="1:2" ht="12.65" customHeight="1" x14ac:dyDescent="0.35">
      <c r="A2" s="1338"/>
      <c r="B2" s="1505"/>
    </row>
    <row r="3" spans="1:2" ht="12.65" customHeight="1" x14ac:dyDescent="0.35">
      <c r="A3" s="1338"/>
      <c r="B3" s="1505"/>
    </row>
    <row r="4" spans="1:2" ht="12.65" customHeight="1" x14ac:dyDescent="0.35">
      <c r="A4" s="1338"/>
      <c r="B4" s="1505"/>
    </row>
    <row r="5" spans="1:2" ht="12.65" customHeight="1" x14ac:dyDescent="0.35">
      <c r="A5" s="1338"/>
      <c r="B5" s="1505"/>
    </row>
    <row r="6" spans="1:2" ht="12.65" customHeight="1" x14ac:dyDescent="0.35">
      <c r="A6" s="1338"/>
      <c r="B6" s="1505"/>
    </row>
    <row r="7" spans="1:2" ht="12.65" customHeight="1" x14ac:dyDescent="0.35">
      <c r="A7" s="1338"/>
      <c r="B7" s="1505"/>
    </row>
    <row r="8" spans="1:2" ht="12.65" customHeight="1" x14ac:dyDescent="0.35">
      <c r="A8" s="1338"/>
      <c r="B8" s="1505"/>
    </row>
    <row r="9" spans="1:2" ht="12.65" customHeight="1" x14ac:dyDescent="0.35">
      <c r="A9" s="1338"/>
      <c r="B9" s="1505"/>
    </row>
    <row r="10" spans="1:2" ht="12.65" customHeight="1" x14ac:dyDescent="0.35">
      <c r="A10" s="1338"/>
      <c r="B10" s="1505"/>
    </row>
    <row r="11" spans="1:2" ht="12.65" customHeight="1" x14ac:dyDescent="0.35">
      <c r="A11" s="1338"/>
      <c r="B11" s="1505"/>
    </row>
    <row r="12" spans="1:2" ht="12.65" customHeight="1" x14ac:dyDescent="0.35">
      <c r="A12" s="1338"/>
      <c r="B12" s="1505"/>
    </row>
    <row r="13" spans="1:2" ht="12.75" customHeight="1" x14ac:dyDescent="0.35">
      <c r="A13" s="1338"/>
      <c r="B13" s="1505"/>
    </row>
    <row r="14" spans="1:2" x14ac:dyDescent="0.35">
      <c r="A14" s="1338"/>
      <c r="B14" s="1505"/>
    </row>
    <row r="15" spans="1:2" ht="26.15" customHeight="1" x14ac:dyDescent="0.35">
      <c r="A15" s="1338"/>
      <c r="B15" s="1505"/>
    </row>
    <row r="16" spans="1:2" x14ac:dyDescent="0.35">
      <c r="A16" s="1338"/>
      <c r="B16" s="1505"/>
    </row>
    <row r="17" spans="1:2" x14ac:dyDescent="0.35">
      <c r="A17" s="1338"/>
      <c r="B17" s="1505"/>
    </row>
    <row r="18" spans="1:2" x14ac:dyDescent="0.35">
      <c r="A18" s="1338"/>
      <c r="B18" s="1505"/>
    </row>
    <row r="19" spans="1:2" x14ac:dyDescent="0.35">
      <c r="A19" s="1338"/>
      <c r="B19" s="1505"/>
    </row>
    <row r="20" spans="1:2" x14ac:dyDescent="0.35">
      <c r="A20" s="1338"/>
      <c r="B20" s="1505"/>
    </row>
    <row r="21" spans="1:2" x14ac:dyDescent="0.35">
      <c r="A21" s="1338"/>
      <c r="B21" s="1505"/>
    </row>
    <row r="22" spans="1:2" x14ac:dyDescent="0.35">
      <c r="A22" s="1338"/>
      <c r="B22" s="1505"/>
    </row>
    <row r="23" spans="1:2" x14ac:dyDescent="0.35">
      <c r="A23" s="1338"/>
      <c r="B23" s="1505"/>
    </row>
    <row r="24" spans="1:2" x14ac:dyDescent="0.35">
      <c r="A24" s="1338"/>
      <c r="B24" s="1505"/>
    </row>
    <row r="25" spans="1:2" x14ac:dyDescent="0.35">
      <c r="A25" s="1338"/>
      <c r="B25" s="1505"/>
    </row>
    <row r="26" spans="1:2" x14ac:dyDescent="0.35">
      <c r="A26" s="1338"/>
      <c r="B26" s="1505"/>
    </row>
    <row r="27" spans="1:2" x14ac:dyDescent="0.35">
      <c r="A27" s="1338"/>
      <c r="B27" s="1505"/>
    </row>
    <row r="28" spans="1:2" x14ac:dyDescent="0.35">
      <c r="A28" s="1338"/>
      <c r="B28" s="1505"/>
    </row>
    <row r="29" spans="1:2" x14ac:dyDescent="0.35">
      <c r="A29" s="1338"/>
      <c r="B29" s="1505"/>
    </row>
    <row r="30" spans="1:2" x14ac:dyDescent="0.35">
      <c r="A30" s="1338"/>
      <c r="B30" s="1505"/>
    </row>
    <row r="31" spans="1:2" x14ac:dyDescent="0.35">
      <c r="A31" s="1338"/>
      <c r="B31" s="1505"/>
    </row>
    <row r="32" spans="1:2" x14ac:dyDescent="0.35">
      <c r="A32" s="1338"/>
      <c r="B32" s="1505"/>
    </row>
    <row r="33" spans="1:2" x14ac:dyDescent="0.35">
      <c r="A33" s="1338"/>
      <c r="B33" s="1505"/>
    </row>
    <row r="34" spans="1:2" x14ac:dyDescent="0.35">
      <c r="A34" s="1338"/>
      <c r="B34" s="1505"/>
    </row>
    <row r="35" spans="1:2" x14ac:dyDescent="0.35">
      <c r="A35" s="1338"/>
      <c r="B35" s="1505"/>
    </row>
    <row r="36" spans="1:2" x14ac:dyDescent="0.35">
      <c r="A36" s="1338"/>
      <c r="B36" s="1505"/>
    </row>
    <row r="37" spans="1:2" x14ac:dyDescent="0.35">
      <c r="A37" s="1338"/>
      <c r="B37" s="1505"/>
    </row>
    <row r="38" spans="1:2" x14ac:dyDescent="0.35">
      <c r="A38" s="1338"/>
      <c r="B38" s="1505"/>
    </row>
    <row r="39" spans="1:2" x14ac:dyDescent="0.35">
      <c r="A39" s="1338"/>
      <c r="B39" s="1505"/>
    </row>
    <row r="40" spans="1:2" x14ac:dyDescent="0.35">
      <c r="A40" s="1338"/>
      <c r="B40" s="1505"/>
    </row>
    <row r="41" spans="1:2" x14ac:dyDescent="0.35">
      <c r="A41" s="1338"/>
      <c r="B41" s="1505"/>
    </row>
    <row r="42" spans="1:2" x14ac:dyDescent="0.35">
      <c r="A42" s="1338"/>
      <c r="B42" s="1505"/>
    </row>
    <row r="43" spans="1:2" x14ac:dyDescent="0.35">
      <c r="A43" s="1338"/>
      <c r="B43" s="1505"/>
    </row>
    <row r="44" spans="1:2" x14ac:dyDescent="0.35">
      <c r="A44" s="1338"/>
      <c r="B44" s="1505"/>
    </row>
    <row r="45" spans="1:2" x14ac:dyDescent="0.35">
      <c r="A45" s="1338"/>
      <c r="B45" s="1505"/>
    </row>
    <row r="46" spans="1:2" x14ac:dyDescent="0.35">
      <c r="A46" s="1338"/>
      <c r="B46" s="1505"/>
    </row>
    <row r="47" spans="1:2" x14ac:dyDescent="0.35">
      <c r="A47" s="1338"/>
      <c r="B47" s="1505"/>
    </row>
    <row r="48" spans="1:2" x14ac:dyDescent="0.35">
      <c r="A48" s="1338"/>
      <c r="B48" s="1505"/>
    </row>
    <row r="49" spans="1:2" x14ac:dyDescent="0.35">
      <c r="A49" s="1338"/>
      <c r="B49" s="1505"/>
    </row>
    <row r="50" spans="1:2" x14ac:dyDescent="0.35">
      <c r="A50" s="1338"/>
      <c r="B50" s="1505"/>
    </row>
    <row r="51" spans="1:2" x14ac:dyDescent="0.35">
      <c r="A51" s="1338"/>
      <c r="B51" s="1505"/>
    </row>
    <row r="52" spans="1:2" x14ac:dyDescent="0.35">
      <c r="A52" s="1338"/>
      <c r="B52" s="1505"/>
    </row>
    <row r="53" spans="1:2" x14ac:dyDescent="0.35">
      <c r="A53" s="1338"/>
      <c r="B53" s="1505"/>
    </row>
    <row r="54" spans="1:2" x14ac:dyDescent="0.35">
      <c r="A54" s="1338"/>
      <c r="B54" s="1505"/>
    </row>
    <row r="55" spans="1:2" x14ac:dyDescent="0.35">
      <c r="A55" s="1338"/>
      <c r="B55" s="1505"/>
    </row>
    <row r="56" spans="1:2" x14ac:dyDescent="0.35">
      <c r="A56" s="1338"/>
      <c r="B56" s="1505"/>
    </row>
    <row r="57" spans="1:2" x14ac:dyDescent="0.35">
      <c r="A57" s="1338"/>
      <c r="B57" s="1505"/>
    </row>
    <row r="58" spans="1:2" x14ac:dyDescent="0.35">
      <c r="A58" s="1338"/>
      <c r="B58" s="1505"/>
    </row>
    <row r="59" spans="1:2" x14ac:dyDescent="0.35">
      <c r="A59" s="1338"/>
      <c r="B59" s="1505"/>
    </row>
    <row r="60" spans="1:2" x14ac:dyDescent="0.35">
      <c r="A60" s="1338"/>
      <c r="B60" s="1505"/>
    </row>
    <row r="61" spans="1:2" x14ac:dyDescent="0.35">
      <c r="A61" s="1338"/>
      <c r="B61" s="1505"/>
    </row>
    <row r="62" spans="1:2" x14ac:dyDescent="0.35">
      <c r="A62" s="1338"/>
      <c r="B62" s="1505"/>
    </row>
    <row r="63" spans="1:2" x14ac:dyDescent="0.35">
      <c r="A63" s="1338"/>
      <c r="B63" s="1505"/>
    </row>
    <row r="64" spans="1:2" x14ac:dyDescent="0.35">
      <c r="A64" s="1338"/>
      <c r="B64" s="1505"/>
    </row>
    <row r="65" spans="1:2" x14ac:dyDescent="0.35">
      <c r="A65" s="1338"/>
      <c r="B65" s="1505"/>
    </row>
    <row r="66" spans="1:2" x14ac:dyDescent="0.35">
      <c r="A66" s="1338"/>
      <c r="B66" s="1505"/>
    </row>
    <row r="67" spans="1:2" x14ac:dyDescent="0.35">
      <c r="A67" s="1338"/>
      <c r="B67" s="1505"/>
    </row>
    <row r="68" spans="1:2" x14ac:dyDescent="0.35">
      <c r="A68" s="1338"/>
      <c r="B68" s="1505"/>
    </row>
    <row r="69" spans="1:2" x14ac:dyDescent="0.35">
      <c r="A69" s="1338"/>
      <c r="B69" s="1505"/>
    </row>
    <row r="70" spans="1:2" x14ac:dyDescent="0.35">
      <c r="A70" s="1338"/>
      <c r="B70" s="1505"/>
    </row>
    <row r="71" spans="1:2" x14ac:dyDescent="0.35">
      <c r="A71" s="1338"/>
      <c r="B71" s="1505"/>
    </row>
    <row r="72" spans="1:2" x14ac:dyDescent="0.35">
      <c r="A72" s="1338"/>
      <c r="B72" s="1505"/>
    </row>
    <row r="73" spans="1:2" x14ac:dyDescent="0.35">
      <c r="A73" s="1338"/>
      <c r="B73" s="1505"/>
    </row>
    <row r="74" spans="1:2" x14ac:dyDescent="0.35">
      <c r="A74" s="1338"/>
      <c r="B74" s="1505"/>
    </row>
    <row r="75" spans="1:2" x14ac:dyDescent="0.35">
      <c r="A75" s="1338"/>
      <c r="B75" s="1505"/>
    </row>
    <row r="76" spans="1:2" x14ac:dyDescent="0.35">
      <c r="A76" s="1338"/>
      <c r="B76" s="1505"/>
    </row>
    <row r="77" spans="1:2" x14ac:dyDescent="0.35">
      <c r="A77" s="1338"/>
      <c r="B77" s="1505"/>
    </row>
    <row r="78" spans="1:2" x14ac:dyDescent="0.35">
      <c r="A78" s="1338"/>
      <c r="B78" s="1505"/>
    </row>
    <row r="79" spans="1:2" x14ac:dyDescent="0.35">
      <c r="A79" s="1338"/>
      <c r="B79" s="1505"/>
    </row>
    <row r="80" spans="1:2" x14ac:dyDescent="0.35">
      <c r="A80" s="1338"/>
      <c r="B80" s="1505"/>
    </row>
    <row r="81" spans="1:2" x14ac:dyDescent="0.35">
      <c r="A81" s="1338"/>
      <c r="B81" s="1505"/>
    </row>
    <row r="82" spans="1:2" x14ac:dyDescent="0.35">
      <c r="A82" s="1338"/>
      <c r="B82" s="1505"/>
    </row>
    <row r="83" spans="1:2" x14ac:dyDescent="0.35">
      <c r="A83" s="1338"/>
      <c r="B83" s="1505"/>
    </row>
    <row r="84" spans="1:2" x14ac:dyDescent="0.35">
      <c r="A84" s="1338"/>
      <c r="B84" s="1505"/>
    </row>
    <row r="85" spans="1:2" x14ac:dyDescent="0.35">
      <c r="A85" s="1338"/>
      <c r="B85" s="1505"/>
    </row>
    <row r="86" spans="1:2" x14ac:dyDescent="0.35">
      <c r="A86" s="1338"/>
      <c r="B86" s="1505"/>
    </row>
    <row r="87" spans="1:2" x14ac:dyDescent="0.35">
      <c r="A87" s="1338"/>
      <c r="B87" s="1505"/>
    </row>
    <row r="88" spans="1:2" x14ac:dyDescent="0.35">
      <c r="A88" s="1338"/>
      <c r="B88" s="1505"/>
    </row>
    <row r="89" spans="1:2" x14ac:dyDescent="0.35">
      <c r="A89" s="1338"/>
      <c r="B89" s="1505"/>
    </row>
    <row r="90" spans="1:2" x14ac:dyDescent="0.35">
      <c r="A90" s="1338"/>
      <c r="B90" s="1505"/>
    </row>
    <row r="91" spans="1:2" x14ac:dyDescent="0.35">
      <c r="A91" s="1338"/>
      <c r="B91" s="1505"/>
    </row>
    <row r="92" spans="1:2" x14ac:dyDescent="0.35">
      <c r="A92" s="1338"/>
      <c r="B92" s="1505"/>
    </row>
    <row r="93" spans="1:2" x14ac:dyDescent="0.35">
      <c r="A93" s="1338"/>
      <c r="B93" s="1505"/>
    </row>
    <row r="94" spans="1:2" x14ac:dyDescent="0.35">
      <c r="A94" s="1338"/>
      <c r="B94" s="1505"/>
    </row>
    <row r="95" spans="1:2" x14ac:dyDescent="0.35">
      <c r="A95" s="1338"/>
      <c r="B95" s="1505"/>
    </row>
    <row r="96" spans="1:2" x14ac:dyDescent="0.35">
      <c r="A96" s="1338"/>
      <c r="B96" s="1505"/>
    </row>
    <row r="97" spans="1:2" x14ac:dyDescent="0.35">
      <c r="A97" s="1338"/>
      <c r="B97" s="1505"/>
    </row>
    <row r="98" spans="1:2" x14ac:dyDescent="0.35">
      <c r="A98" s="1338"/>
      <c r="B98" s="1505"/>
    </row>
    <row r="99" spans="1:2" x14ac:dyDescent="0.35">
      <c r="A99" s="1338"/>
      <c r="B99" s="1505"/>
    </row>
    <row r="100" spans="1:2" x14ac:dyDescent="0.35">
      <c r="A100" s="1338"/>
      <c r="B100" s="1505"/>
    </row>
    <row r="101" spans="1:2" x14ac:dyDescent="0.35">
      <c r="A101" s="1338"/>
      <c r="B101" s="1505"/>
    </row>
    <row r="102" spans="1:2" x14ac:dyDescent="0.35">
      <c r="A102" s="1338"/>
      <c r="B102" s="1505"/>
    </row>
    <row r="103" spans="1:2" x14ac:dyDescent="0.35">
      <c r="A103" s="1338"/>
      <c r="B103" s="1505"/>
    </row>
    <row r="104" spans="1:2" x14ac:dyDescent="0.35">
      <c r="A104" s="1338"/>
      <c r="B104" s="1505"/>
    </row>
    <row r="105" spans="1:2" x14ac:dyDescent="0.35">
      <c r="A105" s="1338"/>
      <c r="B105" s="1505"/>
    </row>
    <row r="106" spans="1:2" x14ac:dyDescent="0.35">
      <c r="A106" s="1338"/>
      <c r="B106" s="1505"/>
    </row>
    <row r="107" spans="1:2" x14ac:dyDescent="0.35">
      <c r="A107" s="1338"/>
      <c r="B107" s="1505"/>
    </row>
    <row r="108" spans="1:2" x14ac:dyDescent="0.35">
      <c r="A108" s="1338"/>
      <c r="B108" s="1505"/>
    </row>
    <row r="109" spans="1:2" x14ac:dyDescent="0.35">
      <c r="A109" s="1338"/>
      <c r="B109" s="1505"/>
    </row>
    <row r="110" spans="1:2" x14ac:dyDescent="0.35">
      <c r="A110" s="1338"/>
      <c r="B110" s="1505"/>
    </row>
    <row r="111" spans="1:2" x14ac:dyDescent="0.35">
      <c r="A111" s="1338"/>
      <c r="B111" s="1505"/>
    </row>
    <row r="112" spans="1:2" x14ac:dyDescent="0.35">
      <c r="A112" s="1338"/>
      <c r="B112" s="1505"/>
    </row>
    <row r="113" spans="1:2" x14ac:dyDescent="0.35">
      <c r="A113" s="1338"/>
      <c r="B113" s="1505"/>
    </row>
    <row r="114" spans="1:2" x14ac:dyDescent="0.35">
      <c r="A114" s="1338"/>
      <c r="B114" s="1505"/>
    </row>
    <row r="115" spans="1:2" x14ac:dyDescent="0.35">
      <c r="A115" s="1338"/>
      <c r="B115" s="1505"/>
    </row>
    <row r="116" spans="1:2" x14ac:dyDescent="0.35">
      <c r="A116" s="1338"/>
      <c r="B116" s="1505"/>
    </row>
    <row r="117" spans="1:2" x14ac:dyDescent="0.35">
      <c r="A117" s="1338"/>
      <c r="B117" s="1505"/>
    </row>
    <row r="118" spans="1:2" x14ac:dyDescent="0.35">
      <c r="A118" s="1338"/>
      <c r="B118" s="1505"/>
    </row>
    <row r="119" spans="1:2" x14ac:dyDescent="0.35">
      <c r="A119" s="1338"/>
      <c r="B119" s="1505"/>
    </row>
    <row r="120" spans="1:2" x14ac:dyDescent="0.35">
      <c r="A120" s="1338"/>
      <c r="B120" s="1505"/>
    </row>
    <row r="121" spans="1:2" x14ac:dyDescent="0.35">
      <c r="A121" s="1338"/>
      <c r="B121" s="1505"/>
    </row>
    <row r="122" spans="1:2" x14ac:dyDescent="0.35">
      <c r="A122" s="1338"/>
      <c r="B122" s="1505"/>
    </row>
    <row r="123" spans="1:2" x14ac:dyDescent="0.35">
      <c r="A123" s="1338"/>
      <c r="B123" s="1505"/>
    </row>
    <row r="124" spans="1:2" x14ac:dyDescent="0.35">
      <c r="A124" s="1338"/>
      <c r="B124" s="1505"/>
    </row>
    <row r="125" spans="1:2" x14ac:dyDescent="0.35">
      <c r="A125" s="1338"/>
      <c r="B125" s="1505"/>
    </row>
    <row r="126" spans="1:2" x14ac:dyDescent="0.35">
      <c r="A126" s="1338"/>
      <c r="B126" s="1505"/>
    </row>
    <row r="127" spans="1:2" x14ac:dyDescent="0.35">
      <c r="A127" s="1338"/>
      <c r="B127" s="1505"/>
    </row>
    <row r="128" spans="1:2" x14ac:dyDescent="0.35">
      <c r="A128" s="1338"/>
      <c r="B128" s="1505"/>
    </row>
    <row r="129" spans="1:2" x14ac:dyDescent="0.35">
      <c r="A129" s="1338"/>
      <c r="B129" s="1505"/>
    </row>
    <row r="130" spans="1:2" x14ac:dyDescent="0.35">
      <c r="A130" s="1338"/>
      <c r="B130" s="1505"/>
    </row>
    <row r="131" spans="1:2" x14ac:dyDescent="0.35">
      <c r="A131" s="1338"/>
      <c r="B131" s="1505"/>
    </row>
    <row r="132" spans="1:2" x14ac:dyDescent="0.35">
      <c r="A132" s="1338"/>
      <c r="B132" s="1505"/>
    </row>
    <row r="133" spans="1:2" x14ac:dyDescent="0.35">
      <c r="A133" s="1338"/>
      <c r="B133" s="1505"/>
    </row>
    <row r="134" spans="1:2" x14ac:dyDescent="0.35">
      <c r="A134" s="1338"/>
      <c r="B134" s="1505"/>
    </row>
    <row r="135" spans="1:2" x14ac:dyDescent="0.35">
      <c r="A135" s="1338"/>
      <c r="B135" s="1505"/>
    </row>
    <row r="136" spans="1:2" x14ac:dyDescent="0.35">
      <c r="A136" s="1338"/>
      <c r="B136" s="1505"/>
    </row>
    <row r="137" spans="1:2" x14ac:dyDescent="0.35">
      <c r="A137" s="1338"/>
      <c r="B137" s="1505"/>
    </row>
    <row r="138" spans="1:2" x14ac:dyDescent="0.35">
      <c r="A138" s="1338"/>
      <c r="B138" s="1505"/>
    </row>
    <row r="139" spans="1:2" x14ac:dyDescent="0.35">
      <c r="A139" s="1338"/>
      <c r="B139" s="1505"/>
    </row>
    <row r="140" spans="1:2" x14ac:dyDescent="0.35">
      <c r="A140" s="1338"/>
      <c r="B140" s="1505"/>
    </row>
    <row r="141" spans="1:2" x14ac:dyDescent="0.35">
      <c r="A141" s="1338"/>
      <c r="B141" s="1505"/>
    </row>
    <row r="142" spans="1:2" x14ac:dyDescent="0.35">
      <c r="A142" s="1338"/>
      <c r="B142" s="1505"/>
    </row>
    <row r="143" spans="1:2" x14ac:dyDescent="0.35">
      <c r="A143" s="1338"/>
      <c r="B143" s="1505"/>
    </row>
    <row r="144" spans="1:2" x14ac:dyDescent="0.35">
      <c r="A144" s="1338"/>
      <c r="B144" s="1505"/>
    </row>
    <row r="145" spans="1:2" x14ac:dyDescent="0.35">
      <c r="A145" s="1338"/>
      <c r="B145" s="1505"/>
    </row>
    <row r="146" spans="1:2" x14ac:dyDescent="0.35">
      <c r="A146" s="1338"/>
      <c r="B146" s="1505"/>
    </row>
    <row r="147" spans="1:2" x14ac:dyDescent="0.35">
      <c r="A147" s="1338"/>
      <c r="B147" s="1505"/>
    </row>
    <row r="148" spans="1:2" x14ac:dyDescent="0.35">
      <c r="A148" s="1338"/>
      <c r="B148" s="1505"/>
    </row>
    <row r="149" spans="1:2" x14ac:dyDescent="0.35">
      <c r="A149" s="1338"/>
      <c r="B149" s="1505"/>
    </row>
    <row r="150" spans="1:2" x14ac:dyDescent="0.35">
      <c r="A150" s="1338"/>
      <c r="B150" s="1505"/>
    </row>
    <row r="151" spans="1:2" x14ac:dyDescent="0.35">
      <c r="A151" s="1338"/>
      <c r="B151" s="1505"/>
    </row>
    <row r="152" spans="1:2" ht="12.75" customHeight="1" x14ac:dyDescent="0.35">
      <c r="A152" s="904"/>
      <c r="B152" s="1505"/>
    </row>
    <row r="153" spans="1:2" x14ac:dyDescent="0.35">
      <c r="A153" s="904"/>
      <c r="B153" s="1505"/>
    </row>
    <row r="154" spans="1:2" x14ac:dyDescent="0.35">
      <c r="A154" s="904"/>
      <c r="B154" s="1505"/>
    </row>
    <row r="155" spans="1:2" x14ac:dyDescent="0.35">
      <c r="A155" s="904"/>
      <c r="B155" s="1505"/>
    </row>
    <row r="156" spans="1:2" x14ac:dyDescent="0.35">
      <c r="A156" s="904"/>
      <c r="B156" s="1505"/>
    </row>
    <row r="157" spans="1:2" x14ac:dyDescent="0.35">
      <c r="A157" s="904"/>
      <c r="B157" s="1505"/>
    </row>
    <row r="158" spans="1:2" ht="12.75" customHeight="1" x14ac:dyDescent="0.35">
      <c r="A158" s="904"/>
      <c r="B158" s="1505"/>
    </row>
    <row r="159" spans="1:2" x14ac:dyDescent="0.35">
      <c r="A159" s="904"/>
      <c r="B159" s="1505"/>
    </row>
    <row r="160" spans="1:2" x14ac:dyDescent="0.35">
      <c r="A160" s="904"/>
      <c r="B160" s="1505"/>
    </row>
    <row r="161" spans="1:2" x14ac:dyDescent="0.35">
      <c r="A161" s="904"/>
      <c r="B161" s="1505"/>
    </row>
    <row r="162" spans="1:2" x14ac:dyDescent="0.35">
      <c r="A162" s="904"/>
      <c r="B162" s="1505"/>
    </row>
    <row r="163" spans="1:2" ht="12.65" customHeight="1" x14ac:dyDescent="0.35">
      <c r="A163" s="904"/>
      <c r="B163" s="1505"/>
    </row>
    <row r="164" spans="1:2" x14ac:dyDescent="0.35">
      <c r="A164" s="904"/>
      <c r="B164" s="1505"/>
    </row>
    <row r="165" spans="1:2" x14ac:dyDescent="0.35">
      <c r="A165" s="904"/>
      <c r="B165" s="1505"/>
    </row>
    <row r="166" spans="1:2" x14ac:dyDescent="0.35">
      <c r="A166" s="904"/>
      <c r="B166" s="1505"/>
    </row>
    <row r="167" spans="1:2" x14ac:dyDescent="0.35">
      <c r="A167" s="904"/>
      <c r="B167" s="1505"/>
    </row>
    <row r="168" spans="1:2" x14ac:dyDescent="0.35">
      <c r="A168" s="904"/>
      <c r="B168" s="1505"/>
    </row>
    <row r="169" spans="1:2" x14ac:dyDescent="0.35">
      <c r="A169" s="904"/>
      <c r="B169" s="1505"/>
    </row>
    <row r="170" spans="1:2" x14ac:dyDescent="0.35">
      <c r="A170" s="905"/>
      <c r="B170" s="1505"/>
    </row>
    <row r="171" spans="1:2" x14ac:dyDescent="0.35">
      <c r="A171" s="905"/>
      <c r="B171" s="1505"/>
    </row>
    <row r="172" spans="1:2" x14ac:dyDescent="0.35">
      <c r="A172" s="905"/>
      <c r="B172" s="1505"/>
    </row>
    <row r="173" spans="1:2" x14ac:dyDescent="0.35">
      <c r="A173" s="905"/>
      <c r="B173" s="1505"/>
    </row>
    <row r="174" spans="1:2" x14ac:dyDescent="0.35">
      <c r="A174" s="905"/>
      <c r="B174" s="1505"/>
    </row>
    <row r="175" spans="1:2" x14ac:dyDescent="0.35">
      <c r="A175" s="905"/>
      <c r="B175" s="1505"/>
    </row>
    <row r="176" spans="1:2" x14ac:dyDescent="0.35">
      <c r="A176" s="905"/>
      <c r="B176" s="1505"/>
    </row>
    <row r="177" spans="1:2" x14ac:dyDescent="0.35">
      <c r="A177" s="905"/>
      <c r="B177" s="1505"/>
    </row>
    <row r="178" spans="1:2" x14ac:dyDescent="0.35">
      <c r="A178" s="905"/>
      <c r="B178" s="1505"/>
    </row>
    <row r="179" spans="1:2" x14ac:dyDescent="0.35">
      <c r="A179" s="905"/>
      <c r="B179" s="1505"/>
    </row>
    <row r="180" spans="1:2" x14ac:dyDescent="0.35">
      <c r="A180" s="905"/>
      <c r="B180" s="1505"/>
    </row>
    <row r="181" spans="1:2" ht="109" customHeight="1" x14ac:dyDescent="0.35">
      <c r="A181" s="905"/>
      <c r="B181" s="1505"/>
    </row>
    <row r="182" spans="1:2" x14ac:dyDescent="0.35">
      <c r="A182" s="905"/>
      <c r="B182" s="904"/>
    </row>
    <row r="183" spans="1:2" x14ac:dyDescent="0.35">
      <c r="A183" s="905"/>
      <c r="B183" s="904"/>
    </row>
    <row r="184" spans="1:2" x14ac:dyDescent="0.35">
      <c r="A184" s="905"/>
      <c r="B184" s="904"/>
    </row>
    <row r="185" spans="1:2" x14ac:dyDescent="0.35">
      <c r="A185" s="905"/>
      <c r="B185" s="904"/>
    </row>
    <row r="186" spans="1:2" x14ac:dyDescent="0.35">
      <c r="A186" s="905"/>
      <c r="B186" s="904"/>
    </row>
    <row r="187" spans="1:2" x14ac:dyDescent="0.35">
      <c r="A187" s="905"/>
      <c r="B187" s="904"/>
    </row>
    <row r="188" spans="1:2" x14ac:dyDescent="0.35">
      <c r="A188" s="905"/>
      <c r="B188" s="904"/>
    </row>
    <row r="189" spans="1:2" x14ac:dyDescent="0.35">
      <c r="A189" s="905"/>
      <c r="B189" s="904"/>
    </row>
    <row r="190" spans="1:2" x14ac:dyDescent="0.35">
      <c r="A190" s="905"/>
      <c r="B190" s="904"/>
    </row>
    <row r="191" spans="1:2" x14ac:dyDescent="0.35">
      <c r="A191" s="905"/>
      <c r="B191" s="904"/>
    </row>
    <row r="192" spans="1:2" x14ac:dyDescent="0.35">
      <c r="A192" s="905"/>
      <c r="B192" s="904"/>
    </row>
    <row r="193" spans="1:2" x14ac:dyDescent="0.35">
      <c r="A193" s="905"/>
      <c r="B193" s="904"/>
    </row>
    <row r="194" spans="1:2" x14ac:dyDescent="0.35">
      <c r="A194" s="905"/>
      <c r="B194" s="904"/>
    </row>
    <row r="195" spans="1:2" x14ac:dyDescent="0.35">
      <c r="A195" s="905"/>
      <c r="B195" s="904"/>
    </row>
    <row r="196" spans="1:2" x14ac:dyDescent="0.35">
      <c r="A196" s="905"/>
      <c r="B196" s="904"/>
    </row>
    <row r="197" spans="1:2" x14ac:dyDescent="0.35">
      <c r="A197" s="905"/>
      <c r="B197" s="904"/>
    </row>
    <row r="198" spans="1:2" x14ac:dyDescent="0.35">
      <c r="A198" s="905"/>
      <c r="B198" s="904"/>
    </row>
    <row r="199" spans="1:2" x14ac:dyDescent="0.35">
      <c r="A199" s="905"/>
      <c r="B199" s="904"/>
    </row>
    <row r="200" spans="1:2" x14ac:dyDescent="0.35">
      <c r="A200" s="905"/>
      <c r="B200" s="904"/>
    </row>
    <row r="201" spans="1:2" x14ac:dyDescent="0.35">
      <c r="A201" s="905"/>
      <c r="B201" s="904"/>
    </row>
    <row r="202" spans="1:2" x14ac:dyDescent="0.35">
      <c r="A202" s="905"/>
      <c r="B202" s="904"/>
    </row>
    <row r="203" spans="1:2" x14ac:dyDescent="0.35">
      <c r="A203" s="905"/>
      <c r="B203" s="904"/>
    </row>
    <row r="204" spans="1:2" x14ac:dyDescent="0.35">
      <c r="A204" s="905"/>
      <c r="B204" s="904"/>
    </row>
    <row r="205" spans="1:2" x14ac:dyDescent="0.35">
      <c r="A205" s="905"/>
    </row>
    <row r="206" spans="1:2" x14ac:dyDescent="0.35">
      <c r="A206" s="905"/>
    </row>
    <row r="207" spans="1:2" x14ac:dyDescent="0.35">
      <c r="A207" s="905"/>
    </row>
    <row r="208" spans="1:2" x14ac:dyDescent="0.35">
      <c r="A208" s="905"/>
    </row>
    <row r="209" spans="1:1" x14ac:dyDescent="0.35">
      <c r="A209" s="905"/>
    </row>
    <row r="210" spans="1:1" x14ac:dyDescent="0.35">
      <c r="A210" s="905"/>
    </row>
    <row r="211" spans="1:1" x14ac:dyDescent="0.35">
      <c r="A211" s="905"/>
    </row>
    <row r="212" spans="1:1" x14ac:dyDescent="0.35">
      <c r="A212" s="905"/>
    </row>
    <row r="213" spans="1:1" x14ac:dyDescent="0.35">
      <c r="A213" s="905"/>
    </row>
    <row r="214" spans="1:1" x14ac:dyDescent="0.35">
      <c r="A214" s="905"/>
    </row>
    <row r="215" spans="1:1" x14ac:dyDescent="0.35">
      <c r="A215" s="905"/>
    </row>
    <row r="216" spans="1:1" x14ac:dyDescent="0.35">
      <c r="A216" s="905"/>
    </row>
    <row r="217" spans="1:1" x14ac:dyDescent="0.35">
      <c r="A217" s="905"/>
    </row>
    <row r="218" spans="1:1" x14ac:dyDescent="0.35">
      <c r="A218" s="905"/>
    </row>
    <row r="219" spans="1:1" x14ac:dyDescent="0.35">
      <c r="A219" s="905"/>
    </row>
    <row r="220" spans="1:1" x14ac:dyDescent="0.35">
      <c r="A220" s="905"/>
    </row>
    <row r="221" spans="1:1" x14ac:dyDescent="0.35">
      <c r="A221" s="905"/>
    </row>
    <row r="222" spans="1:1" x14ac:dyDescent="0.35">
      <c r="A222" s="905"/>
    </row>
    <row r="223" spans="1:1" x14ac:dyDescent="0.35">
      <c r="A223" s="905"/>
    </row>
    <row r="224" spans="1:1" x14ac:dyDescent="0.35">
      <c r="A224" s="905"/>
    </row>
    <row r="225" spans="1:1" x14ac:dyDescent="0.35">
      <c r="A225" s="905"/>
    </row>
    <row r="226" spans="1:1" x14ac:dyDescent="0.35">
      <c r="A226" s="905"/>
    </row>
    <row r="227" spans="1:1" x14ac:dyDescent="0.35">
      <c r="A227" s="905"/>
    </row>
    <row r="228" spans="1:1" x14ac:dyDescent="0.35">
      <c r="A228" s="905"/>
    </row>
    <row r="229" spans="1:1" x14ac:dyDescent="0.35">
      <c r="A229" s="905"/>
    </row>
    <row r="230" spans="1:1" x14ac:dyDescent="0.35">
      <c r="A230" s="905"/>
    </row>
    <row r="231" spans="1:1" x14ac:dyDescent="0.35">
      <c r="A231" s="905"/>
    </row>
    <row r="232" spans="1:1" x14ac:dyDescent="0.35">
      <c r="A232" s="905"/>
    </row>
    <row r="233" spans="1:1" x14ac:dyDescent="0.35">
      <c r="A233" s="905"/>
    </row>
    <row r="234" spans="1:1" x14ac:dyDescent="0.35">
      <c r="A234" s="905"/>
    </row>
    <row r="235" spans="1:1" x14ac:dyDescent="0.35">
      <c r="A235" s="905"/>
    </row>
    <row r="236" spans="1:1" x14ac:dyDescent="0.35">
      <c r="A236" s="905"/>
    </row>
    <row r="237" spans="1:1" x14ac:dyDescent="0.35">
      <c r="A237" s="905"/>
    </row>
    <row r="238" spans="1:1" x14ac:dyDescent="0.35">
      <c r="A238" s="905"/>
    </row>
    <row r="239" spans="1:1" x14ac:dyDescent="0.35">
      <c r="A239" s="905"/>
    </row>
    <row r="240" spans="1:1" x14ac:dyDescent="0.35">
      <c r="A240" s="905"/>
    </row>
    <row r="241" spans="1:1" x14ac:dyDescent="0.35">
      <c r="A241" s="905"/>
    </row>
    <row r="242" spans="1:1" x14ac:dyDescent="0.35">
      <c r="A242" s="905"/>
    </row>
    <row r="243" spans="1:1" x14ac:dyDescent="0.35">
      <c r="A243" s="905"/>
    </row>
    <row r="244" spans="1:1" x14ac:dyDescent="0.35">
      <c r="A244" s="905"/>
    </row>
    <row r="245" spans="1:1" x14ac:dyDescent="0.35">
      <c r="A245" s="905"/>
    </row>
    <row r="246" spans="1:1" x14ac:dyDescent="0.35">
      <c r="A246" s="905"/>
    </row>
    <row r="247" spans="1:1" x14ac:dyDescent="0.35">
      <c r="A247" s="905"/>
    </row>
    <row r="248" spans="1:1" x14ac:dyDescent="0.35">
      <c r="A248" s="905"/>
    </row>
    <row r="249" spans="1:1" x14ac:dyDescent="0.35">
      <c r="A249" s="905"/>
    </row>
    <row r="250" spans="1:1" x14ac:dyDescent="0.35">
      <c r="A250" s="905"/>
    </row>
    <row r="251" spans="1:1" x14ac:dyDescent="0.35">
      <c r="A251" s="905"/>
    </row>
    <row r="252" spans="1:1" x14ac:dyDescent="0.35">
      <c r="A252" s="905"/>
    </row>
    <row r="253" spans="1:1" x14ac:dyDescent="0.35">
      <c r="A253" s="905"/>
    </row>
    <row r="254" spans="1:1" x14ac:dyDescent="0.35">
      <c r="A254" s="905"/>
    </row>
    <row r="255" spans="1:1" x14ac:dyDescent="0.35">
      <c r="A255" s="905"/>
    </row>
    <row r="256" spans="1:1" x14ac:dyDescent="0.35">
      <c r="A256" s="905"/>
    </row>
    <row r="257" spans="1:1" x14ac:dyDescent="0.35">
      <c r="A257" s="905"/>
    </row>
    <row r="258" spans="1:1" x14ac:dyDescent="0.35">
      <c r="A258" s="905"/>
    </row>
    <row r="259" spans="1:1" x14ac:dyDescent="0.35">
      <c r="A259" s="905"/>
    </row>
    <row r="260" spans="1:1" x14ac:dyDescent="0.35">
      <c r="A260" s="905"/>
    </row>
    <row r="261" spans="1:1" x14ac:dyDescent="0.35">
      <c r="A261" s="905"/>
    </row>
    <row r="262" spans="1:1" x14ac:dyDescent="0.35">
      <c r="A262" s="905"/>
    </row>
    <row r="263" spans="1:1" x14ac:dyDescent="0.35">
      <c r="A263" s="905"/>
    </row>
    <row r="264" spans="1:1" x14ac:dyDescent="0.35">
      <c r="A264" s="905"/>
    </row>
    <row r="265" spans="1:1" x14ac:dyDescent="0.35">
      <c r="A265" s="905"/>
    </row>
    <row r="266" spans="1:1" x14ac:dyDescent="0.35">
      <c r="A266" s="905"/>
    </row>
    <row r="267" spans="1:1" x14ac:dyDescent="0.35">
      <c r="A267" s="905"/>
    </row>
    <row r="268" spans="1:1" x14ac:dyDescent="0.35">
      <c r="A268" s="905"/>
    </row>
    <row r="269" spans="1:1" x14ac:dyDescent="0.35">
      <c r="A269" s="905"/>
    </row>
    <row r="270" spans="1:1" x14ac:dyDescent="0.35">
      <c r="A270" s="905"/>
    </row>
    <row r="271" spans="1:1" x14ac:dyDescent="0.35">
      <c r="A271" s="905"/>
    </row>
    <row r="272" spans="1:1" x14ac:dyDescent="0.35">
      <c r="A272" s="905"/>
    </row>
    <row r="273" spans="1:1" x14ac:dyDescent="0.35">
      <c r="A273" s="905"/>
    </row>
    <row r="274" spans="1:1" x14ac:dyDescent="0.35">
      <c r="A274" s="905"/>
    </row>
    <row r="275" spans="1:1" x14ac:dyDescent="0.35">
      <c r="A275" s="905"/>
    </row>
    <row r="276" spans="1:1" x14ac:dyDescent="0.35">
      <c r="A276" s="905"/>
    </row>
    <row r="277" spans="1:1" x14ac:dyDescent="0.35">
      <c r="A277" s="905"/>
    </row>
    <row r="278" spans="1:1" x14ac:dyDescent="0.35">
      <c r="A278" s="905"/>
    </row>
    <row r="279" spans="1:1" x14ac:dyDescent="0.35">
      <c r="A279" s="905"/>
    </row>
    <row r="280" spans="1:1" x14ac:dyDescent="0.35">
      <c r="A280" s="905"/>
    </row>
    <row r="281" spans="1:1" x14ac:dyDescent="0.35">
      <c r="A281" s="905"/>
    </row>
    <row r="282" spans="1:1" x14ac:dyDescent="0.35">
      <c r="A282" s="905"/>
    </row>
    <row r="283" spans="1:1" x14ac:dyDescent="0.35">
      <c r="A283" s="905"/>
    </row>
    <row r="284" spans="1:1" x14ac:dyDescent="0.35">
      <c r="A284" s="905"/>
    </row>
    <row r="285" spans="1:1" x14ac:dyDescent="0.35">
      <c r="A285" s="905"/>
    </row>
    <row r="286" spans="1:1" x14ac:dyDescent="0.35">
      <c r="A286" s="905"/>
    </row>
    <row r="287" spans="1:1" x14ac:dyDescent="0.35">
      <c r="A287" s="905"/>
    </row>
    <row r="288" spans="1:1" x14ac:dyDescent="0.35">
      <c r="A288" s="905"/>
    </row>
    <row r="289" spans="1:1" x14ac:dyDescent="0.35">
      <c r="A289" s="905"/>
    </row>
    <row r="290" spans="1:1" x14ac:dyDescent="0.35">
      <c r="A290" s="905"/>
    </row>
    <row r="291" spans="1:1" x14ac:dyDescent="0.35">
      <c r="A291" s="905"/>
    </row>
    <row r="292" spans="1:1" x14ac:dyDescent="0.35">
      <c r="A292" s="905"/>
    </row>
    <row r="293" spans="1:1" x14ac:dyDescent="0.35">
      <c r="A293" s="905"/>
    </row>
    <row r="294" spans="1:1" x14ac:dyDescent="0.35">
      <c r="A294" s="905"/>
    </row>
    <row r="295" spans="1:1" x14ac:dyDescent="0.35">
      <c r="A295" s="905"/>
    </row>
    <row r="296" spans="1:1" x14ac:dyDescent="0.35">
      <c r="A296" s="905"/>
    </row>
    <row r="297" spans="1:1" x14ac:dyDescent="0.35">
      <c r="A297" s="905"/>
    </row>
    <row r="298" spans="1:1" x14ac:dyDescent="0.35">
      <c r="A298" s="905"/>
    </row>
    <row r="299" spans="1:1" x14ac:dyDescent="0.35">
      <c r="A299" s="905"/>
    </row>
    <row r="300" spans="1:1" x14ac:dyDescent="0.35">
      <c r="A300" s="905"/>
    </row>
    <row r="301" spans="1:1" x14ac:dyDescent="0.35">
      <c r="A301" s="905"/>
    </row>
    <row r="302" spans="1:1" x14ac:dyDescent="0.35">
      <c r="A302" s="905"/>
    </row>
    <row r="303" spans="1:1" x14ac:dyDescent="0.35">
      <c r="A303" s="905"/>
    </row>
    <row r="304" spans="1:1" x14ac:dyDescent="0.35">
      <c r="A304" s="905"/>
    </row>
    <row r="305" spans="1:1" x14ac:dyDescent="0.35">
      <c r="A305" s="905"/>
    </row>
    <row r="306" spans="1:1" x14ac:dyDescent="0.35">
      <c r="A306" s="905"/>
    </row>
    <row r="307" spans="1:1" x14ac:dyDescent="0.35">
      <c r="A307" s="905"/>
    </row>
    <row r="308" spans="1:1" x14ac:dyDescent="0.35">
      <c r="A308" s="905"/>
    </row>
    <row r="309" spans="1:1" x14ac:dyDescent="0.35">
      <c r="A309" s="905"/>
    </row>
    <row r="310" spans="1:1" x14ac:dyDescent="0.35">
      <c r="A310" s="905"/>
    </row>
    <row r="311" spans="1:1" x14ac:dyDescent="0.35">
      <c r="A311" s="905"/>
    </row>
  </sheetData>
  <sheetProtection algorithmName="SHA-512" hashValue="+/jCS32UVdCO5c1o1iAeTKGqeHEV7YYfPGq0UJHoC1I4hy51KxCBOD3yOMu5NgunqIer2sgdC3gitRBe1hRQjQ==" saltValue="uNU/bAzRrKiUGyFOtBOwhA==" spinCount="100000" sheet="1" objects="1" scenarios="1"/>
  <mergeCells count="1">
    <mergeCell ref="B1:B181"/>
  </mergeCells>
  <phoneticPr fontId="60" type="noConversion"/>
  <pageMargins left="0.70866141732283472" right="0.70866141732283472" top="0.74803149606299213" bottom="0.74803149606299213" header="0.31496062992125984" footer="0.31496062992125984"/>
  <pageSetup paperSize="9" scale="51" fitToHeight="2" orientation="portrait" r:id="rId1"/>
  <headerFooter>
    <oddHeader xml:space="preserve">&amp;CLincolnshire County Council 
</oddHeader>
    <oddFooter>&amp;C2023/24 Special School Budget Share Calculation
ISB Weightings</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
    <tabColor rgb="FFFFFF00"/>
    <pageSetUpPr fitToPage="1"/>
  </sheetPr>
  <dimension ref="A1:M179"/>
  <sheetViews>
    <sheetView zoomScale="85" zoomScaleNormal="85" workbookViewId="0">
      <selection activeCell="D4" sqref="D4"/>
    </sheetView>
  </sheetViews>
  <sheetFormatPr defaultColWidth="9.1796875" defaultRowHeight="15.5" x14ac:dyDescent="0.35"/>
  <cols>
    <col min="1" max="5" width="22.7265625" style="892" customWidth="1"/>
    <col min="6" max="6" width="24.26953125" style="892" customWidth="1"/>
    <col min="7" max="7" width="22.7265625" style="892" customWidth="1"/>
    <col min="8" max="8" width="8.1796875" style="1021" customWidth="1"/>
    <col min="9" max="9" width="22.7265625" style="892" customWidth="1"/>
    <col min="10" max="16384" width="9.1796875" style="892"/>
  </cols>
  <sheetData>
    <row r="1" spans="1:13" x14ac:dyDescent="0.35">
      <c r="A1" s="911" t="s">
        <v>616</v>
      </c>
      <c r="B1" s="911"/>
      <c r="C1" s="906"/>
      <c r="D1" s="906"/>
      <c r="E1" s="911"/>
      <c r="F1" s="906"/>
      <c r="G1" s="906"/>
      <c r="H1" s="912"/>
      <c r="I1" s="1016"/>
      <c r="J1" s="1016"/>
      <c r="K1" s="1016"/>
      <c r="L1" s="1016"/>
      <c r="M1" s="1016"/>
    </row>
    <row r="2" spans="1:13" ht="15" customHeight="1" x14ac:dyDescent="0.35">
      <c r="A2" s="911"/>
      <c r="B2" s="911"/>
      <c r="C2" s="906"/>
      <c r="D2" s="906"/>
      <c r="E2" s="911"/>
      <c r="F2" s="906"/>
      <c r="G2" s="906"/>
      <c r="H2" s="912"/>
      <c r="I2" s="1016"/>
      <c r="J2" s="1016"/>
      <c r="K2" s="1016"/>
      <c r="L2" s="1016"/>
      <c r="M2" s="1016"/>
    </row>
    <row r="3" spans="1:13" x14ac:dyDescent="0.35">
      <c r="A3" s="911" t="s">
        <v>94</v>
      </c>
      <c r="B3" s="895"/>
      <c r="C3" s="906"/>
      <c r="D3" s="906"/>
      <c r="E3" s="906"/>
      <c r="F3" s="906"/>
      <c r="G3" s="913"/>
      <c r="H3" s="912"/>
      <c r="I3" s="1016"/>
      <c r="J3" s="1016"/>
      <c r="K3" s="1017"/>
      <c r="L3" s="1016"/>
      <c r="M3" s="1018"/>
    </row>
    <row r="4" spans="1:13" x14ac:dyDescent="0.35">
      <c r="A4" s="911"/>
      <c r="B4" s="895"/>
      <c r="C4" s="914" t="s">
        <v>95</v>
      </c>
      <c r="D4" s="915"/>
      <c r="E4" s="916"/>
      <c r="F4" s="911" t="e">
        <f>VLOOKUP(D4,'2223 Funding Detail'!A4:AQ22,2,FALSE)</f>
        <v>#N/A</v>
      </c>
      <c r="G4" s="917"/>
      <c r="H4" s="912"/>
      <c r="I4" s="1016"/>
      <c r="J4" s="1016"/>
      <c r="K4" s="1017"/>
      <c r="L4" s="1016"/>
      <c r="M4" s="1016"/>
    </row>
    <row r="5" spans="1:13" x14ac:dyDescent="0.35">
      <c r="A5" s="911"/>
      <c r="B5" s="914"/>
      <c r="C5" s="918"/>
      <c r="D5" s="906"/>
      <c r="E5" s="916"/>
      <c r="F5" s="911"/>
      <c r="G5" s="917"/>
      <c r="H5" s="912"/>
      <c r="I5" s="1016"/>
      <c r="J5" s="1016"/>
      <c r="K5" s="1017"/>
      <c r="L5" s="1016"/>
      <c r="M5" s="1016"/>
    </row>
    <row r="6" spans="1:13" x14ac:dyDescent="0.35">
      <c r="A6" s="906"/>
      <c r="B6" s="906"/>
      <c r="C6" s="906"/>
      <c r="D6" s="906"/>
      <c r="E6" s="906" t="s">
        <v>128</v>
      </c>
      <c r="F6" s="906" t="s">
        <v>617</v>
      </c>
      <c r="G6" s="906" t="s">
        <v>618</v>
      </c>
      <c r="H6" s="912"/>
      <c r="I6" s="1016"/>
      <c r="J6" s="1019"/>
      <c r="K6" s="1016"/>
      <c r="L6" s="1016"/>
      <c r="M6" s="1016"/>
    </row>
    <row r="7" spans="1:13" x14ac:dyDescent="0.35">
      <c r="A7" s="906" t="s">
        <v>619</v>
      </c>
      <c r="B7" s="906"/>
      <c r="C7" s="906"/>
      <c r="D7" s="906"/>
      <c r="E7" s="895" t="e">
        <f>VLOOKUP($D$4,'2324 Band Calculations'!A6:Q22,11,FALSE)</f>
        <v>#N/A</v>
      </c>
      <c r="F7" s="907">
        <f>10000*(5/12)</f>
        <v>4166.666666666667</v>
      </c>
      <c r="G7" s="907" t="e">
        <f>VLOOKUP(D4,'2324 Band Calculations'!A6:S22,15,FALSE)</f>
        <v>#N/A</v>
      </c>
      <c r="H7" s="912"/>
      <c r="I7" s="1016"/>
      <c r="J7" s="1019"/>
      <c r="K7" s="1016"/>
      <c r="L7" s="1016"/>
      <c r="M7" s="1016"/>
    </row>
    <row r="8" spans="1:13" x14ac:dyDescent="0.35">
      <c r="A8" s="906" t="s">
        <v>620</v>
      </c>
      <c r="B8" s="906"/>
      <c r="C8" s="906"/>
      <c r="D8" s="906"/>
      <c r="E8" s="895" t="e">
        <f>VLOOKUP(D4,'2324 Band Calculations'!A48:Q64,11,FALSE)</f>
        <v>#N/A</v>
      </c>
      <c r="F8" s="907">
        <f>10000*(7/12)</f>
        <v>5833.3333333333339</v>
      </c>
      <c r="G8" s="907" t="e">
        <f>VLOOKUP(D4,'2324 Band Calculations'!A48:S64,15,FALSE)</f>
        <v>#N/A</v>
      </c>
      <c r="H8" s="912"/>
      <c r="I8" s="1016"/>
      <c r="J8" s="1019"/>
      <c r="K8" s="1016"/>
      <c r="L8" s="1016"/>
      <c r="M8" s="1016"/>
    </row>
    <row r="9" spans="1:13" x14ac:dyDescent="0.35">
      <c r="A9" s="906"/>
      <c r="B9" s="906"/>
      <c r="C9" s="906"/>
      <c r="D9" s="906"/>
      <c r="E9" s="895"/>
      <c r="F9" s="920">
        <f>SUM(F7:F8)</f>
        <v>10000</v>
      </c>
      <c r="G9" s="920" t="e">
        <f>VLOOKUP(D4,'2324 Band Calculations'!A106:AM122,22,FALSE)</f>
        <v>#N/A</v>
      </c>
      <c r="H9" s="912"/>
      <c r="I9" s="1016"/>
      <c r="J9" s="1019"/>
      <c r="K9" s="1016"/>
      <c r="L9" s="1016"/>
      <c r="M9" s="1016"/>
    </row>
    <row r="10" spans="1:13" x14ac:dyDescent="0.35">
      <c r="A10" s="906"/>
      <c r="B10" s="906"/>
      <c r="C10" s="906"/>
      <c r="D10" s="906"/>
      <c r="E10" s="906"/>
      <c r="F10" s="895"/>
      <c r="G10" s="895"/>
      <c r="H10" s="895">
        <v>1</v>
      </c>
      <c r="I10" s="1016"/>
      <c r="J10" s="1019"/>
      <c r="K10" s="1016"/>
      <c r="L10" s="1016"/>
      <c r="M10" s="1016"/>
    </row>
    <row r="11" spans="1:13" x14ac:dyDescent="0.35">
      <c r="A11" s="906" t="s">
        <v>621</v>
      </c>
      <c r="B11" s="906"/>
      <c r="C11" s="906"/>
      <c r="D11" s="906"/>
      <c r="E11" s="906" t="e">
        <f>VLOOKUP(D4,'2324 Band Calculations'!A27:N43,11,FALSE)</f>
        <v>#N/A</v>
      </c>
      <c r="F11" s="907">
        <f>10000*(4/12)</f>
        <v>3333.333333333333</v>
      </c>
      <c r="G11" s="907" t="e">
        <f>VLOOKUP(D4,'2324 Band Calculations'!A27:P43,15,FALSE)</f>
        <v>#N/A</v>
      </c>
      <c r="H11" s="912"/>
      <c r="I11" s="1016"/>
      <c r="J11" s="1019"/>
      <c r="K11" s="1016"/>
      <c r="L11" s="1016"/>
      <c r="M11" s="1016"/>
    </row>
    <row r="12" spans="1:13" x14ac:dyDescent="0.35">
      <c r="A12" s="906" t="s">
        <v>622</v>
      </c>
      <c r="B12" s="906"/>
      <c r="C12" s="906"/>
      <c r="D12" s="906"/>
      <c r="E12" s="906" t="e">
        <f>VLOOKUP(D4,'2324 Band Calculations'!A69:N85,11,FALSE)</f>
        <v>#N/A</v>
      </c>
      <c r="F12" s="907">
        <f>10000*(8/12)</f>
        <v>6666.6666666666661</v>
      </c>
      <c r="G12" s="907" t="e">
        <f>VLOOKUP(D4,'2324 Band Calculations'!A69:P85,15,FALSE)</f>
        <v>#N/A</v>
      </c>
      <c r="H12" s="912"/>
      <c r="I12" s="1016"/>
      <c r="J12" s="1019"/>
      <c r="K12" s="1016"/>
      <c r="L12" s="1016"/>
      <c r="M12" s="1016"/>
    </row>
    <row r="13" spans="1:13" x14ac:dyDescent="0.35">
      <c r="A13" s="911"/>
      <c r="B13" s="906"/>
      <c r="C13" s="906"/>
      <c r="D13" s="906"/>
      <c r="E13" s="906"/>
      <c r="F13" s="920">
        <f>SUM(F11:F12)</f>
        <v>10000</v>
      </c>
      <c r="G13" s="921" t="e">
        <f>VLOOKUP(D4,'2324 Band Calculations'!A106:AM122,23,FALSE)</f>
        <v>#N/A</v>
      </c>
      <c r="H13" s="912"/>
      <c r="I13" s="1016"/>
      <c r="J13" s="1019"/>
      <c r="K13" s="1016"/>
      <c r="L13" s="1016"/>
      <c r="M13" s="1016"/>
    </row>
    <row r="14" spans="1:13" x14ac:dyDescent="0.35">
      <c r="A14" s="911"/>
      <c r="B14" s="906"/>
      <c r="C14" s="906"/>
      <c r="D14" s="906"/>
      <c r="E14" s="906"/>
      <c r="F14" s="907"/>
      <c r="G14" s="922"/>
      <c r="H14" s="912"/>
      <c r="I14" s="1016"/>
      <c r="J14" s="1019"/>
      <c r="K14" s="1016"/>
      <c r="L14" s="1016"/>
      <c r="M14" s="1016"/>
    </row>
    <row r="15" spans="1:13" x14ac:dyDescent="0.35">
      <c r="A15" s="906"/>
      <c r="B15" s="906"/>
      <c r="C15" s="906"/>
      <c r="D15" s="906" t="s">
        <v>623</v>
      </c>
      <c r="E15" s="912" t="e">
        <f>VLOOKUP(D4,'2324 Band Calculations'!A106:AM123,19,FALSE)</f>
        <v>#N/A</v>
      </c>
      <c r="F15" s="906" t="s">
        <v>624</v>
      </c>
      <c r="G15" s="923" t="e">
        <f>VLOOKUP(D4,'2324 Band Calculations'!A106:AM122,24,FALSE)</f>
        <v>#N/A</v>
      </c>
      <c r="H15" s="912">
        <v>2</v>
      </c>
      <c r="I15" s="1016"/>
      <c r="J15" s="1019"/>
      <c r="K15" s="1016"/>
      <c r="L15" s="1016"/>
      <c r="M15" s="1016"/>
    </row>
    <row r="16" spans="1:13" ht="16" thickBot="1" x14ac:dyDescent="0.4">
      <c r="A16" s="906"/>
      <c r="B16" s="906"/>
      <c r="C16" s="906"/>
      <c r="D16" s="906"/>
      <c r="E16" s="906"/>
      <c r="F16" s="906"/>
      <c r="G16" s="922"/>
      <c r="H16" s="912"/>
      <c r="I16" s="1016"/>
      <c r="J16" s="1019"/>
      <c r="K16" s="1016"/>
      <c r="L16" s="1016"/>
      <c r="M16" s="1016"/>
    </row>
    <row r="17" spans="1:13" ht="16" thickBot="1" x14ac:dyDescent="0.4">
      <c r="A17" s="906" t="s">
        <v>625</v>
      </c>
      <c r="B17" s="906"/>
      <c r="C17" s="924" t="e">
        <f>VLOOKUP(D4,'2324 Funding Detail'!A4:AA20,25,FALSE)</f>
        <v>#N/A</v>
      </c>
      <c r="D17" s="895" t="s">
        <v>626</v>
      </c>
      <c r="E17" s="895"/>
      <c r="F17" s="895"/>
      <c r="G17" s="906"/>
      <c r="H17" s="912">
        <v>3</v>
      </c>
      <c r="I17" s="1016"/>
      <c r="J17" s="1019"/>
      <c r="K17" s="1016"/>
      <c r="L17" s="1016"/>
      <c r="M17" s="1016"/>
    </row>
    <row r="18" spans="1:13" ht="16" thickBot="1" x14ac:dyDescent="0.4">
      <c r="A18" s="906"/>
      <c r="B18" s="906"/>
      <c r="C18" s="925"/>
      <c r="D18" s="895"/>
      <c r="E18" s="895"/>
      <c r="F18" s="895"/>
      <c r="G18" s="906"/>
      <c r="H18" s="912"/>
      <c r="I18" s="1016"/>
      <c r="J18" s="1019"/>
      <c r="K18" s="1016"/>
      <c r="L18" s="1016"/>
      <c r="M18" s="1016"/>
    </row>
    <row r="19" spans="1:13" ht="16" thickBot="1" x14ac:dyDescent="0.4">
      <c r="A19" s="906"/>
      <c r="B19" s="906"/>
      <c r="C19" s="925"/>
      <c r="D19" s="906" t="s">
        <v>627</v>
      </c>
      <c r="E19" s="924" t="e">
        <f>VLOOKUP(D4,'2324 Funding Detail'!A4:AA20,21,FALSE)</f>
        <v>#N/A</v>
      </c>
      <c r="F19" s="906" t="s">
        <v>626</v>
      </c>
      <c r="G19" s="906"/>
      <c r="H19" s="912">
        <v>4</v>
      </c>
      <c r="I19" s="1016"/>
      <c r="J19" s="1019"/>
      <c r="K19" s="1016"/>
      <c r="L19" s="1016"/>
      <c r="M19" s="1016"/>
    </row>
    <row r="20" spans="1:13" x14ac:dyDescent="0.35">
      <c r="A20" s="906"/>
      <c r="B20" s="906"/>
      <c r="C20" s="925"/>
      <c r="D20" s="906"/>
      <c r="E20" s="925"/>
      <c r="F20" s="906"/>
      <c r="G20" s="906"/>
      <c r="H20" s="912"/>
      <c r="I20" s="1016"/>
      <c r="J20" s="1019"/>
      <c r="K20" s="1016"/>
      <c r="L20" s="1016"/>
      <c r="M20" s="1016"/>
    </row>
    <row r="21" spans="1:13" x14ac:dyDescent="0.35">
      <c r="A21" s="906"/>
      <c r="B21" s="906"/>
      <c r="C21" s="906"/>
      <c r="D21" s="906"/>
      <c r="E21" s="906" t="s">
        <v>628</v>
      </c>
      <c r="F21" s="906" t="s">
        <v>629</v>
      </c>
      <c r="G21" s="906" t="s">
        <v>194</v>
      </c>
      <c r="H21" s="912"/>
      <c r="I21" s="1016"/>
      <c r="J21" s="1019"/>
      <c r="K21" s="1016"/>
      <c r="L21" s="1016"/>
      <c r="M21" s="1016"/>
    </row>
    <row r="22" spans="1:13" x14ac:dyDescent="0.35">
      <c r="A22" s="906" t="s">
        <v>630</v>
      </c>
      <c r="B22" s="906"/>
      <c r="C22" s="906"/>
      <c r="D22" s="906"/>
      <c r="E22" s="895" t="e">
        <f>VLOOKUP($D$4,'2324 Band Calculations'!A6:Q22,11,FALSE)</f>
        <v>#N/A</v>
      </c>
      <c r="F22" s="922" t="e">
        <f>C17*(5/12)</f>
        <v>#N/A</v>
      </c>
      <c r="G22" s="922" t="e">
        <f>VLOOKUP(D4,'2324 Band Calculations'!A6:S22,16,FALSE)</f>
        <v>#N/A</v>
      </c>
      <c r="H22" s="912"/>
      <c r="I22" s="1020"/>
      <c r="J22" s="1019"/>
      <c r="K22" s="1016"/>
      <c r="L22" s="1016"/>
      <c r="M22" s="1016"/>
    </row>
    <row r="23" spans="1:13" x14ac:dyDescent="0.35">
      <c r="A23" s="906" t="s">
        <v>631</v>
      </c>
      <c r="B23" s="906"/>
      <c r="C23" s="906"/>
      <c r="D23" s="906"/>
      <c r="E23" s="895" t="e">
        <f>VLOOKUP(D4,'2324 Band Calculations'!A48:Q64,11,FALSE)</f>
        <v>#N/A</v>
      </c>
      <c r="F23" s="922" t="e">
        <f>C17*(7/12)</f>
        <v>#N/A</v>
      </c>
      <c r="G23" s="922" t="e">
        <f>VLOOKUP(D4,'2324 Band Calculations'!A48:S64,16,FALSE)</f>
        <v>#N/A</v>
      </c>
      <c r="H23" s="912"/>
      <c r="I23" s="1020"/>
      <c r="J23" s="1019"/>
      <c r="K23" s="1016"/>
      <c r="L23" s="1016"/>
      <c r="M23" s="1016"/>
    </row>
    <row r="24" spans="1:13" x14ac:dyDescent="0.35">
      <c r="A24" s="895"/>
      <c r="B24" s="906"/>
      <c r="C24" s="906"/>
      <c r="D24" s="906"/>
      <c r="E24" s="906"/>
      <c r="F24" s="921" t="e">
        <f>SUM(F22:F23)</f>
        <v>#N/A</v>
      </c>
      <c r="G24" s="921" t="e">
        <f>VLOOKUP(D4,'2324 Band Calculations'!A106:AM122,31,FALSE)</f>
        <v>#N/A</v>
      </c>
      <c r="H24" s="912">
        <v>5</v>
      </c>
      <c r="I24" s="1016"/>
      <c r="J24" s="1019"/>
      <c r="K24" s="1016"/>
      <c r="L24" s="1016"/>
      <c r="M24" s="1016"/>
    </row>
    <row r="25" spans="1:13" x14ac:dyDescent="0.35">
      <c r="A25" s="895"/>
      <c r="B25" s="906"/>
      <c r="C25" s="906"/>
      <c r="D25" s="906"/>
      <c r="E25" s="906"/>
      <c r="F25" s="922"/>
      <c r="G25" s="922"/>
      <c r="H25" s="912"/>
      <c r="I25" s="1016"/>
      <c r="J25" s="1019"/>
      <c r="K25" s="1016"/>
      <c r="L25" s="1016"/>
      <c r="M25" s="1016"/>
    </row>
    <row r="26" spans="1:13" x14ac:dyDescent="0.35">
      <c r="A26" s="906" t="s">
        <v>632</v>
      </c>
      <c r="B26" s="906"/>
      <c r="C26" s="906"/>
      <c r="D26" s="906"/>
      <c r="E26" s="906" t="e">
        <f>VLOOKUP(D4,'2324 Band Calculations'!A27:N43,11,FALSE)</f>
        <v>#N/A</v>
      </c>
      <c r="F26" s="922" t="e">
        <f>C17*(4/12)</f>
        <v>#N/A</v>
      </c>
      <c r="G26" s="922" t="e">
        <f>VLOOKUP(D4,'2324 Band Calculations'!A27:P43,16,FALSE)</f>
        <v>#N/A</v>
      </c>
      <c r="H26" s="912"/>
      <c r="I26" s="1020"/>
      <c r="J26" s="1019"/>
      <c r="K26" s="1016"/>
      <c r="L26" s="1016"/>
      <c r="M26" s="1016"/>
    </row>
    <row r="27" spans="1:13" x14ac:dyDescent="0.35">
      <c r="A27" s="906" t="s">
        <v>633</v>
      </c>
      <c r="B27" s="895"/>
      <c r="C27" s="895"/>
      <c r="D27" s="895"/>
      <c r="E27" s="906" t="e">
        <f>VLOOKUP(D4,'2324 Band Calculations'!A69:N85,11,FALSE)</f>
        <v>#N/A</v>
      </c>
      <c r="F27" s="922" t="e">
        <f>(8/12)*C17</f>
        <v>#N/A</v>
      </c>
      <c r="G27" s="922" t="e">
        <f>VLOOKUP(D4,'2324 Band Calculations'!A69:P85,16,FALSE)</f>
        <v>#N/A</v>
      </c>
      <c r="H27" s="926"/>
      <c r="I27" s="1020"/>
    </row>
    <row r="28" spans="1:13" x14ac:dyDescent="0.35">
      <c r="A28" s="895"/>
      <c r="B28" s="895"/>
      <c r="C28" s="895"/>
      <c r="D28" s="895"/>
      <c r="E28" s="895"/>
      <c r="F28" s="920" t="e">
        <f>SUM(F26:F27)</f>
        <v>#N/A</v>
      </c>
      <c r="G28" s="920" t="e">
        <f>VLOOKUP(D4,'2324 Band Calculations'!A106:AM122,34,FALSE)</f>
        <v>#N/A</v>
      </c>
      <c r="H28" s="926">
        <v>6</v>
      </c>
    </row>
    <row r="29" spans="1:13" x14ac:dyDescent="0.35">
      <c r="A29" s="895"/>
      <c r="B29" s="895"/>
      <c r="C29" s="895"/>
      <c r="D29" s="895"/>
      <c r="E29" s="895"/>
      <c r="F29" s="907"/>
      <c r="G29" s="907"/>
      <c r="H29" s="926"/>
    </row>
    <row r="30" spans="1:13" x14ac:dyDescent="0.35">
      <c r="A30" s="895"/>
      <c r="B30" s="895"/>
      <c r="C30" s="895"/>
      <c r="D30" s="895"/>
      <c r="E30" s="895"/>
      <c r="F30" s="1128" t="s">
        <v>634</v>
      </c>
      <c r="G30" s="923" t="e">
        <f>VLOOKUP(D4,'2324 Band Calculations'!A106:AM122,35,FALSE)</f>
        <v>#N/A</v>
      </c>
      <c r="H30" s="926">
        <v>7</v>
      </c>
    </row>
    <row r="31" spans="1:13" x14ac:dyDescent="0.35">
      <c r="A31" s="895"/>
      <c r="B31" s="895"/>
      <c r="C31" s="895"/>
      <c r="D31" s="895"/>
      <c r="E31" s="895"/>
      <c r="F31" s="907"/>
      <c r="G31" s="895"/>
      <c r="H31" s="926"/>
      <c r="L31" s="892" t="s">
        <v>635</v>
      </c>
    </row>
    <row r="32" spans="1:13" ht="16" thickBot="1" x14ac:dyDescent="0.4">
      <c r="A32" s="895"/>
      <c r="B32" s="895"/>
      <c r="C32" s="895"/>
      <c r="D32" s="895"/>
      <c r="E32" s="1507" t="s">
        <v>636</v>
      </c>
      <c r="F32" s="1507"/>
      <c r="G32" s="927" t="e">
        <f>VLOOKUP(D4,'2324 Band Calculations'!A106:AM122,37,FALSE)</f>
        <v>#N/A</v>
      </c>
      <c r="H32" s="926">
        <v>8</v>
      </c>
    </row>
    <row r="33" spans="1:10" ht="16.5" thickTop="1" thickBot="1" x14ac:dyDescent="0.4">
      <c r="A33" s="895"/>
      <c r="B33" s="895"/>
      <c r="C33" s="895"/>
      <c r="D33" s="895"/>
      <c r="E33" s="895"/>
      <c r="F33" s="907"/>
      <c r="G33" s="895"/>
      <c r="H33" s="926"/>
    </row>
    <row r="34" spans="1:10" ht="16" thickBot="1" x14ac:dyDescent="0.4">
      <c r="A34" s="895" t="s">
        <v>637</v>
      </c>
      <c r="B34" s="895"/>
      <c r="C34" s="895"/>
      <c r="D34" s="928" t="e">
        <f>VLOOKUP(D4,'2324 Funding Detail'!A4:P20,16,FALSE)</f>
        <v>#N/A</v>
      </c>
      <c r="E34" s="895"/>
      <c r="F34" s="895"/>
      <c r="G34" s="895"/>
      <c r="H34" s="926">
        <v>9</v>
      </c>
    </row>
    <row r="35" spans="1:10" x14ac:dyDescent="0.35">
      <c r="A35" s="895"/>
      <c r="B35" s="895"/>
      <c r="C35" s="895"/>
      <c r="D35" s="895"/>
      <c r="E35" s="895"/>
      <c r="F35" s="895"/>
      <c r="G35" s="895"/>
      <c r="H35" s="926"/>
    </row>
    <row r="36" spans="1:10" x14ac:dyDescent="0.35">
      <c r="A36" s="895" t="s">
        <v>638</v>
      </c>
      <c r="B36" s="895"/>
      <c r="C36" s="895"/>
      <c r="D36" s="907"/>
      <c r="E36" s="895"/>
      <c r="F36" s="895"/>
      <c r="G36" s="1406" t="e">
        <f>VLOOKUP(D4,'3.4% Allocations'!B30:M47,12,FALSE)</f>
        <v>#N/A</v>
      </c>
      <c r="H36" s="926">
        <v>10</v>
      </c>
    </row>
    <row r="37" spans="1:10" x14ac:dyDescent="0.35">
      <c r="A37" s="895"/>
      <c r="B37" s="895"/>
      <c r="C37" s="895"/>
      <c r="D37" s="907"/>
      <c r="E37" s="895"/>
      <c r="F37" s="895"/>
      <c r="G37" s="895"/>
      <c r="H37" s="926"/>
    </row>
    <row r="38" spans="1:10" ht="16" thickBot="1" x14ac:dyDescent="0.4">
      <c r="A38" s="918" t="s">
        <v>639</v>
      </c>
      <c r="B38" s="895"/>
      <c r="C38" s="895"/>
      <c r="D38" s="907"/>
      <c r="E38" s="895"/>
      <c r="F38" s="895"/>
      <c r="G38" s="927" t="e">
        <f>G32+G36</f>
        <v>#N/A</v>
      </c>
      <c r="H38" s="926">
        <v>11</v>
      </c>
    </row>
    <row r="39" spans="1:10" ht="16" thickTop="1" x14ac:dyDescent="0.35">
      <c r="A39" s="895"/>
      <c r="B39" s="895"/>
      <c r="C39" s="895"/>
      <c r="D39" s="908"/>
      <c r="E39" s="895"/>
      <c r="F39" s="895"/>
      <c r="G39" s="895"/>
      <c r="H39" s="926"/>
    </row>
    <row r="40" spans="1:10" x14ac:dyDescent="0.35">
      <c r="A40" s="929" t="s">
        <v>111</v>
      </c>
      <c r="B40" s="895"/>
      <c r="C40" s="895"/>
      <c r="D40" s="895"/>
      <c r="E40" s="895"/>
      <c r="F40" s="907"/>
      <c r="G40" s="895"/>
      <c r="H40" s="926"/>
      <c r="J40" s="892" t="s">
        <v>635</v>
      </c>
    </row>
    <row r="41" spans="1:10" x14ac:dyDescent="0.35">
      <c r="A41" s="930" t="s">
        <v>112</v>
      </c>
      <c r="B41" s="895"/>
      <c r="C41" s="895"/>
      <c r="D41" s="895"/>
      <c r="E41" s="895"/>
      <c r="F41" s="907"/>
      <c r="G41" s="895"/>
      <c r="H41" s="926"/>
    </row>
    <row r="42" spans="1:10" x14ac:dyDescent="0.35">
      <c r="A42" s="907" t="s">
        <v>114</v>
      </c>
      <c r="B42" s="895"/>
      <c r="C42" s="895"/>
      <c r="D42" s="907" t="e">
        <f>VLOOKUP(D4,'2324 Funding Detail'!A4:AD20,6,FALSE)</f>
        <v>#N/A</v>
      </c>
      <c r="E42" s="895"/>
      <c r="F42" s="907"/>
      <c r="G42" s="895"/>
      <c r="H42" s="926"/>
    </row>
    <row r="43" spans="1:10" x14ac:dyDescent="0.35">
      <c r="A43" s="907" t="s">
        <v>116</v>
      </c>
      <c r="B43" s="895"/>
      <c r="C43" s="895"/>
      <c r="D43" s="907" t="e">
        <f>VLOOKUP(D4,'2324 Funding Detail'!A4:AD20,7,FALSE)</f>
        <v>#N/A</v>
      </c>
      <c r="E43" s="895"/>
      <c r="F43" s="907"/>
      <c r="G43" s="895"/>
      <c r="H43" s="926"/>
    </row>
    <row r="44" spans="1:10" x14ac:dyDescent="0.35">
      <c r="A44" s="907"/>
      <c r="B44" s="895"/>
      <c r="C44" s="895"/>
      <c r="D44" s="907"/>
      <c r="E44" s="895"/>
      <c r="F44" s="907"/>
      <c r="G44" s="895"/>
      <c r="H44" s="926"/>
    </row>
    <row r="45" spans="1:10" x14ac:dyDescent="0.35">
      <c r="A45" s="930" t="s">
        <v>118</v>
      </c>
      <c r="B45" s="895"/>
      <c r="C45" s="895"/>
      <c r="D45" s="907"/>
      <c r="E45" s="895"/>
      <c r="F45" s="907"/>
      <c r="G45" s="908"/>
      <c r="H45" s="926">
        <v>12</v>
      </c>
    </row>
    <row r="46" spans="1:10" x14ac:dyDescent="0.35">
      <c r="A46" s="907" t="s">
        <v>10</v>
      </c>
      <c r="B46" s="895"/>
      <c r="C46" s="895"/>
      <c r="D46" s="907" t="e">
        <f>VLOOKUP(D4,'Other Funding'!A7:V26,19,FALSE)</f>
        <v>#N/A</v>
      </c>
      <c r="E46" s="895"/>
      <c r="F46" s="895"/>
      <c r="G46" s="895"/>
      <c r="H46" s="926"/>
    </row>
    <row r="47" spans="1:10" x14ac:dyDescent="0.35">
      <c r="A47" s="907" t="s">
        <v>8</v>
      </c>
      <c r="B47" s="895"/>
      <c r="C47" s="895"/>
      <c r="D47" s="907" t="e">
        <f>VLOOKUP(D4,'Other Funding'!A7:V26,20,FALSE)</f>
        <v>#N/A</v>
      </c>
      <c r="E47" s="1508"/>
      <c r="F47" s="1508"/>
      <c r="G47" s="908"/>
      <c r="H47" s="926"/>
    </row>
    <row r="48" spans="1:10" x14ac:dyDescent="0.35">
      <c r="A48" s="907" t="s">
        <v>11</v>
      </c>
      <c r="B48" s="895"/>
      <c r="C48" s="895"/>
      <c r="D48" s="907" t="e">
        <f>VLOOKUP(D4,'Other Funding'!A7:V26,21,FALSE)</f>
        <v>#N/A</v>
      </c>
      <c r="E48" s="895"/>
      <c r="F48" s="895"/>
      <c r="G48" s="895"/>
      <c r="H48" s="926"/>
    </row>
    <row r="49" spans="1:8" x14ac:dyDescent="0.35">
      <c r="A49" s="907"/>
      <c r="B49" s="895"/>
      <c r="C49" s="895"/>
      <c r="D49" s="907"/>
      <c r="E49" s="895"/>
      <c r="F49" s="895"/>
      <c r="G49" s="895"/>
      <c r="H49" s="926"/>
    </row>
    <row r="50" spans="1:8" x14ac:dyDescent="0.35">
      <c r="A50" s="908" t="s">
        <v>121</v>
      </c>
      <c r="B50" s="918"/>
      <c r="C50" s="918"/>
      <c r="D50" s="931" t="e">
        <f>SUM(D42:D48)</f>
        <v>#N/A</v>
      </c>
      <c r="E50" s="895"/>
      <c r="F50" s="895"/>
      <c r="G50" s="895"/>
      <c r="H50" s="926"/>
    </row>
    <row r="51" spans="1:8" x14ac:dyDescent="0.35">
      <c r="A51" s="908"/>
      <c r="B51" s="918"/>
      <c r="C51" s="918"/>
      <c r="D51" s="908"/>
      <c r="E51" s="895"/>
      <c r="F51" s="895"/>
      <c r="G51" s="895"/>
      <c r="H51" s="926"/>
    </row>
    <row r="52" spans="1:8" x14ac:dyDescent="0.35">
      <c r="A52" s="895"/>
      <c r="B52" s="895"/>
      <c r="C52" s="895"/>
      <c r="D52" s="895"/>
      <c r="E52" s="908" t="s">
        <v>640</v>
      </c>
      <c r="F52" s="895"/>
      <c r="G52" s="1371" t="e">
        <f>G38+D50</f>
        <v>#N/A</v>
      </c>
      <c r="H52" s="926">
        <v>13</v>
      </c>
    </row>
    <row r="53" spans="1:8" x14ac:dyDescent="0.35">
      <c r="A53" s="895"/>
      <c r="B53" s="895"/>
      <c r="C53" s="895"/>
      <c r="D53" s="895"/>
      <c r="E53" s="908"/>
      <c r="F53" s="895"/>
      <c r="G53" s="908"/>
      <c r="H53" s="926"/>
    </row>
    <row r="54" spans="1:8" x14ac:dyDescent="0.35">
      <c r="A54" s="895"/>
      <c r="B54" s="895"/>
      <c r="C54" s="895"/>
      <c r="D54" s="895"/>
      <c r="E54" s="908"/>
      <c r="F54" s="895"/>
      <c r="G54" s="908"/>
      <c r="H54" s="926"/>
    </row>
    <row r="55" spans="1:8" ht="15.65" customHeight="1" x14ac:dyDescent="0.35">
      <c r="A55" s="1506" t="s">
        <v>641</v>
      </c>
      <c r="B55" s="1506"/>
      <c r="C55" s="1506"/>
      <c r="D55" s="1506"/>
      <c r="E55" s="1506"/>
      <c r="F55" s="1506"/>
      <c r="G55" s="1506"/>
      <c r="H55" s="1506"/>
    </row>
    <row r="56" spans="1:8" x14ac:dyDescent="0.35">
      <c r="A56" s="1506"/>
      <c r="B56" s="1506"/>
      <c r="C56" s="1506"/>
      <c r="D56" s="1506"/>
      <c r="E56" s="1506"/>
      <c r="F56" s="1506"/>
      <c r="G56" s="1506"/>
      <c r="H56" s="1506"/>
    </row>
    <row r="57" spans="1:8" x14ac:dyDescent="0.35">
      <c r="A57" s="1506"/>
      <c r="B57" s="1506"/>
      <c r="C57" s="1506"/>
      <c r="D57" s="1506"/>
      <c r="E57" s="1506"/>
      <c r="F57" s="1506"/>
      <c r="G57" s="1506"/>
      <c r="H57" s="1506"/>
    </row>
    <row r="58" spans="1:8" ht="12.75" customHeight="1" x14ac:dyDescent="0.35">
      <c r="A58" s="910"/>
      <c r="B58" s="910"/>
      <c r="C58" s="910"/>
      <c r="D58" s="910"/>
      <c r="E58" s="910"/>
      <c r="F58" s="910"/>
      <c r="G58" s="910"/>
      <c r="H58" s="910"/>
    </row>
    <row r="59" spans="1:8" ht="12.75" customHeight="1" x14ac:dyDescent="0.35">
      <c r="A59" s="1506" t="s">
        <v>1677</v>
      </c>
      <c r="B59" s="1506"/>
      <c r="C59" s="1506"/>
      <c r="D59" s="1506"/>
      <c r="E59" s="1506"/>
      <c r="F59" s="1506"/>
      <c r="G59" s="1506"/>
      <c r="H59" s="1506"/>
    </row>
    <row r="60" spans="1:8" ht="12.75" customHeight="1" x14ac:dyDescent="0.35">
      <c r="A60" s="1506"/>
      <c r="B60" s="1506"/>
      <c r="C60" s="1506"/>
      <c r="D60" s="1506"/>
      <c r="E60" s="1506"/>
      <c r="F60" s="1506"/>
      <c r="G60" s="1506"/>
      <c r="H60" s="1506"/>
    </row>
    <row r="61" spans="1:8" x14ac:dyDescent="0.35">
      <c r="A61" s="1506"/>
      <c r="B61" s="1506"/>
      <c r="C61" s="1506"/>
      <c r="D61" s="1506"/>
      <c r="E61" s="1506"/>
      <c r="F61" s="1506"/>
      <c r="G61" s="1506"/>
      <c r="H61" s="1506"/>
    </row>
    <row r="62" spans="1:8" x14ac:dyDescent="0.35">
      <c r="A62" s="1506"/>
      <c r="B62" s="1506"/>
      <c r="C62" s="1506"/>
      <c r="D62" s="1506"/>
      <c r="E62" s="1506"/>
      <c r="F62" s="1506"/>
      <c r="G62" s="1506"/>
      <c r="H62" s="1506"/>
    </row>
    <row r="63" spans="1:8" x14ac:dyDescent="0.35">
      <c r="A63" s="1506"/>
      <c r="B63" s="1506"/>
      <c r="C63" s="1506"/>
      <c r="D63" s="1506"/>
      <c r="E63" s="1506"/>
      <c r="F63" s="1506"/>
      <c r="G63" s="1506"/>
      <c r="H63" s="1506"/>
    </row>
    <row r="64" spans="1:8" x14ac:dyDescent="0.35">
      <c r="A64" s="1506"/>
      <c r="B64" s="1506"/>
      <c r="C64" s="1506"/>
      <c r="D64" s="1506"/>
      <c r="E64" s="1506"/>
      <c r="F64" s="1506"/>
      <c r="G64" s="1506"/>
      <c r="H64" s="1506"/>
    </row>
    <row r="65" spans="1:8" x14ac:dyDescent="0.35">
      <c r="A65" s="1506"/>
      <c r="B65" s="1506"/>
      <c r="C65" s="1506"/>
      <c r="D65" s="1506"/>
      <c r="E65" s="1506"/>
      <c r="F65" s="1506"/>
      <c r="G65" s="1506"/>
      <c r="H65" s="1506"/>
    </row>
    <row r="66" spans="1:8" x14ac:dyDescent="0.35">
      <c r="A66" s="1506"/>
      <c r="B66" s="1506"/>
      <c r="C66" s="1506"/>
      <c r="D66" s="1506"/>
      <c r="E66" s="1506"/>
      <c r="F66" s="1506"/>
      <c r="G66" s="1506"/>
      <c r="H66" s="1506"/>
    </row>
    <row r="67" spans="1:8" ht="15.65" customHeight="1" x14ac:dyDescent="0.35">
      <c r="A67" s="910"/>
      <c r="B67" s="910"/>
      <c r="C67" s="910"/>
      <c r="D67" s="910"/>
      <c r="E67" s="910"/>
      <c r="F67" s="910"/>
      <c r="G67" s="910"/>
      <c r="H67" s="910"/>
    </row>
    <row r="68" spans="1:8" ht="12.75" customHeight="1" x14ac:dyDescent="0.35">
      <c r="A68" s="1506" t="s">
        <v>642</v>
      </c>
      <c r="B68" s="1506"/>
      <c r="C68" s="1506"/>
      <c r="D68" s="1506"/>
      <c r="E68" s="1506"/>
      <c r="F68" s="1506"/>
      <c r="G68" s="1506"/>
      <c r="H68" s="1506"/>
    </row>
    <row r="69" spans="1:8" x14ac:dyDescent="0.35">
      <c r="A69" s="1506"/>
      <c r="B69" s="1506"/>
      <c r="C69" s="1506"/>
      <c r="D69" s="1506"/>
      <c r="E69" s="1506"/>
      <c r="F69" s="1506"/>
      <c r="G69" s="1506"/>
      <c r="H69" s="1506"/>
    </row>
    <row r="70" spans="1:8" x14ac:dyDescent="0.35">
      <c r="A70" s="1506"/>
      <c r="B70" s="1506"/>
      <c r="C70" s="1506"/>
      <c r="D70" s="1506"/>
      <c r="E70" s="1506"/>
      <c r="F70" s="1506"/>
      <c r="G70" s="1506"/>
      <c r="H70" s="1506"/>
    </row>
    <row r="71" spans="1:8" x14ac:dyDescent="0.35">
      <c r="A71" s="1506"/>
      <c r="B71" s="1506"/>
      <c r="C71" s="1506"/>
      <c r="D71" s="1506"/>
      <c r="E71" s="1506"/>
      <c r="F71" s="1506"/>
      <c r="G71" s="1506"/>
      <c r="H71" s="1506"/>
    </row>
    <row r="72" spans="1:8" ht="12.75" customHeight="1" x14ac:dyDescent="0.35">
      <c r="A72" s="895"/>
      <c r="B72" s="895"/>
      <c r="C72" s="895"/>
      <c r="D72" s="895"/>
      <c r="E72" s="895"/>
      <c r="F72" s="895"/>
      <c r="G72" s="895"/>
      <c r="H72" s="926"/>
    </row>
    <row r="73" spans="1:8" x14ac:dyDescent="0.35">
      <c r="A73" s="1506" t="s">
        <v>643</v>
      </c>
      <c r="B73" s="1506"/>
      <c r="C73" s="1506"/>
      <c r="D73" s="1506"/>
      <c r="E73" s="1506"/>
      <c r="F73" s="1506"/>
      <c r="G73" s="1506"/>
      <c r="H73" s="1506"/>
    </row>
    <row r="74" spans="1:8" x14ac:dyDescent="0.35">
      <c r="A74" s="1506"/>
      <c r="B74" s="1506"/>
      <c r="C74" s="1506"/>
      <c r="D74" s="1506"/>
      <c r="E74" s="1506"/>
      <c r="F74" s="1506"/>
      <c r="G74" s="1506"/>
      <c r="H74" s="1506"/>
    </row>
    <row r="75" spans="1:8" x14ac:dyDescent="0.35">
      <c r="A75" s="1506"/>
      <c r="B75" s="1506"/>
      <c r="C75" s="1506"/>
      <c r="D75" s="1506"/>
      <c r="E75" s="1506"/>
      <c r="F75" s="1506"/>
      <c r="G75" s="1506"/>
      <c r="H75" s="1506"/>
    </row>
    <row r="76" spans="1:8" x14ac:dyDescent="0.35">
      <c r="A76" s="1506"/>
      <c r="B76" s="1506"/>
      <c r="C76" s="1506"/>
      <c r="D76" s="1506"/>
      <c r="E76" s="1506"/>
      <c r="F76" s="1506"/>
      <c r="G76" s="1506"/>
      <c r="H76" s="1506"/>
    </row>
    <row r="77" spans="1:8" x14ac:dyDescent="0.35">
      <c r="A77" s="1506"/>
      <c r="B77" s="1506"/>
      <c r="C77" s="1506"/>
      <c r="D77" s="1506"/>
      <c r="E77" s="1506"/>
      <c r="F77" s="1506"/>
      <c r="G77" s="1506"/>
      <c r="H77" s="1506"/>
    </row>
    <row r="78" spans="1:8" ht="47.5" customHeight="1" x14ac:dyDescent="0.35">
      <c r="A78" s="1506"/>
      <c r="B78" s="1506"/>
      <c r="C78" s="1506"/>
      <c r="D78" s="1506"/>
      <c r="E78" s="1506"/>
      <c r="F78" s="1506"/>
      <c r="G78" s="1506"/>
      <c r="H78" s="1506"/>
    </row>
    <row r="79" spans="1:8" x14ac:dyDescent="0.35">
      <c r="A79" s="1506"/>
      <c r="B79" s="1506"/>
      <c r="C79" s="1506"/>
      <c r="D79" s="1506"/>
      <c r="E79" s="1506"/>
      <c r="F79" s="1506"/>
      <c r="G79" s="1506"/>
      <c r="H79" s="1506"/>
    </row>
    <row r="80" spans="1:8" ht="12.75" customHeight="1" x14ac:dyDescent="0.35">
      <c r="A80" s="910"/>
      <c r="B80" s="910"/>
      <c r="C80" s="910"/>
      <c r="D80" s="910"/>
      <c r="E80" s="910"/>
      <c r="F80" s="910"/>
      <c r="G80" s="910"/>
      <c r="H80" s="910"/>
    </row>
    <row r="81" spans="1:8" x14ac:dyDescent="0.35">
      <c r="A81" s="1506" t="s">
        <v>644</v>
      </c>
      <c r="B81" s="1506"/>
      <c r="C81" s="1506"/>
      <c r="D81" s="1506"/>
      <c r="E81" s="1506"/>
      <c r="F81" s="1506"/>
      <c r="G81" s="1506"/>
      <c r="H81" s="1506"/>
    </row>
    <row r="82" spans="1:8" x14ac:dyDescent="0.35">
      <c r="A82" s="1506"/>
      <c r="B82" s="1506"/>
      <c r="C82" s="1506"/>
      <c r="D82" s="1506"/>
      <c r="E82" s="1506"/>
      <c r="F82" s="1506"/>
      <c r="G82" s="1506"/>
      <c r="H82" s="1506"/>
    </row>
    <row r="83" spans="1:8" x14ac:dyDescent="0.35">
      <c r="A83" s="1506"/>
      <c r="B83" s="1506"/>
      <c r="C83" s="1506"/>
      <c r="D83" s="1506"/>
      <c r="E83" s="1506"/>
      <c r="F83" s="1506"/>
      <c r="G83" s="1506"/>
      <c r="H83" s="1506"/>
    </row>
    <row r="84" spans="1:8" ht="12.75" customHeight="1" x14ac:dyDescent="0.35">
      <c r="A84" s="895"/>
      <c r="B84" s="895"/>
      <c r="C84" s="895"/>
      <c r="D84" s="895"/>
      <c r="E84" s="895"/>
      <c r="F84" s="895"/>
      <c r="G84" s="895"/>
      <c r="H84" s="926"/>
    </row>
    <row r="85" spans="1:8" x14ac:dyDescent="0.35">
      <c r="A85" s="1506" t="s">
        <v>645</v>
      </c>
      <c r="B85" s="1506"/>
      <c r="C85" s="1506"/>
      <c r="D85" s="1506"/>
      <c r="E85" s="1506"/>
      <c r="F85" s="1506"/>
      <c r="G85" s="1506"/>
      <c r="H85" s="1506"/>
    </row>
    <row r="86" spans="1:8" x14ac:dyDescent="0.35">
      <c r="A86" s="1506"/>
      <c r="B86" s="1506"/>
      <c r="C86" s="1506"/>
      <c r="D86" s="1506"/>
      <c r="E86" s="1506"/>
      <c r="F86" s="1506"/>
      <c r="G86" s="1506"/>
      <c r="H86" s="1506"/>
    </row>
    <row r="87" spans="1:8" ht="31.5" customHeight="1" x14ac:dyDescent="0.35">
      <c r="A87" s="1506"/>
      <c r="B87" s="1506"/>
      <c r="C87" s="1506"/>
      <c r="D87" s="1506"/>
      <c r="E87" s="1506"/>
      <c r="F87" s="1506"/>
      <c r="G87" s="1506"/>
      <c r="H87" s="1506"/>
    </row>
    <row r="88" spans="1:8" x14ac:dyDescent="0.35">
      <c r="A88" s="1506"/>
      <c r="B88" s="1506"/>
      <c r="C88" s="1506"/>
      <c r="D88" s="1506"/>
      <c r="E88" s="1506"/>
      <c r="F88" s="1506"/>
      <c r="G88" s="1506"/>
      <c r="H88" s="1506"/>
    </row>
    <row r="89" spans="1:8" x14ac:dyDescent="0.35">
      <c r="A89" s="895"/>
      <c r="B89" s="895"/>
      <c r="C89" s="895"/>
      <c r="D89" s="895"/>
      <c r="E89" s="895"/>
      <c r="F89" s="895"/>
      <c r="G89" s="895"/>
      <c r="H89" s="926"/>
    </row>
    <row r="90" spans="1:8" x14ac:dyDescent="0.35">
      <c r="A90" s="1509" t="s">
        <v>646</v>
      </c>
      <c r="B90" s="1509"/>
      <c r="C90" s="1509"/>
      <c r="D90" s="1509"/>
      <c r="E90" s="1509"/>
      <c r="F90" s="1509"/>
      <c r="G90" s="1509"/>
      <c r="H90" s="1509"/>
    </row>
    <row r="91" spans="1:8" x14ac:dyDescent="0.35">
      <c r="A91" s="1509"/>
      <c r="B91" s="1509"/>
      <c r="C91" s="1509"/>
      <c r="D91" s="1509"/>
      <c r="E91" s="1509"/>
      <c r="F91" s="1509"/>
      <c r="G91" s="1509"/>
      <c r="H91" s="1509"/>
    </row>
    <row r="92" spans="1:8" x14ac:dyDescent="0.35">
      <c r="A92" s="895"/>
      <c r="B92" s="895"/>
      <c r="C92" s="895"/>
      <c r="D92" s="895"/>
      <c r="E92" s="895"/>
      <c r="F92" s="895"/>
      <c r="G92" s="895"/>
      <c r="H92" s="926"/>
    </row>
    <row r="93" spans="1:8" x14ac:dyDescent="0.35">
      <c r="A93" s="1509" t="s">
        <v>647</v>
      </c>
      <c r="B93" s="1509"/>
      <c r="C93" s="1509"/>
      <c r="D93" s="1509"/>
      <c r="E93" s="1509"/>
      <c r="F93" s="1509"/>
      <c r="G93" s="1509"/>
      <c r="H93" s="1509"/>
    </row>
    <row r="94" spans="1:8" x14ac:dyDescent="0.35">
      <c r="A94" s="1509"/>
      <c r="B94" s="1509"/>
      <c r="C94" s="1509"/>
      <c r="D94" s="1509"/>
      <c r="E94" s="1509"/>
      <c r="F94" s="1509"/>
      <c r="G94" s="1509"/>
      <c r="H94" s="1509"/>
    </row>
    <row r="95" spans="1:8" ht="12.75" customHeight="1" x14ac:dyDescent="0.35">
      <c r="A95" s="895"/>
      <c r="B95" s="895"/>
      <c r="C95" s="895"/>
      <c r="D95" s="895"/>
      <c r="E95" s="895"/>
      <c r="F95" s="895"/>
      <c r="G95" s="895"/>
      <c r="H95" s="926"/>
    </row>
    <row r="96" spans="1:8" x14ac:dyDescent="0.35">
      <c r="A96" s="1506" t="s">
        <v>648</v>
      </c>
      <c r="B96" s="1506"/>
      <c r="C96" s="1506"/>
      <c r="D96" s="1506"/>
      <c r="E96" s="1506"/>
      <c r="F96" s="1506"/>
      <c r="G96" s="1506"/>
      <c r="H96" s="1506"/>
    </row>
    <row r="97" spans="1:8" x14ac:dyDescent="0.35">
      <c r="A97" s="1506"/>
      <c r="B97" s="1506"/>
      <c r="C97" s="1506"/>
      <c r="D97" s="1506"/>
      <c r="E97" s="1506"/>
      <c r="F97" s="1506"/>
      <c r="G97" s="1506"/>
      <c r="H97" s="1506"/>
    </row>
    <row r="98" spans="1:8" x14ac:dyDescent="0.35">
      <c r="A98" s="1506"/>
      <c r="B98" s="1506"/>
      <c r="C98" s="1506"/>
      <c r="D98" s="1506"/>
      <c r="E98" s="1506"/>
      <c r="F98" s="1506"/>
      <c r="G98" s="1506"/>
      <c r="H98" s="1506"/>
    </row>
    <row r="99" spans="1:8" x14ac:dyDescent="0.35">
      <c r="A99" s="1506"/>
      <c r="B99" s="1506"/>
      <c r="C99" s="1506"/>
      <c r="D99" s="1506"/>
      <c r="E99" s="1506"/>
      <c r="F99" s="1506"/>
      <c r="G99" s="1506"/>
      <c r="H99" s="1506"/>
    </row>
    <row r="100" spans="1:8" x14ac:dyDescent="0.35">
      <c r="A100" s="1506"/>
      <c r="B100" s="1506"/>
      <c r="C100" s="1506"/>
      <c r="D100" s="1506"/>
      <c r="E100" s="1506"/>
      <c r="F100" s="1506"/>
      <c r="G100" s="1506"/>
      <c r="H100" s="1506"/>
    </row>
    <row r="101" spans="1:8" x14ac:dyDescent="0.35">
      <c r="A101" s="1506"/>
      <c r="B101" s="1506"/>
      <c r="C101" s="1506"/>
      <c r="D101" s="1506"/>
      <c r="E101" s="1506"/>
      <c r="F101" s="1506"/>
      <c r="G101" s="1506"/>
      <c r="H101" s="1506"/>
    </row>
    <row r="102" spans="1:8" ht="12.75" customHeight="1" x14ac:dyDescent="0.35">
      <c r="A102" s="1506"/>
      <c r="B102" s="1506"/>
      <c r="C102" s="1506"/>
      <c r="D102" s="1506"/>
      <c r="E102" s="1506"/>
      <c r="F102" s="1506"/>
      <c r="G102" s="1506"/>
      <c r="H102" s="1506"/>
    </row>
    <row r="103" spans="1:8" x14ac:dyDescent="0.35">
      <c r="A103" s="1506"/>
      <c r="B103" s="1506"/>
      <c r="C103" s="1506"/>
      <c r="D103" s="1506"/>
      <c r="E103" s="1506"/>
      <c r="F103" s="1506"/>
      <c r="G103" s="1506"/>
      <c r="H103" s="1506"/>
    </row>
    <row r="104" spans="1:8" ht="31.5" customHeight="1" x14ac:dyDescent="0.35">
      <c r="A104" s="1506"/>
      <c r="B104" s="1506"/>
      <c r="C104" s="1506"/>
      <c r="D104" s="1506"/>
      <c r="E104" s="1506"/>
      <c r="F104" s="1506"/>
      <c r="G104" s="1506"/>
      <c r="H104" s="1506"/>
    </row>
    <row r="105" spans="1:8" x14ac:dyDescent="0.35">
      <c r="A105" s="1506"/>
      <c r="B105" s="1506"/>
      <c r="C105" s="1506"/>
      <c r="D105" s="1506"/>
      <c r="E105" s="1506"/>
      <c r="F105" s="1506"/>
      <c r="G105" s="1506"/>
      <c r="H105" s="1506"/>
    </row>
    <row r="106" spans="1:8" ht="12.75" customHeight="1" x14ac:dyDescent="0.35">
      <c r="A106" s="910"/>
      <c r="B106" s="910"/>
      <c r="C106" s="910"/>
      <c r="D106" s="910"/>
      <c r="E106" s="910"/>
      <c r="F106" s="910"/>
      <c r="G106" s="910"/>
      <c r="H106" s="910"/>
    </row>
    <row r="107" spans="1:8" ht="12.75" customHeight="1" x14ac:dyDescent="0.35">
      <c r="A107" s="1506" t="s">
        <v>649</v>
      </c>
      <c r="B107" s="1506"/>
      <c r="C107" s="1506"/>
      <c r="D107" s="1506"/>
      <c r="E107" s="1506"/>
      <c r="F107" s="1506"/>
      <c r="G107" s="1506"/>
      <c r="H107" s="1506"/>
    </row>
    <row r="108" spans="1:8" ht="12.75" customHeight="1" x14ac:dyDescent="0.35">
      <c r="A108" s="1506"/>
      <c r="B108" s="1506"/>
      <c r="C108" s="1506"/>
      <c r="D108" s="1506"/>
      <c r="E108" s="1506"/>
      <c r="F108" s="1506"/>
      <c r="G108" s="1506"/>
      <c r="H108" s="1506"/>
    </row>
    <row r="109" spans="1:8" ht="49.5" customHeight="1" x14ac:dyDescent="0.35">
      <c r="A109" s="1506"/>
      <c r="B109" s="1506"/>
      <c r="C109" s="1506"/>
      <c r="D109" s="1506"/>
      <c r="E109" s="1506"/>
      <c r="F109" s="1506"/>
      <c r="G109" s="1506"/>
      <c r="H109" s="1506"/>
    </row>
    <row r="110" spans="1:8" ht="12.75" customHeight="1" x14ac:dyDescent="0.35">
      <c r="A110" s="910"/>
      <c r="B110" s="910"/>
      <c r="C110" s="910"/>
      <c r="D110" s="910"/>
      <c r="E110" s="910"/>
      <c r="F110" s="910"/>
      <c r="G110" s="910"/>
      <c r="H110" s="910"/>
    </row>
    <row r="111" spans="1:8" ht="24.65" customHeight="1" x14ac:dyDescent="0.35">
      <c r="A111" s="1506" t="s">
        <v>650</v>
      </c>
      <c r="B111" s="1506"/>
      <c r="C111" s="1506"/>
      <c r="D111" s="1506"/>
      <c r="E111" s="1506"/>
      <c r="F111" s="1506"/>
      <c r="G111" s="1506"/>
      <c r="H111" s="1506"/>
    </row>
    <row r="112" spans="1:8" ht="12.75" customHeight="1" x14ac:dyDescent="0.35">
      <c r="A112" s="910"/>
      <c r="B112" s="910"/>
      <c r="C112" s="910"/>
      <c r="D112" s="910"/>
      <c r="E112" s="910"/>
      <c r="F112" s="910"/>
      <c r="G112" s="910"/>
      <c r="H112" s="910"/>
    </row>
    <row r="113" spans="1:8" x14ac:dyDescent="0.35">
      <c r="A113" s="1506" t="s">
        <v>651</v>
      </c>
      <c r="B113" s="1506"/>
      <c r="C113" s="1506"/>
      <c r="D113" s="1506"/>
      <c r="E113" s="1506"/>
      <c r="F113" s="1506"/>
      <c r="G113" s="1506"/>
      <c r="H113" s="1506"/>
    </row>
    <row r="114" spans="1:8" ht="12.75" customHeight="1" x14ac:dyDescent="0.35">
      <c r="A114" s="1506"/>
      <c r="B114" s="1506"/>
      <c r="C114" s="1506"/>
      <c r="D114" s="1506"/>
      <c r="E114" s="1506"/>
      <c r="F114" s="1506"/>
      <c r="G114" s="1506"/>
      <c r="H114" s="1506"/>
    </row>
    <row r="115" spans="1:8" ht="12.75" customHeight="1" x14ac:dyDescent="0.35">
      <c r="A115" s="1506"/>
      <c r="B115" s="1506"/>
      <c r="C115" s="1506"/>
      <c r="D115" s="1506"/>
      <c r="E115" s="1506"/>
      <c r="F115" s="1506"/>
      <c r="G115" s="1506"/>
      <c r="H115" s="1506"/>
    </row>
    <row r="116" spans="1:8" ht="12.75" customHeight="1" x14ac:dyDescent="0.35">
      <c r="A116" s="910"/>
      <c r="B116" s="910"/>
      <c r="C116" s="910"/>
      <c r="D116" s="910"/>
      <c r="E116" s="910"/>
      <c r="F116" s="910"/>
      <c r="G116" s="910"/>
      <c r="H116" s="910"/>
    </row>
    <row r="117" spans="1:8" x14ac:dyDescent="0.35">
      <c r="A117" s="1506" t="s">
        <v>652</v>
      </c>
      <c r="B117" s="1506"/>
      <c r="C117" s="1506"/>
      <c r="D117" s="1506"/>
      <c r="E117" s="1506"/>
      <c r="F117" s="1506"/>
      <c r="G117" s="1506"/>
      <c r="H117" s="1506"/>
    </row>
    <row r="118" spans="1:8" x14ac:dyDescent="0.35">
      <c r="A118" s="1506"/>
      <c r="B118" s="1506"/>
      <c r="C118" s="1506"/>
      <c r="D118" s="1506"/>
      <c r="E118" s="1506"/>
      <c r="F118" s="1506"/>
      <c r="G118" s="1506"/>
      <c r="H118" s="1506"/>
    </row>
    <row r="119" spans="1:8" x14ac:dyDescent="0.35">
      <c r="A119" s="909"/>
      <c r="B119" s="909"/>
      <c r="C119" s="909"/>
      <c r="D119" s="909"/>
      <c r="E119" s="909"/>
      <c r="F119" s="909"/>
      <c r="G119" s="909"/>
      <c r="H119" s="909"/>
    </row>
    <row r="131" spans="8:8" x14ac:dyDescent="0.35">
      <c r="H131" s="892"/>
    </row>
    <row r="132" spans="8:8" x14ac:dyDescent="0.35">
      <c r="H132" s="892"/>
    </row>
    <row r="133" spans="8:8" x14ac:dyDescent="0.35">
      <c r="H133" s="892"/>
    </row>
    <row r="134" spans="8:8" x14ac:dyDescent="0.35">
      <c r="H134" s="892"/>
    </row>
    <row r="135" spans="8:8" x14ac:dyDescent="0.35">
      <c r="H135" s="892"/>
    </row>
    <row r="136" spans="8:8" x14ac:dyDescent="0.35">
      <c r="H136" s="892"/>
    </row>
    <row r="137" spans="8:8" x14ac:dyDescent="0.35">
      <c r="H137" s="892"/>
    </row>
    <row r="138" spans="8:8" x14ac:dyDescent="0.35">
      <c r="H138" s="892"/>
    </row>
    <row r="139" spans="8:8" x14ac:dyDescent="0.35">
      <c r="H139" s="892"/>
    </row>
    <row r="140" spans="8:8" x14ac:dyDescent="0.35">
      <c r="H140" s="892"/>
    </row>
    <row r="141" spans="8:8" x14ac:dyDescent="0.35">
      <c r="H141" s="892"/>
    </row>
    <row r="142" spans="8:8" x14ac:dyDescent="0.35">
      <c r="H142" s="892"/>
    </row>
    <row r="143" spans="8:8" x14ac:dyDescent="0.35">
      <c r="H143" s="892"/>
    </row>
    <row r="144" spans="8:8" x14ac:dyDescent="0.35">
      <c r="H144" s="892"/>
    </row>
    <row r="145" spans="8:8" x14ac:dyDescent="0.35">
      <c r="H145" s="892"/>
    </row>
    <row r="146" spans="8:8" x14ac:dyDescent="0.35">
      <c r="H146" s="892"/>
    </row>
    <row r="147" spans="8:8" x14ac:dyDescent="0.35">
      <c r="H147" s="892"/>
    </row>
    <row r="148" spans="8:8" x14ac:dyDescent="0.35">
      <c r="H148" s="892"/>
    </row>
    <row r="149" spans="8:8" x14ac:dyDescent="0.35">
      <c r="H149" s="892"/>
    </row>
    <row r="150" spans="8:8" x14ac:dyDescent="0.35">
      <c r="H150" s="892"/>
    </row>
    <row r="151" spans="8:8" x14ac:dyDescent="0.35">
      <c r="H151" s="892"/>
    </row>
    <row r="152" spans="8:8" x14ac:dyDescent="0.35">
      <c r="H152" s="892"/>
    </row>
    <row r="153" spans="8:8" x14ac:dyDescent="0.35">
      <c r="H153" s="892"/>
    </row>
    <row r="154" spans="8:8" x14ac:dyDescent="0.35">
      <c r="H154" s="892"/>
    </row>
    <row r="155" spans="8:8" x14ac:dyDescent="0.35">
      <c r="H155" s="892"/>
    </row>
    <row r="156" spans="8:8" x14ac:dyDescent="0.35">
      <c r="H156" s="892"/>
    </row>
    <row r="157" spans="8:8" x14ac:dyDescent="0.35">
      <c r="H157" s="892"/>
    </row>
    <row r="158" spans="8:8" x14ac:dyDescent="0.35">
      <c r="H158" s="892"/>
    </row>
    <row r="159" spans="8:8" x14ac:dyDescent="0.35">
      <c r="H159" s="892"/>
    </row>
    <row r="160" spans="8:8" x14ac:dyDescent="0.35">
      <c r="H160" s="892"/>
    </row>
    <row r="161" spans="8:8" x14ac:dyDescent="0.35">
      <c r="H161" s="892"/>
    </row>
    <row r="162" spans="8:8" x14ac:dyDescent="0.35">
      <c r="H162" s="892"/>
    </row>
    <row r="163" spans="8:8" x14ac:dyDescent="0.35">
      <c r="H163" s="892"/>
    </row>
    <row r="164" spans="8:8" x14ac:dyDescent="0.35">
      <c r="H164" s="892"/>
    </row>
    <row r="165" spans="8:8" x14ac:dyDescent="0.35">
      <c r="H165" s="892"/>
    </row>
    <row r="166" spans="8:8" x14ac:dyDescent="0.35">
      <c r="H166" s="892"/>
    </row>
    <row r="167" spans="8:8" x14ac:dyDescent="0.35">
      <c r="H167" s="892"/>
    </row>
    <row r="168" spans="8:8" x14ac:dyDescent="0.35">
      <c r="H168" s="892"/>
    </row>
    <row r="169" spans="8:8" x14ac:dyDescent="0.35">
      <c r="H169" s="892"/>
    </row>
    <row r="170" spans="8:8" x14ac:dyDescent="0.35">
      <c r="H170" s="892"/>
    </row>
    <row r="171" spans="8:8" x14ac:dyDescent="0.35">
      <c r="H171" s="892"/>
    </row>
    <row r="172" spans="8:8" x14ac:dyDescent="0.35">
      <c r="H172" s="892"/>
    </row>
    <row r="173" spans="8:8" x14ac:dyDescent="0.35">
      <c r="H173" s="892"/>
    </row>
    <row r="174" spans="8:8" x14ac:dyDescent="0.35">
      <c r="H174" s="892"/>
    </row>
    <row r="175" spans="8:8" x14ac:dyDescent="0.35">
      <c r="H175" s="892"/>
    </row>
    <row r="176" spans="8:8" x14ac:dyDescent="0.35">
      <c r="H176" s="892"/>
    </row>
    <row r="177" spans="8:8" x14ac:dyDescent="0.35">
      <c r="H177" s="892"/>
    </row>
    <row r="178" spans="8:8" x14ac:dyDescent="0.35">
      <c r="H178" s="892"/>
    </row>
    <row r="179" spans="8:8" x14ac:dyDescent="0.35">
      <c r="H179" s="892"/>
    </row>
  </sheetData>
  <sheetProtection algorithmName="SHA-512" hashValue="tfihJTvtud52TjNiRBHsdcHrjU5TsmnZClJ2c77XbxTDx6I3NZU3JKVKK+I3mNAOPODiVOvRJ2+h5q0pfBfWXg==" saltValue="9lVpCzyMmC6xtwXkscbIXg==" spinCount="100000" sheet="1" objects="1" scenarios="1"/>
  <mergeCells count="15">
    <mergeCell ref="A113:H115"/>
    <mergeCell ref="A117:H118"/>
    <mergeCell ref="A107:H109"/>
    <mergeCell ref="A111:H111"/>
    <mergeCell ref="A81:H83"/>
    <mergeCell ref="A85:H88"/>
    <mergeCell ref="A90:H91"/>
    <mergeCell ref="A93:H94"/>
    <mergeCell ref="A96:H105"/>
    <mergeCell ref="A73:H79"/>
    <mergeCell ref="E32:F32"/>
    <mergeCell ref="E47:F47"/>
    <mergeCell ref="A55:H57"/>
    <mergeCell ref="A59:H66"/>
    <mergeCell ref="A68:H71"/>
  </mergeCells>
  <phoneticPr fontId="60" type="noConversion"/>
  <pageMargins left="0.70866141732283472" right="0.70866141732283472" top="0.74803149606299213" bottom="0.74803149606299213" header="0.31496062992125984" footer="0.31496062992125984"/>
  <pageSetup paperSize="9" scale="52" fitToHeight="2" orientation="landscape" r:id="rId1"/>
  <headerFooter>
    <oddHeader xml:space="preserve">&amp;CLincolnshire County Council </oddHeader>
    <oddFooter>&amp;C2023/24 Special School Budget Share Calculation 
Budget Shares</oddFooter>
  </headerFooter>
  <ignoredErrors>
    <ignoredError sqref="D40:D41 D49:D50 D44:D45" evalError="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sheetPr>
  <dimension ref="A1:N296"/>
  <sheetViews>
    <sheetView zoomScale="85" zoomScaleNormal="85" workbookViewId="0">
      <selection activeCell="G19" sqref="G19:G27"/>
    </sheetView>
  </sheetViews>
  <sheetFormatPr defaultColWidth="9.1796875" defaultRowHeight="12.5" x14ac:dyDescent="0.25"/>
  <cols>
    <col min="1" max="1" width="49" customWidth="1"/>
    <col min="2" max="2" width="30.7265625" customWidth="1"/>
    <col min="3" max="3" width="2.1796875" bestFit="1" customWidth="1"/>
    <col min="4" max="4" width="30.7265625" style="2" customWidth="1"/>
    <col min="5" max="5" width="8" style="2" customWidth="1"/>
    <col min="6" max="6" width="1.453125" style="2" customWidth="1"/>
    <col min="7" max="7" width="47.26953125" style="2" customWidth="1"/>
    <col min="8" max="8" width="30.81640625" style="2" customWidth="1"/>
    <col min="9" max="9" width="30.7265625" style="2" customWidth="1"/>
    <col min="10" max="10" width="3" style="2" customWidth="1"/>
  </cols>
  <sheetData>
    <row r="1" spans="1:14" ht="18" x14ac:dyDescent="0.4">
      <c r="A1" s="112" t="s">
        <v>93</v>
      </c>
      <c r="B1" s="113"/>
      <c r="C1" s="113"/>
      <c r="D1" s="1134"/>
      <c r="E1" s="114"/>
      <c r="F1" s="114"/>
      <c r="G1" s="1134"/>
      <c r="H1" s="1134"/>
      <c r="I1" s="1134"/>
      <c r="J1" s="1134"/>
      <c r="K1" s="1135"/>
      <c r="L1" s="1135"/>
      <c r="M1" s="1135"/>
      <c r="N1" s="1134"/>
    </row>
    <row r="2" spans="1:14" ht="15" customHeight="1" x14ac:dyDescent="0.4">
      <c r="A2" s="112"/>
      <c r="B2" s="113"/>
      <c r="C2" s="113"/>
      <c r="D2" s="1134"/>
      <c r="E2" s="114"/>
      <c r="F2" s="114"/>
      <c r="G2" s="1134"/>
      <c r="H2" s="1134"/>
      <c r="I2" s="1134"/>
      <c r="J2" s="1134"/>
      <c r="K2" s="1135"/>
      <c r="L2" s="1135"/>
      <c r="M2" s="1135"/>
      <c r="N2" s="1134"/>
    </row>
    <row r="3" spans="1:14" ht="14" x14ac:dyDescent="0.3">
      <c r="A3" s="115" t="s">
        <v>94</v>
      </c>
      <c r="D3" s="1134"/>
      <c r="E3" s="1134"/>
      <c r="F3" s="1134"/>
      <c r="G3" s="1134"/>
      <c r="H3" s="116"/>
      <c r="I3" s="1134"/>
      <c r="J3" s="1134"/>
      <c r="K3" s="1135"/>
      <c r="L3" s="115"/>
      <c r="M3" s="1135"/>
      <c r="N3" s="568"/>
    </row>
    <row r="4" spans="1:14" ht="13" x14ac:dyDescent="0.3">
      <c r="A4" s="113"/>
      <c r="H4" s="117"/>
      <c r="I4" s="1134"/>
      <c r="J4" s="1134"/>
      <c r="K4" s="1135"/>
      <c r="L4" s="113"/>
      <c r="M4" s="1135"/>
      <c r="N4" s="1134"/>
    </row>
    <row r="5" spans="1:14" ht="13" x14ac:dyDescent="0.3">
      <c r="A5" s="118" t="s">
        <v>95</v>
      </c>
      <c r="B5" s="1240">
        <v>9257016</v>
      </c>
      <c r="C5" s="1134"/>
      <c r="D5" s="123" t="str">
        <f>VLOOKUP(B5,'2014-15 Funding Detail'!A3:AH23,2,FALSE)</f>
        <v xml:space="preserve">Lincoln St Francis </v>
      </c>
      <c r="E5" s="119"/>
      <c r="F5" s="119"/>
      <c r="G5" s="114"/>
      <c r="H5" s="117"/>
      <c r="I5" s="1134"/>
      <c r="J5" s="1134"/>
      <c r="K5" s="1135"/>
      <c r="L5" s="113"/>
      <c r="M5" s="1135"/>
      <c r="N5" s="1134"/>
    </row>
    <row r="6" spans="1:14" ht="13" x14ac:dyDescent="0.3">
      <c r="A6" s="118"/>
      <c r="B6" s="1134"/>
      <c r="C6" s="1134"/>
      <c r="D6" s="114"/>
      <c r="E6" s="119"/>
      <c r="F6" s="119"/>
      <c r="G6" s="114"/>
      <c r="H6" s="117"/>
      <c r="I6" s="1134"/>
      <c r="J6" s="1134"/>
      <c r="K6" s="1135"/>
      <c r="L6" s="113"/>
      <c r="M6" s="1135"/>
      <c r="N6" s="1134"/>
    </row>
    <row r="7" spans="1:14" s="124" customFormat="1" ht="13" x14ac:dyDescent="0.3">
      <c r="A7" s="254"/>
      <c r="B7" s="1415" t="s">
        <v>96</v>
      </c>
      <c r="C7" s="1415"/>
      <c r="D7" s="1415"/>
      <c r="E7" s="1137"/>
      <c r="F7" s="1137"/>
      <c r="G7" s="1415" t="s">
        <v>653</v>
      </c>
      <c r="H7" s="1415"/>
      <c r="I7" s="1137"/>
      <c r="J7" s="1137"/>
      <c r="K7" s="1138"/>
      <c r="L7" s="254"/>
      <c r="M7" s="254"/>
      <c r="N7" s="1137"/>
    </row>
    <row r="8" spans="1:14" s="124" customFormat="1" ht="13" x14ac:dyDescent="0.3">
      <c r="A8" s="254"/>
      <c r="B8" s="123"/>
      <c r="C8" s="123"/>
      <c r="D8" s="123"/>
      <c r="E8" s="1137"/>
      <c r="F8" s="1137"/>
      <c r="G8" s="1137"/>
      <c r="H8" s="1137"/>
      <c r="I8" s="1137"/>
      <c r="J8" s="1137"/>
      <c r="K8" s="1138"/>
      <c r="L8" s="254"/>
      <c r="M8" s="254"/>
      <c r="N8" s="1137"/>
    </row>
    <row r="9" spans="1:14" s="124" customFormat="1" ht="13" x14ac:dyDescent="0.3">
      <c r="A9" s="125" t="s">
        <v>98</v>
      </c>
      <c r="B9" s="123" t="s">
        <v>654</v>
      </c>
      <c r="C9" s="1137"/>
      <c r="D9" s="123" t="s">
        <v>655</v>
      </c>
      <c r="E9" s="1137"/>
      <c r="F9" s="1137"/>
      <c r="G9" s="125" t="s">
        <v>98</v>
      </c>
      <c r="H9" s="123" t="s">
        <v>656</v>
      </c>
      <c r="I9" s="1137"/>
      <c r="J9" s="1137"/>
      <c r="K9" s="1138"/>
      <c r="L9" s="254"/>
      <c r="M9" s="254"/>
      <c r="N9" s="1137"/>
    </row>
    <row r="10" spans="1:14" s="124" customFormat="1" x14ac:dyDescent="0.25">
      <c r="A10" s="254" t="s">
        <v>58</v>
      </c>
      <c r="B10" s="1139">
        <f>VLOOKUP($B$5,'2016-17 Funding Detail'!$A$4:$X$23,4,FALSE)</f>
        <v>493762.11190507573</v>
      </c>
      <c r="C10" s="1139"/>
      <c r="D10" s="138">
        <f>VLOOKUP($B$5,'2017-18 Funding Detail'!$A$4:$AK$23,4,FALSE)</f>
        <v>493762.11190507573</v>
      </c>
      <c r="E10" s="126"/>
      <c r="F10" s="126"/>
      <c r="G10" s="254" t="s">
        <v>58</v>
      </c>
      <c r="H10" s="138">
        <f>VLOOKUP($B$5,'2017-18 Funding Detail'!$A$4:$AK$23,4,FALSE)</f>
        <v>493762.11190507573</v>
      </c>
      <c r="I10" s="1140"/>
      <c r="J10" s="1137"/>
      <c r="K10" s="1138"/>
      <c r="L10" s="254"/>
      <c r="M10" s="254"/>
      <c r="N10" s="1137"/>
    </row>
    <row r="11" spans="1:14" s="124" customFormat="1" x14ac:dyDescent="0.25">
      <c r="A11" s="254" t="s">
        <v>59</v>
      </c>
      <c r="B11" s="1139">
        <f>VLOOKUP($B$5,'2016-17 Funding Detail'!$A$4:$X$23,5,FALSE)</f>
        <v>131719.7894229154</v>
      </c>
      <c r="C11" s="1139"/>
      <c r="D11" s="138">
        <f>VLOOKUP($B$5,'2017-18 Funding Detail'!$A$4:$AK$23,5,FALSE)</f>
        <v>131719.7894229154</v>
      </c>
      <c r="E11" s="126"/>
      <c r="F11" s="126"/>
      <c r="G11" s="254" t="s">
        <v>59</v>
      </c>
      <c r="H11" s="138">
        <f>VLOOKUP($B$5,'2017-18 Funding Detail'!$A$4:$AK$23,5,FALSE)</f>
        <v>131719.7894229154</v>
      </c>
      <c r="I11" s="1140"/>
      <c r="J11" s="1137"/>
      <c r="K11" s="1138"/>
      <c r="L11" s="254"/>
      <c r="M11" s="254"/>
      <c r="N11" s="1137"/>
    </row>
    <row r="12" spans="1:14" s="124" customFormat="1" x14ac:dyDescent="0.25">
      <c r="A12" s="254" t="s">
        <v>103</v>
      </c>
      <c r="B12" s="1139">
        <f>VLOOKUP($B$5,'2016-17 Funding Detail'!$A$4:$X$23,8,FALSE)+VLOOKUP(B5,'2016-17 Funding Detail'!A4:AD23,9,FALSE)</f>
        <v>1451942.8180361402</v>
      </c>
      <c r="C12" s="1139"/>
      <c r="D12" s="138">
        <f>VLOOKUP($B$5,'2017-18 Funding Detail'!$A$4:$AK$23,9,FALSE)</f>
        <v>1500846.8153915969</v>
      </c>
      <c r="E12" s="1141">
        <v>2</v>
      </c>
      <c r="F12" s="1137"/>
      <c r="G12" s="254" t="s">
        <v>103</v>
      </c>
      <c r="H12" s="138">
        <f>VLOOKUP($B$5,'2017-18 Funding Detail'!$A$4:$AK$23,9,FALSE)</f>
        <v>1500846.8153915969</v>
      </c>
      <c r="I12" s="1140"/>
      <c r="J12" s="1137"/>
      <c r="K12" s="1138"/>
      <c r="L12" s="254"/>
      <c r="M12" s="254"/>
      <c r="N12" s="1137"/>
    </row>
    <row r="13" spans="1:14" s="124" customFormat="1" x14ac:dyDescent="0.25">
      <c r="A13" s="254" t="s">
        <v>104</v>
      </c>
      <c r="B13" s="1139">
        <f>VLOOKUP($B$5,'2016-17 Funding Detail'!$A$4:$X$23,10,FALSE)</f>
        <v>0</v>
      </c>
      <c r="C13" s="1139"/>
      <c r="D13" s="138">
        <f>VLOOKUP($B$5,'2017-18 Funding Detail'!$A$4:$AK$23,10,FALSE)</f>
        <v>0</v>
      </c>
      <c r="E13" s="1137"/>
      <c r="F13" s="1137"/>
      <c r="G13" s="254" t="s">
        <v>104</v>
      </c>
      <c r="H13" s="138">
        <f>VLOOKUP($B$5,'2017-18 Funding Detail'!$A$4:$AK$23,10,FALSE)</f>
        <v>0</v>
      </c>
      <c r="I13" s="1140"/>
      <c r="J13" s="1137"/>
      <c r="K13" s="1138"/>
      <c r="L13" s="254"/>
      <c r="M13" s="254"/>
      <c r="N13" s="1137"/>
    </row>
    <row r="14" spans="1:14" s="124" customFormat="1" x14ac:dyDescent="0.25">
      <c r="A14" s="254" t="s">
        <v>105</v>
      </c>
      <c r="B14" s="1139">
        <f>VLOOKUP($B$5,'2016-17 Funding Detail'!$A$4:$X$23,11,FALSE)</f>
        <v>12948.5</v>
      </c>
      <c r="C14" s="1139"/>
      <c r="D14" s="138">
        <f>VLOOKUP($B$5,'2017-18 Funding Detail'!$A$4:$AK$23,11,FALSE)</f>
        <v>12948.5</v>
      </c>
      <c r="E14" s="1137"/>
      <c r="F14" s="1137"/>
      <c r="G14" s="254" t="s">
        <v>105</v>
      </c>
      <c r="H14" s="138">
        <f>VLOOKUP($B$5,'2017-18 Funding Detail'!$A$4:$AK$23,11,FALSE)</f>
        <v>12948.5</v>
      </c>
      <c r="I14" s="1140"/>
      <c r="J14" s="1137"/>
      <c r="K14" s="1138"/>
      <c r="L14" s="254"/>
      <c r="M14" s="254"/>
      <c r="N14" s="1137"/>
    </row>
    <row r="15" spans="1:14" s="124" customFormat="1" x14ac:dyDescent="0.25">
      <c r="A15" s="254" t="s">
        <v>106</v>
      </c>
      <c r="B15" s="1139">
        <f>VLOOKUP($B$5,'2016-17 Funding Detail'!$A$4:$X$23,12,FALSE)</f>
        <v>832.00642333232065</v>
      </c>
      <c r="C15" s="1139"/>
      <c r="D15" s="138">
        <f>VLOOKUP($B$5,'2017-18 Funding Detail'!$A$4:$AK$23,12,FALSE)</f>
        <v>832.00642333232065</v>
      </c>
      <c r="E15" s="1137"/>
      <c r="F15" s="1137"/>
      <c r="G15" s="254" t="s">
        <v>106</v>
      </c>
      <c r="H15" s="138">
        <f>VLOOKUP($B$5,'2017-18 Funding Detail'!$A$4:$AK$23,12,FALSE)</f>
        <v>832.00642333232065</v>
      </c>
      <c r="I15" s="1140"/>
      <c r="J15" s="1137"/>
      <c r="K15" s="1138"/>
      <c r="L15" s="254"/>
      <c r="M15" s="254"/>
      <c r="N15" s="1137"/>
    </row>
    <row r="16" spans="1:14" s="124" customFormat="1" x14ac:dyDescent="0.25">
      <c r="A16" s="254" t="s">
        <v>107</v>
      </c>
      <c r="B16" s="1139">
        <f>VLOOKUP($B$5,'2016-17 Funding Detail'!$A$4:$X$23,23,FALSE)</f>
        <v>256019.10999994536</v>
      </c>
      <c r="C16" s="1139"/>
      <c r="D16" s="1142"/>
      <c r="E16" s="1137"/>
      <c r="F16" s="1137"/>
      <c r="G16" s="254" t="s">
        <v>107</v>
      </c>
      <c r="H16" s="138">
        <f>VLOOKUP($B$5,'2017-18 Funding Detail'!$A$4:$AK$23,31,FALSE)</f>
        <v>238395.30799729325</v>
      </c>
      <c r="I16" s="1140"/>
      <c r="J16" s="1137"/>
      <c r="K16" s="1138"/>
      <c r="L16" s="254"/>
      <c r="M16" s="254"/>
      <c r="N16" s="1137"/>
    </row>
    <row r="17" spans="1:14" s="124" customFormat="1" x14ac:dyDescent="0.25">
      <c r="A17" s="254" t="s">
        <v>108</v>
      </c>
      <c r="B17" s="187">
        <f>VLOOKUP(B5,'2016-17 Funding Detail'!A4:AO23,24,FALSE)</f>
        <v>2347224.335787409</v>
      </c>
      <c r="C17" s="1143">
        <v>1</v>
      </c>
      <c r="D17" s="1144">
        <f>VLOOKUP(B5,'2017-18 Funding Detail'!A4:AF24,14,FALSE)</f>
        <v>2140109.2231429205</v>
      </c>
      <c r="E17" s="1141">
        <v>3</v>
      </c>
      <c r="F17" s="1137"/>
      <c r="G17" s="254" t="s">
        <v>109</v>
      </c>
      <c r="H17" s="187">
        <f>VLOOKUP($B$5,'2017-18 Funding Detail'!$A$4:$AK$23,32,FALSE)</f>
        <v>2378504.5311402138</v>
      </c>
      <c r="I17" s="1141">
        <v>9</v>
      </c>
      <c r="J17" s="1137"/>
      <c r="K17" s="1138"/>
      <c r="L17" s="254"/>
      <c r="M17" s="254"/>
      <c r="N17" s="1137"/>
    </row>
    <row r="18" spans="1:14" s="124" customFormat="1" x14ac:dyDescent="0.25">
      <c r="A18" s="254"/>
      <c r="B18" s="1139"/>
      <c r="C18" s="1139"/>
      <c r="D18" s="1139"/>
      <c r="E18" s="1141"/>
      <c r="F18" s="1137"/>
      <c r="G18" s="138"/>
      <c r="H18" s="1139"/>
      <c r="I18" s="1139"/>
      <c r="J18" s="1137"/>
      <c r="K18" s="1138"/>
      <c r="L18" s="254"/>
      <c r="M18" s="254"/>
      <c r="N18" s="1137"/>
    </row>
    <row r="19" spans="1:14" s="124" customFormat="1" ht="13" x14ac:dyDescent="0.3">
      <c r="A19" s="254" t="s">
        <v>657</v>
      </c>
      <c r="B19" s="128">
        <f>VLOOKUP(B5,'2016-17 Funding Detail'!A4:AD23,28,FALSE)</f>
        <v>1720910.4280360858</v>
      </c>
      <c r="C19" s="1139"/>
      <c r="D19" s="1139">
        <f>VLOOKUP(B5,'2017-18 Funding Detail'!A4:AK23,17,FALSE)</f>
        <v>1513795.3153915973</v>
      </c>
      <c r="E19" s="1141">
        <v>4</v>
      </c>
      <c r="F19" s="1137"/>
      <c r="G19" s="189" t="s">
        <v>111</v>
      </c>
      <c r="H19" s="1139"/>
      <c r="I19" s="1137"/>
      <c r="J19" s="1137"/>
      <c r="K19" s="1138"/>
      <c r="L19" s="254"/>
      <c r="M19" s="254"/>
      <c r="N19" s="1137"/>
    </row>
    <row r="20" spans="1:14" s="124" customFormat="1" ht="13" x14ac:dyDescent="0.3">
      <c r="A20" s="254"/>
      <c r="B20" s="1139"/>
      <c r="C20" s="1139"/>
      <c r="D20" s="1139"/>
      <c r="E20" s="1141"/>
      <c r="F20" s="1137"/>
      <c r="G20" s="190" t="s">
        <v>112</v>
      </c>
      <c r="H20" s="1139"/>
      <c r="I20" s="1145"/>
      <c r="J20" s="1137"/>
      <c r="K20" s="1138"/>
      <c r="L20" s="254"/>
      <c r="M20" s="254"/>
      <c r="N20" s="1137"/>
    </row>
    <row r="21" spans="1:14" s="124" customFormat="1" ht="13" x14ac:dyDescent="0.3">
      <c r="A21" s="254"/>
      <c r="B21" s="188" t="s">
        <v>658</v>
      </c>
      <c r="C21" s="1139"/>
      <c r="D21" s="127" t="s">
        <v>659</v>
      </c>
      <c r="E21" s="1141"/>
      <c r="F21" s="1137"/>
      <c r="G21" s="259" t="s">
        <v>114</v>
      </c>
      <c r="H21" s="1139">
        <f>VLOOKUP(B5,'2017-18 Funding Detail'!A4:AL23,6,FALSE)</f>
        <v>0</v>
      </c>
      <c r="I21" s="1146">
        <v>10</v>
      </c>
      <c r="J21" s="1137"/>
      <c r="K21" s="1138"/>
      <c r="L21" s="254"/>
      <c r="M21" s="254"/>
      <c r="N21" s="1137"/>
    </row>
    <row r="22" spans="1:14" s="124" customFormat="1" x14ac:dyDescent="0.25">
      <c r="A22" s="254" t="s">
        <v>115</v>
      </c>
      <c r="B22" s="1147">
        <f>VLOOKUP(B5,'2016-17 Funding Detail'!A4:AD23,15,FALSE)</f>
        <v>143.5</v>
      </c>
      <c r="C22" s="1148"/>
      <c r="D22" s="1147">
        <f>VLOOKUP(B5,'2017-18 Funding Detail'!A4:AK23,15,FALSE)</f>
        <v>148.33333333333334</v>
      </c>
      <c r="E22" s="1141">
        <v>5</v>
      </c>
      <c r="F22" s="1137"/>
      <c r="G22" s="259" t="s">
        <v>116</v>
      </c>
      <c r="H22" s="1139">
        <f>VLOOKUP(B5,'2017-18 Funding Detail'!A4:AL23,7,FALSE)</f>
        <v>0</v>
      </c>
      <c r="I22" s="1146">
        <v>11</v>
      </c>
      <c r="J22" s="1137"/>
      <c r="K22" s="1138"/>
      <c r="L22" s="254"/>
      <c r="M22" s="254"/>
      <c r="N22" s="1137"/>
    </row>
    <row r="23" spans="1:14" s="124" customFormat="1" x14ac:dyDescent="0.25">
      <c r="A23" s="254"/>
      <c r="B23" s="1145"/>
      <c r="C23" s="1139"/>
      <c r="D23" s="1139"/>
      <c r="E23" s="1141"/>
      <c r="F23" s="1137"/>
      <c r="J23" s="1137"/>
      <c r="K23" s="1138"/>
      <c r="L23" s="254"/>
      <c r="M23" s="254"/>
      <c r="N23" s="1137"/>
    </row>
    <row r="24" spans="1:14" s="124" customFormat="1" ht="13" x14ac:dyDescent="0.3">
      <c r="A24" s="254" t="s">
        <v>660</v>
      </c>
      <c r="B24" s="128">
        <f>VLOOKUP(B5,'2016-17 Funding Detail'!A4:AD23,29,FALSE)</f>
        <v>11992.407164014536</v>
      </c>
      <c r="C24" s="1139"/>
      <c r="D24" s="1139">
        <f>VLOOKUP(B5,'2017-18 Funding Detail'!A4:AK23,18,FALSE)</f>
        <v>10205.361676797285</v>
      </c>
      <c r="E24" s="1141">
        <v>6</v>
      </c>
      <c r="F24" s="1137"/>
      <c r="G24" s="190" t="s">
        <v>118</v>
      </c>
      <c r="H24" s="1139"/>
      <c r="I24" s="1149"/>
      <c r="J24" s="1137"/>
      <c r="K24" s="1138"/>
      <c r="L24" s="254"/>
      <c r="M24" s="254"/>
      <c r="N24" s="1137"/>
    </row>
    <row r="25" spans="1:14" s="124" customFormat="1" ht="13" x14ac:dyDescent="0.3">
      <c r="A25" s="254"/>
      <c r="B25" s="128"/>
      <c r="C25" s="1139"/>
      <c r="D25" s="1139"/>
      <c r="E25" s="1141"/>
      <c r="F25" s="1137"/>
      <c r="G25" s="259" t="s">
        <v>10</v>
      </c>
      <c r="H25" s="1139">
        <f>VLOOKUP(B5,'2017-18 Other Funding'!A7:AS25,40,FALSE)</f>
        <v>0</v>
      </c>
      <c r="I25" s="1146">
        <v>12</v>
      </c>
      <c r="J25" s="1137"/>
      <c r="K25" s="1138"/>
      <c r="L25" s="254"/>
      <c r="M25" s="254"/>
      <c r="N25" s="1137"/>
    </row>
    <row r="26" spans="1:14" s="124" customFormat="1" ht="13" x14ac:dyDescent="0.3">
      <c r="A26" s="254" t="s">
        <v>661</v>
      </c>
      <c r="B26" s="128">
        <f>VLOOKUP(B5,'2016-17 Funding Detail'!A4:AD23,30,FALSE)</f>
        <v>11812.521056554318</v>
      </c>
      <c r="C26" s="1143">
        <v>7</v>
      </c>
      <c r="D26" s="1139"/>
      <c r="E26" s="1141"/>
      <c r="F26" s="1137"/>
      <c r="G26" s="259" t="s">
        <v>8</v>
      </c>
      <c r="H26" s="1139">
        <f>VLOOKUP(B5,'2017-18 Other Funding'!A7:AS25,42,FALSE)</f>
        <v>140436</v>
      </c>
      <c r="I26" s="1146">
        <v>13</v>
      </c>
      <c r="J26" s="1137"/>
      <c r="K26" s="1138"/>
      <c r="L26" s="254"/>
      <c r="M26" s="254"/>
      <c r="N26" s="1137"/>
    </row>
    <row r="27" spans="1:14" s="124" customFormat="1" ht="13" x14ac:dyDescent="0.3">
      <c r="A27" s="254"/>
      <c r="B27" s="128"/>
      <c r="C27" s="1143"/>
      <c r="D27" s="1139"/>
      <c r="E27" s="1141"/>
      <c r="F27" s="1137"/>
      <c r="G27" s="1150" t="s">
        <v>11</v>
      </c>
      <c r="H27" s="1139">
        <f>VLOOKUP(B5,'2017-18 Other Funding'!A7:AS25,44,FALSE)</f>
        <v>582568</v>
      </c>
      <c r="I27" s="1146">
        <v>14</v>
      </c>
      <c r="J27" s="1137"/>
      <c r="K27" s="1138"/>
      <c r="L27" s="254"/>
      <c r="M27" s="254"/>
      <c r="N27" s="1137"/>
    </row>
    <row r="28" spans="1:14" s="124" customFormat="1" ht="13" x14ac:dyDescent="0.3">
      <c r="A28" s="254" t="s">
        <v>662</v>
      </c>
      <c r="B28" s="128">
        <f>VLOOKUP(B5,'2017-18 Funding Detail'!A4:AK23,31,FALSE)</f>
        <v>238395.30799729325</v>
      </c>
      <c r="C28" s="1143">
        <v>8</v>
      </c>
      <c r="D28" s="1139"/>
      <c r="E28" s="1141"/>
      <c r="F28" s="1137"/>
      <c r="G28" s="1151"/>
      <c r="H28" s="138"/>
      <c r="I28" s="1141"/>
      <c r="J28" s="1137"/>
      <c r="K28" s="1138"/>
      <c r="L28" s="254"/>
      <c r="M28" s="254"/>
      <c r="N28" s="1137"/>
    </row>
    <row r="29" spans="1:14" s="124" customFormat="1" ht="13" x14ac:dyDescent="0.3">
      <c r="A29" s="254"/>
      <c r="B29" s="128"/>
      <c r="C29" s="1139"/>
      <c r="D29" s="1139"/>
      <c r="E29" s="1141"/>
      <c r="F29" s="1137"/>
      <c r="G29" s="259" t="s">
        <v>121</v>
      </c>
      <c r="H29" s="1144">
        <f>SUM(H21:H27)</f>
        <v>723004</v>
      </c>
      <c r="I29" s="1141">
        <v>15</v>
      </c>
      <c r="J29" s="1137"/>
      <c r="K29" s="1138"/>
      <c r="L29" s="254"/>
      <c r="M29" s="254"/>
      <c r="N29" s="1137"/>
    </row>
    <row r="30" spans="1:14" s="124" customFormat="1" ht="13" x14ac:dyDescent="0.3">
      <c r="A30" s="254"/>
      <c r="B30" s="128"/>
      <c r="C30" s="1139"/>
      <c r="D30" s="1139"/>
      <c r="E30" s="1141"/>
      <c r="F30" s="1137"/>
      <c r="G30" s="138"/>
      <c r="H30" s="1139"/>
      <c r="I30" s="1141"/>
      <c r="J30" s="1137"/>
      <c r="K30" s="1138"/>
      <c r="L30" s="254"/>
      <c r="M30" s="254"/>
      <c r="N30" s="1137"/>
    </row>
    <row r="31" spans="1:14" s="124" customFormat="1" ht="13" x14ac:dyDescent="0.3">
      <c r="A31" s="254"/>
      <c r="B31" s="128"/>
      <c r="C31" s="1139"/>
      <c r="D31" s="1139"/>
      <c r="E31" s="1141"/>
      <c r="F31" s="1137"/>
      <c r="G31" s="191" t="s">
        <v>663</v>
      </c>
      <c r="H31" s="188">
        <f>H17+H29</f>
        <v>3101508.5311402138</v>
      </c>
      <c r="I31" s="1141">
        <v>16</v>
      </c>
      <c r="J31" s="1137"/>
      <c r="K31" s="1138"/>
      <c r="L31" s="254"/>
      <c r="M31" s="254"/>
      <c r="N31" s="1137"/>
    </row>
    <row r="32" spans="1:14" s="124" customFormat="1" ht="13.5" thickBot="1" x14ac:dyDescent="0.35">
      <c r="A32" s="254"/>
      <c r="B32" s="1139"/>
      <c r="C32" s="1139"/>
      <c r="D32" s="1139"/>
      <c r="E32" s="1141"/>
      <c r="F32" s="1137"/>
      <c r="G32" s="191"/>
      <c r="H32" s="188"/>
      <c r="I32" s="1141"/>
      <c r="J32" s="1137"/>
      <c r="K32" s="1138"/>
      <c r="L32" s="254"/>
      <c r="M32" s="254"/>
      <c r="N32" s="1137"/>
    </row>
    <row r="33" spans="1:14" s="124" customFormat="1" ht="13" x14ac:dyDescent="0.3">
      <c r="B33" s="204" t="s">
        <v>125</v>
      </c>
      <c r="C33" s="1152"/>
      <c r="D33" s="205" t="s">
        <v>126</v>
      </c>
      <c r="E33" s="1141">
        <v>17</v>
      </c>
      <c r="F33" s="1137"/>
      <c r="G33" s="129" t="s">
        <v>664</v>
      </c>
      <c r="H33" s="192" t="s">
        <v>128</v>
      </c>
      <c r="I33" s="193"/>
      <c r="J33" s="1137"/>
      <c r="K33" s="1138"/>
      <c r="L33" s="254"/>
      <c r="M33" s="254"/>
      <c r="N33" s="1137"/>
    </row>
    <row r="34" spans="1:14" s="124" customFormat="1" ht="13" x14ac:dyDescent="0.3">
      <c r="A34" s="254"/>
      <c r="B34" s="1153" t="s">
        <v>39</v>
      </c>
      <c r="C34" s="1154"/>
      <c r="D34" s="206">
        <f>VLOOKUP(B5,'Band Calculations 1718'!A6:H23,4,FALSE)</f>
        <v>0.50370370370370365</v>
      </c>
      <c r="E34" s="1141"/>
      <c r="F34" s="1137"/>
      <c r="G34" s="257" t="s">
        <v>665</v>
      </c>
      <c r="H34" s="1155">
        <f>VLOOKUP(B5,'Band Calculations 1718'!A6:K23,10,FALSE)</f>
        <v>97</v>
      </c>
      <c r="I34" s="1141">
        <v>19</v>
      </c>
      <c r="J34" s="1137"/>
      <c r="K34" s="1138"/>
      <c r="L34" s="254"/>
      <c r="M34" s="254"/>
      <c r="N34" s="1137"/>
    </row>
    <row r="35" spans="1:14" s="124" customFormat="1" ht="13" x14ac:dyDescent="0.3">
      <c r="A35" s="254"/>
      <c r="B35" s="1153" t="s">
        <v>42</v>
      </c>
      <c r="C35" s="1154"/>
      <c r="D35" s="206">
        <f>VLOOKUP(B5,'Band Calculations 1718'!A6:H23,5,FALSE)</f>
        <v>0</v>
      </c>
      <c r="E35" s="1141"/>
      <c r="F35" s="1137"/>
      <c r="G35" s="257" t="s">
        <v>666</v>
      </c>
      <c r="H35" s="1155">
        <f>VLOOKUP(B5,'Band Calculations 1718'!A50:K67,10,FALSE)</f>
        <v>89</v>
      </c>
      <c r="I35" s="1141"/>
      <c r="J35" s="1137"/>
      <c r="K35" s="1138"/>
      <c r="L35" s="254"/>
      <c r="M35" s="254"/>
      <c r="N35" s="1137"/>
    </row>
    <row r="36" spans="1:14" s="124" customFormat="1" ht="13" x14ac:dyDescent="0.3">
      <c r="A36" s="254"/>
      <c r="B36" s="1153" t="s">
        <v>45</v>
      </c>
      <c r="C36" s="1154"/>
      <c r="D36" s="206">
        <f>VLOOKUP(B5,'Band Calculations 1718'!A6:H23,6,FALSE)</f>
        <v>0.28888888888888886</v>
      </c>
      <c r="E36" s="1141"/>
      <c r="F36" s="1137"/>
      <c r="G36" s="257"/>
      <c r="H36" s="1155"/>
      <c r="I36" s="1141"/>
      <c r="J36" s="1137"/>
      <c r="K36" s="1138"/>
      <c r="L36" s="254"/>
      <c r="M36" s="254"/>
      <c r="N36" s="1137"/>
    </row>
    <row r="37" spans="1:14" s="124" customFormat="1" ht="13" x14ac:dyDescent="0.3">
      <c r="A37" s="254"/>
      <c r="B37" s="1153" t="s">
        <v>48</v>
      </c>
      <c r="C37" s="1154"/>
      <c r="D37" s="206">
        <f>VLOOKUP(B5,'Band Calculations 1718'!A6:H23,7,FALSE)</f>
        <v>0.2074074074074074</v>
      </c>
      <c r="E37" s="1141"/>
      <c r="F37" s="1137"/>
      <c r="G37" s="257" t="s">
        <v>667</v>
      </c>
      <c r="H37" s="1155">
        <f>VLOOKUP(B5,'Band Calculations 1718'!A28:I45,9,FALSE)</f>
        <v>54</v>
      </c>
      <c r="I37" s="1141">
        <v>20</v>
      </c>
      <c r="J37" s="1137"/>
      <c r="K37" s="1138"/>
      <c r="L37" s="254"/>
      <c r="M37" s="254"/>
      <c r="N37" s="1137"/>
    </row>
    <row r="38" spans="1:14" s="124" customFormat="1" ht="13.5" thickBot="1" x14ac:dyDescent="0.35">
      <c r="A38" s="254"/>
      <c r="B38" s="345" t="s">
        <v>668</v>
      </c>
      <c r="C38" s="1241"/>
      <c r="D38" s="351">
        <v>0</v>
      </c>
      <c r="E38" s="1141"/>
      <c r="F38" s="1137"/>
      <c r="G38" s="258" t="s">
        <v>669</v>
      </c>
      <c r="H38" s="1159">
        <f>VLOOKUP(B5,'Band Calculations 1718'!A72:I89,9,FALSE)</f>
        <v>57</v>
      </c>
      <c r="I38" s="1141"/>
      <c r="J38" s="1137"/>
      <c r="K38" s="1138"/>
      <c r="L38" s="254"/>
      <c r="M38" s="254"/>
      <c r="N38" s="1137"/>
    </row>
    <row r="39" spans="1:14" s="124" customFormat="1" ht="13.5" thickBot="1" x14ac:dyDescent="0.35">
      <c r="A39" s="254"/>
      <c r="B39" s="1156" t="s">
        <v>51</v>
      </c>
      <c r="C39" s="1157"/>
      <c r="D39" s="303">
        <f>VLOOKUP(B5,'Band Calculations 1718'!A6:H23,8,FALSE)</f>
        <v>0</v>
      </c>
      <c r="E39" s="1141"/>
      <c r="F39" s="1137"/>
      <c r="I39" s="1141"/>
      <c r="J39" s="1137"/>
      <c r="K39" s="1138"/>
      <c r="L39" s="254"/>
      <c r="M39" s="254"/>
      <c r="N39" s="1137"/>
    </row>
    <row r="40" spans="1:14" s="124" customFormat="1" ht="12.75" customHeight="1" thickBot="1" x14ac:dyDescent="0.35">
      <c r="A40" s="254"/>
      <c r="B40" s="1158"/>
      <c r="C40" s="1139"/>
      <c r="D40" s="207"/>
      <c r="E40" s="1141"/>
      <c r="F40" s="1137"/>
      <c r="I40" s="1141"/>
      <c r="J40" s="1137"/>
      <c r="K40" s="1138"/>
      <c r="L40" s="254"/>
      <c r="M40" s="254"/>
      <c r="N40" s="1137"/>
    </row>
    <row r="41" spans="1:14" s="124" customFormat="1" ht="13" x14ac:dyDescent="0.3">
      <c r="A41" s="254"/>
      <c r="B41" s="208" t="s">
        <v>133</v>
      </c>
      <c r="C41" s="1152"/>
      <c r="D41" s="209" t="s">
        <v>134</v>
      </c>
      <c r="E41" s="1141"/>
      <c r="F41" s="1137"/>
      <c r="I41" s="1141"/>
      <c r="J41" s="1137"/>
      <c r="K41" s="1138"/>
      <c r="L41" s="254"/>
      <c r="M41" s="254"/>
      <c r="N41" s="1137"/>
    </row>
    <row r="42" spans="1:14" s="124" customFormat="1" ht="13.5" thickBot="1" x14ac:dyDescent="0.35">
      <c r="A42" s="254"/>
      <c r="B42" s="1156" t="s">
        <v>136</v>
      </c>
      <c r="C42" s="1157"/>
      <c r="D42" s="210">
        <f>VLOOKUP(B5,'Band Calculations 1718'!A108:W125,23,FALSE)</f>
        <v>10118.068418370316</v>
      </c>
      <c r="E42" s="1141">
        <v>18</v>
      </c>
      <c r="F42" s="1137"/>
      <c r="I42" s="1141"/>
      <c r="J42" s="1137"/>
      <c r="K42" s="1138"/>
      <c r="L42" s="254"/>
      <c r="M42" s="254"/>
      <c r="N42" s="1137"/>
    </row>
    <row r="43" spans="1:14" s="124" customFormat="1" ht="13" thickBot="1" x14ac:dyDescent="0.3">
      <c r="A43" s="1141"/>
      <c r="B43" s="1160"/>
      <c r="C43" s="1160"/>
      <c r="D43" s="1139"/>
      <c r="E43" s="1141"/>
      <c r="F43" s="1137"/>
      <c r="G43" s="1137"/>
      <c r="H43" s="1139"/>
      <c r="I43" s="1161"/>
    </row>
    <row r="44" spans="1:14" s="124" customFormat="1" ht="13" x14ac:dyDescent="0.3">
      <c r="A44" s="177" t="s">
        <v>670</v>
      </c>
      <c r="B44" s="211"/>
      <c r="C44" s="211"/>
      <c r="D44" s="212"/>
      <c r="E44" s="340"/>
      <c r="F44" s="196"/>
      <c r="G44" s="196"/>
      <c r="H44" s="341"/>
      <c r="I44" s="131">
        <v>21</v>
      </c>
      <c r="J44" s="126"/>
    </row>
    <row r="45" spans="1:14" s="124" customFormat="1" ht="13" x14ac:dyDescent="0.3">
      <c r="A45" s="178" t="s">
        <v>139</v>
      </c>
      <c r="B45" s="213" t="s">
        <v>35</v>
      </c>
      <c r="C45" s="214"/>
      <c r="D45" s="213" t="s">
        <v>36</v>
      </c>
      <c r="E45" s="334" t="s">
        <v>140</v>
      </c>
      <c r="F45" s="335"/>
      <c r="G45" s="335"/>
      <c r="H45" s="336"/>
      <c r="I45" s="174"/>
      <c r="J45" s="126"/>
    </row>
    <row r="46" spans="1:14" s="124" customFormat="1" x14ac:dyDescent="0.25">
      <c r="A46" s="179"/>
      <c r="B46" s="215"/>
      <c r="C46" s="214"/>
      <c r="D46" s="216"/>
      <c r="E46" s="337"/>
      <c r="F46" s="338"/>
      <c r="G46" s="338"/>
      <c r="H46" s="339"/>
      <c r="I46" s="138"/>
      <c r="J46" s="126"/>
    </row>
    <row r="47" spans="1:14" s="124" customFormat="1" x14ac:dyDescent="0.25">
      <c r="A47" s="134" t="s">
        <v>39</v>
      </c>
      <c r="B47" s="217" t="s">
        <v>40</v>
      </c>
      <c r="C47" s="218"/>
      <c r="D47" s="219">
        <v>11692.020638096787</v>
      </c>
      <c r="E47" s="331" t="s">
        <v>141</v>
      </c>
      <c r="F47" s="332"/>
      <c r="G47" s="332"/>
      <c r="H47" s="333"/>
      <c r="I47" s="138"/>
      <c r="J47" s="126"/>
    </row>
    <row r="48" spans="1:14" s="124" customFormat="1" x14ac:dyDescent="0.25">
      <c r="A48" s="135"/>
      <c r="B48" s="220"/>
      <c r="C48" s="218"/>
      <c r="D48" s="219"/>
      <c r="E48" s="317"/>
      <c r="F48" s="318"/>
      <c r="G48" s="318"/>
      <c r="H48" s="319"/>
      <c r="I48" s="138"/>
      <c r="J48" s="126"/>
    </row>
    <row r="49" spans="1:10" s="124" customFormat="1" x14ac:dyDescent="0.25">
      <c r="A49" s="134" t="s">
        <v>42</v>
      </c>
      <c r="B49" s="220" t="s">
        <v>43</v>
      </c>
      <c r="C49" s="218"/>
      <c r="D49" s="219">
        <v>7350.1419469065795</v>
      </c>
      <c r="E49" s="331" t="s">
        <v>142</v>
      </c>
      <c r="F49" s="332"/>
      <c r="G49" s="332"/>
      <c r="H49" s="333"/>
      <c r="I49" s="138"/>
      <c r="J49" s="126"/>
    </row>
    <row r="50" spans="1:10" s="124" customFormat="1" x14ac:dyDescent="0.25">
      <c r="A50" s="135"/>
      <c r="B50" s="220"/>
      <c r="C50" s="218"/>
      <c r="D50" s="219"/>
      <c r="E50" s="342"/>
      <c r="F50" s="343"/>
      <c r="G50" s="343"/>
      <c r="H50" s="344"/>
      <c r="I50" s="175"/>
      <c r="J50" s="126"/>
    </row>
    <row r="51" spans="1:10" s="124" customFormat="1" x14ac:dyDescent="0.25">
      <c r="A51" s="134" t="s">
        <v>45</v>
      </c>
      <c r="B51" s="220" t="s">
        <v>46</v>
      </c>
      <c r="C51" s="218"/>
      <c r="D51" s="219">
        <v>6243.7244928897762</v>
      </c>
      <c r="E51" s="331" t="s">
        <v>143</v>
      </c>
      <c r="F51" s="332"/>
      <c r="G51" s="332"/>
      <c r="H51" s="333"/>
      <c r="I51" s="175"/>
      <c r="J51" s="126"/>
    </row>
    <row r="52" spans="1:10" s="124" customFormat="1" x14ac:dyDescent="0.25">
      <c r="A52" s="135"/>
      <c r="B52" s="220"/>
      <c r="C52" s="218"/>
      <c r="D52" s="219"/>
      <c r="E52" s="317"/>
      <c r="F52" s="318"/>
      <c r="G52" s="318"/>
      <c r="H52" s="319"/>
      <c r="I52" s="137"/>
      <c r="J52" s="126"/>
    </row>
    <row r="53" spans="1:10" s="124" customFormat="1" ht="12" customHeight="1" x14ac:dyDescent="0.25">
      <c r="A53" s="134" t="s">
        <v>48</v>
      </c>
      <c r="B53" s="220" t="s">
        <v>40</v>
      </c>
      <c r="C53" s="218"/>
      <c r="D53" s="219">
        <v>11692.020638096787</v>
      </c>
      <c r="E53" s="331" t="s">
        <v>141</v>
      </c>
      <c r="F53" s="332"/>
      <c r="G53" s="332"/>
      <c r="H53" s="333"/>
      <c r="I53" s="137"/>
      <c r="J53" s="126"/>
    </row>
    <row r="54" spans="1:10" s="124" customFormat="1" ht="12" customHeight="1" x14ac:dyDescent="0.25">
      <c r="A54" s="135"/>
      <c r="B54" s="220"/>
      <c r="C54" s="218"/>
      <c r="D54" s="219"/>
      <c r="E54" s="317"/>
      <c r="F54" s="318"/>
      <c r="G54" s="318"/>
      <c r="H54" s="319"/>
      <c r="I54" s="137"/>
      <c r="J54" s="126"/>
    </row>
    <row r="55" spans="1:10" s="124" customFormat="1" ht="12" customHeight="1" x14ac:dyDescent="0.25">
      <c r="A55" s="135" t="s">
        <v>668</v>
      </c>
      <c r="B55" s="220" t="s">
        <v>671</v>
      </c>
      <c r="C55" s="218"/>
      <c r="D55" s="347">
        <v>22143</v>
      </c>
      <c r="E55" s="348" t="s">
        <v>672</v>
      </c>
      <c r="F55" s="349"/>
      <c r="G55" s="349"/>
      <c r="H55" s="350"/>
      <c r="I55" s="137"/>
      <c r="J55" s="126"/>
    </row>
    <row r="56" spans="1:10" s="124" customFormat="1" ht="12" customHeight="1" x14ac:dyDescent="0.25">
      <c r="A56" s="135"/>
      <c r="B56" s="220"/>
      <c r="C56" s="218"/>
      <c r="D56" s="219"/>
      <c r="E56" s="317"/>
      <c r="F56" s="318"/>
      <c r="G56" s="318"/>
      <c r="H56" s="319"/>
      <c r="I56" s="137"/>
      <c r="J56" s="126"/>
    </row>
    <row r="57" spans="1:10" s="124" customFormat="1" ht="12" customHeight="1" x14ac:dyDescent="0.25">
      <c r="A57" s="134" t="s">
        <v>51</v>
      </c>
      <c r="B57" s="221" t="s">
        <v>40</v>
      </c>
      <c r="C57" s="218"/>
      <c r="D57" s="219">
        <v>11692.020638096787</v>
      </c>
      <c r="E57" s="331" t="s">
        <v>141</v>
      </c>
      <c r="F57" s="332"/>
      <c r="G57" s="332"/>
      <c r="H57" s="333"/>
      <c r="I57" s="137"/>
      <c r="J57" s="126"/>
    </row>
    <row r="58" spans="1:10" s="124" customFormat="1" ht="12" customHeight="1" x14ac:dyDescent="0.25">
      <c r="A58" s="135"/>
      <c r="B58" s="221"/>
      <c r="C58" s="218"/>
      <c r="D58" s="219"/>
      <c r="E58" s="317"/>
      <c r="F58" s="318"/>
      <c r="G58" s="318"/>
      <c r="H58" s="319"/>
      <c r="I58" s="137"/>
      <c r="J58" s="126"/>
    </row>
    <row r="59" spans="1:10" s="124" customFormat="1" ht="12" customHeight="1" thickBot="1" x14ac:dyDescent="0.3">
      <c r="A59" s="176" t="s">
        <v>51</v>
      </c>
      <c r="B59" s="222" t="s">
        <v>54</v>
      </c>
      <c r="C59" s="223"/>
      <c r="D59" s="224">
        <v>2635.0478891670464</v>
      </c>
      <c r="E59" s="1162" t="s">
        <v>145</v>
      </c>
      <c r="F59" s="1163"/>
      <c r="G59" s="1163"/>
      <c r="H59" s="1164"/>
      <c r="I59" s="137"/>
      <c r="J59" s="126"/>
    </row>
    <row r="60" spans="1:10" s="124" customFormat="1" ht="12" customHeight="1" thickBot="1" x14ac:dyDescent="0.3">
      <c r="B60" s="126"/>
      <c r="D60" s="126"/>
      <c r="E60" s="131"/>
      <c r="F60" s="126"/>
      <c r="G60" s="126"/>
      <c r="H60" s="126"/>
      <c r="I60" s="126"/>
      <c r="J60" s="126"/>
    </row>
    <row r="61" spans="1:10" s="124" customFormat="1" ht="12" customHeight="1" x14ac:dyDescent="0.3">
      <c r="A61" s="130" t="s">
        <v>56</v>
      </c>
      <c r="B61" s="225"/>
      <c r="C61" s="225"/>
      <c r="D61" s="197"/>
      <c r="E61" s="196"/>
      <c r="F61" s="197"/>
      <c r="G61" s="197"/>
      <c r="H61" s="198"/>
      <c r="I61" s="126"/>
      <c r="J61" s="126"/>
    </row>
    <row r="62" spans="1:10" s="124" customFormat="1" ht="12" customHeight="1" x14ac:dyDescent="0.3">
      <c r="A62" s="132" t="s">
        <v>57</v>
      </c>
      <c r="B62" s="226" t="s">
        <v>58</v>
      </c>
      <c r="C62" s="218"/>
      <c r="D62" s="227" t="s">
        <v>59</v>
      </c>
      <c r="E62" s="131">
        <v>22</v>
      </c>
      <c r="F62" s="126"/>
      <c r="G62" s="199" t="s">
        <v>146</v>
      </c>
      <c r="H62" s="180" t="s">
        <v>147</v>
      </c>
      <c r="I62" s="131"/>
      <c r="J62" s="126"/>
    </row>
    <row r="63" spans="1:10" s="124" customFormat="1" ht="12" customHeight="1" x14ac:dyDescent="0.25">
      <c r="A63" s="133" t="s">
        <v>62</v>
      </c>
      <c r="B63" s="219">
        <v>314686.51772419503</v>
      </c>
      <c r="C63" s="218"/>
      <c r="D63" s="219">
        <v>69201.680689977453</v>
      </c>
      <c r="E63" s="131"/>
      <c r="F63" s="126"/>
      <c r="G63" s="183" t="s">
        <v>148</v>
      </c>
      <c r="H63" s="1165">
        <f>'2017-18 Funding Detail'!$F$17</f>
        <v>170753.69</v>
      </c>
      <c r="I63" s="126"/>
      <c r="J63" s="126"/>
    </row>
    <row r="64" spans="1:10" s="124" customFormat="1" ht="12" customHeight="1" x14ac:dyDescent="0.25">
      <c r="A64" s="133" t="s">
        <v>65</v>
      </c>
      <c r="B64" s="219">
        <v>405763.82046267512</v>
      </c>
      <c r="C64" s="218"/>
      <c r="D64" s="219">
        <v>88790.687513148558</v>
      </c>
      <c r="E64" s="131"/>
      <c r="F64" s="126"/>
      <c r="G64" s="183" t="s">
        <v>149</v>
      </c>
      <c r="H64" s="1165">
        <f>'2017-18 Funding Detail'!$F$18</f>
        <v>241540.96</v>
      </c>
      <c r="I64" s="126"/>
      <c r="J64" s="126"/>
    </row>
    <row r="65" spans="1:12" s="124" customFormat="1" ht="12" customHeight="1" x14ac:dyDescent="0.25">
      <c r="A65" s="133" t="s">
        <v>68</v>
      </c>
      <c r="B65" s="219">
        <v>418723.18610831723</v>
      </c>
      <c r="C65" s="218"/>
      <c r="D65" s="219">
        <v>117027.3922528728</v>
      </c>
      <c r="E65" s="131"/>
      <c r="F65" s="126"/>
      <c r="G65" s="183" t="s">
        <v>150</v>
      </c>
      <c r="H65" s="1165">
        <f>'2017-18 Funding Detail'!$F$19</f>
        <v>214408.47</v>
      </c>
      <c r="I65" s="126"/>
      <c r="J65" s="126"/>
    </row>
    <row r="66" spans="1:12" s="124" customFormat="1" ht="12" customHeight="1" x14ac:dyDescent="0.25">
      <c r="A66" s="410" t="s">
        <v>151</v>
      </c>
      <c r="B66" s="219">
        <v>493762.11190507573</v>
      </c>
      <c r="C66" s="218"/>
      <c r="D66" s="219">
        <v>131719.7894229154</v>
      </c>
      <c r="E66" s="131"/>
      <c r="F66" s="126"/>
      <c r="G66" s="183" t="s">
        <v>152</v>
      </c>
      <c r="H66" s="1165">
        <f>'2017-18 Funding Detail'!$F$20</f>
        <v>263272.73</v>
      </c>
      <c r="I66" s="126"/>
      <c r="J66" s="126"/>
    </row>
    <row r="67" spans="1:12" s="124" customFormat="1" ht="12" customHeight="1" x14ac:dyDescent="0.25">
      <c r="A67" s="136" t="s">
        <v>74</v>
      </c>
      <c r="B67" s="228">
        <v>280697.16623783787</v>
      </c>
      <c r="C67" s="218"/>
      <c r="D67" s="228">
        <v>55663.058379368813</v>
      </c>
      <c r="E67" s="131"/>
      <c r="F67" s="126"/>
      <c r="G67" s="126"/>
      <c r="H67" s="200"/>
      <c r="I67" s="126"/>
      <c r="J67" s="126"/>
    </row>
    <row r="68" spans="1:12" s="124" customFormat="1" ht="12" customHeight="1" thickBot="1" x14ac:dyDescent="0.3">
      <c r="A68" s="181" t="s">
        <v>77</v>
      </c>
      <c r="B68" s="229">
        <v>360067.26321081078</v>
      </c>
      <c r="C68" s="223"/>
      <c r="D68" s="229">
        <v>58044.118057617408</v>
      </c>
      <c r="E68" s="201"/>
      <c r="F68" s="202"/>
      <c r="G68" s="202"/>
      <c r="H68" s="203"/>
      <c r="I68" s="126"/>
      <c r="J68" s="126"/>
    </row>
    <row r="69" spans="1:12" s="124" customFormat="1" ht="12" customHeight="1" x14ac:dyDescent="0.25">
      <c r="A69" s="131"/>
      <c r="B69" s="137"/>
      <c r="C69" s="137"/>
      <c r="D69" s="126"/>
      <c r="E69" s="131"/>
      <c r="F69" s="126"/>
      <c r="G69" s="126"/>
      <c r="H69" s="126"/>
      <c r="I69" s="126"/>
      <c r="J69" s="126"/>
    </row>
    <row r="70" spans="1:12" s="124" customFormat="1" ht="12" customHeight="1" x14ac:dyDescent="0.25">
      <c r="A70" s="131"/>
      <c r="B70" s="137"/>
      <c r="C70" s="137"/>
      <c r="D70" s="126"/>
      <c r="E70" s="131"/>
      <c r="F70" s="126"/>
      <c r="G70" s="126"/>
      <c r="H70" s="126"/>
      <c r="I70" s="126"/>
      <c r="J70" s="126"/>
    </row>
    <row r="71" spans="1:12" s="124" customFormat="1" ht="2.25" customHeight="1" x14ac:dyDescent="0.25">
      <c r="B71" s="126"/>
      <c r="D71" s="126"/>
      <c r="E71" s="131"/>
      <c r="F71" s="126"/>
      <c r="G71" s="126"/>
      <c r="H71" s="126"/>
      <c r="I71" s="126"/>
      <c r="J71" s="126"/>
    </row>
    <row r="72" spans="1:12" s="124" customFormat="1" ht="22.5" customHeight="1" x14ac:dyDescent="0.25">
      <c r="D72" s="126"/>
      <c r="E72" s="126"/>
      <c r="F72" s="126"/>
      <c r="G72" s="126"/>
      <c r="H72" s="126"/>
      <c r="I72" s="126"/>
      <c r="J72" s="307"/>
      <c r="K72" s="307"/>
    </row>
    <row r="73" spans="1:12" s="124" customFormat="1" x14ac:dyDescent="0.25">
      <c r="A73" s="1431" t="s">
        <v>673</v>
      </c>
      <c r="B73" s="1431"/>
      <c r="C73" s="1431"/>
      <c r="D73" s="1431"/>
      <c r="E73" s="313"/>
      <c r="F73" s="126"/>
      <c r="G73" s="1431" t="s">
        <v>674</v>
      </c>
      <c r="H73" s="1431"/>
      <c r="I73" s="1431"/>
      <c r="J73" s="307"/>
      <c r="K73" s="307"/>
    </row>
    <row r="74" spans="1:12" s="124" customFormat="1" ht="12" customHeight="1" x14ac:dyDescent="0.25">
      <c r="A74" s="1431"/>
      <c r="B74" s="1431"/>
      <c r="C74" s="1431"/>
      <c r="D74" s="1431"/>
      <c r="E74" s="313"/>
      <c r="F74" s="126"/>
      <c r="G74" s="1431"/>
      <c r="H74" s="1431"/>
      <c r="I74" s="1431"/>
      <c r="J74" s="126"/>
    </row>
    <row r="75" spans="1:12" s="124" customFormat="1" ht="10.5" customHeight="1" x14ac:dyDescent="0.25">
      <c r="A75" s="307"/>
      <c r="B75" s="307"/>
      <c r="C75" s="307"/>
      <c r="D75" s="307"/>
      <c r="E75" s="313"/>
      <c r="F75" s="126"/>
      <c r="G75" s="1431"/>
      <c r="H75" s="1431"/>
      <c r="I75" s="1431"/>
      <c r="J75" s="126"/>
    </row>
    <row r="76" spans="1:12" s="124" customFormat="1" ht="12.75" customHeight="1" x14ac:dyDescent="0.25">
      <c r="A76" s="307"/>
      <c r="B76" s="307"/>
      <c r="C76" s="307"/>
      <c r="D76" s="307"/>
      <c r="E76" s="313"/>
      <c r="F76" s="126"/>
      <c r="G76" s="1431"/>
      <c r="H76" s="1431"/>
      <c r="I76" s="1431"/>
      <c r="J76" s="126"/>
    </row>
    <row r="77" spans="1:12" s="124" customFormat="1" ht="12.75" customHeight="1" x14ac:dyDescent="0.25">
      <c r="A77" s="1432" t="s">
        <v>675</v>
      </c>
      <c r="B77" s="1432"/>
      <c r="C77" s="1432"/>
      <c r="D77" s="1432"/>
      <c r="E77" s="306"/>
      <c r="F77" s="126"/>
      <c r="G77" s="307"/>
      <c r="H77" s="307"/>
      <c r="I77" s="307"/>
      <c r="J77" s="126"/>
    </row>
    <row r="78" spans="1:12" s="124" customFormat="1" ht="12" customHeight="1" x14ac:dyDescent="0.25">
      <c r="A78" s="1432"/>
      <c r="B78" s="1432"/>
      <c r="C78" s="1432"/>
      <c r="D78" s="1432"/>
      <c r="E78" s="312"/>
      <c r="F78" s="126"/>
      <c r="G78" s="1431" t="s">
        <v>676</v>
      </c>
      <c r="H78" s="1431"/>
      <c r="I78" s="1431"/>
      <c r="J78" s="126"/>
    </row>
    <row r="79" spans="1:12" s="124" customFormat="1" ht="12" customHeight="1" x14ac:dyDescent="0.25">
      <c r="A79" s="1432"/>
      <c r="B79" s="1432"/>
      <c r="C79" s="1432"/>
      <c r="D79" s="1432"/>
      <c r="E79" s="312"/>
      <c r="F79" s="1129"/>
      <c r="G79" s="1431"/>
      <c r="H79" s="1431"/>
      <c r="I79" s="1431"/>
      <c r="J79" s="126"/>
      <c r="L79" s="308"/>
    </row>
    <row r="80" spans="1:12" s="124" customFormat="1" ht="12" customHeight="1" x14ac:dyDescent="0.25">
      <c r="A80" s="1432"/>
      <c r="B80" s="1432"/>
      <c r="C80" s="1432"/>
      <c r="D80" s="1432"/>
      <c r="E80" s="312"/>
      <c r="F80" s="1129"/>
      <c r="G80" s="1431"/>
      <c r="H80" s="1431"/>
      <c r="I80" s="1431"/>
      <c r="J80" s="126"/>
    </row>
    <row r="81" spans="1:10" s="124" customFormat="1" ht="12" customHeight="1" x14ac:dyDescent="0.25">
      <c r="A81" s="1432"/>
      <c r="B81" s="1432"/>
      <c r="C81" s="1432"/>
      <c r="D81" s="1432"/>
      <c r="E81" s="312"/>
      <c r="F81" s="1129"/>
      <c r="G81" s="1431"/>
      <c r="H81" s="1431"/>
      <c r="I81" s="1431"/>
      <c r="J81" s="126"/>
    </row>
    <row r="82" spans="1:10" s="124" customFormat="1" ht="12" customHeight="1" x14ac:dyDescent="0.25">
      <c r="A82" s="1432"/>
      <c r="B82" s="1432"/>
      <c r="C82" s="1432"/>
      <c r="D82" s="1432"/>
      <c r="E82" s="312"/>
      <c r="F82" s="1129"/>
      <c r="G82" s="1431"/>
      <c r="H82" s="1431"/>
      <c r="I82" s="1431"/>
      <c r="J82" s="126"/>
    </row>
    <row r="83" spans="1:10" s="124" customFormat="1" ht="12" customHeight="1" x14ac:dyDescent="0.25">
      <c r="A83" s="1432"/>
      <c r="B83" s="1432"/>
      <c r="C83" s="1432"/>
      <c r="D83" s="1432"/>
      <c r="E83" s="312"/>
      <c r="F83" s="1129"/>
      <c r="H83" s="329"/>
      <c r="I83" s="329"/>
      <c r="J83" s="126"/>
    </row>
    <row r="84" spans="1:10" s="124" customFormat="1" ht="12" customHeight="1" x14ac:dyDescent="0.25">
      <c r="A84" s="1432"/>
      <c r="B84" s="1432"/>
      <c r="C84" s="1432"/>
      <c r="D84" s="1432"/>
      <c r="E84" s="312"/>
      <c r="F84" s="1129"/>
      <c r="G84" s="1431" t="s">
        <v>677</v>
      </c>
      <c r="H84" s="1431"/>
      <c r="I84" s="1431"/>
      <c r="J84" s="126"/>
    </row>
    <row r="85" spans="1:10" s="124" customFormat="1" ht="12" customHeight="1" x14ac:dyDescent="0.25">
      <c r="A85" s="1432"/>
      <c r="B85" s="1432"/>
      <c r="C85" s="1432"/>
      <c r="D85" s="1432"/>
      <c r="E85" s="312"/>
      <c r="F85" s="1129"/>
      <c r="G85" s="1431"/>
      <c r="H85" s="1431"/>
      <c r="I85" s="1431"/>
      <c r="J85" s="126"/>
    </row>
    <row r="86" spans="1:10" s="124" customFormat="1" ht="12" customHeight="1" x14ac:dyDescent="0.25">
      <c r="A86" s="1432"/>
      <c r="B86" s="1432"/>
      <c r="C86" s="1432"/>
      <c r="D86" s="1432"/>
      <c r="E86" s="312"/>
      <c r="F86" s="1129"/>
      <c r="G86" s="1431"/>
      <c r="H86" s="1431"/>
      <c r="I86" s="1431"/>
      <c r="J86" s="126"/>
    </row>
    <row r="87" spans="1:10" s="124" customFormat="1" ht="12" customHeight="1" x14ac:dyDescent="0.25">
      <c r="A87" s="1432"/>
      <c r="B87" s="1432"/>
      <c r="C87" s="1432"/>
      <c r="D87" s="1432"/>
      <c r="E87" s="312"/>
      <c r="F87" s="1129"/>
      <c r="G87" s="307"/>
      <c r="H87" s="307"/>
      <c r="I87" s="307"/>
      <c r="J87" s="126"/>
    </row>
    <row r="88" spans="1:10" s="124" customFormat="1" ht="12" customHeight="1" x14ac:dyDescent="0.25">
      <c r="A88" s="1432"/>
      <c r="B88" s="1432"/>
      <c r="C88" s="1432"/>
      <c r="D88" s="1432"/>
      <c r="E88" s="312"/>
      <c r="F88" s="1129"/>
      <c r="G88" s="1431" t="s">
        <v>678</v>
      </c>
      <c r="H88" s="1431"/>
      <c r="I88" s="1431"/>
      <c r="J88" s="126"/>
    </row>
    <row r="89" spans="1:10" s="124" customFormat="1" ht="12" customHeight="1" x14ac:dyDescent="0.25">
      <c r="A89" s="1432"/>
      <c r="B89" s="1432"/>
      <c r="C89" s="1432"/>
      <c r="D89" s="1432"/>
      <c r="E89" s="312"/>
      <c r="F89" s="1129"/>
      <c r="G89" s="1431"/>
      <c r="H89" s="1431"/>
      <c r="I89" s="1431"/>
      <c r="J89" s="126"/>
    </row>
    <row r="90" spans="1:10" s="124" customFormat="1" ht="12" customHeight="1" x14ac:dyDescent="0.25">
      <c r="A90" s="1432"/>
      <c r="B90" s="1432"/>
      <c r="C90" s="1432"/>
      <c r="D90" s="1432"/>
      <c r="E90" s="312"/>
      <c r="F90" s="1129"/>
      <c r="G90" s="1431"/>
      <c r="H90" s="1431"/>
      <c r="I90" s="1431"/>
      <c r="J90" s="126"/>
    </row>
    <row r="91" spans="1:10" s="124" customFormat="1" ht="12" customHeight="1" x14ac:dyDescent="0.25">
      <c r="A91" s="1432"/>
      <c r="B91" s="1432"/>
      <c r="C91" s="1432"/>
      <c r="D91" s="1432"/>
      <c r="E91" s="312"/>
      <c r="F91" s="1129"/>
      <c r="G91" s="1431"/>
      <c r="H91" s="1431"/>
      <c r="I91" s="1431"/>
      <c r="J91" s="126"/>
    </row>
    <row r="92" spans="1:10" s="124" customFormat="1" ht="12" customHeight="1" x14ac:dyDescent="0.25">
      <c r="A92" s="1432"/>
      <c r="B92" s="1432"/>
      <c r="C92" s="1432"/>
      <c r="D92" s="1432"/>
      <c r="E92" s="312"/>
      <c r="F92" s="1129"/>
      <c r="H92" s="306"/>
      <c r="I92" s="306"/>
    </row>
    <row r="93" spans="1:10" s="124" customFormat="1" ht="12" customHeight="1" x14ac:dyDescent="0.25">
      <c r="A93" s="1432"/>
      <c r="B93" s="1432"/>
      <c r="C93" s="1432"/>
      <c r="D93" s="1432"/>
      <c r="E93" s="312"/>
      <c r="F93" s="1129"/>
      <c r="G93" s="1432" t="s">
        <v>679</v>
      </c>
      <c r="H93" s="1432"/>
      <c r="I93" s="1432"/>
    </row>
    <row r="94" spans="1:10" s="124" customFormat="1" ht="12" customHeight="1" x14ac:dyDescent="0.25">
      <c r="A94" s="1432"/>
      <c r="B94" s="1432"/>
      <c r="C94" s="1432"/>
      <c r="D94" s="1432"/>
      <c r="E94" s="312"/>
      <c r="F94" s="1129"/>
      <c r="G94" s="1432"/>
      <c r="H94" s="1432"/>
      <c r="I94" s="1432"/>
      <c r="J94" s="126"/>
    </row>
    <row r="95" spans="1:10" s="124" customFormat="1" ht="12" customHeight="1" x14ac:dyDescent="0.25">
      <c r="A95" s="1432"/>
      <c r="B95" s="1432"/>
      <c r="C95" s="1432"/>
      <c r="D95" s="1432"/>
      <c r="E95" s="312"/>
      <c r="F95" s="1129"/>
      <c r="G95" s="1432"/>
      <c r="H95" s="1432"/>
      <c r="I95" s="1432"/>
      <c r="J95" s="126"/>
    </row>
    <row r="96" spans="1:10" s="124" customFormat="1" ht="12" customHeight="1" x14ac:dyDescent="0.25">
      <c r="A96" s="1432"/>
      <c r="B96" s="1432"/>
      <c r="C96" s="1432"/>
      <c r="D96" s="1432"/>
      <c r="E96" s="312"/>
      <c r="F96" s="1129"/>
      <c r="G96" s="1432"/>
      <c r="H96" s="1432"/>
      <c r="I96" s="1432"/>
      <c r="J96" s="126"/>
    </row>
    <row r="97" spans="1:10" s="124" customFormat="1" ht="12" customHeight="1" x14ac:dyDescent="0.25">
      <c r="A97" s="1432"/>
      <c r="B97" s="1432"/>
      <c r="C97" s="1432"/>
      <c r="D97" s="1432"/>
      <c r="E97" s="312"/>
      <c r="F97" s="1129"/>
      <c r="H97" s="307"/>
      <c r="I97" s="307"/>
      <c r="J97" s="126"/>
    </row>
    <row r="98" spans="1:10" s="124" customFormat="1" ht="12" customHeight="1" x14ac:dyDescent="0.25">
      <c r="A98" s="1432"/>
      <c r="B98" s="1432"/>
      <c r="C98" s="1432"/>
      <c r="D98" s="1432"/>
      <c r="E98" s="312"/>
      <c r="F98" s="1129"/>
      <c r="G98" s="1432" t="s">
        <v>680</v>
      </c>
      <c r="H98" s="1432"/>
      <c r="I98" s="1432"/>
      <c r="J98" s="126"/>
    </row>
    <row r="99" spans="1:10" s="124" customFormat="1" ht="12" customHeight="1" x14ac:dyDescent="0.25">
      <c r="A99" s="1432"/>
      <c r="B99" s="1432"/>
      <c r="C99" s="1432"/>
      <c r="D99" s="1432"/>
      <c r="E99" s="312"/>
      <c r="F99" s="1129"/>
      <c r="G99" s="1432"/>
      <c r="H99" s="1432"/>
      <c r="I99" s="1432"/>
      <c r="J99" s="126"/>
    </row>
    <row r="100" spans="1:10" s="124" customFormat="1" ht="12" customHeight="1" x14ac:dyDescent="0.25">
      <c r="A100" s="1432"/>
      <c r="B100" s="1432"/>
      <c r="C100" s="1432"/>
      <c r="D100" s="1432"/>
      <c r="E100" s="312"/>
      <c r="F100" s="1129"/>
      <c r="H100" s="126"/>
      <c r="I100" s="126"/>
      <c r="J100" s="126"/>
    </row>
    <row r="101" spans="1:10" s="124" customFormat="1" ht="12" customHeight="1" x14ac:dyDescent="0.25">
      <c r="A101" s="1432"/>
      <c r="B101" s="1432"/>
      <c r="C101" s="1432"/>
      <c r="D101" s="1432"/>
      <c r="E101" s="312"/>
      <c r="F101" s="1129"/>
      <c r="G101" s="1431" t="s">
        <v>681</v>
      </c>
      <c r="H101" s="1431"/>
      <c r="I101" s="1431"/>
      <c r="J101" s="126"/>
    </row>
    <row r="102" spans="1:10" s="124" customFormat="1" ht="12" customHeight="1" x14ac:dyDescent="0.25">
      <c r="A102" s="1432"/>
      <c r="B102" s="1432"/>
      <c r="C102" s="1432"/>
      <c r="D102" s="1432"/>
      <c r="E102" s="312"/>
      <c r="F102" s="1129"/>
      <c r="G102" s="1431"/>
      <c r="H102" s="1431"/>
      <c r="I102" s="1431"/>
      <c r="J102" s="126"/>
    </row>
    <row r="103" spans="1:10" s="124" customFormat="1" ht="12" customHeight="1" x14ac:dyDescent="0.25">
      <c r="A103" s="1432"/>
      <c r="B103" s="1432"/>
      <c r="C103" s="1432"/>
      <c r="D103" s="1432"/>
      <c r="E103" s="312"/>
      <c r="F103" s="1129"/>
      <c r="G103" s="1431"/>
      <c r="H103" s="1431"/>
      <c r="I103" s="1431"/>
      <c r="J103" s="126"/>
    </row>
    <row r="104" spans="1:10" s="124" customFormat="1" ht="12" customHeight="1" x14ac:dyDescent="0.25">
      <c r="A104" s="1432"/>
      <c r="B104" s="1432"/>
      <c r="C104" s="1432"/>
      <c r="D104" s="1432"/>
      <c r="E104" s="312"/>
      <c r="F104" s="1129"/>
      <c r="H104" s="1129"/>
      <c r="I104" s="1129"/>
      <c r="J104" s="126"/>
    </row>
    <row r="105" spans="1:10" s="124" customFormat="1" ht="12.75" customHeight="1" x14ac:dyDescent="0.25">
      <c r="A105" s="1432"/>
      <c r="B105" s="1432"/>
      <c r="C105" s="1432"/>
      <c r="D105" s="1432"/>
      <c r="E105" s="312"/>
      <c r="F105" s="1129"/>
      <c r="G105" s="1431" t="s">
        <v>682</v>
      </c>
      <c r="H105" s="1431"/>
      <c r="I105" s="1431"/>
      <c r="J105" s="126"/>
    </row>
    <row r="106" spans="1:10" s="124" customFormat="1" x14ac:dyDescent="0.25">
      <c r="A106" s="1431" t="s">
        <v>164</v>
      </c>
      <c r="B106" s="1431"/>
      <c r="C106" s="1431"/>
      <c r="D106" s="1431"/>
      <c r="E106" s="312"/>
      <c r="F106" s="1129"/>
      <c r="G106" s="1431"/>
      <c r="H106" s="1431"/>
      <c r="I106" s="1431"/>
      <c r="J106" s="126"/>
    </row>
    <row r="107" spans="1:10" s="124" customFormat="1" ht="12" customHeight="1" x14ac:dyDescent="0.25">
      <c r="A107" s="1431"/>
      <c r="B107" s="1431"/>
      <c r="C107" s="1431"/>
      <c r="D107" s="1431"/>
      <c r="E107" s="312"/>
      <c r="F107" s="1129"/>
      <c r="G107" s="1431"/>
      <c r="H107" s="1431"/>
      <c r="I107" s="1431"/>
      <c r="J107" s="126"/>
    </row>
    <row r="108" spans="1:10" s="124" customFormat="1" ht="12.75" customHeight="1" x14ac:dyDescent="0.25">
      <c r="A108" s="1431"/>
      <c r="B108" s="1431"/>
      <c r="C108" s="1431"/>
      <c r="D108" s="1431"/>
      <c r="E108" s="311"/>
      <c r="F108" s="1129"/>
      <c r="H108" s="307"/>
      <c r="I108" s="307"/>
      <c r="J108" s="126"/>
    </row>
    <row r="109" spans="1:10" s="124" customFormat="1" ht="12.75" customHeight="1" x14ac:dyDescent="0.25">
      <c r="A109" s="1431"/>
      <c r="B109" s="1431"/>
      <c r="C109" s="1431"/>
      <c r="D109" s="1431"/>
      <c r="E109" s="311"/>
      <c r="F109" s="1129"/>
      <c r="G109" s="1432" t="s">
        <v>683</v>
      </c>
      <c r="H109" s="1432"/>
      <c r="I109" s="1432"/>
      <c r="J109" s="126"/>
    </row>
    <row r="110" spans="1:10" s="124" customFormat="1" ht="12.75" customHeight="1" x14ac:dyDescent="0.25">
      <c r="B110" s="307"/>
      <c r="C110" s="307"/>
      <c r="D110" s="307"/>
      <c r="E110" s="311"/>
      <c r="F110" s="1129"/>
      <c r="G110" s="1432"/>
      <c r="H110" s="1432"/>
      <c r="I110" s="1432"/>
      <c r="J110" s="126"/>
    </row>
    <row r="111" spans="1:10" s="124" customFormat="1" ht="12.75" customHeight="1" x14ac:dyDescent="0.25">
      <c r="A111" s="1431" t="s">
        <v>684</v>
      </c>
      <c r="B111" s="1431"/>
      <c r="C111" s="1431"/>
      <c r="D111" s="1431"/>
      <c r="E111" s="307"/>
      <c r="F111" s="1129"/>
      <c r="G111" s="1432"/>
      <c r="H111" s="1432"/>
      <c r="I111" s="1432"/>
      <c r="J111" s="126"/>
    </row>
    <row r="112" spans="1:10" s="124" customFormat="1" ht="12.75" customHeight="1" x14ac:dyDescent="0.25">
      <c r="A112" s="1431"/>
      <c r="B112" s="1431"/>
      <c r="C112" s="1431"/>
      <c r="D112" s="1431"/>
      <c r="E112" s="311"/>
      <c r="F112" s="1129"/>
      <c r="G112" s="1432"/>
      <c r="H112" s="1432"/>
      <c r="I112" s="1432"/>
      <c r="J112" s="126"/>
    </row>
    <row r="113" spans="1:10" s="124" customFormat="1" ht="12.75" customHeight="1" x14ac:dyDescent="0.25">
      <c r="A113" s="1431"/>
      <c r="B113" s="1431"/>
      <c r="C113" s="1431"/>
      <c r="D113" s="1431"/>
      <c r="E113" s="311"/>
      <c r="F113" s="1129"/>
      <c r="G113" s="307"/>
      <c r="H113" s="307"/>
      <c r="I113" s="307"/>
      <c r="J113" s="126"/>
    </row>
    <row r="114" spans="1:10" s="124" customFormat="1" ht="12.75" customHeight="1" x14ac:dyDescent="0.25">
      <c r="A114" s="311"/>
      <c r="B114" s="311"/>
      <c r="C114" s="311"/>
      <c r="D114" s="311"/>
      <c r="E114" s="311"/>
      <c r="F114" s="1129"/>
      <c r="G114" s="1431" t="s">
        <v>685</v>
      </c>
      <c r="H114" s="1431"/>
      <c r="I114" s="1431"/>
      <c r="J114" s="126"/>
    </row>
    <row r="115" spans="1:10" s="124" customFormat="1" ht="12.75" customHeight="1" x14ac:dyDescent="0.25">
      <c r="A115" s="1431" t="s">
        <v>686</v>
      </c>
      <c r="B115" s="1431"/>
      <c r="C115" s="1431"/>
      <c r="D115" s="1431"/>
      <c r="E115" s="311"/>
      <c r="F115" s="1129"/>
      <c r="G115" s="1431"/>
      <c r="H115" s="1431"/>
      <c r="I115" s="1431"/>
      <c r="J115" s="126"/>
    </row>
    <row r="116" spans="1:10" s="124" customFormat="1" ht="12.75" customHeight="1" x14ac:dyDescent="0.25">
      <c r="A116" s="1431"/>
      <c r="B116" s="1431"/>
      <c r="C116" s="1431"/>
      <c r="D116" s="1431"/>
      <c r="E116" s="307"/>
      <c r="F116" s="1129"/>
      <c r="G116" s="1431"/>
      <c r="H116" s="1431"/>
      <c r="I116" s="1431"/>
      <c r="J116" s="126"/>
    </row>
    <row r="117" spans="1:10" s="124" customFormat="1" x14ac:dyDescent="0.25">
      <c r="A117" s="1431"/>
      <c r="B117" s="1431"/>
      <c r="C117" s="1431"/>
      <c r="D117" s="1431"/>
      <c r="E117" s="311"/>
      <c r="F117" s="1129"/>
      <c r="G117" s="1431"/>
      <c r="H117" s="1431"/>
      <c r="I117" s="1431"/>
      <c r="J117" s="126"/>
    </row>
    <row r="118" spans="1:10" s="124" customFormat="1" x14ac:dyDescent="0.25">
      <c r="A118" s="1431"/>
      <c r="B118" s="1431"/>
      <c r="C118" s="1431"/>
      <c r="D118" s="1431"/>
      <c r="E118" s="311"/>
      <c r="F118" s="1129"/>
      <c r="G118" s="1431"/>
      <c r="H118" s="1431"/>
      <c r="I118" s="1431"/>
      <c r="J118" s="126"/>
    </row>
    <row r="119" spans="1:10" s="124" customFormat="1" x14ac:dyDescent="0.25">
      <c r="A119" s="1431"/>
      <c r="B119" s="1431"/>
      <c r="C119" s="1431"/>
      <c r="D119" s="1431"/>
      <c r="E119" s="311"/>
      <c r="F119" s="1129"/>
      <c r="G119" s="1431"/>
      <c r="H119" s="1431"/>
      <c r="I119" s="1431"/>
      <c r="J119" s="126"/>
    </row>
    <row r="120" spans="1:10" s="124" customFormat="1" x14ac:dyDescent="0.25">
      <c r="A120" s="1431"/>
      <c r="B120" s="1431"/>
      <c r="C120" s="1431"/>
      <c r="D120" s="1431"/>
      <c r="E120" s="311"/>
      <c r="F120" s="1129"/>
      <c r="G120" s="1431"/>
      <c r="H120" s="1431"/>
      <c r="I120" s="1431"/>
      <c r="J120" s="126"/>
    </row>
    <row r="121" spans="1:10" s="124" customFormat="1" ht="12.75" customHeight="1" x14ac:dyDescent="0.25">
      <c r="A121" s="311"/>
      <c r="B121" s="311"/>
      <c r="C121" s="311"/>
      <c r="D121" s="311"/>
      <c r="E121" s="311"/>
      <c r="F121" s="1129"/>
      <c r="G121" s="1431"/>
      <c r="H121" s="1431"/>
      <c r="I121" s="1431"/>
      <c r="J121" s="126"/>
    </row>
    <row r="122" spans="1:10" s="124" customFormat="1" ht="12.75" customHeight="1" x14ac:dyDescent="0.25">
      <c r="A122" s="1432" t="s">
        <v>687</v>
      </c>
      <c r="B122" s="1432"/>
      <c r="C122" s="1432"/>
      <c r="D122" s="1432"/>
      <c r="E122" s="311"/>
      <c r="F122" s="1151"/>
      <c r="G122" s="330"/>
      <c r="H122" s="330"/>
      <c r="I122" s="330"/>
      <c r="J122" s="126"/>
    </row>
    <row r="123" spans="1:10" s="124" customFormat="1" ht="12.75" customHeight="1" x14ac:dyDescent="0.25">
      <c r="A123" s="1432"/>
      <c r="B123" s="1432"/>
      <c r="C123" s="1432"/>
      <c r="D123" s="1432"/>
      <c r="E123" s="311"/>
      <c r="F123" s="1151"/>
      <c r="G123" s="1431" t="s">
        <v>688</v>
      </c>
      <c r="H123" s="1431"/>
      <c r="I123" s="1431"/>
      <c r="J123" s="126"/>
    </row>
    <row r="124" spans="1:10" s="124" customFormat="1" ht="12.75" customHeight="1" x14ac:dyDescent="0.25">
      <c r="A124" s="310"/>
      <c r="B124" s="310"/>
      <c r="C124" s="310"/>
      <c r="D124" s="310"/>
      <c r="E124" s="311"/>
      <c r="F124" s="1151"/>
      <c r="G124" s="1431"/>
      <c r="H124" s="1431"/>
      <c r="I124" s="1431"/>
      <c r="J124" s="126"/>
    </row>
    <row r="125" spans="1:10" s="124" customFormat="1" ht="12.75" customHeight="1" x14ac:dyDescent="0.25">
      <c r="A125" s="1431" t="s">
        <v>689</v>
      </c>
      <c r="B125" s="1431"/>
      <c r="C125" s="1431"/>
      <c r="D125" s="1431"/>
      <c r="E125" s="310"/>
      <c r="F125" s="126"/>
      <c r="G125" s="1431"/>
      <c r="H125" s="1431"/>
      <c r="I125" s="1431"/>
      <c r="J125" s="126"/>
    </row>
    <row r="126" spans="1:10" s="124" customFormat="1" ht="12.75" customHeight="1" x14ac:dyDescent="0.25">
      <c r="A126" s="1431"/>
      <c r="B126" s="1431"/>
      <c r="C126" s="1431"/>
      <c r="D126" s="1431"/>
      <c r="E126" s="310"/>
      <c r="F126" s="126"/>
      <c r="G126" s="1431"/>
      <c r="H126" s="1431"/>
      <c r="I126" s="1431"/>
      <c r="J126" s="126"/>
    </row>
    <row r="127" spans="1:10" s="124" customFormat="1" ht="12.75" customHeight="1" x14ac:dyDescent="0.25">
      <c r="A127" s="1431"/>
      <c r="B127" s="1431"/>
      <c r="C127" s="1431"/>
      <c r="D127" s="1431"/>
      <c r="E127" s="310"/>
      <c r="F127" s="126"/>
      <c r="G127" s="1431"/>
      <c r="H127" s="1431"/>
      <c r="I127" s="1431"/>
      <c r="J127" s="126"/>
    </row>
    <row r="128" spans="1:10" s="124" customFormat="1" ht="12.75" customHeight="1" x14ac:dyDescent="0.25">
      <c r="A128" s="311"/>
      <c r="B128" s="311"/>
      <c r="C128" s="311"/>
      <c r="D128" s="311"/>
      <c r="E128" s="310"/>
      <c r="F128" s="126"/>
      <c r="G128" s="1431"/>
      <c r="H128" s="1431"/>
      <c r="I128" s="1431"/>
      <c r="J128" s="126"/>
    </row>
    <row r="129" spans="1:10" s="124" customFormat="1" ht="12.75" customHeight="1" x14ac:dyDescent="0.25">
      <c r="A129" s="1431" t="s">
        <v>690</v>
      </c>
      <c r="B129" s="1431"/>
      <c r="C129" s="1431"/>
      <c r="D129" s="1431"/>
      <c r="E129" s="307"/>
      <c r="F129" s="126"/>
      <c r="G129" s="307"/>
      <c r="H129" s="307"/>
      <c r="I129" s="307"/>
      <c r="J129" s="126"/>
    </row>
    <row r="130" spans="1:10" s="124" customFormat="1" ht="12.75" customHeight="1" x14ac:dyDescent="0.25">
      <c r="A130" s="1431"/>
      <c r="B130" s="1431"/>
      <c r="C130" s="1431"/>
      <c r="D130" s="1431"/>
      <c r="E130" s="311"/>
      <c r="F130" s="126"/>
      <c r="G130" s="1431" t="s">
        <v>691</v>
      </c>
      <c r="H130" s="1431"/>
      <c r="I130" s="1431"/>
      <c r="J130" s="126"/>
    </row>
    <row r="131" spans="1:10" s="124" customFormat="1" ht="12.75" customHeight="1" x14ac:dyDescent="0.25">
      <c r="A131" s="1431"/>
      <c r="B131" s="1431"/>
      <c r="C131" s="1431"/>
      <c r="D131" s="1431"/>
      <c r="E131" s="311"/>
      <c r="F131" s="126"/>
      <c r="G131" s="1431"/>
      <c r="H131" s="1431"/>
      <c r="I131" s="1431"/>
      <c r="J131" s="126"/>
    </row>
    <row r="132" spans="1:10" s="124" customFormat="1" ht="12.75" customHeight="1" x14ac:dyDescent="0.25">
      <c r="A132" s="311"/>
      <c r="B132" s="311"/>
      <c r="C132" s="311"/>
      <c r="D132" s="311"/>
      <c r="E132" s="311"/>
      <c r="F132" s="126"/>
      <c r="G132" s="1431"/>
      <c r="H132" s="1431"/>
      <c r="I132" s="1431"/>
      <c r="J132" s="126"/>
    </row>
    <row r="133" spans="1:10" s="124" customFormat="1" ht="12.75" customHeight="1" x14ac:dyDescent="0.25">
      <c r="A133" s="1431" t="s">
        <v>692</v>
      </c>
      <c r="B133" s="1431"/>
      <c r="C133" s="1431"/>
      <c r="D133" s="1431"/>
      <c r="E133" s="311"/>
      <c r="F133" s="1129"/>
      <c r="G133" s="307"/>
      <c r="H133" s="307"/>
      <c r="I133" s="307"/>
      <c r="J133" s="126"/>
    </row>
    <row r="134" spans="1:10" s="124" customFormat="1" ht="12.75" customHeight="1" x14ac:dyDescent="0.25">
      <c r="A134" s="1431"/>
      <c r="B134" s="1431"/>
      <c r="C134" s="1431"/>
      <c r="D134" s="1431"/>
      <c r="E134" s="311"/>
      <c r="F134" s="1129"/>
      <c r="G134" s="1432" t="s">
        <v>693</v>
      </c>
      <c r="H134" s="1432"/>
      <c r="I134" s="1432"/>
      <c r="J134" s="126"/>
    </row>
    <row r="135" spans="1:10" s="124" customFormat="1" ht="12.75" customHeight="1" x14ac:dyDescent="0.25">
      <c r="A135" s="1431"/>
      <c r="B135" s="1431"/>
      <c r="C135" s="1431"/>
      <c r="D135" s="1431"/>
      <c r="E135" s="311"/>
      <c r="F135" s="307"/>
      <c r="G135" s="1432"/>
      <c r="H135" s="1432"/>
      <c r="I135" s="1432"/>
      <c r="J135" s="126"/>
    </row>
    <row r="136" spans="1:10" s="124" customFormat="1" ht="12.75" customHeight="1" x14ac:dyDescent="0.25">
      <c r="A136" s="1431"/>
      <c r="B136" s="1431"/>
      <c r="C136" s="1431"/>
      <c r="D136" s="1431"/>
      <c r="E136" s="311"/>
      <c r="F136" s="311"/>
      <c r="G136" s="1432"/>
      <c r="H136" s="1432"/>
      <c r="I136" s="1432"/>
      <c r="J136" s="126"/>
    </row>
    <row r="137" spans="1:10" s="124" customFormat="1" ht="12.75" customHeight="1" x14ac:dyDescent="0.25">
      <c r="A137" s="1431"/>
      <c r="B137" s="1431"/>
      <c r="C137" s="1431"/>
      <c r="D137" s="1431"/>
      <c r="E137" s="311"/>
      <c r="F137" s="311"/>
      <c r="G137" s="1432"/>
      <c r="H137" s="1432"/>
      <c r="I137" s="1432"/>
      <c r="J137" s="126"/>
    </row>
    <row r="138" spans="1:10" s="124" customFormat="1" ht="12.75" customHeight="1" x14ac:dyDescent="0.25">
      <c r="A138" s="1431"/>
      <c r="B138" s="1431"/>
      <c r="C138" s="1431"/>
      <c r="D138" s="1431"/>
      <c r="E138" s="311"/>
      <c r="F138" s="311"/>
      <c r="G138" s="1432"/>
      <c r="H138" s="1432"/>
      <c r="I138" s="1432"/>
      <c r="J138" s="126"/>
    </row>
    <row r="139" spans="1:10" s="124" customFormat="1" ht="12.75" customHeight="1" x14ac:dyDescent="0.25">
      <c r="A139" s="1431"/>
      <c r="B139" s="1431"/>
      <c r="C139" s="1431"/>
      <c r="D139" s="1431"/>
      <c r="E139" s="311"/>
      <c r="F139" s="311"/>
      <c r="G139" s="1432"/>
      <c r="H139" s="1432"/>
      <c r="I139" s="1432"/>
      <c r="J139" s="126"/>
    </row>
    <row r="140" spans="1:10" s="124" customFormat="1" ht="12.75" customHeight="1" x14ac:dyDescent="0.25">
      <c r="A140" s="328"/>
      <c r="B140" s="328"/>
      <c r="C140" s="328"/>
      <c r="D140" s="328"/>
      <c r="E140" s="311"/>
      <c r="F140" s="126"/>
      <c r="G140" s="307"/>
      <c r="H140" s="307"/>
      <c r="I140" s="307"/>
      <c r="J140" s="126"/>
    </row>
    <row r="141" spans="1:10" s="124" customFormat="1" ht="12.75" customHeight="1" x14ac:dyDescent="0.25">
      <c r="A141" s="328"/>
      <c r="B141" s="328"/>
      <c r="C141" s="328"/>
      <c r="D141" s="328"/>
      <c r="E141" s="311"/>
      <c r="F141" s="126"/>
      <c r="G141" s="1431" t="s">
        <v>694</v>
      </c>
      <c r="H141" s="1431"/>
      <c r="I141" s="1431"/>
      <c r="J141" s="126"/>
    </row>
    <row r="142" spans="1:10" s="124" customFormat="1" x14ac:dyDescent="0.25">
      <c r="A142" s="328"/>
      <c r="B142" s="328"/>
      <c r="C142" s="328"/>
      <c r="D142" s="328"/>
      <c r="E142" s="311"/>
      <c r="F142" s="126"/>
      <c r="G142" s="1431"/>
      <c r="H142" s="1431"/>
      <c r="I142" s="1431"/>
      <c r="J142" s="126"/>
    </row>
    <row r="143" spans="1:10" s="124" customFormat="1" ht="12.75" customHeight="1" x14ac:dyDescent="0.25">
      <c r="A143" s="328"/>
      <c r="B143" s="328"/>
      <c r="C143" s="328"/>
      <c r="D143" s="328"/>
      <c r="E143" s="311"/>
      <c r="F143" s="126"/>
      <c r="H143" s="311"/>
      <c r="I143" s="311"/>
      <c r="J143" s="126"/>
    </row>
    <row r="144" spans="1:10" s="124" customFormat="1" x14ac:dyDescent="0.25">
      <c r="A144" s="328"/>
      <c r="B144" s="328"/>
      <c r="C144" s="328"/>
      <c r="D144" s="328"/>
      <c r="E144" s="311"/>
      <c r="F144" s="126"/>
      <c r="H144" s="307"/>
      <c r="I144" s="307"/>
      <c r="J144" s="126"/>
    </row>
    <row r="145" spans="1:10" s="124" customFormat="1" ht="12.75" customHeight="1" x14ac:dyDescent="0.25">
      <c r="A145" s="311"/>
      <c r="B145" s="311"/>
      <c r="C145" s="311"/>
      <c r="D145" s="311"/>
      <c r="E145" s="311"/>
      <c r="F145" s="126"/>
      <c r="G145" s="307"/>
      <c r="H145" s="307"/>
      <c r="I145" s="307"/>
      <c r="J145" s="126"/>
    </row>
    <row r="146" spans="1:10" s="124" customFormat="1" ht="12.75" customHeight="1" x14ac:dyDescent="0.25">
      <c r="B146" s="307"/>
      <c r="C146" s="307"/>
      <c r="D146" s="307"/>
      <c r="E146" s="311"/>
      <c r="F146" s="126"/>
      <c r="J146" s="126"/>
    </row>
    <row r="147" spans="1:10" s="124" customFormat="1" ht="12.75" customHeight="1" x14ac:dyDescent="0.25">
      <c r="A147" s="307"/>
      <c r="B147" s="307"/>
      <c r="C147" s="307"/>
      <c r="D147" s="307"/>
      <c r="F147" s="126"/>
      <c r="J147" s="126"/>
    </row>
    <row r="148" spans="1:10" s="124" customFormat="1" x14ac:dyDescent="0.25">
      <c r="A148" s="307"/>
      <c r="B148" s="307"/>
      <c r="C148" s="307"/>
      <c r="D148" s="307"/>
      <c r="E148" s="311"/>
      <c r="F148" s="126"/>
      <c r="G148" s="311"/>
      <c r="H148" s="311"/>
      <c r="I148" s="311"/>
      <c r="J148" s="126"/>
    </row>
    <row r="149" spans="1:10" s="124" customFormat="1" ht="12.75" customHeight="1" x14ac:dyDescent="0.25">
      <c r="A149" s="307"/>
      <c r="B149" s="307"/>
      <c r="C149" s="307"/>
      <c r="D149" s="307"/>
      <c r="E149" s="311"/>
      <c r="F149" s="126"/>
      <c r="J149" s="126"/>
    </row>
    <row r="150" spans="1:10" s="124" customFormat="1" ht="12.75" customHeight="1" x14ac:dyDescent="0.25">
      <c r="E150" s="311"/>
      <c r="F150" s="126"/>
      <c r="J150" s="126"/>
    </row>
    <row r="151" spans="1:10" s="124" customFormat="1" ht="12.75" customHeight="1" x14ac:dyDescent="0.25">
      <c r="E151" s="311"/>
      <c r="F151" s="126"/>
      <c r="J151" s="126"/>
    </row>
    <row r="152" spans="1:10" s="124" customFormat="1" ht="12.75" customHeight="1" x14ac:dyDescent="0.25">
      <c r="D152" s="126"/>
      <c r="E152" s="307"/>
      <c r="F152" s="126"/>
      <c r="G152" s="126"/>
      <c r="H152" s="126"/>
      <c r="I152" s="126"/>
      <c r="J152" s="126"/>
    </row>
    <row r="153" spans="1:10" s="124" customFormat="1" ht="12.75" customHeight="1" x14ac:dyDescent="0.25">
      <c r="D153" s="126"/>
      <c r="E153" s="307"/>
      <c r="F153" s="126"/>
      <c r="G153" s="126"/>
      <c r="H153" s="126"/>
      <c r="I153" s="126"/>
      <c r="J153" s="126"/>
    </row>
    <row r="154" spans="1:10" s="124" customFormat="1" x14ac:dyDescent="0.25">
      <c r="D154" s="126"/>
      <c r="E154" s="307"/>
      <c r="F154" s="126"/>
      <c r="G154" s="126"/>
      <c r="H154" s="126"/>
      <c r="I154" s="126"/>
      <c r="J154" s="126"/>
    </row>
    <row r="155" spans="1:10" s="124" customFormat="1" x14ac:dyDescent="0.25">
      <c r="D155" s="126"/>
      <c r="E155" s="307"/>
      <c r="F155" s="126"/>
      <c r="G155" s="126"/>
      <c r="H155" s="126"/>
      <c r="I155" s="126"/>
      <c r="J155" s="126"/>
    </row>
    <row r="156" spans="1:10" s="124" customFormat="1" x14ac:dyDescent="0.25">
      <c r="D156" s="126"/>
      <c r="F156" s="126"/>
      <c r="G156" s="126"/>
      <c r="H156" s="126"/>
      <c r="I156" s="126"/>
      <c r="J156" s="126"/>
    </row>
    <row r="157" spans="1:10" s="124" customFormat="1" x14ac:dyDescent="0.25">
      <c r="D157" s="126"/>
      <c r="F157" s="126"/>
      <c r="G157" s="126"/>
      <c r="H157" s="126"/>
      <c r="I157" s="126"/>
      <c r="J157" s="126"/>
    </row>
    <row r="158" spans="1:10" s="124" customFormat="1" x14ac:dyDescent="0.25">
      <c r="D158" s="126"/>
      <c r="E158" s="126"/>
      <c r="F158" s="126"/>
      <c r="G158" s="126"/>
      <c r="H158" s="126"/>
      <c r="I158" s="126"/>
      <c r="J158" s="126"/>
    </row>
    <row r="159" spans="1:10" s="124" customFormat="1" x14ac:dyDescent="0.25">
      <c r="D159" s="126"/>
      <c r="E159" s="126"/>
      <c r="F159" s="126"/>
      <c r="G159" s="126"/>
      <c r="H159" s="126"/>
      <c r="I159" s="126"/>
      <c r="J159" s="126"/>
    </row>
    <row r="160" spans="1:10" s="124" customFormat="1" x14ac:dyDescent="0.25">
      <c r="D160" s="126"/>
      <c r="E160" s="126"/>
      <c r="F160" s="126"/>
      <c r="G160" s="126"/>
      <c r="H160" s="126"/>
      <c r="I160" s="126"/>
      <c r="J160" s="126"/>
    </row>
    <row r="161" spans="4:10" s="124" customFormat="1" x14ac:dyDescent="0.25">
      <c r="D161" s="126"/>
      <c r="E161" s="126"/>
      <c r="F161" s="126"/>
      <c r="G161" s="126"/>
      <c r="H161" s="126"/>
      <c r="I161" s="126"/>
      <c r="J161" s="126"/>
    </row>
    <row r="162" spans="4:10" s="124" customFormat="1" x14ac:dyDescent="0.25">
      <c r="D162" s="126"/>
      <c r="E162" s="126"/>
      <c r="F162" s="126"/>
      <c r="G162" s="126"/>
      <c r="H162" s="126"/>
      <c r="I162" s="126"/>
      <c r="J162" s="126"/>
    </row>
    <row r="163" spans="4:10" s="124" customFormat="1" x14ac:dyDescent="0.25">
      <c r="D163" s="126"/>
      <c r="E163" s="126"/>
      <c r="F163" s="126"/>
      <c r="G163" s="126"/>
      <c r="H163" s="126"/>
      <c r="I163" s="126"/>
      <c r="J163" s="126"/>
    </row>
    <row r="164" spans="4:10" s="124" customFormat="1" x14ac:dyDescent="0.25">
      <c r="D164" s="126"/>
      <c r="E164" s="126"/>
      <c r="F164" s="126"/>
      <c r="G164" s="126"/>
      <c r="H164" s="126"/>
      <c r="I164" s="126"/>
      <c r="J164" s="126"/>
    </row>
    <row r="165" spans="4:10" s="124" customFormat="1" x14ac:dyDescent="0.25">
      <c r="D165" s="126"/>
      <c r="E165" s="126"/>
      <c r="F165" s="126"/>
      <c r="G165" s="126"/>
      <c r="H165" s="126"/>
      <c r="I165" s="126"/>
      <c r="J165" s="126"/>
    </row>
    <row r="166" spans="4:10" s="124" customFormat="1" x14ac:dyDescent="0.25">
      <c r="D166" s="126"/>
      <c r="E166" s="126"/>
      <c r="F166" s="126"/>
      <c r="G166" s="126"/>
      <c r="H166" s="126"/>
      <c r="I166" s="126"/>
      <c r="J166" s="126"/>
    </row>
    <row r="167" spans="4:10" s="124" customFormat="1" x14ac:dyDescent="0.25">
      <c r="D167" s="126"/>
      <c r="E167" s="126"/>
      <c r="F167" s="126"/>
      <c r="G167" s="126"/>
      <c r="H167" s="126"/>
      <c r="I167" s="126"/>
      <c r="J167" s="126"/>
    </row>
    <row r="168" spans="4:10" s="124" customFormat="1" x14ac:dyDescent="0.25">
      <c r="D168" s="126"/>
      <c r="E168" s="126"/>
      <c r="F168" s="126"/>
      <c r="G168" s="126"/>
      <c r="H168" s="126"/>
      <c r="I168" s="126"/>
      <c r="J168" s="126"/>
    </row>
    <row r="169" spans="4:10" s="124" customFormat="1" x14ac:dyDescent="0.25">
      <c r="D169" s="126"/>
      <c r="E169" s="126"/>
      <c r="F169" s="126"/>
      <c r="G169" s="126"/>
      <c r="H169" s="126"/>
      <c r="I169" s="126"/>
      <c r="J169" s="126"/>
    </row>
    <row r="170" spans="4:10" s="124" customFormat="1" x14ac:dyDescent="0.25">
      <c r="D170" s="126"/>
      <c r="E170" s="126"/>
      <c r="F170" s="126"/>
      <c r="G170" s="126"/>
      <c r="H170" s="126"/>
      <c r="I170" s="126"/>
      <c r="J170" s="126"/>
    </row>
    <row r="171" spans="4:10" s="124" customFormat="1" x14ac:dyDescent="0.25">
      <c r="D171" s="126"/>
      <c r="E171" s="126"/>
      <c r="F171" s="126"/>
      <c r="G171" s="126"/>
      <c r="H171" s="126"/>
      <c r="I171" s="126"/>
      <c r="J171" s="126"/>
    </row>
    <row r="172" spans="4:10" s="124" customFormat="1" x14ac:dyDescent="0.25">
      <c r="D172" s="126"/>
      <c r="E172" s="126"/>
      <c r="F172" s="126"/>
      <c r="G172" s="126"/>
      <c r="H172" s="126"/>
      <c r="I172" s="126"/>
      <c r="J172" s="126"/>
    </row>
    <row r="173" spans="4:10" s="124" customFormat="1" x14ac:dyDescent="0.25">
      <c r="D173" s="126"/>
      <c r="E173" s="126"/>
      <c r="F173" s="126"/>
      <c r="G173" s="126"/>
      <c r="H173" s="126"/>
      <c r="I173" s="126"/>
      <c r="J173" s="126"/>
    </row>
    <row r="174" spans="4:10" s="124" customFormat="1" x14ac:dyDescent="0.25">
      <c r="D174" s="126"/>
      <c r="E174" s="126"/>
      <c r="F174" s="126"/>
      <c r="G174" s="126"/>
      <c r="H174" s="126"/>
      <c r="I174" s="126"/>
      <c r="J174" s="126"/>
    </row>
    <row r="175" spans="4:10" s="124" customFormat="1" x14ac:dyDescent="0.25">
      <c r="D175" s="126"/>
      <c r="E175" s="126"/>
      <c r="F175" s="126"/>
      <c r="G175" s="126"/>
      <c r="H175" s="126"/>
      <c r="I175" s="126"/>
      <c r="J175" s="126"/>
    </row>
    <row r="176" spans="4:10" s="124" customFormat="1" x14ac:dyDescent="0.25">
      <c r="D176" s="126"/>
      <c r="E176" s="126"/>
      <c r="F176" s="126"/>
      <c r="G176" s="126"/>
      <c r="H176" s="126"/>
      <c r="I176" s="126"/>
      <c r="J176" s="126"/>
    </row>
    <row r="177" spans="4:10" s="124" customFormat="1" x14ac:dyDescent="0.25">
      <c r="D177" s="126"/>
      <c r="E177" s="126"/>
      <c r="F177" s="126"/>
      <c r="G177" s="126"/>
      <c r="H177" s="126"/>
      <c r="I177" s="126"/>
      <c r="J177" s="126"/>
    </row>
    <row r="178" spans="4:10" s="124" customFormat="1" x14ac:dyDescent="0.25">
      <c r="D178" s="126"/>
      <c r="E178" s="126"/>
      <c r="F178" s="126"/>
      <c r="G178" s="126"/>
      <c r="H178" s="126"/>
      <c r="I178" s="126"/>
      <c r="J178" s="126"/>
    </row>
    <row r="179" spans="4:10" s="124" customFormat="1" x14ac:dyDescent="0.25">
      <c r="D179" s="126"/>
      <c r="E179" s="126"/>
      <c r="F179" s="126"/>
      <c r="G179" s="126"/>
      <c r="H179" s="126"/>
      <c r="I179" s="126"/>
      <c r="J179" s="126"/>
    </row>
    <row r="180" spans="4:10" s="124" customFormat="1" x14ac:dyDescent="0.25">
      <c r="D180" s="126"/>
      <c r="E180" s="126"/>
      <c r="F180" s="126"/>
      <c r="G180" s="126"/>
      <c r="H180" s="126"/>
      <c r="I180" s="126"/>
      <c r="J180" s="126"/>
    </row>
    <row r="181" spans="4:10" s="124" customFormat="1" x14ac:dyDescent="0.25">
      <c r="D181" s="126"/>
      <c r="E181" s="126"/>
      <c r="F181" s="126"/>
      <c r="G181" s="126"/>
      <c r="H181" s="126"/>
      <c r="I181" s="126"/>
      <c r="J181" s="126"/>
    </row>
    <row r="182" spans="4:10" s="124" customFormat="1" x14ac:dyDescent="0.25">
      <c r="D182" s="126"/>
      <c r="E182" s="126"/>
      <c r="F182" s="126"/>
      <c r="G182" s="126"/>
      <c r="H182" s="126"/>
      <c r="I182" s="126"/>
      <c r="J182" s="126"/>
    </row>
    <row r="183" spans="4:10" s="124" customFormat="1" x14ac:dyDescent="0.25">
      <c r="D183" s="126"/>
      <c r="E183" s="126"/>
      <c r="F183" s="126"/>
      <c r="G183" s="126"/>
      <c r="H183" s="126"/>
      <c r="I183" s="126"/>
      <c r="J183" s="126"/>
    </row>
    <row r="184" spans="4:10" s="124" customFormat="1" x14ac:dyDescent="0.25">
      <c r="D184" s="126"/>
      <c r="E184" s="126"/>
      <c r="F184" s="126"/>
      <c r="G184" s="126"/>
      <c r="H184" s="126"/>
      <c r="I184" s="126"/>
      <c r="J184" s="126"/>
    </row>
    <row r="185" spans="4:10" s="124" customFormat="1" x14ac:dyDescent="0.25">
      <c r="D185" s="126"/>
      <c r="E185" s="126"/>
      <c r="F185" s="126"/>
      <c r="G185" s="126"/>
      <c r="H185" s="126"/>
      <c r="I185" s="126"/>
      <c r="J185" s="126"/>
    </row>
    <row r="186" spans="4:10" s="124" customFormat="1" x14ac:dyDescent="0.25">
      <c r="D186" s="126"/>
      <c r="E186" s="126"/>
      <c r="F186" s="126"/>
      <c r="G186" s="126"/>
      <c r="H186" s="126"/>
      <c r="I186" s="126"/>
      <c r="J186" s="126"/>
    </row>
    <row r="187" spans="4:10" s="124" customFormat="1" x14ac:dyDescent="0.25">
      <c r="D187" s="126"/>
      <c r="E187" s="126"/>
      <c r="F187" s="126"/>
      <c r="G187" s="126"/>
      <c r="H187" s="126"/>
      <c r="I187" s="126"/>
      <c r="J187" s="126"/>
    </row>
    <row r="188" spans="4:10" s="124" customFormat="1" x14ac:dyDescent="0.25">
      <c r="D188" s="126"/>
      <c r="E188" s="126"/>
      <c r="F188" s="126"/>
      <c r="G188" s="126"/>
      <c r="H188" s="126"/>
      <c r="I188" s="126"/>
      <c r="J188" s="126"/>
    </row>
    <row r="189" spans="4:10" s="124" customFormat="1" x14ac:dyDescent="0.25">
      <c r="D189" s="126"/>
      <c r="E189" s="126"/>
      <c r="F189" s="126"/>
      <c r="G189" s="126"/>
      <c r="H189" s="126"/>
      <c r="I189" s="126"/>
      <c r="J189" s="126"/>
    </row>
    <row r="190" spans="4:10" s="124" customFormat="1" x14ac:dyDescent="0.25">
      <c r="D190" s="126"/>
      <c r="E190" s="126"/>
      <c r="F190" s="126"/>
      <c r="G190" s="126"/>
      <c r="H190" s="126"/>
      <c r="I190" s="126"/>
      <c r="J190" s="126"/>
    </row>
    <row r="191" spans="4:10" s="124" customFormat="1" x14ac:dyDescent="0.25">
      <c r="D191" s="126"/>
      <c r="E191" s="126"/>
      <c r="F191" s="126"/>
      <c r="G191" s="126"/>
      <c r="H191" s="126"/>
      <c r="I191" s="126"/>
      <c r="J191" s="126"/>
    </row>
    <row r="192" spans="4:10" s="124" customFormat="1" x14ac:dyDescent="0.25">
      <c r="D192" s="126"/>
      <c r="E192" s="126"/>
      <c r="F192" s="126"/>
      <c r="G192" s="126"/>
      <c r="H192" s="126"/>
      <c r="I192" s="126"/>
      <c r="J192" s="126"/>
    </row>
    <row r="193" spans="4:10" s="124" customFormat="1" x14ac:dyDescent="0.25">
      <c r="D193" s="126"/>
      <c r="E193" s="126"/>
      <c r="F193" s="126"/>
      <c r="G193" s="126"/>
      <c r="H193" s="126"/>
      <c r="I193" s="126"/>
      <c r="J193" s="126"/>
    </row>
    <row r="194" spans="4:10" s="124" customFormat="1" x14ac:dyDescent="0.25">
      <c r="D194" s="126"/>
      <c r="E194" s="126"/>
      <c r="F194" s="126"/>
      <c r="G194" s="126"/>
      <c r="H194" s="126"/>
      <c r="I194" s="126"/>
      <c r="J194" s="126"/>
    </row>
    <row r="195" spans="4:10" s="124" customFormat="1" x14ac:dyDescent="0.25">
      <c r="D195" s="126"/>
      <c r="E195" s="126"/>
      <c r="F195" s="126"/>
      <c r="G195" s="126"/>
      <c r="H195" s="126"/>
      <c r="I195" s="126"/>
      <c r="J195" s="126"/>
    </row>
    <row r="196" spans="4:10" s="124" customFormat="1" x14ac:dyDescent="0.25">
      <c r="D196" s="126"/>
      <c r="E196" s="126"/>
      <c r="F196" s="126"/>
      <c r="G196" s="126"/>
      <c r="H196" s="126"/>
      <c r="I196" s="126"/>
      <c r="J196" s="126"/>
    </row>
    <row r="197" spans="4:10" s="124" customFormat="1" x14ac:dyDescent="0.25">
      <c r="D197" s="126"/>
      <c r="E197" s="126"/>
      <c r="F197" s="126"/>
      <c r="G197" s="126"/>
      <c r="H197" s="126"/>
      <c r="I197" s="126"/>
      <c r="J197" s="126"/>
    </row>
    <row r="198" spans="4:10" s="124" customFormat="1" x14ac:dyDescent="0.25">
      <c r="D198" s="126"/>
      <c r="E198" s="126"/>
      <c r="F198" s="126"/>
      <c r="G198" s="126"/>
      <c r="H198" s="126"/>
      <c r="I198" s="126"/>
      <c r="J198" s="126"/>
    </row>
    <row r="199" spans="4:10" s="124" customFormat="1" x14ac:dyDescent="0.25">
      <c r="D199" s="126"/>
      <c r="E199" s="126"/>
      <c r="F199" s="126"/>
      <c r="G199" s="126"/>
      <c r="H199" s="126"/>
      <c r="I199" s="126"/>
      <c r="J199" s="126"/>
    </row>
    <row r="200" spans="4:10" s="124" customFormat="1" x14ac:dyDescent="0.25">
      <c r="D200" s="126"/>
      <c r="E200" s="126"/>
      <c r="F200" s="126"/>
      <c r="G200" s="126"/>
      <c r="H200" s="126"/>
      <c r="I200" s="126"/>
      <c r="J200" s="126"/>
    </row>
    <row r="201" spans="4:10" s="124" customFormat="1" x14ac:dyDescent="0.25">
      <c r="D201" s="126"/>
      <c r="E201" s="126"/>
      <c r="F201" s="126"/>
      <c r="G201" s="126"/>
      <c r="H201" s="126"/>
      <c r="I201" s="126"/>
      <c r="J201" s="126"/>
    </row>
    <row r="202" spans="4:10" s="124" customFormat="1" x14ac:dyDescent="0.25">
      <c r="D202" s="126"/>
      <c r="E202" s="126"/>
      <c r="F202" s="126"/>
      <c r="G202" s="126"/>
      <c r="H202" s="126"/>
      <c r="I202" s="126"/>
      <c r="J202" s="126"/>
    </row>
    <row r="203" spans="4:10" s="124" customFormat="1" x14ac:dyDescent="0.25">
      <c r="D203" s="126"/>
      <c r="E203" s="126"/>
      <c r="F203" s="126"/>
      <c r="G203" s="126"/>
      <c r="H203" s="126"/>
      <c r="I203" s="126"/>
      <c r="J203" s="126"/>
    </row>
    <row r="204" spans="4:10" s="124" customFormat="1" x14ac:dyDescent="0.25">
      <c r="D204" s="126"/>
      <c r="E204" s="126"/>
      <c r="F204" s="126"/>
      <c r="G204" s="126"/>
      <c r="H204" s="126"/>
      <c r="I204" s="126"/>
      <c r="J204" s="126"/>
    </row>
    <row r="205" spans="4:10" s="124" customFormat="1" x14ac:dyDescent="0.25">
      <c r="D205" s="126"/>
      <c r="E205" s="126"/>
      <c r="F205" s="126"/>
      <c r="G205" s="126"/>
      <c r="H205" s="126"/>
      <c r="I205" s="126"/>
      <c r="J205" s="126"/>
    </row>
    <row r="206" spans="4:10" s="124" customFormat="1" x14ac:dyDescent="0.25">
      <c r="D206" s="126"/>
      <c r="E206" s="126"/>
      <c r="F206" s="126"/>
      <c r="G206" s="126"/>
      <c r="H206" s="126"/>
      <c r="I206" s="126"/>
      <c r="J206" s="126"/>
    </row>
    <row r="207" spans="4:10" s="124" customFormat="1" x14ac:dyDescent="0.25">
      <c r="D207" s="126"/>
      <c r="E207" s="126"/>
      <c r="F207" s="126"/>
      <c r="G207" s="126"/>
      <c r="H207" s="126"/>
      <c r="I207" s="126"/>
      <c r="J207" s="126"/>
    </row>
    <row r="208" spans="4:10" s="124" customFormat="1" x14ac:dyDescent="0.25">
      <c r="D208" s="126"/>
      <c r="E208" s="126"/>
      <c r="F208" s="126"/>
      <c r="G208" s="126"/>
      <c r="H208" s="126"/>
      <c r="I208" s="126"/>
      <c r="J208" s="126"/>
    </row>
    <row r="209" spans="4:10" s="124" customFormat="1" x14ac:dyDescent="0.25">
      <c r="D209" s="126"/>
      <c r="E209" s="126"/>
      <c r="F209" s="126"/>
      <c r="G209" s="126"/>
      <c r="H209" s="126"/>
      <c r="I209" s="126"/>
      <c r="J209" s="126"/>
    </row>
    <row r="210" spans="4:10" s="124" customFormat="1" x14ac:dyDescent="0.25">
      <c r="D210" s="126"/>
      <c r="E210" s="126"/>
      <c r="F210" s="126"/>
      <c r="G210" s="126"/>
      <c r="H210" s="126"/>
      <c r="I210" s="126"/>
      <c r="J210" s="126"/>
    </row>
    <row r="211" spans="4:10" s="124" customFormat="1" x14ac:dyDescent="0.25">
      <c r="D211" s="126"/>
      <c r="E211" s="126"/>
      <c r="F211" s="126"/>
      <c r="G211" s="126"/>
      <c r="H211" s="126"/>
      <c r="I211" s="126"/>
      <c r="J211" s="126"/>
    </row>
    <row r="212" spans="4:10" s="124" customFormat="1" x14ac:dyDescent="0.25">
      <c r="D212" s="126"/>
      <c r="E212" s="126"/>
      <c r="F212" s="126"/>
      <c r="G212" s="126"/>
      <c r="H212" s="126"/>
      <c r="I212" s="126"/>
      <c r="J212" s="126"/>
    </row>
    <row r="213" spans="4:10" s="124" customFormat="1" x14ac:dyDescent="0.25">
      <c r="D213" s="126"/>
      <c r="E213" s="126"/>
      <c r="F213" s="126"/>
      <c r="G213" s="126"/>
      <c r="H213" s="126"/>
      <c r="I213" s="126"/>
      <c r="J213" s="126"/>
    </row>
    <row r="214" spans="4:10" s="124" customFormat="1" x14ac:dyDescent="0.25">
      <c r="D214" s="126"/>
      <c r="E214" s="126"/>
      <c r="F214" s="126"/>
      <c r="G214" s="126"/>
      <c r="H214" s="126"/>
      <c r="I214" s="126"/>
      <c r="J214" s="126"/>
    </row>
    <row r="215" spans="4:10" s="124" customFormat="1" x14ac:dyDescent="0.25">
      <c r="D215" s="126"/>
      <c r="E215" s="126"/>
      <c r="F215" s="126"/>
      <c r="G215" s="126"/>
      <c r="H215" s="126"/>
      <c r="I215" s="126"/>
      <c r="J215" s="126"/>
    </row>
    <row r="216" spans="4:10" s="124" customFormat="1" x14ac:dyDescent="0.25">
      <c r="D216" s="126"/>
      <c r="E216" s="126"/>
      <c r="F216" s="126"/>
      <c r="G216" s="126"/>
      <c r="H216" s="126"/>
      <c r="I216" s="126"/>
      <c r="J216" s="126"/>
    </row>
    <row r="217" spans="4:10" s="124" customFormat="1" x14ac:dyDescent="0.25">
      <c r="D217" s="126"/>
      <c r="E217" s="126"/>
      <c r="F217" s="126"/>
      <c r="G217" s="126"/>
      <c r="H217" s="126"/>
      <c r="I217" s="126"/>
      <c r="J217" s="126"/>
    </row>
    <row r="218" spans="4:10" s="124" customFormat="1" x14ac:dyDescent="0.25">
      <c r="D218" s="126"/>
      <c r="E218" s="126"/>
      <c r="F218" s="126"/>
      <c r="G218" s="126"/>
      <c r="H218" s="126"/>
      <c r="I218" s="126"/>
      <c r="J218" s="126"/>
    </row>
    <row r="219" spans="4:10" s="124" customFormat="1" x14ac:dyDescent="0.25">
      <c r="D219" s="126"/>
      <c r="E219" s="126"/>
      <c r="F219" s="126"/>
      <c r="G219" s="126"/>
      <c r="H219" s="126"/>
      <c r="I219" s="126"/>
      <c r="J219" s="126"/>
    </row>
    <row r="220" spans="4:10" s="124" customFormat="1" x14ac:dyDescent="0.25">
      <c r="D220" s="126"/>
      <c r="E220" s="126"/>
      <c r="F220" s="126"/>
      <c r="G220" s="126"/>
      <c r="H220" s="126"/>
      <c r="I220" s="126"/>
      <c r="J220" s="126"/>
    </row>
    <row r="221" spans="4:10" s="124" customFormat="1" x14ac:dyDescent="0.25">
      <c r="D221" s="126"/>
      <c r="E221" s="126"/>
      <c r="F221" s="126"/>
      <c r="G221" s="126"/>
      <c r="H221" s="126"/>
      <c r="I221" s="126"/>
      <c r="J221" s="126"/>
    </row>
    <row r="222" spans="4:10" s="124" customFormat="1" x14ac:dyDescent="0.25">
      <c r="D222" s="126"/>
      <c r="E222" s="126"/>
      <c r="F222" s="126"/>
      <c r="G222" s="126"/>
      <c r="H222" s="126"/>
      <c r="I222" s="126"/>
      <c r="J222" s="126"/>
    </row>
    <row r="223" spans="4:10" s="124" customFormat="1" x14ac:dyDescent="0.25">
      <c r="D223" s="126"/>
      <c r="E223" s="126"/>
      <c r="F223" s="126"/>
      <c r="G223" s="126"/>
      <c r="H223" s="126"/>
      <c r="I223" s="126"/>
      <c r="J223" s="126"/>
    </row>
    <row r="224" spans="4:10" s="124" customFormat="1" x14ac:dyDescent="0.25">
      <c r="D224" s="126"/>
      <c r="E224" s="126"/>
      <c r="F224" s="126"/>
      <c r="G224" s="126"/>
      <c r="H224" s="126"/>
      <c r="I224" s="126"/>
      <c r="J224" s="126"/>
    </row>
    <row r="225" spans="4:10" s="124" customFormat="1" x14ac:dyDescent="0.25">
      <c r="D225" s="126"/>
      <c r="E225" s="126"/>
      <c r="F225" s="126"/>
      <c r="G225" s="126"/>
      <c r="H225" s="126"/>
      <c r="I225" s="126"/>
      <c r="J225" s="126"/>
    </row>
    <row r="226" spans="4:10" s="124" customFormat="1" x14ac:dyDescent="0.25">
      <c r="D226" s="126"/>
      <c r="E226" s="126"/>
      <c r="F226" s="126"/>
      <c r="G226" s="126"/>
      <c r="H226" s="126"/>
      <c r="I226" s="126"/>
      <c r="J226" s="126"/>
    </row>
    <row r="227" spans="4:10" s="124" customFormat="1" x14ac:dyDescent="0.25">
      <c r="D227" s="126"/>
      <c r="E227" s="126"/>
      <c r="F227" s="126"/>
      <c r="G227" s="126"/>
      <c r="H227" s="126"/>
      <c r="I227" s="126"/>
      <c r="J227" s="126"/>
    </row>
    <row r="228" spans="4:10" s="124" customFormat="1" x14ac:dyDescent="0.25">
      <c r="D228" s="126"/>
      <c r="E228" s="126"/>
      <c r="F228" s="126"/>
      <c r="G228" s="126"/>
      <c r="H228" s="126"/>
      <c r="I228" s="126"/>
      <c r="J228" s="126"/>
    </row>
    <row r="229" spans="4:10" s="124" customFormat="1" x14ac:dyDescent="0.25">
      <c r="D229" s="126"/>
      <c r="E229" s="126"/>
      <c r="F229" s="126"/>
      <c r="G229" s="126"/>
      <c r="H229" s="126"/>
      <c r="I229" s="126"/>
      <c r="J229" s="126"/>
    </row>
    <row r="230" spans="4:10" s="124" customFormat="1" x14ac:dyDescent="0.25">
      <c r="D230" s="126"/>
      <c r="E230" s="126"/>
      <c r="F230" s="126"/>
      <c r="G230" s="126"/>
      <c r="H230" s="126"/>
      <c r="I230" s="126"/>
      <c r="J230" s="126"/>
    </row>
    <row r="231" spans="4:10" s="124" customFormat="1" x14ac:dyDescent="0.25">
      <c r="D231" s="126"/>
      <c r="E231" s="126"/>
      <c r="F231" s="126"/>
      <c r="G231" s="126"/>
      <c r="H231" s="126"/>
      <c r="I231" s="126"/>
      <c r="J231" s="126"/>
    </row>
    <row r="232" spans="4:10" s="124" customFormat="1" x14ac:dyDescent="0.25">
      <c r="D232" s="126"/>
      <c r="E232" s="126"/>
      <c r="F232" s="126"/>
      <c r="G232" s="126"/>
      <c r="H232" s="126"/>
      <c r="I232" s="126"/>
      <c r="J232" s="126"/>
    </row>
    <row r="233" spans="4:10" s="124" customFormat="1" x14ac:dyDescent="0.25">
      <c r="D233" s="126"/>
      <c r="E233" s="126"/>
      <c r="F233" s="126"/>
      <c r="G233" s="126"/>
      <c r="H233" s="126"/>
      <c r="I233" s="126"/>
      <c r="J233" s="126"/>
    </row>
    <row r="234" spans="4:10" s="124" customFormat="1" x14ac:dyDescent="0.25">
      <c r="D234" s="126"/>
      <c r="E234" s="126"/>
      <c r="F234" s="126"/>
      <c r="G234" s="126"/>
      <c r="H234" s="126"/>
      <c r="I234" s="126"/>
      <c r="J234" s="126"/>
    </row>
    <row r="235" spans="4:10" s="124" customFormat="1" x14ac:dyDescent="0.25">
      <c r="D235" s="126"/>
      <c r="E235" s="126"/>
      <c r="F235" s="126"/>
      <c r="G235" s="126"/>
      <c r="H235" s="126"/>
      <c r="I235" s="126"/>
      <c r="J235" s="126"/>
    </row>
    <row r="236" spans="4:10" s="124" customFormat="1" x14ac:dyDescent="0.25">
      <c r="D236" s="126"/>
      <c r="E236" s="126"/>
      <c r="F236" s="126"/>
      <c r="G236" s="126"/>
      <c r="H236" s="126"/>
      <c r="I236" s="126"/>
      <c r="J236" s="126"/>
    </row>
    <row r="237" spans="4:10" s="124" customFormat="1" x14ac:dyDescent="0.25">
      <c r="D237" s="126"/>
      <c r="E237" s="126"/>
      <c r="F237" s="126"/>
      <c r="G237" s="126"/>
      <c r="H237" s="126"/>
      <c r="I237" s="126"/>
      <c r="J237" s="126"/>
    </row>
    <row r="238" spans="4:10" s="124" customFormat="1" x14ac:dyDescent="0.25">
      <c r="D238" s="126"/>
      <c r="E238" s="126"/>
      <c r="F238" s="126"/>
      <c r="G238" s="126"/>
      <c r="H238" s="126"/>
      <c r="I238" s="126"/>
      <c r="J238" s="126"/>
    </row>
    <row r="239" spans="4:10" s="124" customFormat="1" x14ac:dyDescent="0.25">
      <c r="D239" s="126"/>
      <c r="E239" s="126"/>
      <c r="F239" s="126"/>
      <c r="G239" s="126"/>
      <c r="H239" s="126"/>
      <c r="I239" s="126"/>
      <c r="J239" s="126"/>
    </row>
    <row r="240" spans="4:10" s="124" customFormat="1" x14ac:dyDescent="0.25">
      <c r="D240" s="126"/>
      <c r="E240" s="126"/>
      <c r="F240" s="126"/>
      <c r="G240" s="126"/>
      <c r="H240" s="126"/>
      <c r="I240" s="126"/>
      <c r="J240" s="126"/>
    </row>
    <row r="241" spans="4:10" s="124" customFormat="1" x14ac:dyDescent="0.25">
      <c r="D241" s="126"/>
      <c r="E241" s="126"/>
      <c r="F241" s="126"/>
      <c r="G241" s="126"/>
      <c r="H241" s="126"/>
      <c r="I241" s="126"/>
      <c r="J241" s="126"/>
    </row>
    <row r="242" spans="4:10" s="124" customFormat="1" x14ac:dyDescent="0.25">
      <c r="D242" s="126"/>
      <c r="E242" s="126"/>
      <c r="F242" s="126"/>
      <c r="G242" s="126"/>
      <c r="H242" s="126"/>
      <c r="I242" s="126"/>
      <c r="J242" s="126"/>
    </row>
    <row r="243" spans="4:10" s="124" customFormat="1" x14ac:dyDescent="0.25">
      <c r="D243" s="126"/>
      <c r="E243" s="126"/>
      <c r="F243" s="126"/>
      <c r="G243" s="126"/>
      <c r="H243" s="126"/>
      <c r="I243" s="126"/>
      <c r="J243" s="126"/>
    </row>
    <row r="244" spans="4:10" s="124" customFormat="1" x14ac:dyDescent="0.25">
      <c r="D244" s="126"/>
      <c r="E244" s="126"/>
      <c r="F244" s="126"/>
      <c r="G244" s="126"/>
      <c r="H244" s="126"/>
      <c r="I244" s="126"/>
      <c r="J244" s="126"/>
    </row>
    <row r="245" spans="4:10" s="124" customFormat="1" x14ac:dyDescent="0.25">
      <c r="D245" s="126"/>
      <c r="E245" s="126"/>
      <c r="F245" s="126"/>
      <c r="G245" s="126"/>
      <c r="H245" s="126"/>
      <c r="I245" s="126"/>
      <c r="J245" s="126"/>
    </row>
    <row r="246" spans="4:10" s="124" customFormat="1" x14ac:dyDescent="0.25">
      <c r="D246" s="126"/>
      <c r="E246" s="126"/>
      <c r="F246" s="126"/>
      <c r="G246" s="126"/>
      <c r="H246" s="126"/>
      <c r="I246" s="126"/>
      <c r="J246" s="126"/>
    </row>
    <row r="247" spans="4:10" s="124" customFormat="1" x14ac:dyDescent="0.25">
      <c r="D247" s="126"/>
      <c r="E247" s="126"/>
      <c r="F247" s="126"/>
      <c r="G247" s="126"/>
      <c r="H247" s="126"/>
      <c r="I247" s="126"/>
      <c r="J247" s="126"/>
    </row>
    <row r="248" spans="4:10" s="124" customFormat="1" x14ac:dyDescent="0.25">
      <c r="D248" s="126"/>
      <c r="E248" s="126"/>
      <c r="F248" s="126"/>
      <c r="G248" s="126"/>
      <c r="H248" s="126"/>
      <c r="I248" s="126"/>
      <c r="J248" s="126"/>
    </row>
    <row r="249" spans="4:10" s="124" customFormat="1" x14ac:dyDescent="0.25">
      <c r="D249" s="126"/>
      <c r="E249" s="126"/>
      <c r="F249" s="126"/>
      <c r="G249" s="126"/>
      <c r="H249" s="126"/>
      <c r="I249" s="126"/>
      <c r="J249" s="126"/>
    </row>
    <row r="250" spans="4:10" s="124" customFormat="1" x14ac:dyDescent="0.25">
      <c r="D250" s="126"/>
      <c r="E250" s="126"/>
      <c r="F250" s="126"/>
      <c r="G250" s="126"/>
      <c r="H250" s="126"/>
      <c r="I250" s="126"/>
      <c r="J250" s="126"/>
    </row>
    <row r="251" spans="4:10" s="124" customFormat="1" x14ac:dyDescent="0.25">
      <c r="D251" s="126"/>
      <c r="E251" s="126"/>
      <c r="F251" s="126"/>
      <c r="G251" s="126"/>
      <c r="H251" s="126"/>
      <c r="I251" s="126"/>
      <c r="J251" s="126"/>
    </row>
    <row r="252" spans="4:10" s="124" customFormat="1" x14ac:dyDescent="0.25">
      <c r="D252" s="126"/>
      <c r="E252" s="126"/>
      <c r="F252" s="126"/>
      <c r="G252" s="126"/>
      <c r="H252" s="126"/>
      <c r="I252" s="126"/>
      <c r="J252" s="126"/>
    </row>
    <row r="253" spans="4:10" s="124" customFormat="1" x14ac:dyDescent="0.25">
      <c r="D253" s="126"/>
      <c r="E253" s="126"/>
      <c r="F253" s="126"/>
      <c r="G253" s="126"/>
      <c r="H253" s="126"/>
      <c r="I253" s="126"/>
      <c r="J253" s="126"/>
    </row>
    <row r="254" spans="4:10" s="124" customFormat="1" x14ac:dyDescent="0.25">
      <c r="D254" s="126"/>
      <c r="E254" s="126"/>
      <c r="F254" s="126"/>
      <c r="G254" s="126"/>
      <c r="H254" s="126"/>
      <c r="I254" s="126"/>
      <c r="J254" s="126"/>
    </row>
    <row r="255" spans="4:10" s="124" customFormat="1" x14ac:dyDescent="0.25">
      <c r="D255" s="126"/>
      <c r="E255" s="126"/>
      <c r="F255" s="126"/>
      <c r="G255" s="126"/>
      <c r="H255" s="126"/>
      <c r="I255" s="126"/>
      <c r="J255" s="126"/>
    </row>
    <row r="256" spans="4:10" s="124" customFormat="1" x14ac:dyDescent="0.25">
      <c r="D256" s="126"/>
      <c r="E256" s="126"/>
      <c r="F256" s="126"/>
      <c r="G256" s="126"/>
      <c r="H256" s="126"/>
      <c r="I256" s="126"/>
      <c r="J256" s="126"/>
    </row>
    <row r="257" spans="4:10" s="124" customFormat="1" x14ac:dyDescent="0.25">
      <c r="D257" s="126"/>
      <c r="E257" s="126"/>
      <c r="F257" s="126"/>
      <c r="G257" s="126"/>
      <c r="H257" s="126"/>
      <c r="I257" s="126"/>
      <c r="J257" s="126"/>
    </row>
    <row r="258" spans="4:10" s="124" customFormat="1" x14ac:dyDescent="0.25">
      <c r="D258" s="126"/>
      <c r="E258" s="126"/>
      <c r="F258" s="126"/>
      <c r="G258" s="126"/>
      <c r="H258" s="126"/>
      <c r="I258" s="126"/>
      <c r="J258" s="126"/>
    </row>
    <row r="259" spans="4:10" s="124" customFormat="1" x14ac:dyDescent="0.25">
      <c r="D259" s="126"/>
      <c r="E259" s="126"/>
      <c r="F259" s="126"/>
      <c r="G259" s="126"/>
      <c r="H259" s="126"/>
      <c r="I259" s="126"/>
      <c r="J259" s="126"/>
    </row>
    <row r="260" spans="4:10" s="124" customFormat="1" x14ac:dyDescent="0.25">
      <c r="D260" s="126"/>
      <c r="E260" s="126"/>
      <c r="F260" s="126"/>
      <c r="G260" s="126"/>
      <c r="H260" s="126"/>
      <c r="I260" s="126"/>
      <c r="J260" s="126"/>
    </row>
    <row r="261" spans="4:10" s="124" customFormat="1" x14ac:dyDescent="0.25">
      <c r="D261" s="126"/>
      <c r="E261" s="126"/>
      <c r="F261" s="126"/>
      <c r="G261" s="126"/>
      <c r="H261" s="126"/>
      <c r="I261" s="126"/>
      <c r="J261" s="126"/>
    </row>
    <row r="262" spans="4:10" s="124" customFormat="1" x14ac:dyDescent="0.25">
      <c r="D262" s="126"/>
      <c r="E262" s="126"/>
      <c r="F262" s="126"/>
      <c r="G262" s="126"/>
      <c r="H262" s="126"/>
      <c r="I262" s="126"/>
      <c r="J262" s="126"/>
    </row>
    <row r="263" spans="4:10" s="124" customFormat="1" x14ac:dyDescent="0.25">
      <c r="D263" s="126"/>
      <c r="E263" s="126"/>
      <c r="F263" s="126"/>
      <c r="G263" s="126"/>
      <c r="H263" s="126"/>
      <c r="I263" s="126"/>
      <c r="J263" s="126"/>
    </row>
    <row r="264" spans="4:10" s="124" customFormat="1" x14ac:dyDescent="0.25">
      <c r="D264" s="126"/>
      <c r="E264" s="126"/>
      <c r="F264" s="126"/>
      <c r="G264" s="126"/>
      <c r="H264" s="126"/>
      <c r="I264" s="126"/>
      <c r="J264" s="126"/>
    </row>
    <row r="265" spans="4:10" s="124" customFormat="1" x14ac:dyDescent="0.25">
      <c r="D265" s="126"/>
      <c r="E265" s="126"/>
      <c r="F265" s="126"/>
      <c r="G265" s="126"/>
      <c r="H265" s="126"/>
      <c r="I265" s="126"/>
      <c r="J265" s="126"/>
    </row>
    <row r="266" spans="4:10" s="124" customFormat="1" x14ac:dyDescent="0.25">
      <c r="D266" s="126"/>
      <c r="E266" s="126"/>
      <c r="F266" s="126"/>
      <c r="G266" s="126"/>
      <c r="H266" s="126"/>
      <c r="I266" s="126"/>
      <c r="J266" s="126"/>
    </row>
    <row r="267" spans="4:10" s="124" customFormat="1" x14ac:dyDescent="0.25">
      <c r="D267" s="126"/>
      <c r="E267" s="126"/>
      <c r="F267" s="126"/>
      <c r="G267" s="126"/>
      <c r="H267" s="126"/>
      <c r="I267" s="126"/>
      <c r="J267" s="126"/>
    </row>
    <row r="268" spans="4:10" s="124" customFormat="1" x14ac:dyDescent="0.25">
      <c r="D268" s="126"/>
      <c r="E268" s="126"/>
      <c r="F268" s="126"/>
      <c r="G268" s="126"/>
      <c r="H268" s="126"/>
      <c r="I268" s="126"/>
      <c r="J268" s="126"/>
    </row>
    <row r="269" spans="4:10" s="124" customFormat="1" x14ac:dyDescent="0.25">
      <c r="D269" s="126"/>
      <c r="E269" s="126"/>
      <c r="F269" s="126"/>
      <c r="G269" s="126"/>
      <c r="H269" s="126"/>
      <c r="I269" s="126"/>
      <c r="J269" s="126"/>
    </row>
    <row r="270" spans="4:10" s="124" customFormat="1" x14ac:dyDescent="0.25">
      <c r="D270" s="126"/>
      <c r="E270" s="126"/>
      <c r="F270" s="126"/>
      <c r="G270" s="126"/>
      <c r="H270" s="126"/>
      <c r="I270" s="126"/>
      <c r="J270" s="126"/>
    </row>
    <row r="271" spans="4:10" s="124" customFormat="1" x14ac:dyDescent="0.25">
      <c r="D271" s="126"/>
      <c r="E271" s="126"/>
      <c r="F271" s="126"/>
      <c r="G271" s="126"/>
      <c r="H271" s="126"/>
      <c r="I271" s="126"/>
      <c r="J271" s="126"/>
    </row>
    <row r="272" spans="4:10" s="124" customFormat="1" x14ac:dyDescent="0.25">
      <c r="D272" s="126"/>
      <c r="E272" s="126"/>
      <c r="F272" s="126"/>
      <c r="G272" s="126"/>
      <c r="H272" s="126"/>
      <c r="I272" s="126"/>
      <c r="J272" s="126"/>
    </row>
    <row r="273" spans="4:10" s="124" customFormat="1" x14ac:dyDescent="0.25">
      <c r="D273" s="126"/>
      <c r="E273" s="126"/>
      <c r="F273" s="126"/>
      <c r="G273" s="126"/>
      <c r="H273" s="126"/>
      <c r="I273" s="126"/>
      <c r="J273" s="126"/>
    </row>
    <row r="274" spans="4:10" s="124" customFormat="1" x14ac:dyDescent="0.25">
      <c r="D274" s="126"/>
      <c r="E274" s="126"/>
      <c r="F274" s="126"/>
      <c r="G274" s="126"/>
      <c r="H274" s="126"/>
      <c r="I274" s="126"/>
      <c r="J274" s="126"/>
    </row>
    <row r="275" spans="4:10" s="124" customFormat="1" x14ac:dyDescent="0.25">
      <c r="D275" s="126"/>
      <c r="E275" s="126"/>
      <c r="F275" s="126"/>
      <c r="G275" s="126"/>
      <c r="H275" s="126"/>
      <c r="I275" s="126"/>
      <c r="J275" s="126"/>
    </row>
    <row r="276" spans="4:10" s="124" customFormat="1" x14ac:dyDescent="0.25">
      <c r="D276" s="126"/>
      <c r="E276" s="126"/>
      <c r="F276" s="126"/>
      <c r="G276" s="126"/>
      <c r="H276" s="126"/>
      <c r="I276" s="126"/>
      <c r="J276" s="126"/>
    </row>
    <row r="277" spans="4:10" s="124" customFormat="1" x14ac:dyDescent="0.25">
      <c r="D277" s="126"/>
      <c r="E277" s="126"/>
      <c r="F277" s="126"/>
      <c r="G277" s="126"/>
      <c r="H277" s="126"/>
      <c r="I277" s="126"/>
      <c r="J277" s="126"/>
    </row>
    <row r="278" spans="4:10" s="124" customFormat="1" x14ac:dyDescent="0.25">
      <c r="D278" s="126"/>
      <c r="E278" s="126"/>
      <c r="F278" s="126"/>
      <c r="G278" s="126"/>
      <c r="H278" s="126"/>
      <c r="I278" s="126"/>
      <c r="J278" s="126"/>
    </row>
    <row r="279" spans="4:10" s="124" customFormat="1" x14ac:dyDescent="0.25">
      <c r="D279" s="126"/>
      <c r="E279" s="126"/>
      <c r="F279" s="126"/>
      <c r="G279" s="126"/>
      <c r="H279" s="126"/>
      <c r="I279" s="126"/>
      <c r="J279" s="126"/>
    </row>
    <row r="280" spans="4:10" s="124" customFormat="1" x14ac:dyDescent="0.25">
      <c r="D280" s="126"/>
      <c r="E280" s="126"/>
      <c r="F280" s="126"/>
      <c r="G280" s="126"/>
      <c r="H280" s="126"/>
      <c r="I280" s="126"/>
      <c r="J280" s="126"/>
    </row>
    <row r="281" spans="4:10" s="124" customFormat="1" x14ac:dyDescent="0.25">
      <c r="D281" s="126"/>
      <c r="E281" s="126"/>
      <c r="F281" s="126"/>
      <c r="G281" s="126"/>
      <c r="H281" s="126"/>
      <c r="I281" s="126"/>
      <c r="J281" s="126"/>
    </row>
    <row r="282" spans="4:10" s="124" customFormat="1" x14ac:dyDescent="0.25">
      <c r="D282" s="126"/>
      <c r="E282" s="126"/>
      <c r="F282" s="126"/>
      <c r="G282" s="126"/>
      <c r="H282" s="126"/>
      <c r="I282" s="126"/>
      <c r="J282" s="126"/>
    </row>
    <row r="283" spans="4:10" s="124" customFormat="1" x14ac:dyDescent="0.25">
      <c r="D283" s="126"/>
      <c r="E283" s="126"/>
      <c r="F283" s="126"/>
      <c r="G283" s="126"/>
      <c r="H283" s="126"/>
      <c r="I283" s="126"/>
      <c r="J283" s="126"/>
    </row>
    <row r="284" spans="4:10" s="124" customFormat="1" x14ac:dyDescent="0.25">
      <c r="D284" s="126"/>
      <c r="E284" s="126"/>
      <c r="F284" s="126"/>
      <c r="G284" s="126"/>
      <c r="H284" s="126"/>
      <c r="I284" s="126"/>
      <c r="J284" s="126"/>
    </row>
    <row r="285" spans="4:10" s="124" customFormat="1" x14ac:dyDescent="0.25">
      <c r="D285" s="126"/>
      <c r="E285" s="126"/>
      <c r="F285" s="126"/>
      <c r="G285" s="126"/>
      <c r="H285" s="126"/>
      <c r="I285" s="126"/>
      <c r="J285" s="126"/>
    </row>
    <row r="286" spans="4:10" s="124" customFormat="1" x14ac:dyDescent="0.25">
      <c r="D286" s="126"/>
      <c r="E286" s="126"/>
      <c r="F286" s="126"/>
      <c r="G286" s="126"/>
      <c r="H286" s="126"/>
      <c r="I286" s="126"/>
      <c r="J286" s="126"/>
    </row>
    <row r="287" spans="4:10" s="124" customFormat="1" x14ac:dyDescent="0.25">
      <c r="D287" s="126"/>
      <c r="E287" s="126"/>
      <c r="F287" s="126"/>
      <c r="G287" s="126"/>
      <c r="H287" s="126"/>
      <c r="I287" s="126"/>
      <c r="J287" s="126"/>
    </row>
    <row r="288" spans="4:10" s="124" customFormat="1" x14ac:dyDescent="0.25">
      <c r="D288" s="126"/>
      <c r="E288" s="126"/>
      <c r="F288" s="126"/>
      <c r="G288" s="2"/>
      <c r="H288" s="2"/>
      <c r="I288" s="2"/>
      <c r="J288" s="126"/>
    </row>
    <row r="289" spans="1:10" s="124" customFormat="1" x14ac:dyDescent="0.25">
      <c r="D289" s="126"/>
      <c r="E289" s="126"/>
      <c r="F289" s="126"/>
      <c r="G289" s="2"/>
      <c r="H289" s="2"/>
      <c r="I289" s="2"/>
      <c r="J289" s="126"/>
    </row>
    <row r="290" spans="1:10" s="124" customFormat="1" x14ac:dyDescent="0.25">
      <c r="D290" s="126"/>
      <c r="E290" s="126"/>
      <c r="F290" s="126"/>
      <c r="G290" s="2"/>
      <c r="H290" s="2"/>
      <c r="I290" s="2"/>
      <c r="J290" s="126"/>
    </row>
    <row r="291" spans="1:10" s="124" customFormat="1" x14ac:dyDescent="0.25">
      <c r="A291"/>
      <c r="B291"/>
      <c r="C291"/>
      <c r="D291" s="2"/>
      <c r="E291" s="126"/>
      <c r="F291" s="126"/>
      <c r="G291" s="2"/>
      <c r="H291" s="2"/>
      <c r="I291" s="2"/>
      <c r="J291" s="126"/>
    </row>
    <row r="292" spans="1:10" s="124" customFormat="1" x14ac:dyDescent="0.25">
      <c r="A292"/>
      <c r="B292"/>
      <c r="C292"/>
      <c r="D292" s="2"/>
      <c r="E292" s="126"/>
      <c r="F292" s="126"/>
      <c r="G292" s="2"/>
      <c r="H292" s="2"/>
      <c r="I292" s="2"/>
      <c r="J292" s="126"/>
    </row>
    <row r="293" spans="1:10" s="124" customFormat="1" x14ac:dyDescent="0.25">
      <c r="A293"/>
      <c r="B293"/>
      <c r="C293"/>
      <c r="D293" s="2"/>
      <c r="E293" s="126"/>
      <c r="F293" s="126"/>
      <c r="G293" s="2"/>
      <c r="H293" s="2"/>
      <c r="I293" s="2"/>
      <c r="J293" s="126"/>
    </row>
    <row r="294" spans="1:10" s="124" customFormat="1" x14ac:dyDescent="0.25">
      <c r="A294"/>
      <c r="B294"/>
      <c r="C294"/>
      <c r="D294" s="2"/>
      <c r="E294" s="126"/>
      <c r="F294" s="126"/>
      <c r="G294" s="2"/>
      <c r="H294" s="2"/>
      <c r="I294" s="2"/>
      <c r="J294" s="126"/>
    </row>
    <row r="295" spans="1:10" s="124" customFormat="1" x14ac:dyDescent="0.25">
      <c r="A295"/>
      <c r="B295"/>
      <c r="C295"/>
      <c r="D295" s="2"/>
      <c r="E295" s="126"/>
      <c r="F295" s="126"/>
      <c r="G295" s="2"/>
      <c r="H295" s="2"/>
      <c r="I295" s="2"/>
      <c r="J295" s="126"/>
    </row>
    <row r="296" spans="1:10" x14ac:dyDescent="0.25">
      <c r="E296" s="126"/>
      <c r="F296" s="126"/>
    </row>
  </sheetData>
  <mergeCells count="25">
    <mergeCell ref="A133:D139"/>
    <mergeCell ref="A129:D131"/>
    <mergeCell ref="A115:D120"/>
    <mergeCell ref="A125:D127"/>
    <mergeCell ref="G84:I86"/>
    <mergeCell ref="G93:I96"/>
    <mergeCell ref="G98:I99"/>
    <mergeCell ref="G101:I103"/>
    <mergeCell ref="A122:D123"/>
    <mergeCell ref="B7:D7"/>
    <mergeCell ref="G7:H7"/>
    <mergeCell ref="G141:I142"/>
    <mergeCell ref="G123:I128"/>
    <mergeCell ref="G130:I132"/>
    <mergeCell ref="G134:I139"/>
    <mergeCell ref="G73:I76"/>
    <mergeCell ref="G78:I82"/>
    <mergeCell ref="G105:I107"/>
    <mergeCell ref="G109:I112"/>
    <mergeCell ref="G114:I121"/>
    <mergeCell ref="G88:I91"/>
    <mergeCell ref="A73:D74"/>
    <mergeCell ref="A77:D105"/>
    <mergeCell ref="A106:D109"/>
    <mergeCell ref="A111:D113"/>
  </mergeCells>
  <pageMargins left="0.70866141732283472" right="0.70866141732283472" top="0.74803149606299213" bottom="0.74803149606299213" header="0.31496062992125984" footer="0.31496062992125984"/>
  <pageSetup paperSize="9" scale="56" orientation="landscape" r:id="rId1"/>
  <headerFooter>
    <oddHeader>&amp;CLincolnshire County Council</oddHeader>
    <oddFooter>&amp;C2017/18 Special Schools Budget Share Calculation
2017-18 Funding Summary</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F0"/>
  </sheetPr>
  <dimension ref="A1:AX31"/>
  <sheetViews>
    <sheetView topLeftCell="Q1" zoomScale="85" zoomScaleNormal="85" workbookViewId="0">
      <selection activeCell="AO4" sqref="AO4"/>
    </sheetView>
  </sheetViews>
  <sheetFormatPr defaultColWidth="10.26953125" defaultRowHeight="12.5" x14ac:dyDescent="0.25"/>
  <cols>
    <col min="1" max="1" width="10.26953125" style="29"/>
    <col min="2" max="2" width="31.54296875" style="29" customWidth="1"/>
    <col min="3" max="3" width="6.1796875" style="29" customWidth="1"/>
    <col min="4" max="8" width="15.7265625" style="30" customWidth="1"/>
    <col min="9" max="12" width="15.7265625" style="29" customWidth="1"/>
    <col min="13" max="13" width="15.7265625" style="30" customWidth="1"/>
    <col min="14" max="14" width="17.26953125" style="29" customWidth="1"/>
    <col min="15" max="15" width="10.26953125" style="30" customWidth="1"/>
    <col min="16" max="16" width="0.81640625" style="29" customWidth="1"/>
    <col min="17" max="21" width="10.26953125" style="29" customWidth="1"/>
    <col min="22" max="23" width="11.1796875" style="29" customWidth="1"/>
    <col min="24" max="24" width="10.26953125" style="29" customWidth="1"/>
    <col min="25" max="25" width="10.26953125" style="31" customWidth="1"/>
    <col min="26" max="26" width="11.81640625" style="30" bestFit="1" customWidth="1"/>
    <col min="27" max="27" width="10.26953125" style="30"/>
    <col min="28" max="29" width="10.26953125" style="29"/>
    <col min="30" max="30" width="9.54296875" style="30" customWidth="1"/>
    <col min="31" max="31" width="10.26953125" style="30"/>
    <col min="32" max="38" width="10.81640625" style="30" customWidth="1"/>
    <col min="39" max="39" width="11.54296875" style="29" bestFit="1" customWidth="1"/>
    <col min="40" max="40" width="11.26953125" style="29" bestFit="1" customWidth="1"/>
    <col min="41" max="48" width="10.26953125" style="29"/>
    <col min="49" max="49" width="11.26953125" style="29" bestFit="1" customWidth="1"/>
    <col min="50" max="16384" width="10.26953125" style="29"/>
  </cols>
  <sheetData>
    <row r="1" spans="1:50" ht="17.5" x14ac:dyDescent="0.35">
      <c r="A1" s="36"/>
      <c r="B1" s="33" t="s">
        <v>695</v>
      </c>
      <c r="C1" s="36"/>
      <c r="D1" s="234"/>
      <c r="E1" s="234"/>
      <c r="F1" s="234"/>
      <c r="G1" s="234"/>
      <c r="H1" s="234"/>
      <c r="I1" s="36"/>
      <c r="J1" s="36"/>
      <c r="K1" s="36"/>
      <c r="L1" s="36"/>
      <c r="M1" s="234"/>
      <c r="N1" s="36"/>
      <c r="O1" s="234"/>
      <c r="P1" s="36"/>
      <c r="Q1" s="36"/>
      <c r="R1" s="36"/>
      <c r="S1" s="36"/>
      <c r="T1" s="36"/>
      <c r="U1" s="36"/>
      <c r="V1" s="36"/>
      <c r="W1" s="36"/>
      <c r="X1" s="36"/>
      <c r="Y1" s="235"/>
      <c r="Z1" s="234"/>
      <c r="AA1" s="234"/>
      <c r="AB1" s="36"/>
      <c r="AC1" s="36"/>
      <c r="AD1" s="234"/>
      <c r="AE1" s="234"/>
      <c r="AF1" s="234"/>
      <c r="AG1" s="234"/>
      <c r="AH1" s="234"/>
      <c r="AI1" s="234"/>
      <c r="AJ1" s="234"/>
      <c r="AK1" s="234"/>
      <c r="AL1" s="234"/>
      <c r="AM1" s="36"/>
      <c r="AN1" s="36"/>
      <c r="AO1" s="94" t="s">
        <v>180</v>
      </c>
      <c r="AP1" s="94"/>
      <c r="AQ1" s="94"/>
      <c r="AR1" s="36"/>
      <c r="AS1" s="36"/>
      <c r="AT1" s="36"/>
      <c r="AU1" s="36"/>
      <c r="AV1" s="36"/>
      <c r="AW1" s="36"/>
      <c r="AX1" s="36"/>
    </row>
    <row r="2" spans="1:50" x14ac:dyDescent="0.25">
      <c r="A2" s="36"/>
      <c r="B2" s="36"/>
      <c r="C2" s="36"/>
      <c r="D2" s="234"/>
      <c r="E2" s="234"/>
      <c r="F2" s="234"/>
      <c r="G2" s="234"/>
      <c r="H2" s="234"/>
      <c r="I2" s="36"/>
      <c r="J2" s="36"/>
      <c r="K2" s="36"/>
      <c r="L2" s="36"/>
      <c r="M2" s="234"/>
      <c r="N2" s="36"/>
      <c r="O2" s="234"/>
      <c r="P2" s="36"/>
      <c r="Q2" s="1242"/>
      <c r="R2" s="1242"/>
      <c r="S2" s="1510" t="s">
        <v>181</v>
      </c>
      <c r="T2" s="36"/>
      <c r="U2" s="36"/>
      <c r="V2" s="36"/>
      <c r="W2" s="36"/>
      <c r="X2" s="36"/>
      <c r="Y2" s="235"/>
      <c r="Z2" s="234"/>
      <c r="AA2" s="234"/>
      <c r="AB2" s="36"/>
      <c r="AC2" s="36"/>
      <c r="AD2" s="234"/>
      <c r="AE2" s="234"/>
      <c r="AF2" s="234"/>
      <c r="AG2" s="234"/>
      <c r="AH2" s="234"/>
      <c r="AI2" s="234"/>
      <c r="AJ2" s="234"/>
      <c r="AK2" s="234"/>
      <c r="AL2" s="234"/>
      <c r="AM2" s="36"/>
      <c r="AN2" s="36"/>
      <c r="AO2" s="234"/>
      <c r="AP2" s="234"/>
      <c r="AQ2" s="1441" t="s">
        <v>181</v>
      </c>
      <c r="AR2" s="36"/>
      <c r="AS2" s="36"/>
      <c r="AT2" s="36"/>
      <c r="AU2" s="36"/>
      <c r="AV2" s="36"/>
      <c r="AW2" s="36"/>
      <c r="AX2" s="36"/>
    </row>
    <row r="3" spans="1:50" ht="39" customHeight="1" x14ac:dyDescent="0.3">
      <c r="A3" s="236" t="s">
        <v>182</v>
      </c>
      <c r="B3" s="237" t="s">
        <v>183</v>
      </c>
      <c r="C3" s="238" t="s">
        <v>184</v>
      </c>
      <c r="D3" s="239" t="s">
        <v>58</v>
      </c>
      <c r="E3" s="240" t="s">
        <v>59</v>
      </c>
      <c r="F3" s="238" t="s">
        <v>147</v>
      </c>
      <c r="G3" s="238" t="s">
        <v>185</v>
      </c>
      <c r="H3" s="241" t="s">
        <v>102</v>
      </c>
      <c r="I3" s="241" t="s">
        <v>186</v>
      </c>
      <c r="J3" s="241" t="s">
        <v>104</v>
      </c>
      <c r="K3" s="241" t="s">
        <v>187</v>
      </c>
      <c r="L3" s="241" t="s">
        <v>188</v>
      </c>
      <c r="M3" s="238" t="s">
        <v>189</v>
      </c>
      <c r="N3" s="241" t="s">
        <v>190</v>
      </c>
      <c r="O3" s="241" t="s">
        <v>696</v>
      </c>
      <c r="P3" s="36"/>
      <c r="Q3" s="321" t="s">
        <v>203</v>
      </c>
      <c r="R3" s="321" t="s">
        <v>204</v>
      </c>
      <c r="S3" s="1510"/>
      <c r="T3" s="322" t="s">
        <v>19</v>
      </c>
      <c r="U3" s="321" t="s">
        <v>697</v>
      </c>
      <c r="V3" s="321" t="s">
        <v>698</v>
      </c>
      <c r="W3" s="321" t="s">
        <v>699</v>
      </c>
      <c r="X3" s="321" t="s">
        <v>700</v>
      </c>
      <c r="Y3" s="241" t="s">
        <v>192</v>
      </c>
      <c r="Z3" s="242" t="s">
        <v>193</v>
      </c>
      <c r="AA3" s="242" t="s">
        <v>194</v>
      </c>
      <c r="AB3" s="242" t="s">
        <v>195</v>
      </c>
      <c r="AC3" s="242" t="s">
        <v>196</v>
      </c>
      <c r="AD3" s="241" t="s">
        <v>197</v>
      </c>
      <c r="AE3" s="1243" t="s">
        <v>198</v>
      </c>
      <c r="AF3" s="324" t="s">
        <v>199</v>
      </c>
      <c r="AG3" s="326" t="s">
        <v>701</v>
      </c>
      <c r="AH3" s="326" t="s">
        <v>3</v>
      </c>
      <c r="AI3" s="325" t="s">
        <v>296</v>
      </c>
      <c r="AJ3" s="325" t="s">
        <v>702</v>
      </c>
      <c r="AK3" s="325" t="s">
        <v>703</v>
      </c>
      <c r="AL3" s="325" t="s">
        <v>704</v>
      </c>
      <c r="AM3" s="243"/>
      <c r="AN3" s="243"/>
      <c r="AO3" s="320" t="s">
        <v>203</v>
      </c>
      <c r="AP3" s="320" t="s">
        <v>204</v>
      </c>
      <c r="AQ3" s="1441"/>
      <c r="AR3" s="243"/>
      <c r="AS3" s="243"/>
      <c r="AT3" s="243"/>
      <c r="AU3" s="243"/>
      <c r="AV3" s="71"/>
      <c r="AW3" s="243"/>
      <c r="AX3" s="36"/>
    </row>
    <row r="4" spans="1:50" ht="13" x14ac:dyDescent="0.3">
      <c r="A4" s="244">
        <v>9257010</v>
      </c>
      <c r="B4" s="237" t="s">
        <v>205</v>
      </c>
      <c r="C4" s="273">
        <v>4</v>
      </c>
      <c r="D4" s="245">
        <f>'Funding Model'!$D$23</f>
        <v>405763.82046267512</v>
      </c>
      <c r="E4" s="245">
        <f>'Funding Model'!$E$23</f>
        <v>88790.687513148558</v>
      </c>
      <c r="F4" s="245"/>
      <c r="G4" s="245"/>
      <c r="H4" s="245">
        <f>VLOOKUP(A4,'Band Calculations 1718'!$A$107:$W$125,6,FALSE)</f>
        <v>0</v>
      </c>
      <c r="I4" s="245">
        <f>VLOOKUP(A4,'Band Calculations 1718'!$A$107:$W$125,13,FALSE)</f>
        <v>493411.48499001487</v>
      </c>
      <c r="J4" s="245">
        <f>VLOOKUP(A4,'Band Calculations 1718'!$A$107:$W$125,20,FALSE)</f>
        <v>9473.6245539100964</v>
      </c>
      <c r="K4" s="245">
        <f>VLOOKUP(A4,'FSM Calculation 1718'!$A$4:$D$21,4,FALSE)</f>
        <v>7144</v>
      </c>
      <c r="L4" s="245">
        <v>616.77824313180849</v>
      </c>
      <c r="M4" s="245">
        <f>SUM(D4:L4)</f>
        <v>1005200.3957628806</v>
      </c>
      <c r="N4" s="245">
        <f>M4-F4</f>
        <v>1005200.3957628806</v>
      </c>
      <c r="O4" s="246">
        <f>VLOOKUP(A4,'Band Calculations 1718'!$A$107:$W$125,22,FALSE)</f>
        <v>50.333333333333343</v>
      </c>
      <c r="P4" s="36"/>
      <c r="Q4" s="1026">
        <f>N4-D4-E4-L4</f>
        <v>510029.10954392515</v>
      </c>
      <c r="R4" s="1026">
        <f>Q4/O4</f>
        <v>10133.028666435597</v>
      </c>
      <c r="S4" s="1026">
        <f>VLOOKUP(A4,'2016-17 Funding Detail'!$A$2:$AD$23,30,FALSE)</f>
        <v>10178.37223696539</v>
      </c>
      <c r="T4" s="235">
        <f>R4-S4</f>
        <v>-45.343570529792487</v>
      </c>
      <c r="U4" s="1026">
        <f>IF(T4&lt;0,((T4*O4)*-1),(0))</f>
        <v>2282.2930499995555</v>
      </c>
      <c r="V4" s="1026">
        <f>N4+U4</f>
        <v>1007482.6888128801</v>
      </c>
      <c r="W4" s="235">
        <f>O4*10000</f>
        <v>503333.33333333343</v>
      </c>
      <c r="X4" s="235">
        <f>IF(W4&gt;V4,(W4-V4),(0))</f>
        <v>0</v>
      </c>
      <c r="Y4" s="242">
        <f>N4/O4</f>
        <v>19970.868789991</v>
      </c>
      <c r="Z4" s="242">
        <f t="shared" ref="Z4:Z15" si="0">O4*10000</f>
        <v>503333.33333333343</v>
      </c>
      <c r="AA4" s="242">
        <f t="shared" ref="AA4:AA15" si="1">Y4-10000</f>
        <v>9970.8687899910001</v>
      </c>
      <c r="AB4" s="1244">
        <f>VLOOKUP(A4,'2016-17 Funding Detail'!$A$4:$AH$23,27,FALSE)</f>
        <v>8250.9278747794851</v>
      </c>
      <c r="AC4" s="245">
        <f>IF(AA4&gt;AB4,(AA4),(AB4))</f>
        <v>9970.8687899910001</v>
      </c>
      <c r="AD4" s="245">
        <f>10000+AC4</f>
        <v>19970.868789991</v>
      </c>
      <c r="AE4" s="1029">
        <f>U4+X4</f>
        <v>2282.2930499995555</v>
      </c>
      <c r="AF4" s="346">
        <f>N4+AE4</f>
        <v>1007482.6888128801</v>
      </c>
      <c r="AG4" s="235">
        <v>1005200.3957628806</v>
      </c>
      <c r="AH4" s="235">
        <f>AF4-AG4</f>
        <v>2282.2930499995127</v>
      </c>
      <c r="AI4" s="42">
        <f>O4*10000</f>
        <v>503333.33333333343</v>
      </c>
      <c r="AJ4" s="42">
        <f>AF4-AI4</f>
        <v>504149.35547954665</v>
      </c>
      <c r="AK4" s="327">
        <f>AJ4/O4</f>
        <v>10016.212360520793</v>
      </c>
      <c r="AL4" s="327">
        <f>AF4/O4</f>
        <v>20016.212360520793</v>
      </c>
      <c r="AM4" s="235" t="s">
        <v>206</v>
      </c>
      <c r="AN4" s="297" t="s">
        <v>207</v>
      </c>
      <c r="AO4" s="1026">
        <f>AF4-'1819 Funding Detail'!D4-'1819 Funding Detail'!E4-'1819 Funding Detail'!L4</f>
        <v>562482.68881288008</v>
      </c>
      <c r="AP4" s="1167">
        <f>AO4/O4</f>
        <v>11175.152757871787</v>
      </c>
      <c r="AQ4" s="1026">
        <f>AP4*98.5%</f>
        <v>11007.52546650371</v>
      </c>
      <c r="AR4" s="235"/>
      <c r="AS4" s="235"/>
      <c r="AT4" s="235"/>
      <c r="AU4" s="235"/>
      <c r="AV4" s="42"/>
      <c r="AW4" s="235"/>
      <c r="AX4" s="247"/>
    </row>
    <row r="5" spans="1:50" ht="13" x14ac:dyDescent="0.3">
      <c r="A5" s="244">
        <v>9257005</v>
      </c>
      <c r="B5" s="237" t="s">
        <v>208</v>
      </c>
      <c r="C5" s="267">
        <v>4</v>
      </c>
      <c r="D5" s="245">
        <f>'Funding Model'!$D$23</f>
        <v>405763.82046267512</v>
      </c>
      <c r="E5" s="245">
        <f>'Funding Model'!$E$23</f>
        <v>88790.687513148558</v>
      </c>
      <c r="F5" s="245"/>
      <c r="G5" s="245"/>
      <c r="H5" s="245">
        <f>VLOOKUP(A5,'Band Calculations 1718'!$A$107:$W$125,6,FALSE)</f>
        <v>0</v>
      </c>
      <c r="I5" s="245">
        <f>VLOOKUP(A5,'Band Calculations 1718'!$A$107:$W$125,13,FALSE)</f>
        <v>688244.90633244964</v>
      </c>
      <c r="J5" s="245">
        <f>VLOOKUP(A5,'Band Calculations 1718'!$A$107:$W$125,20,FALSE)</f>
        <v>38832.284682461737</v>
      </c>
      <c r="K5" s="245">
        <f>VLOOKUP(A5,'FSM Calculation 1718'!$A$4:$D$21,4,FALSE)</f>
        <v>7590.5</v>
      </c>
      <c r="L5" s="245">
        <v>675.74486784427756</v>
      </c>
      <c r="M5" s="245">
        <f t="shared" ref="M5:M15" si="2">SUM(D5:L5)</f>
        <v>1229897.9438585793</v>
      </c>
      <c r="N5" s="245">
        <f t="shared" ref="N5:N15" si="3">M5-F5</f>
        <v>1229897.9438585793</v>
      </c>
      <c r="O5" s="246">
        <f>VLOOKUP(A5,'Band Calculations 1718'!$A$107:$W$125,22,FALSE)</f>
        <v>74.666666666666657</v>
      </c>
      <c r="P5" s="36"/>
      <c r="Q5" s="1026">
        <f t="shared" ref="Q5:Q23" si="4">N5-D5-E5-L5</f>
        <v>734667.6910149114</v>
      </c>
      <c r="R5" s="1026">
        <f t="shared" ref="R5:R23" si="5">Q5/O5</f>
        <v>9839.299433235421</v>
      </c>
      <c r="S5" s="1026">
        <f>VLOOKUP(A5,'2016-17 Funding Detail'!$A$2:$AD$23,30,FALSE)</f>
        <v>9731.8455727065739</v>
      </c>
      <c r="T5" s="235">
        <f t="shared" ref="T5:T23" si="6">R5-S5</f>
        <v>107.45386052884714</v>
      </c>
      <c r="U5" s="1026">
        <f>IF(T5&lt;0,((T5*O5)*-1),(0))</f>
        <v>0</v>
      </c>
      <c r="V5" s="1026">
        <f t="shared" ref="V5:V23" si="7">N5+U5</f>
        <v>1229897.9438585793</v>
      </c>
      <c r="W5" s="235">
        <f t="shared" ref="W5:W23" si="8">O5*10000</f>
        <v>746666.66666666663</v>
      </c>
      <c r="X5" s="235">
        <f t="shared" ref="X5:X23" si="9">IF(W5&gt;V5,(W5-V5),(0))</f>
        <v>0</v>
      </c>
      <c r="Y5" s="242">
        <f t="shared" ref="Y5:Y23" si="10">N5/O5</f>
        <v>16471.847462391688</v>
      </c>
      <c r="Z5" s="242">
        <f t="shared" si="0"/>
        <v>746666.66666666663</v>
      </c>
      <c r="AA5" s="242">
        <f t="shared" si="1"/>
        <v>6471.8474623916882</v>
      </c>
      <c r="AB5" s="1244">
        <f>VLOOKUP(A5,'2016-17 Funding Detail'!$A$4:$AH$23,27,FALSE)</f>
        <v>6214.2615069393032</v>
      </c>
      <c r="AC5" s="245">
        <f>IF(AA5&gt;AB5,(AA5),(AB5))</f>
        <v>6471.8474623916882</v>
      </c>
      <c r="AD5" s="245">
        <f t="shared" ref="AD5:AD23" si="11">10000+AC5</f>
        <v>16471.847462391688</v>
      </c>
      <c r="AE5" s="1029">
        <f t="shared" ref="AE5:AE23" si="12">U5+X5</f>
        <v>0</v>
      </c>
      <c r="AF5" s="346">
        <f t="shared" ref="AF5:AF23" si="13">N5+AE5</f>
        <v>1229897.9438585793</v>
      </c>
      <c r="AG5" s="235">
        <v>1229897.9438585793</v>
      </c>
      <c r="AH5" s="235">
        <f t="shared" ref="AH5:AH23" si="14">AF5-AG5</f>
        <v>0</v>
      </c>
      <c r="AI5" s="42">
        <f t="shared" ref="AI5:AI23" si="15">O5*10000</f>
        <v>746666.66666666663</v>
      </c>
      <c r="AJ5" s="42">
        <f t="shared" ref="AJ5:AJ23" si="16">AF5-AI5</f>
        <v>483231.27719191264</v>
      </c>
      <c r="AK5" s="327">
        <f>AJ5/O5</f>
        <v>6471.8474623916882</v>
      </c>
      <c r="AL5" s="327">
        <f t="shared" ref="AL5:AL23" si="17">AF5/O5</f>
        <v>16471.847462391688</v>
      </c>
      <c r="AM5" s="235" t="s">
        <v>206</v>
      </c>
      <c r="AN5" s="297" t="s">
        <v>207</v>
      </c>
      <c r="AO5" s="1026">
        <f>AF5-'1819 Funding Detail'!D5-'1819 Funding Detail'!E5-'1819 Funding Detail'!L5</f>
        <v>784897.94385857927</v>
      </c>
      <c r="AP5" s="1167">
        <f>AO5/O5</f>
        <v>10512.026033820259</v>
      </c>
      <c r="AQ5" s="1026">
        <f t="shared" ref="AQ5:AQ23" si="18">AP5*98.5%</f>
        <v>10354.345643312954</v>
      </c>
      <c r="AR5" s="235"/>
      <c r="AS5" s="235"/>
      <c r="AT5" s="235"/>
      <c r="AU5" s="235"/>
      <c r="AV5" s="42"/>
      <c r="AW5" s="235"/>
      <c r="AX5" s="247"/>
    </row>
    <row r="6" spans="1:50" ht="13" x14ac:dyDescent="0.3">
      <c r="A6" s="244">
        <v>9257025</v>
      </c>
      <c r="B6" s="237" t="s">
        <v>209</v>
      </c>
      <c r="C6" s="271">
        <v>4</v>
      </c>
      <c r="D6" s="245">
        <f>'Funding Model'!D23</f>
        <v>405763.82046267512</v>
      </c>
      <c r="E6" s="245">
        <f>'Funding Model'!E23</f>
        <v>88790.687513148558</v>
      </c>
      <c r="F6" s="245"/>
      <c r="G6" s="245"/>
      <c r="H6" s="245">
        <f>VLOOKUP(A6,'Band Calculations 1718'!$A$107:$W$125,6,FALSE)</f>
        <v>0</v>
      </c>
      <c r="I6" s="245">
        <f>VLOOKUP(A6,'Band Calculations 1718'!$A$107:$W$125,13,FALSE)</f>
        <v>602027.35712217353</v>
      </c>
      <c r="J6" s="245">
        <f>VLOOKUP(A6,'Band Calculations 1718'!$A$107:$W$125,20,FALSE)</f>
        <v>34363.344642691009</v>
      </c>
      <c r="K6" s="245">
        <f>VLOOKUP(A6,'FSM Calculation 1718'!$A$4:$D$21,4,FALSE)</f>
        <v>8930</v>
      </c>
      <c r="L6" s="245">
        <v>646.26155548804309</v>
      </c>
      <c r="M6" s="245">
        <f t="shared" si="2"/>
        <v>1140521.4712961763</v>
      </c>
      <c r="N6" s="245">
        <f t="shared" si="3"/>
        <v>1140521.4712961763</v>
      </c>
      <c r="O6" s="246">
        <f>VLOOKUP(A6,'Band Calculations 1718'!$A$107:$W$125,22,FALSE)</f>
        <v>62.833333333333336</v>
      </c>
      <c r="P6" s="36"/>
      <c r="Q6" s="1026">
        <f t="shared" si="4"/>
        <v>645320.70176486473</v>
      </c>
      <c r="R6" s="1026">
        <f t="shared" si="5"/>
        <v>10270.355996257793</v>
      </c>
      <c r="S6" s="1026">
        <f>VLOOKUP(A6,'2016-17 Funding Detail'!$A$2:$AD$23,30,FALSE)</f>
        <v>10269.108423540323</v>
      </c>
      <c r="T6" s="235">
        <f t="shared" si="6"/>
        <v>1.2475727174696658</v>
      </c>
      <c r="U6" s="1026">
        <f t="shared" ref="U6:U23" si="19">IF(T6&lt;0,((T6*O6)*-1),(0))</f>
        <v>0</v>
      </c>
      <c r="V6" s="1026">
        <f t="shared" si="7"/>
        <v>1140521.4712961763</v>
      </c>
      <c r="W6" s="235">
        <f t="shared" si="8"/>
        <v>628333.33333333337</v>
      </c>
      <c r="X6" s="235">
        <f t="shared" si="9"/>
        <v>0</v>
      </c>
      <c r="Y6" s="242">
        <f t="shared" si="10"/>
        <v>18151.535352193787</v>
      </c>
      <c r="Z6" s="242">
        <f t="shared" si="0"/>
        <v>628333.33333333337</v>
      </c>
      <c r="AA6" s="242">
        <f t="shared" si="1"/>
        <v>8151.5353521937868</v>
      </c>
      <c r="AB6" s="1244">
        <f>VLOOKUP(A6,'2016-17 Funding Detail'!$A$4:$AH$23,27,FALSE)</f>
        <v>8136.410971739384</v>
      </c>
      <c r="AC6" s="245">
        <f t="shared" ref="AC6:AC23" si="20">IF(AA6&gt;AB6,(AA6),(AB6))</f>
        <v>8151.5353521937868</v>
      </c>
      <c r="AD6" s="245">
        <f t="shared" si="11"/>
        <v>18151.535352193787</v>
      </c>
      <c r="AE6" s="1029">
        <f t="shared" si="12"/>
        <v>0</v>
      </c>
      <c r="AF6" s="346">
        <f t="shared" si="13"/>
        <v>1140521.4712961763</v>
      </c>
      <c r="AG6" s="235">
        <v>1140521.4712961763</v>
      </c>
      <c r="AH6" s="235">
        <f t="shared" si="14"/>
        <v>0</v>
      </c>
      <c r="AI6" s="42">
        <f t="shared" si="15"/>
        <v>628333.33333333337</v>
      </c>
      <c r="AJ6" s="42">
        <f t="shared" si="16"/>
        <v>512188.13796284294</v>
      </c>
      <c r="AK6" s="42">
        <f t="shared" ref="AK6:AK23" si="21">AJ6/O6</f>
        <v>8151.5353521937868</v>
      </c>
      <c r="AL6" s="327">
        <f t="shared" si="17"/>
        <v>18151.535352193787</v>
      </c>
      <c r="AM6" s="235" t="s">
        <v>206</v>
      </c>
      <c r="AN6" s="297" t="s">
        <v>207</v>
      </c>
      <c r="AO6" s="1026">
        <f>AF6-'1819 Funding Detail'!D6-'1819 Funding Detail'!E6-'1819 Funding Detail'!L6</f>
        <v>695521.47129617631</v>
      </c>
      <c r="AP6" s="1167">
        <f t="shared" ref="AP6:AP23" si="22">AO6/O6</f>
        <v>11069.307235482911</v>
      </c>
      <c r="AQ6" s="1026">
        <f t="shared" si="18"/>
        <v>10903.267626950666</v>
      </c>
      <c r="AR6" s="235"/>
      <c r="AS6" s="235"/>
      <c r="AT6" s="235"/>
      <c r="AU6" s="235"/>
      <c r="AV6" s="42"/>
      <c r="AW6" s="235"/>
      <c r="AX6" s="247"/>
    </row>
    <row r="7" spans="1:50" ht="13" x14ac:dyDescent="0.3">
      <c r="A7" s="244">
        <v>9257011</v>
      </c>
      <c r="B7" s="237" t="s">
        <v>210</v>
      </c>
      <c r="C7" s="267">
        <v>4</v>
      </c>
      <c r="D7" s="245">
        <f>'Funding Model'!$D$23</f>
        <v>405763.82046267512</v>
      </c>
      <c r="E7" s="245">
        <f>'Funding Model'!$E$23</f>
        <v>88790.687513148558</v>
      </c>
      <c r="F7" s="245"/>
      <c r="G7" s="245"/>
      <c r="H7" s="245">
        <f>VLOOKUP(A7,'Band Calculations 1718'!$A$107:$W$125,6,FALSE)</f>
        <v>0</v>
      </c>
      <c r="I7" s="245">
        <f>VLOOKUP(A7,'Band Calculations 1718'!$A$107:$W$125,13,FALSE)</f>
        <v>530731.14980334253</v>
      </c>
      <c r="J7" s="245">
        <f>VLOOKUP(A7,'Band Calculations 1718'!$A$107:$W$125,20,FALSE)</f>
        <v>22066.086212617378</v>
      </c>
      <c r="K7" s="245">
        <f>VLOOKUP(A7,'FSM Calculation 1718'!$A$4:$D$21,4,FALSE)</f>
        <v>6697.5</v>
      </c>
      <c r="L7" s="245">
        <v>610.88158066056155</v>
      </c>
      <c r="M7" s="245">
        <f t="shared" si="2"/>
        <v>1054660.1255724442</v>
      </c>
      <c r="N7" s="245">
        <f t="shared" si="3"/>
        <v>1054660.1255724442</v>
      </c>
      <c r="O7" s="246">
        <f>VLOOKUP(A7,'Band Calculations 1718'!$A$107:$W$125,22,FALSE)</f>
        <v>53.833333333333329</v>
      </c>
      <c r="P7" s="36"/>
      <c r="Q7" s="1026">
        <f t="shared" si="4"/>
        <v>559494.73601595999</v>
      </c>
      <c r="R7" s="1026">
        <f t="shared" si="5"/>
        <v>10393.091071503901</v>
      </c>
      <c r="S7" s="1026">
        <f>VLOOKUP(A7,'2016-17 Funding Detail'!$A$2:$AD$23,30,FALSE)</f>
        <v>10224.790960674309</v>
      </c>
      <c r="T7" s="235">
        <f t="shared" si="6"/>
        <v>168.30011082959209</v>
      </c>
      <c r="U7" s="1026">
        <f t="shared" si="19"/>
        <v>0</v>
      </c>
      <c r="V7" s="1026">
        <f t="shared" si="7"/>
        <v>1054660.1255724442</v>
      </c>
      <c r="W7" s="235">
        <f t="shared" si="8"/>
        <v>538333.33333333326</v>
      </c>
      <c r="X7" s="235">
        <f t="shared" si="9"/>
        <v>0</v>
      </c>
      <c r="Y7" s="242">
        <f>N7/O7</f>
        <v>19591.209762955619</v>
      </c>
      <c r="Z7" s="242">
        <f t="shared" si="0"/>
        <v>538333.33333333326</v>
      </c>
      <c r="AA7" s="242">
        <f t="shared" si="1"/>
        <v>9591.2097629556192</v>
      </c>
      <c r="AB7" s="248">
        <f>VLOOKUP(A7,'2016-17 Funding Detail'!$A$4:$AH$23,27,FALSE)</f>
        <v>10403.669055557169</v>
      </c>
      <c r="AC7" s="245">
        <f t="shared" si="20"/>
        <v>10403.669055557169</v>
      </c>
      <c r="AD7" s="245">
        <f t="shared" si="11"/>
        <v>20403.669055557169</v>
      </c>
      <c r="AE7" s="1029">
        <f t="shared" si="12"/>
        <v>0</v>
      </c>
      <c r="AF7" s="346">
        <f t="shared" si="13"/>
        <v>1054660.1255724442</v>
      </c>
      <c r="AG7" s="235">
        <v>1098397.5174908277</v>
      </c>
      <c r="AH7" s="235">
        <f t="shared" si="14"/>
        <v>-43737.391918383539</v>
      </c>
      <c r="AI7" s="42">
        <f t="shared" si="15"/>
        <v>538333.33333333326</v>
      </c>
      <c r="AJ7" s="42">
        <f t="shared" si="16"/>
        <v>516326.79223911092</v>
      </c>
      <c r="AK7" s="42">
        <f t="shared" si="21"/>
        <v>9591.209762955621</v>
      </c>
      <c r="AL7" s="327">
        <f t="shared" si="17"/>
        <v>19591.209762955619</v>
      </c>
      <c r="AM7" s="235" t="s">
        <v>206</v>
      </c>
      <c r="AN7" s="297" t="s">
        <v>207</v>
      </c>
      <c r="AO7" s="1026">
        <f>AF7-'1819 Funding Detail'!D7-'1819 Funding Detail'!E7-'1819 Funding Detail'!L7</f>
        <v>637160.12557244417</v>
      </c>
      <c r="AP7" s="1167">
        <f t="shared" si="22"/>
        <v>11835.791806299274</v>
      </c>
      <c r="AQ7" s="1026">
        <f t="shared" si="18"/>
        <v>11658.254929204784</v>
      </c>
      <c r="AR7" s="235"/>
      <c r="AS7" s="235"/>
      <c r="AT7" s="235"/>
      <c r="AU7" s="235"/>
      <c r="AV7" s="42"/>
      <c r="AW7" s="235"/>
      <c r="AX7" s="247"/>
    </row>
    <row r="8" spans="1:50" ht="13" x14ac:dyDescent="0.3">
      <c r="A8" s="244">
        <v>9257024</v>
      </c>
      <c r="B8" s="237" t="s">
        <v>211</v>
      </c>
      <c r="C8" s="267">
        <v>3</v>
      </c>
      <c r="D8" s="245">
        <f>'Funding Model'!$D$22</f>
        <v>314686.51772419503</v>
      </c>
      <c r="E8" s="245">
        <f>'Funding Model'!$E$22</f>
        <v>69201.680689977453</v>
      </c>
      <c r="F8" s="245"/>
      <c r="G8" s="245"/>
      <c r="H8" s="245">
        <f>VLOOKUP(A8,'Band Calculations 1718'!$A$107:$W$125,6,FALSE)</f>
        <v>0</v>
      </c>
      <c r="I8" s="245">
        <f>VLOOKUP(A8,'Band Calculations 1718'!$A$107:$W$125,13,FALSE)</f>
        <v>587612.50944303407</v>
      </c>
      <c r="J8" s="245">
        <f>VLOOKUP(A8,'Band Calculations 1718'!$A$107:$W$125,20,FALSE)</f>
        <v>9234.6451024899688</v>
      </c>
      <c r="K8" s="245">
        <f>VLOOKUP(A8,'FSM Calculation 1718'!$A$4:$D$21,4,FALSE)</f>
        <v>9376.5</v>
      </c>
      <c r="L8" s="245">
        <v>628.57156807430238</v>
      </c>
      <c r="M8" s="245">
        <f t="shared" si="2"/>
        <v>990740.42452777084</v>
      </c>
      <c r="N8" s="245">
        <f t="shared" si="3"/>
        <v>990740.42452777084</v>
      </c>
      <c r="O8" s="246">
        <f>VLOOKUP(A8,'Band Calculations 1718'!$A$107:$W$125,22,FALSE)</f>
        <v>64.25</v>
      </c>
      <c r="P8" s="36"/>
      <c r="Q8" s="1026">
        <f t="shared" si="4"/>
        <v>606223.65454552404</v>
      </c>
      <c r="R8" s="1026">
        <f t="shared" si="5"/>
        <v>9435.3876193855886</v>
      </c>
      <c r="S8" s="1026">
        <f>VLOOKUP(A8,'2016-17 Funding Detail'!$A$2:$AD$23,30,FALSE)</f>
        <v>9576.7857169851904</v>
      </c>
      <c r="T8" s="235">
        <f t="shared" si="6"/>
        <v>-141.3980975996019</v>
      </c>
      <c r="U8" s="1026">
        <f t="shared" si="19"/>
        <v>9084.8277707744219</v>
      </c>
      <c r="V8" s="1026">
        <f t="shared" si="7"/>
        <v>999825.25229854521</v>
      </c>
      <c r="W8" s="235">
        <f t="shared" si="8"/>
        <v>642500</v>
      </c>
      <c r="X8" s="235">
        <f t="shared" si="9"/>
        <v>0</v>
      </c>
      <c r="Y8" s="242">
        <f t="shared" si="10"/>
        <v>15420.084428447795</v>
      </c>
      <c r="Z8" s="242">
        <f t="shared" si="0"/>
        <v>642500</v>
      </c>
      <c r="AA8" s="242">
        <f t="shared" si="1"/>
        <v>5420.0844284477953</v>
      </c>
      <c r="AB8" s="248">
        <f>VLOOKUP(A8,'2016-17 Funding Detail'!$A$4:$AH$23,27,FALSE)</f>
        <v>6154.1926941055335</v>
      </c>
      <c r="AC8" s="245">
        <f t="shared" si="20"/>
        <v>6154.1926941055335</v>
      </c>
      <c r="AD8" s="245">
        <f t="shared" si="11"/>
        <v>16154.192694105534</v>
      </c>
      <c r="AE8" s="1029">
        <f t="shared" si="12"/>
        <v>9084.8277707744219</v>
      </c>
      <c r="AF8" s="346">
        <f t="shared" si="13"/>
        <v>999825.25229854521</v>
      </c>
      <c r="AG8" s="235">
        <v>1037906.8805962806</v>
      </c>
      <c r="AH8" s="235">
        <f t="shared" si="14"/>
        <v>-38081.628297735355</v>
      </c>
      <c r="AI8" s="42">
        <f t="shared" si="15"/>
        <v>642500</v>
      </c>
      <c r="AJ8" s="42">
        <f t="shared" si="16"/>
        <v>357325.25229854521</v>
      </c>
      <c r="AK8" s="42">
        <f t="shared" si="21"/>
        <v>5561.4825260473963</v>
      </c>
      <c r="AL8" s="327">
        <f t="shared" si="17"/>
        <v>15561.482526047395</v>
      </c>
      <c r="AM8" s="235" t="s">
        <v>206</v>
      </c>
      <c r="AN8" s="297" t="s">
        <v>207</v>
      </c>
      <c r="AO8" s="1026">
        <f>AF8-'1819 Funding Detail'!D8-'1819 Funding Detail'!E8-'1819 Funding Detail'!L8</f>
        <v>554825.25229854521</v>
      </c>
      <c r="AP8" s="1167">
        <f t="shared" si="22"/>
        <v>8635.4124871368913</v>
      </c>
      <c r="AQ8" s="1026">
        <f t="shared" si="18"/>
        <v>8505.8812998298381</v>
      </c>
      <c r="AR8" s="235"/>
      <c r="AS8" s="235"/>
      <c r="AT8" s="235"/>
      <c r="AU8" s="235"/>
      <c r="AV8" s="42"/>
      <c r="AW8" s="235"/>
      <c r="AX8" s="247"/>
    </row>
    <row r="9" spans="1:50" ht="13" x14ac:dyDescent="0.3">
      <c r="A9" s="244">
        <v>9257008</v>
      </c>
      <c r="B9" s="237" t="s">
        <v>212</v>
      </c>
      <c r="C9" s="271">
        <v>4</v>
      </c>
      <c r="D9" s="245">
        <f>'Funding Model'!$D$23</f>
        <v>405763.82046267512</v>
      </c>
      <c r="E9" s="245">
        <f>'Funding Model'!$E$23</f>
        <v>88790.687513148558</v>
      </c>
      <c r="F9" s="245"/>
      <c r="G9" s="245"/>
      <c r="H9" s="245">
        <f>VLOOKUP(A9,'Band Calculations 1718'!$A$107:$W$125,6,FALSE)</f>
        <v>0</v>
      </c>
      <c r="I9" s="245">
        <f>VLOOKUP(A9,'Band Calculations 1718'!$A$107:$W$125,13,FALSE)</f>
        <v>720124.09819319728</v>
      </c>
      <c r="J9" s="245">
        <f>VLOOKUP(A9,'Band Calculations 1718'!$A$107:$W$125,20,FALSE)</f>
        <v>66961.216948244939</v>
      </c>
      <c r="K9" s="245">
        <f>VLOOKUP(A9,'FSM Calculation 1718'!$A$4:$D$21,4,FALSE)</f>
        <v>11609</v>
      </c>
      <c r="L9" s="245">
        <v>737.65982379237016</v>
      </c>
      <c r="M9" s="245">
        <f t="shared" si="2"/>
        <v>1293986.4829410582</v>
      </c>
      <c r="N9" s="245">
        <f t="shared" si="3"/>
        <v>1293986.4829410582</v>
      </c>
      <c r="O9" s="246">
        <f>VLOOKUP(A9,'Band Calculations 1718'!$A$107:$W$125,22,FALSE)</f>
        <v>90</v>
      </c>
      <c r="P9" s="36"/>
      <c r="Q9" s="1026">
        <f t="shared" si="4"/>
        <v>798694.31514144223</v>
      </c>
      <c r="R9" s="1026">
        <f t="shared" si="5"/>
        <v>8874.381279349358</v>
      </c>
      <c r="S9" s="1026">
        <f>VLOOKUP(A9,'2016-17 Funding Detail'!$A$2:$AD$23,30,FALSE)</f>
        <v>8809.679282381343</v>
      </c>
      <c r="T9" s="235">
        <f t="shared" si="6"/>
        <v>64.70199696801501</v>
      </c>
      <c r="U9" s="1026">
        <f t="shared" si="19"/>
        <v>0</v>
      </c>
      <c r="V9" s="1026">
        <f t="shared" si="7"/>
        <v>1293986.4829410582</v>
      </c>
      <c r="W9" s="235">
        <f t="shared" si="8"/>
        <v>900000</v>
      </c>
      <c r="X9" s="235">
        <f t="shared" si="9"/>
        <v>0</v>
      </c>
      <c r="Y9" s="242">
        <f t="shared" si="10"/>
        <v>14377.62758823398</v>
      </c>
      <c r="Z9" s="242">
        <f t="shared" si="0"/>
        <v>900000</v>
      </c>
      <c r="AA9" s="242">
        <f t="shared" si="1"/>
        <v>4377.6275882339796</v>
      </c>
      <c r="AB9" s="1244">
        <f>VLOOKUP(A9,'2016-17 Funding Detail'!$A$4:$AH$23,27,FALSE)</f>
        <v>4230.3768966326952</v>
      </c>
      <c r="AC9" s="245">
        <f t="shared" si="20"/>
        <v>4377.6275882339796</v>
      </c>
      <c r="AD9" s="245">
        <f t="shared" si="11"/>
        <v>14377.62758823398</v>
      </c>
      <c r="AE9" s="1029">
        <f t="shared" si="12"/>
        <v>0</v>
      </c>
      <c r="AF9" s="346">
        <f t="shared" si="13"/>
        <v>1293986.4829410582</v>
      </c>
      <c r="AG9" s="235">
        <v>1293986.4829410582</v>
      </c>
      <c r="AH9" s="235">
        <f t="shared" si="14"/>
        <v>0</v>
      </c>
      <c r="AI9" s="42">
        <f t="shared" si="15"/>
        <v>900000</v>
      </c>
      <c r="AJ9" s="42">
        <f t="shared" si="16"/>
        <v>393986.48294105823</v>
      </c>
      <c r="AK9" s="42">
        <f t="shared" si="21"/>
        <v>4377.6275882339805</v>
      </c>
      <c r="AL9" s="327">
        <f t="shared" si="17"/>
        <v>14377.62758823398</v>
      </c>
      <c r="AM9" s="235" t="s">
        <v>206</v>
      </c>
      <c r="AN9" s="297" t="s">
        <v>207</v>
      </c>
      <c r="AO9" s="1026">
        <f>AF9-'1819 Funding Detail'!D9-'1819 Funding Detail'!E9-'1819 Funding Detail'!L9</f>
        <v>848986.48294105823</v>
      </c>
      <c r="AP9" s="1167">
        <f t="shared" si="22"/>
        <v>9433.1831437895362</v>
      </c>
      <c r="AQ9" s="1026">
        <f t="shared" si="18"/>
        <v>9291.6853966326926</v>
      </c>
      <c r="AR9" s="235"/>
      <c r="AS9" s="235"/>
      <c r="AT9" s="235"/>
      <c r="AU9" s="235"/>
      <c r="AV9" s="42"/>
      <c r="AW9" s="235"/>
      <c r="AX9" s="247"/>
    </row>
    <row r="10" spans="1:50" ht="13" x14ac:dyDescent="0.3">
      <c r="A10" s="244">
        <v>9257002</v>
      </c>
      <c r="B10" s="237" t="s">
        <v>213</v>
      </c>
      <c r="C10" s="267">
        <v>5</v>
      </c>
      <c r="D10" s="245">
        <f>'Funding Model'!$D$24</f>
        <v>418723.18610831723</v>
      </c>
      <c r="E10" s="245">
        <f>'Funding Model'!$E$24</f>
        <v>117027.3922528728</v>
      </c>
      <c r="F10" s="245"/>
      <c r="G10" s="245"/>
      <c r="H10" s="245">
        <f>VLOOKUP(A10,'Band Calculations 1718'!$A$107:$W$125,6,FALSE)</f>
        <v>0</v>
      </c>
      <c r="I10" s="245">
        <f>VLOOKUP(A10,'Band Calculations 1718'!$A$107:$W$125,13,FALSE)</f>
        <v>976433.22249772085</v>
      </c>
      <c r="J10" s="245">
        <f>VLOOKUP(A10,'Band Calculations 1718'!$A$107:$W$125,20,FALSE)</f>
        <v>32862.442477714241</v>
      </c>
      <c r="K10" s="245">
        <f>VLOOKUP(A10,'FSM Calculation 1718'!$A$4:$D$21,4,FALSE)</f>
        <v>22771.5</v>
      </c>
      <c r="L10" s="245">
        <v>873.28306063104901</v>
      </c>
      <c r="M10" s="245">
        <f t="shared" si="2"/>
        <v>1568691.0263972562</v>
      </c>
      <c r="N10" s="245">
        <f t="shared" si="3"/>
        <v>1568691.0263972562</v>
      </c>
      <c r="O10" s="246">
        <f>VLOOKUP(A10,'Band Calculations 1718'!$A$107:$W$125,22,FALSE)</f>
        <v>134.91666666666669</v>
      </c>
      <c r="P10" s="36"/>
      <c r="Q10" s="1026">
        <f t="shared" si="4"/>
        <v>1032067.1649754351</v>
      </c>
      <c r="R10" s="1026">
        <f t="shared" si="5"/>
        <v>7649.6639775819767</v>
      </c>
      <c r="S10" s="1026">
        <f>VLOOKUP(A10,'2016-17 Funding Detail'!$A$2:$AD$23,30,FALSE)</f>
        <v>7514.3811266398034</v>
      </c>
      <c r="T10" s="235">
        <f t="shared" si="6"/>
        <v>135.28285094217335</v>
      </c>
      <c r="U10" s="1026">
        <f t="shared" si="19"/>
        <v>0</v>
      </c>
      <c r="V10" s="1026">
        <f t="shared" si="7"/>
        <v>1568691.0263972562</v>
      </c>
      <c r="W10" s="235">
        <f t="shared" si="8"/>
        <v>1349166.6666666667</v>
      </c>
      <c r="X10" s="235">
        <f t="shared" si="9"/>
        <v>0</v>
      </c>
      <c r="Y10" s="242">
        <f t="shared" si="10"/>
        <v>11627.11075773136</v>
      </c>
      <c r="Z10" s="242">
        <f t="shared" si="0"/>
        <v>1349166.6666666667</v>
      </c>
      <c r="AA10" s="242">
        <f t="shared" si="1"/>
        <v>1627.1107577313596</v>
      </c>
      <c r="AB10" s="248">
        <f>VLOOKUP(A10,'2016-17 Funding Detail'!$A$4:$AH$23,27,FALSE)</f>
        <v>1785.6902458357126</v>
      </c>
      <c r="AC10" s="245">
        <f t="shared" si="20"/>
        <v>1785.6902458357126</v>
      </c>
      <c r="AD10" s="245">
        <f t="shared" si="11"/>
        <v>11785.690245835713</v>
      </c>
      <c r="AE10" s="1029">
        <f t="shared" si="12"/>
        <v>0</v>
      </c>
      <c r="AF10" s="346">
        <f t="shared" si="13"/>
        <v>1568691.0263972562</v>
      </c>
      <c r="AG10" s="235">
        <v>1590086.0423340017</v>
      </c>
      <c r="AH10" s="235">
        <f t="shared" si="14"/>
        <v>-21395.015936745564</v>
      </c>
      <c r="AI10" s="42">
        <f t="shared" si="15"/>
        <v>1349166.6666666667</v>
      </c>
      <c r="AJ10" s="42">
        <f t="shared" si="16"/>
        <v>219524.35973058944</v>
      </c>
      <c r="AK10" s="42">
        <f t="shared" si="21"/>
        <v>1627.1107577313605</v>
      </c>
      <c r="AL10" s="327">
        <f t="shared" si="17"/>
        <v>11627.11075773136</v>
      </c>
      <c r="AM10" s="235" t="s">
        <v>206</v>
      </c>
      <c r="AN10" s="297" t="s">
        <v>207</v>
      </c>
      <c r="AO10" s="1026">
        <f>AF10-'1819 Funding Detail'!D10-'1819 Funding Detail'!E10-'1819 Funding Detail'!L10</f>
        <v>1068691.0263972562</v>
      </c>
      <c r="AP10" s="1167">
        <f t="shared" si="22"/>
        <v>7921.1194050445165</v>
      </c>
      <c r="AQ10" s="1026">
        <f t="shared" si="18"/>
        <v>7802.3026139688491</v>
      </c>
      <c r="AR10" s="235"/>
      <c r="AS10" s="235"/>
      <c r="AT10" s="235"/>
      <c r="AU10" s="235"/>
      <c r="AV10" s="42"/>
      <c r="AW10" s="235"/>
      <c r="AX10" s="247"/>
    </row>
    <row r="11" spans="1:50" ht="13" x14ac:dyDescent="0.3">
      <c r="A11" s="244">
        <v>9257009</v>
      </c>
      <c r="B11" s="237" t="s">
        <v>214</v>
      </c>
      <c r="C11" s="267">
        <v>4</v>
      </c>
      <c r="D11" s="245">
        <f>'Funding Model'!$D$23</f>
        <v>405763.82046267512</v>
      </c>
      <c r="E11" s="245">
        <f>'Funding Model'!$E$23</f>
        <v>88790.687513148558</v>
      </c>
      <c r="F11" s="245"/>
      <c r="G11" s="245"/>
      <c r="H11" s="245">
        <f>VLOOKUP(A11,'Band Calculations 1718'!$A$107:$W$125,6,FALSE)</f>
        <v>0</v>
      </c>
      <c r="I11" s="245">
        <f>VLOOKUP(A11,'Band Calculations 1718'!$A$107:$W$125,13,FALSE)</f>
        <v>931410.22792901238</v>
      </c>
      <c r="J11" s="245">
        <f>VLOOKUP(A11,'Band Calculations 1718'!$A$107:$W$125,20,FALSE)</f>
        <v>46913.987226747151</v>
      </c>
      <c r="K11" s="245">
        <f>VLOOKUP(A11,'FSM Calculation 1718'!$A$4:$D$21,4,FALSE)</f>
        <v>11609</v>
      </c>
      <c r="L11" s="245">
        <v>876.23139186667242</v>
      </c>
      <c r="M11" s="245">
        <f t="shared" si="2"/>
        <v>1485363.95452345</v>
      </c>
      <c r="N11" s="245">
        <f t="shared" si="3"/>
        <v>1485363.95452345</v>
      </c>
      <c r="O11" s="246">
        <f>VLOOKUP(A11,'Band Calculations 1718'!$A$107:$W$125,22,FALSE)</f>
        <v>128.58333333333334</v>
      </c>
      <c r="P11" s="36"/>
      <c r="Q11" s="1026">
        <f t="shared" si="4"/>
        <v>989933.21515575971</v>
      </c>
      <c r="R11" s="1026">
        <f t="shared" si="5"/>
        <v>7698.7677134602172</v>
      </c>
      <c r="S11" s="1026">
        <f>VLOOKUP(A11,'2016-17 Funding Detail'!$A$2:$AD$23,30,FALSE)</f>
        <v>7610.4234883055324</v>
      </c>
      <c r="T11" s="235">
        <f t="shared" si="6"/>
        <v>88.344225154684864</v>
      </c>
      <c r="U11" s="1026">
        <f t="shared" si="19"/>
        <v>0</v>
      </c>
      <c r="V11" s="1026">
        <f t="shared" si="7"/>
        <v>1485363.95452345</v>
      </c>
      <c r="W11" s="235">
        <f t="shared" si="8"/>
        <v>1285833.3333333335</v>
      </c>
      <c r="X11" s="235">
        <f t="shared" si="9"/>
        <v>0</v>
      </c>
      <c r="Y11" s="242">
        <f t="shared" si="10"/>
        <v>11551.761149890732</v>
      </c>
      <c r="Z11" s="242">
        <f t="shared" si="0"/>
        <v>1285833.3333333335</v>
      </c>
      <c r="AA11" s="242">
        <f t="shared" si="1"/>
        <v>1551.7611498907318</v>
      </c>
      <c r="AB11" s="1244">
        <f>VLOOKUP(A11,'2016-17 Funding Detail'!$A$4:$AH$23,27,FALSE)</f>
        <v>1398.2574723457001</v>
      </c>
      <c r="AC11" s="245">
        <f t="shared" si="20"/>
        <v>1551.7611498907318</v>
      </c>
      <c r="AD11" s="245">
        <f t="shared" si="11"/>
        <v>11551.761149890732</v>
      </c>
      <c r="AE11" s="1029">
        <f t="shared" si="12"/>
        <v>0</v>
      </c>
      <c r="AF11" s="346">
        <f t="shared" si="13"/>
        <v>1485363.95452345</v>
      </c>
      <c r="AG11" s="235">
        <v>1485363.95452345</v>
      </c>
      <c r="AH11" s="235">
        <f t="shared" si="14"/>
        <v>0</v>
      </c>
      <c r="AI11" s="42">
        <f t="shared" si="15"/>
        <v>1285833.3333333335</v>
      </c>
      <c r="AJ11" s="42">
        <f t="shared" si="16"/>
        <v>199530.62119011651</v>
      </c>
      <c r="AK11" s="42">
        <f t="shared" si="21"/>
        <v>1551.7611498907311</v>
      </c>
      <c r="AL11" s="327">
        <f t="shared" si="17"/>
        <v>11551.761149890732</v>
      </c>
      <c r="AM11" s="235" t="s">
        <v>206</v>
      </c>
      <c r="AN11" s="297" t="s">
        <v>207</v>
      </c>
      <c r="AO11" s="1026">
        <f>AF11-'1819 Funding Detail'!D11-'1819 Funding Detail'!E11-'1819 Funding Detail'!L11</f>
        <v>985363.95452345</v>
      </c>
      <c r="AP11" s="1167">
        <f t="shared" si="22"/>
        <v>7663.2323099685027</v>
      </c>
      <c r="AQ11" s="1026">
        <f t="shared" si="18"/>
        <v>7548.2838253189748</v>
      </c>
      <c r="AR11" s="235"/>
      <c r="AS11" s="235"/>
      <c r="AT11" s="235"/>
      <c r="AU11" s="235"/>
      <c r="AV11" s="42"/>
      <c r="AW11" s="235"/>
      <c r="AX11" s="247"/>
    </row>
    <row r="12" spans="1:50" ht="13" x14ac:dyDescent="0.3">
      <c r="A12" s="244">
        <v>9257028</v>
      </c>
      <c r="B12" s="237" t="s">
        <v>215</v>
      </c>
      <c r="C12" s="267">
        <v>5</v>
      </c>
      <c r="D12" s="245">
        <f>'Funding Model'!$D$24</f>
        <v>418723.18610831723</v>
      </c>
      <c r="E12" s="245">
        <f>'Funding Model'!$E$24</f>
        <v>117027.3922528728</v>
      </c>
      <c r="F12" s="245"/>
      <c r="G12" s="245"/>
      <c r="H12" s="245">
        <f>VLOOKUP(A12,'Band Calculations 1718'!$A$107:$W$125,6,FALSE)</f>
        <v>0</v>
      </c>
      <c r="I12" s="245">
        <f>VLOOKUP(A12,'Band Calculations 1718'!$A$107:$W$125,13,FALSE)</f>
        <v>766825.75005243684</v>
      </c>
      <c r="J12" s="245">
        <f>VLOOKUP(A12,'Band Calculations 1718'!$A$107:$W$125,20,FALSE)</f>
        <v>47319.52195335189</v>
      </c>
      <c r="K12" s="245">
        <f>VLOOKUP(A12,'FSM Calculation 1718'!$A$4:$D$21,4,FALSE)</f>
        <v>6697.5</v>
      </c>
      <c r="L12" s="245">
        <v>705.22818020051216</v>
      </c>
      <c r="M12" s="245">
        <f t="shared" si="2"/>
        <v>1357298.5785471792</v>
      </c>
      <c r="N12" s="245">
        <f t="shared" si="3"/>
        <v>1357298.5785471792</v>
      </c>
      <c r="O12" s="246">
        <f>VLOOKUP(A12,'Band Calculations 1718'!$A$107:$W$125,22,FALSE)</f>
        <v>75</v>
      </c>
      <c r="P12" s="36"/>
      <c r="Q12" s="1026">
        <f t="shared" si="4"/>
        <v>820842.77200578863</v>
      </c>
      <c r="R12" s="1026">
        <f t="shared" si="5"/>
        <v>10944.570293410516</v>
      </c>
      <c r="S12" s="1026">
        <f>VLOOKUP(A12,'2016-17 Funding Detail'!$A$2:$AD$23,30,FALSE)</f>
        <v>10830.994771228929</v>
      </c>
      <c r="T12" s="235">
        <f t="shared" si="6"/>
        <v>113.57552218158708</v>
      </c>
      <c r="U12" s="1026">
        <f t="shared" si="19"/>
        <v>0</v>
      </c>
      <c r="V12" s="1026">
        <f t="shared" si="7"/>
        <v>1357298.5785471792</v>
      </c>
      <c r="W12" s="235">
        <f t="shared" si="8"/>
        <v>750000</v>
      </c>
      <c r="X12" s="235">
        <f t="shared" si="9"/>
        <v>0</v>
      </c>
      <c r="Y12" s="242">
        <f t="shared" si="10"/>
        <v>18097.314380629057</v>
      </c>
      <c r="Z12" s="242">
        <f t="shared" si="0"/>
        <v>750000</v>
      </c>
      <c r="AA12" s="242">
        <f t="shared" si="1"/>
        <v>8097.3143806290573</v>
      </c>
      <c r="AB12" s="248">
        <f>VLOOKUP(A12,'2016-17 Funding Detail'!$A$4:$AH$23,27,FALSE)</f>
        <v>8397.7103241158438</v>
      </c>
      <c r="AC12" s="245">
        <f t="shared" si="20"/>
        <v>8397.7103241158438</v>
      </c>
      <c r="AD12" s="245">
        <f t="shared" si="11"/>
        <v>18397.710324115844</v>
      </c>
      <c r="AE12" s="1029">
        <f t="shared" si="12"/>
        <v>0</v>
      </c>
      <c r="AF12" s="346">
        <f t="shared" si="13"/>
        <v>1357298.5785471792</v>
      </c>
      <c r="AG12" s="235">
        <v>1379828.2743086882</v>
      </c>
      <c r="AH12" s="235">
        <f t="shared" si="14"/>
        <v>-22529.695761509007</v>
      </c>
      <c r="AI12" s="42">
        <f t="shared" si="15"/>
        <v>750000</v>
      </c>
      <c r="AJ12" s="42">
        <f t="shared" si="16"/>
        <v>607298.57854717923</v>
      </c>
      <c r="AK12" s="42">
        <f t="shared" si="21"/>
        <v>8097.3143806290564</v>
      </c>
      <c r="AL12" s="327">
        <f t="shared" si="17"/>
        <v>18097.314380629057</v>
      </c>
      <c r="AM12" s="235" t="s">
        <v>206</v>
      </c>
      <c r="AN12" s="297" t="s">
        <v>207</v>
      </c>
      <c r="AO12" s="1026">
        <f>AF12-'1819 Funding Detail'!D12-'1819 Funding Detail'!E12-'1819 Funding Detail'!L12</f>
        <v>884798.57854717923</v>
      </c>
      <c r="AP12" s="1167">
        <f t="shared" si="22"/>
        <v>11797.314380629057</v>
      </c>
      <c r="AQ12" s="1026">
        <f t="shared" si="18"/>
        <v>11620.354664919621</v>
      </c>
      <c r="AR12" s="235"/>
      <c r="AS12" s="235"/>
      <c r="AT12" s="235"/>
      <c r="AU12" s="235"/>
      <c r="AV12" s="42"/>
      <c r="AW12" s="235"/>
      <c r="AX12" s="247"/>
    </row>
    <row r="13" spans="1:50" ht="13" x14ac:dyDescent="0.3">
      <c r="A13" s="244">
        <v>9257021</v>
      </c>
      <c r="B13" s="237" t="s">
        <v>216</v>
      </c>
      <c r="C13" s="271">
        <v>5</v>
      </c>
      <c r="D13" s="245">
        <f>'Funding Model'!$D$24</f>
        <v>418723.18610831723</v>
      </c>
      <c r="E13" s="245">
        <f>'Funding Model'!$E$24</f>
        <v>117027.3922528728</v>
      </c>
      <c r="F13" s="245"/>
      <c r="G13" s="245"/>
      <c r="H13" s="245">
        <f>VLOOKUP(A13,'Band Calculations 1718'!$A$107:$W$125,6,FALSE)</f>
        <v>0</v>
      </c>
      <c r="I13" s="245">
        <f>VLOOKUP(A13,'Band Calculations 1718'!$A$107:$W$125,13,FALSE)</f>
        <v>1146047.2557454214</v>
      </c>
      <c r="J13" s="245">
        <f>VLOOKUP(A13,'Band Calculations 1718'!$A$107:$W$125,20,FALSE)</f>
        <v>57865.89906844536</v>
      </c>
      <c r="K13" s="245">
        <f>VLOOKUP(A13,'FSM Calculation 1718'!$A$4:$D$21,4,FALSE)</f>
        <v>29915.5</v>
      </c>
      <c r="L13" s="245">
        <v>908.66303545853043</v>
      </c>
      <c r="M13" s="245">
        <f t="shared" si="2"/>
        <v>1770487.8962105154</v>
      </c>
      <c r="N13" s="245">
        <f t="shared" si="3"/>
        <v>1770487.8962105154</v>
      </c>
      <c r="O13" s="246">
        <f>VLOOKUP(A13,'Band Calculations 1718'!$A$107:$W$125,22,FALSE)</f>
        <v>155.91666666666669</v>
      </c>
      <c r="P13" s="36"/>
      <c r="Q13" s="1026">
        <f t="shared" si="4"/>
        <v>1233828.6548138671</v>
      </c>
      <c r="R13" s="1026">
        <f t="shared" si="5"/>
        <v>7913.3852794048116</v>
      </c>
      <c r="S13" s="1026">
        <f>VLOOKUP(A13,'2016-17 Funding Detail'!$A$2:$AD$23,30,FALSE)</f>
        <v>7777.3723820258401</v>
      </c>
      <c r="T13" s="235">
        <f t="shared" si="6"/>
        <v>136.0128973789715</v>
      </c>
      <c r="U13" s="1026">
        <f t="shared" si="19"/>
        <v>0</v>
      </c>
      <c r="V13" s="1026">
        <f t="shared" si="7"/>
        <v>1770487.8962105154</v>
      </c>
      <c r="W13" s="235">
        <f t="shared" si="8"/>
        <v>1559166.6666666667</v>
      </c>
      <c r="X13" s="235">
        <f t="shared" si="9"/>
        <v>0</v>
      </c>
      <c r="Y13" s="242">
        <f t="shared" si="10"/>
        <v>11355.347276604052</v>
      </c>
      <c r="Z13" s="242">
        <f t="shared" si="0"/>
        <v>1559166.6666666667</v>
      </c>
      <c r="AA13" s="242">
        <f t="shared" si="1"/>
        <v>1355.3472766040522</v>
      </c>
      <c r="AB13" s="1244">
        <f>VLOOKUP(A13,'2016-17 Funding Detail'!$A$4:$AH$23,27,FALSE)</f>
        <v>1335.0348796749622</v>
      </c>
      <c r="AC13" s="245">
        <f t="shared" si="20"/>
        <v>1355.3472766040522</v>
      </c>
      <c r="AD13" s="245">
        <f t="shared" si="11"/>
        <v>11355.347276604052</v>
      </c>
      <c r="AE13" s="1029">
        <f t="shared" si="12"/>
        <v>0</v>
      </c>
      <c r="AF13" s="346">
        <f t="shared" si="13"/>
        <v>1770487.8962105154</v>
      </c>
      <c r="AG13" s="235">
        <v>1770487.8962105154</v>
      </c>
      <c r="AH13" s="235">
        <f t="shared" si="14"/>
        <v>0</v>
      </c>
      <c r="AI13" s="42">
        <f t="shared" si="15"/>
        <v>1559166.6666666667</v>
      </c>
      <c r="AJ13" s="42">
        <f t="shared" si="16"/>
        <v>211321.22954384866</v>
      </c>
      <c r="AK13" s="42">
        <f t="shared" si="21"/>
        <v>1355.3472766040531</v>
      </c>
      <c r="AL13" s="327">
        <f t="shared" si="17"/>
        <v>11355.347276604052</v>
      </c>
      <c r="AM13" s="235" t="s">
        <v>206</v>
      </c>
      <c r="AN13" s="297" t="s">
        <v>207</v>
      </c>
      <c r="AO13" s="1026">
        <f>AF13-'1819 Funding Detail'!D13-'1819 Funding Detail'!E13-'1819 Funding Detail'!L13</f>
        <v>1242987.8962105154</v>
      </c>
      <c r="AP13" s="1167">
        <f t="shared" si="22"/>
        <v>7972.1297458718245</v>
      </c>
      <c r="AQ13" s="1026">
        <f t="shared" si="18"/>
        <v>7852.5477996837471</v>
      </c>
      <c r="AR13" s="235"/>
      <c r="AS13" s="235"/>
      <c r="AT13" s="235"/>
      <c r="AU13" s="235"/>
      <c r="AV13" s="42"/>
      <c r="AW13" s="235"/>
      <c r="AX13" s="247"/>
    </row>
    <row r="14" spans="1:50" ht="12.75" customHeight="1" x14ac:dyDescent="0.3">
      <c r="A14" s="244">
        <v>9257015</v>
      </c>
      <c r="B14" s="237" t="s">
        <v>217</v>
      </c>
      <c r="C14" s="267">
        <v>6</v>
      </c>
      <c r="D14" s="245">
        <f>'Funding Model'!$D$25</f>
        <v>493762.11190507573</v>
      </c>
      <c r="E14" s="245">
        <f>'Funding Model'!$E$25</f>
        <v>131719.7894229154</v>
      </c>
      <c r="F14" s="245"/>
      <c r="G14" s="302">
        <v>41787</v>
      </c>
      <c r="H14" s="245">
        <f>VLOOKUP(A14,'Band Calculations 1718'!$A$107:$W$125,6,FALSE)</f>
        <v>0</v>
      </c>
      <c r="I14" s="245">
        <f>VLOOKUP(A14,'Band Calculations 1718'!$A$107:$W$125,13,FALSE)</f>
        <v>1939521.8825757506</v>
      </c>
      <c r="J14" s="245">
        <f>VLOOKUP(A14,'Band Calculations 1718'!$A$107:$W$125,20,FALSE)</f>
        <v>45985.835743205549</v>
      </c>
      <c r="K14" s="245">
        <f>VLOOKUP(A14,'FSM Calculation 1718'!$A$4:$D$21,4,FALSE)</f>
        <v>33934</v>
      </c>
      <c r="L14" s="245">
        <v>1056.0795972397032</v>
      </c>
      <c r="M14" s="245">
        <f t="shared" si="2"/>
        <v>2687766.6992441872</v>
      </c>
      <c r="N14" s="245">
        <f>M14-F14-G14</f>
        <v>2645979.6992441872</v>
      </c>
      <c r="O14" s="246">
        <f>VLOOKUP(A14,'Band Calculations 1718'!$A$107:$W$125,22,FALSE)</f>
        <v>270.50000000000006</v>
      </c>
      <c r="P14" s="36"/>
      <c r="Q14" s="1026">
        <f t="shared" si="4"/>
        <v>2019441.7183189567</v>
      </c>
      <c r="R14" s="1026">
        <f t="shared" si="5"/>
        <v>7465.5886074637938</v>
      </c>
      <c r="S14" s="1026">
        <f>VLOOKUP(A14,'2016-17 Funding Detail'!$A$2:$AD$23,30,FALSE)</f>
        <v>7588.033312603473</v>
      </c>
      <c r="T14" s="235">
        <f t="shared" si="6"/>
        <v>-122.44470513967917</v>
      </c>
      <c r="U14" s="1026">
        <f t="shared" si="19"/>
        <v>33121.292740283221</v>
      </c>
      <c r="V14" s="235">
        <f t="shared" si="7"/>
        <v>2679100.9919844703</v>
      </c>
      <c r="W14" s="1026">
        <f t="shared" si="8"/>
        <v>2705000.0000000005</v>
      </c>
      <c r="X14" s="1026">
        <f t="shared" si="9"/>
        <v>25899.008015530184</v>
      </c>
      <c r="Y14" s="242">
        <f t="shared" si="10"/>
        <v>9781.8103484073436</v>
      </c>
      <c r="Z14" s="242">
        <f t="shared" si="0"/>
        <v>2705000.0000000005</v>
      </c>
      <c r="AA14" s="242">
        <f t="shared" si="1"/>
        <v>-218.18965159265645</v>
      </c>
      <c r="AB14" s="248">
        <f>VLOOKUP(A14,'2016-17 Funding Detail'!$A$4:$AH$23,27,FALSE)</f>
        <v>-150</v>
      </c>
      <c r="AC14" s="302">
        <f>IF(AA14&gt;AB14,(AA14),(IF(AB14&gt;0,(AB14),(0))))</f>
        <v>0</v>
      </c>
      <c r="AD14" s="245">
        <f t="shared" si="11"/>
        <v>10000</v>
      </c>
      <c r="AE14" s="1029">
        <f t="shared" si="12"/>
        <v>59020.300755813405</v>
      </c>
      <c r="AF14" s="346">
        <f t="shared" si="13"/>
        <v>2705000.0000000005</v>
      </c>
      <c r="AG14" s="235">
        <v>2705000.0000000009</v>
      </c>
      <c r="AH14" s="235">
        <f t="shared" si="14"/>
        <v>0</v>
      </c>
      <c r="AI14" s="42">
        <f t="shared" si="15"/>
        <v>2705000.0000000005</v>
      </c>
      <c r="AJ14" s="42">
        <f t="shared" si="16"/>
        <v>0</v>
      </c>
      <c r="AK14" s="42">
        <f t="shared" si="21"/>
        <v>0</v>
      </c>
      <c r="AL14" s="327">
        <f t="shared" si="17"/>
        <v>10000</v>
      </c>
      <c r="AM14" s="235" t="s">
        <v>206</v>
      </c>
      <c r="AN14" s="297" t="s">
        <v>207</v>
      </c>
      <c r="AO14" s="1026">
        <f>AF14-'1819 Funding Detail'!D14-'1819 Funding Detail'!E14-'1819 Funding Detail'!L14</f>
        <v>2122500.0000000005</v>
      </c>
      <c r="AP14" s="1167">
        <f t="shared" si="22"/>
        <v>7846.5804066543442</v>
      </c>
      <c r="AQ14" s="1026">
        <f t="shared" si="18"/>
        <v>7728.8817005545288</v>
      </c>
      <c r="AR14" s="382"/>
      <c r="AS14" s="382"/>
      <c r="AT14" s="382"/>
      <c r="AU14" s="382"/>
      <c r="AV14" s="382"/>
      <c r="AW14" s="235"/>
      <c r="AX14" s="247"/>
    </row>
    <row r="15" spans="1:50" ht="13" x14ac:dyDescent="0.3">
      <c r="A15" s="244">
        <v>9257016</v>
      </c>
      <c r="B15" s="237" t="s">
        <v>219</v>
      </c>
      <c r="C15" s="267">
        <v>6</v>
      </c>
      <c r="D15" s="245">
        <f>'Funding Model'!$D$25</f>
        <v>493762.11190507573</v>
      </c>
      <c r="E15" s="245">
        <f>'Funding Model'!$E$25</f>
        <v>131719.7894229154</v>
      </c>
      <c r="F15" s="245"/>
      <c r="G15" s="245"/>
      <c r="H15" s="245">
        <f>VLOOKUP(A15,'Band Calculations 1718'!$A$107:$W$125,6,FALSE)</f>
        <v>0</v>
      </c>
      <c r="I15" s="245">
        <f>VLOOKUP(A15,'Band Calculations 1718'!$A$107:$W$125,13,FALSE)</f>
        <v>1500846.8153915969</v>
      </c>
      <c r="J15" s="245">
        <f>VLOOKUP(A15,'Band Calculations 1718'!$A$107:$W$125,20,FALSE)</f>
        <v>0</v>
      </c>
      <c r="K15" s="245">
        <f>VLOOKUP(A15,'FSM Calculation 1718'!$A$4:$D$21,4,FALSE)</f>
        <v>12948.5</v>
      </c>
      <c r="L15" s="245">
        <v>832.00642333232065</v>
      </c>
      <c r="M15" s="245">
        <f t="shared" si="2"/>
        <v>2140109.2231429205</v>
      </c>
      <c r="N15" s="245">
        <f t="shared" si="3"/>
        <v>2140109.2231429205</v>
      </c>
      <c r="O15" s="246">
        <f>VLOOKUP(A15,'Band Calculations 1718'!$A$107:$W$125,22,FALSE)</f>
        <v>148.33333333333334</v>
      </c>
      <c r="P15" s="36"/>
      <c r="Q15" s="1026">
        <f t="shared" si="4"/>
        <v>1513795.3153915973</v>
      </c>
      <c r="R15" s="1026">
        <f t="shared" si="5"/>
        <v>10205.361676797285</v>
      </c>
      <c r="S15" s="1026">
        <f>VLOOKUP(A15,'2016-17 Funding Detail'!$A$2:$AD$23,30,FALSE)</f>
        <v>11812.521056554318</v>
      </c>
      <c r="T15" s="235">
        <f t="shared" si="6"/>
        <v>-1607.1593797570331</v>
      </c>
      <c r="U15" s="1026">
        <f t="shared" si="19"/>
        <v>238395.30799729325</v>
      </c>
      <c r="V15" s="1026">
        <f t="shared" si="7"/>
        <v>2378504.5311402138</v>
      </c>
      <c r="W15" s="235">
        <f t="shared" si="8"/>
        <v>1483333.3333333335</v>
      </c>
      <c r="X15" s="235">
        <f t="shared" si="9"/>
        <v>0</v>
      </c>
      <c r="Y15" s="242">
        <f t="shared" si="10"/>
        <v>14427.702627929801</v>
      </c>
      <c r="Z15" s="242">
        <f t="shared" si="0"/>
        <v>1483333.3333333335</v>
      </c>
      <c r="AA15" s="242">
        <f t="shared" si="1"/>
        <v>4427.7026279298007</v>
      </c>
      <c r="AB15" s="248">
        <f>VLOOKUP(A15,'2016-17 Funding Detail'!$A$4:$AH$23,27,FALSE)</f>
        <v>6111.6095522689739</v>
      </c>
      <c r="AC15" s="245">
        <f t="shared" si="20"/>
        <v>6111.6095522689739</v>
      </c>
      <c r="AD15" s="245">
        <f t="shared" si="11"/>
        <v>16111.609552268974</v>
      </c>
      <c r="AE15" s="1029">
        <f t="shared" si="12"/>
        <v>238395.30799729325</v>
      </c>
      <c r="AF15" s="346">
        <f t="shared" si="13"/>
        <v>2378504.5311402138</v>
      </c>
      <c r="AG15" s="235">
        <v>2389888.7502532313</v>
      </c>
      <c r="AH15" s="235">
        <f t="shared" si="14"/>
        <v>-11384.219113017432</v>
      </c>
      <c r="AI15" s="42">
        <f t="shared" si="15"/>
        <v>1483333.3333333335</v>
      </c>
      <c r="AJ15" s="42">
        <f t="shared" si="16"/>
        <v>895171.19780688034</v>
      </c>
      <c r="AK15" s="42">
        <f t="shared" si="21"/>
        <v>6034.8620076868337</v>
      </c>
      <c r="AL15" s="327">
        <f t="shared" si="17"/>
        <v>16034.862007686834</v>
      </c>
      <c r="AM15" s="235" t="s">
        <v>206</v>
      </c>
      <c r="AN15" s="297" t="s">
        <v>207</v>
      </c>
      <c r="AO15" s="1026">
        <f>AF15-'1819 Funding Detail'!D15-'1819 Funding Detail'!E15-'1819 Funding Detail'!L15</f>
        <v>1823504.5311402138</v>
      </c>
      <c r="AP15" s="1167">
        <f t="shared" si="22"/>
        <v>12293.288973978968</v>
      </c>
      <c r="AQ15" s="1026">
        <f t="shared" si="18"/>
        <v>12108.889639369283</v>
      </c>
      <c r="AR15" s="382"/>
      <c r="AS15" s="382"/>
      <c r="AT15" s="382"/>
      <c r="AU15" s="382"/>
      <c r="AV15" s="382"/>
      <c r="AW15" s="235"/>
      <c r="AX15" s="247"/>
    </row>
    <row r="16" spans="1:50" ht="13" x14ac:dyDescent="0.3">
      <c r="A16" s="244"/>
      <c r="B16" s="237"/>
      <c r="C16" s="238"/>
      <c r="D16" s="245"/>
      <c r="E16" s="245"/>
      <c r="F16" s="245"/>
      <c r="G16" s="245"/>
      <c r="H16" s="245"/>
      <c r="I16" s="245"/>
      <c r="J16" s="245"/>
      <c r="K16" s="245"/>
      <c r="L16" s="245"/>
      <c r="M16" s="245"/>
      <c r="N16" s="245"/>
      <c r="O16" s="246"/>
      <c r="P16" s="36"/>
      <c r="Q16" s="235"/>
      <c r="R16" s="235"/>
      <c r="S16" s="235"/>
      <c r="T16" s="235"/>
      <c r="U16" s="235"/>
      <c r="V16" s="235"/>
      <c r="W16" s="235"/>
      <c r="X16" s="235"/>
      <c r="Y16" s="242"/>
      <c r="Z16" s="242"/>
      <c r="AA16" s="242"/>
      <c r="AB16" s="245"/>
      <c r="AC16" s="245"/>
      <c r="AD16" s="245"/>
      <c r="AE16" s="245">
        <f t="shared" si="12"/>
        <v>0</v>
      </c>
      <c r="AF16" s="68"/>
      <c r="AG16" s="235"/>
      <c r="AH16" s="235"/>
      <c r="AI16" s="42"/>
      <c r="AJ16" s="42"/>
      <c r="AK16" s="42"/>
      <c r="AL16" s="327"/>
      <c r="AM16" s="234"/>
      <c r="AN16" s="297"/>
      <c r="AO16" s="1026">
        <f>AF16-'1819 Funding Detail'!D16-'1819 Funding Detail'!E16-'1819 Funding Detail'!L16</f>
        <v>0</v>
      </c>
      <c r="AP16" s="1245"/>
      <c r="AQ16" s="235"/>
      <c r="AR16" s="382"/>
      <c r="AS16" s="382"/>
      <c r="AT16" s="382"/>
      <c r="AU16" s="382"/>
      <c r="AV16" s="382"/>
      <c r="AW16" s="235"/>
      <c r="AX16" s="247"/>
    </row>
    <row r="17" spans="1:50" ht="13" x14ac:dyDescent="0.3">
      <c r="A17" s="244">
        <v>9257031</v>
      </c>
      <c r="B17" s="32" t="s">
        <v>148</v>
      </c>
      <c r="C17" s="267">
        <v>4</v>
      </c>
      <c r="D17" s="245">
        <f>'Funding Model'!D27</f>
        <v>360067.26321081078</v>
      </c>
      <c r="E17" s="245">
        <f>'Funding Model'!E27</f>
        <v>58044.118057617408</v>
      </c>
      <c r="F17" s="245">
        <v>170753.69</v>
      </c>
      <c r="G17" s="245"/>
      <c r="H17" s="245">
        <f>VLOOKUP(A17,'Band Calculations 1718'!$A$107:$W$125,6,FALSE)</f>
        <v>0</v>
      </c>
      <c r="I17" s="245">
        <f>VLOOKUP(A17,'Band Calculations 1718'!$A$107:$W$125,13,FALSE)</f>
        <v>808698.09413502784</v>
      </c>
      <c r="J17" s="245">
        <f>VLOOKUP(A17,'Band Calculations 1718'!$A$107:$W$125,20,FALSE)</f>
        <v>182257.47900072072</v>
      </c>
      <c r="K17" s="245">
        <f>VLOOKUP(A17,'FSM Calculation 1718'!$A$4:$D$21,4,FALSE)</f>
        <v>7590.5</v>
      </c>
      <c r="L17" s="245">
        <v>669.84820537303062</v>
      </c>
      <c r="M17" s="245">
        <f>SUM(D17:L17)</f>
        <v>1588080.9926095495</v>
      </c>
      <c r="N17" s="245">
        <f>M17-F17</f>
        <v>1417327.3026095496</v>
      </c>
      <c r="O17" s="246">
        <f>VLOOKUP(A17,'Band Calculations 1718'!$A$107:$W$125,22,FALSE)</f>
        <v>69.166666666666671</v>
      </c>
      <c r="P17" s="36"/>
      <c r="Q17" s="1026">
        <f t="shared" si="4"/>
        <v>998546.07313574839</v>
      </c>
      <c r="R17" s="1026">
        <f t="shared" si="5"/>
        <v>14436.81069593853</v>
      </c>
      <c r="S17" s="1026">
        <f>VLOOKUP(A17,'2016-17 Funding Detail'!$A$2:$AD$23,30,FALSE)</f>
        <v>14293.455132942658</v>
      </c>
      <c r="T17" s="235">
        <f t="shared" si="6"/>
        <v>143.35556299587188</v>
      </c>
      <c r="U17" s="1026">
        <f t="shared" si="19"/>
        <v>0</v>
      </c>
      <c r="V17" s="1026">
        <f t="shared" si="7"/>
        <v>1417327.3026095496</v>
      </c>
      <c r="W17" s="235">
        <f t="shared" si="8"/>
        <v>691666.66666666674</v>
      </c>
      <c r="X17" s="235">
        <f t="shared" si="9"/>
        <v>0</v>
      </c>
      <c r="Y17" s="242">
        <f t="shared" si="10"/>
        <v>20491.479073873004</v>
      </c>
      <c r="Z17" s="242">
        <f>O17*10000</f>
        <v>691666.66666666674</v>
      </c>
      <c r="AA17" s="242">
        <f>Y17-10000</f>
        <v>10491.479073873004</v>
      </c>
      <c r="AB17" s="248">
        <f>VLOOKUP(A17,'2016-17 Funding Detail'!$A$4:$AH$23,27,FALSE)</f>
        <v>10591.157591441806</v>
      </c>
      <c r="AC17" s="245">
        <f t="shared" si="20"/>
        <v>10591.157591441806</v>
      </c>
      <c r="AD17" s="245">
        <f t="shared" si="11"/>
        <v>20591.157591441806</v>
      </c>
      <c r="AE17" s="1029">
        <f t="shared" si="12"/>
        <v>0</v>
      </c>
      <c r="AF17" s="346">
        <f t="shared" si="13"/>
        <v>1417327.3026095496</v>
      </c>
      <c r="AG17" s="235">
        <v>1424221.7334080583</v>
      </c>
      <c r="AH17" s="235">
        <f t="shared" si="14"/>
        <v>-6894.4307985086925</v>
      </c>
      <c r="AI17" s="42">
        <f t="shared" si="15"/>
        <v>691666.66666666674</v>
      </c>
      <c r="AJ17" s="42">
        <f t="shared" si="16"/>
        <v>725660.63594288286</v>
      </c>
      <c r="AK17" s="42">
        <f t="shared" si="21"/>
        <v>10491.479073873004</v>
      </c>
      <c r="AL17" s="327">
        <f t="shared" si="17"/>
        <v>20491.479073873004</v>
      </c>
      <c r="AM17" s="235" t="s">
        <v>206</v>
      </c>
      <c r="AN17" s="297" t="s">
        <v>207</v>
      </c>
      <c r="AO17" s="1026">
        <f>AF17-'1819 Funding Detail'!D17-'1819 Funding Detail'!E17-'1819 Funding Detail'!L17</f>
        <v>1004827.3026095496</v>
      </c>
      <c r="AP17" s="1167">
        <f t="shared" si="22"/>
        <v>14527.623652186257</v>
      </c>
      <c r="AQ17" s="1026">
        <f t="shared" si="18"/>
        <v>14309.709297403464</v>
      </c>
      <c r="AR17" s="235"/>
      <c r="AS17" s="235"/>
      <c r="AT17" s="235"/>
      <c r="AU17" s="235"/>
      <c r="AV17" s="42"/>
      <c r="AW17" s="235"/>
      <c r="AX17" s="247"/>
    </row>
    <row r="18" spans="1:50" ht="13" x14ac:dyDescent="0.3">
      <c r="A18" s="244">
        <v>9257029</v>
      </c>
      <c r="B18" s="32" t="s">
        <v>149</v>
      </c>
      <c r="C18" s="271">
        <v>3</v>
      </c>
      <c r="D18" s="245">
        <f>'Funding Model'!$D$26</f>
        <v>280697.16623783787</v>
      </c>
      <c r="E18" s="245">
        <f>'Funding Model'!$E$26</f>
        <v>55663.058379368813</v>
      </c>
      <c r="F18" s="245">
        <v>241540.96</v>
      </c>
      <c r="G18" s="245"/>
      <c r="H18" s="245">
        <f>VLOOKUP(A18,'Band Calculations 1718'!$A$107:$W$125,6,FALSE)</f>
        <v>0</v>
      </c>
      <c r="I18" s="245">
        <f>VLOOKUP(A18,'Band Calculations 1718'!$A$107:$W$125,13,FALSE)</f>
        <v>507628.56270403555</v>
      </c>
      <c r="J18" s="245">
        <f>VLOOKUP(A18,'Band Calculations 1718'!$A$107:$W$125,20,FALSE)</f>
        <v>114404.99585466928</v>
      </c>
      <c r="K18" s="245">
        <f>VLOOKUP(A18,'FSM Calculation 1718'!$A$4:$D$21,4,FALSE)</f>
        <v>8483.5</v>
      </c>
      <c r="L18" s="245">
        <v>672.79653660865415</v>
      </c>
      <c r="M18" s="245">
        <f>SUM(D18:L18)</f>
        <v>1209091.0397125201</v>
      </c>
      <c r="N18" s="245">
        <f>M18-F18</f>
        <v>967550.07971252012</v>
      </c>
      <c r="O18" s="246">
        <f>VLOOKUP(A18,'Band Calculations 1718'!$A$107:$W$125,22,FALSE)</f>
        <v>43.416666666666671</v>
      </c>
      <c r="P18" s="36"/>
      <c r="Q18" s="1026">
        <f t="shared" si="4"/>
        <v>630517.0585587048</v>
      </c>
      <c r="R18" s="1026">
        <f t="shared" si="5"/>
        <v>14522.465840123717</v>
      </c>
      <c r="S18" s="1026">
        <f>VLOOKUP(A18,'2016-17 Funding Detail'!$A$2:$AD$23,30,FALSE)</f>
        <v>14380.20978680139</v>
      </c>
      <c r="T18" s="235">
        <f t="shared" si="6"/>
        <v>142.25605332232772</v>
      </c>
      <c r="U18" s="1026">
        <f t="shared" si="19"/>
        <v>0</v>
      </c>
      <c r="V18" s="1026">
        <f t="shared" si="7"/>
        <v>967550.07971252012</v>
      </c>
      <c r="W18" s="235">
        <f t="shared" si="8"/>
        <v>434166.66666666669</v>
      </c>
      <c r="X18" s="235">
        <f t="shared" si="9"/>
        <v>0</v>
      </c>
      <c r="Y18" s="242">
        <f t="shared" si="10"/>
        <v>22285.222565355547</v>
      </c>
      <c r="Z18" s="242">
        <f>O18*10000</f>
        <v>434166.66666666669</v>
      </c>
      <c r="AA18" s="242">
        <f>Y18-10000</f>
        <v>12285.222565355547</v>
      </c>
      <c r="AB18" s="1244">
        <f>VLOOKUP(A18,'2016-17 Funding Detail'!$A$4:$AH$23,27,FALSE)</f>
        <v>11213.366407792982</v>
      </c>
      <c r="AC18" s="245">
        <f t="shared" si="20"/>
        <v>12285.222565355547</v>
      </c>
      <c r="AD18" s="245">
        <f t="shared" si="11"/>
        <v>22285.222565355547</v>
      </c>
      <c r="AE18" s="1029">
        <f t="shared" si="12"/>
        <v>0</v>
      </c>
      <c r="AF18" s="346">
        <f t="shared" si="13"/>
        <v>967550.07971252012</v>
      </c>
      <c r="AG18" s="235">
        <v>967550.07971252012</v>
      </c>
      <c r="AH18" s="235">
        <f t="shared" si="14"/>
        <v>0</v>
      </c>
      <c r="AI18" s="42">
        <f t="shared" si="15"/>
        <v>434166.66666666669</v>
      </c>
      <c r="AJ18" s="42">
        <f t="shared" si="16"/>
        <v>533383.41304585338</v>
      </c>
      <c r="AK18" s="42">
        <f t="shared" si="21"/>
        <v>12285.222565355547</v>
      </c>
      <c r="AL18" s="327">
        <f t="shared" si="17"/>
        <v>22285.222565355547</v>
      </c>
      <c r="AM18" s="235" t="s">
        <v>206</v>
      </c>
      <c r="AN18" s="297" t="s">
        <v>207</v>
      </c>
      <c r="AO18" s="1026">
        <f>AF18-'1819 Funding Detail'!D18-'1819 Funding Detail'!E18-'1819 Funding Detail'!L18</f>
        <v>627550.07971252012</v>
      </c>
      <c r="AP18" s="1167">
        <f t="shared" si="22"/>
        <v>14454.128515451517</v>
      </c>
      <c r="AQ18" s="1026">
        <f t="shared" si="18"/>
        <v>14237.316587719744</v>
      </c>
      <c r="AR18" s="235"/>
      <c r="AS18" s="235"/>
      <c r="AT18" s="235"/>
      <c r="AU18" s="235"/>
      <c r="AV18" s="42"/>
      <c r="AW18" s="235"/>
      <c r="AX18" s="247"/>
    </row>
    <row r="19" spans="1:50" ht="13" x14ac:dyDescent="0.3">
      <c r="A19" s="244">
        <v>9257032</v>
      </c>
      <c r="B19" s="32" t="s">
        <v>150</v>
      </c>
      <c r="C19" s="267">
        <v>4</v>
      </c>
      <c r="D19" s="245">
        <f>'Funding Model'!$D$27</f>
        <v>360067.26321081078</v>
      </c>
      <c r="E19" s="245">
        <f>'Funding Model'!$E$27</f>
        <v>58044.118057617408</v>
      </c>
      <c r="F19" s="245">
        <v>214408.47</v>
      </c>
      <c r="G19" s="245"/>
      <c r="H19" s="245">
        <f>VLOOKUP(A19,'Band Calculations 1718'!$A$107:$W$125,6,FALSE)</f>
        <v>0</v>
      </c>
      <c r="I19" s="245">
        <f>VLOOKUP(A19,'Band Calculations 1718'!$A$107:$W$125,13,FALSE)</f>
        <v>701521.23828580719</v>
      </c>
      <c r="J19" s="245">
        <f>VLOOKUP(A19,'Band Calculations 1718'!$A$107:$W$125,20,FALSE)</f>
        <v>158102.87335002277</v>
      </c>
      <c r="K19" s="245">
        <f>VLOOKUP(A19,'FSM Calculation 1718'!$A$4:$D$21,4,FALSE)</f>
        <v>4911.5</v>
      </c>
      <c r="L19" s="245">
        <v>663.9515429017838</v>
      </c>
      <c r="M19" s="245">
        <f>SUM(D19:L19)</f>
        <v>1497719.41444716</v>
      </c>
      <c r="N19" s="245">
        <f>M19-F19</f>
        <v>1283310.94444716</v>
      </c>
      <c r="O19" s="246">
        <f>VLOOKUP(A19,'Band Calculations 1718'!$A$107:$W$125,22,FALSE)</f>
        <v>60</v>
      </c>
      <c r="P19" s="36"/>
      <c r="Q19" s="1026">
        <f t="shared" si="4"/>
        <v>864535.61163583002</v>
      </c>
      <c r="R19" s="1026">
        <f t="shared" si="5"/>
        <v>14408.926860597167</v>
      </c>
      <c r="S19" s="1026">
        <f>VLOOKUP(A19,'2016-17 Funding Detail'!$A$2:$AD$23,30,FALSE)</f>
        <v>14192.792957688209</v>
      </c>
      <c r="T19" s="235">
        <f t="shared" si="6"/>
        <v>216.13390290895768</v>
      </c>
      <c r="U19" s="1026">
        <f t="shared" si="19"/>
        <v>0</v>
      </c>
      <c r="V19" s="1026">
        <f t="shared" si="7"/>
        <v>1283310.94444716</v>
      </c>
      <c r="W19" s="235">
        <f t="shared" si="8"/>
        <v>600000</v>
      </c>
      <c r="X19" s="235">
        <f t="shared" si="9"/>
        <v>0</v>
      </c>
      <c r="Y19" s="242">
        <f t="shared" si="10"/>
        <v>21388.515740785999</v>
      </c>
      <c r="Z19" s="242">
        <f>O19*10000</f>
        <v>600000</v>
      </c>
      <c r="AA19" s="242">
        <f>Y19-10000</f>
        <v>11388.515740785999</v>
      </c>
      <c r="AB19" s="1244">
        <f>VLOOKUP(A19,'2016-17 Funding Detail'!$A$4:$AH$23,27,FALSE)</f>
        <v>11067.688004674212</v>
      </c>
      <c r="AC19" s="245">
        <f t="shared" si="20"/>
        <v>11388.515740785999</v>
      </c>
      <c r="AD19" s="245">
        <f t="shared" si="11"/>
        <v>21388.515740785999</v>
      </c>
      <c r="AE19" s="1029">
        <f t="shared" si="12"/>
        <v>0</v>
      </c>
      <c r="AF19" s="346">
        <f t="shared" si="13"/>
        <v>1283310.94444716</v>
      </c>
      <c r="AG19" s="235">
        <v>1283310.94444716</v>
      </c>
      <c r="AH19" s="235">
        <f t="shared" si="14"/>
        <v>0</v>
      </c>
      <c r="AI19" s="42">
        <f t="shared" si="15"/>
        <v>600000</v>
      </c>
      <c r="AJ19" s="42">
        <f t="shared" si="16"/>
        <v>683310.94444716</v>
      </c>
      <c r="AK19" s="42">
        <f t="shared" si="21"/>
        <v>11388.515740786001</v>
      </c>
      <c r="AL19" s="327">
        <f t="shared" si="17"/>
        <v>21388.515740785999</v>
      </c>
      <c r="AM19" s="235" t="s">
        <v>206</v>
      </c>
      <c r="AN19" s="297" t="s">
        <v>207</v>
      </c>
      <c r="AO19" s="1026">
        <f>AF19-'1819 Funding Detail'!D19-'1819 Funding Detail'!E19-'1819 Funding Detail'!L19</f>
        <v>878310.94444716</v>
      </c>
      <c r="AP19" s="1167">
        <f t="shared" si="22"/>
        <v>14638.515740786001</v>
      </c>
      <c r="AQ19" s="1026">
        <f t="shared" si="18"/>
        <v>14418.93800467421</v>
      </c>
      <c r="AR19" s="235"/>
      <c r="AS19" s="235"/>
      <c r="AT19" s="235"/>
      <c r="AU19" s="235"/>
      <c r="AV19" s="42"/>
      <c r="AW19" s="235"/>
      <c r="AX19" s="247"/>
    </row>
    <row r="20" spans="1:50" ht="13" x14ac:dyDescent="0.3">
      <c r="A20" s="244">
        <v>9257030</v>
      </c>
      <c r="B20" s="32" t="s">
        <v>152</v>
      </c>
      <c r="C20" s="271">
        <v>4</v>
      </c>
      <c r="D20" s="245">
        <f>'Funding Model'!$D$27</f>
        <v>360067.26321081078</v>
      </c>
      <c r="E20" s="245">
        <f>'Funding Model'!$E$27</f>
        <v>58044.118057617408</v>
      </c>
      <c r="F20" s="245">
        <v>263272.73</v>
      </c>
      <c r="G20" s="245"/>
      <c r="H20" s="245">
        <f>VLOOKUP(A20,'Band Calculations 1718'!$A$107:$W$125,6,FALSE)</f>
        <v>0</v>
      </c>
      <c r="I20" s="245">
        <f>VLOOKUP(A20,'Band Calculations 1718'!$A$107:$W$125,13,FALSE)</f>
        <v>794083.06833740673</v>
      </c>
      <c r="J20" s="245">
        <f>VLOOKUP(A20,'Band Calculations 1718'!$A$107:$W$125,20,FALSE)</f>
        <v>178963.66913926188</v>
      </c>
      <c r="K20" s="245">
        <f>VLOOKUP(A20,'FSM Calculation 1718'!$A$4:$D$21,4,FALSE)</f>
        <v>8930</v>
      </c>
      <c r="L20" s="245">
        <v>652.15821795928991</v>
      </c>
      <c r="M20" s="245">
        <f>SUM(D20:L20)</f>
        <v>1664013.006963056</v>
      </c>
      <c r="N20" s="245">
        <f>M20-F20</f>
        <v>1400740.2769630561</v>
      </c>
      <c r="O20" s="246">
        <f>VLOOKUP(A20,'Band Calculations 1718'!$A$107:$W$125,22,FALSE)</f>
        <v>67.916666666666671</v>
      </c>
      <c r="P20" s="36"/>
      <c r="Q20" s="1026">
        <f t="shared" si="4"/>
        <v>981976.73747666855</v>
      </c>
      <c r="R20" s="1026">
        <f t="shared" si="5"/>
        <v>14458.553189840517</v>
      </c>
      <c r="S20" s="1026">
        <f>VLOOKUP(A20,'2016-17 Funding Detail'!$A$2:$AD$23,30,FALSE)</f>
        <v>14576.550746280269</v>
      </c>
      <c r="T20" s="235">
        <f t="shared" si="6"/>
        <v>-117.99755643975186</v>
      </c>
      <c r="U20" s="1026">
        <f t="shared" si="19"/>
        <v>8014.0007081998147</v>
      </c>
      <c r="V20" s="1026">
        <f t="shared" si="7"/>
        <v>1408754.2776712559</v>
      </c>
      <c r="W20" s="235">
        <f t="shared" si="8"/>
        <v>679166.66666666674</v>
      </c>
      <c r="X20" s="235">
        <f t="shared" si="9"/>
        <v>0</v>
      </c>
      <c r="Y20" s="242">
        <f t="shared" si="10"/>
        <v>20624.396716020456</v>
      </c>
      <c r="Z20" s="242">
        <f>O20*10000</f>
        <v>679166.66666666674</v>
      </c>
      <c r="AA20" s="242">
        <f>Y20-10000</f>
        <v>10624.396716020456</v>
      </c>
      <c r="AB20" s="248">
        <f>VLOOKUP(A20,'2016-17 Funding Detail'!$A$4:$AH$23,27,FALSE)</f>
        <v>11132.557417444641</v>
      </c>
      <c r="AC20" s="245">
        <f t="shared" si="20"/>
        <v>11132.557417444641</v>
      </c>
      <c r="AD20" s="245">
        <f t="shared" si="11"/>
        <v>21132.557417444641</v>
      </c>
      <c r="AE20" s="1029">
        <f t="shared" si="12"/>
        <v>8014.0007081998147</v>
      </c>
      <c r="AF20" s="346">
        <f t="shared" si="13"/>
        <v>1408754.2776712559</v>
      </c>
      <c r="AG20" s="235">
        <v>1435252.857934782</v>
      </c>
      <c r="AH20" s="235">
        <f t="shared" si="14"/>
        <v>-26498.580263526179</v>
      </c>
      <c r="AI20" s="42">
        <f t="shared" si="15"/>
        <v>679166.66666666674</v>
      </c>
      <c r="AJ20" s="42">
        <f t="shared" si="16"/>
        <v>729587.61100458913</v>
      </c>
      <c r="AK20" s="42">
        <f t="shared" si="21"/>
        <v>10742.394272460208</v>
      </c>
      <c r="AL20" s="327">
        <f t="shared" si="17"/>
        <v>20742.394272460209</v>
      </c>
      <c r="AM20" s="235" t="s">
        <v>206</v>
      </c>
      <c r="AN20" s="297" t="s">
        <v>207</v>
      </c>
      <c r="AO20" s="1026">
        <f>AF20-'1819 Funding Detail'!D20-'1819 Funding Detail'!E20-'1819 Funding Detail'!L20</f>
        <v>996254.27767125587</v>
      </c>
      <c r="AP20" s="1167">
        <f t="shared" si="22"/>
        <v>14668.774640558368</v>
      </c>
      <c r="AQ20" s="1026">
        <f t="shared" si="18"/>
        <v>14448.743020949993</v>
      </c>
      <c r="AR20" s="235"/>
      <c r="AS20" s="235"/>
      <c r="AT20" s="235"/>
      <c r="AU20" s="235"/>
      <c r="AV20" s="42"/>
      <c r="AW20" s="235"/>
      <c r="AX20" s="247"/>
    </row>
    <row r="21" spans="1:50" ht="13" x14ac:dyDescent="0.3">
      <c r="A21" s="244"/>
      <c r="B21" s="32"/>
      <c r="C21" s="238"/>
      <c r="D21" s="245"/>
      <c r="E21" s="245"/>
      <c r="F21" s="245"/>
      <c r="G21" s="245"/>
      <c r="H21" s="245"/>
      <c r="I21" s="245"/>
      <c r="J21" s="245"/>
      <c r="K21" s="245"/>
      <c r="L21" s="245"/>
      <c r="M21" s="245"/>
      <c r="N21" s="245"/>
      <c r="O21" s="246"/>
      <c r="P21" s="36"/>
      <c r="Q21" s="235"/>
      <c r="R21" s="235"/>
      <c r="S21" s="235"/>
      <c r="T21" s="235"/>
      <c r="U21" s="235"/>
      <c r="V21" s="235"/>
      <c r="W21" s="235"/>
      <c r="X21" s="235"/>
      <c r="Y21" s="242"/>
      <c r="Z21" s="242"/>
      <c r="AA21" s="242"/>
      <c r="AB21" s="245"/>
      <c r="AC21" s="245"/>
      <c r="AD21" s="245"/>
      <c r="AE21" s="245">
        <f t="shared" si="12"/>
        <v>0</v>
      </c>
      <c r="AF21" s="68"/>
      <c r="AG21" s="235"/>
      <c r="AH21" s="235"/>
      <c r="AI21" s="42"/>
      <c r="AJ21" s="42"/>
      <c r="AK21" s="42"/>
      <c r="AL21" s="327"/>
      <c r="AM21" s="234"/>
      <c r="AN21" s="36"/>
      <c r="AO21" s="1026">
        <f>AF21-'1819 Funding Detail'!D21-'1819 Funding Detail'!E21-'1819 Funding Detail'!L21</f>
        <v>0</v>
      </c>
      <c r="AP21" s="1245"/>
      <c r="AQ21" s="235"/>
      <c r="AR21" s="235"/>
      <c r="AS21" s="235"/>
      <c r="AT21" s="235"/>
      <c r="AU21" s="235"/>
      <c r="AV21" s="42"/>
      <c r="AW21" s="235"/>
      <c r="AX21" s="247"/>
    </row>
    <row r="22" spans="1:50" ht="13" x14ac:dyDescent="0.3">
      <c r="A22" s="244">
        <v>9257033</v>
      </c>
      <c r="B22" s="237" t="s">
        <v>220</v>
      </c>
      <c r="C22" s="267">
        <v>3</v>
      </c>
      <c r="D22" s="245">
        <f>'Funding Model'!$D$22</f>
        <v>314686.51772419503</v>
      </c>
      <c r="E22" s="245">
        <f>'Funding Model'!$E$22</f>
        <v>69201.680689977453</v>
      </c>
      <c r="F22" s="245"/>
      <c r="G22" s="245"/>
      <c r="H22" s="245">
        <f>VLOOKUP(A22,'Band Calculations 1718'!$A$107:$W$125,6,FALSE)</f>
        <v>0</v>
      </c>
      <c r="I22" s="245">
        <f>VLOOKUP(A22,'Band Calculations 1718'!$A$107:$W$125,13,FALSE)</f>
        <v>655822.17847756646</v>
      </c>
      <c r="J22" s="245">
        <f>VLOOKUP(A22,'Band Calculations 1718'!$A$107:$W$125,20,FALSE)</f>
        <v>66754.54652556518</v>
      </c>
      <c r="K22" s="245">
        <f>VLOOKUP(A22,'FSM Calculation 1718'!$A$4:$D$21,4,FALSE)</f>
        <v>14288</v>
      </c>
      <c r="L22" s="245">
        <v>666.89987413740721</v>
      </c>
      <c r="M22" s="245">
        <f>SUM(D22:L22)</f>
        <v>1121419.8232914417</v>
      </c>
      <c r="N22" s="245">
        <f>M22-F22</f>
        <v>1121419.8232914417</v>
      </c>
      <c r="O22" s="246">
        <f>VLOOKUP(A22,'Band Calculations 1718'!$A$107:$W$125,22,FALSE)</f>
        <v>73.333333333333343</v>
      </c>
      <c r="P22" s="36"/>
      <c r="Q22" s="1026">
        <f t="shared" si="4"/>
        <v>736864.72500313178</v>
      </c>
      <c r="R22" s="1026">
        <f t="shared" si="5"/>
        <v>10048.155340951796</v>
      </c>
      <c r="S22" s="1026">
        <f>VLOOKUP(A22,'2016-17 Funding Detail'!$A$2:$AD$23,30,FALSE)</f>
        <v>9901.8258879346722</v>
      </c>
      <c r="T22" s="235">
        <f t="shared" si="6"/>
        <v>146.32945301712425</v>
      </c>
      <c r="U22" s="1026">
        <f t="shared" si="19"/>
        <v>0</v>
      </c>
      <c r="V22" s="1026">
        <f t="shared" si="7"/>
        <v>1121419.8232914417</v>
      </c>
      <c r="W22" s="235">
        <f t="shared" si="8"/>
        <v>733333.33333333337</v>
      </c>
      <c r="X22" s="235">
        <f t="shared" si="9"/>
        <v>0</v>
      </c>
      <c r="Y22" s="242">
        <f t="shared" si="10"/>
        <v>15292.088499428748</v>
      </c>
      <c r="Z22" s="242">
        <f>O22*10000</f>
        <v>733333.33333333337</v>
      </c>
      <c r="AA22" s="242">
        <f>Y22-10000</f>
        <v>5292.088499428748</v>
      </c>
      <c r="AB22" s="248">
        <f>VLOOKUP(A22,'2016-17 Funding Detail'!$A$4:$AH$23,27,FALSE)</f>
        <v>6404.6030864580207</v>
      </c>
      <c r="AC22" s="245">
        <f t="shared" si="20"/>
        <v>6404.6030864580207</v>
      </c>
      <c r="AD22" s="245">
        <f t="shared" si="11"/>
        <v>16404.603086458021</v>
      </c>
      <c r="AE22" s="1029">
        <f t="shared" si="12"/>
        <v>0</v>
      </c>
      <c r="AF22" s="346">
        <f t="shared" si="13"/>
        <v>1121419.8232914417</v>
      </c>
      <c r="AG22" s="235">
        <v>1203004.226340255</v>
      </c>
      <c r="AH22" s="235">
        <f t="shared" si="14"/>
        <v>-81584.403048813343</v>
      </c>
      <c r="AI22" s="42">
        <f t="shared" si="15"/>
        <v>733333.33333333337</v>
      </c>
      <c r="AJ22" s="42">
        <f t="shared" si="16"/>
        <v>388086.48995810829</v>
      </c>
      <c r="AK22" s="42">
        <f t="shared" si="21"/>
        <v>5292.0884994287489</v>
      </c>
      <c r="AL22" s="327">
        <f t="shared" si="17"/>
        <v>15292.088499428748</v>
      </c>
      <c r="AM22" s="235" t="s">
        <v>206</v>
      </c>
      <c r="AN22" s="297" t="s">
        <v>207</v>
      </c>
      <c r="AO22" s="1026">
        <f>AF22-'1819 Funding Detail'!D22-'1819 Funding Detail'!E22-'1819 Funding Detail'!L22</f>
        <v>676419.82329144166</v>
      </c>
      <c r="AP22" s="1167">
        <f>AO22/O22</f>
        <v>9223.90668124693</v>
      </c>
      <c r="AQ22" s="1026">
        <f t="shared" si="18"/>
        <v>9085.5480810282261</v>
      </c>
      <c r="AR22" s="235"/>
      <c r="AS22" s="235"/>
      <c r="AT22" s="235"/>
      <c r="AU22" s="235"/>
      <c r="AV22" s="42"/>
      <c r="AW22" s="235"/>
      <c r="AX22" s="247"/>
    </row>
    <row r="23" spans="1:50" ht="13" x14ac:dyDescent="0.3">
      <c r="A23" s="244">
        <v>9257034</v>
      </c>
      <c r="B23" s="237" t="s">
        <v>221</v>
      </c>
      <c r="C23" s="267">
        <v>5</v>
      </c>
      <c r="D23" s="245">
        <f>'Funding Model'!D24</f>
        <v>418723.18610831723</v>
      </c>
      <c r="E23" s="245">
        <f>'Funding Model'!E24</f>
        <v>117027.3922528728</v>
      </c>
      <c r="F23" s="245"/>
      <c r="G23" s="245"/>
      <c r="H23" s="245">
        <f>VLOOKUP(A23,'Band Calculations 1718'!$A$107:$W$125,6,FALSE)</f>
        <v>0</v>
      </c>
      <c r="I23" s="245">
        <f>VLOOKUP(A23,'Band Calculations 1718'!$A$107:$W$125,13,FALSE)</f>
        <v>968299.67318560299</v>
      </c>
      <c r="J23" s="245">
        <f>VLOOKUP(A23,'Band Calculations 1718'!$A$107:$W$125,20,FALSE)</f>
        <v>64150.621249262302</v>
      </c>
      <c r="K23" s="245">
        <f>VLOOKUP(A23,'FSM Calculation 1718'!$A$4:$D$21,4,FALSE)</f>
        <v>17413.5</v>
      </c>
      <c r="L23" s="245">
        <v>811.36810468295653</v>
      </c>
      <c r="M23" s="245">
        <f>SUM(D23:L23)</f>
        <v>1586425.7409007384</v>
      </c>
      <c r="N23" s="245">
        <f>M23-F23</f>
        <v>1586425.7409007384</v>
      </c>
      <c r="O23" s="246">
        <f>VLOOKUP(A23,'Band Calculations 1718'!$A$107:$W$125,22,FALSE)</f>
        <v>118.91666666666667</v>
      </c>
      <c r="P23" s="36"/>
      <c r="Q23" s="1026">
        <f t="shared" si="4"/>
        <v>1049863.7944348655</v>
      </c>
      <c r="R23" s="1026">
        <f t="shared" si="5"/>
        <v>8828.5672972798766</v>
      </c>
      <c r="S23" s="1026">
        <f>VLOOKUP(A23,'2016-17 Funding Detail'!$A$2:$AD$23,30,FALSE)</f>
        <v>8697.9081347561532</v>
      </c>
      <c r="T23" s="235">
        <f t="shared" si="6"/>
        <v>130.65916252372335</v>
      </c>
      <c r="U23" s="1026">
        <f t="shared" si="19"/>
        <v>0</v>
      </c>
      <c r="V23" s="1026">
        <f t="shared" si="7"/>
        <v>1586425.7409007384</v>
      </c>
      <c r="W23" s="235">
        <f t="shared" si="8"/>
        <v>1189166.6666666667</v>
      </c>
      <c r="X23" s="235">
        <f t="shared" si="9"/>
        <v>0</v>
      </c>
      <c r="Y23" s="242">
        <f t="shared" si="10"/>
        <v>13340.650939599762</v>
      </c>
      <c r="Z23" s="242">
        <f>O23*10000</f>
        <v>1189166.6666666667</v>
      </c>
      <c r="AA23" s="242">
        <f>Y23-10000</f>
        <v>3340.6509395997618</v>
      </c>
      <c r="AB23" s="1244">
        <f>VLOOKUP(A23,'2016-17 Funding Detail'!$A$4:$AH$23,27,FALSE)</f>
        <v>2977.3698130467183</v>
      </c>
      <c r="AC23" s="245">
        <f t="shared" si="20"/>
        <v>3340.6509395997618</v>
      </c>
      <c r="AD23" s="245">
        <f t="shared" si="11"/>
        <v>13340.650939599762</v>
      </c>
      <c r="AE23" s="1029">
        <f t="shared" si="12"/>
        <v>0</v>
      </c>
      <c r="AF23" s="346">
        <f t="shared" si="13"/>
        <v>1586425.7409007384</v>
      </c>
      <c r="AG23" s="235">
        <v>1586425.7409007384</v>
      </c>
      <c r="AH23" s="235">
        <f t="shared" si="14"/>
        <v>0</v>
      </c>
      <c r="AI23" s="42">
        <f t="shared" si="15"/>
        <v>1189166.6666666667</v>
      </c>
      <c r="AJ23" s="42">
        <f t="shared" si="16"/>
        <v>397259.07423407165</v>
      </c>
      <c r="AK23" s="42">
        <f t="shared" si="21"/>
        <v>3340.6509395997614</v>
      </c>
      <c r="AL23" s="327">
        <f t="shared" si="17"/>
        <v>13340.650939599762</v>
      </c>
      <c r="AM23" s="235" t="s">
        <v>206</v>
      </c>
      <c r="AN23" s="297" t="s">
        <v>207</v>
      </c>
      <c r="AO23" s="1026">
        <f>AF23-'1819 Funding Detail'!D23-'1819 Funding Detail'!E23-'1819 Funding Detail'!L23</f>
        <v>1113925.7409007384</v>
      </c>
      <c r="AP23" s="1167">
        <f t="shared" si="22"/>
        <v>9367.2802318212052</v>
      </c>
      <c r="AQ23" s="1026">
        <f t="shared" si="18"/>
        <v>9226.7710283438864</v>
      </c>
      <c r="AR23" s="235"/>
      <c r="AS23" s="235"/>
      <c r="AT23" s="235"/>
      <c r="AU23" s="235"/>
      <c r="AV23" s="42"/>
      <c r="AW23" s="235"/>
      <c r="AX23" s="247"/>
    </row>
    <row r="24" spans="1:50" x14ac:dyDescent="0.25">
      <c r="A24" s="249"/>
      <c r="B24" s="36"/>
      <c r="C24" s="234"/>
      <c r="D24" s="235"/>
      <c r="E24" s="235"/>
      <c r="F24" s="235"/>
      <c r="G24" s="235"/>
      <c r="H24" s="235"/>
      <c r="I24" s="235"/>
      <c r="J24" s="235"/>
      <c r="K24" s="235"/>
      <c r="L24" s="235"/>
      <c r="M24" s="234"/>
      <c r="N24" s="36"/>
      <c r="O24" s="234"/>
      <c r="P24" s="36"/>
      <c r="Q24" s="36"/>
      <c r="R24" s="36"/>
      <c r="S24" s="36"/>
      <c r="T24" s="36"/>
      <c r="U24" s="36"/>
      <c r="V24" s="36"/>
      <c r="W24" s="36"/>
      <c r="X24" s="36"/>
      <c r="Y24" s="235"/>
      <c r="Z24" s="234"/>
      <c r="AA24" s="234"/>
      <c r="AB24" s="36"/>
      <c r="AC24" s="36"/>
      <c r="AD24" s="234"/>
      <c r="AE24" s="234"/>
      <c r="AF24" s="234"/>
      <c r="AG24" s="234"/>
      <c r="AH24" s="234"/>
      <c r="AI24" s="234"/>
      <c r="AJ24" s="234"/>
      <c r="AK24" s="234"/>
      <c r="AL24" s="234"/>
      <c r="AM24" s="36"/>
      <c r="AN24" s="36"/>
      <c r="AO24" s="36"/>
      <c r="AP24" s="36"/>
      <c r="AQ24" s="36"/>
      <c r="AR24" s="36"/>
      <c r="AS24" s="36"/>
      <c r="AT24" s="36"/>
      <c r="AU24" s="36"/>
      <c r="AV24" s="36"/>
      <c r="AW24" s="36"/>
      <c r="AX24" s="36"/>
    </row>
    <row r="25" spans="1:50" ht="13.5" customHeight="1" thickBot="1" x14ac:dyDescent="0.3">
      <c r="A25" s="249"/>
      <c r="B25" s="36"/>
      <c r="C25" s="36"/>
      <c r="D25" s="250">
        <f t="shared" ref="D25:M25" si="23">SUM(D4:D23)</f>
        <v>7087271.8823381308</v>
      </c>
      <c r="E25" s="250">
        <f t="shared" si="23"/>
        <v>1632492.0468683892</v>
      </c>
      <c r="F25" s="250">
        <f t="shared" si="23"/>
        <v>889975.85</v>
      </c>
      <c r="G25" s="250">
        <f t="shared" si="23"/>
        <v>41787</v>
      </c>
      <c r="H25" s="250">
        <f t="shared" si="23"/>
        <v>0</v>
      </c>
      <c r="I25" s="250">
        <f t="shared" si="23"/>
        <v>15319289.475201599</v>
      </c>
      <c r="J25" s="250">
        <f t="shared" si="23"/>
        <v>1176513.0737313814</v>
      </c>
      <c r="K25" s="250">
        <f t="shared" si="23"/>
        <v>230840.5</v>
      </c>
      <c r="L25" s="250">
        <f t="shared" si="23"/>
        <v>13304.411809383275</v>
      </c>
      <c r="M25" s="250">
        <f t="shared" si="23"/>
        <v>26391474.239948887</v>
      </c>
      <c r="N25" s="250">
        <f>SUM(N4:N23)</f>
        <v>25459711.38994889</v>
      </c>
      <c r="O25" s="251">
        <f>SUM(O4:O23)</f>
        <v>1741.916666666667</v>
      </c>
      <c r="P25" s="36"/>
      <c r="Q25" s="36"/>
      <c r="R25" s="36"/>
      <c r="S25" s="36"/>
      <c r="T25" s="36"/>
      <c r="U25" s="250">
        <f>SUM(U4:U23)</f>
        <v>290897.72226655023</v>
      </c>
      <c r="V25" s="250">
        <f>SUM(V4:V23)</f>
        <v>25750609.112215437</v>
      </c>
      <c r="W25" s="235"/>
      <c r="X25" s="36"/>
      <c r="Y25" s="235"/>
      <c r="Z25" s="235"/>
      <c r="AA25" s="249"/>
      <c r="AB25" s="36"/>
      <c r="AC25" s="36"/>
      <c r="AD25" s="234"/>
      <c r="AE25" s="250">
        <f>SUM(AE4:AE23)</f>
        <v>316796.73028208042</v>
      </c>
      <c r="AF25" s="250">
        <f>SUM(AF4:AF23)</f>
        <v>25776508.120230969</v>
      </c>
      <c r="AG25" s="235"/>
      <c r="AH25" s="235"/>
      <c r="AI25" s="235"/>
      <c r="AJ25" s="235"/>
      <c r="AK25" s="235"/>
      <c r="AL25" s="235"/>
      <c r="AM25" s="36"/>
      <c r="AN25" s="36"/>
      <c r="AO25" s="36"/>
      <c r="AP25" s="36"/>
      <c r="AQ25" s="36"/>
      <c r="AR25" s="36"/>
      <c r="AS25" s="36"/>
      <c r="AT25" s="36"/>
      <c r="AU25" s="36"/>
      <c r="AV25" s="36"/>
      <c r="AW25" s="235"/>
      <c r="AX25" s="36"/>
    </row>
    <row r="26" spans="1:50" x14ac:dyDescent="0.25">
      <c r="A26" s="249"/>
      <c r="B26" s="36"/>
      <c r="C26" s="36"/>
      <c r="D26" s="234"/>
      <c r="E26" s="234"/>
      <c r="F26" s="234"/>
      <c r="G26" s="234"/>
      <c r="H26" s="234"/>
      <c r="I26" s="36"/>
      <c r="J26" s="36"/>
      <c r="K26" s="36"/>
      <c r="L26" s="36"/>
      <c r="M26" s="234"/>
      <c r="N26" s="252"/>
      <c r="O26" s="252"/>
      <c r="P26" s="36"/>
      <c r="Q26" s="36"/>
      <c r="R26" s="36"/>
      <c r="S26" s="36"/>
      <c r="T26" s="36"/>
      <c r="U26" s="36"/>
      <c r="V26" s="36"/>
      <c r="W26" s="36"/>
      <c r="X26" s="36"/>
      <c r="Y26" s="235"/>
      <c r="Z26" s="235"/>
      <c r="AA26" s="249"/>
      <c r="AB26" s="36"/>
      <c r="AC26" s="36"/>
      <c r="AD26" s="234"/>
      <c r="AE26" s="234"/>
      <c r="AF26" s="234"/>
      <c r="AG26" s="234"/>
      <c r="AH26" s="234"/>
      <c r="AI26" s="234"/>
      <c r="AJ26" s="234"/>
      <c r="AK26" s="234"/>
      <c r="AL26" s="234"/>
      <c r="AM26" s="36"/>
      <c r="AN26" s="36"/>
      <c r="AO26" s="1511" t="s">
        <v>705</v>
      </c>
      <c r="AP26" s="1512"/>
      <c r="AQ26" s="1513"/>
      <c r="AR26" s="36"/>
      <c r="AS26" s="36"/>
      <c r="AT26" s="36"/>
      <c r="AU26" s="36"/>
      <c r="AV26" s="36"/>
      <c r="AW26" s="235"/>
      <c r="AX26" s="36"/>
    </row>
    <row r="27" spans="1:50" ht="13" thickBot="1" x14ac:dyDescent="0.3">
      <c r="A27" s="36"/>
      <c r="B27" s="234"/>
      <c r="C27" s="234" t="s">
        <v>207</v>
      </c>
      <c r="D27" s="235" t="s">
        <v>207</v>
      </c>
      <c r="E27" s="235" t="s">
        <v>207</v>
      </c>
      <c r="F27" s="235" t="s">
        <v>207</v>
      </c>
      <c r="G27" s="235" t="s">
        <v>207</v>
      </c>
      <c r="H27" s="235" t="s">
        <v>207</v>
      </c>
      <c r="I27" s="235" t="s">
        <v>207</v>
      </c>
      <c r="J27" s="235" t="s">
        <v>207</v>
      </c>
      <c r="K27" s="235" t="s">
        <v>207</v>
      </c>
      <c r="L27" s="235" t="s">
        <v>207</v>
      </c>
      <c r="M27" s="235" t="s">
        <v>207</v>
      </c>
      <c r="N27" s="235" t="s">
        <v>207</v>
      </c>
      <c r="O27" s="253" t="s">
        <v>207</v>
      </c>
      <c r="P27" s="36"/>
      <c r="Q27" s="36"/>
      <c r="R27" s="36"/>
      <c r="S27" s="36"/>
      <c r="T27" s="36"/>
      <c r="U27" s="36"/>
      <c r="V27" s="36"/>
      <c r="W27" s="36"/>
      <c r="X27" s="36"/>
      <c r="Y27" s="235" t="s">
        <v>207</v>
      </c>
      <c r="Z27" s="234" t="s">
        <v>207</v>
      </c>
      <c r="AA27" s="234" t="s">
        <v>207</v>
      </c>
      <c r="AB27" s="234" t="s">
        <v>207</v>
      </c>
      <c r="AC27" s="234" t="s">
        <v>207</v>
      </c>
      <c r="AD27" s="234" t="s">
        <v>207</v>
      </c>
      <c r="AE27" s="235"/>
      <c r="AF27" s="234" t="s">
        <v>207</v>
      </c>
      <c r="AG27" s="234"/>
      <c r="AH27" s="234"/>
      <c r="AI27" s="234"/>
      <c r="AJ27" s="234"/>
      <c r="AK27" s="234"/>
      <c r="AL27" s="234"/>
      <c r="AM27" s="36"/>
      <c r="AN27" s="36"/>
      <c r="AO27" s="1514"/>
      <c r="AP27" s="1515"/>
      <c r="AQ27" s="1516"/>
      <c r="AR27" s="36"/>
      <c r="AS27" s="36"/>
      <c r="AT27" s="36"/>
      <c r="AU27" s="36"/>
      <c r="AV27" s="36"/>
      <c r="AW27" s="235"/>
      <c r="AX27" s="36"/>
    </row>
    <row r="28" spans="1:50" x14ac:dyDescent="0.25">
      <c r="A28" s="36"/>
      <c r="B28" s="234"/>
      <c r="C28" s="36"/>
      <c r="D28" s="234"/>
      <c r="E28" s="234"/>
      <c r="F28" s="234"/>
      <c r="G28" s="234"/>
      <c r="H28" s="234"/>
      <c r="I28" s="36"/>
      <c r="J28" s="36"/>
      <c r="K28" s="36"/>
      <c r="L28" s="36"/>
      <c r="M28" s="234"/>
      <c r="N28" s="36"/>
      <c r="O28" s="253"/>
      <c r="P28" s="36"/>
      <c r="Q28" s="36"/>
      <c r="R28" s="36"/>
      <c r="S28" s="36"/>
      <c r="T28" s="36"/>
      <c r="U28" s="36"/>
      <c r="V28" s="36"/>
      <c r="W28" s="36"/>
      <c r="X28" s="36"/>
      <c r="Y28" s="235"/>
      <c r="Z28" s="234"/>
      <c r="AA28" s="234"/>
      <c r="AB28" s="234"/>
      <c r="AC28" s="36"/>
      <c r="AD28" s="234"/>
      <c r="AE28" s="234"/>
      <c r="AF28" s="234"/>
      <c r="AG28" s="234"/>
      <c r="AH28" s="234"/>
      <c r="AI28" s="234"/>
      <c r="AJ28" s="234"/>
      <c r="AK28" s="234"/>
      <c r="AL28" s="234"/>
      <c r="AM28" s="36"/>
      <c r="AN28" s="36"/>
      <c r="AO28" s="36"/>
      <c r="AP28" s="36"/>
      <c r="AQ28" s="36"/>
      <c r="AR28" s="36"/>
      <c r="AS28" s="36"/>
      <c r="AT28" s="36"/>
      <c r="AU28" s="36"/>
      <c r="AV28" s="36"/>
      <c r="AW28" s="235"/>
      <c r="AX28" s="36"/>
    </row>
    <row r="29" spans="1:50" x14ac:dyDescent="0.25">
      <c r="A29" s="36"/>
      <c r="B29" s="36"/>
      <c r="C29" s="36"/>
      <c r="D29" s="234"/>
      <c r="E29" s="234"/>
      <c r="F29" s="234"/>
      <c r="G29" s="234"/>
      <c r="H29" s="234"/>
      <c r="I29" s="36"/>
      <c r="J29" s="36"/>
      <c r="K29" s="36"/>
      <c r="L29" s="36"/>
      <c r="M29" s="234"/>
      <c r="N29" s="36"/>
      <c r="O29" s="234"/>
      <c r="P29" s="36"/>
      <c r="Q29" s="36"/>
      <c r="R29" s="36"/>
      <c r="S29" s="36"/>
      <c r="T29" s="36"/>
      <c r="U29" s="36"/>
      <c r="V29" s="36"/>
      <c r="W29" s="36"/>
      <c r="X29" s="36"/>
      <c r="Y29" s="235"/>
      <c r="Z29" s="234"/>
      <c r="AA29" s="234"/>
      <c r="AB29" s="36"/>
      <c r="AC29" s="36"/>
      <c r="AD29" s="234"/>
      <c r="AE29" s="234"/>
      <c r="AF29" s="234"/>
      <c r="AG29" s="234"/>
      <c r="AH29" s="234"/>
      <c r="AI29" s="234"/>
      <c r="AJ29" s="234"/>
      <c r="AK29" s="297"/>
      <c r="AL29" s="234"/>
      <c r="AM29" s="36"/>
      <c r="AN29" s="36"/>
      <c r="AO29" s="36"/>
      <c r="AP29" s="36"/>
      <c r="AQ29" s="36"/>
      <c r="AR29" s="36"/>
      <c r="AS29" s="36"/>
      <c r="AT29" s="36"/>
      <c r="AU29" s="36"/>
      <c r="AV29" s="36"/>
      <c r="AW29" s="36"/>
      <c r="AX29" s="36"/>
    </row>
    <row r="31" spans="1:50" x14ac:dyDescent="0.25">
      <c r="A31" s="36"/>
      <c r="B31" s="36"/>
      <c r="C31" s="36"/>
      <c r="D31" s="234"/>
      <c r="E31" s="234"/>
      <c r="F31" s="234"/>
      <c r="G31" s="234"/>
      <c r="H31" s="234"/>
      <c r="I31" s="36"/>
      <c r="J31" s="36"/>
      <c r="K31" s="36"/>
      <c r="L31" s="36"/>
      <c r="M31" s="234"/>
      <c r="N31" s="36"/>
      <c r="O31" s="234"/>
      <c r="P31" s="36"/>
      <c r="Q31" s="36"/>
      <c r="R31" s="36"/>
      <c r="S31" s="36"/>
      <c r="T31" s="36"/>
      <c r="U31" s="36"/>
      <c r="V31" s="36"/>
      <c r="W31" s="36"/>
      <c r="X31" s="36"/>
      <c r="Y31" s="235"/>
      <c r="Z31" s="234"/>
      <c r="AA31" s="234"/>
      <c r="AB31" s="36"/>
      <c r="AC31" s="36"/>
      <c r="AD31" s="234"/>
      <c r="AE31" s="234"/>
      <c r="AF31" s="234"/>
      <c r="AG31" s="234"/>
      <c r="AH31" s="234"/>
      <c r="AI31" s="36" t="s">
        <v>706</v>
      </c>
      <c r="AJ31" s="36"/>
      <c r="AK31" s="234" t="s">
        <v>707</v>
      </c>
      <c r="AL31" s="234">
        <v>70</v>
      </c>
      <c r="AM31" s="1246">
        <v>1312995</v>
      </c>
      <c r="AN31" s="36"/>
      <c r="AO31" s="1026">
        <f>AM31-'1819 Funding Detail'!D33-'1819 Funding Detail'!L33</f>
        <v>807995</v>
      </c>
      <c r="AP31" s="1026">
        <f>AO31/AL31</f>
        <v>11542.785714285714</v>
      </c>
      <c r="AQ31" s="1026">
        <f>AP31*98.5%</f>
        <v>11369.643928571428</v>
      </c>
      <c r="AR31" s="36"/>
      <c r="AS31" s="36"/>
      <c r="AT31" s="36"/>
      <c r="AU31" s="36"/>
      <c r="AV31" s="36"/>
      <c r="AW31" s="36"/>
      <c r="AX31" s="36"/>
    </row>
  </sheetData>
  <mergeCells count="3">
    <mergeCell ref="S2:S3"/>
    <mergeCell ref="AQ2:AQ3"/>
    <mergeCell ref="AO26:AQ27"/>
  </mergeCells>
  <pageMargins left="0.7" right="0.7" top="0.75" bottom="0.75" header="0.3" footer="0.3"/>
  <pageSetup paperSize="9" orientation="portrait" r:id="rId1"/>
  <ignoredErrors>
    <ignoredError sqref="D6:E6 D8:E8 D10:E11 N14" formula="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sheetPr>
  <dimension ref="A1:AP129"/>
  <sheetViews>
    <sheetView zoomScale="85" zoomScaleNormal="85" workbookViewId="0">
      <selection activeCell="AA107" sqref="AA107"/>
    </sheetView>
  </sheetViews>
  <sheetFormatPr defaultColWidth="10.26953125" defaultRowHeight="12.5" x14ac:dyDescent="0.25"/>
  <cols>
    <col min="1" max="1" width="9.1796875" style="29" customWidth="1"/>
    <col min="2" max="2" width="26.7265625" style="29" customWidth="1"/>
    <col min="3" max="3" width="6.26953125" style="29" bestFit="1" customWidth="1"/>
    <col min="4" max="5" width="11.26953125" style="29" customWidth="1"/>
    <col min="6" max="6" width="11.1796875" style="29" customWidth="1"/>
    <col min="7" max="8" width="10.26953125" style="29" customWidth="1"/>
    <col min="9" max="9" width="11.54296875" style="30" customWidth="1"/>
    <col min="10" max="10" width="11.1796875" style="30" customWidth="1"/>
    <col min="11" max="11" width="11" style="29" customWidth="1"/>
    <col min="12" max="12" width="11.1796875" style="29" customWidth="1"/>
    <col min="13" max="13" width="11.26953125" style="29" customWidth="1"/>
    <col min="14" max="14" width="10.54296875" style="29" customWidth="1"/>
    <col min="15" max="15" width="12.81640625" style="29" customWidth="1"/>
    <col min="16" max="16" width="11.54296875" style="29" customWidth="1"/>
    <col min="17" max="17" width="11" style="29" customWidth="1"/>
    <col min="18" max="18" width="11.54296875" style="29" customWidth="1"/>
    <col min="19" max="19" width="12.453125" style="29" customWidth="1"/>
    <col min="20" max="20" width="12.26953125" style="29" customWidth="1"/>
    <col min="21" max="22" width="11.26953125" style="29" bestFit="1" customWidth="1"/>
    <col min="23" max="24" width="10.26953125" style="29"/>
    <col min="25" max="25" width="11.1796875" style="29" bestFit="1" customWidth="1"/>
    <col min="26" max="26" width="11.26953125" style="29" bestFit="1" customWidth="1"/>
    <col min="27" max="27" width="11" style="29" customWidth="1"/>
    <col min="28" max="28" width="11.1796875" style="29" customWidth="1"/>
    <col min="29" max="36" width="10.26953125" style="29"/>
    <col min="37" max="37" width="2" style="29" customWidth="1"/>
    <col min="38" max="38" width="11" style="29" customWidth="1"/>
    <col min="39" max="16384" width="10.26953125" style="29"/>
  </cols>
  <sheetData>
    <row r="1" spans="1:27" x14ac:dyDescent="0.25">
      <c r="A1" s="94" t="s">
        <v>230</v>
      </c>
      <c r="B1" s="36"/>
      <c r="C1" s="36"/>
      <c r="D1" s="36"/>
      <c r="E1" s="36"/>
      <c r="F1" s="36"/>
      <c r="G1" s="36"/>
      <c r="H1" s="36"/>
      <c r="I1" s="234"/>
      <c r="J1" s="234"/>
      <c r="K1" s="36"/>
      <c r="L1" s="36"/>
      <c r="M1" s="36"/>
      <c r="N1" s="36"/>
      <c r="O1" s="36"/>
      <c r="P1" s="36"/>
      <c r="Q1" s="36"/>
      <c r="R1" s="36"/>
      <c r="S1" s="1451" t="s">
        <v>231</v>
      </c>
      <c r="T1" s="260"/>
      <c r="U1" s="1454" t="s">
        <v>232</v>
      </c>
      <c r="V1" s="1454"/>
      <c r="W1" s="1454"/>
      <c r="X1" s="36"/>
      <c r="Y1" s="36"/>
      <c r="Z1" s="36"/>
      <c r="AA1" s="36"/>
    </row>
    <row r="2" spans="1:27" ht="13" x14ac:dyDescent="0.3">
      <c r="A2" s="94"/>
      <c r="B2" s="36"/>
      <c r="C2" s="36"/>
      <c r="D2" s="36"/>
      <c r="E2" s="139" t="s">
        <v>708</v>
      </c>
      <c r="F2" s="36"/>
      <c r="G2" s="36"/>
      <c r="H2" s="36"/>
      <c r="I2" s="234"/>
      <c r="J2" s="234"/>
      <c r="K2" s="36"/>
      <c r="L2" s="36"/>
      <c r="M2" s="36"/>
      <c r="N2" s="36"/>
      <c r="O2" s="36"/>
      <c r="P2" s="36"/>
      <c r="Q2" s="36"/>
      <c r="R2" s="36"/>
      <c r="S2" s="1452"/>
      <c r="T2" s="261"/>
      <c r="U2" s="1454" t="s">
        <v>234</v>
      </c>
      <c r="V2" s="1454"/>
      <c r="W2" s="1454"/>
      <c r="X2" s="36"/>
      <c r="Y2" s="36"/>
      <c r="Z2" s="36"/>
      <c r="AA2" s="36"/>
    </row>
    <row r="3" spans="1:27" ht="13" x14ac:dyDescent="0.3">
      <c r="A3" s="93" t="s">
        <v>235</v>
      </c>
      <c r="B3" s="36"/>
      <c r="C3" s="36"/>
      <c r="D3" s="36"/>
      <c r="E3" s="36"/>
      <c r="F3" s="36"/>
      <c r="G3" s="36"/>
      <c r="H3" s="36"/>
      <c r="I3" s="94" t="s">
        <v>709</v>
      </c>
      <c r="J3" s="234"/>
      <c r="K3" s="36"/>
      <c r="L3" s="36"/>
      <c r="M3" s="36"/>
      <c r="N3" s="36"/>
      <c r="O3" s="36"/>
      <c r="P3" s="36"/>
      <c r="Q3" s="36"/>
      <c r="R3" s="36"/>
      <c r="S3" s="1452"/>
      <c r="T3" s="262"/>
      <c r="U3" s="1454" t="s">
        <v>237</v>
      </c>
      <c r="V3" s="1454"/>
      <c r="W3" s="1454"/>
      <c r="X3" s="36"/>
      <c r="Y3" s="36"/>
      <c r="Z3" s="36"/>
      <c r="AA3" s="36"/>
    </row>
    <row r="4" spans="1:27" x14ac:dyDescent="0.25">
      <c r="A4" s="36"/>
      <c r="B4" s="263"/>
      <c r="C4" s="263"/>
      <c r="D4" s="36"/>
      <c r="E4" s="36"/>
      <c r="F4" s="36"/>
      <c r="G4" s="36"/>
      <c r="H4" s="36"/>
      <c r="I4" s="234"/>
      <c r="J4" s="234"/>
      <c r="K4" s="36"/>
      <c r="L4" s="36"/>
      <c r="M4" s="36"/>
      <c r="N4" s="36"/>
      <c r="O4" s="36"/>
      <c r="P4" s="1445" t="s">
        <v>238</v>
      </c>
      <c r="Q4" s="1446"/>
      <c r="R4" s="36"/>
      <c r="S4" s="1453"/>
      <c r="T4" s="264"/>
      <c r="U4" s="1454" t="s">
        <v>239</v>
      </c>
      <c r="V4" s="1454"/>
      <c r="W4" s="1454"/>
      <c r="X4" s="36"/>
      <c r="Y4" s="36"/>
      <c r="Z4" s="36"/>
      <c r="AA4" s="36"/>
    </row>
    <row r="5" spans="1:27" ht="37.5" x14ac:dyDescent="0.25">
      <c r="A5" s="265" t="s">
        <v>182</v>
      </c>
      <c r="B5" s="237" t="s">
        <v>183</v>
      </c>
      <c r="C5" s="238" t="s">
        <v>184</v>
      </c>
      <c r="D5" s="36" t="s">
        <v>240</v>
      </c>
      <c r="E5" s="36" t="s">
        <v>241</v>
      </c>
      <c r="F5" s="36" t="s">
        <v>242</v>
      </c>
      <c r="G5" s="36" t="s">
        <v>243</v>
      </c>
      <c r="H5" s="36" t="s">
        <v>244</v>
      </c>
      <c r="I5" s="243" t="s">
        <v>245</v>
      </c>
      <c r="J5" s="243" t="s">
        <v>246</v>
      </c>
      <c r="K5" s="243" t="s">
        <v>247</v>
      </c>
      <c r="L5" s="243" t="s">
        <v>248</v>
      </c>
      <c r="M5" s="243" t="s">
        <v>249</v>
      </c>
      <c r="N5" s="243" t="s">
        <v>250</v>
      </c>
      <c r="O5" s="243" t="s">
        <v>251</v>
      </c>
      <c r="P5" s="266" t="s">
        <v>252</v>
      </c>
      <c r="Q5" s="320" t="s">
        <v>253</v>
      </c>
      <c r="R5" s="36"/>
      <c r="S5" s="36"/>
      <c r="T5" s="36"/>
      <c r="U5" s="36"/>
      <c r="V5" s="36"/>
      <c r="W5" s="36"/>
      <c r="X5" s="36"/>
      <c r="Y5" s="36"/>
      <c r="Z5" s="36"/>
      <c r="AA5" s="36"/>
    </row>
    <row r="6" spans="1:27" x14ac:dyDescent="0.25">
      <c r="A6" s="244">
        <v>9257010</v>
      </c>
      <c r="B6" s="237" t="s">
        <v>205</v>
      </c>
      <c r="C6" s="273">
        <v>4</v>
      </c>
      <c r="D6" s="268">
        <f>'Revised Band Returns'!F30</f>
        <v>0.40476190476190477</v>
      </c>
      <c r="E6" s="268">
        <f>'Revised Band Returns'!H30</f>
        <v>0.2857142857142857</v>
      </c>
      <c r="F6" s="268">
        <f>'Revised Band Returns'!J30</f>
        <v>0.11904761904761904</v>
      </c>
      <c r="G6" s="268">
        <f>'Revised Band Returns'!L30</f>
        <v>0.11904761904761904</v>
      </c>
      <c r="H6" s="268">
        <f>'Revised Band Returns'!N30</f>
        <v>7.1428571428571425E-2</v>
      </c>
      <c r="I6" s="269">
        <v>0</v>
      </c>
      <c r="J6" s="269">
        <v>39</v>
      </c>
      <c r="K6" s="269">
        <f>SUM(I6:J6)</f>
        <v>39</v>
      </c>
      <c r="L6" s="235">
        <f t="shared" ref="L6:L23" si="0">((((I6*D6)*$G$92)+((I6*E6)*$G$94)+((I6*F6)*$G$96)+((I6*G6)*$G$98)+((I6*H6)*$G$100)))*(5/12)</f>
        <v>0</v>
      </c>
      <c r="M6" s="235">
        <f>((((J6*D6)*$G$92)+((J6*E6)*$G$94)+((J6*F6)*$G$96)+((J6*G6)*$G$98)+((J6*H6)*$G$100))*(5/12))</f>
        <v>159296.75426002138</v>
      </c>
      <c r="N6" s="235">
        <f>((K6*H6)*$G$102)*(5/12)</f>
        <v>3058.5377284974647</v>
      </c>
      <c r="O6" s="235">
        <f>SUM(L6:N6)</f>
        <v>162355.29198851885</v>
      </c>
      <c r="P6" s="1026">
        <f>(K6*(5/12))*10000</f>
        <v>162500</v>
      </c>
      <c r="Q6" s="1026">
        <f>(VLOOKUP(A6,'2017-18 Funding Detail'!$A$4:$AK$23,37,FALSE)*5/12)*K6</f>
        <v>162763.45085846286</v>
      </c>
      <c r="R6" s="235"/>
      <c r="S6" s="235"/>
      <c r="T6" s="235"/>
      <c r="U6" s="295" t="s">
        <v>254</v>
      </c>
      <c r="V6" s="36"/>
      <c r="W6" s="36"/>
      <c r="X6" s="235"/>
      <c r="Y6" s="36"/>
      <c r="Z6" s="36"/>
      <c r="AA6" s="36"/>
    </row>
    <row r="7" spans="1:27" ht="12.75" customHeight="1" x14ac:dyDescent="0.25">
      <c r="A7" s="244">
        <v>9257005</v>
      </c>
      <c r="B7" s="237" t="s">
        <v>208</v>
      </c>
      <c r="C7" s="267">
        <v>4</v>
      </c>
      <c r="D7" s="268">
        <f>'Revised Band Returns'!F31</f>
        <v>0.13157894736842105</v>
      </c>
      <c r="E7" s="268">
        <f>'Revised Band Returns'!H31</f>
        <v>0.35526315789473684</v>
      </c>
      <c r="F7" s="268">
        <f>'Revised Band Returns'!J31</f>
        <v>0.17105263157894737</v>
      </c>
      <c r="G7" s="268">
        <f>'Revised Band Returns'!L31</f>
        <v>0.14473684210526316</v>
      </c>
      <c r="H7" s="268">
        <f>'Revised Band Returns'!N31</f>
        <v>0.19736842105263158</v>
      </c>
      <c r="I7" s="269">
        <v>0</v>
      </c>
      <c r="J7" s="269">
        <v>45</v>
      </c>
      <c r="K7" s="269">
        <f t="shared" ref="K7:K23" si="1">SUM(I7:J7)</f>
        <v>45</v>
      </c>
      <c r="L7" s="235">
        <f t="shared" si="0"/>
        <v>0</v>
      </c>
      <c r="M7" s="235">
        <f t="shared" ref="M7:M23" si="2">((((J7*D7)*$G$92)+((J7*E7)*$G$94)+((J7*F7)*$G$96)+((J7*G7)*$G$98)+((J7*H7)*$G$100))*(5/12))</f>
        <v>172829.35705892986</v>
      </c>
      <c r="N7" s="235">
        <f t="shared" ref="N7:N23" si="3">((K7*H7)*$G$102)*(5/12)</f>
        <v>9751.4107740556829</v>
      </c>
      <c r="O7" s="235">
        <f>SUM(L7:N7)</f>
        <v>182580.76783298556</v>
      </c>
      <c r="P7" s="1026">
        <f>(K7*(5/12))*10000</f>
        <v>187500</v>
      </c>
      <c r="Q7" s="1026">
        <f>(VLOOKUP(A7,'2017-18 Funding Detail'!$A$4:$AK$23,37,FALSE)*5/12)*K7</f>
        <v>121347.13991984416</v>
      </c>
      <c r="R7" s="235"/>
      <c r="S7" s="235"/>
      <c r="T7" s="297" t="s">
        <v>207</v>
      </c>
      <c r="U7" s="296" t="s">
        <v>255</v>
      </c>
      <c r="V7" s="36"/>
      <c r="W7" s="36"/>
      <c r="X7" s="235"/>
      <c r="Y7" s="234"/>
      <c r="Z7" s="36"/>
      <c r="AA7" s="36"/>
    </row>
    <row r="8" spans="1:27" ht="12.75" customHeight="1" x14ac:dyDescent="0.25">
      <c r="A8" s="244">
        <v>9257025</v>
      </c>
      <c r="B8" s="237" t="s">
        <v>209</v>
      </c>
      <c r="C8" s="271">
        <v>4</v>
      </c>
      <c r="D8" s="268">
        <f>'Revised Band Returns'!F32</f>
        <v>0.26415094339622641</v>
      </c>
      <c r="E8" s="268">
        <f>'Revised Band Returns'!H32</f>
        <v>0.41509433962264153</v>
      </c>
      <c r="F8" s="268">
        <f>'Revised Band Returns'!J32</f>
        <v>5.6603773584905662E-2</v>
      </c>
      <c r="G8" s="268">
        <f>'Revised Band Returns'!L32</f>
        <v>5.6603773584905662E-2</v>
      </c>
      <c r="H8" s="268">
        <f>'Revised Band Returns'!N32</f>
        <v>0.20754716981132076</v>
      </c>
      <c r="I8" s="269">
        <v>0</v>
      </c>
      <c r="J8" s="269">
        <v>49</v>
      </c>
      <c r="K8" s="269">
        <f t="shared" si="1"/>
        <v>49</v>
      </c>
      <c r="L8" s="235">
        <f t="shared" si="0"/>
        <v>0</v>
      </c>
      <c r="M8" s="235">
        <f t="shared" si="2"/>
        <v>195618.96882617046</v>
      </c>
      <c r="N8" s="235">
        <f t="shared" si="3"/>
        <v>11165.808272492439</v>
      </c>
      <c r="O8" s="235">
        <f t="shared" ref="O8:O23" si="4">SUM(L8:N8)</f>
        <v>206784.77709866289</v>
      </c>
      <c r="P8" s="1026">
        <f t="shared" ref="P8:P23" si="5">(K8*(5/12))*10000</f>
        <v>204166.66666666669</v>
      </c>
      <c r="Q8" s="1026">
        <f>(VLOOKUP(A8,'2017-18 Funding Detail'!$A$4:$AK$23,37,FALSE)*5/12)*K8</f>
        <v>166427.18010728981</v>
      </c>
      <c r="R8" s="235"/>
      <c r="S8" s="235"/>
      <c r="T8" s="297" t="s">
        <v>207</v>
      </c>
      <c r="U8" s="1447" t="s">
        <v>256</v>
      </c>
      <c r="V8" s="1447"/>
      <c r="W8" s="1447"/>
      <c r="X8" s="1447"/>
      <c r="Y8" s="1447"/>
      <c r="Z8" s="1447"/>
      <c r="AA8" s="1447"/>
    </row>
    <row r="9" spans="1:27" x14ac:dyDescent="0.25">
      <c r="A9" s="244">
        <v>9257011</v>
      </c>
      <c r="B9" s="237" t="s">
        <v>210</v>
      </c>
      <c r="C9" s="267">
        <v>4</v>
      </c>
      <c r="D9" s="268">
        <f>'Revised Band Returns'!F33</f>
        <v>0.4</v>
      </c>
      <c r="E9" s="268">
        <f>'Revised Band Returns'!H33</f>
        <v>0.42222222222222222</v>
      </c>
      <c r="F9" s="268">
        <f>'Revised Band Returns'!J33</f>
        <v>0</v>
      </c>
      <c r="G9" s="268">
        <f>'Revised Band Returns'!L33</f>
        <v>2.2222222222222223E-2</v>
      </c>
      <c r="H9" s="268">
        <f>'Revised Band Returns'!N33</f>
        <v>0.15555555555555556</v>
      </c>
      <c r="I9" s="269">
        <v>0</v>
      </c>
      <c r="J9" s="269">
        <v>47</v>
      </c>
      <c r="K9" s="269">
        <f t="shared" si="1"/>
        <v>47</v>
      </c>
      <c r="L9" s="235">
        <f t="shared" si="0"/>
        <v>0</v>
      </c>
      <c r="M9" s="235">
        <f t="shared" si="2"/>
        <v>193067.83313279488</v>
      </c>
      <c r="N9" s="235">
        <f t="shared" si="3"/>
        <v>8027.1366253329461</v>
      </c>
      <c r="O9" s="235">
        <f t="shared" si="4"/>
        <v>201094.96975812782</v>
      </c>
      <c r="P9" s="1026">
        <f t="shared" si="5"/>
        <v>195833.33333333334</v>
      </c>
      <c r="Q9" s="1026">
        <f>(VLOOKUP(A9,'2017-18 Funding Detail'!$A$4:$AK$23,37,FALSE)*5/12)*K9</f>
        <v>187827.85785788091</v>
      </c>
      <c r="R9" s="235"/>
      <c r="S9" s="235"/>
      <c r="T9" s="297"/>
      <c r="U9" s="1447"/>
      <c r="V9" s="1447"/>
      <c r="W9" s="1447"/>
      <c r="X9" s="1447"/>
      <c r="Y9" s="1447"/>
      <c r="Z9" s="1447"/>
      <c r="AA9" s="1447"/>
    </row>
    <row r="10" spans="1:27" x14ac:dyDescent="0.25">
      <c r="A10" s="244">
        <v>9257024</v>
      </c>
      <c r="B10" s="237" t="s">
        <v>211</v>
      </c>
      <c r="C10" s="267">
        <v>3</v>
      </c>
      <c r="D10" s="268">
        <f>'Revised Band Returns'!F34</f>
        <v>0.2</v>
      </c>
      <c r="E10" s="268">
        <f>'Revised Band Returns'!H34</f>
        <v>0.5636363636363636</v>
      </c>
      <c r="F10" s="268">
        <f>'Revised Band Returns'!J34</f>
        <v>1.8181818181818181E-2</v>
      </c>
      <c r="G10" s="268">
        <f>'Revised Band Returns'!L34</f>
        <v>0.16363636363636364</v>
      </c>
      <c r="H10" s="268">
        <f>'Revised Band Returns'!N34</f>
        <v>5.4545454545454543E-2</v>
      </c>
      <c r="I10" s="269">
        <v>0</v>
      </c>
      <c r="J10" s="269">
        <v>45</v>
      </c>
      <c r="K10" s="269">
        <f t="shared" si="1"/>
        <v>45</v>
      </c>
      <c r="L10" s="235">
        <f t="shared" si="0"/>
        <v>0</v>
      </c>
      <c r="M10" s="235">
        <f t="shared" si="2"/>
        <v>171482.24983746134</v>
      </c>
      <c r="N10" s="235">
        <f t="shared" si="3"/>
        <v>2694.9353411935704</v>
      </c>
      <c r="O10" s="235">
        <f t="shared" si="4"/>
        <v>174177.18517865491</v>
      </c>
      <c r="P10" s="1026">
        <f t="shared" si="5"/>
        <v>187500</v>
      </c>
      <c r="Q10" s="1026">
        <f>(VLOOKUP(A10,'2017-18 Funding Detail'!$A$4:$AK$23,37,FALSE)*5/12)*K10</f>
        <v>104277.79736338869</v>
      </c>
      <c r="R10" s="235"/>
      <c r="S10" s="235"/>
      <c r="T10" s="297"/>
      <c r="U10" s="1447"/>
      <c r="V10" s="1447"/>
      <c r="W10" s="1447"/>
      <c r="X10" s="1447"/>
      <c r="Y10" s="1447"/>
      <c r="Z10" s="1447"/>
      <c r="AA10" s="1447"/>
    </row>
    <row r="11" spans="1:27" ht="12.75" customHeight="1" x14ac:dyDescent="0.25">
      <c r="A11" s="244">
        <v>9257031</v>
      </c>
      <c r="B11" s="237" t="s">
        <v>257</v>
      </c>
      <c r="C11" s="267">
        <v>4</v>
      </c>
      <c r="D11" s="268">
        <f>'Revised Band Returns'!F35</f>
        <v>0</v>
      </c>
      <c r="E11" s="268">
        <f>'Revised Band Returns'!H35</f>
        <v>0</v>
      </c>
      <c r="F11" s="268">
        <f>'Revised Band Returns'!J35</f>
        <v>0</v>
      </c>
      <c r="G11" s="268">
        <f>'Revised Band Returns'!L35</f>
        <v>0</v>
      </c>
      <c r="H11" s="268">
        <f>'Revised Band Returns'!N35</f>
        <v>1</v>
      </c>
      <c r="I11" s="269">
        <v>0</v>
      </c>
      <c r="J11" s="269">
        <v>68</v>
      </c>
      <c r="K11" s="269">
        <f t="shared" si="1"/>
        <v>68</v>
      </c>
      <c r="L11" s="235">
        <f t="shared" si="0"/>
        <v>0</v>
      </c>
      <c r="M11" s="235">
        <f t="shared" si="2"/>
        <v>331273.91807940899</v>
      </c>
      <c r="N11" s="235">
        <f t="shared" si="3"/>
        <v>74659.69019306633</v>
      </c>
      <c r="O11" s="235">
        <f t="shared" si="4"/>
        <v>405933.60827247531</v>
      </c>
      <c r="P11" s="1026">
        <f t="shared" si="5"/>
        <v>283333.33333333337</v>
      </c>
      <c r="Q11" s="1026">
        <f>(VLOOKUP(A11,'2017-18 Funding Detail'!$A$4:$AK$23,37,FALSE)*5/12)*K11</f>
        <v>297258.57375973515</v>
      </c>
      <c r="R11" s="235"/>
      <c r="S11" s="235"/>
      <c r="T11" s="297"/>
      <c r="U11" s="1447" t="s">
        <v>258</v>
      </c>
      <c r="V11" s="1447"/>
      <c r="W11" s="1447"/>
      <c r="X11" s="1447"/>
      <c r="Y11" s="1447"/>
      <c r="Z11" s="1447"/>
      <c r="AA11" s="1447"/>
    </row>
    <row r="12" spans="1:27" x14ac:dyDescent="0.25">
      <c r="A12" s="244">
        <v>9257033</v>
      </c>
      <c r="B12" s="237" t="s">
        <v>220</v>
      </c>
      <c r="C12" s="267">
        <v>3</v>
      </c>
      <c r="D12" s="268">
        <f>'Revised Band Returns'!F36</f>
        <v>3.6363636363636362E-2</v>
      </c>
      <c r="E12" s="268">
        <f>'Revised Band Returns'!H36</f>
        <v>0.29090909090909089</v>
      </c>
      <c r="F12" s="268">
        <f>'Revised Band Returns'!J36</f>
        <v>0.27272727272727271</v>
      </c>
      <c r="G12" s="268">
        <f>'Revised Band Returns'!L36</f>
        <v>5.4545454545454543E-2</v>
      </c>
      <c r="H12" s="268">
        <f>'Revised Band Returns'!N36</f>
        <v>0.34545454545454546</v>
      </c>
      <c r="I12" s="269">
        <v>0</v>
      </c>
      <c r="J12" s="269">
        <v>57</v>
      </c>
      <c r="K12" s="269">
        <f t="shared" si="1"/>
        <v>57</v>
      </c>
      <c r="L12" s="235">
        <f t="shared" si="0"/>
        <v>0</v>
      </c>
      <c r="M12" s="235">
        <f t="shared" si="2"/>
        <v>212396.95552966642</v>
      </c>
      <c r="N12" s="235">
        <f t="shared" si="3"/>
        <v>21619.370181575086</v>
      </c>
      <c r="O12" s="235">
        <f t="shared" si="4"/>
        <v>234016.32571124152</v>
      </c>
      <c r="P12" s="1026">
        <f t="shared" si="5"/>
        <v>237500</v>
      </c>
      <c r="Q12" s="1026">
        <f>(VLOOKUP(A12,'2017-18 Funding Detail'!$A$4:$AK$23,37,FALSE)*5/12)*K12</f>
        <v>125687.10186143278</v>
      </c>
      <c r="R12" s="235"/>
      <c r="S12" s="235"/>
      <c r="T12" s="297"/>
      <c r="U12" s="1447"/>
      <c r="V12" s="1447"/>
      <c r="W12" s="1447"/>
      <c r="X12" s="1447"/>
      <c r="Y12" s="1447"/>
      <c r="Z12" s="1447"/>
      <c r="AA12" s="1447"/>
    </row>
    <row r="13" spans="1:27" x14ac:dyDescent="0.25">
      <c r="A13" s="244">
        <v>9257008</v>
      </c>
      <c r="B13" s="237" t="s">
        <v>212</v>
      </c>
      <c r="C13" s="271">
        <v>4</v>
      </c>
      <c r="D13" s="268">
        <f>'Revised Band Returns'!F37</f>
        <v>0</v>
      </c>
      <c r="E13" s="268">
        <f>'Revised Band Returns'!H37</f>
        <v>8.2352941176470587E-2</v>
      </c>
      <c r="F13" s="268">
        <f>'Revised Band Returns'!J37</f>
        <v>0.61176470588235299</v>
      </c>
      <c r="G13" s="268">
        <f>'Revised Band Returns'!L37</f>
        <v>2.3529411764705882E-2</v>
      </c>
      <c r="H13" s="268">
        <f>'Revised Band Returns'!N37</f>
        <v>0.28235294117647058</v>
      </c>
      <c r="I13" s="269">
        <v>0</v>
      </c>
      <c r="J13" s="269">
        <v>90</v>
      </c>
      <c r="K13" s="269">
        <f t="shared" si="1"/>
        <v>90</v>
      </c>
      <c r="L13" s="235">
        <f t="shared" si="0"/>
        <v>0</v>
      </c>
      <c r="M13" s="235">
        <f>((((J13*D13)*$G$92)+((J13*E13)*$G$94)+((J13*F13)*$G$96)+((J13*G13)*$G$98)+((J13*H13)*$G$100))*(5/12))</f>
        <v>300051.70758049889</v>
      </c>
      <c r="N13" s="235">
        <f t="shared" si="3"/>
        <v>27900.507061768727</v>
      </c>
      <c r="O13" s="235">
        <f t="shared" si="4"/>
        <v>327952.21464226762</v>
      </c>
      <c r="P13" s="1026">
        <f t="shared" si="5"/>
        <v>375000</v>
      </c>
      <c r="Q13" s="1026">
        <f>(VLOOKUP(A13,'2017-18 Funding Detail'!$A$4:$AK$23,37,FALSE)*5/12)*K13</f>
        <v>164161.03455877426</v>
      </c>
      <c r="R13" s="235"/>
      <c r="S13" s="235"/>
      <c r="T13" s="297"/>
      <c r="U13" s="1447"/>
      <c r="V13" s="1447"/>
      <c r="W13" s="1447"/>
      <c r="X13" s="1447"/>
      <c r="Y13" s="1447"/>
      <c r="Z13" s="1447"/>
      <c r="AA13" s="1447"/>
    </row>
    <row r="14" spans="1:27" x14ac:dyDescent="0.25">
      <c r="A14" s="244">
        <v>9257034</v>
      </c>
      <c r="B14" s="237" t="s">
        <v>221</v>
      </c>
      <c r="C14" s="267">
        <v>5</v>
      </c>
      <c r="D14" s="268">
        <f>'Revised Band Returns'!F38</f>
        <v>7.0866141732283464E-2</v>
      </c>
      <c r="E14" s="268">
        <f>'Revised Band Returns'!H38</f>
        <v>0.16535433070866143</v>
      </c>
      <c r="F14" s="268">
        <f>'Revised Band Returns'!J38</f>
        <v>0.51968503937007871</v>
      </c>
      <c r="G14" s="268">
        <f>'Revised Band Returns'!L38</f>
        <v>3.937007874015748E-2</v>
      </c>
      <c r="H14" s="268">
        <f>'Revised Band Returns'!N38</f>
        <v>0.20472440944881889</v>
      </c>
      <c r="I14" s="269">
        <v>0</v>
      </c>
      <c r="J14" s="269">
        <v>89</v>
      </c>
      <c r="K14" s="269">
        <f t="shared" si="1"/>
        <v>89</v>
      </c>
      <c r="L14" s="235">
        <f t="shared" si="0"/>
        <v>0</v>
      </c>
      <c r="M14" s="235">
        <f t="shared" si="2"/>
        <v>301957.50144890911</v>
      </c>
      <c r="N14" s="235">
        <f t="shared" si="3"/>
        <v>20004.923935474231</v>
      </c>
      <c r="O14" s="235">
        <f t="shared" si="4"/>
        <v>321962.42538438336</v>
      </c>
      <c r="P14" s="1026">
        <f t="shared" si="5"/>
        <v>370833.33333333337</v>
      </c>
      <c r="Q14" s="1026">
        <f>(VLOOKUP(A14,'2017-18 Funding Detail'!$A$4:$AK$23,37,FALSE)*5/12)*K14</f>
        <v>123882.47234349116</v>
      </c>
      <c r="R14" s="235"/>
      <c r="S14" s="235"/>
      <c r="T14" s="297"/>
      <c r="U14" s="1447"/>
      <c r="V14" s="1447"/>
      <c r="W14" s="1447"/>
      <c r="X14" s="1447"/>
      <c r="Y14" s="1447"/>
      <c r="Z14" s="1447"/>
      <c r="AA14" s="1447"/>
    </row>
    <row r="15" spans="1:27" x14ac:dyDescent="0.25">
      <c r="A15" s="244">
        <v>9257002</v>
      </c>
      <c r="B15" s="237" t="s">
        <v>213</v>
      </c>
      <c r="C15" s="267">
        <v>5</v>
      </c>
      <c r="D15" s="268">
        <f>'Revised Band Returns'!F39</f>
        <v>8.4033613445378148E-3</v>
      </c>
      <c r="E15" s="268">
        <f>'Revised Band Returns'!H39</f>
        <v>0.27731092436974791</v>
      </c>
      <c r="F15" s="268">
        <f>'Revised Band Returns'!J39</f>
        <v>0.59663865546218486</v>
      </c>
      <c r="G15" s="268">
        <f>'Revised Band Returns'!L39</f>
        <v>2.5210084033613446E-2</v>
      </c>
      <c r="H15" s="268">
        <f>'Revised Band Returns'!N39</f>
        <v>9.2436974789915971E-2</v>
      </c>
      <c r="I15" s="269">
        <v>0</v>
      </c>
      <c r="J15" s="269">
        <v>125</v>
      </c>
      <c r="K15" s="269">
        <f t="shared" si="1"/>
        <v>125</v>
      </c>
      <c r="L15" s="235">
        <f t="shared" si="0"/>
        <v>0</v>
      </c>
      <c r="M15" s="235">
        <f t="shared" si="2"/>
        <v>376943.02906798979</v>
      </c>
      <c r="N15" s="235">
        <f t="shared" si="3"/>
        <v>12686.242463601851</v>
      </c>
      <c r="O15" s="235">
        <f t="shared" si="4"/>
        <v>389629.27153159166</v>
      </c>
      <c r="P15" s="1026">
        <f t="shared" si="5"/>
        <v>520833.33333333337</v>
      </c>
      <c r="Q15" s="1026">
        <f>(VLOOKUP(A15,'2017-18 Funding Detail'!$A$4:$AK$23,37,FALSE)*5/12)*K15</f>
        <v>84745.351965175039</v>
      </c>
      <c r="R15" s="235"/>
      <c r="S15" s="235"/>
      <c r="T15" s="297"/>
      <c r="U15" s="1447"/>
      <c r="V15" s="1447"/>
      <c r="W15" s="1447"/>
      <c r="X15" s="1447"/>
      <c r="Y15" s="1447"/>
      <c r="Z15" s="1447"/>
      <c r="AA15" s="1447"/>
    </row>
    <row r="16" spans="1:27" x14ac:dyDescent="0.25">
      <c r="A16" s="244">
        <v>9257009</v>
      </c>
      <c r="B16" s="237" t="s">
        <v>214</v>
      </c>
      <c r="C16" s="267">
        <v>4</v>
      </c>
      <c r="D16" s="268">
        <f>'Revised Band Returns'!F40</f>
        <v>0</v>
      </c>
      <c r="E16" s="268">
        <f>'Revised Band Returns'!H40</f>
        <v>0.14615384615384616</v>
      </c>
      <c r="F16" s="268">
        <f>'Revised Band Returns'!J40</f>
        <v>0.7</v>
      </c>
      <c r="G16" s="268">
        <f>'Revised Band Returns'!L40</f>
        <v>1.5384615384615385E-2</v>
      </c>
      <c r="H16" s="268">
        <f>'Revised Band Returns'!N40</f>
        <v>0.13846153846153847</v>
      </c>
      <c r="I16" s="269">
        <v>0</v>
      </c>
      <c r="J16" s="269">
        <v>128</v>
      </c>
      <c r="K16" s="269">
        <f t="shared" si="1"/>
        <v>128</v>
      </c>
      <c r="L16" s="235">
        <f t="shared" si="0"/>
        <v>0</v>
      </c>
      <c r="M16" s="235">
        <f t="shared" si="2"/>
        <v>386326.99019738677</v>
      </c>
      <c r="N16" s="235">
        <f t="shared" si="3"/>
        <v>19458.815181541268</v>
      </c>
      <c r="O16" s="235">
        <f t="shared" si="4"/>
        <v>405785.80537892802</v>
      </c>
      <c r="P16" s="1026">
        <f t="shared" si="5"/>
        <v>533333.33333333337</v>
      </c>
      <c r="Q16" s="1026">
        <f>(VLOOKUP(A16,'2017-18 Funding Detail'!$A$4:$AK$23,37,FALSE)*5/12)*K16</f>
        <v>82760.594660838993</v>
      </c>
      <c r="R16" s="235"/>
      <c r="S16" s="235"/>
      <c r="T16" s="297"/>
      <c r="U16" s="1447"/>
      <c r="V16" s="1447"/>
      <c r="W16" s="1447"/>
      <c r="X16" s="1447"/>
      <c r="Y16" s="1447"/>
      <c r="Z16" s="1447"/>
      <c r="AA16" s="1447"/>
    </row>
    <row r="17" spans="1:24" x14ac:dyDescent="0.25">
      <c r="A17" s="244">
        <v>9257029</v>
      </c>
      <c r="B17" s="237" t="s">
        <v>259</v>
      </c>
      <c r="C17" s="271">
        <v>3</v>
      </c>
      <c r="D17" s="268">
        <f>'Revised Band Returns'!F41</f>
        <v>0</v>
      </c>
      <c r="E17" s="268">
        <f>'Revised Band Returns'!H41</f>
        <v>0</v>
      </c>
      <c r="F17" s="268">
        <f>'Revised Band Returns'!J41</f>
        <v>0</v>
      </c>
      <c r="G17" s="268">
        <f>'Revised Band Returns'!L41</f>
        <v>0</v>
      </c>
      <c r="H17" s="268">
        <f>'Revised Band Returns'!N41</f>
        <v>1</v>
      </c>
      <c r="I17" s="269">
        <v>0</v>
      </c>
      <c r="J17" s="269">
        <v>44</v>
      </c>
      <c r="K17" s="269">
        <f t="shared" si="1"/>
        <v>44</v>
      </c>
      <c r="L17" s="235">
        <f t="shared" si="0"/>
        <v>0</v>
      </c>
      <c r="M17" s="235">
        <f t="shared" si="2"/>
        <v>214353.7116984411</v>
      </c>
      <c r="N17" s="235">
        <f t="shared" si="3"/>
        <v>48309.211301395851</v>
      </c>
      <c r="O17" s="235">
        <f t="shared" si="4"/>
        <v>262662.92299983697</v>
      </c>
      <c r="P17" s="1026">
        <f t="shared" si="5"/>
        <v>183333.33333333334</v>
      </c>
      <c r="Q17" s="1026">
        <f>(VLOOKUP(A17,'2017-18 Funding Detail'!$A$4:$AK$23,37,FALSE)*5/12)*K17</f>
        <v>225229.08036485172</v>
      </c>
      <c r="R17" s="235"/>
      <c r="S17" s="235"/>
      <c r="T17" s="297" t="s">
        <v>207</v>
      </c>
      <c r="U17" s="296" t="s">
        <v>260</v>
      </c>
      <c r="V17" s="36"/>
      <c r="W17" s="36"/>
      <c r="X17" s="235"/>
    </row>
    <row r="18" spans="1:24" x14ac:dyDescent="0.25">
      <c r="A18" s="244">
        <v>9257032</v>
      </c>
      <c r="B18" s="237" t="s">
        <v>261</v>
      </c>
      <c r="C18" s="267">
        <v>4</v>
      </c>
      <c r="D18" s="268">
        <f>'Revised Band Returns'!F42</f>
        <v>0</v>
      </c>
      <c r="E18" s="268">
        <f>'Revised Band Returns'!H42</f>
        <v>0</v>
      </c>
      <c r="F18" s="268">
        <f>'Revised Band Returns'!J42</f>
        <v>0</v>
      </c>
      <c r="G18" s="268">
        <f>'Revised Band Returns'!L42</f>
        <v>0</v>
      </c>
      <c r="H18" s="268">
        <f>'Revised Band Returns'!N42</f>
        <v>1</v>
      </c>
      <c r="I18" s="269">
        <v>0</v>
      </c>
      <c r="J18" s="269">
        <v>60</v>
      </c>
      <c r="K18" s="269">
        <f t="shared" si="1"/>
        <v>60</v>
      </c>
      <c r="L18" s="235">
        <f t="shared" si="0"/>
        <v>0</v>
      </c>
      <c r="M18" s="235">
        <f t="shared" si="2"/>
        <v>292300.51595241966</v>
      </c>
      <c r="N18" s="235">
        <f t="shared" si="3"/>
        <v>65876.197229176163</v>
      </c>
      <c r="O18" s="235">
        <f t="shared" si="4"/>
        <v>358176.71318159584</v>
      </c>
      <c r="P18" s="1026">
        <f t="shared" si="5"/>
        <v>250000</v>
      </c>
      <c r="Q18" s="1026">
        <f>(VLOOKUP(A18,'2017-18 Funding Detail'!$A$4:$AK$23,37,FALSE)*5/12)*K18</f>
        <v>284712.89351965004</v>
      </c>
      <c r="R18" s="235"/>
      <c r="S18" s="235"/>
      <c r="T18" s="235"/>
      <c r="U18" s="36"/>
      <c r="V18" s="36"/>
      <c r="W18" s="36"/>
      <c r="X18" s="235"/>
    </row>
    <row r="19" spans="1:24" x14ac:dyDescent="0.25">
      <c r="A19" s="244">
        <v>9257030</v>
      </c>
      <c r="B19" s="237" t="s">
        <v>262</v>
      </c>
      <c r="C19" s="271">
        <v>4</v>
      </c>
      <c r="D19" s="268">
        <f>'Revised Band Returns'!F43</f>
        <v>0</v>
      </c>
      <c r="E19" s="268">
        <f>'Revised Band Returns'!H43</f>
        <v>0</v>
      </c>
      <c r="F19" s="268">
        <f>'Revised Band Returns'!J43</f>
        <v>0</v>
      </c>
      <c r="G19" s="268">
        <f>'Revised Band Returns'!L43</f>
        <v>0</v>
      </c>
      <c r="H19" s="268">
        <f>'Revised Band Returns'!N43</f>
        <v>1</v>
      </c>
      <c r="I19" s="269">
        <v>0</v>
      </c>
      <c r="J19" s="269">
        <v>65</v>
      </c>
      <c r="K19" s="269">
        <f t="shared" si="1"/>
        <v>65</v>
      </c>
      <c r="L19" s="235">
        <f t="shared" si="0"/>
        <v>0</v>
      </c>
      <c r="M19" s="235">
        <f t="shared" si="2"/>
        <v>316658.89228178799</v>
      </c>
      <c r="N19" s="235">
        <f t="shared" si="3"/>
        <v>71365.880331607506</v>
      </c>
      <c r="O19" s="235">
        <f t="shared" si="4"/>
        <v>388024.77261339547</v>
      </c>
      <c r="P19" s="1026">
        <f t="shared" si="5"/>
        <v>270833.33333333337</v>
      </c>
      <c r="Q19" s="1026">
        <f>(VLOOKUP(A19,'2017-18 Funding Detail'!$A$4:$AK$23,37,FALSE)*5/12)*K19</f>
        <v>290939.8448791306</v>
      </c>
      <c r="R19" s="235"/>
      <c r="S19" s="235"/>
      <c r="T19" s="235"/>
      <c r="U19" s="36"/>
      <c r="V19" s="36"/>
      <c r="W19" s="36"/>
      <c r="X19" s="235"/>
    </row>
    <row r="20" spans="1:24" x14ac:dyDescent="0.25">
      <c r="A20" s="244">
        <v>9257028</v>
      </c>
      <c r="B20" s="237" t="s">
        <v>215</v>
      </c>
      <c r="C20" s="267">
        <v>5</v>
      </c>
      <c r="D20" s="268">
        <f>'Revised Band Returns'!F44</f>
        <v>0.23943661971830985</v>
      </c>
      <c r="E20" s="268">
        <f>'Revised Band Returns'!H44</f>
        <v>0.3380281690140845</v>
      </c>
      <c r="F20" s="268">
        <f>'Revised Band Returns'!J44</f>
        <v>0</v>
      </c>
      <c r="G20" s="268">
        <f>'Revised Band Returns'!L44</f>
        <v>0.18309859154929578</v>
      </c>
      <c r="H20" s="268">
        <f>'Revised Band Returns'!N44</f>
        <v>0.23943661971830985</v>
      </c>
      <c r="I20" s="1170">
        <v>0</v>
      </c>
      <c r="J20" s="269">
        <v>53</v>
      </c>
      <c r="K20" s="269">
        <f t="shared" si="1"/>
        <v>53</v>
      </c>
      <c r="L20" s="1171">
        <f t="shared" si="0"/>
        <v>0</v>
      </c>
      <c r="M20" s="235">
        <f t="shared" si="2"/>
        <v>225787.58195988418</v>
      </c>
      <c r="N20" s="235">
        <f t="shared" si="3"/>
        <v>13932.970352931388</v>
      </c>
      <c r="O20" s="235">
        <f t="shared" si="4"/>
        <v>239720.55231281556</v>
      </c>
      <c r="P20" s="1026">
        <f t="shared" si="5"/>
        <v>220833.33333333334</v>
      </c>
      <c r="Q20" s="1026">
        <f>(VLOOKUP(A20,'2017-18 Funding Detail'!$A$4:$AK$23,37,FALSE)*5/12)*K20</f>
        <v>178815.692572225</v>
      </c>
      <c r="R20" s="235"/>
      <c r="S20" s="235"/>
      <c r="T20" s="235"/>
      <c r="U20" s="36"/>
      <c r="V20" s="36"/>
      <c r="W20" s="36"/>
      <c r="X20" s="235"/>
    </row>
    <row r="21" spans="1:24" x14ac:dyDescent="0.25">
      <c r="A21" s="244">
        <v>9257021</v>
      </c>
      <c r="B21" s="237" t="s">
        <v>216</v>
      </c>
      <c r="C21" s="271">
        <v>5</v>
      </c>
      <c r="D21" s="268">
        <f>'Revised Band Returns'!F45</f>
        <v>0</v>
      </c>
      <c r="E21" s="268">
        <f>'Revised Band Returns'!H45</f>
        <v>9.8591549295774641E-2</v>
      </c>
      <c r="F21" s="268">
        <f>'Revised Band Returns'!J45</f>
        <v>0.71830985915492962</v>
      </c>
      <c r="G21" s="268">
        <f>'Revised Band Returns'!L45</f>
        <v>4.2253521126760563E-2</v>
      </c>
      <c r="H21" s="268">
        <f>'Revised Band Returns'!N45</f>
        <v>0.14084507042253522</v>
      </c>
      <c r="I21" s="269">
        <v>0</v>
      </c>
      <c r="J21" s="269">
        <v>154</v>
      </c>
      <c r="K21" s="269">
        <f t="shared" si="1"/>
        <v>154</v>
      </c>
      <c r="L21" s="235">
        <f t="shared" si="0"/>
        <v>0</v>
      </c>
      <c r="M21" s="235">
        <f t="shared" si="2"/>
        <v>471649.59215605265</v>
      </c>
      <c r="N21" s="235">
        <f t="shared" si="3"/>
        <v>23814.399937307815</v>
      </c>
      <c r="O21" s="235">
        <f t="shared" si="4"/>
        <v>495463.99209336046</v>
      </c>
      <c r="P21" s="1026">
        <f t="shared" si="5"/>
        <v>641666.66666666674</v>
      </c>
      <c r="Q21" s="1026">
        <f>(VLOOKUP(A21,'2017-18 Funding Detail'!$A$4:$AK$23,37,FALSE)*5/12)*K21</f>
        <v>86968.116915426741</v>
      </c>
      <c r="R21" s="235"/>
      <c r="S21" s="235"/>
      <c r="T21" s="235"/>
      <c r="U21" s="36"/>
      <c r="V21" s="36"/>
      <c r="W21" s="36"/>
      <c r="X21" s="235"/>
    </row>
    <row r="22" spans="1:24" x14ac:dyDescent="0.25">
      <c r="A22" s="244">
        <v>9257015</v>
      </c>
      <c r="B22" s="237" t="s">
        <v>217</v>
      </c>
      <c r="C22" s="267">
        <v>6</v>
      </c>
      <c r="D22" s="268">
        <f>'Revised Band Returns'!F46</f>
        <v>6.0483870967741937E-2</v>
      </c>
      <c r="E22" s="268">
        <f>'Revised Band Returns'!H46</f>
        <v>0.22177419354838709</v>
      </c>
      <c r="F22" s="268">
        <f>'Revised Band Returns'!J46</f>
        <v>0.65322580645161288</v>
      </c>
      <c r="G22" s="268">
        <f>'Revised Band Returns'!L46</f>
        <v>0</v>
      </c>
      <c r="H22" s="268">
        <f>'Revised Band Returns'!N46</f>
        <v>6.4516129032258063E-2</v>
      </c>
      <c r="I22" s="269">
        <v>0</v>
      </c>
      <c r="J22" s="269">
        <v>263</v>
      </c>
      <c r="K22" s="269">
        <f>SUM(I22:J22)</f>
        <v>263</v>
      </c>
      <c r="L22" s="235">
        <f t="shared" si="0"/>
        <v>0</v>
      </c>
      <c r="M22" s="235">
        <f t="shared" si="2"/>
        <v>785727.4416472927</v>
      </c>
      <c r="N22" s="235">
        <f t="shared" si="3"/>
        <v>18629.505237928312</v>
      </c>
      <c r="O22" s="235">
        <f t="shared" si="4"/>
        <v>804356.94688522106</v>
      </c>
      <c r="P22" s="1026">
        <f t="shared" si="5"/>
        <v>1095833.3333333335</v>
      </c>
      <c r="Q22" s="1026">
        <f>(VLOOKUP(A22,'2017-18 Funding Detail'!$A$4:$AK$23,37,FALSE)*5/12)*K22</f>
        <v>0</v>
      </c>
      <c r="R22" s="235"/>
      <c r="S22" s="235"/>
      <c r="T22" s="235"/>
      <c r="U22" s="36"/>
      <c r="V22" s="36"/>
      <c r="W22" s="36"/>
      <c r="X22" s="235"/>
    </row>
    <row r="23" spans="1:24" x14ac:dyDescent="0.25">
      <c r="A23" s="244">
        <v>9257016</v>
      </c>
      <c r="B23" s="237" t="s">
        <v>219</v>
      </c>
      <c r="C23" s="267">
        <v>6</v>
      </c>
      <c r="D23" s="268">
        <f>'Revised Band Returns'!F47</f>
        <v>0.50370370370370365</v>
      </c>
      <c r="E23" s="268">
        <f>'Revised Band Returns'!H47</f>
        <v>0</v>
      </c>
      <c r="F23" s="268">
        <f>'Revised Band Returns'!J47</f>
        <v>0.28888888888888886</v>
      </c>
      <c r="G23" s="268">
        <f>'Revised Band Returns'!L47</f>
        <v>0.2074074074074074</v>
      </c>
      <c r="H23" s="268">
        <f>'Revised Band Returns'!N47</f>
        <v>0</v>
      </c>
      <c r="I23" s="269">
        <v>0</v>
      </c>
      <c r="J23" s="269">
        <v>97</v>
      </c>
      <c r="K23" s="269">
        <f t="shared" si="1"/>
        <v>97</v>
      </c>
      <c r="L23" s="235">
        <f t="shared" si="0"/>
        <v>0</v>
      </c>
      <c r="M23" s="235">
        <f t="shared" si="2"/>
        <v>408938.59857580025</v>
      </c>
      <c r="N23" s="235">
        <f t="shared" si="3"/>
        <v>0</v>
      </c>
      <c r="O23" s="235">
        <f t="shared" si="4"/>
        <v>408938.59857580025</v>
      </c>
      <c r="P23" s="1026">
        <f t="shared" si="5"/>
        <v>404166.66666666669</v>
      </c>
      <c r="Q23" s="1026">
        <f>(VLOOKUP(A23,'2017-18 Funding Detail'!$A$4:$AK$23,37,FALSE)*5/12)*K23</f>
        <v>243909.00614400953</v>
      </c>
      <c r="R23" s="299" t="s">
        <v>207</v>
      </c>
      <c r="S23" s="235"/>
      <c r="T23" s="235"/>
      <c r="U23" s="36"/>
      <c r="V23" s="36"/>
      <c r="W23" s="36"/>
      <c r="X23" s="235"/>
    </row>
    <row r="24" spans="1:24" x14ac:dyDescent="0.25">
      <c r="A24" s="249"/>
      <c r="B24" s="36"/>
      <c r="C24" s="234"/>
      <c r="D24" s="299"/>
      <c r="E24" s="268"/>
      <c r="F24" s="268"/>
      <c r="G24" s="268"/>
      <c r="H24" s="299" t="s">
        <v>207</v>
      </c>
      <c r="I24" s="269"/>
      <c r="J24" s="269"/>
      <c r="K24" s="299" t="s">
        <v>207</v>
      </c>
      <c r="L24" s="235"/>
      <c r="M24" s="235"/>
      <c r="N24" s="235"/>
      <c r="O24" s="299" t="s">
        <v>207</v>
      </c>
      <c r="P24" s="269"/>
      <c r="Q24" s="269"/>
      <c r="R24" s="36"/>
      <c r="S24" s="36"/>
      <c r="T24" s="36"/>
      <c r="U24" s="36"/>
      <c r="V24" s="36"/>
      <c r="W24" s="36"/>
      <c r="X24" s="36"/>
    </row>
    <row r="25" spans="1:24" ht="13" x14ac:dyDescent="0.3">
      <c r="A25" s="93" t="s">
        <v>263</v>
      </c>
      <c r="B25" s="36"/>
      <c r="C25" s="234"/>
      <c r="D25" s="268"/>
      <c r="E25" s="268"/>
      <c r="F25" s="268"/>
      <c r="G25" s="268"/>
      <c r="H25" s="268"/>
      <c r="I25" s="269"/>
      <c r="J25" s="269"/>
      <c r="K25" s="269"/>
      <c r="L25" s="235"/>
      <c r="M25" s="235"/>
      <c r="N25" s="235"/>
      <c r="O25" s="235"/>
      <c r="P25" s="269"/>
      <c r="Q25" s="269"/>
      <c r="R25" s="36"/>
      <c r="S25" s="36"/>
      <c r="T25" s="36"/>
      <c r="U25" s="36"/>
      <c r="V25" s="36"/>
      <c r="W25" s="36"/>
      <c r="X25" s="36"/>
    </row>
    <row r="26" spans="1:24" x14ac:dyDescent="0.25">
      <c r="A26" s="249"/>
      <c r="B26" s="36"/>
      <c r="C26" s="234"/>
      <c r="D26" s="268"/>
      <c r="E26" s="268"/>
      <c r="F26" s="268"/>
      <c r="G26" s="268"/>
      <c r="H26" s="268"/>
      <c r="I26" s="94" t="s">
        <v>709</v>
      </c>
      <c r="J26" s="269"/>
      <c r="K26" s="269"/>
      <c r="L26" s="235"/>
      <c r="M26" s="1445" t="s">
        <v>238</v>
      </c>
      <c r="N26" s="1446"/>
      <c r="O26" s="235"/>
      <c r="P26" s="269"/>
      <c r="Q26" s="269"/>
      <c r="R26" s="36"/>
      <c r="S26" s="36"/>
      <c r="T26" s="36"/>
      <c r="U26" s="36"/>
      <c r="V26" s="36"/>
      <c r="W26" s="36"/>
      <c r="X26" s="36"/>
    </row>
    <row r="27" spans="1:24" ht="37.5" x14ac:dyDescent="0.25">
      <c r="A27" s="265" t="s">
        <v>182</v>
      </c>
      <c r="B27" s="237" t="s">
        <v>183</v>
      </c>
      <c r="C27" s="238" t="s">
        <v>184</v>
      </c>
      <c r="D27" s="36" t="s">
        <v>240</v>
      </c>
      <c r="E27" s="36" t="s">
        <v>241</v>
      </c>
      <c r="F27" s="36" t="s">
        <v>242</v>
      </c>
      <c r="G27" s="36" t="s">
        <v>243</v>
      </c>
      <c r="H27" s="36" t="s">
        <v>244</v>
      </c>
      <c r="I27" s="243" t="s">
        <v>264</v>
      </c>
      <c r="J27" s="243" t="s">
        <v>265</v>
      </c>
      <c r="K27" s="243" t="s">
        <v>266</v>
      </c>
      <c r="L27" s="243" t="s">
        <v>265</v>
      </c>
      <c r="M27" s="276" t="s">
        <v>267</v>
      </c>
      <c r="N27" s="320" t="s">
        <v>268</v>
      </c>
      <c r="O27" s="243"/>
      <c r="P27" s="243"/>
      <c r="Q27" s="243"/>
      <c r="R27" s="36"/>
      <c r="S27" s="36"/>
      <c r="T27" s="36"/>
      <c r="U27" s="36"/>
      <c r="V27" s="36"/>
      <c r="W27" s="36"/>
      <c r="X27" s="36"/>
    </row>
    <row r="28" spans="1:24" x14ac:dyDescent="0.25">
      <c r="A28" s="244">
        <v>9257010</v>
      </c>
      <c r="B28" s="237" t="s">
        <v>205</v>
      </c>
      <c r="C28" s="273">
        <v>4</v>
      </c>
      <c r="D28" s="268">
        <f>'Revised Band Returns'!F30</f>
        <v>0.40476190476190477</v>
      </c>
      <c r="E28" s="268">
        <f>'Revised Band Returns'!H30</f>
        <v>0.2857142857142857</v>
      </c>
      <c r="F28" s="268">
        <f>'Revised Band Returns'!J30</f>
        <v>0.11904761904761904</v>
      </c>
      <c r="G28" s="268">
        <f>'Revised Band Returns'!L30</f>
        <v>0.11904761904761904</v>
      </c>
      <c r="H28" s="268">
        <f>'Revised Band Returns'!N30</f>
        <v>7.1428571428571425E-2</v>
      </c>
      <c r="I28" s="269">
        <v>10</v>
      </c>
      <c r="J28" s="235">
        <f t="shared" ref="J28:J45" si="6">((((I28*D28)*$G$92)+((I28*E28)*$G$94)+((I28*F28)*$G$96)+((I28*G28)*$G$98)+((I28*H28)*$G$100)))*(4/12)</f>
        <v>32676.257284106938</v>
      </c>
      <c r="K28" s="235">
        <f>((I28*H28)*$G$102)*(4/12)</f>
        <v>627.39235456358233</v>
      </c>
      <c r="L28" s="235">
        <f>SUM(J28:K28)</f>
        <v>33303.649638670518</v>
      </c>
      <c r="M28" s="1026">
        <f>(I28*(4/12))*10000</f>
        <v>33333.333333333328</v>
      </c>
      <c r="N28" s="1026">
        <f>(VLOOKUP(A28,'2017-18 Funding Detail'!$A$4:$AK$23,37,FALSE)*4/12)*I28</f>
        <v>33387.374535069306</v>
      </c>
      <c r="O28" s="235"/>
      <c r="P28" s="235"/>
      <c r="Q28" s="235"/>
      <c r="R28" s="235"/>
      <c r="S28" s="235"/>
      <c r="T28" s="297" t="s">
        <v>207</v>
      </c>
      <c r="U28" s="296" t="s">
        <v>269</v>
      </c>
      <c r="V28" s="36"/>
      <c r="W28" s="36"/>
      <c r="X28" s="36"/>
    </row>
    <row r="29" spans="1:24" x14ac:dyDescent="0.25">
      <c r="A29" s="244">
        <v>9257005</v>
      </c>
      <c r="B29" s="237" t="s">
        <v>208</v>
      </c>
      <c r="C29" s="267">
        <v>4</v>
      </c>
      <c r="D29" s="268">
        <f>'Revised Band Returns'!F31</f>
        <v>0.13157894736842105</v>
      </c>
      <c r="E29" s="268">
        <f>'Revised Band Returns'!H31</f>
        <v>0.35526315789473684</v>
      </c>
      <c r="F29" s="268">
        <f>'Revised Band Returns'!J31</f>
        <v>0.17105263157894737</v>
      </c>
      <c r="G29" s="268">
        <f>'Revised Band Returns'!L31</f>
        <v>0.14473684210526316</v>
      </c>
      <c r="H29" s="268">
        <f>'Revised Band Returns'!N31</f>
        <v>0.19736842105263158</v>
      </c>
      <c r="I29" s="269">
        <v>29</v>
      </c>
      <c r="J29" s="235">
        <f t="shared" si="6"/>
        <v>89103.135194826071</v>
      </c>
      <c r="K29" s="235">
        <f t="shared" ref="K29:K45" si="7">((I29*H29)*$G$102)*(4/12)</f>
        <v>5027.3939990687068</v>
      </c>
      <c r="L29" s="235">
        <f>SUM(J29:K29)</f>
        <v>94130.529193894778</v>
      </c>
      <c r="M29" s="1026">
        <f>(I29*(4/12))*10000</f>
        <v>96666.666666666657</v>
      </c>
      <c r="N29" s="1026">
        <f>(VLOOKUP(A29,'2017-18 Funding Detail'!$A$4:$AK$23,37,FALSE)*4/12)*I29</f>
        <v>62561.192136452984</v>
      </c>
      <c r="O29" s="235"/>
      <c r="P29" s="235"/>
      <c r="Q29" s="235"/>
      <c r="R29" s="235"/>
      <c r="S29" s="235"/>
      <c r="T29" s="235"/>
      <c r="U29" s="36"/>
      <c r="V29" s="36"/>
      <c r="W29" s="36"/>
      <c r="X29" s="36"/>
    </row>
    <row r="30" spans="1:24" x14ac:dyDescent="0.25">
      <c r="A30" s="244">
        <v>9257025</v>
      </c>
      <c r="B30" s="237" t="s">
        <v>209</v>
      </c>
      <c r="C30" s="271">
        <v>4</v>
      </c>
      <c r="D30" s="268">
        <f>'Revised Band Returns'!F32</f>
        <v>0.26415094339622641</v>
      </c>
      <c r="E30" s="268">
        <f>'Revised Band Returns'!H32</f>
        <v>0.41509433962264153</v>
      </c>
      <c r="F30" s="268">
        <f>'Revised Band Returns'!J32</f>
        <v>5.6603773584905662E-2</v>
      </c>
      <c r="G30" s="268">
        <f>'Revised Band Returns'!L32</f>
        <v>5.6603773584905662E-2</v>
      </c>
      <c r="H30" s="268">
        <f>'Revised Band Returns'!N32</f>
        <v>0.20754716981132076</v>
      </c>
      <c r="I30" s="269">
        <v>13</v>
      </c>
      <c r="J30" s="235">
        <f t="shared" si="6"/>
        <v>41519.128077391273</v>
      </c>
      <c r="K30" s="235">
        <f t="shared" si="7"/>
        <v>2369.8858374269662</v>
      </c>
      <c r="L30" s="235">
        <f t="shared" ref="L30:L45" si="8">SUM(J30:K30)</f>
        <v>43889.013914818242</v>
      </c>
      <c r="M30" s="1026">
        <f t="shared" ref="M30:M45" si="9">(I30*(4/12))*10000</f>
        <v>43333.333333333328</v>
      </c>
      <c r="N30" s="1026">
        <f>(VLOOKUP(A30,'2017-18 Funding Detail'!$A$4:$AK$23,37,FALSE)*4/12)*I30</f>
        <v>35323.31985950641</v>
      </c>
      <c r="O30" s="235"/>
      <c r="P30" s="235"/>
      <c r="Q30" s="235"/>
      <c r="R30" s="235"/>
      <c r="S30" s="235"/>
      <c r="T30" s="235"/>
      <c r="U30" s="36"/>
      <c r="V30" s="36"/>
      <c r="W30" s="36"/>
      <c r="X30" s="36"/>
    </row>
    <row r="31" spans="1:24" x14ac:dyDescent="0.25">
      <c r="A31" s="244">
        <v>9257011</v>
      </c>
      <c r="B31" s="237" t="s">
        <v>210</v>
      </c>
      <c r="C31" s="267">
        <v>4</v>
      </c>
      <c r="D31" s="268">
        <f>'Revised Band Returns'!F33</f>
        <v>0.4</v>
      </c>
      <c r="E31" s="268">
        <f>'Revised Band Returns'!H33</f>
        <v>0.42222222222222222</v>
      </c>
      <c r="F31" s="268">
        <f>'Revised Band Returns'!J33</f>
        <v>0</v>
      </c>
      <c r="G31" s="268">
        <f>'Revised Band Returns'!L33</f>
        <v>2.2222222222222223E-2</v>
      </c>
      <c r="H31" s="268">
        <f>'Revised Band Returns'!N33</f>
        <v>0.15555555555555556</v>
      </c>
      <c r="I31" s="269">
        <v>3</v>
      </c>
      <c r="J31" s="235">
        <f t="shared" si="6"/>
        <v>9858.7829684831449</v>
      </c>
      <c r="K31" s="235">
        <f t="shared" si="7"/>
        <v>409.8963383148739</v>
      </c>
      <c r="L31" s="235">
        <f t="shared" si="8"/>
        <v>10268.679306798018</v>
      </c>
      <c r="M31" s="1026">
        <f t="shared" si="9"/>
        <v>10000</v>
      </c>
      <c r="N31" s="1026">
        <f>(VLOOKUP(A31,'2017-18 Funding Detail'!$A$4:$AK$23,37,FALSE)*4/12)*I31</f>
        <v>9591.209762955621</v>
      </c>
      <c r="O31" s="235"/>
      <c r="P31" s="235"/>
      <c r="Q31" s="235"/>
      <c r="R31" s="235"/>
      <c r="S31" s="235"/>
      <c r="T31" s="235"/>
      <c r="U31" s="36"/>
      <c r="V31" s="36"/>
      <c r="W31" s="36"/>
      <c r="X31" s="36"/>
    </row>
    <row r="32" spans="1:24" x14ac:dyDescent="0.25">
      <c r="A32" s="244">
        <v>9257024</v>
      </c>
      <c r="B32" s="237" t="s">
        <v>211</v>
      </c>
      <c r="C32" s="267">
        <v>3</v>
      </c>
      <c r="D32" s="268">
        <f>'Revised Band Returns'!F34</f>
        <v>0.2</v>
      </c>
      <c r="E32" s="268">
        <f>'Revised Band Returns'!H34</f>
        <v>0.5636363636363636</v>
      </c>
      <c r="F32" s="268">
        <f>'Revised Band Returns'!J34</f>
        <v>1.8181818181818181E-2</v>
      </c>
      <c r="G32" s="268">
        <f>'Revised Band Returns'!L34</f>
        <v>0.16363636363636364</v>
      </c>
      <c r="H32" s="268">
        <f>'Revised Band Returns'!N34</f>
        <v>5.4545454545454543E-2</v>
      </c>
      <c r="I32" s="269">
        <v>13</v>
      </c>
      <c r="J32" s="235">
        <f t="shared" si="6"/>
        <v>39631.453295768835</v>
      </c>
      <c r="K32" s="235">
        <f t="shared" si="7"/>
        <v>622.82950107584725</v>
      </c>
      <c r="L32" s="235">
        <f t="shared" si="8"/>
        <v>40254.28279684468</v>
      </c>
      <c r="M32" s="1026">
        <f t="shared" si="9"/>
        <v>43333.333333333328</v>
      </c>
      <c r="N32" s="1026">
        <f>(VLOOKUP(A32,'2017-18 Funding Detail'!$A$4:$AK$23,37,FALSE)*4/12)*I32</f>
        <v>24099.75761287205</v>
      </c>
      <c r="O32" s="235"/>
      <c r="P32" s="235"/>
      <c r="Q32" s="235"/>
      <c r="R32" s="235"/>
      <c r="S32" s="235"/>
      <c r="T32" s="235"/>
      <c r="U32" s="36"/>
      <c r="V32" s="36"/>
      <c r="W32" s="36"/>
      <c r="X32" s="36"/>
    </row>
    <row r="33" spans="1:20" x14ac:dyDescent="0.25">
      <c r="A33" s="244">
        <v>9257031</v>
      </c>
      <c r="B33" s="237" t="s">
        <v>257</v>
      </c>
      <c r="C33" s="267">
        <v>4</v>
      </c>
      <c r="D33" s="268">
        <f>'Revised Band Returns'!F35</f>
        <v>0</v>
      </c>
      <c r="E33" s="268">
        <f>'Revised Band Returns'!H35</f>
        <v>0</v>
      </c>
      <c r="F33" s="268">
        <f>'Revised Band Returns'!J35</f>
        <v>0</v>
      </c>
      <c r="G33" s="268">
        <f>'Revised Band Returns'!L35</f>
        <v>0</v>
      </c>
      <c r="H33" s="268">
        <f>'Revised Band Returns'!N35</f>
        <v>1</v>
      </c>
      <c r="I33" s="269">
        <v>0</v>
      </c>
      <c r="J33" s="235">
        <f t="shared" si="6"/>
        <v>0</v>
      </c>
      <c r="K33" s="235">
        <f t="shared" si="7"/>
        <v>0</v>
      </c>
      <c r="L33" s="235">
        <f t="shared" si="8"/>
        <v>0</v>
      </c>
      <c r="M33" s="1026">
        <f t="shared" si="9"/>
        <v>0</v>
      </c>
      <c r="N33" s="1026">
        <f>(VLOOKUP(A33,'2017-18 Funding Detail'!$A$4:$AK$23,37,FALSE)*4/12)*I33</f>
        <v>0</v>
      </c>
      <c r="O33" s="235"/>
      <c r="P33" s="235"/>
      <c r="Q33" s="235"/>
      <c r="R33" s="235"/>
      <c r="S33" s="235"/>
      <c r="T33" s="235"/>
    </row>
    <row r="34" spans="1:20" x14ac:dyDescent="0.25">
      <c r="A34" s="244">
        <v>9257033</v>
      </c>
      <c r="B34" s="237" t="s">
        <v>220</v>
      </c>
      <c r="C34" s="267">
        <v>3</v>
      </c>
      <c r="D34" s="268">
        <f>'Revised Band Returns'!F36</f>
        <v>3.6363636363636362E-2</v>
      </c>
      <c r="E34" s="268">
        <f>'Revised Band Returns'!H36</f>
        <v>0.29090909090909089</v>
      </c>
      <c r="F34" s="268">
        <f>'Revised Band Returns'!J36</f>
        <v>0.27272727272727271</v>
      </c>
      <c r="G34" s="268">
        <f>'Revised Band Returns'!L36</f>
        <v>5.4545454545454543E-2</v>
      </c>
      <c r="H34" s="268">
        <f>'Revised Band Returns'!N36</f>
        <v>0.34545454545454546</v>
      </c>
      <c r="I34" s="269">
        <v>0</v>
      </c>
      <c r="J34" s="235">
        <f t="shared" si="6"/>
        <v>0</v>
      </c>
      <c r="K34" s="235">
        <f t="shared" si="7"/>
        <v>0</v>
      </c>
      <c r="L34" s="235">
        <f t="shared" si="8"/>
        <v>0</v>
      </c>
      <c r="M34" s="1026">
        <f t="shared" si="9"/>
        <v>0</v>
      </c>
      <c r="N34" s="1026">
        <f>(VLOOKUP(A34,'2017-18 Funding Detail'!$A$4:$AK$23,37,FALSE)*4/12)*I34</f>
        <v>0</v>
      </c>
      <c r="O34" s="235"/>
      <c r="P34" s="235"/>
      <c r="Q34" s="235"/>
      <c r="R34" s="235"/>
      <c r="S34" s="235"/>
      <c r="T34" s="235"/>
    </row>
    <row r="35" spans="1:20" x14ac:dyDescent="0.25">
      <c r="A35" s="244">
        <v>9257008</v>
      </c>
      <c r="B35" s="237" t="s">
        <v>212</v>
      </c>
      <c r="C35" s="271">
        <v>4</v>
      </c>
      <c r="D35" s="268">
        <f>'Revised Band Returns'!F37</f>
        <v>0</v>
      </c>
      <c r="E35" s="268">
        <f>'Revised Band Returns'!H37</f>
        <v>8.2352941176470587E-2</v>
      </c>
      <c r="F35" s="268">
        <f>'Revised Band Returns'!J37</f>
        <v>0.61176470588235299</v>
      </c>
      <c r="G35" s="268">
        <f>'Revised Band Returns'!L37</f>
        <v>2.3529411764705882E-2</v>
      </c>
      <c r="H35" s="268">
        <f>'Revised Band Returns'!N37</f>
        <v>0.28235294117647058</v>
      </c>
      <c r="I35" s="269">
        <v>0</v>
      </c>
      <c r="J35" s="235">
        <f t="shared" si="6"/>
        <v>0</v>
      </c>
      <c r="K35" s="235">
        <f t="shared" si="7"/>
        <v>0</v>
      </c>
      <c r="L35" s="235">
        <f t="shared" si="8"/>
        <v>0</v>
      </c>
      <c r="M35" s="1026">
        <f t="shared" si="9"/>
        <v>0</v>
      </c>
      <c r="N35" s="1026">
        <f>(VLOOKUP(A35,'2017-18 Funding Detail'!$A$4:$AK$23,37,FALSE)*4/12)*I35</f>
        <v>0</v>
      </c>
      <c r="O35" s="235"/>
      <c r="P35" s="235"/>
      <c r="Q35" s="235"/>
      <c r="R35" s="235"/>
      <c r="S35" s="235"/>
      <c r="T35" s="235"/>
    </row>
    <row r="36" spans="1:20" x14ac:dyDescent="0.25">
      <c r="A36" s="244">
        <v>9257034</v>
      </c>
      <c r="B36" s="237" t="s">
        <v>221</v>
      </c>
      <c r="C36" s="267">
        <v>5</v>
      </c>
      <c r="D36" s="268">
        <f>'Revised Band Returns'!F38</f>
        <v>7.0866141732283464E-2</v>
      </c>
      <c r="E36" s="268">
        <f>'Revised Band Returns'!H38</f>
        <v>0.16535433070866143</v>
      </c>
      <c r="F36" s="268">
        <f>'Revised Band Returns'!J38</f>
        <v>0.51968503937007871</v>
      </c>
      <c r="G36" s="268">
        <f>'Revised Band Returns'!L38</f>
        <v>3.937007874015748E-2</v>
      </c>
      <c r="H36" s="268">
        <f>'Revised Band Returns'!N38</f>
        <v>0.20472440944881889</v>
      </c>
      <c r="I36" s="269">
        <v>32</v>
      </c>
      <c r="J36" s="235">
        <f t="shared" si="6"/>
        <v>86855.19142800082</v>
      </c>
      <c r="K36" s="235">
        <f t="shared" si="7"/>
        <v>5754.2253117768569</v>
      </c>
      <c r="L36" s="235">
        <f t="shared" si="8"/>
        <v>92609.416739777676</v>
      </c>
      <c r="M36" s="1026">
        <f t="shared" si="9"/>
        <v>106666.66666666666</v>
      </c>
      <c r="N36" s="1026">
        <f>(VLOOKUP(A36,'2017-18 Funding Detail'!$A$4:$AK$23,37,FALSE)*4/12)*I36</f>
        <v>35633.610022397457</v>
      </c>
      <c r="O36" s="235"/>
      <c r="P36" s="235"/>
      <c r="Q36" s="235"/>
      <c r="R36" s="235"/>
      <c r="S36" s="235"/>
      <c r="T36" s="235"/>
    </row>
    <row r="37" spans="1:20" x14ac:dyDescent="0.25">
      <c r="A37" s="244">
        <v>9257002</v>
      </c>
      <c r="B37" s="237" t="s">
        <v>213</v>
      </c>
      <c r="C37" s="267">
        <v>5</v>
      </c>
      <c r="D37" s="268">
        <f>'Revised Band Returns'!F39</f>
        <v>8.4033613445378148E-3</v>
      </c>
      <c r="E37" s="268">
        <f>'Revised Band Returns'!H39</f>
        <v>0.27731092436974791</v>
      </c>
      <c r="F37" s="268">
        <f>'Revised Band Returns'!J39</f>
        <v>0.59663865546218486</v>
      </c>
      <c r="G37" s="268">
        <f>'Revised Band Returns'!L39</f>
        <v>2.5210084033613446E-2</v>
      </c>
      <c r="H37" s="268">
        <f>'Revised Band Returns'!N39</f>
        <v>9.2436974789915971E-2</v>
      </c>
      <c r="I37" s="269">
        <v>0</v>
      </c>
      <c r="J37" s="235">
        <f t="shared" si="6"/>
        <v>0</v>
      </c>
      <c r="K37" s="235">
        <f t="shared" si="7"/>
        <v>0</v>
      </c>
      <c r="L37" s="235">
        <f t="shared" si="8"/>
        <v>0</v>
      </c>
      <c r="M37" s="1026">
        <f t="shared" si="9"/>
        <v>0</v>
      </c>
      <c r="N37" s="1026">
        <f>(VLOOKUP(A37,'2017-18 Funding Detail'!$A$4:$AK$23,37,FALSE)*4/12)*I37</f>
        <v>0</v>
      </c>
      <c r="O37" s="235"/>
      <c r="P37" s="235"/>
      <c r="Q37" s="235"/>
      <c r="R37" s="235"/>
      <c r="S37" s="235"/>
      <c r="T37" s="235"/>
    </row>
    <row r="38" spans="1:20" x14ac:dyDescent="0.25">
      <c r="A38" s="244">
        <v>9257009</v>
      </c>
      <c r="B38" s="237" t="s">
        <v>214</v>
      </c>
      <c r="C38" s="267">
        <v>4</v>
      </c>
      <c r="D38" s="268">
        <f>'Revised Band Returns'!F40</f>
        <v>0</v>
      </c>
      <c r="E38" s="268">
        <f>'Revised Band Returns'!H40</f>
        <v>0.14615384615384616</v>
      </c>
      <c r="F38" s="268">
        <f>'Revised Band Returns'!J40</f>
        <v>0.7</v>
      </c>
      <c r="G38" s="268">
        <f>'Revised Band Returns'!L40</f>
        <v>1.5384615384615385E-2</v>
      </c>
      <c r="H38" s="268">
        <f>'Revised Band Returns'!N40</f>
        <v>0.13846153846153847</v>
      </c>
      <c r="I38" s="269">
        <v>0</v>
      </c>
      <c r="J38" s="235">
        <f t="shared" si="6"/>
        <v>0</v>
      </c>
      <c r="K38" s="235">
        <f t="shared" si="7"/>
        <v>0</v>
      </c>
      <c r="L38" s="235">
        <f t="shared" si="8"/>
        <v>0</v>
      </c>
      <c r="M38" s="1026">
        <f t="shared" si="9"/>
        <v>0</v>
      </c>
      <c r="N38" s="1026">
        <f>(VLOOKUP(A38,'2017-18 Funding Detail'!$A$4:$AK$23,37,FALSE)*4/12)*I38</f>
        <v>0</v>
      </c>
      <c r="O38" s="235"/>
      <c r="P38" s="235"/>
      <c r="Q38" s="235"/>
      <c r="R38" s="235"/>
      <c r="S38" s="235"/>
      <c r="T38" s="235"/>
    </row>
    <row r="39" spans="1:20" x14ac:dyDescent="0.25">
      <c r="A39" s="244">
        <v>9257029</v>
      </c>
      <c r="B39" s="237" t="s">
        <v>259</v>
      </c>
      <c r="C39" s="271">
        <v>3</v>
      </c>
      <c r="D39" s="268">
        <f>'Revised Band Returns'!F41</f>
        <v>0</v>
      </c>
      <c r="E39" s="268">
        <f>'Revised Band Returns'!H41</f>
        <v>0</v>
      </c>
      <c r="F39" s="268">
        <f>'Revised Band Returns'!J41</f>
        <v>0</v>
      </c>
      <c r="G39" s="268">
        <f>'Revised Band Returns'!L41</f>
        <v>0</v>
      </c>
      <c r="H39" s="268">
        <f>'Revised Band Returns'!N41</f>
        <v>1</v>
      </c>
      <c r="I39" s="269">
        <v>0</v>
      </c>
      <c r="J39" s="235">
        <f t="shared" si="6"/>
        <v>0</v>
      </c>
      <c r="K39" s="235">
        <f t="shared" si="7"/>
        <v>0</v>
      </c>
      <c r="L39" s="235">
        <f t="shared" si="8"/>
        <v>0</v>
      </c>
      <c r="M39" s="1026">
        <f t="shared" si="9"/>
        <v>0</v>
      </c>
      <c r="N39" s="1026">
        <f>(VLOOKUP(A39,'2017-18 Funding Detail'!$A$4:$AK$23,37,FALSE)*4/12)*I39</f>
        <v>0</v>
      </c>
      <c r="O39" s="235"/>
      <c r="P39" s="235"/>
      <c r="Q39" s="235"/>
      <c r="R39" s="235"/>
      <c r="S39" s="235"/>
      <c r="T39" s="235"/>
    </row>
    <row r="40" spans="1:20" x14ac:dyDescent="0.25">
      <c r="A40" s="244">
        <v>9257032</v>
      </c>
      <c r="B40" s="237" t="s">
        <v>261</v>
      </c>
      <c r="C40" s="267">
        <v>4</v>
      </c>
      <c r="D40" s="268">
        <f>'Revised Band Returns'!F42</f>
        <v>0</v>
      </c>
      <c r="E40" s="268">
        <f>'Revised Band Returns'!H42</f>
        <v>0</v>
      </c>
      <c r="F40" s="268">
        <f>'Revised Band Returns'!J42</f>
        <v>0</v>
      </c>
      <c r="G40" s="268">
        <f>'Revised Band Returns'!L42</f>
        <v>0</v>
      </c>
      <c r="H40" s="268">
        <f>'Revised Band Returns'!N42</f>
        <v>1</v>
      </c>
      <c r="I40" s="269">
        <v>0</v>
      </c>
      <c r="J40" s="235">
        <f t="shared" si="6"/>
        <v>0</v>
      </c>
      <c r="K40" s="235">
        <f t="shared" si="7"/>
        <v>0</v>
      </c>
      <c r="L40" s="235">
        <f t="shared" si="8"/>
        <v>0</v>
      </c>
      <c r="M40" s="1026">
        <f t="shared" si="9"/>
        <v>0</v>
      </c>
      <c r="N40" s="1026">
        <f>(VLOOKUP(A40,'2017-18 Funding Detail'!$A$4:$AK$23,37,FALSE)*4/12)*I40</f>
        <v>0</v>
      </c>
      <c r="O40" s="235"/>
      <c r="P40" s="235"/>
      <c r="Q40" s="235"/>
      <c r="R40" s="235"/>
      <c r="S40" s="235"/>
      <c r="T40" s="235"/>
    </row>
    <row r="41" spans="1:20" x14ac:dyDescent="0.25">
      <c r="A41" s="244">
        <v>9257030</v>
      </c>
      <c r="B41" s="237" t="s">
        <v>262</v>
      </c>
      <c r="C41" s="271">
        <v>4</v>
      </c>
      <c r="D41" s="268">
        <f>'Revised Band Returns'!F43</f>
        <v>0</v>
      </c>
      <c r="E41" s="268">
        <f>'Revised Band Returns'!H43</f>
        <v>0</v>
      </c>
      <c r="F41" s="268">
        <f>'Revised Band Returns'!J43</f>
        <v>0</v>
      </c>
      <c r="G41" s="268">
        <f>'Revised Band Returns'!L43</f>
        <v>0</v>
      </c>
      <c r="H41" s="268">
        <f>'Revised Band Returns'!N43</f>
        <v>1</v>
      </c>
      <c r="I41" s="269">
        <v>0</v>
      </c>
      <c r="J41" s="235">
        <f t="shared" si="6"/>
        <v>0</v>
      </c>
      <c r="K41" s="235">
        <f t="shared" si="7"/>
        <v>0</v>
      </c>
      <c r="L41" s="235">
        <f t="shared" si="8"/>
        <v>0</v>
      </c>
      <c r="M41" s="1026">
        <f t="shared" si="9"/>
        <v>0</v>
      </c>
      <c r="N41" s="1026">
        <f>(VLOOKUP(A41,'2017-18 Funding Detail'!$A$4:$AK$23,37,FALSE)*4/12)*I41</f>
        <v>0</v>
      </c>
      <c r="O41" s="235"/>
      <c r="P41" s="235"/>
      <c r="Q41" s="235"/>
      <c r="R41" s="235"/>
      <c r="S41" s="235"/>
      <c r="T41" s="235"/>
    </row>
    <row r="42" spans="1:20" x14ac:dyDescent="0.25">
      <c r="A42" s="244">
        <v>9257028</v>
      </c>
      <c r="B42" s="237" t="s">
        <v>215</v>
      </c>
      <c r="C42" s="267">
        <v>5</v>
      </c>
      <c r="D42" s="268">
        <f>'Revised Band Returns'!F44</f>
        <v>0.23943661971830985</v>
      </c>
      <c r="E42" s="268">
        <f>'Revised Band Returns'!H44</f>
        <v>0.3380281690140845</v>
      </c>
      <c r="F42" s="268">
        <f>'Revised Band Returns'!J44</f>
        <v>0</v>
      </c>
      <c r="G42" s="268">
        <f>'Revised Band Returns'!L44</f>
        <v>0.18309859154929578</v>
      </c>
      <c r="H42" s="268">
        <f>'Revised Band Returns'!N44</f>
        <v>0.23943661971830985</v>
      </c>
      <c r="I42" s="269">
        <v>16</v>
      </c>
      <c r="J42" s="235">
        <f t="shared" si="6"/>
        <v>54529.831114839952</v>
      </c>
      <c r="K42" s="235">
        <f t="shared" si="7"/>
        <v>3364.9437833494671</v>
      </c>
      <c r="L42" s="235">
        <f t="shared" si="8"/>
        <v>57894.774898189418</v>
      </c>
      <c r="M42" s="1026">
        <f t="shared" si="9"/>
        <v>53333.333333333328</v>
      </c>
      <c r="N42" s="1026">
        <f>(VLOOKUP(A42,'2017-18 Funding Detail'!$A$4:$AK$23,37,FALSE)*4/12)*I42</f>
        <v>43185.676696688301</v>
      </c>
      <c r="O42" s="235"/>
      <c r="P42" s="235"/>
      <c r="Q42" s="235"/>
      <c r="R42" s="235"/>
      <c r="S42" s="235"/>
      <c r="T42" s="235"/>
    </row>
    <row r="43" spans="1:20" x14ac:dyDescent="0.25">
      <c r="A43" s="244">
        <v>9257021</v>
      </c>
      <c r="B43" s="237" t="s">
        <v>216</v>
      </c>
      <c r="C43" s="271">
        <v>5</v>
      </c>
      <c r="D43" s="268">
        <f>'Revised Band Returns'!F45</f>
        <v>0</v>
      </c>
      <c r="E43" s="268">
        <f>'Revised Band Returns'!H45</f>
        <v>9.8591549295774641E-2</v>
      </c>
      <c r="F43" s="268">
        <f>'Revised Band Returns'!J45</f>
        <v>0.71830985915492962</v>
      </c>
      <c r="G43" s="268">
        <f>'Revised Band Returns'!L45</f>
        <v>4.2253521126760563E-2</v>
      </c>
      <c r="H43" s="268">
        <f>'Revised Band Returns'!N45</f>
        <v>0.14084507042253522</v>
      </c>
      <c r="I43" s="269">
        <v>0</v>
      </c>
      <c r="J43" s="235">
        <f t="shared" si="6"/>
        <v>0</v>
      </c>
      <c r="K43" s="235">
        <f t="shared" si="7"/>
        <v>0</v>
      </c>
      <c r="L43" s="235">
        <f t="shared" si="8"/>
        <v>0</v>
      </c>
      <c r="M43" s="1026">
        <f t="shared" si="9"/>
        <v>0</v>
      </c>
      <c r="N43" s="1026">
        <f>(VLOOKUP(A43,'2017-18 Funding Detail'!$A$4:$AK$23,37,FALSE)*4/12)*I43</f>
        <v>0</v>
      </c>
      <c r="O43" s="235"/>
      <c r="P43" s="235"/>
      <c r="Q43" s="235"/>
      <c r="R43" s="235"/>
      <c r="S43" s="235"/>
      <c r="T43" s="235"/>
    </row>
    <row r="44" spans="1:20" x14ac:dyDescent="0.25">
      <c r="A44" s="244">
        <v>9257015</v>
      </c>
      <c r="B44" s="237" t="s">
        <v>217</v>
      </c>
      <c r="C44" s="267">
        <v>6</v>
      </c>
      <c r="D44" s="268">
        <f>'Revised Band Returns'!F46</f>
        <v>6.0483870967741937E-2</v>
      </c>
      <c r="E44" s="268">
        <f>'Revised Band Returns'!H46</f>
        <v>0.22177419354838709</v>
      </c>
      <c r="F44" s="268">
        <f>'Revised Band Returns'!J46</f>
        <v>0.65322580645161288</v>
      </c>
      <c r="G44" s="268">
        <f>'Revised Band Returns'!L46</f>
        <v>0</v>
      </c>
      <c r="H44" s="268">
        <f>'Revised Band Returns'!N46</f>
        <v>6.4516129032258063E-2</v>
      </c>
      <c r="I44" s="269">
        <v>19</v>
      </c>
      <c r="J44" s="235">
        <f t="shared" si="6"/>
        <v>45410.863547676221</v>
      </c>
      <c r="K44" s="235">
        <f t="shared" si="7"/>
        <v>1076.6862342833092</v>
      </c>
      <c r="L44" s="235">
        <f t="shared" si="8"/>
        <v>46487.549781959533</v>
      </c>
      <c r="M44" s="1026">
        <f t="shared" si="9"/>
        <v>63333.333333333328</v>
      </c>
      <c r="N44" s="1026">
        <f>(VLOOKUP(A44,'2017-18 Funding Detail'!$A$4:$AK$23,37,FALSE)*4/12)*I44</f>
        <v>0</v>
      </c>
      <c r="O44" s="235"/>
      <c r="P44" s="235"/>
      <c r="Q44" s="235"/>
      <c r="R44" s="235"/>
      <c r="S44" s="235"/>
      <c r="T44" s="235"/>
    </row>
    <row r="45" spans="1:20" x14ac:dyDescent="0.25">
      <c r="A45" s="244">
        <v>9257016</v>
      </c>
      <c r="B45" s="237" t="s">
        <v>219</v>
      </c>
      <c r="C45" s="267">
        <v>6</v>
      </c>
      <c r="D45" s="268">
        <f>'Revised Band Returns'!F47</f>
        <v>0.50370370370370365</v>
      </c>
      <c r="E45" s="268">
        <f>'Revised Band Returns'!H47</f>
        <v>0</v>
      </c>
      <c r="F45" s="268">
        <f>'Revised Band Returns'!J47</f>
        <v>0.28888888888888886</v>
      </c>
      <c r="G45" s="268">
        <f>'Revised Band Returns'!L47</f>
        <v>0.2074074074074074</v>
      </c>
      <c r="H45" s="268">
        <f>'Revised Band Returns'!N47</f>
        <v>0</v>
      </c>
      <c r="I45" s="269">
        <v>54</v>
      </c>
      <c r="J45" s="235">
        <f t="shared" si="6"/>
        <v>182125.23153066565</v>
      </c>
      <c r="K45" s="235">
        <f t="shared" si="7"/>
        <v>0</v>
      </c>
      <c r="L45" s="235">
        <f t="shared" si="8"/>
        <v>182125.23153066565</v>
      </c>
      <c r="M45" s="1026">
        <f t="shared" si="9"/>
        <v>180000</v>
      </c>
      <c r="N45" s="1026">
        <f>(VLOOKUP(A45,'2017-18 Funding Detail'!$A$4:$AK$23,37,FALSE)*4/12)*I45</f>
        <v>108627.516138363</v>
      </c>
      <c r="O45" s="299" t="s">
        <v>207</v>
      </c>
      <c r="P45" s="235"/>
      <c r="Q45" s="235"/>
      <c r="R45" s="235"/>
      <c r="S45" s="235"/>
      <c r="T45" s="235"/>
    </row>
    <row r="46" spans="1:20" x14ac:dyDescent="0.25">
      <c r="A46" s="249"/>
      <c r="B46" s="36"/>
      <c r="C46" s="234"/>
      <c r="D46" s="268"/>
      <c r="E46" s="268"/>
      <c r="F46" s="268"/>
      <c r="G46" s="268"/>
      <c r="H46" s="299" t="s">
        <v>207</v>
      </c>
      <c r="I46" s="299" t="s">
        <v>207</v>
      </c>
      <c r="J46" s="269"/>
      <c r="K46" s="269"/>
      <c r="L46" s="299" t="s">
        <v>207</v>
      </c>
      <c r="M46" s="235"/>
      <c r="N46" s="235"/>
      <c r="O46" s="235"/>
      <c r="P46" s="269"/>
      <c r="Q46" s="269"/>
      <c r="R46" s="36"/>
      <c r="S46" s="36"/>
      <c r="T46" s="36"/>
    </row>
    <row r="47" spans="1:20" ht="13" x14ac:dyDescent="0.3">
      <c r="A47" s="93" t="s">
        <v>270</v>
      </c>
      <c r="B47" s="36"/>
      <c r="C47" s="36"/>
      <c r="D47" s="36"/>
      <c r="E47" s="36"/>
      <c r="F47" s="36"/>
      <c r="G47" s="36"/>
      <c r="H47" s="36"/>
      <c r="I47" s="234"/>
      <c r="J47" s="234"/>
      <c r="K47" s="36"/>
      <c r="L47" s="36"/>
      <c r="M47" s="36"/>
      <c r="N47" s="36"/>
      <c r="O47" s="36"/>
      <c r="P47" s="36"/>
      <c r="Q47" s="36"/>
      <c r="R47" s="36"/>
      <c r="S47" s="36"/>
      <c r="T47" s="36"/>
    </row>
    <row r="48" spans="1:20" x14ac:dyDescent="0.25">
      <c r="A48" s="36"/>
      <c r="B48" s="36"/>
      <c r="C48" s="36"/>
      <c r="D48" s="36"/>
      <c r="E48" s="36"/>
      <c r="F48" s="36"/>
      <c r="G48" s="36"/>
      <c r="H48" s="36"/>
      <c r="I48" s="94" t="s">
        <v>709</v>
      </c>
      <c r="J48" s="234"/>
      <c r="K48" s="36"/>
      <c r="L48" s="36"/>
      <c r="M48" s="36"/>
      <c r="N48" s="36"/>
      <c r="O48" s="36"/>
      <c r="P48" s="1445" t="s">
        <v>238</v>
      </c>
      <c r="Q48" s="1446"/>
      <c r="R48" s="36"/>
      <c r="S48" s="36"/>
      <c r="T48" s="36"/>
    </row>
    <row r="49" spans="1:21" ht="39.75" customHeight="1" x14ac:dyDescent="0.25">
      <c r="A49" s="265" t="s">
        <v>182</v>
      </c>
      <c r="B49" s="237" t="s">
        <v>183</v>
      </c>
      <c r="C49" s="238" t="s">
        <v>184</v>
      </c>
      <c r="D49" s="36" t="s">
        <v>240</v>
      </c>
      <c r="E49" s="36" t="s">
        <v>241</v>
      </c>
      <c r="F49" s="36" t="s">
        <v>242</v>
      </c>
      <c r="G49" s="36" t="s">
        <v>243</v>
      </c>
      <c r="H49" s="36" t="s">
        <v>244</v>
      </c>
      <c r="I49" s="243" t="s">
        <v>245</v>
      </c>
      <c r="J49" s="243" t="s">
        <v>246</v>
      </c>
      <c r="K49" s="243" t="s">
        <v>247</v>
      </c>
      <c r="L49" s="243" t="s">
        <v>271</v>
      </c>
      <c r="M49" s="243" t="s">
        <v>272</v>
      </c>
      <c r="N49" s="243" t="s">
        <v>273</v>
      </c>
      <c r="O49" s="243" t="s">
        <v>274</v>
      </c>
      <c r="P49" s="277" t="s">
        <v>275</v>
      </c>
      <c r="Q49" s="320" t="s">
        <v>276</v>
      </c>
      <c r="R49" s="36"/>
      <c r="S49" s="36"/>
      <c r="T49" s="36"/>
      <c r="U49" s="36"/>
    </row>
    <row r="50" spans="1:21" x14ac:dyDescent="0.25">
      <c r="A50" s="244">
        <v>9257010</v>
      </c>
      <c r="B50" s="237" t="s">
        <v>205</v>
      </c>
      <c r="C50" s="273">
        <v>4</v>
      </c>
      <c r="D50" s="268">
        <f>'Revised Band Returns'!F30</f>
        <v>0.40476190476190477</v>
      </c>
      <c r="E50" s="268">
        <f>'Revised Band Returns'!H30</f>
        <v>0.2857142857142857</v>
      </c>
      <c r="F50" s="268">
        <f>'Revised Band Returns'!J30</f>
        <v>0.11904761904761904</v>
      </c>
      <c r="G50" s="268">
        <f>'Revised Band Returns'!L30</f>
        <v>0.11904761904761904</v>
      </c>
      <c r="H50" s="268">
        <f>'Revised Band Returns'!N30</f>
        <v>7.1428571428571425E-2</v>
      </c>
      <c r="I50" s="269">
        <v>0</v>
      </c>
      <c r="J50" s="233">
        <v>47</v>
      </c>
      <c r="K50" s="269">
        <f>SUM(I50:J50)</f>
        <v>47</v>
      </c>
      <c r="L50" s="235">
        <f t="shared" ref="L50:L67" si="10">((((I50*D50)*$G$92)+((I50*E50)*$G$94)+((I50*F50)*$G$96)+((I50*G50)*$G$98)+((I50*H50)*$G$100)))*(7/12)</f>
        <v>0</v>
      </c>
      <c r="M50" s="235">
        <f t="shared" ref="M50:M67" si="11">((((J50*D50)*$G$92)+((J50*E50)*$G$94)+((J50*F50)*$G$96)+((J50*G50)*$G$98)+((J50*H50)*$G$100)))*(7/12)</f>
        <v>268762.21616177959</v>
      </c>
      <c r="N50" s="235">
        <f>((H50*K50)*$G$102)*(7/12)</f>
        <v>5160.3021162854657</v>
      </c>
      <c r="O50" s="235">
        <f t="shared" ref="O50:O67" si="12">((((K50*D50)*$G$92)+((K50*E50)*$G$94)+((K50*F50)*$G$96)+((K50*G50)*$G$98)+((K50*H50)*$G$100)+((K50*H50)*$G$102)))*(7/12)</f>
        <v>273922.51827806508</v>
      </c>
      <c r="P50" s="1026">
        <f>(K50*(7/12))*10000</f>
        <v>274166.66666666669</v>
      </c>
      <c r="Q50" s="1026">
        <f>(VLOOKUP(A50,'2017-18 Funding Detail'!$A$4:$AK$23,37,FALSE)*7/12)*K50</f>
        <v>274611.15555094508</v>
      </c>
      <c r="R50" s="235"/>
      <c r="S50" s="235"/>
      <c r="T50" s="297" t="s">
        <v>207</v>
      </c>
      <c r="U50" s="296" t="s">
        <v>277</v>
      </c>
    </row>
    <row r="51" spans="1:21" x14ac:dyDescent="0.25">
      <c r="A51" s="244">
        <v>9257005</v>
      </c>
      <c r="B51" s="237" t="s">
        <v>208</v>
      </c>
      <c r="C51" s="267">
        <v>4</v>
      </c>
      <c r="D51" s="268">
        <f>'Revised Band Returns'!F31</f>
        <v>0.13157894736842105</v>
      </c>
      <c r="E51" s="268">
        <f>'Revised Band Returns'!H31</f>
        <v>0.35526315789473684</v>
      </c>
      <c r="F51" s="268">
        <f>'Revised Band Returns'!J31</f>
        <v>0.17105263157894737</v>
      </c>
      <c r="G51" s="268">
        <f>'Revised Band Returns'!L31</f>
        <v>0.14473684210526316</v>
      </c>
      <c r="H51" s="268">
        <f>'Revised Band Returns'!N31</f>
        <v>0.19736842105263158</v>
      </c>
      <c r="I51" s="269">
        <v>0</v>
      </c>
      <c r="J51" s="233">
        <v>45</v>
      </c>
      <c r="K51" s="269">
        <f t="shared" ref="K51:K67" si="13">SUM(I51:J51)</f>
        <v>45</v>
      </c>
      <c r="L51" s="235">
        <f t="shared" si="10"/>
        <v>0</v>
      </c>
      <c r="M51" s="235">
        <f t="shared" si="11"/>
        <v>241961.09988250182</v>
      </c>
      <c r="N51" s="235">
        <f t="shared" ref="N51:N67" si="14">((H51*K51)*$G$102)*(7/12)</f>
        <v>13651.975083677955</v>
      </c>
      <c r="O51" s="235">
        <f t="shared" si="12"/>
        <v>255613.07496617976</v>
      </c>
      <c r="P51" s="1026">
        <f t="shared" ref="P51:P67" si="15">(K51*(7/12))*10000</f>
        <v>262500</v>
      </c>
      <c r="Q51" s="1026">
        <f>(VLOOKUP(A51,'2017-18 Funding Detail'!$A$4:$AK$23,37,FALSE)*7/12)*K51</f>
        <v>169885.99588778184</v>
      </c>
      <c r="R51" s="235"/>
      <c r="S51" s="235"/>
      <c r="T51" s="235"/>
      <c r="U51" s="36"/>
    </row>
    <row r="52" spans="1:21" x14ac:dyDescent="0.25">
      <c r="A52" s="244">
        <v>9257025</v>
      </c>
      <c r="B52" s="237" t="s">
        <v>209</v>
      </c>
      <c r="C52" s="271">
        <v>4</v>
      </c>
      <c r="D52" s="268">
        <f>'Revised Band Returns'!F32</f>
        <v>0.26415094339622641</v>
      </c>
      <c r="E52" s="268">
        <f>'Revised Band Returns'!H32</f>
        <v>0.41509433962264153</v>
      </c>
      <c r="F52" s="268">
        <f>'Revised Band Returns'!J32</f>
        <v>5.6603773584905662E-2</v>
      </c>
      <c r="G52" s="268">
        <f>'Revised Band Returns'!L32</f>
        <v>5.6603773584905662E-2</v>
      </c>
      <c r="H52" s="268">
        <f>'Revised Band Returns'!N32</f>
        <v>0.20754716981132076</v>
      </c>
      <c r="I52" s="269">
        <v>0</v>
      </c>
      <c r="J52" s="233">
        <v>47</v>
      </c>
      <c r="K52" s="269">
        <f t="shared" si="13"/>
        <v>47</v>
      </c>
      <c r="L52" s="235">
        <f t="shared" si="10"/>
        <v>0</v>
      </c>
      <c r="M52" s="235">
        <f t="shared" si="11"/>
        <v>262688.32956657175</v>
      </c>
      <c r="N52" s="235">
        <f t="shared" si="14"/>
        <v>14994.085394489844</v>
      </c>
      <c r="O52" s="235">
        <f t="shared" si="12"/>
        <v>277682.41496106162</v>
      </c>
      <c r="P52" s="1026">
        <f t="shared" si="15"/>
        <v>274166.66666666669</v>
      </c>
      <c r="Q52" s="1026">
        <f>(VLOOKUP(A52,'2017-18 Funding Detail'!$A$4:$AK$23,37,FALSE)*7/12)*K52</f>
        <v>223487.92757264632</v>
      </c>
      <c r="R52" s="235"/>
      <c r="S52" s="235"/>
      <c r="T52" s="235"/>
      <c r="U52" s="36"/>
    </row>
    <row r="53" spans="1:21" x14ac:dyDescent="0.25">
      <c r="A53" s="244">
        <v>9257011</v>
      </c>
      <c r="B53" s="237" t="s">
        <v>210</v>
      </c>
      <c r="C53" s="267">
        <v>4</v>
      </c>
      <c r="D53" s="268">
        <f>'Revised Band Returns'!F33</f>
        <v>0.4</v>
      </c>
      <c r="E53" s="268">
        <f>'Revised Band Returns'!H33</f>
        <v>0.42222222222222222</v>
      </c>
      <c r="F53" s="268">
        <f>'Revised Band Returns'!J33</f>
        <v>0</v>
      </c>
      <c r="G53" s="268">
        <f>'Revised Band Returns'!L33</f>
        <v>2.2222222222222223E-2</v>
      </c>
      <c r="H53" s="268">
        <f>'Revised Band Returns'!N33</f>
        <v>0.15555555555555556</v>
      </c>
      <c r="I53" s="269">
        <v>0</v>
      </c>
      <c r="J53" s="233">
        <v>41</v>
      </c>
      <c r="K53" s="269">
        <f t="shared" si="13"/>
        <v>41</v>
      </c>
      <c r="L53" s="235">
        <f t="shared" si="10"/>
        <v>0</v>
      </c>
      <c r="M53" s="235">
        <f t="shared" si="11"/>
        <v>235789.22599622188</v>
      </c>
      <c r="N53" s="235">
        <f t="shared" si="14"/>
        <v>9803.3540913640682</v>
      </c>
      <c r="O53" s="235">
        <f t="shared" si="12"/>
        <v>245592.58008758596</v>
      </c>
      <c r="P53" s="1026">
        <f t="shared" si="15"/>
        <v>239166.66666666669</v>
      </c>
      <c r="Q53" s="1026">
        <f>(VLOOKUP(A53,'2017-18 Funding Detail'!$A$4:$AK$23,37,FALSE)*7/12)*K53</f>
        <v>229389.7668306886</v>
      </c>
      <c r="R53" s="235"/>
      <c r="S53" s="235"/>
      <c r="T53" s="235"/>
      <c r="U53" s="36"/>
    </row>
    <row r="54" spans="1:21" x14ac:dyDescent="0.25">
      <c r="A54" s="244">
        <v>9257024</v>
      </c>
      <c r="B54" s="237" t="s">
        <v>211</v>
      </c>
      <c r="C54" s="267">
        <v>3</v>
      </c>
      <c r="D54" s="268">
        <f>'Revised Band Returns'!F34</f>
        <v>0.2</v>
      </c>
      <c r="E54" s="268">
        <f>'Revised Band Returns'!H34</f>
        <v>0.5636363636363636</v>
      </c>
      <c r="F54" s="268">
        <f>'Revised Band Returns'!J34</f>
        <v>1.8181818181818181E-2</v>
      </c>
      <c r="G54" s="268">
        <f>'Revised Band Returns'!L34</f>
        <v>0.16363636363636364</v>
      </c>
      <c r="H54" s="268">
        <f>'Revised Band Returns'!N34</f>
        <v>5.4545454545454543E-2</v>
      </c>
      <c r="I54" s="269">
        <v>0</v>
      </c>
      <c r="J54" s="233">
        <v>58</v>
      </c>
      <c r="K54" s="269">
        <f t="shared" si="13"/>
        <v>58</v>
      </c>
      <c r="L54" s="235">
        <f t="shared" si="10"/>
        <v>0</v>
      </c>
      <c r="M54" s="235">
        <f t="shared" si="11"/>
        <v>309430.19304004131</v>
      </c>
      <c r="N54" s="235">
        <f t="shared" si="14"/>
        <v>4862.8611045537318</v>
      </c>
      <c r="O54" s="235">
        <f t="shared" si="12"/>
        <v>314293.05414459505</v>
      </c>
      <c r="P54" s="1026">
        <f t="shared" si="15"/>
        <v>338333.33333333337</v>
      </c>
      <c r="Q54" s="1026">
        <f>(VLOOKUP(A54,'2017-18 Funding Detail'!$A$4:$AK$23,37,FALSE)*7/12)*K54</f>
        <v>188163.49213127024</v>
      </c>
      <c r="R54" s="235"/>
      <c r="S54" s="235"/>
      <c r="T54" s="235"/>
      <c r="U54" s="36"/>
    </row>
    <row r="55" spans="1:21" x14ac:dyDescent="0.25">
      <c r="A55" s="244">
        <v>9257031</v>
      </c>
      <c r="B55" s="237" t="s">
        <v>257</v>
      </c>
      <c r="C55" s="267">
        <v>4</v>
      </c>
      <c r="D55" s="268">
        <f>'Revised Band Returns'!F35</f>
        <v>0</v>
      </c>
      <c r="E55" s="268">
        <f>'Revised Band Returns'!H35</f>
        <v>0</v>
      </c>
      <c r="F55" s="268">
        <f>'Revised Band Returns'!J35</f>
        <v>0</v>
      </c>
      <c r="G55" s="268">
        <f>'Revised Band Returns'!L35</f>
        <v>0</v>
      </c>
      <c r="H55" s="268">
        <f>'Revised Band Returns'!N35</f>
        <v>1</v>
      </c>
      <c r="I55" s="269">
        <v>0</v>
      </c>
      <c r="J55" s="233">
        <v>70</v>
      </c>
      <c r="K55" s="269">
        <f t="shared" si="13"/>
        <v>70</v>
      </c>
      <c r="L55" s="235">
        <f t="shared" si="10"/>
        <v>0</v>
      </c>
      <c r="M55" s="235">
        <f t="shared" si="11"/>
        <v>477424.17605561879</v>
      </c>
      <c r="N55" s="235">
        <f t="shared" si="14"/>
        <v>107597.78880765439</v>
      </c>
      <c r="O55" s="235">
        <f t="shared" si="12"/>
        <v>585021.9648632732</v>
      </c>
      <c r="P55" s="1026">
        <f t="shared" si="15"/>
        <v>408333.33333333337</v>
      </c>
      <c r="Q55" s="1026">
        <f>(VLOOKUP(A55,'2017-18 Funding Detail'!$A$4:$AK$23,37,FALSE)*7/12)*K55</f>
        <v>428402.06218314765</v>
      </c>
      <c r="R55" s="235"/>
      <c r="S55" s="235"/>
      <c r="T55" s="235"/>
      <c r="U55" s="36"/>
    </row>
    <row r="56" spans="1:21" x14ac:dyDescent="0.25">
      <c r="A56" s="244">
        <v>9257033</v>
      </c>
      <c r="B56" s="237" t="s">
        <v>220</v>
      </c>
      <c r="C56" s="267">
        <v>3</v>
      </c>
      <c r="D56" s="268">
        <f>'Revised Band Returns'!F36</f>
        <v>3.6363636363636362E-2</v>
      </c>
      <c r="E56" s="268">
        <f>'Revised Band Returns'!H36</f>
        <v>0.29090909090909089</v>
      </c>
      <c r="F56" s="268">
        <f>'Revised Band Returns'!J36</f>
        <v>0.27272727272727271</v>
      </c>
      <c r="G56" s="268">
        <f>'Revised Band Returns'!L36</f>
        <v>5.4545454545454543E-2</v>
      </c>
      <c r="H56" s="268">
        <f>'Revised Band Returns'!N36</f>
        <v>0.34545454545454546</v>
      </c>
      <c r="I56" s="269">
        <v>0</v>
      </c>
      <c r="J56" s="233">
        <v>85</v>
      </c>
      <c r="K56" s="269">
        <f t="shared" si="13"/>
        <v>85</v>
      </c>
      <c r="L56" s="235">
        <f t="shared" si="10"/>
        <v>0</v>
      </c>
      <c r="M56" s="235">
        <f t="shared" si="11"/>
        <v>443425.22294790001</v>
      </c>
      <c r="N56" s="235">
        <f t="shared" si="14"/>
        <v>45135.17634399009</v>
      </c>
      <c r="O56" s="235">
        <f t="shared" si="12"/>
        <v>488560.39929189009</v>
      </c>
      <c r="P56" s="1026">
        <f t="shared" si="15"/>
        <v>495833.33333333337</v>
      </c>
      <c r="Q56" s="1026">
        <f>(VLOOKUP(A56,'2017-18 Funding Detail'!$A$4:$AK$23,37,FALSE)*7/12)*K56</f>
        <v>262399.38809667545</v>
      </c>
      <c r="R56" s="235"/>
      <c r="S56" s="235"/>
      <c r="T56" s="235"/>
      <c r="U56" s="36"/>
    </row>
    <row r="57" spans="1:21" x14ac:dyDescent="0.25">
      <c r="A57" s="244">
        <v>9257008</v>
      </c>
      <c r="B57" s="237" t="s">
        <v>212</v>
      </c>
      <c r="C57" s="271">
        <v>4</v>
      </c>
      <c r="D57" s="268">
        <f>'Revised Band Returns'!F37</f>
        <v>0</v>
      </c>
      <c r="E57" s="268">
        <f>'Revised Band Returns'!H37</f>
        <v>8.2352941176470587E-2</v>
      </c>
      <c r="F57" s="268">
        <f>'Revised Band Returns'!J37</f>
        <v>0.61176470588235299</v>
      </c>
      <c r="G57" s="268">
        <f>'Revised Band Returns'!L37</f>
        <v>2.3529411764705882E-2</v>
      </c>
      <c r="H57" s="268">
        <f>'Revised Band Returns'!N37</f>
        <v>0.28235294117647058</v>
      </c>
      <c r="I57" s="269">
        <v>0</v>
      </c>
      <c r="J57" s="233">
        <v>90</v>
      </c>
      <c r="K57" s="269">
        <f t="shared" si="13"/>
        <v>90</v>
      </c>
      <c r="L57" s="235">
        <f t="shared" si="10"/>
        <v>0</v>
      </c>
      <c r="M57" s="235">
        <f t="shared" si="11"/>
        <v>420072.39061269845</v>
      </c>
      <c r="N57" s="235">
        <f t="shared" si="14"/>
        <v>39060.709886476216</v>
      </c>
      <c r="O57" s="235">
        <f t="shared" si="12"/>
        <v>459133.10049917467</v>
      </c>
      <c r="P57" s="1026">
        <f t="shared" si="15"/>
        <v>525000</v>
      </c>
      <c r="Q57" s="1026">
        <f>(VLOOKUP(A57,'2017-18 Funding Detail'!$A$4:$AK$23,37,FALSE)*7/12)*K57</f>
        <v>229825.448382284</v>
      </c>
      <c r="R57" s="235"/>
      <c r="S57" s="235"/>
      <c r="T57" s="235"/>
      <c r="U57" s="36"/>
    </row>
    <row r="58" spans="1:21" x14ac:dyDescent="0.25">
      <c r="A58" s="244">
        <v>9257034</v>
      </c>
      <c r="B58" s="237" t="s">
        <v>221</v>
      </c>
      <c r="C58" s="267">
        <v>5</v>
      </c>
      <c r="D58" s="268">
        <f>'Revised Band Returns'!F38</f>
        <v>7.0866141732283464E-2</v>
      </c>
      <c r="E58" s="268">
        <f>'Revised Band Returns'!H38</f>
        <v>0.16535433070866143</v>
      </c>
      <c r="F58" s="268">
        <f>'Revised Band Returns'!J38</f>
        <v>0.51968503937007871</v>
      </c>
      <c r="G58" s="268">
        <f>'Revised Band Returns'!L38</f>
        <v>3.937007874015748E-2</v>
      </c>
      <c r="H58" s="268">
        <f>'Revised Band Returns'!N38</f>
        <v>0.20472440944881889</v>
      </c>
      <c r="I58" s="269">
        <v>0</v>
      </c>
      <c r="J58" s="233">
        <v>82</v>
      </c>
      <c r="K58" s="269">
        <f t="shared" si="13"/>
        <v>82</v>
      </c>
      <c r="L58" s="235">
        <f t="shared" si="10"/>
        <v>0</v>
      </c>
      <c r="M58" s="235">
        <f t="shared" si="11"/>
        <v>389491.24905994121</v>
      </c>
      <c r="N58" s="235">
        <f t="shared" si="14"/>
        <v>25804.104132499346</v>
      </c>
      <c r="O58" s="235">
        <f t="shared" si="12"/>
        <v>415295.35319244053</v>
      </c>
      <c r="P58" s="1026">
        <f t="shared" si="15"/>
        <v>478333.33333333337</v>
      </c>
      <c r="Q58" s="1026">
        <f>(VLOOKUP(A58,'2017-18 Funding Detail'!$A$4:$AK$23,37,FALSE)*7/12)*K58</f>
        <v>159794.4699441886</v>
      </c>
      <c r="R58" s="235"/>
      <c r="S58" s="235"/>
      <c r="T58" s="235"/>
      <c r="U58" s="36"/>
    </row>
    <row r="59" spans="1:21" x14ac:dyDescent="0.25">
      <c r="A59" s="244">
        <v>9257002</v>
      </c>
      <c r="B59" s="237" t="s">
        <v>213</v>
      </c>
      <c r="C59" s="267">
        <v>5</v>
      </c>
      <c r="D59" s="268">
        <f>'Revised Band Returns'!F39</f>
        <v>8.4033613445378148E-3</v>
      </c>
      <c r="E59" s="268">
        <f>'Revised Band Returns'!H39</f>
        <v>0.27731092436974791</v>
      </c>
      <c r="F59" s="268">
        <f>'Revised Band Returns'!J39</f>
        <v>0.59663865546218486</v>
      </c>
      <c r="G59" s="268">
        <f>'Revised Band Returns'!L39</f>
        <v>2.5210084033613446E-2</v>
      </c>
      <c r="H59" s="268">
        <f>'Revised Band Returns'!N39</f>
        <v>9.2436974789915971E-2</v>
      </c>
      <c r="I59" s="269">
        <v>0</v>
      </c>
      <c r="J59" s="233">
        <v>142</v>
      </c>
      <c r="K59" s="269">
        <f t="shared" si="13"/>
        <v>142</v>
      </c>
      <c r="L59" s="235">
        <f t="shared" si="10"/>
        <v>0</v>
      </c>
      <c r="M59" s="235">
        <f t="shared" si="11"/>
        <v>599490.19342973107</v>
      </c>
      <c r="N59" s="235">
        <f t="shared" si="14"/>
        <v>20176.20001411239</v>
      </c>
      <c r="O59" s="235">
        <f t="shared" si="12"/>
        <v>619666.39344384347</v>
      </c>
      <c r="P59" s="1026">
        <f t="shared" si="15"/>
        <v>828333.33333333337</v>
      </c>
      <c r="Q59" s="1026">
        <f>(VLOOKUP(A59,'2017-18 Funding Detail'!$A$4:$AK$23,37,FALSE)*7/12)*K59</f>
        <v>134779.00776541437</v>
      </c>
      <c r="R59" s="235"/>
      <c r="S59" s="235"/>
      <c r="T59" s="235"/>
      <c r="U59" s="36"/>
    </row>
    <row r="60" spans="1:21" x14ac:dyDescent="0.25">
      <c r="A60" s="244">
        <v>9257009</v>
      </c>
      <c r="B60" s="237" t="s">
        <v>214</v>
      </c>
      <c r="C60" s="267">
        <v>4</v>
      </c>
      <c r="D60" s="268">
        <f>'Revised Band Returns'!F40</f>
        <v>0</v>
      </c>
      <c r="E60" s="268">
        <f>'Revised Band Returns'!H40</f>
        <v>0.14615384615384616</v>
      </c>
      <c r="F60" s="268">
        <f>'Revised Band Returns'!J40</f>
        <v>0.7</v>
      </c>
      <c r="G60" s="268">
        <f>'Revised Band Returns'!L40</f>
        <v>1.5384615384615385E-2</v>
      </c>
      <c r="H60" s="268">
        <f>'Revised Band Returns'!N40</f>
        <v>0.13846153846153847</v>
      </c>
      <c r="I60" s="269">
        <v>0</v>
      </c>
      <c r="J60" s="233">
        <v>129</v>
      </c>
      <c r="K60" s="269">
        <f t="shared" si="13"/>
        <v>129</v>
      </c>
      <c r="L60" s="235">
        <f t="shared" si="10"/>
        <v>0</v>
      </c>
      <c r="M60" s="235">
        <f t="shared" si="11"/>
        <v>545083.23773162556</v>
      </c>
      <c r="N60" s="235">
        <f t="shared" si="14"/>
        <v>27455.17204520588</v>
      </c>
      <c r="O60" s="235">
        <f t="shared" si="12"/>
        <v>572538.40977683139</v>
      </c>
      <c r="P60" s="1026">
        <f t="shared" si="15"/>
        <v>752500</v>
      </c>
      <c r="Q60" s="1026">
        <f>(VLOOKUP(A60,'2017-18 Funding Detail'!$A$4:$AK$23,37,FALSE)*7/12)*K60</f>
        <v>116770.02652927751</v>
      </c>
      <c r="R60" s="235"/>
      <c r="S60" s="235"/>
      <c r="T60" s="235"/>
      <c r="U60" s="36"/>
    </row>
    <row r="61" spans="1:21" x14ac:dyDescent="0.25">
      <c r="A61" s="244">
        <v>9257029</v>
      </c>
      <c r="B61" s="237" t="s">
        <v>259</v>
      </c>
      <c r="C61" s="271">
        <v>3</v>
      </c>
      <c r="D61" s="268">
        <f>'Revised Band Returns'!F41</f>
        <v>0</v>
      </c>
      <c r="E61" s="268">
        <f>'Revised Band Returns'!H41</f>
        <v>0</v>
      </c>
      <c r="F61" s="268">
        <f>'Revised Band Returns'!J41</f>
        <v>0</v>
      </c>
      <c r="G61" s="268">
        <f>'Revised Band Returns'!L41</f>
        <v>0</v>
      </c>
      <c r="H61" s="268">
        <f>'Revised Band Returns'!N41</f>
        <v>1</v>
      </c>
      <c r="I61" s="269">
        <v>0</v>
      </c>
      <c r="J61" s="233">
        <v>43</v>
      </c>
      <c r="K61" s="269">
        <f t="shared" si="13"/>
        <v>43</v>
      </c>
      <c r="L61" s="235">
        <f t="shared" si="10"/>
        <v>0</v>
      </c>
      <c r="M61" s="235">
        <f t="shared" si="11"/>
        <v>293274.85100559442</v>
      </c>
      <c r="N61" s="235">
        <f t="shared" si="14"/>
        <v>66095.784553273421</v>
      </c>
      <c r="O61" s="235">
        <f t="shared" si="12"/>
        <v>359370.63555886783</v>
      </c>
      <c r="P61" s="1026">
        <f t="shared" si="15"/>
        <v>250833.33333333334</v>
      </c>
      <c r="Q61" s="1026">
        <f>(VLOOKUP(A61,'2017-18 Funding Detail'!$A$4:$AK$23,37,FALSE)*7/12)*K61</f>
        <v>308154.33268100163</v>
      </c>
      <c r="R61" s="235"/>
      <c r="S61" s="235"/>
      <c r="T61" s="235"/>
      <c r="U61" s="36"/>
    </row>
    <row r="62" spans="1:21" x14ac:dyDescent="0.25">
      <c r="A62" s="244">
        <v>9257032</v>
      </c>
      <c r="B62" s="237" t="s">
        <v>261</v>
      </c>
      <c r="C62" s="267">
        <v>4</v>
      </c>
      <c r="D62" s="268">
        <f>'Revised Band Returns'!F42</f>
        <v>0</v>
      </c>
      <c r="E62" s="268">
        <f>'Revised Band Returns'!H42</f>
        <v>0</v>
      </c>
      <c r="F62" s="268">
        <f>'Revised Band Returns'!J42</f>
        <v>0</v>
      </c>
      <c r="G62" s="268">
        <f>'Revised Band Returns'!L42</f>
        <v>0</v>
      </c>
      <c r="H62" s="268">
        <f>'Revised Band Returns'!N42</f>
        <v>1</v>
      </c>
      <c r="I62" s="269">
        <v>0</v>
      </c>
      <c r="J62" s="233">
        <v>60</v>
      </c>
      <c r="K62" s="269">
        <f t="shared" si="13"/>
        <v>60</v>
      </c>
      <c r="L62" s="235">
        <f t="shared" si="10"/>
        <v>0</v>
      </c>
      <c r="M62" s="235">
        <f t="shared" si="11"/>
        <v>409220.72233338753</v>
      </c>
      <c r="N62" s="235">
        <f t="shared" si="14"/>
        <v>92226.67612084662</v>
      </c>
      <c r="O62" s="235">
        <f t="shared" si="12"/>
        <v>501447.39845423424</v>
      </c>
      <c r="P62" s="1026">
        <f t="shared" si="15"/>
        <v>350000</v>
      </c>
      <c r="Q62" s="1026">
        <f>(VLOOKUP(A62,'2017-18 Funding Detail'!$A$4:$AK$23,37,FALSE)*7/12)*K62</f>
        <v>398598.05092751002</v>
      </c>
      <c r="R62" s="235"/>
      <c r="S62" s="235"/>
      <c r="T62" s="235"/>
      <c r="U62" s="36"/>
    </row>
    <row r="63" spans="1:21" x14ac:dyDescent="0.25">
      <c r="A63" s="244">
        <v>9257030</v>
      </c>
      <c r="B63" s="237" t="s">
        <v>262</v>
      </c>
      <c r="C63" s="271">
        <v>4</v>
      </c>
      <c r="D63" s="268">
        <f>'Revised Band Returns'!F43</f>
        <v>0</v>
      </c>
      <c r="E63" s="268">
        <f>'Revised Band Returns'!H43</f>
        <v>0</v>
      </c>
      <c r="F63" s="268">
        <f>'Revised Band Returns'!J43</f>
        <v>0</v>
      </c>
      <c r="G63" s="268">
        <f>'Revised Band Returns'!L43</f>
        <v>0</v>
      </c>
      <c r="H63" s="268">
        <f>'Revised Band Returns'!N43</f>
        <v>1</v>
      </c>
      <c r="I63" s="269">
        <v>0</v>
      </c>
      <c r="J63" s="233">
        <v>70</v>
      </c>
      <c r="K63" s="269">
        <f t="shared" si="13"/>
        <v>70</v>
      </c>
      <c r="L63" s="235">
        <f t="shared" si="10"/>
        <v>0</v>
      </c>
      <c r="M63" s="235">
        <f t="shared" si="11"/>
        <v>477424.17605561879</v>
      </c>
      <c r="N63" s="235">
        <f t="shared" si="14"/>
        <v>107597.78880765439</v>
      </c>
      <c r="O63" s="235">
        <f t="shared" si="12"/>
        <v>585021.9648632732</v>
      </c>
      <c r="P63" s="1026">
        <f t="shared" si="15"/>
        <v>408333.33333333337</v>
      </c>
      <c r="Q63" s="1026">
        <f>(VLOOKUP(A63,'2017-18 Funding Detail'!$A$4:$AK$23,37,FALSE)*7/12)*K63</f>
        <v>438647.76612545847</v>
      </c>
      <c r="R63" s="235"/>
      <c r="S63" s="235"/>
      <c r="T63" s="235"/>
      <c r="U63" s="36"/>
    </row>
    <row r="64" spans="1:21" x14ac:dyDescent="0.25">
      <c r="A64" s="244">
        <v>9257028</v>
      </c>
      <c r="B64" s="237" t="s">
        <v>215</v>
      </c>
      <c r="C64" s="267">
        <v>5</v>
      </c>
      <c r="D64" s="268">
        <f>'Revised Band Returns'!F44</f>
        <v>0.23943661971830985</v>
      </c>
      <c r="E64" s="268">
        <f>'Revised Band Returns'!H44</f>
        <v>0.3380281690140845</v>
      </c>
      <c r="F64" s="268">
        <f>'Revised Band Returns'!J44</f>
        <v>0</v>
      </c>
      <c r="G64" s="268">
        <f>'Revised Band Returns'!L44</f>
        <v>0.18309859154929578</v>
      </c>
      <c r="H64" s="268">
        <f>'Revised Band Returns'!N44</f>
        <v>0.23943661971830985</v>
      </c>
      <c r="I64" s="1170">
        <v>0</v>
      </c>
      <c r="J64" s="233">
        <v>61</v>
      </c>
      <c r="K64" s="269">
        <f t="shared" si="13"/>
        <v>61</v>
      </c>
      <c r="L64" s="235">
        <f t="shared" si="10"/>
        <v>0</v>
      </c>
      <c r="M64" s="235">
        <f t="shared" si="11"/>
        <v>363816.21696932288</v>
      </c>
      <c r="N64" s="235">
        <f t="shared" si="14"/>
        <v>22450.48430453473</v>
      </c>
      <c r="O64" s="235">
        <f t="shared" si="12"/>
        <v>386266.70127385756</v>
      </c>
      <c r="P64" s="1026">
        <f t="shared" si="15"/>
        <v>355833.33333333337</v>
      </c>
      <c r="Q64" s="1026">
        <f>(VLOOKUP(A64,'2017-18 Funding Detail'!$A$4:$AK$23,37,FALSE)*7/12)*K64</f>
        <v>288129.43671071727</v>
      </c>
      <c r="R64" s="235"/>
      <c r="S64" s="235"/>
      <c r="T64" s="235"/>
      <c r="U64" s="36"/>
    </row>
    <row r="65" spans="1:21" x14ac:dyDescent="0.25">
      <c r="A65" s="244">
        <v>9257021</v>
      </c>
      <c r="B65" s="237" t="s">
        <v>216</v>
      </c>
      <c r="C65" s="271">
        <v>5</v>
      </c>
      <c r="D65" s="268">
        <f>'Revised Band Returns'!F45</f>
        <v>0</v>
      </c>
      <c r="E65" s="268">
        <f>'Revised Band Returns'!H45</f>
        <v>9.8591549295774641E-2</v>
      </c>
      <c r="F65" s="268">
        <f>'Revised Band Returns'!J45</f>
        <v>0.71830985915492962</v>
      </c>
      <c r="G65" s="268">
        <f>'Revised Band Returns'!L45</f>
        <v>4.2253521126760563E-2</v>
      </c>
      <c r="H65" s="268">
        <f>'Revised Band Returns'!N45</f>
        <v>0.14084507042253522</v>
      </c>
      <c r="I65" s="269">
        <v>0</v>
      </c>
      <c r="J65" s="233">
        <v>155</v>
      </c>
      <c r="K65" s="269">
        <f t="shared" si="13"/>
        <v>155</v>
      </c>
      <c r="L65" s="235">
        <f t="shared" si="10"/>
        <v>0</v>
      </c>
      <c r="M65" s="235">
        <f t="shared" si="11"/>
        <v>664597.15258352866</v>
      </c>
      <c r="N65" s="235">
        <f t="shared" si="14"/>
        <v>33556.654457115561</v>
      </c>
      <c r="O65" s="235">
        <f t="shared" si="12"/>
        <v>698153.80704064434</v>
      </c>
      <c r="P65" s="1026">
        <f t="shared" si="15"/>
        <v>904166.66666666674</v>
      </c>
      <c r="Q65" s="1026">
        <f>(VLOOKUP(A65,'2017-18 Funding Detail'!$A$4:$AK$23,37,FALSE)*7/12)*K65</f>
        <v>122545.98292628313</v>
      </c>
      <c r="R65" s="235"/>
      <c r="S65" s="235"/>
      <c r="T65" s="235"/>
      <c r="U65" s="36"/>
    </row>
    <row r="66" spans="1:21" x14ac:dyDescent="0.25">
      <c r="A66" s="244">
        <v>9257015</v>
      </c>
      <c r="B66" s="237" t="s">
        <v>217</v>
      </c>
      <c r="C66" s="267">
        <v>6</v>
      </c>
      <c r="D66" s="268">
        <f>'Revised Band Returns'!F46</f>
        <v>6.0483870967741937E-2</v>
      </c>
      <c r="E66" s="268">
        <f>'Revised Band Returns'!H46</f>
        <v>0.22177419354838709</v>
      </c>
      <c r="F66" s="268">
        <f>'Revised Band Returns'!J46</f>
        <v>0.65322580645161288</v>
      </c>
      <c r="G66" s="268">
        <f>'Revised Band Returns'!L46</f>
        <v>0</v>
      </c>
      <c r="H66" s="268">
        <f>'Revised Band Returns'!N46</f>
        <v>6.4516129032258063E-2</v>
      </c>
      <c r="I66" s="269">
        <v>0</v>
      </c>
      <c r="J66" s="233">
        <v>233</v>
      </c>
      <c r="K66" s="269">
        <f t="shared" si="13"/>
        <v>233</v>
      </c>
      <c r="L66" s="235">
        <f t="shared" si="10"/>
        <v>0</v>
      </c>
      <c r="M66" s="235">
        <f t="shared" si="11"/>
        <v>974541.03218763077</v>
      </c>
      <c r="N66" s="235">
        <f t="shared" si="14"/>
        <v>23106.253264685231</v>
      </c>
      <c r="O66" s="235">
        <f t="shared" si="12"/>
        <v>997647.28545231605</v>
      </c>
      <c r="P66" s="1026">
        <f t="shared" si="15"/>
        <v>1359166.6666666667</v>
      </c>
      <c r="Q66" s="1026">
        <f>(VLOOKUP(A66,'2017-18 Funding Detail'!$A$4:$AK$23,37,FALSE)*7/12)*K66</f>
        <v>0</v>
      </c>
      <c r="R66" s="235"/>
      <c r="S66" s="235"/>
      <c r="T66" s="235"/>
      <c r="U66" s="36"/>
    </row>
    <row r="67" spans="1:21" x14ac:dyDescent="0.25">
      <c r="A67" s="244">
        <v>9257016</v>
      </c>
      <c r="B67" s="237" t="s">
        <v>219</v>
      </c>
      <c r="C67" s="267">
        <v>6</v>
      </c>
      <c r="D67" s="268">
        <f>'Revised Band Returns'!F47</f>
        <v>0.50370370370370365</v>
      </c>
      <c r="E67" s="268">
        <f>'Revised Band Returns'!H47</f>
        <v>0</v>
      </c>
      <c r="F67" s="268">
        <f>'Revised Band Returns'!J47</f>
        <v>0.28888888888888886</v>
      </c>
      <c r="G67" s="268">
        <f>'Revised Band Returns'!L47</f>
        <v>0.2074074074074074</v>
      </c>
      <c r="H67" s="268">
        <f>'Revised Band Returns'!N47</f>
        <v>0</v>
      </c>
      <c r="I67" s="269">
        <v>0</v>
      </c>
      <c r="J67" s="233">
        <v>89</v>
      </c>
      <c r="K67" s="269">
        <f t="shared" si="13"/>
        <v>89</v>
      </c>
      <c r="L67" s="235">
        <f t="shared" si="10"/>
        <v>0</v>
      </c>
      <c r="M67" s="235">
        <f t="shared" si="11"/>
        <v>525296.38538705895</v>
      </c>
      <c r="N67" s="235">
        <f t="shared" si="14"/>
        <v>0</v>
      </c>
      <c r="O67" s="235">
        <f t="shared" si="12"/>
        <v>525296.38538705895</v>
      </c>
      <c r="P67" s="1026">
        <f t="shared" si="15"/>
        <v>519166.66666666669</v>
      </c>
      <c r="Q67" s="1026">
        <f>(VLOOKUP(A67,'2017-18 Funding Detail'!$A$4:$AK$23,37,FALSE)*7/12)*K67</f>
        <v>313309.91923240811</v>
      </c>
      <c r="R67" s="299" t="s">
        <v>207</v>
      </c>
      <c r="S67" s="235"/>
      <c r="T67" s="235"/>
      <c r="U67" s="36"/>
    </row>
    <row r="68" spans="1:21" x14ac:dyDescent="0.25">
      <c r="A68" s="36"/>
      <c r="B68" s="36"/>
      <c r="C68" s="36"/>
      <c r="D68" s="36"/>
      <c r="E68" s="36"/>
      <c r="F68" s="36"/>
      <c r="G68" s="36"/>
      <c r="H68" s="299" t="s">
        <v>207</v>
      </c>
      <c r="I68" s="299" t="s">
        <v>207</v>
      </c>
      <c r="J68" s="234"/>
      <c r="K68" s="299" t="s">
        <v>207</v>
      </c>
      <c r="L68" s="36"/>
      <c r="M68" s="36"/>
      <c r="N68" s="36"/>
      <c r="O68" s="299" t="s">
        <v>207</v>
      </c>
      <c r="P68" s="36"/>
      <c r="Q68" s="36"/>
      <c r="R68" s="36"/>
      <c r="S68" s="36"/>
      <c r="T68" s="36"/>
      <c r="U68" s="36"/>
    </row>
    <row r="69" spans="1:21" ht="13" x14ac:dyDescent="0.3">
      <c r="A69" s="93" t="s">
        <v>278</v>
      </c>
      <c r="B69" s="36"/>
      <c r="C69" s="36"/>
      <c r="D69" s="36"/>
      <c r="E69" s="36"/>
      <c r="F69" s="36"/>
      <c r="G69" s="36"/>
      <c r="H69" s="36"/>
      <c r="I69" s="234"/>
      <c r="J69" s="234"/>
      <c r="K69" s="36"/>
      <c r="L69" s="36"/>
      <c r="M69" s="36"/>
      <c r="N69" s="36"/>
      <c r="O69" s="36"/>
      <c r="P69" s="36"/>
      <c r="Q69" s="36"/>
      <c r="R69" s="36"/>
      <c r="S69" s="36"/>
      <c r="T69" s="36"/>
      <c r="U69" s="36"/>
    </row>
    <row r="70" spans="1:21" x14ac:dyDescent="0.25">
      <c r="A70" s="36"/>
      <c r="B70" s="36"/>
      <c r="C70" s="36"/>
      <c r="D70" s="36"/>
      <c r="E70" s="36"/>
      <c r="F70" s="36"/>
      <c r="G70" s="36"/>
      <c r="H70" s="36"/>
      <c r="I70" s="234"/>
      <c r="J70" s="234"/>
      <c r="K70" s="36"/>
      <c r="L70" s="36"/>
      <c r="M70" s="1445" t="s">
        <v>238</v>
      </c>
      <c r="N70" s="1446"/>
      <c r="O70" s="36"/>
      <c r="P70" s="36"/>
      <c r="Q70" s="36"/>
      <c r="R70" s="36"/>
      <c r="S70" s="36"/>
      <c r="T70" s="36"/>
      <c r="U70" s="36"/>
    </row>
    <row r="71" spans="1:21" ht="37.5" x14ac:dyDescent="0.25">
      <c r="A71" s="265" t="s">
        <v>182</v>
      </c>
      <c r="B71" s="237" t="s">
        <v>183</v>
      </c>
      <c r="C71" s="238" t="s">
        <v>184</v>
      </c>
      <c r="D71" s="36" t="s">
        <v>240</v>
      </c>
      <c r="E71" s="36" t="s">
        <v>241</v>
      </c>
      <c r="F71" s="36" t="s">
        <v>242</v>
      </c>
      <c r="G71" s="36" t="s">
        <v>243</v>
      </c>
      <c r="H71" s="36" t="s">
        <v>244</v>
      </c>
      <c r="I71" s="243" t="s">
        <v>264</v>
      </c>
      <c r="J71" s="243" t="s">
        <v>279</v>
      </c>
      <c r="K71" s="243" t="s">
        <v>280</v>
      </c>
      <c r="L71" s="243" t="s">
        <v>279</v>
      </c>
      <c r="M71" s="243" t="s">
        <v>267</v>
      </c>
      <c r="N71" s="320" t="s">
        <v>281</v>
      </c>
      <c r="O71" s="243"/>
      <c r="P71" s="243"/>
      <c r="Q71" s="243"/>
      <c r="R71" s="36"/>
      <c r="S71" s="36"/>
      <c r="T71" s="36"/>
      <c r="U71" s="36"/>
    </row>
    <row r="72" spans="1:21" x14ac:dyDescent="0.25">
      <c r="A72" s="244">
        <v>9257010</v>
      </c>
      <c r="B72" s="237" t="s">
        <v>205</v>
      </c>
      <c r="C72" s="273">
        <v>4</v>
      </c>
      <c r="D72" s="268">
        <f>'Revised Band Returns'!F30</f>
        <v>0.40476190476190477</v>
      </c>
      <c r="E72" s="268">
        <f>'Revised Band Returns'!H30</f>
        <v>0.2857142857142857</v>
      </c>
      <c r="F72" s="268">
        <f>'Revised Band Returns'!J30</f>
        <v>0.11904761904761904</v>
      </c>
      <c r="G72" s="268">
        <f>'Revised Band Returns'!L30</f>
        <v>0.11904761904761904</v>
      </c>
      <c r="H72" s="268">
        <f>'Revised Band Returns'!N30</f>
        <v>7.1428571428571425E-2</v>
      </c>
      <c r="I72" s="233">
        <v>5</v>
      </c>
      <c r="J72" s="235">
        <f t="shared" ref="J72:J89" si="16">(((I72*D72)*$G$92)+((I72*E72)*$G$94)+((I72*F72)*$G$96)+((I72*G72)*$G$98)+((I72*H72)*$G$100))*(8/12)</f>
        <v>32676.257284106938</v>
      </c>
      <c r="K72" s="235">
        <f>((H72*I72)*$G$102)*(8/12)</f>
        <v>627.39235456358233</v>
      </c>
      <c r="L72" s="235">
        <f>SUM(J72:K72)</f>
        <v>33303.649638670518</v>
      </c>
      <c r="M72" s="1026">
        <f>(I72*(8/12))*10000</f>
        <v>33333.333333333328</v>
      </c>
      <c r="N72" s="1026">
        <f>(VLOOKUP(A72,'2017-18 Funding Detail'!$A$4:$AK$23,37,FALSE)*8/12)*I72</f>
        <v>33387.374535069306</v>
      </c>
      <c r="O72" s="235"/>
      <c r="P72" s="235"/>
      <c r="Q72" s="269"/>
      <c r="R72" s="280"/>
      <c r="S72" s="36"/>
      <c r="T72" s="297" t="s">
        <v>207</v>
      </c>
      <c r="U72" s="296" t="s">
        <v>282</v>
      </c>
    </row>
    <row r="73" spans="1:21" x14ac:dyDescent="0.25">
      <c r="A73" s="244">
        <v>9257005</v>
      </c>
      <c r="B73" s="237" t="s">
        <v>208</v>
      </c>
      <c r="C73" s="267">
        <v>4</v>
      </c>
      <c r="D73" s="268">
        <f>'Revised Band Returns'!F31</f>
        <v>0.13157894736842105</v>
      </c>
      <c r="E73" s="268">
        <f>'Revised Band Returns'!H31</f>
        <v>0.35526315789473684</v>
      </c>
      <c r="F73" s="268">
        <f>'Revised Band Returns'!J31</f>
        <v>0.17105263157894737</v>
      </c>
      <c r="G73" s="268">
        <f>'Revised Band Returns'!L31</f>
        <v>0.14473684210526316</v>
      </c>
      <c r="H73" s="268">
        <f>'Revised Band Returns'!N31</f>
        <v>0.19736842105263158</v>
      </c>
      <c r="I73" s="233">
        <v>30</v>
      </c>
      <c r="J73" s="235">
        <f t="shared" si="16"/>
        <v>184351.31419619187</v>
      </c>
      <c r="K73" s="235">
        <f t="shared" ref="K73:K89" si="17">((H73*I73)*$G$102)*(8/12)</f>
        <v>10401.504825659395</v>
      </c>
      <c r="L73" s="235">
        <f>SUM(J73:K73)</f>
        <v>194752.81902185126</v>
      </c>
      <c r="M73" s="1026">
        <f t="shared" ref="M73:M89" si="18">(I73*(8/12))*10000</f>
        <v>200000</v>
      </c>
      <c r="N73" s="1026">
        <f>(VLOOKUP(A73,'2017-18 Funding Detail'!$A$4:$AK$23,37,FALSE)*8/12)*I73</f>
        <v>129436.94924783375</v>
      </c>
      <c r="O73" s="235"/>
      <c r="P73" s="235"/>
      <c r="Q73" s="269"/>
      <c r="R73" s="280"/>
      <c r="S73" s="36"/>
      <c r="T73" s="36"/>
      <c r="U73" s="36"/>
    </row>
    <row r="74" spans="1:21" x14ac:dyDescent="0.25">
      <c r="A74" s="244">
        <v>9257025</v>
      </c>
      <c r="B74" s="237" t="s">
        <v>209</v>
      </c>
      <c r="C74" s="271">
        <v>4</v>
      </c>
      <c r="D74" s="268">
        <f>'Revised Band Returns'!F32</f>
        <v>0.26415094339622641</v>
      </c>
      <c r="E74" s="268">
        <f>'Revised Band Returns'!H32</f>
        <v>0.41509433962264153</v>
      </c>
      <c r="F74" s="268">
        <f>'Revised Band Returns'!J32</f>
        <v>5.6603773584905662E-2</v>
      </c>
      <c r="G74" s="268">
        <f>'Revised Band Returns'!L32</f>
        <v>5.6603773584905662E-2</v>
      </c>
      <c r="H74" s="268">
        <f>'Revised Band Returns'!N32</f>
        <v>0.20754716981132076</v>
      </c>
      <c r="I74" s="233">
        <v>16</v>
      </c>
      <c r="J74" s="235">
        <f t="shared" si="16"/>
        <v>102200.93065204007</v>
      </c>
      <c r="K74" s="235">
        <f t="shared" si="17"/>
        <v>5833.5651382817632</v>
      </c>
      <c r="L74" s="235">
        <f t="shared" ref="L74:L89" si="19">SUM(J74:K74)</f>
        <v>108034.49579032183</v>
      </c>
      <c r="M74" s="1026">
        <f t="shared" si="18"/>
        <v>106666.66666666666</v>
      </c>
      <c r="N74" s="1026">
        <f>(VLOOKUP(A74,'2017-18 Funding Detail'!$A$4:$AK$23,37,FALSE)*8/12)*I74</f>
        <v>86949.710423400393</v>
      </c>
      <c r="O74" s="235"/>
      <c r="P74" s="235"/>
      <c r="Q74" s="269"/>
      <c r="R74" s="280"/>
      <c r="S74" s="36"/>
      <c r="T74" s="36"/>
      <c r="U74" s="36"/>
    </row>
    <row r="75" spans="1:21" x14ac:dyDescent="0.25">
      <c r="A75" s="244">
        <v>9257011</v>
      </c>
      <c r="B75" s="237" t="s">
        <v>210</v>
      </c>
      <c r="C75" s="267">
        <v>4</v>
      </c>
      <c r="D75" s="268">
        <f>'Revised Band Returns'!F33</f>
        <v>0.4</v>
      </c>
      <c r="E75" s="268">
        <f>'Revised Band Returns'!H33</f>
        <v>0.42222222222222222</v>
      </c>
      <c r="F75" s="268">
        <f>'Revised Band Returns'!J33</f>
        <v>0</v>
      </c>
      <c r="G75" s="268">
        <f>'Revised Band Returns'!L33</f>
        <v>2.2222222222222223E-2</v>
      </c>
      <c r="H75" s="268">
        <f>'Revised Band Returns'!N33</f>
        <v>0.15555555555555556</v>
      </c>
      <c r="I75" s="233">
        <v>14</v>
      </c>
      <c r="J75" s="235">
        <f t="shared" si="16"/>
        <v>92015.307705842686</v>
      </c>
      <c r="K75" s="235">
        <f t="shared" si="17"/>
        <v>3825.6991576054897</v>
      </c>
      <c r="L75" s="235">
        <f t="shared" si="19"/>
        <v>95841.006863448172</v>
      </c>
      <c r="M75" s="1026">
        <f t="shared" si="18"/>
        <v>93333.333333333328</v>
      </c>
      <c r="N75" s="1026">
        <f>(VLOOKUP(A75,'2017-18 Funding Detail'!$A$4:$AK$23,37,FALSE)*8/12)*I75</f>
        <v>89517.957787585794</v>
      </c>
      <c r="O75" s="235"/>
      <c r="P75" s="235"/>
      <c r="Q75" s="269"/>
      <c r="R75" s="280"/>
      <c r="S75" s="36"/>
      <c r="T75" s="36"/>
      <c r="U75" s="36"/>
    </row>
    <row r="76" spans="1:21" x14ac:dyDescent="0.25">
      <c r="A76" s="244">
        <v>9257024</v>
      </c>
      <c r="B76" s="237" t="s">
        <v>211</v>
      </c>
      <c r="C76" s="267">
        <v>3</v>
      </c>
      <c r="D76" s="268">
        <f>'Revised Band Returns'!F34</f>
        <v>0.2</v>
      </c>
      <c r="E76" s="268">
        <f>'Revised Band Returns'!H34</f>
        <v>0.5636363636363636</v>
      </c>
      <c r="F76" s="268">
        <f>'Revised Band Returns'!J34</f>
        <v>1.8181818181818181E-2</v>
      </c>
      <c r="G76" s="268">
        <f>'Revised Band Returns'!L34</f>
        <v>0.16363636363636364</v>
      </c>
      <c r="H76" s="268">
        <f>'Revised Band Returns'!N34</f>
        <v>5.4545454545454543E-2</v>
      </c>
      <c r="I76" s="233">
        <v>11</v>
      </c>
      <c r="J76" s="235">
        <f t="shared" si="16"/>
        <v>67068.613269762631</v>
      </c>
      <c r="K76" s="235">
        <f t="shared" si="17"/>
        <v>1054.0191556668185</v>
      </c>
      <c r="L76" s="235">
        <f t="shared" si="19"/>
        <v>68122.632425429445</v>
      </c>
      <c r="M76" s="1026">
        <f t="shared" si="18"/>
        <v>73333.333333333328</v>
      </c>
      <c r="N76" s="1026">
        <f>(VLOOKUP(A76,'2017-18 Funding Detail'!$A$4:$AK$23,37,FALSE)*8/12)*I76</f>
        <v>40784.20519101424</v>
      </c>
      <c r="O76" s="235"/>
      <c r="P76" s="235"/>
      <c r="Q76" s="269"/>
      <c r="R76" s="280"/>
      <c r="S76" s="36"/>
      <c r="T76" s="36"/>
      <c r="U76" s="36"/>
    </row>
    <row r="77" spans="1:21" x14ac:dyDescent="0.25">
      <c r="A77" s="244">
        <v>9257031</v>
      </c>
      <c r="B77" s="237" t="s">
        <v>257</v>
      </c>
      <c r="C77" s="267">
        <v>4</v>
      </c>
      <c r="D77" s="268">
        <f>'Revised Band Returns'!F35</f>
        <v>0</v>
      </c>
      <c r="E77" s="268">
        <f>'Revised Band Returns'!H35</f>
        <v>0</v>
      </c>
      <c r="F77" s="268">
        <f>'Revised Band Returns'!J35</f>
        <v>0</v>
      </c>
      <c r="G77" s="268">
        <f>'Revised Band Returns'!L35</f>
        <v>0</v>
      </c>
      <c r="H77" s="268">
        <f>'Revised Band Returns'!N35</f>
        <v>1</v>
      </c>
      <c r="I77" s="233">
        <v>0</v>
      </c>
      <c r="J77" s="235">
        <f t="shared" si="16"/>
        <v>0</v>
      </c>
      <c r="K77" s="235">
        <f t="shared" si="17"/>
        <v>0</v>
      </c>
      <c r="L77" s="235">
        <f t="shared" si="19"/>
        <v>0</v>
      </c>
      <c r="M77" s="1026">
        <f t="shared" si="18"/>
        <v>0</v>
      </c>
      <c r="N77" s="1026">
        <f>(VLOOKUP(A77,'2017-18 Funding Detail'!$A$4:$AK$23,37,FALSE)*8/12)*I77</f>
        <v>0</v>
      </c>
      <c r="O77" s="235"/>
      <c r="P77" s="235"/>
      <c r="Q77" s="269"/>
      <c r="R77" s="280"/>
      <c r="S77" s="36"/>
      <c r="T77" s="36"/>
      <c r="U77" s="36"/>
    </row>
    <row r="78" spans="1:21" x14ac:dyDescent="0.25">
      <c r="A78" s="244">
        <v>9257033</v>
      </c>
      <c r="B78" s="237" t="s">
        <v>220</v>
      </c>
      <c r="C78" s="267">
        <v>3</v>
      </c>
      <c r="D78" s="268">
        <f>'Revised Band Returns'!F36</f>
        <v>3.6363636363636362E-2</v>
      </c>
      <c r="E78" s="268">
        <f>'Revised Band Returns'!H36</f>
        <v>0.29090909090909089</v>
      </c>
      <c r="F78" s="268">
        <f>'Revised Band Returns'!J36</f>
        <v>0.27272727272727271</v>
      </c>
      <c r="G78" s="268">
        <f>'Revised Band Returns'!L36</f>
        <v>5.4545454545454543E-2</v>
      </c>
      <c r="H78" s="268">
        <f>'Revised Band Returns'!N36</f>
        <v>0.34545454545454546</v>
      </c>
      <c r="I78" s="233">
        <v>0</v>
      </c>
      <c r="J78" s="235">
        <f t="shared" si="16"/>
        <v>0</v>
      </c>
      <c r="K78" s="235">
        <f t="shared" si="17"/>
        <v>0</v>
      </c>
      <c r="L78" s="235">
        <f t="shared" si="19"/>
        <v>0</v>
      </c>
      <c r="M78" s="1026">
        <f t="shared" si="18"/>
        <v>0</v>
      </c>
      <c r="N78" s="1026">
        <f>(VLOOKUP(A78,'2017-18 Funding Detail'!$A$4:$AK$23,37,FALSE)*8/12)*I78</f>
        <v>0</v>
      </c>
      <c r="O78" s="235"/>
      <c r="P78" s="235"/>
      <c r="Q78" s="269"/>
      <c r="R78" s="280"/>
      <c r="S78" s="36"/>
      <c r="T78" s="36"/>
      <c r="U78" s="36"/>
    </row>
    <row r="79" spans="1:21" x14ac:dyDescent="0.25">
      <c r="A79" s="244">
        <v>9257008</v>
      </c>
      <c r="B79" s="237" t="s">
        <v>212</v>
      </c>
      <c r="C79" s="271">
        <v>4</v>
      </c>
      <c r="D79" s="268">
        <f>'Revised Band Returns'!F37</f>
        <v>0</v>
      </c>
      <c r="E79" s="268">
        <f>'Revised Band Returns'!H37</f>
        <v>8.2352941176470587E-2</v>
      </c>
      <c r="F79" s="268">
        <f>'Revised Band Returns'!J37</f>
        <v>0.61176470588235299</v>
      </c>
      <c r="G79" s="268">
        <f>'Revised Band Returns'!L37</f>
        <v>2.3529411764705882E-2</v>
      </c>
      <c r="H79" s="268">
        <f>'Revised Band Returns'!N37</f>
        <v>0.28235294117647058</v>
      </c>
      <c r="I79" s="233">
        <v>0</v>
      </c>
      <c r="J79" s="235">
        <f t="shared" si="16"/>
        <v>0</v>
      </c>
      <c r="K79" s="235">
        <f t="shared" si="17"/>
        <v>0</v>
      </c>
      <c r="L79" s="235">
        <f t="shared" si="19"/>
        <v>0</v>
      </c>
      <c r="M79" s="1026">
        <f t="shared" si="18"/>
        <v>0</v>
      </c>
      <c r="N79" s="1026">
        <f>(VLOOKUP(A79,'2017-18 Funding Detail'!$A$4:$AK$23,37,FALSE)*8/12)*I79</f>
        <v>0</v>
      </c>
      <c r="O79" s="235"/>
      <c r="P79" s="235"/>
      <c r="Q79" s="269"/>
      <c r="R79" s="280"/>
      <c r="S79" s="36"/>
      <c r="T79" s="36"/>
      <c r="U79" s="36"/>
    </row>
    <row r="80" spans="1:21" x14ac:dyDescent="0.25">
      <c r="A80" s="244">
        <v>9257034</v>
      </c>
      <c r="B80" s="237" t="s">
        <v>221</v>
      </c>
      <c r="C80" s="267">
        <v>5</v>
      </c>
      <c r="D80" s="268">
        <f>'Revised Band Returns'!F38</f>
        <v>7.0866141732283464E-2</v>
      </c>
      <c r="E80" s="268">
        <f>'Revised Band Returns'!H38</f>
        <v>0.16535433070866143</v>
      </c>
      <c r="F80" s="268">
        <f>'Revised Band Returns'!J38</f>
        <v>0.51968503937007871</v>
      </c>
      <c r="G80" s="268">
        <f>'Revised Band Returns'!L38</f>
        <v>3.937007874015748E-2</v>
      </c>
      <c r="H80" s="268">
        <f>'Revised Band Returns'!N38</f>
        <v>0.20472440944881889</v>
      </c>
      <c r="I80" s="233">
        <v>35</v>
      </c>
      <c r="J80" s="235">
        <f t="shared" si="16"/>
        <v>189995.73124875181</v>
      </c>
      <c r="K80" s="235">
        <f t="shared" si="17"/>
        <v>12587.367869511874</v>
      </c>
      <c r="L80" s="235">
        <f t="shared" si="19"/>
        <v>202583.09911826369</v>
      </c>
      <c r="M80" s="1026">
        <f t="shared" si="18"/>
        <v>233333.33333333331</v>
      </c>
      <c r="N80" s="1026">
        <f>(VLOOKUP(A80,'2017-18 Funding Detail'!$A$4:$AK$23,37,FALSE)*8/12)*I80</f>
        <v>77948.521923994442</v>
      </c>
      <c r="O80" s="235"/>
      <c r="P80" s="235"/>
      <c r="Q80" s="269"/>
      <c r="R80" s="280"/>
      <c r="S80" s="36"/>
      <c r="T80" s="36"/>
      <c r="U80" s="36"/>
    </row>
    <row r="81" spans="1:18" x14ac:dyDescent="0.25">
      <c r="A81" s="244">
        <v>9257002</v>
      </c>
      <c r="B81" s="237" t="s">
        <v>213</v>
      </c>
      <c r="C81" s="267">
        <v>5</v>
      </c>
      <c r="D81" s="268">
        <f>'Revised Band Returns'!F39</f>
        <v>8.4033613445378148E-3</v>
      </c>
      <c r="E81" s="268">
        <f>'Revised Band Returns'!H39</f>
        <v>0.27731092436974791</v>
      </c>
      <c r="F81" s="268">
        <f>'Revised Band Returns'!J39</f>
        <v>0.59663865546218486</v>
      </c>
      <c r="G81" s="268">
        <f>'Revised Band Returns'!L39</f>
        <v>2.5210084033613446E-2</v>
      </c>
      <c r="H81" s="268">
        <f>'Revised Band Returns'!N39</f>
        <v>9.2436974789915971E-2</v>
      </c>
      <c r="I81" s="233">
        <v>0</v>
      </c>
      <c r="J81" s="235">
        <f t="shared" si="16"/>
        <v>0</v>
      </c>
      <c r="K81" s="235">
        <f t="shared" si="17"/>
        <v>0</v>
      </c>
      <c r="L81" s="235">
        <f t="shared" si="19"/>
        <v>0</v>
      </c>
      <c r="M81" s="1026">
        <f t="shared" si="18"/>
        <v>0</v>
      </c>
      <c r="N81" s="1026">
        <f>(VLOOKUP(A81,'2017-18 Funding Detail'!$A$4:$AK$23,37,FALSE)*8/12)*I81</f>
        <v>0</v>
      </c>
      <c r="O81" s="235"/>
      <c r="P81" s="235"/>
      <c r="Q81" s="269"/>
      <c r="R81" s="280"/>
    </row>
    <row r="82" spans="1:18" x14ac:dyDescent="0.25">
      <c r="A82" s="244">
        <v>9257009</v>
      </c>
      <c r="B82" s="237" t="s">
        <v>214</v>
      </c>
      <c r="C82" s="267">
        <v>4</v>
      </c>
      <c r="D82" s="268">
        <f>'Revised Band Returns'!F40</f>
        <v>0</v>
      </c>
      <c r="E82" s="268">
        <f>'Revised Band Returns'!H40</f>
        <v>0.14615384615384616</v>
      </c>
      <c r="F82" s="268">
        <f>'Revised Band Returns'!J40</f>
        <v>0.7</v>
      </c>
      <c r="G82" s="268">
        <f>'Revised Band Returns'!L40</f>
        <v>1.5384615384615385E-2</v>
      </c>
      <c r="H82" s="268">
        <f>'Revised Band Returns'!N40</f>
        <v>0.13846153846153847</v>
      </c>
      <c r="I82" s="233">
        <v>0</v>
      </c>
      <c r="J82" s="235">
        <f t="shared" si="16"/>
        <v>0</v>
      </c>
      <c r="K82" s="235">
        <f t="shared" si="17"/>
        <v>0</v>
      </c>
      <c r="L82" s="235">
        <f t="shared" si="19"/>
        <v>0</v>
      </c>
      <c r="M82" s="1026">
        <f t="shared" si="18"/>
        <v>0</v>
      </c>
      <c r="N82" s="1026">
        <f>(VLOOKUP(A82,'2017-18 Funding Detail'!$A$4:$AK$23,37,FALSE)*8/12)*I82</f>
        <v>0</v>
      </c>
      <c r="O82" s="235"/>
      <c r="P82" s="235"/>
      <c r="Q82" s="269"/>
      <c r="R82" s="280"/>
    </row>
    <row r="83" spans="1:18" x14ac:dyDescent="0.25">
      <c r="A83" s="244">
        <v>9257029</v>
      </c>
      <c r="B83" s="237" t="s">
        <v>259</v>
      </c>
      <c r="C83" s="271">
        <v>3</v>
      </c>
      <c r="D83" s="268">
        <f>'Revised Band Returns'!F41</f>
        <v>0</v>
      </c>
      <c r="E83" s="268">
        <f>'Revised Band Returns'!H41</f>
        <v>0</v>
      </c>
      <c r="F83" s="268">
        <f>'Revised Band Returns'!J41</f>
        <v>0</v>
      </c>
      <c r="G83" s="268">
        <f>'Revised Band Returns'!L41</f>
        <v>0</v>
      </c>
      <c r="H83" s="268">
        <f>'Revised Band Returns'!N41</f>
        <v>1</v>
      </c>
      <c r="I83" s="233">
        <v>0</v>
      </c>
      <c r="J83" s="235">
        <f t="shared" si="16"/>
        <v>0</v>
      </c>
      <c r="K83" s="235">
        <f t="shared" si="17"/>
        <v>0</v>
      </c>
      <c r="L83" s="235">
        <f t="shared" si="19"/>
        <v>0</v>
      </c>
      <c r="M83" s="1026">
        <f t="shared" si="18"/>
        <v>0</v>
      </c>
      <c r="N83" s="1026">
        <f>(VLOOKUP(A83,'2017-18 Funding Detail'!$A$4:$AK$23,37,FALSE)*8/12)*I83</f>
        <v>0</v>
      </c>
      <c r="O83" s="235"/>
      <c r="P83" s="235"/>
      <c r="Q83" s="269"/>
      <c r="R83" s="280"/>
    </row>
    <row r="84" spans="1:18" x14ac:dyDescent="0.25">
      <c r="A84" s="244">
        <v>9257032</v>
      </c>
      <c r="B84" s="237" t="s">
        <v>261</v>
      </c>
      <c r="C84" s="267">
        <v>4</v>
      </c>
      <c r="D84" s="268">
        <f>'Revised Band Returns'!F42</f>
        <v>0</v>
      </c>
      <c r="E84" s="268">
        <f>'Revised Band Returns'!H42</f>
        <v>0</v>
      </c>
      <c r="F84" s="268">
        <f>'Revised Band Returns'!J42</f>
        <v>0</v>
      </c>
      <c r="G84" s="268">
        <f>'Revised Band Returns'!L42</f>
        <v>0</v>
      </c>
      <c r="H84" s="268">
        <f>'Revised Band Returns'!N42</f>
        <v>1</v>
      </c>
      <c r="I84" s="233">
        <v>0</v>
      </c>
      <c r="J84" s="235">
        <f t="shared" si="16"/>
        <v>0</v>
      </c>
      <c r="K84" s="235">
        <f t="shared" si="17"/>
        <v>0</v>
      </c>
      <c r="L84" s="235">
        <f t="shared" si="19"/>
        <v>0</v>
      </c>
      <c r="M84" s="1026">
        <f t="shared" si="18"/>
        <v>0</v>
      </c>
      <c r="N84" s="1026">
        <f>(VLOOKUP(A84,'2017-18 Funding Detail'!$A$4:$AK$23,37,FALSE)*8/12)*I84</f>
        <v>0</v>
      </c>
      <c r="O84" s="235"/>
      <c r="P84" s="235"/>
      <c r="Q84" s="269"/>
      <c r="R84" s="280"/>
    </row>
    <row r="85" spans="1:18" x14ac:dyDescent="0.25">
      <c r="A85" s="244">
        <v>9257030</v>
      </c>
      <c r="B85" s="237" t="s">
        <v>262</v>
      </c>
      <c r="C85" s="271">
        <v>4</v>
      </c>
      <c r="D85" s="268">
        <f>'Revised Band Returns'!F43</f>
        <v>0</v>
      </c>
      <c r="E85" s="268">
        <f>'Revised Band Returns'!H43</f>
        <v>0</v>
      </c>
      <c r="F85" s="268">
        <f>'Revised Band Returns'!J43</f>
        <v>0</v>
      </c>
      <c r="G85" s="268">
        <f>'Revised Band Returns'!L43</f>
        <v>0</v>
      </c>
      <c r="H85" s="268">
        <f>'Revised Band Returns'!N43</f>
        <v>1</v>
      </c>
      <c r="I85" s="233">
        <v>0</v>
      </c>
      <c r="J85" s="235">
        <f t="shared" si="16"/>
        <v>0</v>
      </c>
      <c r="K85" s="235">
        <f t="shared" si="17"/>
        <v>0</v>
      </c>
      <c r="L85" s="235">
        <f t="shared" si="19"/>
        <v>0</v>
      </c>
      <c r="M85" s="1026">
        <f t="shared" si="18"/>
        <v>0</v>
      </c>
      <c r="N85" s="1026">
        <f>(VLOOKUP(A85,'2017-18 Funding Detail'!$A$4:$AK$23,37,FALSE)*8/12)*I85</f>
        <v>0</v>
      </c>
      <c r="O85" s="235"/>
      <c r="P85" s="235"/>
      <c r="Q85" s="269"/>
      <c r="R85" s="280"/>
    </row>
    <row r="86" spans="1:18" x14ac:dyDescent="0.25">
      <c r="A86" s="244">
        <v>9257028</v>
      </c>
      <c r="B86" s="237" t="s">
        <v>215</v>
      </c>
      <c r="C86" s="267">
        <v>5</v>
      </c>
      <c r="D86" s="268">
        <f>'Revised Band Returns'!F44</f>
        <v>0.23943661971830985</v>
      </c>
      <c r="E86" s="268">
        <f>'Revised Band Returns'!H44</f>
        <v>0.3380281690140845</v>
      </c>
      <c r="F86" s="268">
        <f>'Revised Band Returns'!J44</f>
        <v>0</v>
      </c>
      <c r="G86" s="268">
        <f>'Revised Band Returns'!L44</f>
        <v>0.18309859154929578</v>
      </c>
      <c r="H86" s="268">
        <f>'Revised Band Returns'!N44</f>
        <v>0.23943661971830985</v>
      </c>
      <c r="I86" s="233">
        <v>18</v>
      </c>
      <c r="J86" s="235">
        <f t="shared" si="16"/>
        <v>122692.12000838989</v>
      </c>
      <c r="K86" s="235">
        <f t="shared" si="17"/>
        <v>7571.1235125363019</v>
      </c>
      <c r="L86" s="235">
        <f t="shared" si="19"/>
        <v>130263.24352092619</v>
      </c>
      <c r="M86" s="1026">
        <f t="shared" si="18"/>
        <v>120000</v>
      </c>
      <c r="N86" s="1026">
        <f>(VLOOKUP(A86,'2017-18 Funding Detail'!$A$4:$AK$23,37,FALSE)*8/12)*I86</f>
        <v>97167.772567548673</v>
      </c>
      <c r="O86" s="235"/>
      <c r="P86" s="235"/>
      <c r="Q86" s="269"/>
      <c r="R86" s="280"/>
    </row>
    <row r="87" spans="1:18" x14ac:dyDescent="0.25">
      <c r="A87" s="244">
        <v>9257021</v>
      </c>
      <c r="B87" s="237" t="s">
        <v>216</v>
      </c>
      <c r="C87" s="271">
        <v>5</v>
      </c>
      <c r="D87" s="268">
        <f>'Revised Band Returns'!F45</f>
        <v>0</v>
      </c>
      <c r="E87" s="268">
        <f>'Revised Band Returns'!H45</f>
        <v>9.8591549295774641E-2</v>
      </c>
      <c r="F87" s="268">
        <f>'Revised Band Returns'!J45</f>
        <v>0.71830985915492962</v>
      </c>
      <c r="G87" s="268">
        <f>'Revised Band Returns'!L45</f>
        <v>4.2253521126760563E-2</v>
      </c>
      <c r="H87" s="268">
        <f>'Revised Band Returns'!N45</f>
        <v>0.14084507042253522</v>
      </c>
      <c r="I87" s="233">
        <v>2</v>
      </c>
      <c r="J87" s="235">
        <f t="shared" si="16"/>
        <v>9800.5110058400533</v>
      </c>
      <c r="K87" s="235">
        <f t="shared" si="17"/>
        <v>494.8446740219805</v>
      </c>
      <c r="L87" s="235">
        <f t="shared" si="19"/>
        <v>10295.355679862034</v>
      </c>
      <c r="M87" s="1026">
        <f t="shared" si="18"/>
        <v>13333.333333333332</v>
      </c>
      <c r="N87" s="1026">
        <f>(VLOOKUP(A87,'2017-18 Funding Detail'!$A$4:$AK$23,37,FALSE)*8/12)*I87</f>
        <v>1807.1297021387375</v>
      </c>
      <c r="O87" s="235"/>
      <c r="P87" s="235"/>
      <c r="Q87" s="269"/>
      <c r="R87" s="280"/>
    </row>
    <row r="88" spans="1:18" x14ac:dyDescent="0.25">
      <c r="A88" s="244">
        <v>9257015</v>
      </c>
      <c r="B88" s="237" t="s">
        <v>217</v>
      </c>
      <c r="C88" s="267">
        <v>6</v>
      </c>
      <c r="D88" s="268">
        <f>'Revised Band Returns'!F46</f>
        <v>6.0483870967741937E-2</v>
      </c>
      <c r="E88" s="268">
        <f>'Revised Band Returns'!H46</f>
        <v>0.22177419354838709</v>
      </c>
      <c r="F88" s="268">
        <f>'Revised Band Returns'!J46</f>
        <v>0.65322580645161288</v>
      </c>
      <c r="G88" s="268">
        <f>'Revised Band Returns'!L46</f>
        <v>0</v>
      </c>
      <c r="H88" s="268">
        <f>'Revised Band Returns'!N46</f>
        <v>6.4516129032258063E-2</v>
      </c>
      <c r="I88" s="233">
        <v>28</v>
      </c>
      <c r="J88" s="235">
        <f t="shared" si="16"/>
        <v>133842.54519315099</v>
      </c>
      <c r="K88" s="235">
        <f t="shared" si="17"/>
        <v>3173.391006308701</v>
      </c>
      <c r="L88" s="235">
        <f t="shared" si="19"/>
        <v>137015.93619945968</v>
      </c>
      <c r="M88" s="1026">
        <f t="shared" si="18"/>
        <v>186666.66666666666</v>
      </c>
      <c r="N88" s="1026">
        <f>(VLOOKUP(A88,'2017-18 Funding Detail'!$A$4:$AK$23,37,FALSE)*8/12)*I88</f>
        <v>0</v>
      </c>
      <c r="O88" s="235"/>
      <c r="P88" s="235"/>
      <c r="Q88" s="269"/>
      <c r="R88" s="280"/>
    </row>
    <row r="89" spans="1:18" x14ac:dyDescent="0.25">
      <c r="A89" s="244">
        <v>9257016</v>
      </c>
      <c r="B89" s="237" t="s">
        <v>219</v>
      </c>
      <c r="C89" s="267">
        <v>6</v>
      </c>
      <c r="D89" s="268">
        <f>'Revised Band Returns'!F47</f>
        <v>0.50370370370370365</v>
      </c>
      <c r="E89" s="268">
        <f>'Revised Band Returns'!H47</f>
        <v>0</v>
      </c>
      <c r="F89" s="268">
        <f>'Revised Band Returns'!J47</f>
        <v>0.28888888888888886</v>
      </c>
      <c r="G89" s="268">
        <f>'Revised Band Returns'!L47</f>
        <v>0.2074074074074074</v>
      </c>
      <c r="H89" s="268">
        <f>'Revised Band Returns'!N47</f>
        <v>0</v>
      </c>
      <c r="I89" s="233">
        <v>57</v>
      </c>
      <c r="J89" s="235">
        <f t="shared" si="16"/>
        <v>384486.59989807202</v>
      </c>
      <c r="K89" s="235">
        <f t="shared" si="17"/>
        <v>0</v>
      </c>
      <c r="L89" s="235">
        <f t="shared" si="19"/>
        <v>384486.59989807202</v>
      </c>
      <c r="M89" s="1026">
        <f t="shared" si="18"/>
        <v>380000</v>
      </c>
      <c r="N89" s="1026">
        <f>(VLOOKUP(A89,'2017-18 Funding Detail'!$A$4:$AK$23,37,FALSE)*8/12)*I89</f>
        <v>229324.75629209969</v>
      </c>
      <c r="O89" s="299" t="s">
        <v>207</v>
      </c>
      <c r="P89" s="235"/>
      <c r="Q89" s="269"/>
      <c r="R89" s="280"/>
    </row>
    <row r="90" spans="1:18" x14ac:dyDescent="0.25">
      <c r="A90" s="36"/>
      <c r="B90" s="36"/>
      <c r="C90" s="36"/>
      <c r="D90" s="36"/>
      <c r="E90" s="36"/>
      <c r="F90" s="36"/>
      <c r="G90" s="36"/>
      <c r="H90" s="299" t="s">
        <v>207</v>
      </c>
      <c r="I90" s="299" t="s">
        <v>207</v>
      </c>
      <c r="J90" s="234"/>
      <c r="K90" s="36"/>
      <c r="L90" s="299" t="s">
        <v>207</v>
      </c>
      <c r="M90" s="36"/>
      <c r="N90" s="36"/>
      <c r="O90" s="36"/>
      <c r="P90" s="36"/>
      <c r="Q90" s="36"/>
      <c r="R90" s="36"/>
    </row>
    <row r="92" spans="1:18" x14ac:dyDescent="0.25">
      <c r="A92" s="36"/>
      <c r="B92" s="36"/>
      <c r="C92" s="35"/>
      <c r="D92" s="36"/>
      <c r="E92" s="36" t="s">
        <v>39</v>
      </c>
      <c r="F92" s="36"/>
      <c r="G92" s="235">
        <f>'Funding Model'!D7</f>
        <v>11692.020638096787</v>
      </c>
      <c r="H92" s="281"/>
      <c r="I92" s="281"/>
      <c r="J92" s="281"/>
      <c r="K92" s="281"/>
      <c r="L92" s="281"/>
      <c r="M92" s="281"/>
      <c r="N92" s="281"/>
      <c r="O92" s="281"/>
      <c r="P92" s="281"/>
      <c r="Q92" s="281"/>
      <c r="R92" s="36"/>
    </row>
    <row r="93" spans="1:18" x14ac:dyDescent="0.25">
      <c r="A93" s="36"/>
      <c r="B93" s="36"/>
      <c r="C93" s="36"/>
      <c r="D93" s="36"/>
      <c r="E93" s="36"/>
      <c r="F93" s="36"/>
      <c r="G93" s="235"/>
      <c r="H93" s="281"/>
      <c r="I93" s="281"/>
      <c r="J93" s="281"/>
      <c r="K93" s="281"/>
      <c r="L93" s="281"/>
      <c r="M93" s="281"/>
      <c r="N93" s="281"/>
      <c r="O93" s="281"/>
      <c r="P93" s="281"/>
      <c r="Q93" s="281"/>
      <c r="R93" s="36"/>
    </row>
    <row r="94" spans="1:18" x14ac:dyDescent="0.25">
      <c r="A94" s="36"/>
      <c r="B94" s="36"/>
      <c r="C94" s="35"/>
      <c r="D94" s="36"/>
      <c r="E94" s="36" t="s">
        <v>42</v>
      </c>
      <c r="F94" s="36"/>
      <c r="G94" s="235">
        <f>'Funding Model'!D9</f>
        <v>7350.1419469065795</v>
      </c>
      <c r="H94" s="281"/>
      <c r="I94" s="281"/>
      <c r="J94" s="281"/>
      <c r="K94" s="281"/>
      <c r="L94" s="281"/>
      <c r="M94" s="281"/>
      <c r="N94" s="281"/>
      <c r="O94" s="281"/>
      <c r="P94" s="281"/>
      <c r="Q94" s="281"/>
      <c r="R94" s="36"/>
    </row>
    <row r="95" spans="1:18" x14ac:dyDescent="0.25">
      <c r="A95" s="36"/>
      <c r="B95" s="36"/>
      <c r="C95" s="36"/>
      <c r="D95" s="36"/>
      <c r="E95" s="36"/>
      <c r="F95" s="36"/>
      <c r="G95" s="235"/>
      <c r="H95" s="281"/>
      <c r="I95" s="281"/>
      <c r="J95" s="281"/>
      <c r="K95" s="281"/>
      <c r="L95" s="281"/>
      <c r="M95" s="281"/>
      <c r="N95" s="281"/>
      <c r="O95" s="281"/>
      <c r="P95" s="281"/>
      <c r="Q95" s="281"/>
      <c r="R95" s="36"/>
    </row>
    <row r="96" spans="1:18" x14ac:dyDescent="0.25">
      <c r="A96" s="36"/>
      <c r="B96" s="36"/>
      <c r="C96" s="35"/>
      <c r="D96" s="36"/>
      <c r="E96" s="36" t="s">
        <v>45</v>
      </c>
      <c r="F96" s="36"/>
      <c r="G96" s="235">
        <f>'Funding Model'!D11</f>
        <v>6243.7244928897762</v>
      </c>
      <c r="H96" s="281"/>
      <c r="I96" s="281"/>
      <c r="J96" s="281"/>
      <c r="K96" s="281"/>
      <c r="L96" s="281"/>
      <c r="M96" s="281"/>
      <c r="N96" s="281"/>
      <c r="O96" s="281"/>
      <c r="P96" s="281"/>
      <c r="Q96" s="281"/>
      <c r="R96" s="36"/>
    </row>
    <row r="97" spans="1:42" x14ac:dyDescent="0.25">
      <c r="A97" s="36"/>
      <c r="B97" s="36"/>
      <c r="C97" s="36"/>
      <c r="D97" s="36"/>
      <c r="E97" s="36"/>
      <c r="F97" s="36"/>
      <c r="G97" s="235"/>
      <c r="H97" s="281"/>
      <c r="I97" s="281"/>
      <c r="J97" s="281"/>
      <c r="K97" s="281"/>
      <c r="L97" s="281"/>
      <c r="M97" s="281"/>
      <c r="N97" s="281"/>
      <c r="O97" s="281"/>
      <c r="P97" s="281"/>
      <c r="Q97" s="281"/>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row>
    <row r="98" spans="1:42" x14ac:dyDescent="0.25">
      <c r="A98" s="36"/>
      <c r="B98" s="36"/>
      <c r="C98" s="35"/>
      <c r="D98" s="36"/>
      <c r="E98" s="36" t="s">
        <v>48</v>
      </c>
      <c r="F98" s="36"/>
      <c r="G98" s="235">
        <f>'Funding Model'!D13</f>
        <v>11692.020638096787</v>
      </c>
      <c r="H98" s="281"/>
      <c r="I98" s="281"/>
      <c r="J98" s="281"/>
      <c r="K98" s="281"/>
      <c r="L98" s="281"/>
      <c r="M98" s="281"/>
      <c r="N98" s="281"/>
      <c r="O98" s="281"/>
      <c r="P98" s="281"/>
      <c r="Q98" s="281"/>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row>
    <row r="99" spans="1:42" x14ac:dyDescent="0.25">
      <c r="A99" s="36"/>
      <c r="B99" s="36"/>
      <c r="C99" s="36"/>
      <c r="D99" s="36"/>
      <c r="E99" s="36"/>
      <c r="F99" s="36"/>
      <c r="G99" s="235"/>
      <c r="H99" s="281"/>
      <c r="I99" s="281"/>
      <c r="J99" s="281"/>
      <c r="K99" s="281"/>
      <c r="L99" s="281"/>
      <c r="M99" s="281"/>
      <c r="N99" s="281"/>
      <c r="O99" s="281"/>
      <c r="P99" s="281"/>
      <c r="Q99" s="281"/>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row>
    <row r="100" spans="1:42" x14ac:dyDescent="0.25">
      <c r="A100" s="36"/>
      <c r="B100" s="36"/>
      <c r="C100" s="35"/>
      <c r="D100" s="36"/>
      <c r="E100" s="36" t="s">
        <v>51</v>
      </c>
      <c r="F100" s="36"/>
      <c r="G100" s="235">
        <f>'Funding Model'!D15</f>
        <v>11692.020638096787</v>
      </c>
      <c r="H100" s="281"/>
      <c r="I100" s="281"/>
      <c r="J100" s="281"/>
      <c r="K100" s="281"/>
      <c r="L100" s="281"/>
      <c r="M100" s="281"/>
      <c r="N100" s="281"/>
      <c r="O100" s="281"/>
      <c r="P100" s="281"/>
      <c r="Q100" s="281"/>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row>
    <row r="101" spans="1:42" ht="14" x14ac:dyDescent="0.3">
      <c r="A101" s="36"/>
      <c r="B101" s="37"/>
      <c r="C101" s="38"/>
      <c r="D101" s="39"/>
      <c r="E101" s="281"/>
      <c r="F101" s="36"/>
      <c r="G101" s="36"/>
      <c r="H101" s="282"/>
      <c r="I101" s="281"/>
      <c r="J101" s="281"/>
      <c r="K101" s="282"/>
      <c r="L101" s="282"/>
      <c r="M101" s="282"/>
      <c r="N101" s="282"/>
      <c r="O101" s="282"/>
      <c r="P101" s="282"/>
      <c r="Q101" s="282"/>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row>
    <row r="102" spans="1:42" ht="14" x14ac:dyDescent="0.3">
      <c r="A102" s="36"/>
      <c r="B102" s="40"/>
      <c r="C102" s="41"/>
      <c r="D102" s="36"/>
      <c r="E102" s="36" t="s">
        <v>283</v>
      </c>
      <c r="F102" s="36"/>
      <c r="G102" s="235">
        <f>'Funding Model'!D17</f>
        <v>2635.0478891670464</v>
      </c>
      <c r="H102" s="281"/>
      <c r="I102" s="281"/>
      <c r="J102" s="281"/>
      <c r="K102" s="281"/>
      <c r="L102" s="281"/>
      <c r="M102" s="281"/>
      <c r="N102" s="281"/>
      <c r="O102" s="281"/>
      <c r="P102" s="281"/>
      <c r="Q102" s="281"/>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row>
    <row r="106" spans="1:42" ht="13" x14ac:dyDescent="0.3">
      <c r="A106" s="36"/>
      <c r="B106" s="36"/>
      <c r="C106" s="36"/>
      <c r="D106" s="1448" t="s">
        <v>284</v>
      </c>
      <c r="E106" s="1449"/>
      <c r="F106" s="1450"/>
      <c r="G106" s="1448" t="s">
        <v>284</v>
      </c>
      <c r="H106" s="1449"/>
      <c r="I106" s="1450"/>
      <c r="J106" s="1448" t="s">
        <v>264</v>
      </c>
      <c r="K106" s="1449"/>
      <c r="L106" s="1450"/>
      <c r="M106" s="170" t="s">
        <v>285</v>
      </c>
      <c r="N106" s="1448" t="s">
        <v>284</v>
      </c>
      <c r="O106" s="1449"/>
      <c r="P106" s="1450"/>
      <c r="Q106" s="1448" t="s">
        <v>264</v>
      </c>
      <c r="R106" s="1449"/>
      <c r="S106" s="1450"/>
      <c r="T106" s="170" t="s">
        <v>285</v>
      </c>
      <c r="U106" s="171" t="s">
        <v>285</v>
      </c>
      <c r="V106" s="172"/>
      <c r="W106" s="173"/>
      <c r="X106" s="36"/>
      <c r="Y106" s="36"/>
      <c r="Z106" s="36"/>
      <c r="AA106" s="36"/>
      <c r="AB106" s="36"/>
      <c r="AC106" s="36"/>
      <c r="AD106" s="36"/>
      <c r="AE106" s="36"/>
      <c r="AF106" s="36"/>
      <c r="AG106" s="36"/>
      <c r="AH106" s="36"/>
      <c r="AI106" s="36"/>
      <c r="AJ106" s="36"/>
      <c r="AK106" s="36"/>
      <c r="AL106" s="1443" t="s">
        <v>286</v>
      </c>
      <c r="AM106" s="36"/>
      <c r="AN106" s="36"/>
      <c r="AO106" s="36"/>
      <c r="AP106" s="36"/>
    </row>
    <row r="107" spans="1:42" ht="41.25" customHeight="1" x14ac:dyDescent="0.3">
      <c r="A107" s="283" t="s">
        <v>182</v>
      </c>
      <c r="B107" s="284" t="s">
        <v>183</v>
      </c>
      <c r="C107" s="238" t="s">
        <v>184</v>
      </c>
      <c r="D107" s="242" t="str">
        <f t="shared" ref="D107:D125" si="20">L5</f>
        <v>Assessment Funding (Apr-Aug)</v>
      </c>
      <c r="E107" s="241" t="str">
        <f t="shared" ref="E107:E125" si="21">L49</f>
        <v>Assessment Funding (Sept-Mar)</v>
      </c>
      <c r="F107" s="96" t="s">
        <v>287</v>
      </c>
      <c r="G107" s="241" t="str">
        <f t="shared" ref="G107:G125" si="22">M5</f>
        <v>Pre-16 Funding (Apr-Aug)</v>
      </c>
      <c r="H107" s="242" t="str">
        <f t="shared" ref="H107:H125" si="23">M49</f>
        <v>Pre-16 Funding (Sept-Mar)</v>
      </c>
      <c r="I107" s="96" t="s">
        <v>288</v>
      </c>
      <c r="J107" s="242" t="str">
        <f t="shared" ref="J107:J125" si="24">J27</f>
        <v>Post-16 Funding (Apr-Jul)</v>
      </c>
      <c r="K107" s="241" t="str">
        <f t="shared" ref="K107:K125" si="25">J71</f>
        <v>Post-16 Funding (Aug-Mar)</v>
      </c>
      <c r="L107" s="96" t="s">
        <v>289</v>
      </c>
      <c r="M107" s="96" t="s">
        <v>290</v>
      </c>
      <c r="N107" s="241" t="str">
        <f t="shared" ref="N107:N125" si="26">N5</f>
        <v>Additionality Funding (Apr-Aug)</v>
      </c>
      <c r="O107" s="241" t="str">
        <f t="shared" ref="O107:O125" si="27">N49</f>
        <v>Additionality Funding (Sept-Mar)</v>
      </c>
      <c r="P107" s="96" t="s">
        <v>291</v>
      </c>
      <c r="Q107" s="241" t="str">
        <f t="shared" ref="Q107:Q125" si="28">K27</f>
        <v>Additionality Funding (Apr-Jul)</v>
      </c>
      <c r="R107" s="242" t="str">
        <f t="shared" ref="R107:R125" si="29">K71</f>
        <v>Additionality Funding (Aug-Mar)</v>
      </c>
      <c r="S107" s="96" t="s">
        <v>291</v>
      </c>
      <c r="T107" s="96" t="s">
        <v>292</v>
      </c>
      <c r="U107" s="96" t="s">
        <v>189</v>
      </c>
      <c r="V107" s="241" t="s">
        <v>293</v>
      </c>
      <c r="W107" s="285" t="s">
        <v>294</v>
      </c>
      <c r="X107" s="237"/>
      <c r="Y107" s="241" t="s">
        <v>295</v>
      </c>
      <c r="Z107" s="241" t="s">
        <v>267</v>
      </c>
      <c r="AA107" s="96" t="s">
        <v>296</v>
      </c>
      <c r="AB107" s="323" t="s">
        <v>189</v>
      </c>
      <c r="AC107" s="241" t="s">
        <v>194</v>
      </c>
      <c r="AD107" s="241" t="s">
        <v>297</v>
      </c>
      <c r="AE107" s="241" t="s">
        <v>298</v>
      </c>
      <c r="AF107" s="96" t="s">
        <v>299</v>
      </c>
      <c r="AG107" s="241" t="s">
        <v>300</v>
      </c>
      <c r="AH107" s="241" t="s">
        <v>301</v>
      </c>
      <c r="AI107" s="96" t="s">
        <v>302</v>
      </c>
      <c r="AJ107" s="96" t="s">
        <v>303</v>
      </c>
      <c r="AK107" s="284"/>
      <c r="AL107" s="1444"/>
      <c r="AM107" s="36"/>
      <c r="AN107" s="36"/>
      <c r="AO107" s="36"/>
      <c r="AP107" s="36"/>
    </row>
    <row r="108" spans="1:42" ht="13" x14ac:dyDescent="0.3">
      <c r="A108" s="244">
        <v>9257010</v>
      </c>
      <c r="B108" s="237" t="s">
        <v>205</v>
      </c>
      <c r="C108" s="273">
        <v>4</v>
      </c>
      <c r="D108" s="245">
        <f t="shared" si="20"/>
        <v>0</v>
      </c>
      <c r="E108" s="245">
        <f t="shared" si="21"/>
        <v>0</v>
      </c>
      <c r="F108" s="68">
        <f>SUM(D108:E108)</f>
        <v>0</v>
      </c>
      <c r="G108" s="245">
        <f t="shared" si="22"/>
        <v>159296.75426002138</v>
      </c>
      <c r="H108" s="245">
        <f t="shared" si="23"/>
        <v>268762.21616177959</v>
      </c>
      <c r="I108" s="68">
        <f t="shared" ref="I108:I125" si="30">SUM(G108:H108)</f>
        <v>428058.97042180097</v>
      </c>
      <c r="J108" s="245">
        <f t="shared" si="24"/>
        <v>32676.257284106938</v>
      </c>
      <c r="K108" s="245">
        <f t="shared" si="25"/>
        <v>32676.257284106938</v>
      </c>
      <c r="L108" s="68">
        <f>SUM(J108:K108)</f>
        <v>65352.514568213875</v>
      </c>
      <c r="M108" s="68">
        <f>I108+L108</f>
        <v>493411.48499001487</v>
      </c>
      <c r="N108" s="245">
        <f t="shared" si="26"/>
        <v>3058.5377284974647</v>
      </c>
      <c r="O108" s="245">
        <f t="shared" si="27"/>
        <v>5160.3021162854657</v>
      </c>
      <c r="P108" s="68">
        <f>SUM(N108:O108)</f>
        <v>8218.8398447829313</v>
      </c>
      <c r="Q108" s="245">
        <f t="shared" si="28"/>
        <v>627.39235456358233</v>
      </c>
      <c r="R108" s="245">
        <f t="shared" si="29"/>
        <v>627.39235456358233</v>
      </c>
      <c r="S108" s="68">
        <f>SUM(Q108:R108)</f>
        <v>1254.7847091271647</v>
      </c>
      <c r="T108" s="68">
        <f>P108+S108</f>
        <v>9473.6245539100964</v>
      </c>
      <c r="U108" s="68">
        <f t="shared" ref="U108:U125" si="31">F108+I108+L108+P108+S108</f>
        <v>502885.10954392498</v>
      </c>
      <c r="V108" s="286">
        <f>(K6*(5/12))+(K50*(7/12))+(I28*(4/12))+(I72*(8/12))</f>
        <v>50.333333333333343</v>
      </c>
      <c r="W108" s="245">
        <f t="shared" ref="W108:W125" si="32">U108/V108</f>
        <v>9991.0948916011566</v>
      </c>
      <c r="X108" s="237"/>
      <c r="Y108" s="245">
        <f>P6+P50</f>
        <v>436666.66666666669</v>
      </c>
      <c r="Z108" s="245">
        <f>M28+M72</f>
        <v>66666.666666666657</v>
      </c>
      <c r="AA108" s="245">
        <f>Y108+Z108</f>
        <v>503333.33333333337</v>
      </c>
      <c r="AB108" s="245">
        <f>VLOOKUP(A108,'2017-18 Funding Detail'!$A$4:$AK$23,32,FALSE)</f>
        <v>1007482.6888128801</v>
      </c>
      <c r="AC108" s="245">
        <f>AB108-AA108</f>
        <v>504149.35547954671</v>
      </c>
      <c r="AD108" s="245">
        <f>Q6</f>
        <v>162763.45085846286</v>
      </c>
      <c r="AE108" s="245">
        <f>Q50</f>
        <v>274611.15555094508</v>
      </c>
      <c r="AF108" s="245">
        <f>AD108+AE108</f>
        <v>437374.60640940792</v>
      </c>
      <c r="AG108" s="245">
        <f t="shared" ref="AG108:AG125" si="33">N28</f>
        <v>33387.374535069306</v>
      </c>
      <c r="AH108" s="245">
        <f t="shared" ref="AH108:AH125" si="34">N72</f>
        <v>33387.374535069306</v>
      </c>
      <c r="AI108" s="245">
        <f>AG108+AH108</f>
        <v>66774.749070138612</v>
      </c>
      <c r="AJ108" s="245">
        <f>AF108+AI108</f>
        <v>504149.35547954653</v>
      </c>
      <c r="AK108" s="287"/>
      <c r="AL108" s="1029">
        <f>AA108+AF108+AI108</f>
        <v>1007482.6888128798</v>
      </c>
      <c r="AM108" s="247" t="s">
        <v>207</v>
      </c>
      <c r="AN108" s="298" t="s">
        <v>207</v>
      </c>
      <c r="AO108" s="247"/>
      <c r="AP108" s="247"/>
    </row>
    <row r="109" spans="1:42" ht="13" x14ac:dyDescent="0.3">
      <c r="A109" s="244">
        <v>9257005</v>
      </c>
      <c r="B109" s="237" t="s">
        <v>208</v>
      </c>
      <c r="C109" s="267">
        <v>4</v>
      </c>
      <c r="D109" s="245">
        <f t="shared" si="20"/>
        <v>0</v>
      </c>
      <c r="E109" s="245">
        <f t="shared" si="21"/>
        <v>0</v>
      </c>
      <c r="F109" s="68">
        <f t="shared" ref="F109:F125" si="35">SUM(D109:E109)</f>
        <v>0</v>
      </c>
      <c r="G109" s="245">
        <f t="shared" si="22"/>
        <v>172829.35705892986</v>
      </c>
      <c r="H109" s="245">
        <f t="shared" si="23"/>
        <v>241961.09988250182</v>
      </c>
      <c r="I109" s="68">
        <f t="shared" si="30"/>
        <v>414790.45694143168</v>
      </c>
      <c r="J109" s="245">
        <f t="shared" si="24"/>
        <v>89103.135194826071</v>
      </c>
      <c r="K109" s="245">
        <f t="shared" si="25"/>
        <v>184351.31419619187</v>
      </c>
      <c r="L109" s="68">
        <f t="shared" ref="L109:L125" si="36">SUM(J109:K109)</f>
        <v>273454.44939101796</v>
      </c>
      <c r="M109" s="68">
        <f t="shared" ref="M109:M124" si="37">I109+L109</f>
        <v>688244.90633244964</v>
      </c>
      <c r="N109" s="245">
        <f t="shared" si="26"/>
        <v>9751.4107740556829</v>
      </c>
      <c r="O109" s="245">
        <f t="shared" si="27"/>
        <v>13651.975083677955</v>
      </c>
      <c r="P109" s="68">
        <f t="shared" ref="P109:P125" si="38">SUM(N109:O109)</f>
        <v>23403.385857733636</v>
      </c>
      <c r="Q109" s="245">
        <f t="shared" si="28"/>
        <v>5027.3939990687068</v>
      </c>
      <c r="R109" s="245">
        <f t="shared" si="29"/>
        <v>10401.504825659395</v>
      </c>
      <c r="S109" s="68">
        <f t="shared" ref="S109:S125" si="39">SUM(Q109:R109)</f>
        <v>15428.898824728101</v>
      </c>
      <c r="T109" s="68">
        <f t="shared" ref="T109:T125" si="40">P109+S109</f>
        <v>38832.284682461737</v>
      </c>
      <c r="U109" s="68">
        <f t="shared" si="31"/>
        <v>727077.1910149114</v>
      </c>
      <c r="V109" s="286">
        <f t="shared" ref="V109:V125" si="41">(K7*(5/12))+(K51*(7/12))+(I29*(4/12))+(I73*(8/12))</f>
        <v>74.666666666666657</v>
      </c>
      <c r="W109" s="245">
        <f t="shared" si="32"/>
        <v>9737.6409510925641</v>
      </c>
      <c r="X109" s="237"/>
      <c r="Y109" s="245">
        <f t="shared" ref="Y109:Y125" si="42">P7+P51</f>
        <v>450000</v>
      </c>
      <c r="Z109" s="245">
        <f t="shared" ref="Z109:Z125" si="43">M29+M73</f>
        <v>296666.66666666663</v>
      </c>
      <c r="AA109" s="245">
        <f t="shared" ref="AA109:AA125" si="44">Y109+Z109</f>
        <v>746666.66666666663</v>
      </c>
      <c r="AB109" s="245">
        <f>VLOOKUP(A109,'2017-18 Funding Detail'!$A$4:$AK$23,32,FALSE)</f>
        <v>1229897.9438585793</v>
      </c>
      <c r="AC109" s="245">
        <f t="shared" ref="AC109:AC125" si="45">AB109-AA109</f>
        <v>483231.27719191264</v>
      </c>
      <c r="AD109" s="245">
        <f t="shared" ref="AD109:AD125" si="46">Q7</f>
        <v>121347.13991984416</v>
      </c>
      <c r="AE109" s="245">
        <f t="shared" ref="AE109:AE125" si="47">Q51</f>
        <v>169885.99588778184</v>
      </c>
      <c r="AF109" s="245">
        <f t="shared" ref="AF109:AF125" si="48">AD109+AE109</f>
        <v>291233.13580762601</v>
      </c>
      <c r="AG109" s="245">
        <f t="shared" si="33"/>
        <v>62561.192136452984</v>
      </c>
      <c r="AH109" s="245">
        <f t="shared" si="34"/>
        <v>129436.94924783375</v>
      </c>
      <c r="AI109" s="245">
        <f t="shared" ref="AI109:AI125" si="49">AG109+AH109</f>
        <v>191998.14138428675</v>
      </c>
      <c r="AJ109" s="245">
        <f t="shared" ref="AJ109:AJ125" si="50">AF109+AI109</f>
        <v>483231.27719191276</v>
      </c>
      <c r="AK109" s="287"/>
      <c r="AL109" s="1029">
        <f t="shared" ref="AL109:AL125" si="51">AA109+AF109+AI109</f>
        <v>1229897.9438585795</v>
      </c>
      <c r="AM109" s="247" t="s">
        <v>207</v>
      </c>
      <c r="AN109" s="298" t="s">
        <v>207</v>
      </c>
      <c r="AO109" s="247"/>
      <c r="AP109" s="247"/>
    </row>
    <row r="110" spans="1:42" ht="13" x14ac:dyDescent="0.3">
      <c r="A110" s="244">
        <v>9257025</v>
      </c>
      <c r="B110" s="237" t="s">
        <v>209</v>
      </c>
      <c r="C110" s="271">
        <v>4</v>
      </c>
      <c r="D110" s="245">
        <f t="shared" si="20"/>
        <v>0</v>
      </c>
      <c r="E110" s="245">
        <f t="shared" si="21"/>
        <v>0</v>
      </c>
      <c r="F110" s="68">
        <f>SUM(D110:E110)</f>
        <v>0</v>
      </c>
      <c r="G110" s="245">
        <f t="shared" si="22"/>
        <v>195618.96882617046</v>
      </c>
      <c r="H110" s="245">
        <f t="shared" si="23"/>
        <v>262688.32956657175</v>
      </c>
      <c r="I110" s="68">
        <f t="shared" si="30"/>
        <v>458307.29839274217</v>
      </c>
      <c r="J110" s="245">
        <f t="shared" si="24"/>
        <v>41519.128077391273</v>
      </c>
      <c r="K110" s="245">
        <f t="shared" si="25"/>
        <v>102200.93065204007</v>
      </c>
      <c r="L110" s="68">
        <f t="shared" si="36"/>
        <v>143720.05872943136</v>
      </c>
      <c r="M110" s="68">
        <f t="shared" si="37"/>
        <v>602027.35712217353</v>
      </c>
      <c r="N110" s="245">
        <f t="shared" si="26"/>
        <v>11165.808272492439</v>
      </c>
      <c r="O110" s="245">
        <f t="shared" si="27"/>
        <v>14994.085394489844</v>
      </c>
      <c r="P110" s="68">
        <f t="shared" si="38"/>
        <v>26159.893666982283</v>
      </c>
      <c r="Q110" s="245">
        <f t="shared" si="28"/>
        <v>2369.8858374269662</v>
      </c>
      <c r="R110" s="245">
        <f t="shared" si="29"/>
        <v>5833.5651382817632</v>
      </c>
      <c r="S110" s="68">
        <f t="shared" si="39"/>
        <v>8203.4509757087289</v>
      </c>
      <c r="T110" s="68">
        <f t="shared" si="40"/>
        <v>34363.344642691009</v>
      </c>
      <c r="U110" s="68">
        <f t="shared" si="31"/>
        <v>636390.70176486461</v>
      </c>
      <c r="V110" s="286">
        <f t="shared" si="41"/>
        <v>62.833333333333336</v>
      </c>
      <c r="W110" s="245">
        <f t="shared" si="32"/>
        <v>10128.233980342673</v>
      </c>
      <c r="X110" s="237"/>
      <c r="Y110" s="245">
        <f t="shared" si="42"/>
        <v>478333.33333333337</v>
      </c>
      <c r="Z110" s="245">
        <f t="shared" si="43"/>
        <v>150000</v>
      </c>
      <c r="AA110" s="245">
        <f t="shared" si="44"/>
        <v>628333.33333333337</v>
      </c>
      <c r="AB110" s="245">
        <f>VLOOKUP(A110,'2017-18 Funding Detail'!$A$4:$AK$23,32,FALSE)</f>
        <v>1140521.4712961763</v>
      </c>
      <c r="AC110" s="245">
        <f t="shared" si="45"/>
        <v>512188.13796284294</v>
      </c>
      <c r="AD110" s="245">
        <f t="shared" si="46"/>
        <v>166427.18010728981</v>
      </c>
      <c r="AE110" s="245">
        <f t="shared" si="47"/>
        <v>223487.92757264632</v>
      </c>
      <c r="AF110" s="245">
        <f t="shared" si="48"/>
        <v>389915.1076799361</v>
      </c>
      <c r="AG110" s="245">
        <f t="shared" si="33"/>
        <v>35323.31985950641</v>
      </c>
      <c r="AH110" s="245">
        <f t="shared" si="34"/>
        <v>86949.710423400393</v>
      </c>
      <c r="AI110" s="245">
        <f t="shared" si="49"/>
        <v>122273.03028290681</v>
      </c>
      <c r="AJ110" s="245">
        <f t="shared" si="50"/>
        <v>512188.13796284294</v>
      </c>
      <c r="AK110" s="287"/>
      <c r="AL110" s="1029">
        <f t="shared" si="51"/>
        <v>1140521.4712961763</v>
      </c>
      <c r="AM110" s="247" t="s">
        <v>207</v>
      </c>
      <c r="AN110" s="298" t="s">
        <v>207</v>
      </c>
      <c r="AO110" s="247"/>
      <c r="AP110" s="247"/>
    </row>
    <row r="111" spans="1:42" ht="13" x14ac:dyDescent="0.3">
      <c r="A111" s="244">
        <v>9257011</v>
      </c>
      <c r="B111" s="237" t="s">
        <v>210</v>
      </c>
      <c r="C111" s="267">
        <v>4</v>
      </c>
      <c r="D111" s="245">
        <f t="shared" si="20"/>
        <v>0</v>
      </c>
      <c r="E111" s="245">
        <f t="shared" si="21"/>
        <v>0</v>
      </c>
      <c r="F111" s="68">
        <f t="shared" si="35"/>
        <v>0</v>
      </c>
      <c r="G111" s="245">
        <f t="shared" si="22"/>
        <v>193067.83313279488</v>
      </c>
      <c r="H111" s="245">
        <f t="shared" si="23"/>
        <v>235789.22599622188</v>
      </c>
      <c r="I111" s="68">
        <f t="shared" si="30"/>
        <v>428857.05912901676</v>
      </c>
      <c r="J111" s="245">
        <f t="shared" si="24"/>
        <v>9858.7829684831449</v>
      </c>
      <c r="K111" s="245">
        <f t="shared" si="25"/>
        <v>92015.307705842686</v>
      </c>
      <c r="L111" s="68">
        <f t="shared" si="36"/>
        <v>101874.09067432582</v>
      </c>
      <c r="M111" s="68">
        <f t="shared" si="37"/>
        <v>530731.14980334253</v>
      </c>
      <c r="N111" s="245">
        <f t="shared" si="26"/>
        <v>8027.1366253329461</v>
      </c>
      <c r="O111" s="245">
        <f t="shared" si="27"/>
        <v>9803.3540913640682</v>
      </c>
      <c r="P111" s="68">
        <f t="shared" si="38"/>
        <v>17830.490716697015</v>
      </c>
      <c r="Q111" s="245">
        <f t="shared" si="28"/>
        <v>409.8963383148739</v>
      </c>
      <c r="R111" s="245">
        <f t="shared" si="29"/>
        <v>3825.6991576054897</v>
      </c>
      <c r="S111" s="68">
        <f t="shared" si="39"/>
        <v>4235.5954959203636</v>
      </c>
      <c r="T111" s="68">
        <f t="shared" si="40"/>
        <v>22066.086212617378</v>
      </c>
      <c r="U111" s="68">
        <f t="shared" si="31"/>
        <v>552797.23601595999</v>
      </c>
      <c r="V111" s="286">
        <f t="shared" si="41"/>
        <v>53.833333333333329</v>
      </c>
      <c r="W111" s="245">
        <f t="shared" si="32"/>
        <v>10268.67930679802</v>
      </c>
      <c r="X111" s="237"/>
      <c r="Y111" s="245">
        <f t="shared" si="42"/>
        <v>435000</v>
      </c>
      <c r="Z111" s="245">
        <f t="shared" si="43"/>
        <v>103333.33333333333</v>
      </c>
      <c r="AA111" s="245">
        <f t="shared" si="44"/>
        <v>538333.33333333337</v>
      </c>
      <c r="AB111" s="245">
        <f>VLOOKUP(A111,'2017-18 Funding Detail'!$A$4:$AK$23,32,FALSE)</f>
        <v>1054660.1255724442</v>
      </c>
      <c r="AC111" s="245">
        <f t="shared" si="45"/>
        <v>516326.7922391108</v>
      </c>
      <c r="AD111" s="245">
        <f t="shared" si="46"/>
        <v>187827.85785788091</v>
      </c>
      <c r="AE111" s="245">
        <f t="shared" si="47"/>
        <v>229389.7668306886</v>
      </c>
      <c r="AF111" s="245">
        <f t="shared" si="48"/>
        <v>417217.62468856951</v>
      </c>
      <c r="AG111" s="245">
        <f t="shared" si="33"/>
        <v>9591.209762955621</v>
      </c>
      <c r="AH111" s="245">
        <f t="shared" si="34"/>
        <v>89517.957787585794</v>
      </c>
      <c r="AI111" s="245">
        <f t="shared" si="49"/>
        <v>99109.167550541417</v>
      </c>
      <c r="AJ111" s="245">
        <f t="shared" si="50"/>
        <v>516326.79223911092</v>
      </c>
      <c r="AK111" s="287"/>
      <c r="AL111" s="1029">
        <f t="shared" si="51"/>
        <v>1054660.1255724444</v>
      </c>
      <c r="AM111" s="247" t="s">
        <v>207</v>
      </c>
      <c r="AN111" s="298" t="s">
        <v>207</v>
      </c>
      <c r="AO111" s="247"/>
      <c r="AP111" s="247"/>
    </row>
    <row r="112" spans="1:42" ht="13" x14ac:dyDescent="0.3">
      <c r="A112" s="244">
        <v>9257024</v>
      </c>
      <c r="B112" s="237" t="s">
        <v>211</v>
      </c>
      <c r="C112" s="267">
        <v>3</v>
      </c>
      <c r="D112" s="245">
        <f t="shared" si="20"/>
        <v>0</v>
      </c>
      <c r="E112" s="245">
        <f t="shared" si="21"/>
        <v>0</v>
      </c>
      <c r="F112" s="68">
        <f t="shared" si="35"/>
        <v>0</v>
      </c>
      <c r="G112" s="245">
        <f t="shared" si="22"/>
        <v>171482.24983746134</v>
      </c>
      <c r="H112" s="245">
        <f t="shared" si="23"/>
        <v>309430.19304004131</v>
      </c>
      <c r="I112" s="68">
        <f t="shared" si="30"/>
        <v>480912.44287750265</v>
      </c>
      <c r="J112" s="245">
        <f t="shared" si="24"/>
        <v>39631.453295768835</v>
      </c>
      <c r="K112" s="245">
        <f t="shared" si="25"/>
        <v>67068.613269762631</v>
      </c>
      <c r="L112" s="68">
        <f t="shared" si="36"/>
        <v>106700.06656553147</v>
      </c>
      <c r="M112" s="68">
        <f t="shared" si="37"/>
        <v>587612.50944303407</v>
      </c>
      <c r="N112" s="245">
        <f t="shared" si="26"/>
        <v>2694.9353411935704</v>
      </c>
      <c r="O112" s="245">
        <f t="shared" si="27"/>
        <v>4862.8611045537318</v>
      </c>
      <c r="P112" s="68">
        <f t="shared" si="38"/>
        <v>7557.7964457473026</v>
      </c>
      <c r="Q112" s="245">
        <f t="shared" si="28"/>
        <v>622.82950107584725</v>
      </c>
      <c r="R112" s="245">
        <f t="shared" si="29"/>
        <v>1054.0191556668185</v>
      </c>
      <c r="S112" s="68">
        <f t="shared" si="39"/>
        <v>1676.8486567426658</v>
      </c>
      <c r="T112" s="68">
        <f t="shared" si="40"/>
        <v>9234.6451024899688</v>
      </c>
      <c r="U112" s="68">
        <f t="shared" si="31"/>
        <v>596847.15454552404</v>
      </c>
      <c r="V112" s="286">
        <f t="shared" si="41"/>
        <v>64.25</v>
      </c>
      <c r="W112" s="245">
        <f t="shared" si="32"/>
        <v>9289.4498761949271</v>
      </c>
      <c r="X112" s="237"/>
      <c r="Y112" s="245">
        <f t="shared" si="42"/>
        <v>525833.33333333337</v>
      </c>
      <c r="Z112" s="245">
        <f t="shared" si="43"/>
        <v>116666.66666666666</v>
      </c>
      <c r="AA112" s="245">
        <f t="shared" si="44"/>
        <v>642500</v>
      </c>
      <c r="AB112" s="245">
        <f>VLOOKUP(A112,'2017-18 Funding Detail'!$A$4:$AK$23,32,FALSE)</f>
        <v>999825.25229854521</v>
      </c>
      <c r="AC112" s="245">
        <f t="shared" si="45"/>
        <v>357325.25229854521</v>
      </c>
      <c r="AD112" s="245">
        <f t="shared" si="46"/>
        <v>104277.79736338869</v>
      </c>
      <c r="AE112" s="245">
        <f t="shared" si="47"/>
        <v>188163.49213127024</v>
      </c>
      <c r="AF112" s="245">
        <f t="shared" si="48"/>
        <v>292441.28949465894</v>
      </c>
      <c r="AG112" s="245">
        <f t="shared" si="33"/>
        <v>24099.75761287205</v>
      </c>
      <c r="AH112" s="245">
        <f t="shared" si="34"/>
        <v>40784.20519101424</v>
      </c>
      <c r="AI112" s="245">
        <f t="shared" si="49"/>
        <v>64883.962803886287</v>
      </c>
      <c r="AJ112" s="245">
        <f t="shared" si="50"/>
        <v>357325.25229854521</v>
      </c>
      <c r="AK112" s="287"/>
      <c r="AL112" s="1029">
        <f t="shared" si="51"/>
        <v>999825.25229854521</v>
      </c>
      <c r="AM112" s="247" t="s">
        <v>207</v>
      </c>
      <c r="AN112" s="298" t="s">
        <v>207</v>
      </c>
      <c r="AO112" s="247"/>
      <c r="AP112" s="247"/>
    </row>
    <row r="113" spans="1:42" ht="13" x14ac:dyDescent="0.3">
      <c r="A113" s="244">
        <v>9257031</v>
      </c>
      <c r="B113" s="237" t="s">
        <v>257</v>
      </c>
      <c r="C113" s="267">
        <v>4</v>
      </c>
      <c r="D113" s="245">
        <f t="shared" si="20"/>
        <v>0</v>
      </c>
      <c r="E113" s="245">
        <f t="shared" si="21"/>
        <v>0</v>
      </c>
      <c r="F113" s="68">
        <f t="shared" si="35"/>
        <v>0</v>
      </c>
      <c r="G113" s="245">
        <f t="shared" si="22"/>
        <v>331273.91807940899</v>
      </c>
      <c r="H113" s="245">
        <f t="shared" si="23"/>
        <v>477424.17605561879</v>
      </c>
      <c r="I113" s="68">
        <f t="shared" si="30"/>
        <v>808698.09413502784</v>
      </c>
      <c r="J113" s="245">
        <f t="shared" si="24"/>
        <v>0</v>
      </c>
      <c r="K113" s="245">
        <f t="shared" si="25"/>
        <v>0</v>
      </c>
      <c r="L113" s="68">
        <f t="shared" si="36"/>
        <v>0</v>
      </c>
      <c r="M113" s="68">
        <f t="shared" si="37"/>
        <v>808698.09413502784</v>
      </c>
      <c r="N113" s="245">
        <f t="shared" si="26"/>
        <v>74659.69019306633</v>
      </c>
      <c r="O113" s="245">
        <f t="shared" si="27"/>
        <v>107597.78880765439</v>
      </c>
      <c r="P113" s="68">
        <f t="shared" si="38"/>
        <v>182257.47900072072</v>
      </c>
      <c r="Q113" s="245">
        <f t="shared" si="28"/>
        <v>0</v>
      </c>
      <c r="R113" s="245">
        <f t="shared" si="29"/>
        <v>0</v>
      </c>
      <c r="S113" s="68">
        <f t="shared" si="39"/>
        <v>0</v>
      </c>
      <c r="T113" s="68">
        <f t="shared" si="40"/>
        <v>182257.47900072072</v>
      </c>
      <c r="U113" s="68">
        <f t="shared" si="31"/>
        <v>990955.57313574851</v>
      </c>
      <c r="V113" s="286">
        <f t="shared" si="41"/>
        <v>69.166666666666671</v>
      </c>
      <c r="W113" s="245">
        <f t="shared" si="32"/>
        <v>14327.068527263833</v>
      </c>
      <c r="X113" s="237"/>
      <c r="Y113" s="245">
        <f t="shared" si="42"/>
        <v>691666.66666666674</v>
      </c>
      <c r="Z113" s="245">
        <f t="shared" si="43"/>
        <v>0</v>
      </c>
      <c r="AA113" s="245">
        <f t="shared" si="44"/>
        <v>691666.66666666674</v>
      </c>
      <c r="AB113" s="245">
        <f>VLOOKUP(A113,'2017-18 Funding Detail'!$A$4:$AK$23,32,FALSE)</f>
        <v>1417327.3026095496</v>
      </c>
      <c r="AC113" s="245">
        <f t="shared" si="45"/>
        <v>725660.63594288286</v>
      </c>
      <c r="AD113" s="245">
        <f t="shared" si="46"/>
        <v>297258.57375973515</v>
      </c>
      <c r="AE113" s="245">
        <f t="shared" si="47"/>
        <v>428402.06218314765</v>
      </c>
      <c r="AF113" s="245">
        <f t="shared" si="48"/>
        <v>725660.63594288286</v>
      </c>
      <c r="AG113" s="245">
        <f t="shared" si="33"/>
        <v>0</v>
      </c>
      <c r="AH113" s="245">
        <f t="shared" si="34"/>
        <v>0</v>
      </c>
      <c r="AI113" s="245">
        <f t="shared" si="49"/>
        <v>0</v>
      </c>
      <c r="AJ113" s="245">
        <f t="shared" si="50"/>
        <v>725660.63594288286</v>
      </c>
      <c r="AK113" s="287"/>
      <c r="AL113" s="1029">
        <f t="shared" si="51"/>
        <v>1417327.3026095496</v>
      </c>
      <c r="AM113" s="247" t="s">
        <v>207</v>
      </c>
      <c r="AN113" s="298" t="s">
        <v>207</v>
      </c>
      <c r="AO113" s="247"/>
      <c r="AP113" s="247"/>
    </row>
    <row r="114" spans="1:42" ht="13" x14ac:dyDescent="0.3">
      <c r="A114" s="244">
        <v>9257033</v>
      </c>
      <c r="B114" s="237" t="s">
        <v>220</v>
      </c>
      <c r="C114" s="267">
        <v>3</v>
      </c>
      <c r="D114" s="245">
        <f t="shared" si="20"/>
        <v>0</v>
      </c>
      <c r="E114" s="245">
        <f t="shared" si="21"/>
        <v>0</v>
      </c>
      <c r="F114" s="68">
        <f t="shared" si="35"/>
        <v>0</v>
      </c>
      <c r="G114" s="245">
        <f t="shared" si="22"/>
        <v>212396.95552966642</v>
      </c>
      <c r="H114" s="245">
        <f t="shared" si="23"/>
        <v>443425.22294790001</v>
      </c>
      <c r="I114" s="68">
        <f t="shared" si="30"/>
        <v>655822.17847756646</v>
      </c>
      <c r="J114" s="245">
        <f t="shared" si="24"/>
        <v>0</v>
      </c>
      <c r="K114" s="245">
        <f t="shared" si="25"/>
        <v>0</v>
      </c>
      <c r="L114" s="68">
        <f t="shared" si="36"/>
        <v>0</v>
      </c>
      <c r="M114" s="68">
        <f t="shared" si="37"/>
        <v>655822.17847756646</v>
      </c>
      <c r="N114" s="245">
        <f t="shared" si="26"/>
        <v>21619.370181575086</v>
      </c>
      <c r="O114" s="245">
        <f t="shared" si="27"/>
        <v>45135.17634399009</v>
      </c>
      <c r="P114" s="68">
        <f t="shared" si="38"/>
        <v>66754.54652556518</v>
      </c>
      <c r="Q114" s="245">
        <f t="shared" si="28"/>
        <v>0</v>
      </c>
      <c r="R114" s="245">
        <f t="shared" si="29"/>
        <v>0</v>
      </c>
      <c r="S114" s="68">
        <f t="shared" si="39"/>
        <v>0</v>
      </c>
      <c r="T114" s="68">
        <f t="shared" si="40"/>
        <v>66754.54652556518</v>
      </c>
      <c r="U114" s="68">
        <f t="shared" si="31"/>
        <v>722576.72500313167</v>
      </c>
      <c r="V114" s="286">
        <f t="shared" si="41"/>
        <v>73.333333333333343</v>
      </c>
      <c r="W114" s="245">
        <f t="shared" si="32"/>
        <v>9853.3189773154299</v>
      </c>
      <c r="X114" s="237"/>
      <c r="Y114" s="245">
        <f t="shared" si="42"/>
        <v>733333.33333333337</v>
      </c>
      <c r="Z114" s="245">
        <f t="shared" si="43"/>
        <v>0</v>
      </c>
      <c r="AA114" s="245">
        <f t="shared" si="44"/>
        <v>733333.33333333337</v>
      </c>
      <c r="AB114" s="245">
        <f>VLOOKUP(A114,'2017-18 Funding Detail'!$A$4:$AK$23,32,FALSE)</f>
        <v>1121419.8232914417</v>
      </c>
      <c r="AC114" s="245">
        <f t="shared" si="45"/>
        <v>388086.48995810829</v>
      </c>
      <c r="AD114" s="245">
        <f t="shared" si="46"/>
        <v>125687.10186143278</v>
      </c>
      <c r="AE114" s="245">
        <f t="shared" si="47"/>
        <v>262399.38809667545</v>
      </c>
      <c r="AF114" s="245">
        <f t="shared" si="48"/>
        <v>388086.48995810823</v>
      </c>
      <c r="AG114" s="245">
        <f t="shared" si="33"/>
        <v>0</v>
      </c>
      <c r="AH114" s="245">
        <f t="shared" si="34"/>
        <v>0</v>
      </c>
      <c r="AI114" s="245">
        <f t="shared" si="49"/>
        <v>0</v>
      </c>
      <c r="AJ114" s="245">
        <f t="shared" si="50"/>
        <v>388086.48995810823</v>
      </c>
      <c r="AK114" s="287"/>
      <c r="AL114" s="1029">
        <f t="shared" si="51"/>
        <v>1121419.8232914417</v>
      </c>
      <c r="AM114" s="247" t="s">
        <v>207</v>
      </c>
      <c r="AN114" s="298" t="s">
        <v>207</v>
      </c>
      <c r="AO114" s="247"/>
      <c r="AP114" s="247"/>
    </row>
    <row r="115" spans="1:42" ht="13" x14ac:dyDescent="0.3">
      <c r="A115" s="244">
        <v>9257008</v>
      </c>
      <c r="B115" s="237" t="s">
        <v>212</v>
      </c>
      <c r="C115" s="271">
        <v>4</v>
      </c>
      <c r="D115" s="245">
        <f t="shared" si="20"/>
        <v>0</v>
      </c>
      <c r="E115" s="245">
        <f t="shared" si="21"/>
        <v>0</v>
      </c>
      <c r="F115" s="68">
        <f t="shared" si="35"/>
        <v>0</v>
      </c>
      <c r="G115" s="245">
        <f t="shared" si="22"/>
        <v>300051.70758049889</v>
      </c>
      <c r="H115" s="245">
        <f t="shared" si="23"/>
        <v>420072.39061269845</v>
      </c>
      <c r="I115" s="68">
        <f t="shared" si="30"/>
        <v>720124.09819319728</v>
      </c>
      <c r="J115" s="245">
        <f t="shared" si="24"/>
        <v>0</v>
      </c>
      <c r="K115" s="245">
        <f t="shared" si="25"/>
        <v>0</v>
      </c>
      <c r="L115" s="68">
        <f t="shared" si="36"/>
        <v>0</v>
      </c>
      <c r="M115" s="68">
        <f t="shared" si="37"/>
        <v>720124.09819319728</v>
      </c>
      <c r="N115" s="245">
        <f t="shared" si="26"/>
        <v>27900.507061768727</v>
      </c>
      <c r="O115" s="245">
        <f t="shared" si="27"/>
        <v>39060.709886476216</v>
      </c>
      <c r="P115" s="68">
        <f t="shared" si="38"/>
        <v>66961.216948244939</v>
      </c>
      <c r="Q115" s="245">
        <f t="shared" si="28"/>
        <v>0</v>
      </c>
      <c r="R115" s="245">
        <f t="shared" si="29"/>
        <v>0</v>
      </c>
      <c r="S115" s="68">
        <f t="shared" si="39"/>
        <v>0</v>
      </c>
      <c r="T115" s="68">
        <f t="shared" si="40"/>
        <v>66961.216948244939</v>
      </c>
      <c r="U115" s="68">
        <f t="shared" si="31"/>
        <v>787085.31514144223</v>
      </c>
      <c r="V115" s="286">
        <f t="shared" si="41"/>
        <v>90</v>
      </c>
      <c r="W115" s="245">
        <f t="shared" si="32"/>
        <v>8745.392390460469</v>
      </c>
      <c r="X115" s="237"/>
      <c r="Y115" s="245">
        <f>P13+P57</f>
        <v>900000</v>
      </c>
      <c r="Z115" s="245">
        <f t="shared" si="43"/>
        <v>0</v>
      </c>
      <c r="AA115" s="245">
        <f t="shared" si="44"/>
        <v>900000</v>
      </c>
      <c r="AB115" s="245">
        <f>VLOOKUP(A115,'2017-18 Funding Detail'!$A$4:$AK$23,32,FALSE)</f>
        <v>1293986.4829410582</v>
      </c>
      <c r="AC115" s="245">
        <f t="shared" si="45"/>
        <v>393986.48294105823</v>
      </c>
      <c r="AD115" s="245">
        <f t="shared" si="46"/>
        <v>164161.03455877426</v>
      </c>
      <c r="AE115" s="245">
        <f t="shared" si="47"/>
        <v>229825.448382284</v>
      </c>
      <c r="AF115" s="245">
        <f t="shared" si="48"/>
        <v>393986.48294105823</v>
      </c>
      <c r="AG115" s="245">
        <f t="shared" si="33"/>
        <v>0</v>
      </c>
      <c r="AH115" s="245">
        <f t="shared" si="34"/>
        <v>0</v>
      </c>
      <c r="AI115" s="245">
        <f t="shared" si="49"/>
        <v>0</v>
      </c>
      <c r="AJ115" s="245">
        <f t="shared" si="50"/>
        <v>393986.48294105823</v>
      </c>
      <c r="AK115" s="287"/>
      <c r="AL115" s="1029">
        <f t="shared" si="51"/>
        <v>1293986.4829410582</v>
      </c>
      <c r="AM115" s="247" t="s">
        <v>207</v>
      </c>
      <c r="AN115" s="298" t="s">
        <v>207</v>
      </c>
      <c r="AO115" s="247"/>
      <c r="AP115" s="247"/>
    </row>
    <row r="116" spans="1:42" ht="13" x14ac:dyDescent="0.3">
      <c r="A116" s="244">
        <v>9257034</v>
      </c>
      <c r="B116" s="237" t="s">
        <v>221</v>
      </c>
      <c r="C116" s="267">
        <v>5</v>
      </c>
      <c r="D116" s="245">
        <f t="shared" si="20"/>
        <v>0</v>
      </c>
      <c r="E116" s="245">
        <f t="shared" si="21"/>
        <v>0</v>
      </c>
      <c r="F116" s="68">
        <f t="shared" si="35"/>
        <v>0</v>
      </c>
      <c r="G116" s="245">
        <f t="shared" si="22"/>
        <v>301957.50144890911</v>
      </c>
      <c r="H116" s="245">
        <f t="shared" si="23"/>
        <v>389491.24905994121</v>
      </c>
      <c r="I116" s="68">
        <f t="shared" si="30"/>
        <v>691448.75050885032</v>
      </c>
      <c r="J116" s="245">
        <f t="shared" si="24"/>
        <v>86855.19142800082</v>
      </c>
      <c r="K116" s="245">
        <f t="shared" si="25"/>
        <v>189995.73124875181</v>
      </c>
      <c r="L116" s="68">
        <f t="shared" si="36"/>
        <v>276850.92267675261</v>
      </c>
      <c r="M116" s="68">
        <f t="shared" si="37"/>
        <v>968299.67318560299</v>
      </c>
      <c r="N116" s="245">
        <f t="shared" si="26"/>
        <v>20004.923935474231</v>
      </c>
      <c r="O116" s="245">
        <f t="shared" si="27"/>
        <v>25804.104132499346</v>
      </c>
      <c r="P116" s="68">
        <f t="shared" si="38"/>
        <v>45809.028067973573</v>
      </c>
      <c r="Q116" s="245">
        <f t="shared" si="28"/>
        <v>5754.2253117768569</v>
      </c>
      <c r="R116" s="245">
        <f t="shared" si="29"/>
        <v>12587.367869511874</v>
      </c>
      <c r="S116" s="68">
        <f t="shared" si="39"/>
        <v>18341.593181288732</v>
      </c>
      <c r="T116" s="68">
        <f t="shared" si="40"/>
        <v>64150.621249262302</v>
      </c>
      <c r="U116" s="68">
        <f t="shared" si="31"/>
        <v>1032450.2944348652</v>
      </c>
      <c r="V116" s="286">
        <f t="shared" si="41"/>
        <v>118.91666666666667</v>
      </c>
      <c r="W116" s="245">
        <f t="shared" si="32"/>
        <v>8682.1328193541576</v>
      </c>
      <c r="X116" s="237"/>
      <c r="Y116" s="245">
        <f t="shared" si="42"/>
        <v>849166.66666666674</v>
      </c>
      <c r="Z116" s="245">
        <f t="shared" si="43"/>
        <v>340000</v>
      </c>
      <c r="AA116" s="245">
        <f t="shared" si="44"/>
        <v>1189166.6666666667</v>
      </c>
      <c r="AB116" s="245">
        <f>VLOOKUP(A116,'2017-18 Funding Detail'!$A$4:$AK$23,32,FALSE)</f>
        <v>1586425.7409007384</v>
      </c>
      <c r="AC116" s="245">
        <f t="shared" si="45"/>
        <v>397259.07423407165</v>
      </c>
      <c r="AD116" s="245">
        <f t="shared" si="46"/>
        <v>123882.47234349116</v>
      </c>
      <c r="AE116" s="245">
        <f t="shared" si="47"/>
        <v>159794.4699441886</v>
      </c>
      <c r="AF116" s="245">
        <f t="shared" si="48"/>
        <v>283676.94228767976</v>
      </c>
      <c r="AG116" s="245">
        <f t="shared" si="33"/>
        <v>35633.610022397457</v>
      </c>
      <c r="AH116" s="245">
        <f t="shared" si="34"/>
        <v>77948.521923994442</v>
      </c>
      <c r="AI116" s="245">
        <f t="shared" si="49"/>
        <v>113582.13194639189</v>
      </c>
      <c r="AJ116" s="245">
        <f t="shared" si="50"/>
        <v>397259.07423407165</v>
      </c>
      <c r="AK116" s="287"/>
      <c r="AL116" s="1029">
        <f t="shared" si="51"/>
        <v>1586425.7409007384</v>
      </c>
      <c r="AM116" s="247" t="s">
        <v>207</v>
      </c>
      <c r="AN116" s="298" t="s">
        <v>207</v>
      </c>
      <c r="AO116" s="247"/>
      <c r="AP116" s="247"/>
    </row>
    <row r="117" spans="1:42" ht="13" x14ac:dyDescent="0.3">
      <c r="A117" s="244">
        <v>9257002</v>
      </c>
      <c r="B117" s="237" t="s">
        <v>213</v>
      </c>
      <c r="C117" s="267">
        <v>5</v>
      </c>
      <c r="D117" s="245">
        <f t="shared" si="20"/>
        <v>0</v>
      </c>
      <c r="E117" s="245">
        <f t="shared" si="21"/>
        <v>0</v>
      </c>
      <c r="F117" s="68">
        <f t="shared" si="35"/>
        <v>0</v>
      </c>
      <c r="G117" s="245">
        <f t="shared" si="22"/>
        <v>376943.02906798979</v>
      </c>
      <c r="H117" s="245">
        <f t="shared" si="23"/>
        <v>599490.19342973107</v>
      </c>
      <c r="I117" s="68">
        <f t="shared" si="30"/>
        <v>976433.22249772085</v>
      </c>
      <c r="J117" s="245">
        <f t="shared" si="24"/>
        <v>0</v>
      </c>
      <c r="K117" s="245">
        <f t="shared" si="25"/>
        <v>0</v>
      </c>
      <c r="L117" s="68">
        <f t="shared" si="36"/>
        <v>0</v>
      </c>
      <c r="M117" s="68">
        <f t="shared" si="37"/>
        <v>976433.22249772085</v>
      </c>
      <c r="N117" s="245">
        <f t="shared" si="26"/>
        <v>12686.242463601851</v>
      </c>
      <c r="O117" s="245">
        <f t="shared" si="27"/>
        <v>20176.20001411239</v>
      </c>
      <c r="P117" s="68">
        <f t="shared" si="38"/>
        <v>32862.442477714241</v>
      </c>
      <c r="Q117" s="245">
        <f t="shared" si="28"/>
        <v>0</v>
      </c>
      <c r="R117" s="245">
        <f t="shared" si="29"/>
        <v>0</v>
      </c>
      <c r="S117" s="68">
        <f t="shared" si="39"/>
        <v>0</v>
      </c>
      <c r="T117" s="68">
        <f t="shared" si="40"/>
        <v>32862.442477714241</v>
      </c>
      <c r="U117" s="68">
        <f t="shared" si="31"/>
        <v>1009295.6649754351</v>
      </c>
      <c r="V117" s="286">
        <f t="shared" si="41"/>
        <v>134.91666666666669</v>
      </c>
      <c r="W117" s="245">
        <f t="shared" si="32"/>
        <v>7480.8820134065591</v>
      </c>
      <c r="X117" s="237"/>
      <c r="Y117" s="245">
        <f t="shared" si="42"/>
        <v>1349166.6666666667</v>
      </c>
      <c r="Z117" s="245">
        <f t="shared" si="43"/>
        <v>0</v>
      </c>
      <c r="AA117" s="245">
        <f t="shared" si="44"/>
        <v>1349166.6666666667</v>
      </c>
      <c r="AB117" s="245">
        <f>VLOOKUP(A117,'2017-18 Funding Detail'!$A$4:$AK$23,32,FALSE)</f>
        <v>1568691.0263972562</v>
      </c>
      <c r="AC117" s="245">
        <f t="shared" si="45"/>
        <v>219524.35973058944</v>
      </c>
      <c r="AD117" s="245">
        <f t="shared" si="46"/>
        <v>84745.351965175039</v>
      </c>
      <c r="AE117" s="245">
        <f t="shared" si="47"/>
        <v>134779.00776541437</v>
      </c>
      <c r="AF117" s="245">
        <f t="shared" si="48"/>
        <v>219524.35973058941</v>
      </c>
      <c r="AG117" s="245">
        <f t="shared" si="33"/>
        <v>0</v>
      </c>
      <c r="AH117" s="245">
        <f t="shared" si="34"/>
        <v>0</v>
      </c>
      <c r="AI117" s="245">
        <f t="shared" si="49"/>
        <v>0</v>
      </c>
      <c r="AJ117" s="245">
        <f t="shared" si="50"/>
        <v>219524.35973058941</v>
      </c>
      <c r="AK117" s="287"/>
      <c r="AL117" s="1029">
        <f t="shared" si="51"/>
        <v>1568691.0263972562</v>
      </c>
      <c r="AM117" s="247" t="s">
        <v>207</v>
      </c>
      <c r="AN117" s="298" t="s">
        <v>207</v>
      </c>
      <c r="AO117" s="247"/>
      <c r="AP117" s="247"/>
    </row>
    <row r="118" spans="1:42" ht="13" x14ac:dyDescent="0.3">
      <c r="A118" s="244">
        <v>9257009</v>
      </c>
      <c r="B118" s="237" t="s">
        <v>214</v>
      </c>
      <c r="C118" s="267">
        <v>4</v>
      </c>
      <c r="D118" s="245">
        <f t="shared" si="20"/>
        <v>0</v>
      </c>
      <c r="E118" s="245">
        <f t="shared" si="21"/>
        <v>0</v>
      </c>
      <c r="F118" s="68">
        <f t="shared" si="35"/>
        <v>0</v>
      </c>
      <c r="G118" s="245">
        <f t="shared" si="22"/>
        <v>386326.99019738677</v>
      </c>
      <c r="H118" s="245">
        <f t="shared" si="23"/>
        <v>545083.23773162556</v>
      </c>
      <c r="I118" s="68">
        <f t="shared" si="30"/>
        <v>931410.22792901238</v>
      </c>
      <c r="J118" s="245">
        <f t="shared" si="24"/>
        <v>0</v>
      </c>
      <c r="K118" s="245">
        <f t="shared" si="25"/>
        <v>0</v>
      </c>
      <c r="L118" s="68">
        <f t="shared" si="36"/>
        <v>0</v>
      </c>
      <c r="M118" s="68">
        <f t="shared" si="37"/>
        <v>931410.22792901238</v>
      </c>
      <c r="N118" s="245">
        <f t="shared" si="26"/>
        <v>19458.815181541268</v>
      </c>
      <c r="O118" s="245">
        <f t="shared" si="27"/>
        <v>27455.17204520588</v>
      </c>
      <c r="P118" s="68">
        <f t="shared" si="38"/>
        <v>46913.987226747151</v>
      </c>
      <c r="Q118" s="245">
        <f t="shared" si="28"/>
        <v>0</v>
      </c>
      <c r="R118" s="245">
        <f t="shared" si="29"/>
        <v>0</v>
      </c>
      <c r="S118" s="68">
        <f t="shared" si="39"/>
        <v>0</v>
      </c>
      <c r="T118" s="68">
        <f t="shared" si="40"/>
        <v>46913.987226747151</v>
      </c>
      <c r="U118" s="68">
        <f t="shared" si="31"/>
        <v>978324.21515575959</v>
      </c>
      <c r="V118" s="286">
        <f t="shared" si="41"/>
        <v>128.58333333333334</v>
      </c>
      <c r="W118" s="245">
        <f t="shared" si="32"/>
        <v>7608.4838508549019</v>
      </c>
      <c r="X118" s="237"/>
      <c r="Y118" s="245">
        <f t="shared" si="42"/>
        <v>1285833.3333333335</v>
      </c>
      <c r="Z118" s="245">
        <f t="shared" si="43"/>
        <v>0</v>
      </c>
      <c r="AA118" s="245">
        <f t="shared" si="44"/>
        <v>1285833.3333333335</v>
      </c>
      <c r="AB118" s="245">
        <f>VLOOKUP(A118,'2017-18 Funding Detail'!$A$4:$AK$23,32,FALSE)</f>
        <v>1485363.95452345</v>
      </c>
      <c r="AC118" s="245">
        <f t="shared" si="45"/>
        <v>199530.62119011651</v>
      </c>
      <c r="AD118" s="245">
        <f t="shared" si="46"/>
        <v>82760.594660838993</v>
      </c>
      <c r="AE118" s="245">
        <f t="shared" si="47"/>
        <v>116770.02652927751</v>
      </c>
      <c r="AF118" s="245">
        <f t="shared" si="48"/>
        <v>199530.62119011651</v>
      </c>
      <c r="AG118" s="245">
        <f t="shared" si="33"/>
        <v>0</v>
      </c>
      <c r="AH118" s="245">
        <f t="shared" si="34"/>
        <v>0</v>
      </c>
      <c r="AI118" s="245">
        <f t="shared" si="49"/>
        <v>0</v>
      </c>
      <c r="AJ118" s="245">
        <f t="shared" si="50"/>
        <v>199530.62119011651</v>
      </c>
      <c r="AK118" s="287"/>
      <c r="AL118" s="1029">
        <f t="shared" si="51"/>
        <v>1485363.95452345</v>
      </c>
      <c r="AM118" s="247" t="s">
        <v>207</v>
      </c>
      <c r="AN118" s="298" t="s">
        <v>207</v>
      </c>
      <c r="AO118" s="247"/>
      <c r="AP118" s="247"/>
    </row>
    <row r="119" spans="1:42" ht="13" x14ac:dyDescent="0.3">
      <c r="A119" s="244">
        <v>9257029</v>
      </c>
      <c r="B119" s="237" t="s">
        <v>259</v>
      </c>
      <c r="C119" s="271">
        <v>3</v>
      </c>
      <c r="D119" s="245">
        <f t="shared" si="20"/>
        <v>0</v>
      </c>
      <c r="E119" s="245">
        <f t="shared" si="21"/>
        <v>0</v>
      </c>
      <c r="F119" s="68">
        <f t="shared" si="35"/>
        <v>0</v>
      </c>
      <c r="G119" s="245">
        <f t="shared" si="22"/>
        <v>214353.7116984411</v>
      </c>
      <c r="H119" s="245">
        <f t="shared" si="23"/>
        <v>293274.85100559442</v>
      </c>
      <c r="I119" s="68">
        <f t="shared" si="30"/>
        <v>507628.56270403555</v>
      </c>
      <c r="J119" s="245">
        <f t="shared" si="24"/>
        <v>0</v>
      </c>
      <c r="K119" s="245">
        <f t="shared" si="25"/>
        <v>0</v>
      </c>
      <c r="L119" s="68">
        <f t="shared" si="36"/>
        <v>0</v>
      </c>
      <c r="M119" s="68">
        <f t="shared" si="37"/>
        <v>507628.56270403555</v>
      </c>
      <c r="N119" s="245">
        <f t="shared" si="26"/>
        <v>48309.211301395851</v>
      </c>
      <c r="O119" s="245">
        <f t="shared" si="27"/>
        <v>66095.784553273421</v>
      </c>
      <c r="P119" s="68">
        <f t="shared" si="38"/>
        <v>114404.99585466928</v>
      </c>
      <c r="Q119" s="245">
        <f t="shared" si="28"/>
        <v>0</v>
      </c>
      <c r="R119" s="245">
        <f t="shared" si="29"/>
        <v>0</v>
      </c>
      <c r="S119" s="68">
        <f t="shared" si="39"/>
        <v>0</v>
      </c>
      <c r="T119" s="68">
        <f t="shared" si="40"/>
        <v>114404.99585466928</v>
      </c>
      <c r="U119" s="68">
        <f t="shared" si="31"/>
        <v>622033.5585587048</v>
      </c>
      <c r="V119" s="286">
        <f t="shared" si="41"/>
        <v>43.416666666666671</v>
      </c>
      <c r="W119" s="245">
        <f t="shared" si="32"/>
        <v>14327.068527263833</v>
      </c>
      <c r="X119" s="237"/>
      <c r="Y119" s="245">
        <f t="shared" si="42"/>
        <v>434166.66666666669</v>
      </c>
      <c r="Z119" s="245">
        <f t="shared" si="43"/>
        <v>0</v>
      </c>
      <c r="AA119" s="245">
        <f t="shared" si="44"/>
        <v>434166.66666666669</v>
      </c>
      <c r="AB119" s="245">
        <f>VLOOKUP(A119,'2017-18 Funding Detail'!$A$4:$AK$23,32,FALSE)</f>
        <v>967550.07971252012</v>
      </c>
      <c r="AC119" s="245">
        <f t="shared" si="45"/>
        <v>533383.41304585338</v>
      </c>
      <c r="AD119" s="245">
        <f t="shared" si="46"/>
        <v>225229.08036485172</v>
      </c>
      <c r="AE119" s="245">
        <f t="shared" si="47"/>
        <v>308154.33268100163</v>
      </c>
      <c r="AF119" s="245">
        <f t="shared" si="48"/>
        <v>533383.41304585338</v>
      </c>
      <c r="AG119" s="245">
        <f t="shared" si="33"/>
        <v>0</v>
      </c>
      <c r="AH119" s="245">
        <f t="shared" si="34"/>
        <v>0</v>
      </c>
      <c r="AI119" s="245">
        <f t="shared" si="49"/>
        <v>0</v>
      </c>
      <c r="AJ119" s="245">
        <f t="shared" si="50"/>
        <v>533383.41304585338</v>
      </c>
      <c r="AK119" s="287"/>
      <c r="AL119" s="1029">
        <f t="shared" si="51"/>
        <v>967550.07971252012</v>
      </c>
      <c r="AM119" s="247" t="s">
        <v>207</v>
      </c>
      <c r="AN119" s="298" t="s">
        <v>207</v>
      </c>
      <c r="AO119" s="247"/>
      <c r="AP119" s="247"/>
    </row>
    <row r="120" spans="1:42" ht="13" x14ac:dyDescent="0.3">
      <c r="A120" s="244">
        <v>9257032</v>
      </c>
      <c r="B120" s="237" t="s">
        <v>261</v>
      </c>
      <c r="C120" s="267">
        <v>4</v>
      </c>
      <c r="D120" s="245">
        <f t="shared" si="20"/>
        <v>0</v>
      </c>
      <c r="E120" s="245">
        <f t="shared" si="21"/>
        <v>0</v>
      </c>
      <c r="F120" s="68">
        <f t="shared" si="35"/>
        <v>0</v>
      </c>
      <c r="G120" s="245">
        <f t="shared" si="22"/>
        <v>292300.51595241966</v>
      </c>
      <c r="H120" s="245">
        <f t="shared" si="23"/>
        <v>409220.72233338753</v>
      </c>
      <c r="I120" s="68">
        <f t="shared" si="30"/>
        <v>701521.23828580719</v>
      </c>
      <c r="J120" s="245">
        <f t="shared" si="24"/>
        <v>0</v>
      </c>
      <c r="K120" s="245">
        <f t="shared" si="25"/>
        <v>0</v>
      </c>
      <c r="L120" s="68">
        <f t="shared" si="36"/>
        <v>0</v>
      </c>
      <c r="M120" s="68">
        <f t="shared" si="37"/>
        <v>701521.23828580719</v>
      </c>
      <c r="N120" s="245">
        <f t="shared" si="26"/>
        <v>65876.197229176163</v>
      </c>
      <c r="O120" s="245">
        <f t="shared" si="27"/>
        <v>92226.67612084662</v>
      </c>
      <c r="P120" s="68">
        <f t="shared" si="38"/>
        <v>158102.87335002277</v>
      </c>
      <c r="Q120" s="245">
        <f t="shared" si="28"/>
        <v>0</v>
      </c>
      <c r="R120" s="245">
        <f t="shared" si="29"/>
        <v>0</v>
      </c>
      <c r="S120" s="68">
        <f t="shared" si="39"/>
        <v>0</v>
      </c>
      <c r="T120" s="68">
        <f t="shared" si="40"/>
        <v>158102.87335002277</v>
      </c>
      <c r="U120" s="68">
        <f t="shared" si="31"/>
        <v>859624.11163583002</v>
      </c>
      <c r="V120" s="286">
        <f t="shared" si="41"/>
        <v>60</v>
      </c>
      <c r="W120" s="245">
        <f t="shared" si="32"/>
        <v>14327.068527263833</v>
      </c>
      <c r="X120" s="237"/>
      <c r="Y120" s="245">
        <f t="shared" si="42"/>
        <v>600000</v>
      </c>
      <c r="Z120" s="245">
        <f t="shared" si="43"/>
        <v>0</v>
      </c>
      <c r="AA120" s="245">
        <f t="shared" si="44"/>
        <v>600000</v>
      </c>
      <c r="AB120" s="245">
        <f>VLOOKUP(A120,'2017-18 Funding Detail'!$A$4:$AK$23,32,FALSE)</f>
        <v>1283310.94444716</v>
      </c>
      <c r="AC120" s="245">
        <f t="shared" si="45"/>
        <v>683310.94444716</v>
      </c>
      <c r="AD120" s="245">
        <f t="shared" si="46"/>
        <v>284712.89351965004</v>
      </c>
      <c r="AE120" s="245">
        <f t="shared" si="47"/>
        <v>398598.05092751002</v>
      </c>
      <c r="AF120" s="245">
        <f t="shared" si="48"/>
        <v>683310.94444716</v>
      </c>
      <c r="AG120" s="245">
        <f t="shared" si="33"/>
        <v>0</v>
      </c>
      <c r="AH120" s="245">
        <f t="shared" si="34"/>
        <v>0</v>
      </c>
      <c r="AI120" s="245">
        <f t="shared" si="49"/>
        <v>0</v>
      </c>
      <c r="AJ120" s="245">
        <f t="shared" si="50"/>
        <v>683310.94444716</v>
      </c>
      <c r="AK120" s="287"/>
      <c r="AL120" s="1029">
        <f t="shared" si="51"/>
        <v>1283310.94444716</v>
      </c>
      <c r="AM120" s="247" t="s">
        <v>207</v>
      </c>
      <c r="AN120" s="298" t="s">
        <v>207</v>
      </c>
      <c r="AO120" s="247"/>
      <c r="AP120" s="247"/>
    </row>
    <row r="121" spans="1:42" ht="13" x14ac:dyDescent="0.3">
      <c r="A121" s="244">
        <v>9257030</v>
      </c>
      <c r="B121" s="237" t="s">
        <v>262</v>
      </c>
      <c r="C121" s="271">
        <v>4</v>
      </c>
      <c r="D121" s="245">
        <f t="shared" si="20"/>
        <v>0</v>
      </c>
      <c r="E121" s="245">
        <f t="shared" si="21"/>
        <v>0</v>
      </c>
      <c r="F121" s="68">
        <f t="shared" si="35"/>
        <v>0</v>
      </c>
      <c r="G121" s="245">
        <f t="shared" si="22"/>
        <v>316658.89228178799</v>
      </c>
      <c r="H121" s="245">
        <f t="shared" si="23"/>
        <v>477424.17605561879</v>
      </c>
      <c r="I121" s="68">
        <f t="shared" si="30"/>
        <v>794083.06833740673</v>
      </c>
      <c r="J121" s="245">
        <f t="shared" si="24"/>
        <v>0</v>
      </c>
      <c r="K121" s="245">
        <f t="shared" si="25"/>
        <v>0</v>
      </c>
      <c r="L121" s="68">
        <f t="shared" si="36"/>
        <v>0</v>
      </c>
      <c r="M121" s="68">
        <f t="shared" si="37"/>
        <v>794083.06833740673</v>
      </c>
      <c r="N121" s="245">
        <f t="shared" si="26"/>
        <v>71365.880331607506</v>
      </c>
      <c r="O121" s="245">
        <f t="shared" si="27"/>
        <v>107597.78880765439</v>
      </c>
      <c r="P121" s="68">
        <f t="shared" si="38"/>
        <v>178963.66913926188</v>
      </c>
      <c r="Q121" s="245">
        <f t="shared" si="28"/>
        <v>0</v>
      </c>
      <c r="R121" s="245">
        <f t="shared" si="29"/>
        <v>0</v>
      </c>
      <c r="S121" s="68">
        <f t="shared" si="39"/>
        <v>0</v>
      </c>
      <c r="T121" s="68">
        <f t="shared" si="40"/>
        <v>178963.66913926188</v>
      </c>
      <c r="U121" s="68">
        <f t="shared" si="31"/>
        <v>973046.73747666855</v>
      </c>
      <c r="V121" s="286">
        <f t="shared" si="41"/>
        <v>67.916666666666671</v>
      </c>
      <c r="W121" s="245">
        <f t="shared" si="32"/>
        <v>14327.068527263831</v>
      </c>
      <c r="X121" s="237"/>
      <c r="Y121" s="245">
        <f t="shared" si="42"/>
        <v>679166.66666666674</v>
      </c>
      <c r="Z121" s="245">
        <f t="shared" si="43"/>
        <v>0</v>
      </c>
      <c r="AA121" s="245">
        <f t="shared" si="44"/>
        <v>679166.66666666674</v>
      </c>
      <c r="AB121" s="245">
        <f>VLOOKUP(A121,'2017-18 Funding Detail'!$A$4:$AK$23,32,FALSE)</f>
        <v>1408754.2776712559</v>
      </c>
      <c r="AC121" s="245">
        <f t="shared" si="45"/>
        <v>729587.61100458913</v>
      </c>
      <c r="AD121" s="245">
        <f t="shared" si="46"/>
        <v>290939.8448791306</v>
      </c>
      <c r="AE121" s="245">
        <f t="shared" si="47"/>
        <v>438647.76612545847</v>
      </c>
      <c r="AF121" s="245">
        <f t="shared" si="48"/>
        <v>729587.61100458913</v>
      </c>
      <c r="AG121" s="245">
        <f t="shared" si="33"/>
        <v>0</v>
      </c>
      <c r="AH121" s="245">
        <f t="shared" si="34"/>
        <v>0</v>
      </c>
      <c r="AI121" s="245">
        <f t="shared" si="49"/>
        <v>0</v>
      </c>
      <c r="AJ121" s="245">
        <f t="shared" si="50"/>
        <v>729587.61100458913</v>
      </c>
      <c r="AK121" s="287"/>
      <c r="AL121" s="1029">
        <f t="shared" si="51"/>
        <v>1408754.2776712559</v>
      </c>
      <c r="AM121" s="247" t="s">
        <v>207</v>
      </c>
      <c r="AN121" s="298" t="s">
        <v>207</v>
      </c>
      <c r="AO121" s="247"/>
      <c r="AP121" s="247"/>
    </row>
    <row r="122" spans="1:42" ht="13" x14ac:dyDescent="0.3">
      <c r="A122" s="244">
        <v>9257028</v>
      </c>
      <c r="B122" s="237" t="s">
        <v>215</v>
      </c>
      <c r="C122" s="267">
        <v>5</v>
      </c>
      <c r="D122" s="245">
        <f t="shared" si="20"/>
        <v>0</v>
      </c>
      <c r="E122" s="245">
        <f t="shared" si="21"/>
        <v>0</v>
      </c>
      <c r="F122" s="68">
        <f t="shared" si="35"/>
        <v>0</v>
      </c>
      <c r="G122" s="245">
        <f t="shared" si="22"/>
        <v>225787.58195988418</v>
      </c>
      <c r="H122" s="245">
        <f t="shared" si="23"/>
        <v>363816.21696932288</v>
      </c>
      <c r="I122" s="68">
        <f t="shared" si="30"/>
        <v>589603.79892920703</v>
      </c>
      <c r="J122" s="245">
        <f t="shared" si="24"/>
        <v>54529.831114839952</v>
      </c>
      <c r="K122" s="245">
        <f t="shared" si="25"/>
        <v>122692.12000838989</v>
      </c>
      <c r="L122" s="68">
        <f t="shared" si="36"/>
        <v>177221.95112322984</v>
      </c>
      <c r="M122" s="68">
        <f t="shared" si="37"/>
        <v>766825.75005243684</v>
      </c>
      <c r="N122" s="245">
        <f t="shared" si="26"/>
        <v>13932.970352931388</v>
      </c>
      <c r="O122" s="245">
        <f t="shared" si="27"/>
        <v>22450.48430453473</v>
      </c>
      <c r="P122" s="68">
        <f t="shared" si="38"/>
        <v>36383.454657466122</v>
      </c>
      <c r="Q122" s="245">
        <f t="shared" si="28"/>
        <v>3364.9437833494671</v>
      </c>
      <c r="R122" s="245">
        <f t="shared" si="29"/>
        <v>7571.1235125363019</v>
      </c>
      <c r="S122" s="68">
        <f t="shared" si="39"/>
        <v>10936.067295885769</v>
      </c>
      <c r="T122" s="68">
        <f t="shared" si="40"/>
        <v>47319.52195335189</v>
      </c>
      <c r="U122" s="68">
        <f t="shared" si="31"/>
        <v>814145.27200578875</v>
      </c>
      <c r="V122" s="286">
        <f t="shared" si="41"/>
        <v>75</v>
      </c>
      <c r="W122" s="245">
        <f t="shared" si="32"/>
        <v>10855.270293410516</v>
      </c>
      <c r="X122" s="237"/>
      <c r="Y122" s="245">
        <f t="shared" si="42"/>
        <v>576666.66666666674</v>
      </c>
      <c r="Z122" s="245">
        <f t="shared" si="43"/>
        <v>173333.33333333331</v>
      </c>
      <c r="AA122" s="245">
        <f t="shared" si="44"/>
        <v>750000</v>
      </c>
      <c r="AB122" s="245">
        <f>VLOOKUP(A122,'2017-18 Funding Detail'!$A$4:$AK$23,32,FALSE)</f>
        <v>1357298.5785471792</v>
      </c>
      <c r="AC122" s="245">
        <f t="shared" si="45"/>
        <v>607298.57854717923</v>
      </c>
      <c r="AD122" s="245">
        <f t="shared" si="46"/>
        <v>178815.692572225</v>
      </c>
      <c r="AE122" s="245">
        <f t="shared" si="47"/>
        <v>288129.43671071727</v>
      </c>
      <c r="AF122" s="245">
        <f t="shared" si="48"/>
        <v>466945.12928294227</v>
      </c>
      <c r="AG122" s="245">
        <f t="shared" si="33"/>
        <v>43185.676696688301</v>
      </c>
      <c r="AH122" s="245">
        <f t="shared" si="34"/>
        <v>97167.772567548673</v>
      </c>
      <c r="AI122" s="245">
        <f t="shared" si="49"/>
        <v>140353.44926423696</v>
      </c>
      <c r="AJ122" s="245">
        <f t="shared" si="50"/>
        <v>607298.57854717923</v>
      </c>
      <c r="AK122" s="287"/>
      <c r="AL122" s="1029">
        <f t="shared" si="51"/>
        <v>1357298.5785471792</v>
      </c>
      <c r="AM122" s="247" t="s">
        <v>207</v>
      </c>
      <c r="AN122" s="298" t="s">
        <v>207</v>
      </c>
      <c r="AO122" s="247"/>
      <c r="AP122" s="247"/>
    </row>
    <row r="123" spans="1:42" ht="13" x14ac:dyDescent="0.3">
      <c r="A123" s="244">
        <v>9257021</v>
      </c>
      <c r="B123" s="237" t="s">
        <v>216</v>
      </c>
      <c r="C123" s="271">
        <v>5</v>
      </c>
      <c r="D123" s="245">
        <f t="shared" si="20"/>
        <v>0</v>
      </c>
      <c r="E123" s="245">
        <f t="shared" si="21"/>
        <v>0</v>
      </c>
      <c r="F123" s="68">
        <f t="shared" si="35"/>
        <v>0</v>
      </c>
      <c r="G123" s="245">
        <f t="shared" si="22"/>
        <v>471649.59215605265</v>
      </c>
      <c r="H123" s="245">
        <f t="shared" si="23"/>
        <v>664597.15258352866</v>
      </c>
      <c r="I123" s="68">
        <f t="shared" si="30"/>
        <v>1136246.7447395814</v>
      </c>
      <c r="J123" s="245">
        <f t="shared" si="24"/>
        <v>0</v>
      </c>
      <c r="K123" s="245">
        <f t="shared" si="25"/>
        <v>9800.5110058400533</v>
      </c>
      <c r="L123" s="68">
        <f t="shared" si="36"/>
        <v>9800.5110058400533</v>
      </c>
      <c r="M123" s="68">
        <f t="shared" si="37"/>
        <v>1146047.2557454214</v>
      </c>
      <c r="N123" s="245">
        <f t="shared" si="26"/>
        <v>23814.399937307815</v>
      </c>
      <c r="O123" s="245">
        <f t="shared" si="27"/>
        <v>33556.654457115561</v>
      </c>
      <c r="P123" s="68">
        <f t="shared" si="38"/>
        <v>57371.05439442338</v>
      </c>
      <c r="Q123" s="245">
        <f t="shared" si="28"/>
        <v>0</v>
      </c>
      <c r="R123" s="245">
        <f t="shared" si="29"/>
        <v>494.8446740219805</v>
      </c>
      <c r="S123" s="68">
        <f t="shared" si="39"/>
        <v>494.8446740219805</v>
      </c>
      <c r="T123" s="68">
        <f t="shared" si="40"/>
        <v>57865.89906844536</v>
      </c>
      <c r="U123" s="68">
        <f t="shared" si="31"/>
        <v>1203913.1548138666</v>
      </c>
      <c r="V123" s="286">
        <f t="shared" si="41"/>
        <v>155.91666666666669</v>
      </c>
      <c r="W123" s="245">
        <f t="shared" si="32"/>
        <v>7721.5167598965245</v>
      </c>
      <c r="X123" s="237"/>
      <c r="Y123" s="245">
        <f t="shared" si="42"/>
        <v>1545833.3333333335</v>
      </c>
      <c r="Z123" s="245">
        <f t="shared" si="43"/>
        <v>13333.333333333332</v>
      </c>
      <c r="AA123" s="245">
        <f t="shared" si="44"/>
        <v>1559166.6666666667</v>
      </c>
      <c r="AB123" s="245">
        <f>VLOOKUP(A123,'2017-18 Funding Detail'!$A$4:$AK$23,32,FALSE)</f>
        <v>1770487.8962105154</v>
      </c>
      <c r="AC123" s="245">
        <f t="shared" si="45"/>
        <v>211321.22954384866</v>
      </c>
      <c r="AD123" s="245">
        <f t="shared" si="46"/>
        <v>86968.116915426741</v>
      </c>
      <c r="AE123" s="245">
        <f t="shared" si="47"/>
        <v>122545.98292628313</v>
      </c>
      <c r="AF123" s="245">
        <f t="shared" si="48"/>
        <v>209514.09984170989</v>
      </c>
      <c r="AG123" s="245">
        <f t="shared" si="33"/>
        <v>0</v>
      </c>
      <c r="AH123" s="245">
        <f t="shared" si="34"/>
        <v>1807.1297021387375</v>
      </c>
      <c r="AI123" s="245">
        <f t="shared" si="49"/>
        <v>1807.1297021387375</v>
      </c>
      <c r="AJ123" s="245">
        <f t="shared" si="50"/>
        <v>211321.22954384863</v>
      </c>
      <c r="AK123" s="287"/>
      <c r="AL123" s="1029">
        <f t="shared" si="51"/>
        <v>1770487.8962105154</v>
      </c>
      <c r="AM123" s="247" t="s">
        <v>207</v>
      </c>
      <c r="AN123" s="298" t="s">
        <v>207</v>
      </c>
      <c r="AO123" s="247"/>
      <c r="AP123" s="247"/>
    </row>
    <row r="124" spans="1:42" ht="13" x14ac:dyDescent="0.3">
      <c r="A124" s="244">
        <v>9257015</v>
      </c>
      <c r="B124" s="237" t="s">
        <v>217</v>
      </c>
      <c r="C124" s="267">
        <v>6</v>
      </c>
      <c r="D124" s="245">
        <f t="shared" si="20"/>
        <v>0</v>
      </c>
      <c r="E124" s="245">
        <f t="shared" si="21"/>
        <v>0</v>
      </c>
      <c r="F124" s="68">
        <f t="shared" si="35"/>
        <v>0</v>
      </c>
      <c r="G124" s="245">
        <f t="shared" si="22"/>
        <v>785727.4416472927</v>
      </c>
      <c r="H124" s="245">
        <f t="shared" si="23"/>
        <v>974541.03218763077</v>
      </c>
      <c r="I124" s="68">
        <f t="shared" si="30"/>
        <v>1760268.4738349235</v>
      </c>
      <c r="J124" s="245">
        <f t="shared" si="24"/>
        <v>45410.863547676221</v>
      </c>
      <c r="K124" s="245">
        <f t="shared" si="25"/>
        <v>133842.54519315099</v>
      </c>
      <c r="L124" s="68">
        <f t="shared" si="36"/>
        <v>179253.4087408272</v>
      </c>
      <c r="M124" s="68">
        <f t="shared" si="37"/>
        <v>1939521.8825757506</v>
      </c>
      <c r="N124" s="245">
        <f t="shared" si="26"/>
        <v>18629.505237928312</v>
      </c>
      <c r="O124" s="245">
        <f t="shared" si="27"/>
        <v>23106.253264685231</v>
      </c>
      <c r="P124" s="68">
        <f t="shared" si="38"/>
        <v>41735.758502613542</v>
      </c>
      <c r="Q124" s="245">
        <f t="shared" si="28"/>
        <v>1076.6862342833092</v>
      </c>
      <c r="R124" s="245">
        <f t="shared" si="29"/>
        <v>3173.391006308701</v>
      </c>
      <c r="S124" s="68">
        <f t="shared" si="39"/>
        <v>4250.0772405920106</v>
      </c>
      <c r="T124" s="68">
        <f t="shared" si="40"/>
        <v>45985.835743205549</v>
      </c>
      <c r="U124" s="68">
        <f t="shared" si="31"/>
        <v>1985507.7183189562</v>
      </c>
      <c r="V124" s="286">
        <f t="shared" si="41"/>
        <v>270.50000000000006</v>
      </c>
      <c r="W124" s="245">
        <f t="shared" si="32"/>
        <v>7340.1394392567681</v>
      </c>
      <c r="X124" s="237"/>
      <c r="Y124" s="245">
        <f t="shared" si="42"/>
        <v>2455000</v>
      </c>
      <c r="Z124" s="245">
        <f t="shared" si="43"/>
        <v>250000</v>
      </c>
      <c r="AA124" s="245">
        <f t="shared" si="44"/>
        <v>2705000</v>
      </c>
      <c r="AB124" s="245">
        <f>VLOOKUP(A124,'2017-18 Funding Detail'!$A$4:$AK$23,32,FALSE)</f>
        <v>2705000.0000000005</v>
      </c>
      <c r="AC124" s="245">
        <f t="shared" si="45"/>
        <v>0</v>
      </c>
      <c r="AD124" s="245">
        <f t="shared" si="46"/>
        <v>0</v>
      </c>
      <c r="AE124" s="245">
        <f t="shared" si="47"/>
        <v>0</v>
      </c>
      <c r="AF124" s="245">
        <f t="shared" si="48"/>
        <v>0</v>
      </c>
      <c r="AG124" s="245">
        <f t="shared" si="33"/>
        <v>0</v>
      </c>
      <c r="AH124" s="245">
        <f t="shared" si="34"/>
        <v>0</v>
      </c>
      <c r="AI124" s="245">
        <f t="shared" si="49"/>
        <v>0</v>
      </c>
      <c r="AJ124" s="245">
        <f t="shared" si="50"/>
        <v>0</v>
      </c>
      <c r="AK124" s="287"/>
      <c r="AL124" s="1029">
        <f t="shared" si="51"/>
        <v>2705000</v>
      </c>
      <c r="AM124" s="247" t="s">
        <v>207</v>
      </c>
      <c r="AN124" s="298" t="s">
        <v>207</v>
      </c>
      <c r="AO124" s="247"/>
      <c r="AP124" s="247"/>
    </row>
    <row r="125" spans="1:42" ht="13" x14ac:dyDescent="0.3">
      <c r="A125" s="244">
        <v>9257016</v>
      </c>
      <c r="B125" s="237" t="s">
        <v>219</v>
      </c>
      <c r="C125" s="267">
        <v>6</v>
      </c>
      <c r="D125" s="245">
        <f t="shared" si="20"/>
        <v>0</v>
      </c>
      <c r="E125" s="245">
        <f t="shared" si="21"/>
        <v>0</v>
      </c>
      <c r="F125" s="68">
        <f t="shared" si="35"/>
        <v>0</v>
      </c>
      <c r="G125" s="245">
        <f t="shared" si="22"/>
        <v>408938.59857580025</v>
      </c>
      <c r="H125" s="245">
        <f t="shared" si="23"/>
        <v>525296.38538705895</v>
      </c>
      <c r="I125" s="68">
        <f t="shared" si="30"/>
        <v>934234.98396285926</v>
      </c>
      <c r="J125" s="245">
        <f t="shared" si="24"/>
        <v>182125.23153066565</v>
      </c>
      <c r="K125" s="245">
        <f t="shared" si="25"/>
        <v>384486.59989807202</v>
      </c>
      <c r="L125" s="68">
        <f t="shared" si="36"/>
        <v>566611.83142873761</v>
      </c>
      <c r="M125" s="68">
        <f>I125+L125</f>
        <v>1500846.8153915969</v>
      </c>
      <c r="N125" s="245">
        <f t="shared" si="26"/>
        <v>0</v>
      </c>
      <c r="O125" s="245">
        <f t="shared" si="27"/>
        <v>0</v>
      </c>
      <c r="P125" s="68">
        <f t="shared" si="38"/>
        <v>0</v>
      </c>
      <c r="Q125" s="245">
        <f t="shared" si="28"/>
        <v>0</v>
      </c>
      <c r="R125" s="245">
        <f t="shared" si="29"/>
        <v>0</v>
      </c>
      <c r="S125" s="68">
        <f t="shared" si="39"/>
        <v>0</v>
      </c>
      <c r="T125" s="68">
        <f t="shared" si="40"/>
        <v>0</v>
      </c>
      <c r="U125" s="68">
        <f t="shared" si="31"/>
        <v>1500846.8153915969</v>
      </c>
      <c r="V125" s="286">
        <f t="shared" si="41"/>
        <v>148.33333333333334</v>
      </c>
      <c r="W125" s="245">
        <f t="shared" si="32"/>
        <v>10118.068418370316</v>
      </c>
      <c r="X125" s="237"/>
      <c r="Y125" s="245">
        <f t="shared" si="42"/>
        <v>923333.33333333337</v>
      </c>
      <c r="Z125" s="245">
        <f t="shared" si="43"/>
        <v>560000</v>
      </c>
      <c r="AA125" s="245">
        <f t="shared" si="44"/>
        <v>1483333.3333333335</v>
      </c>
      <c r="AB125" s="245">
        <f>VLOOKUP(A125,'2017-18 Funding Detail'!$A$4:$AK$23,32,FALSE)</f>
        <v>2378504.5311402138</v>
      </c>
      <c r="AC125" s="245">
        <f t="shared" si="45"/>
        <v>895171.19780688034</v>
      </c>
      <c r="AD125" s="245">
        <f t="shared" si="46"/>
        <v>243909.00614400953</v>
      </c>
      <c r="AE125" s="245">
        <f t="shared" si="47"/>
        <v>313309.91923240811</v>
      </c>
      <c r="AF125" s="245">
        <f t="shared" si="48"/>
        <v>557218.92537641758</v>
      </c>
      <c r="AG125" s="245">
        <f t="shared" si="33"/>
        <v>108627.516138363</v>
      </c>
      <c r="AH125" s="245">
        <f t="shared" si="34"/>
        <v>229324.75629209969</v>
      </c>
      <c r="AI125" s="245">
        <f t="shared" si="49"/>
        <v>337952.2724304627</v>
      </c>
      <c r="AJ125" s="245">
        <f t="shared" si="50"/>
        <v>895171.19780688034</v>
      </c>
      <c r="AK125" s="287"/>
      <c r="AL125" s="1029">
        <f t="shared" si="51"/>
        <v>2378504.5311402138</v>
      </c>
      <c r="AM125" s="247" t="s">
        <v>207</v>
      </c>
      <c r="AN125" s="298" t="s">
        <v>207</v>
      </c>
      <c r="AO125" s="247"/>
      <c r="AP125" s="247"/>
    </row>
    <row r="126" spans="1:42" x14ac:dyDescent="0.25">
      <c r="A126" s="36"/>
      <c r="B126" s="36"/>
      <c r="C126" s="36"/>
      <c r="D126" s="36"/>
      <c r="E126" s="36"/>
      <c r="F126" s="36"/>
      <c r="G126" s="36"/>
      <c r="H126" s="36"/>
      <c r="I126" s="234"/>
      <c r="J126" s="234"/>
      <c r="K126" s="36"/>
      <c r="L126" s="36"/>
      <c r="M126" s="36"/>
      <c r="N126" s="36"/>
      <c r="O126" s="36"/>
      <c r="P126" s="36"/>
      <c r="Q126" s="36"/>
      <c r="R126" s="36"/>
      <c r="S126" s="36"/>
      <c r="T126" s="36"/>
      <c r="U126" s="36"/>
      <c r="V126" s="288"/>
      <c r="W126" s="36"/>
      <c r="X126" s="36"/>
      <c r="Y126" s="36"/>
      <c r="Z126" s="36"/>
      <c r="AA126" s="36"/>
      <c r="AB126" s="36"/>
      <c r="AC126" s="36"/>
      <c r="AD126" s="36"/>
      <c r="AE126" s="36"/>
      <c r="AF126" s="36"/>
      <c r="AG126" s="36"/>
      <c r="AH126" s="36"/>
      <c r="AI126" s="36"/>
      <c r="AJ126" s="36"/>
      <c r="AK126" s="36"/>
      <c r="AL126" s="36"/>
      <c r="AM126" s="36"/>
      <c r="AN126" s="36"/>
      <c r="AO126" s="36"/>
      <c r="AP126" s="36"/>
    </row>
    <row r="127" spans="1:42" ht="13" thickBot="1" x14ac:dyDescent="0.3">
      <c r="A127" s="36"/>
      <c r="B127" s="36"/>
      <c r="C127" s="36"/>
      <c r="D127" s="250">
        <f>SUM(D108:D125)</f>
        <v>0</v>
      </c>
      <c r="E127" s="250">
        <f t="shared" ref="E127:S127" si="52">SUM(E108:E125)</f>
        <v>0</v>
      </c>
      <c r="F127" s="250">
        <f t="shared" si="52"/>
        <v>0</v>
      </c>
      <c r="G127" s="250">
        <f t="shared" si="52"/>
        <v>5516661.5992909176</v>
      </c>
      <c r="H127" s="250">
        <f t="shared" si="52"/>
        <v>7901788.0710067721</v>
      </c>
      <c r="I127" s="250">
        <f t="shared" si="52"/>
        <v>13418449.67029769</v>
      </c>
      <c r="J127" s="250">
        <f t="shared" si="52"/>
        <v>581709.87444175896</v>
      </c>
      <c r="K127" s="250">
        <f t="shared" si="52"/>
        <v>1319129.930462149</v>
      </c>
      <c r="L127" s="250">
        <f t="shared" si="52"/>
        <v>1900839.8049039077</v>
      </c>
      <c r="M127" s="250">
        <f>SUM(M108:M125)</f>
        <v>15319289.475201599</v>
      </c>
      <c r="N127" s="250">
        <f t="shared" si="52"/>
        <v>452955.54214894661</v>
      </c>
      <c r="O127" s="250">
        <f t="shared" si="52"/>
        <v>658735.37052841939</v>
      </c>
      <c r="P127" s="250">
        <f t="shared" si="52"/>
        <v>1111690.9126773661</v>
      </c>
      <c r="Q127" s="250">
        <f t="shared" si="52"/>
        <v>19253.253359859609</v>
      </c>
      <c r="R127" s="250">
        <f t="shared" si="52"/>
        <v>45568.907694155903</v>
      </c>
      <c r="S127" s="250">
        <f t="shared" si="52"/>
        <v>64822.161054015509</v>
      </c>
      <c r="T127" s="250">
        <f>SUM(T108:T125)</f>
        <v>1176513.0737313814</v>
      </c>
      <c r="U127" s="250">
        <f>SUM(U108:U125)</f>
        <v>16495802.548932979</v>
      </c>
      <c r="V127" s="251">
        <f>SUM(V108:V125)</f>
        <v>1741.9166666666667</v>
      </c>
      <c r="W127" s="250">
        <f>AVERAGE(W108:W125)</f>
        <v>10284.921004300575</v>
      </c>
      <c r="X127" s="36"/>
      <c r="Y127" s="1032">
        <f>SUM(Y108:Y125)</f>
        <v>15349166.666666668</v>
      </c>
      <c r="Z127" s="1032">
        <f t="shared" ref="Z127:AL127" si="53">SUM(Z108:Z125)</f>
        <v>2069999.9999999998</v>
      </c>
      <c r="AA127" s="1033">
        <f t="shared" si="53"/>
        <v>17419166.666666664</v>
      </c>
      <c r="AB127" s="1033">
        <f t="shared" si="53"/>
        <v>25776508.120230958</v>
      </c>
      <c r="AC127" s="1033">
        <f t="shared" si="53"/>
        <v>8357341.4535642974</v>
      </c>
      <c r="AD127" s="1033">
        <f t="shared" si="53"/>
        <v>2931713.1896516071</v>
      </c>
      <c r="AE127" s="1033">
        <f t="shared" si="53"/>
        <v>4286894.229477698</v>
      </c>
      <c r="AF127" s="1033">
        <f t="shared" si="53"/>
        <v>7218607.4191293065</v>
      </c>
      <c r="AG127" s="1033">
        <f t="shared" si="53"/>
        <v>352409.65676430508</v>
      </c>
      <c r="AH127" s="1033">
        <f t="shared" si="53"/>
        <v>786324.37767068495</v>
      </c>
      <c r="AI127" s="1033">
        <f t="shared" si="53"/>
        <v>1138734.0344349903</v>
      </c>
      <c r="AJ127" s="1033">
        <f t="shared" si="53"/>
        <v>8357341.4535642974</v>
      </c>
      <c r="AK127" s="1034"/>
      <c r="AL127" s="1033">
        <f t="shared" si="53"/>
        <v>25776508.120230958</v>
      </c>
      <c r="AM127" s="36"/>
      <c r="AN127" s="36"/>
      <c r="AO127" s="36"/>
      <c r="AP127" s="36"/>
    </row>
    <row r="129" spans="4:38" x14ac:dyDescent="0.25">
      <c r="D129" s="298" t="s">
        <v>207</v>
      </c>
      <c r="E129" s="298" t="s">
        <v>207</v>
      </c>
      <c r="F129" s="298" t="s">
        <v>207</v>
      </c>
      <c r="G129" s="298" t="s">
        <v>207</v>
      </c>
      <c r="H129" s="298" t="s">
        <v>207</v>
      </c>
      <c r="I129" s="298" t="s">
        <v>207</v>
      </c>
      <c r="J129" s="298" t="s">
        <v>207</v>
      </c>
      <c r="K129" s="298" t="s">
        <v>207</v>
      </c>
      <c r="L129" s="298" t="s">
        <v>207</v>
      </c>
      <c r="M129" s="298" t="s">
        <v>207</v>
      </c>
      <c r="N129" s="298" t="s">
        <v>207</v>
      </c>
      <c r="O129" s="298" t="s">
        <v>207</v>
      </c>
      <c r="P129" s="298" t="s">
        <v>207</v>
      </c>
      <c r="Q129" s="298" t="s">
        <v>207</v>
      </c>
      <c r="R129" s="298" t="s">
        <v>207</v>
      </c>
      <c r="S129" s="298" t="s">
        <v>207</v>
      </c>
      <c r="T129" s="298" t="s">
        <v>207</v>
      </c>
      <c r="U129" s="298" t="s">
        <v>207</v>
      </c>
      <c r="V129" s="298" t="s">
        <v>207</v>
      </c>
      <c r="W129" s="298" t="s">
        <v>207</v>
      </c>
      <c r="X129" s="36"/>
      <c r="Y129" s="298" t="s">
        <v>207</v>
      </c>
      <c r="Z129" s="298" t="s">
        <v>207</v>
      </c>
      <c r="AA129" s="298" t="s">
        <v>207</v>
      </c>
      <c r="AB129" s="298" t="s">
        <v>207</v>
      </c>
      <c r="AC129" s="298" t="s">
        <v>207</v>
      </c>
      <c r="AD129" s="298" t="s">
        <v>207</v>
      </c>
      <c r="AE129" s="298" t="s">
        <v>207</v>
      </c>
      <c r="AF129" s="298" t="s">
        <v>207</v>
      </c>
      <c r="AG129" s="298" t="s">
        <v>207</v>
      </c>
      <c r="AH129" s="298" t="s">
        <v>207</v>
      </c>
      <c r="AI129" s="298" t="s">
        <v>207</v>
      </c>
      <c r="AJ129" s="298" t="s">
        <v>207</v>
      </c>
      <c r="AK129" s="298"/>
      <c r="AL129" s="298" t="s">
        <v>207</v>
      </c>
    </row>
  </sheetData>
  <mergeCells count="17">
    <mergeCell ref="S1:S4"/>
    <mergeCell ref="U1:W1"/>
    <mergeCell ref="U2:W2"/>
    <mergeCell ref="U3:W3"/>
    <mergeCell ref="P4:Q4"/>
    <mergeCell ref="U4:W4"/>
    <mergeCell ref="D106:F106"/>
    <mergeCell ref="G106:I106"/>
    <mergeCell ref="J106:L106"/>
    <mergeCell ref="N106:P106"/>
    <mergeCell ref="Q106:S106"/>
    <mergeCell ref="AL106:AL107"/>
    <mergeCell ref="U8:AA10"/>
    <mergeCell ref="U11:AA16"/>
    <mergeCell ref="M26:N26"/>
    <mergeCell ref="P48:Q48"/>
    <mergeCell ref="M70:N70"/>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sheetPr>
  <dimension ref="A2:AS67"/>
  <sheetViews>
    <sheetView topLeftCell="AA1" workbookViewId="0">
      <selection activeCell="AW64" sqref="AW64"/>
    </sheetView>
  </sheetViews>
  <sheetFormatPr defaultColWidth="9.1796875" defaultRowHeight="12" customHeight="1" x14ac:dyDescent="0.35"/>
  <cols>
    <col min="1" max="1" width="10.54296875" style="78" bestFit="1" customWidth="1"/>
    <col min="2" max="5" width="9.1796875" style="77"/>
    <col min="6" max="6" width="10.26953125" style="77" customWidth="1"/>
    <col min="7" max="8" width="9.1796875" style="77" customWidth="1"/>
    <col min="9" max="9" width="10.7265625" style="77" customWidth="1"/>
    <col min="10" max="12" width="10.7265625" style="78" customWidth="1"/>
    <col min="13" max="14" width="10.7265625" style="79" customWidth="1"/>
    <col min="15" max="19" width="10.7265625" style="77" customWidth="1"/>
    <col min="20" max="20" width="3.26953125" style="77" customWidth="1"/>
    <col min="21" max="23" width="10.7265625" style="77" customWidth="1"/>
    <col min="24" max="24" width="9.1796875" style="77" customWidth="1"/>
    <col min="25" max="25" width="10.81640625" style="78" customWidth="1"/>
    <col min="26" max="28" width="9.1796875" style="77" customWidth="1"/>
    <col min="29" max="29" width="11.26953125" style="79" customWidth="1"/>
    <col min="30" max="30" width="11.1796875" style="79" customWidth="1"/>
    <col min="31" max="31" width="14.453125" style="79" customWidth="1"/>
    <col min="32" max="32" width="9.1796875" style="79"/>
    <col min="33" max="33" width="8.81640625" style="79" bestFit="1" customWidth="1"/>
    <col min="34" max="36" width="9.1796875" style="79"/>
    <col min="37" max="37" width="10.453125" style="79" customWidth="1"/>
    <col min="38" max="38" width="13.453125" style="79" customWidth="1"/>
    <col min="39" max="43" width="9.1796875" style="79"/>
    <col min="44" max="44" width="11.1796875" style="79" customWidth="1"/>
    <col min="45" max="45" width="14.26953125" style="79" customWidth="1"/>
    <col min="46" max="50" width="9.1796875" style="79"/>
    <col min="51" max="51" width="10.1796875" style="79" bestFit="1" customWidth="1"/>
    <col min="52" max="52" width="14.26953125" style="79" customWidth="1"/>
    <col min="53" max="16384" width="9.1796875" style="79"/>
  </cols>
  <sheetData>
    <row r="2" spans="1:45" ht="12" customHeight="1" x14ac:dyDescent="0.35">
      <c r="A2" s="293"/>
      <c r="B2" s="76" t="s">
        <v>304</v>
      </c>
      <c r="C2" s="1172"/>
      <c r="D2" s="1172"/>
      <c r="E2" s="1172"/>
      <c r="F2" s="1172"/>
      <c r="G2" s="1172"/>
      <c r="H2" s="1172"/>
      <c r="I2" s="1172"/>
      <c r="J2" s="293"/>
      <c r="K2" s="293"/>
      <c r="L2" s="293"/>
      <c r="O2" s="1172"/>
      <c r="P2" s="1172"/>
      <c r="Q2" s="1172"/>
      <c r="R2" s="1172"/>
      <c r="S2" s="1172"/>
      <c r="T2" s="1172"/>
      <c r="U2" s="1172"/>
      <c r="V2" s="1455" t="s">
        <v>305</v>
      </c>
      <c r="W2" s="1172"/>
      <c r="X2" s="1172"/>
      <c r="Y2" s="293"/>
      <c r="Z2" s="1172"/>
      <c r="AA2" s="1172"/>
      <c r="AB2" s="1172"/>
    </row>
    <row r="3" spans="1:45" ht="12" customHeight="1" x14ac:dyDescent="0.35">
      <c r="A3" s="293"/>
      <c r="B3" s="1172"/>
      <c r="C3" s="1172"/>
      <c r="D3" s="1172"/>
      <c r="E3" s="1172"/>
      <c r="F3" s="1172"/>
      <c r="G3" s="1172"/>
      <c r="H3" s="1172"/>
      <c r="I3" s="1172"/>
      <c r="J3" s="293"/>
      <c r="K3" s="293"/>
      <c r="L3" s="293"/>
      <c r="O3" s="1172"/>
      <c r="P3" s="1172"/>
      <c r="Q3" s="1172"/>
      <c r="R3" s="1172"/>
      <c r="S3" s="1172"/>
      <c r="T3" s="1172"/>
      <c r="U3" s="1172"/>
      <c r="V3" s="1456"/>
      <c r="W3" s="1172"/>
      <c r="X3" s="1174" t="s">
        <v>306</v>
      </c>
      <c r="Y3" s="293"/>
      <c r="Z3" s="1172"/>
      <c r="AA3" s="1172"/>
      <c r="AB3" s="1172"/>
    </row>
    <row r="4" spans="1:45" s="80" customFormat="1" ht="12" customHeight="1" x14ac:dyDescent="0.3">
      <c r="A4" s="293"/>
      <c r="B4" s="1172"/>
      <c r="C4" s="1172"/>
      <c r="D4" s="1172"/>
      <c r="E4" s="1172"/>
      <c r="F4" s="1457" t="s">
        <v>307</v>
      </c>
      <c r="G4" s="1457" t="s">
        <v>308</v>
      </c>
      <c r="H4" s="1457" t="s">
        <v>309</v>
      </c>
      <c r="I4" s="1458" t="s">
        <v>310</v>
      </c>
      <c r="J4" s="1459" t="s">
        <v>311</v>
      </c>
      <c r="K4" s="1459" t="s">
        <v>312</v>
      </c>
      <c r="L4" s="1459" t="s">
        <v>313</v>
      </c>
      <c r="M4" s="1459" t="s">
        <v>314</v>
      </c>
      <c r="N4" s="1459" t="s">
        <v>315</v>
      </c>
      <c r="O4" s="1459" t="s">
        <v>316</v>
      </c>
      <c r="P4" s="1459" t="s">
        <v>317</v>
      </c>
      <c r="Q4" s="1459" t="s">
        <v>318</v>
      </c>
      <c r="R4" s="1459" t="s">
        <v>319</v>
      </c>
      <c r="S4" s="1459" t="s">
        <v>320</v>
      </c>
      <c r="T4" s="1174"/>
      <c r="U4" s="1459" t="s">
        <v>321</v>
      </c>
      <c r="V4" s="1462" t="s">
        <v>322</v>
      </c>
      <c r="W4" s="1174"/>
      <c r="X4" s="1459" t="s">
        <v>323</v>
      </c>
      <c r="Y4" s="1459" t="s">
        <v>324</v>
      </c>
      <c r="Z4" s="1458" t="s">
        <v>325</v>
      </c>
      <c r="AA4" s="1459" t="s">
        <v>326</v>
      </c>
      <c r="AB4" s="1459" t="s">
        <v>327</v>
      </c>
      <c r="AC4" s="1462" t="s">
        <v>328</v>
      </c>
      <c r="AD4" s="1459" t="s">
        <v>329</v>
      </c>
      <c r="AE4" s="1459" t="s">
        <v>330</v>
      </c>
      <c r="AG4" s="1458" t="s">
        <v>331</v>
      </c>
      <c r="AH4" s="1459" t="s">
        <v>332</v>
      </c>
      <c r="AI4" s="1459" t="s">
        <v>333</v>
      </c>
      <c r="AJ4" s="1462" t="s">
        <v>334</v>
      </c>
      <c r="AK4" s="1459" t="s">
        <v>335</v>
      </c>
      <c r="AL4" s="1459" t="s">
        <v>330</v>
      </c>
      <c r="AN4" s="1458" t="s">
        <v>710</v>
      </c>
      <c r="AO4" s="1459" t="s">
        <v>711</v>
      </c>
      <c r="AP4" s="1459" t="s">
        <v>712</v>
      </c>
      <c r="AQ4" s="1462" t="s">
        <v>713</v>
      </c>
      <c r="AR4" s="1459" t="s">
        <v>714</v>
      </c>
      <c r="AS4" s="1459" t="s">
        <v>330</v>
      </c>
    </row>
    <row r="5" spans="1:45" s="80" customFormat="1" ht="12" customHeight="1" x14ac:dyDescent="0.3">
      <c r="A5" s="293"/>
      <c r="B5" s="1172"/>
      <c r="C5" s="1172"/>
      <c r="D5" s="1172"/>
      <c r="E5" s="1172"/>
      <c r="F5" s="1457"/>
      <c r="G5" s="1457"/>
      <c r="H5" s="1457"/>
      <c r="I5" s="1458"/>
      <c r="J5" s="1459"/>
      <c r="K5" s="1459"/>
      <c r="L5" s="1459"/>
      <c r="M5" s="1459"/>
      <c r="N5" s="1459"/>
      <c r="O5" s="1459"/>
      <c r="P5" s="1459"/>
      <c r="Q5" s="1459"/>
      <c r="R5" s="1459"/>
      <c r="S5" s="1459"/>
      <c r="T5" s="1174"/>
      <c r="U5" s="1459"/>
      <c r="V5" s="1463"/>
      <c r="W5" s="1174"/>
      <c r="X5" s="1459"/>
      <c r="Y5" s="1459"/>
      <c r="Z5" s="1458"/>
      <c r="AA5" s="1459"/>
      <c r="AB5" s="1459"/>
      <c r="AC5" s="1463"/>
      <c r="AD5" s="1459"/>
      <c r="AE5" s="1459"/>
      <c r="AG5" s="1458"/>
      <c r="AH5" s="1459"/>
      <c r="AI5" s="1459"/>
      <c r="AJ5" s="1463"/>
      <c r="AK5" s="1459"/>
      <c r="AL5" s="1459"/>
      <c r="AN5" s="1458"/>
      <c r="AO5" s="1459"/>
      <c r="AP5" s="1459"/>
      <c r="AQ5" s="1463"/>
      <c r="AR5" s="1459"/>
      <c r="AS5" s="1459"/>
    </row>
    <row r="6" spans="1:45" s="80" customFormat="1" ht="12" customHeight="1" x14ac:dyDescent="0.3">
      <c r="A6" s="293"/>
      <c r="B6" s="1465" t="s">
        <v>336</v>
      </c>
      <c r="C6" s="1466"/>
      <c r="D6" s="1466"/>
      <c r="E6" s="1467"/>
      <c r="F6" s="1457"/>
      <c r="G6" s="1457"/>
      <c r="H6" s="1457"/>
      <c r="I6" s="1458"/>
      <c r="J6" s="1459"/>
      <c r="K6" s="1459"/>
      <c r="L6" s="1459"/>
      <c r="M6" s="1459"/>
      <c r="N6" s="1459"/>
      <c r="O6" s="1459"/>
      <c r="P6" s="1459"/>
      <c r="Q6" s="1459"/>
      <c r="R6" s="1459"/>
      <c r="S6" s="1459"/>
      <c r="T6" s="1174"/>
      <c r="U6" s="1459"/>
      <c r="V6" s="1464"/>
      <c r="W6" s="1174"/>
      <c r="X6" s="1459"/>
      <c r="Y6" s="1459"/>
      <c r="Z6" s="1458"/>
      <c r="AA6" s="1459"/>
      <c r="AB6" s="1459"/>
      <c r="AC6" s="1464"/>
      <c r="AD6" s="1459"/>
      <c r="AE6" s="1459"/>
      <c r="AG6" s="1458"/>
      <c r="AH6" s="1459"/>
      <c r="AI6" s="1459"/>
      <c r="AJ6" s="1464"/>
      <c r="AK6" s="1459"/>
      <c r="AL6" s="1459"/>
      <c r="AN6" s="1458"/>
      <c r="AO6" s="1459"/>
      <c r="AP6" s="1459"/>
      <c r="AQ6" s="1464"/>
      <c r="AR6" s="1459"/>
      <c r="AS6" s="1459"/>
    </row>
    <row r="7" spans="1:45" ht="12" customHeight="1" x14ac:dyDescent="0.35">
      <c r="A7" s="1175">
        <v>9257010</v>
      </c>
      <c r="B7" s="1460" t="s">
        <v>337</v>
      </c>
      <c r="C7" s="1461"/>
      <c r="D7" s="1461"/>
      <c r="E7" s="1461"/>
      <c r="F7" s="1176">
        <v>35258</v>
      </c>
      <c r="G7" s="1176">
        <v>35258</v>
      </c>
      <c r="H7" s="1176">
        <v>35258</v>
      </c>
      <c r="I7" s="1176">
        <v>35258</v>
      </c>
      <c r="J7" s="1177"/>
      <c r="K7" s="1177"/>
      <c r="L7" s="1177"/>
      <c r="M7" s="1178">
        <v>0</v>
      </c>
      <c r="N7" s="1179"/>
      <c r="O7" s="1177"/>
      <c r="P7" s="86"/>
      <c r="Q7" s="86"/>
      <c r="R7" s="1174"/>
      <c r="S7" s="1174"/>
      <c r="T7" s="1174"/>
      <c r="U7" s="1174"/>
      <c r="V7" s="255">
        <f>(9/12)*51500</f>
        <v>38625</v>
      </c>
      <c r="W7" s="1174"/>
      <c r="X7" s="255">
        <f>(8/12)*864</f>
        <v>576</v>
      </c>
      <c r="Y7" s="89">
        <f>I7+L7+Q7+U7+V7</f>
        <v>73883</v>
      </c>
      <c r="Z7" s="255">
        <f>I7</f>
        <v>35258</v>
      </c>
      <c r="AA7" s="255"/>
      <c r="AB7" s="255"/>
      <c r="AC7" s="255">
        <f>51500*(5/12)</f>
        <v>21458.333333333336</v>
      </c>
      <c r="AD7" s="255"/>
      <c r="AE7" s="255">
        <f>SUM(Z7:AD7)</f>
        <v>56716.333333333336</v>
      </c>
      <c r="AG7" s="255">
        <v>35258</v>
      </c>
      <c r="AH7" s="255"/>
      <c r="AI7" s="255"/>
      <c r="AJ7" s="255">
        <v>0</v>
      </c>
      <c r="AK7" s="255"/>
      <c r="AL7" s="255">
        <f>SUM(AG7:AK7)</f>
        <v>35258</v>
      </c>
      <c r="AN7" s="255">
        <v>26443.5</v>
      </c>
      <c r="AO7" s="255"/>
      <c r="AP7" s="255"/>
      <c r="AQ7" s="255">
        <v>0</v>
      </c>
      <c r="AR7" s="255"/>
      <c r="AS7" s="255">
        <f>SUM(AN7:AR7)</f>
        <v>26443.5</v>
      </c>
    </row>
    <row r="8" spans="1:45" ht="12" customHeight="1" x14ac:dyDescent="0.35">
      <c r="A8" s="1175">
        <v>9257030</v>
      </c>
      <c r="B8" s="1460" t="s">
        <v>338</v>
      </c>
      <c r="C8" s="1461"/>
      <c r="D8" s="1461"/>
      <c r="E8" s="1461"/>
      <c r="F8" s="255"/>
      <c r="G8" s="255"/>
      <c r="H8" s="255"/>
      <c r="I8" s="255"/>
      <c r="J8" s="1177"/>
      <c r="K8" s="1177"/>
      <c r="L8" s="1177"/>
      <c r="M8" s="1178">
        <v>0</v>
      </c>
      <c r="N8" s="1179"/>
      <c r="O8" s="1177"/>
      <c r="P8" s="1177"/>
      <c r="Q8" s="1177"/>
      <c r="R8" s="1174"/>
      <c r="S8" s="1174"/>
      <c r="T8" s="1174"/>
      <c r="U8" s="1174"/>
      <c r="V8" s="255"/>
      <c r="W8" s="1174"/>
      <c r="X8" s="255"/>
      <c r="Y8" s="89">
        <f t="shared" ref="Y8:Y25" si="0">I8+L8+Q8+U8+V8</f>
        <v>0</v>
      </c>
      <c r="Z8" s="255"/>
      <c r="AA8" s="255"/>
      <c r="AB8" s="255"/>
      <c r="AC8" s="158"/>
      <c r="AD8" s="255"/>
      <c r="AE8" s="255">
        <f t="shared" ref="AE8:AE26" si="1">SUM(Z8:AD8)</f>
        <v>0</v>
      </c>
      <c r="AG8" s="255"/>
      <c r="AH8" s="255"/>
      <c r="AI8" s="255"/>
      <c r="AJ8" s="158"/>
      <c r="AK8" s="255"/>
      <c r="AL8" s="255">
        <f t="shared" ref="AL8:AL26" si="2">SUM(AG8:AK8)</f>
        <v>0</v>
      </c>
      <c r="AN8" s="255"/>
      <c r="AO8" s="255"/>
      <c r="AP8" s="255"/>
      <c r="AQ8" s="158"/>
      <c r="AR8" s="255"/>
      <c r="AS8" s="255">
        <f t="shared" ref="AS8:AS26" si="3">SUM(AN8:AR8)</f>
        <v>0</v>
      </c>
    </row>
    <row r="9" spans="1:45" ht="12" customHeight="1" x14ac:dyDescent="0.35">
      <c r="A9" s="1175">
        <v>9257031</v>
      </c>
      <c r="B9" s="1460" t="s">
        <v>339</v>
      </c>
      <c r="C9" s="1461"/>
      <c r="D9" s="1461"/>
      <c r="E9" s="1461"/>
      <c r="F9" s="255"/>
      <c r="G9" s="255"/>
      <c r="H9" s="255"/>
      <c r="I9" s="255"/>
      <c r="J9" s="1177"/>
      <c r="K9" s="1177"/>
      <c r="L9" s="1177"/>
      <c r="M9" s="1178">
        <v>0</v>
      </c>
      <c r="N9" s="1179"/>
      <c r="O9" s="1177"/>
      <c r="P9" s="1177"/>
      <c r="Q9" s="1177"/>
      <c r="R9" s="1174"/>
      <c r="S9" s="1174"/>
      <c r="T9" s="1174"/>
      <c r="U9" s="1174"/>
      <c r="V9" s="255"/>
      <c r="W9" s="1174"/>
      <c r="X9" s="255"/>
      <c r="Y9" s="89">
        <f t="shared" si="0"/>
        <v>0</v>
      </c>
      <c r="Z9" s="255"/>
      <c r="AA9" s="255"/>
      <c r="AB9" s="255"/>
      <c r="AC9" s="158"/>
      <c r="AD9" s="255"/>
      <c r="AE9" s="255">
        <f t="shared" si="1"/>
        <v>0</v>
      </c>
      <c r="AG9" s="255"/>
      <c r="AH9" s="255"/>
      <c r="AI9" s="255"/>
      <c r="AJ9" s="158"/>
      <c r="AK9" s="255"/>
      <c r="AL9" s="255">
        <f t="shared" si="2"/>
        <v>0</v>
      </c>
      <c r="AN9" s="255"/>
      <c r="AO9" s="255"/>
      <c r="AP9" s="255"/>
      <c r="AQ9" s="158"/>
      <c r="AR9" s="255"/>
      <c r="AS9" s="255">
        <f t="shared" si="3"/>
        <v>0</v>
      </c>
    </row>
    <row r="10" spans="1:45" ht="12" customHeight="1" x14ac:dyDescent="0.35">
      <c r="A10" s="1175">
        <v>9257008</v>
      </c>
      <c r="B10" s="1460" t="s">
        <v>340</v>
      </c>
      <c r="C10" s="1461"/>
      <c r="D10" s="1461"/>
      <c r="E10" s="1461"/>
      <c r="F10" s="255"/>
      <c r="G10" s="255"/>
      <c r="H10" s="255"/>
      <c r="I10" s="255"/>
      <c r="J10" s="255"/>
      <c r="K10" s="255"/>
      <c r="L10" s="255"/>
      <c r="M10" s="1180">
        <v>4</v>
      </c>
      <c r="N10" s="1176">
        <v>44916</v>
      </c>
      <c r="O10" s="255">
        <v>51500</v>
      </c>
      <c r="P10" s="255">
        <v>51500</v>
      </c>
      <c r="Q10" s="255">
        <v>51500</v>
      </c>
      <c r="R10" s="1174"/>
      <c r="S10" s="1174"/>
      <c r="T10" s="1174"/>
      <c r="U10" s="1174"/>
      <c r="V10" s="255"/>
      <c r="W10" s="1174"/>
      <c r="X10" s="255"/>
      <c r="Y10" s="89">
        <f t="shared" si="0"/>
        <v>51500</v>
      </c>
      <c r="Z10" s="255"/>
      <c r="AA10" s="255"/>
      <c r="AB10" s="255">
        <f>Q10*(5/12)</f>
        <v>21458.333333333336</v>
      </c>
      <c r="AC10" s="255">
        <f>51500*(5/12)</f>
        <v>21458.333333333336</v>
      </c>
      <c r="AD10" s="255"/>
      <c r="AE10" s="255">
        <f t="shared" si="1"/>
        <v>42916.666666666672</v>
      </c>
      <c r="AG10" s="255"/>
      <c r="AH10" s="255"/>
      <c r="AI10" s="255">
        <v>617500</v>
      </c>
      <c r="AJ10" s="255">
        <v>0</v>
      </c>
      <c r="AK10" s="255"/>
      <c r="AL10" s="255">
        <f t="shared" si="2"/>
        <v>617500</v>
      </c>
      <c r="AN10" s="255"/>
      <c r="AO10" s="255"/>
      <c r="AP10" s="255">
        <v>617500</v>
      </c>
      <c r="AQ10" s="255">
        <v>0</v>
      </c>
      <c r="AR10" s="255"/>
      <c r="AS10" s="255">
        <f t="shared" si="3"/>
        <v>617500</v>
      </c>
    </row>
    <row r="11" spans="1:45" ht="12" customHeight="1" x14ac:dyDescent="0.35">
      <c r="A11" s="1175">
        <v>9257002</v>
      </c>
      <c r="B11" s="1460" t="s">
        <v>341</v>
      </c>
      <c r="C11" s="1461"/>
      <c r="D11" s="1461"/>
      <c r="E11" s="1461"/>
      <c r="F11" s="255"/>
      <c r="G11" s="255"/>
      <c r="H11" s="255"/>
      <c r="I11" s="255"/>
      <c r="J11" s="255">
        <v>60000</v>
      </c>
      <c r="K11" s="255">
        <v>60000</v>
      </c>
      <c r="L11" s="255">
        <v>60000</v>
      </c>
      <c r="M11" s="1178">
        <v>0</v>
      </c>
      <c r="N11" s="1176"/>
      <c r="O11" s="255"/>
      <c r="P11" s="255"/>
      <c r="Q11" s="255"/>
      <c r="R11" s="1174"/>
      <c r="S11" s="1174"/>
      <c r="T11" s="1174"/>
      <c r="U11" s="1174"/>
      <c r="V11" s="255"/>
      <c r="W11" s="1174"/>
      <c r="X11" s="255"/>
      <c r="Y11" s="89">
        <f t="shared" si="0"/>
        <v>60000</v>
      </c>
      <c r="Z11" s="255"/>
      <c r="AA11" s="255"/>
      <c r="AB11" s="255"/>
      <c r="AC11" s="158"/>
      <c r="AD11" s="255"/>
      <c r="AE11" s="255">
        <f t="shared" si="1"/>
        <v>0</v>
      </c>
      <c r="AG11" s="255"/>
      <c r="AH11" s="255"/>
      <c r="AI11" s="255"/>
      <c r="AJ11" s="158"/>
      <c r="AK11" s="255"/>
      <c r="AL11" s="255">
        <f t="shared" si="2"/>
        <v>0</v>
      </c>
      <c r="AN11" s="255"/>
      <c r="AO11" s="255"/>
      <c r="AP11" s="255"/>
      <c r="AQ11" s="158"/>
      <c r="AR11" s="255"/>
      <c r="AS11" s="255">
        <f t="shared" si="3"/>
        <v>0</v>
      </c>
    </row>
    <row r="12" spans="1:45" ht="12" customHeight="1" x14ac:dyDescent="0.35">
      <c r="A12" s="1175">
        <v>9257005</v>
      </c>
      <c r="B12" s="1460" t="s">
        <v>342</v>
      </c>
      <c r="C12" s="1461"/>
      <c r="D12" s="1461"/>
      <c r="E12" s="1461"/>
      <c r="F12" s="1176">
        <v>35258</v>
      </c>
      <c r="G12" s="1176">
        <v>35258</v>
      </c>
      <c r="H12" s="1176">
        <v>35258</v>
      </c>
      <c r="I12" s="1176">
        <v>35258</v>
      </c>
      <c r="J12" s="255"/>
      <c r="K12" s="255"/>
      <c r="L12" s="255"/>
      <c r="M12" s="1178">
        <v>0</v>
      </c>
      <c r="N12" s="1176"/>
      <c r="O12" s="255"/>
      <c r="P12" s="255"/>
      <c r="Q12" s="255"/>
      <c r="R12" s="1174"/>
      <c r="S12" s="1174"/>
      <c r="T12" s="1174"/>
      <c r="U12" s="1174"/>
      <c r="V12" s="255"/>
      <c r="W12" s="1174"/>
      <c r="X12" s="255">
        <f>(8/12)*2591</f>
        <v>1727.3333333333333</v>
      </c>
      <c r="Y12" s="89">
        <f t="shared" si="0"/>
        <v>35258</v>
      </c>
      <c r="Z12" s="255">
        <f>I12</f>
        <v>35258</v>
      </c>
      <c r="AA12" s="255"/>
      <c r="AB12" s="255"/>
      <c r="AC12" s="158"/>
      <c r="AD12" s="255"/>
      <c r="AE12" s="255">
        <f t="shared" si="1"/>
        <v>35258</v>
      </c>
      <c r="AG12" s="255">
        <v>35258</v>
      </c>
      <c r="AH12" s="255"/>
      <c r="AI12" s="255"/>
      <c r="AJ12" s="158"/>
      <c r="AK12" s="255"/>
      <c r="AL12" s="255">
        <f t="shared" si="2"/>
        <v>35258</v>
      </c>
      <c r="AN12" s="255">
        <v>26443.5</v>
      </c>
      <c r="AO12" s="255"/>
      <c r="AP12" s="255"/>
      <c r="AQ12" s="158"/>
      <c r="AR12" s="255"/>
      <c r="AS12" s="255">
        <f t="shared" si="3"/>
        <v>26443.5</v>
      </c>
    </row>
    <row r="13" spans="1:45" ht="12" customHeight="1" x14ac:dyDescent="0.35">
      <c r="A13" s="1175">
        <v>9257034</v>
      </c>
      <c r="B13" s="1460" t="s">
        <v>343</v>
      </c>
      <c r="C13" s="1461"/>
      <c r="D13" s="1461"/>
      <c r="E13" s="1461"/>
      <c r="F13" s="255"/>
      <c r="G13" s="255"/>
      <c r="H13" s="255"/>
      <c r="I13" s="255"/>
      <c r="J13" s="255"/>
      <c r="K13" s="255"/>
      <c r="L13" s="255"/>
      <c r="M13" s="1178">
        <v>0</v>
      </c>
      <c r="N13" s="1176"/>
      <c r="O13" s="255"/>
      <c r="P13" s="255"/>
      <c r="Q13" s="255"/>
      <c r="R13" s="1174"/>
      <c r="S13" s="1174"/>
      <c r="T13" s="1174"/>
      <c r="U13" s="1174"/>
      <c r="V13" s="255"/>
      <c r="W13" s="1174"/>
      <c r="X13" s="255">
        <f>(8/12)*3455</f>
        <v>2303.333333333333</v>
      </c>
      <c r="Y13" s="89">
        <f t="shared" si="0"/>
        <v>0</v>
      </c>
      <c r="Z13" s="255"/>
      <c r="AA13" s="255"/>
      <c r="AB13" s="255"/>
      <c r="AC13" s="158"/>
      <c r="AD13" s="255"/>
      <c r="AE13" s="255">
        <f t="shared" si="1"/>
        <v>0</v>
      </c>
      <c r="AG13" s="255"/>
      <c r="AH13" s="255"/>
      <c r="AI13" s="255"/>
      <c r="AJ13" s="158"/>
      <c r="AK13" s="255"/>
      <c r="AL13" s="255">
        <f t="shared" si="2"/>
        <v>0</v>
      </c>
      <c r="AN13" s="255"/>
      <c r="AO13" s="255"/>
      <c r="AP13" s="255"/>
      <c r="AQ13" s="158"/>
      <c r="AR13" s="255"/>
      <c r="AS13" s="255">
        <f t="shared" si="3"/>
        <v>0</v>
      </c>
    </row>
    <row r="14" spans="1:45" ht="12" customHeight="1" x14ac:dyDescent="0.35">
      <c r="A14" s="1175">
        <v>9257021</v>
      </c>
      <c r="B14" s="1460" t="s">
        <v>344</v>
      </c>
      <c r="C14" s="1461"/>
      <c r="D14" s="1461"/>
      <c r="E14" s="1461"/>
      <c r="F14" s="255"/>
      <c r="G14" s="255"/>
      <c r="H14" s="255">
        <v>35258</v>
      </c>
      <c r="I14" s="1176">
        <v>35258</v>
      </c>
      <c r="J14" s="255"/>
      <c r="K14" s="255"/>
      <c r="L14" s="255"/>
      <c r="M14" s="1178">
        <v>0</v>
      </c>
      <c r="N14" s="1176"/>
      <c r="O14" s="255"/>
      <c r="P14" s="255"/>
      <c r="Q14" s="255"/>
      <c r="R14" s="255">
        <v>274420</v>
      </c>
      <c r="S14" s="255">
        <f>R14*(3/12)</f>
        <v>68605</v>
      </c>
      <c r="T14" s="1174" t="s">
        <v>345</v>
      </c>
      <c r="U14" s="1174"/>
      <c r="V14" s="255"/>
      <c r="W14" s="1174"/>
      <c r="X14" s="255"/>
      <c r="Y14" s="89">
        <f t="shared" si="0"/>
        <v>35258</v>
      </c>
      <c r="Z14" s="255">
        <f>I14</f>
        <v>35258</v>
      </c>
      <c r="AA14" s="255"/>
      <c r="AB14" s="255"/>
      <c r="AC14" s="158"/>
      <c r="AD14" s="255"/>
      <c r="AE14" s="255">
        <f t="shared" si="1"/>
        <v>35258</v>
      </c>
      <c r="AG14" s="255">
        <v>35258</v>
      </c>
      <c r="AH14" s="255"/>
      <c r="AI14" s="255"/>
      <c r="AJ14" s="158"/>
      <c r="AK14" s="255"/>
      <c r="AL14" s="255">
        <f t="shared" si="2"/>
        <v>35258</v>
      </c>
      <c r="AN14" s="255">
        <v>26443.5</v>
      </c>
      <c r="AO14" s="255"/>
      <c r="AP14" s="255"/>
      <c r="AQ14" s="158"/>
      <c r="AR14" s="255"/>
      <c r="AS14" s="255">
        <f t="shared" si="3"/>
        <v>26443.5</v>
      </c>
    </row>
    <row r="15" spans="1:45" s="77" customFormat="1" ht="12" customHeight="1" x14ac:dyDescent="0.3">
      <c r="A15" s="1175">
        <v>9257033</v>
      </c>
      <c r="B15" s="1460" t="s">
        <v>346</v>
      </c>
      <c r="C15" s="1461"/>
      <c r="D15" s="1461"/>
      <c r="E15" s="1461"/>
      <c r="F15" s="1176">
        <v>35258</v>
      </c>
      <c r="G15" s="1176">
        <v>35258</v>
      </c>
      <c r="H15" s="1176">
        <v>35258</v>
      </c>
      <c r="I15" s="1176">
        <v>35258</v>
      </c>
      <c r="J15" s="255"/>
      <c r="K15" s="255"/>
      <c r="L15" s="255"/>
      <c r="M15" s="1178">
        <v>0</v>
      </c>
      <c r="N15" s="1176"/>
      <c r="O15" s="255"/>
      <c r="P15" s="86"/>
      <c r="Q15" s="86"/>
      <c r="R15" s="1174"/>
      <c r="S15" s="1174"/>
      <c r="T15" s="1174"/>
      <c r="U15" s="1174"/>
      <c r="V15" s="255">
        <f>(9/12)*51500</f>
        <v>38625</v>
      </c>
      <c r="W15" s="1174"/>
      <c r="X15" s="255"/>
      <c r="Y15" s="89">
        <f t="shared" si="0"/>
        <v>73883</v>
      </c>
      <c r="Z15" s="255">
        <f>I15</f>
        <v>35258</v>
      </c>
      <c r="AA15" s="255"/>
      <c r="AB15" s="255"/>
      <c r="AC15" s="255">
        <f>51500*(5/12)</f>
        <v>21458.333333333336</v>
      </c>
      <c r="AD15" s="255"/>
      <c r="AE15" s="255">
        <f t="shared" si="1"/>
        <v>56716.333333333336</v>
      </c>
      <c r="AF15" s="1172"/>
      <c r="AG15" s="255">
        <v>35258</v>
      </c>
      <c r="AH15" s="255"/>
      <c r="AI15" s="255"/>
      <c r="AJ15" s="255">
        <v>0</v>
      </c>
      <c r="AK15" s="255"/>
      <c r="AL15" s="255">
        <f t="shared" si="2"/>
        <v>35258</v>
      </c>
      <c r="AM15" s="1172"/>
      <c r="AN15" s="255">
        <v>26443.5</v>
      </c>
      <c r="AO15" s="255"/>
      <c r="AP15" s="255"/>
      <c r="AQ15" s="255">
        <v>0</v>
      </c>
      <c r="AR15" s="255"/>
      <c r="AS15" s="255">
        <f t="shared" si="3"/>
        <v>26443.5</v>
      </c>
    </row>
    <row r="16" spans="1:45" s="77" customFormat="1" ht="12" customHeight="1" x14ac:dyDescent="0.3">
      <c r="A16" s="1175">
        <v>9257017</v>
      </c>
      <c r="B16" s="1460" t="s">
        <v>347</v>
      </c>
      <c r="C16" s="1461"/>
      <c r="D16" s="1461"/>
      <c r="E16" s="1461"/>
      <c r="F16" s="1176">
        <v>55122</v>
      </c>
      <c r="G16" s="1176">
        <v>35258</v>
      </c>
      <c r="H16" s="1176">
        <v>14690.833333333334</v>
      </c>
      <c r="I16" s="1176"/>
      <c r="J16" s="255"/>
      <c r="K16" s="255"/>
      <c r="L16" s="255"/>
      <c r="M16" s="1178">
        <v>0</v>
      </c>
      <c r="N16" s="1176"/>
      <c r="O16" s="255"/>
      <c r="P16" s="255"/>
      <c r="Q16" s="255"/>
      <c r="R16" s="1174"/>
      <c r="S16" s="1174"/>
      <c r="T16" s="1174"/>
      <c r="U16" s="1174"/>
      <c r="V16" s="255"/>
      <c r="W16" s="1174"/>
      <c r="X16" s="255"/>
      <c r="Y16" s="89">
        <f t="shared" si="0"/>
        <v>0</v>
      </c>
      <c r="Z16" s="255"/>
      <c r="AA16" s="255"/>
      <c r="AB16" s="255"/>
      <c r="AC16" s="255"/>
      <c r="AD16" s="255"/>
      <c r="AE16" s="255">
        <f t="shared" si="1"/>
        <v>0</v>
      </c>
      <c r="AF16" s="1172"/>
      <c r="AG16" s="255"/>
      <c r="AH16" s="255"/>
      <c r="AI16" s="255"/>
      <c r="AJ16" s="255"/>
      <c r="AK16" s="255"/>
      <c r="AL16" s="255">
        <f t="shared" si="2"/>
        <v>0</v>
      </c>
      <c r="AM16" s="1172"/>
      <c r="AN16" s="255"/>
      <c r="AO16" s="255"/>
      <c r="AP16" s="255"/>
      <c r="AQ16" s="255"/>
      <c r="AR16" s="255"/>
      <c r="AS16" s="255">
        <f t="shared" si="3"/>
        <v>0</v>
      </c>
    </row>
    <row r="17" spans="1:45" ht="12" customHeight="1" x14ac:dyDescent="0.35">
      <c r="A17" s="1175">
        <v>9257015</v>
      </c>
      <c r="B17" s="1460" t="s">
        <v>348</v>
      </c>
      <c r="C17" s="1461"/>
      <c r="D17" s="1461"/>
      <c r="E17" s="1461"/>
      <c r="F17" s="255"/>
      <c r="G17" s="255"/>
      <c r="H17" s="255">
        <f>(7/12)*35258</f>
        <v>20567.166666666668</v>
      </c>
      <c r="I17" s="255">
        <v>35258</v>
      </c>
      <c r="J17" s="255"/>
      <c r="K17" s="255"/>
      <c r="L17" s="255"/>
      <c r="M17" s="1180">
        <v>6</v>
      </c>
      <c r="N17" s="1176">
        <v>67374</v>
      </c>
      <c r="O17" s="255">
        <v>67374</v>
      </c>
      <c r="P17" s="255">
        <v>51500</v>
      </c>
      <c r="Q17" s="255">
        <v>51500</v>
      </c>
      <c r="R17" s="1174"/>
      <c r="S17" s="1174"/>
      <c r="T17" s="1174" t="s">
        <v>9</v>
      </c>
      <c r="U17" s="1174"/>
      <c r="V17" s="255"/>
      <c r="W17" s="1174"/>
      <c r="X17" s="255">
        <f>(8/12)*2015</f>
        <v>1343.3333333333333</v>
      </c>
      <c r="Y17" s="89">
        <f t="shared" si="0"/>
        <v>86758</v>
      </c>
      <c r="Z17" s="255">
        <f>I17</f>
        <v>35258</v>
      </c>
      <c r="AA17" s="255"/>
      <c r="AB17" s="255">
        <f>Q17*(5/12)</f>
        <v>21458.333333333336</v>
      </c>
      <c r="AC17" s="158"/>
      <c r="AD17" s="255"/>
      <c r="AE17" s="255">
        <f t="shared" si="1"/>
        <v>56716.333333333336</v>
      </c>
      <c r="AG17" s="255">
        <v>35258</v>
      </c>
      <c r="AH17" s="255"/>
      <c r="AI17" s="255">
        <v>0</v>
      </c>
      <c r="AJ17" s="158"/>
      <c r="AK17" s="255"/>
      <c r="AL17" s="255">
        <f t="shared" si="2"/>
        <v>35258</v>
      </c>
      <c r="AN17" s="255">
        <v>26443.5</v>
      </c>
      <c r="AO17" s="255"/>
      <c r="AP17" s="255">
        <v>0</v>
      </c>
      <c r="AQ17" s="158"/>
      <c r="AR17" s="255"/>
      <c r="AS17" s="255">
        <f t="shared" si="3"/>
        <v>26443.5</v>
      </c>
    </row>
    <row r="18" spans="1:45" ht="12" customHeight="1" x14ac:dyDescent="0.35">
      <c r="A18" s="1175">
        <v>9257016</v>
      </c>
      <c r="B18" s="1460" t="s">
        <v>349</v>
      </c>
      <c r="C18" s="1461"/>
      <c r="D18" s="1461"/>
      <c r="E18" s="1461"/>
      <c r="F18" s="255"/>
      <c r="G18" s="255"/>
      <c r="H18" s="255"/>
      <c r="I18" s="255"/>
      <c r="J18" s="255">
        <v>60000</v>
      </c>
      <c r="K18" s="255">
        <v>60000</v>
      </c>
      <c r="L18" s="255">
        <v>60000</v>
      </c>
      <c r="M18" s="1180">
        <v>8.5</v>
      </c>
      <c r="N18" s="1176">
        <v>88935.5</v>
      </c>
      <c r="O18" s="255">
        <v>88936</v>
      </c>
      <c r="P18" s="255">
        <v>88936</v>
      </c>
      <c r="Q18" s="255">
        <v>88936</v>
      </c>
      <c r="R18" s="255">
        <v>582568</v>
      </c>
      <c r="S18" s="255">
        <v>582568</v>
      </c>
      <c r="T18" s="1174"/>
      <c r="U18" s="255">
        <v>582568</v>
      </c>
      <c r="V18" s="255"/>
      <c r="W18" s="1174"/>
      <c r="X18" s="255">
        <f>(8/12)*5470</f>
        <v>3646.6666666666665</v>
      </c>
      <c r="Y18" s="89">
        <f t="shared" si="0"/>
        <v>731504</v>
      </c>
      <c r="Z18" s="255"/>
      <c r="AA18" s="255">
        <f>L18*(5/12)</f>
        <v>25000</v>
      </c>
      <c r="AB18" s="255">
        <f>Q18*(5/12)</f>
        <v>37056.666666666672</v>
      </c>
      <c r="AC18" s="158"/>
      <c r="AD18" s="255">
        <f>U18</f>
        <v>582568</v>
      </c>
      <c r="AE18" s="255">
        <f t="shared" si="1"/>
        <v>644624.66666666663</v>
      </c>
      <c r="AG18" s="255"/>
      <c r="AH18" s="255">
        <v>0</v>
      </c>
      <c r="AI18" s="255">
        <v>140436</v>
      </c>
      <c r="AJ18" s="158"/>
      <c r="AK18" s="255">
        <v>582568</v>
      </c>
      <c r="AL18" s="255">
        <f t="shared" si="2"/>
        <v>723004</v>
      </c>
      <c r="AN18" s="255"/>
      <c r="AO18" s="255">
        <v>0</v>
      </c>
      <c r="AP18" s="255">
        <v>140436</v>
      </c>
      <c r="AQ18" s="158"/>
      <c r="AR18" s="255">
        <v>582568</v>
      </c>
      <c r="AS18" s="255">
        <f t="shared" si="3"/>
        <v>723004</v>
      </c>
    </row>
    <row r="19" spans="1:45" ht="12" customHeight="1" x14ac:dyDescent="0.35">
      <c r="A19" s="1175">
        <v>9257032</v>
      </c>
      <c r="B19" s="1468" t="s">
        <v>350</v>
      </c>
      <c r="C19" s="1469"/>
      <c r="D19" s="1469"/>
      <c r="E19" s="1470"/>
      <c r="F19" s="255"/>
      <c r="G19" s="255"/>
      <c r="H19" s="255"/>
      <c r="I19" s="255"/>
      <c r="J19" s="255">
        <v>60000</v>
      </c>
      <c r="K19" s="255">
        <v>60000</v>
      </c>
      <c r="L19" s="255">
        <v>60000</v>
      </c>
      <c r="M19" s="1178">
        <v>0</v>
      </c>
      <c r="N19" s="1176"/>
      <c r="O19" s="255"/>
      <c r="P19" s="255"/>
      <c r="Q19" s="255"/>
      <c r="R19" s="1174"/>
      <c r="S19" s="1174"/>
      <c r="T19" s="1174"/>
      <c r="U19" s="1174"/>
      <c r="V19" s="255"/>
      <c r="W19" s="1174"/>
      <c r="X19" s="255"/>
      <c r="Y19" s="89">
        <f t="shared" si="0"/>
        <v>60000</v>
      </c>
      <c r="Z19" s="255"/>
      <c r="AA19" s="255">
        <f>L19*(5/12)</f>
        <v>25000</v>
      </c>
      <c r="AB19" s="255"/>
      <c r="AC19" s="158"/>
      <c r="AD19" s="255"/>
      <c r="AE19" s="255">
        <f t="shared" si="1"/>
        <v>25000</v>
      </c>
      <c r="AG19" s="255"/>
      <c r="AH19" s="255">
        <v>0</v>
      </c>
      <c r="AI19" s="255"/>
      <c r="AJ19" s="158"/>
      <c r="AK19" s="255"/>
      <c r="AL19" s="255">
        <f t="shared" si="2"/>
        <v>0</v>
      </c>
      <c r="AN19" s="255"/>
      <c r="AO19" s="255">
        <v>0</v>
      </c>
      <c r="AP19" s="255"/>
      <c r="AQ19" s="158"/>
      <c r="AR19" s="255"/>
      <c r="AS19" s="255">
        <f t="shared" si="3"/>
        <v>0</v>
      </c>
    </row>
    <row r="20" spans="1:45" ht="12" customHeight="1" x14ac:dyDescent="0.35">
      <c r="A20" s="1175">
        <v>9257025</v>
      </c>
      <c r="B20" s="1460" t="s">
        <v>351</v>
      </c>
      <c r="C20" s="1461"/>
      <c r="D20" s="1461"/>
      <c r="E20" s="1461"/>
      <c r="F20" s="1176">
        <v>35258</v>
      </c>
      <c r="G20" s="1176">
        <v>35258</v>
      </c>
      <c r="H20" s="1176">
        <v>35258</v>
      </c>
      <c r="I20" s="1176">
        <v>35258</v>
      </c>
      <c r="J20" s="255"/>
      <c r="K20" s="255"/>
      <c r="L20" s="255"/>
      <c r="M20" s="1178">
        <v>0</v>
      </c>
      <c r="N20" s="1176"/>
      <c r="O20" s="255"/>
      <c r="P20" s="86"/>
      <c r="Q20" s="86"/>
      <c r="R20" s="255">
        <v>327644</v>
      </c>
      <c r="S20" s="255">
        <v>327644</v>
      </c>
      <c r="T20" s="1174"/>
      <c r="U20" s="255">
        <v>327644</v>
      </c>
      <c r="V20" s="255">
        <f>(9/12)*51500</f>
        <v>38625</v>
      </c>
      <c r="W20" s="1174"/>
      <c r="X20" s="255">
        <f>(8/12)*1727</f>
        <v>1151.3333333333333</v>
      </c>
      <c r="Y20" s="89">
        <f t="shared" si="0"/>
        <v>401527</v>
      </c>
      <c r="Z20" s="255">
        <f>I20</f>
        <v>35258</v>
      </c>
      <c r="AA20" s="255"/>
      <c r="AB20" s="255"/>
      <c r="AC20" s="255">
        <f>51500*(5/12)</f>
        <v>21458.333333333336</v>
      </c>
      <c r="AD20" s="255">
        <f>U20</f>
        <v>327644</v>
      </c>
      <c r="AE20" s="255">
        <f t="shared" si="1"/>
        <v>384360.33333333331</v>
      </c>
      <c r="AG20" s="255">
        <v>35258</v>
      </c>
      <c r="AH20" s="255"/>
      <c r="AI20" s="255"/>
      <c r="AJ20" s="255">
        <v>0</v>
      </c>
      <c r="AK20" s="255">
        <f>327644+209307</f>
        <v>536951</v>
      </c>
      <c r="AL20" s="255">
        <f t="shared" si="2"/>
        <v>572209</v>
      </c>
      <c r="AN20" s="255">
        <v>26443.5</v>
      </c>
      <c r="AO20" s="255"/>
      <c r="AP20" s="255"/>
      <c r="AQ20" s="255">
        <v>0</v>
      </c>
      <c r="AR20" s="255">
        <f>327644+209307</f>
        <v>536951</v>
      </c>
      <c r="AS20" s="255">
        <f t="shared" si="3"/>
        <v>563394.5</v>
      </c>
    </row>
    <row r="21" spans="1:45" ht="12" customHeight="1" x14ac:dyDescent="0.35">
      <c r="A21" s="1175">
        <v>9257011</v>
      </c>
      <c r="B21" s="1460" t="s">
        <v>352</v>
      </c>
      <c r="C21" s="1461"/>
      <c r="D21" s="1461"/>
      <c r="E21" s="1461"/>
      <c r="F21" s="1176">
        <v>35258</v>
      </c>
      <c r="G21" s="1176">
        <v>35258</v>
      </c>
      <c r="H21" s="1176">
        <v>35258</v>
      </c>
      <c r="I21" s="1176">
        <v>35258</v>
      </c>
      <c r="J21" s="255"/>
      <c r="K21" s="255"/>
      <c r="L21" s="255"/>
      <c r="M21" s="1178">
        <v>0</v>
      </c>
      <c r="N21" s="1176"/>
      <c r="O21" s="255"/>
      <c r="P21" s="255"/>
      <c r="Q21" s="255"/>
      <c r="R21" s="1174"/>
      <c r="S21" s="1174"/>
      <c r="T21" s="1174"/>
      <c r="U21" s="1174"/>
      <c r="V21" s="255">
        <f>((9/12)*51500)/2</f>
        <v>19312.5</v>
      </c>
      <c r="W21" s="1174"/>
      <c r="X21" s="255">
        <f>(8/12)*500</f>
        <v>333.33333333333331</v>
      </c>
      <c r="Y21" s="89">
        <f t="shared" si="0"/>
        <v>54570.5</v>
      </c>
      <c r="Z21" s="255">
        <f>I21</f>
        <v>35258</v>
      </c>
      <c r="AA21" s="255"/>
      <c r="AB21" s="255"/>
      <c r="AC21" s="255">
        <f>(51500)*(5/12)</f>
        <v>21458.333333333336</v>
      </c>
      <c r="AD21" s="255"/>
      <c r="AE21" s="255">
        <f t="shared" si="1"/>
        <v>56716.333333333336</v>
      </c>
      <c r="AG21" s="255">
        <v>35258</v>
      </c>
      <c r="AH21" s="255"/>
      <c r="AI21" s="255"/>
      <c r="AJ21" s="255">
        <v>0</v>
      </c>
      <c r="AK21" s="255"/>
      <c r="AL21" s="255">
        <f t="shared" si="2"/>
        <v>35258</v>
      </c>
      <c r="AN21" s="255">
        <v>26443.5</v>
      </c>
      <c r="AO21" s="255"/>
      <c r="AP21" s="255"/>
      <c r="AQ21" s="255">
        <v>0</v>
      </c>
      <c r="AR21" s="255"/>
      <c r="AS21" s="255">
        <f t="shared" si="3"/>
        <v>26443.5</v>
      </c>
    </row>
    <row r="22" spans="1:45" ht="12" customHeight="1" x14ac:dyDescent="0.35">
      <c r="A22" s="1175">
        <v>9257009</v>
      </c>
      <c r="B22" s="1460" t="s">
        <v>353</v>
      </c>
      <c r="C22" s="1461"/>
      <c r="D22" s="1461"/>
      <c r="E22" s="1461"/>
      <c r="F22" s="255"/>
      <c r="G22" s="255"/>
      <c r="H22" s="255"/>
      <c r="I22" s="255"/>
      <c r="J22" s="255"/>
      <c r="K22" s="255"/>
      <c r="L22" s="255"/>
      <c r="M22" s="1178">
        <v>0</v>
      </c>
      <c r="N22" s="1176"/>
      <c r="O22" s="255"/>
      <c r="P22" s="86"/>
      <c r="Q22" s="86"/>
      <c r="R22" s="1174"/>
      <c r="S22" s="1174"/>
      <c r="T22" s="1174"/>
      <c r="U22" s="1174"/>
      <c r="V22" s="255">
        <f>((9/12)*51500)/2</f>
        <v>19312.5</v>
      </c>
      <c r="W22" s="1174"/>
      <c r="X22" s="255"/>
      <c r="Y22" s="89">
        <f t="shared" si="0"/>
        <v>19312.5</v>
      </c>
      <c r="Z22" s="255"/>
      <c r="AA22" s="255"/>
      <c r="AB22" s="255"/>
      <c r="AC22" s="255">
        <f>(51500)*(5/12)</f>
        <v>21458.333333333336</v>
      </c>
      <c r="AD22" s="255"/>
      <c r="AE22" s="255">
        <f t="shared" si="1"/>
        <v>21458.333333333336</v>
      </c>
      <c r="AG22" s="255"/>
      <c r="AH22" s="255"/>
      <c r="AI22" s="255"/>
      <c r="AJ22" s="255">
        <v>0</v>
      </c>
      <c r="AK22" s="255"/>
      <c r="AL22" s="255">
        <f t="shared" si="2"/>
        <v>0</v>
      </c>
      <c r="AN22" s="255"/>
      <c r="AO22" s="255"/>
      <c r="AP22" s="255"/>
      <c r="AQ22" s="255">
        <v>0</v>
      </c>
      <c r="AR22" s="255"/>
      <c r="AS22" s="255">
        <f t="shared" si="3"/>
        <v>0</v>
      </c>
    </row>
    <row r="23" spans="1:45" ht="12" customHeight="1" x14ac:dyDescent="0.35">
      <c r="A23" s="1175">
        <v>9257024</v>
      </c>
      <c r="B23" s="1460" t="s">
        <v>354</v>
      </c>
      <c r="C23" s="1461"/>
      <c r="D23" s="1461"/>
      <c r="E23" s="1461"/>
      <c r="F23" s="1176">
        <v>35258</v>
      </c>
      <c r="G23" s="1176">
        <v>35258</v>
      </c>
      <c r="H23" s="1176">
        <v>35258</v>
      </c>
      <c r="I23" s="1176">
        <v>35258</v>
      </c>
      <c r="J23" s="255">
        <v>60000</v>
      </c>
      <c r="K23" s="255">
        <v>60000</v>
      </c>
      <c r="L23" s="255">
        <v>60000</v>
      </c>
      <c r="M23" s="1178">
        <v>0</v>
      </c>
      <c r="N23" s="1176"/>
      <c r="O23" s="255"/>
      <c r="P23" s="255"/>
      <c r="Q23" s="255"/>
      <c r="R23" s="1174"/>
      <c r="S23" s="1174"/>
      <c r="T23" s="1174"/>
      <c r="U23" s="1174"/>
      <c r="V23" s="255"/>
      <c r="W23" s="1174"/>
      <c r="X23" s="255">
        <f>(8/12)*1152</f>
        <v>768</v>
      </c>
      <c r="Y23" s="89">
        <f t="shared" si="0"/>
        <v>95258</v>
      </c>
      <c r="Z23" s="255">
        <f>I23</f>
        <v>35258</v>
      </c>
      <c r="AA23" s="255">
        <f>L23*(5/12)</f>
        <v>25000</v>
      </c>
      <c r="AB23" s="255"/>
      <c r="AC23" s="158"/>
      <c r="AD23" s="255"/>
      <c r="AE23" s="255">
        <f t="shared" si="1"/>
        <v>60258</v>
      </c>
      <c r="AG23" s="255">
        <v>35258</v>
      </c>
      <c r="AH23" s="255">
        <v>0</v>
      </c>
      <c r="AI23" s="255"/>
      <c r="AJ23" s="158"/>
      <c r="AK23" s="255"/>
      <c r="AL23" s="255">
        <f t="shared" si="2"/>
        <v>35258</v>
      </c>
      <c r="AN23" s="255">
        <v>26443.5</v>
      </c>
      <c r="AO23" s="255">
        <v>0</v>
      </c>
      <c r="AP23" s="255"/>
      <c r="AQ23" s="158"/>
      <c r="AR23" s="255"/>
      <c r="AS23" s="255">
        <f t="shared" si="3"/>
        <v>26443.5</v>
      </c>
    </row>
    <row r="24" spans="1:45" ht="12" customHeight="1" x14ac:dyDescent="0.35">
      <c r="A24" s="1175">
        <v>9257028</v>
      </c>
      <c r="B24" s="1460" t="s">
        <v>355</v>
      </c>
      <c r="C24" s="1461"/>
      <c r="D24" s="1461"/>
      <c r="E24" s="1461"/>
      <c r="F24" s="1176">
        <v>35258</v>
      </c>
      <c r="G24" s="1176">
        <v>35258</v>
      </c>
      <c r="H24" s="1176">
        <v>35258</v>
      </c>
      <c r="I24" s="1176">
        <v>35258</v>
      </c>
      <c r="J24" s="255">
        <v>60000</v>
      </c>
      <c r="K24" s="255">
        <v>60000</v>
      </c>
      <c r="L24" s="255">
        <v>60000</v>
      </c>
      <c r="M24" s="1178">
        <v>0</v>
      </c>
      <c r="N24" s="1176"/>
      <c r="O24" s="255"/>
      <c r="P24" s="255"/>
      <c r="Q24" s="255"/>
      <c r="R24" s="1174"/>
      <c r="S24" s="1174"/>
      <c r="T24" s="1174"/>
      <c r="U24" s="1174"/>
      <c r="V24" s="255"/>
      <c r="W24" s="1174"/>
      <c r="X24" s="255">
        <f>(8/12)*2015</f>
        <v>1343.3333333333333</v>
      </c>
      <c r="Y24" s="89">
        <f t="shared" si="0"/>
        <v>95258</v>
      </c>
      <c r="Z24" s="255">
        <f>I24</f>
        <v>35258</v>
      </c>
      <c r="AA24" s="255"/>
      <c r="AB24" s="255"/>
      <c r="AC24" s="158"/>
      <c r="AD24" s="255"/>
      <c r="AE24" s="255">
        <f t="shared" si="1"/>
        <v>35258</v>
      </c>
      <c r="AG24" s="255">
        <v>35258</v>
      </c>
      <c r="AH24" s="255"/>
      <c r="AI24" s="255"/>
      <c r="AJ24" s="158"/>
      <c r="AK24" s="255"/>
      <c r="AL24" s="255">
        <f t="shared" si="2"/>
        <v>35258</v>
      </c>
      <c r="AN24" s="255">
        <v>26443.5</v>
      </c>
      <c r="AO24" s="255"/>
      <c r="AP24" s="255"/>
      <c r="AQ24" s="158"/>
      <c r="AR24" s="255"/>
      <c r="AS24" s="255">
        <f t="shared" si="3"/>
        <v>26443.5</v>
      </c>
    </row>
    <row r="25" spans="1:45" ht="12" customHeight="1" x14ac:dyDescent="0.35">
      <c r="A25" s="1175">
        <v>9257029</v>
      </c>
      <c r="B25" s="1471" t="s">
        <v>356</v>
      </c>
      <c r="C25" s="1472"/>
      <c r="D25" s="1472"/>
      <c r="E25" s="1473"/>
      <c r="F25" s="1176"/>
      <c r="G25" s="1176"/>
      <c r="H25" s="1176"/>
      <c r="I25" s="1176"/>
      <c r="J25" s="255">
        <v>60000</v>
      </c>
      <c r="K25" s="255">
        <v>60000</v>
      </c>
      <c r="L25" s="255">
        <v>60000</v>
      </c>
      <c r="M25" s="1178">
        <v>0</v>
      </c>
      <c r="N25" s="1176"/>
      <c r="O25" s="255"/>
      <c r="P25" s="255"/>
      <c r="Q25" s="255"/>
      <c r="R25" s="1174"/>
      <c r="S25" s="1174"/>
      <c r="T25" s="1174"/>
      <c r="U25" s="1174"/>
      <c r="V25" s="255"/>
      <c r="W25" s="1174"/>
      <c r="X25" s="255"/>
      <c r="Y25" s="89">
        <f t="shared" si="0"/>
        <v>60000</v>
      </c>
      <c r="Z25" s="255"/>
      <c r="AA25" s="255">
        <f>L25*(5/12)</f>
        <v>25000</v>
      </c>
      <c r="AB25" s="255"/>
      <c r="AC25" s="158"/>
      <c r="AD25" s="255"/>
      <c r="AE25" s="255">
        <f t="shared" si="1"/>
        <v>25000</v>
      </c>
      <c r="AG25" s="255"/>
      <c r="AH25" s="255">
        <v>0</v>
      </c>
      <c r="AI25" s="255"/>
      <c r="AJ25" s="158"/>
      <c r="AK25" s="255"/>
      <c r="AL25" s="255">
        <f t="shared" si="2"/>
        <v>0</v>
      </c>
      <c r="AN25" s="255"/>
      <c r="AO25" s="255">
        <v>0</v>
      </c>
      <c r="AP25" s="255"/>
      <c r="AQ25" s="158"/>
      <c r="AR25" s="255"/>
      <c r="AS25" s="255">
        <f t="shared" si="3"/>
        <v>0</v>
      </c>
    </row>
    <row r="26" spans="1:45" ht="12" customHeight="1" x14ac:dyDescent="0.35">
      <c r="A26" s="293"/>
      <c r="B26" s="1474" t="s">
        <v>357</v>
      </c>
      <c r="C26" s="1474"/>
      <c r="D26" s="1474"/>
      <c r="E26" s="1474"/>
      <c r="F26" s="81">
        <v>301928</v>
      </c>
      <c r="G26" s="81">
        <v>282064</v>
      </c>
      <c r="H26" s="81">
        <v>317322</v>
      </c>
      <c r="I26" s="81">
        <v>317322</v>
      </c>
      <c r="J26" s="81">
        <v>360000</v>
      </c>
      <c r="K26" s="81">
        <v>360000</v>
      </c>
      <c r="L26" s="81">
        <v>360000</v>
      </c>
      <c r="M26" s="82">
        <v>18.5</v>
      </c>
      <c r="N26" s="81">
        <v>201225.5</v>
      </c>
      <c r="O26" s="81">
        <v>207810</v>
      </c>
      <c r="P26" s="81">
        <v>191936</v>
      </c>
      <c r="Q26" s="81">
        <v>191936</v>
      </c>
      <c r="R26" s="81">
        <v>1184632</v>
      </c>
      <c r="S26" s="81">
        <v>978817</v>
      </c>
      <c r="T26" s="81">
        <v>0</v>
      </c>
      <c r="U26" s="81">
        <v>910212</v>
      </c>
      <c r="V26" s="81">
        <v>154500</v>
      </c>
      <c r="W26" s="1174"/>
      <c r="X26" s="89">
        <f>SUM(X7:X25)</f>
        <v>13192.666666666668</v>
      </c>
      <c r="Y26" s="89">
        <f>I26+L26+Q26+U26+V26</f>
        <v>1933970</v>
      </c>
      <c r="Z26" s="255">
        <f>SUM(Z7:Z25)</f>
        <v>317322</v>
      </c>
      <c r="AA26" s="255">
        <f>SUM(AA7:AA25)</f>
        <v>100000</v>
      </c>
      <c r="AB26" s="255">
        <f>SUM(AB7:AB25)</f>
        <v>79973.333333333343</v>
      </c>
      <c r="AC26" s="255">
        <f>SUM(AC7:AC25)</f>
        <v>128750.00000000003</v>
      </c>
      <c r="AD26" s="255">
        <f>SUM(AD7:AD25)</f>
        <v>910212</v>
      </c>
      <c r="AE26" s="255">
        <f t="shared" si="1"/>
        <v>1536257.3333333335</v>
      </c>
      <c r="AG26" s="255">
        <f>SUM(AG7:AG25)</f>
        <v>317322</v>
      </c>
      <c r="AH26" s="255">
        <f>SUM(AH7:AH25)</f>
        <v>0</v>
      </c>
      <c r="AI26" s="255">
        <f>SUM(AI7:AI25)</f>
        <v>757936</v>
      </c>
      <c r="AJ26" s="255">
        <f>SUM(AJ7:AJ25)</f>
        <v>0</v>
      </c>
      <c r="AK26" s="255">
        <f>SUM(AK7:AK25)</f>
        <v>1119519</v>
      </c>
      <c r="AL26" s="255">
        <f t="shared" si="2"/>
        <v>2194777</v>
      </c>
      <c r="AN26" s="255">
        <f>SUM(AN7:AN25)</f>
        <v>237991.5</v>
      </c>
      <c r="AO26" s="255">
        <f>SUM(AO7:AO25)</f>
        <v>0</v>
      </c>
      <c r="AP26" s="255">
        <f>SUM(AP7:AP25)</f>
        <v>757936</v>
      </c>
      <c r="AQ26" s="255">
        <f>SUM(AQ7:AQ25)</f>
        <v>0</v>
      </c>
      <c r="AR26" s="255">
        <f>SUM(AR7:AR25)</f>
        <v>1119519</v>
      </c>
      <c r="AS26" s="255">
        <f t="shared" si="3"/>
        <v>2115446.5</v>
      </c>
    </row>
    <row r="27" spans="1:45" ht="15" customHeight="1" x14ac:dyDescent="0.35">
      <c r="A27" s="293"/>
      <c r="B27" s="1172"/>
      <c r="C27" s="1172"/>
      <c r="D27" s="1172"/>
      <c r="E27" s="1172"/>
      <c r="F27" s="1172"/>
      <c r="G27" s="1172"/>
      <c r="H27" s="1172"/>
      <c r="I27" s="1172"/>
      <c r="J27" s="293"/>
      <c r="K27" s="293"/>
      <c r="L27" s="293"/>
      <c r="O27" s="1172"/>
      <c r="P27" s="1172"/>
      <c r="Q27" s="1172"/>
      <c r="R27" s="1172"/>
      <c r="S27" s="1172"/>
      <c r="T27" s="1172"/>
      <c r="U27" s="1172"/>
      <c r="V27" s="1172"/>
      <c r="W27" s="1172"/>
      <c r="X27" s="1172"/>
      <c r="Y27" s="293"/>
      <c r="Z27" s="1172"/>
      <c r="AA27" s="1172"/>
      <c r="AB27" s="1172"/>
    </row>
    <row r="28" spans="1:45" ht="15" hidden="1" customHeight="1" x14ac:dyDescent="0.35">
      <c r="A28" s="293"/>
      <c r="B28" s="83" t="s">
        <v>358</v>
      </c>
      <c r="C28" s="1172"/>
      <c r="D28" s="1172"/>
      <c r="E28" s="1172"/>
      <c r="F28" s="1172"/>
      <c r="G28" s="1172"/>
      <c r="H28" s="1172"/>
      <c r="I28" s="1172"/>
      <c r="J28" s="293"/>
      <c r="K28" s="293"/>
      <c r="L28" s="293"/>
      <c r="O28" s="1172"/>
      <c r="P28" s="1172"/>
      <c r="Q28" s="1172"/>
      <c r="R28" s="1172"/>
      <c r="S28" s="1172"/>
      <c r="T28" s="1172"/>
      <c r="U28" s="1172"/>
      <c r="V28" s="1172"/>
      <c r="W28" s="1172"/>
      <c r="X28" s="1172"/>
      <c r="Y28" s="293"/>
      <c r="Z28" s="1172"/>
      <c r="AA28" s="1172"/>
      <c r="AB28" s="1172"/>
    </row>
    <row r="29" spans="1:45" ht="15" hidden="1" customHeight="1" x14ac:dyDescent="0.35">
      <c r="A29" s="293"/>
      <c r="B29" s="84" t="s">
        <v>359</v>
      </c>
      <c r="C29" s="1172"/>
      <c r="D29" s="1172"/>
      <c r="E29" s="1172"/>
      <c r="F29" s="1172"/>
      <c r="G29" s="1172"/>
      <c r="H29" s="1172"/>
      <c r="I29" s="1172"/>
      <c r="J29" s="293"/>
      <c r="K29" s="293"/>
      <c r="L29" s="293"/>
      <c r="O29" s="1172"/>
      <c r="P29" s="1172"/>
      <c r="Q29" s="1172"/>
      <c r="R29" s="1172"/>
      <c r="S29" s="1172"/>
      <c r="T29" s="1172"/>
      <c r="U29" s="1172"/>
      <c r="V29" s="1172"/>
      <c r="W29" s="1172"/>
      <c r="X29" s="1172"/>
      <c r="Y29" s="293"/>
      <c r="Z29" s="1172"/>
      <c r="AA29" s="1172"/>
      <c r="AB29" s="1172"/>
    </row>
    <row r="30" spans="1:45" ht="15" hidden="1" customHeight="1" x14ac:dyDescent="0.35">
      <c r="A30" s="293"/>
      <c r="B30" s="1477" t="s">
        <v>360</v>
      </c>
      <c r="C30" s="1477"/>
      <c r="D30" s="1477"/>
      <c r="E30" s="1477"/>
      <c r="F30" s="1477"/>
      <c r="G30" s="1477"/>
      <c r="H30" s="1477"/>
      <c r="I30" s="1477"/>
      <c r="J30" s="1477"/>
      <c r="K30" s="1477"/>
      <c r="L30" s="1477"/>
      <c r="M30" s="1477"/>
      <c r="N30" s="1477"/>
      <c r="O30" s="1477"/>
      <c r="P30" s="1477"/>
      <c r="Q30" s="1477"/>
      <c r="R30" s="1477"/>
      <c r="S30" s="1477"/>
      <c r="T30" s="1477"/>
      <c r="U30" s="1477"/>
      <c r="V30" s="1477"/>
      <c r="W30" s="1172"/>
      <c r="X30" s="1172"/>
      <c r="Y30" s="293"/>
      <c r="Z30" s="1172"/>
      <c r="AA30" s="1172"/>
      <c r="AB30" s="1172"/>
    </row>
    <row r="31" spans="1:45" ht="15" hidden="1" customHeight="1" x14ac:dyDescent="0.35">
      <c r="A31" s="293"/>
      <c r="B31" s="1477"/>
      <c r="C31" s="1477"/>
      <c r="D31" s="1477"/>
      <c r="E31" s="1477"/>
      <c r="F31" s="1477"/>
      <c r="G31" s="1477"/>
      <c r="H31" s="1477"/>
      <c r="I31" s="1477"/>
      <c r="J31" s="1477"/>
      <c r="K31" s="1477"/>
      <c r="L31" s="1477"/>
      <c r="M31" s="1477"/>
      <c r="N31" s="1477"/>
      <c r="O31" s="1477"/>
      <c r="P31" s="1477"/>
      <c r="Q31" s="1477"/>
      <c r="R31" s="1477"/>
      <c r="S31" s="1477"/>
      <c r="T31" s="1477"/>
      <c r="U31" s="1477"/>
      <c r="V31" s="1477"/>
      <c r="W31" s="1172"/>
      <c r="X31" s="1172"/>
      <c r="Y31" s="293"/>
      <c r="Z31" s="1172"/>
      <c r="AA31" s="1172"/>
      <c r="AB31" s="1172"/>
    </row>
    <row r="32" spans="1:45" ht="15" hidden="1" customHeight="1" x14ac:dyDescent="0.35">
      <c r="A32" s="293"/>
      <c r="B32" s="1477"/>
      <c r="C32" s="1477"/>
      <c r="D32" s="1477"/>
      <c r="E32" s="1477"/>
      <c r="F32" s="1477"/>
      <c r="G32" s="1477"/>
      <c r="H32" s="1477"/>
      <c r="I32" s="1477"/>
      <c r="J32" s="1477"/>
      <c r="K32" s="1477"/>
      <c r="L32" s="1477"/>
      <c r="M32" s="1477"/>
      <c r="N32" s="1477"/>
      <c r="O32" s="1477"/>
      <c r="P32" s="1477"/>
      <c r="Q32" s="1477"/>
      <c r="R32" s="1477"/>
      <c r="S32" s="1477"/>
      <c r="T32" s="1477"/>
      <c r="U32" s="1477"/>
      <c r="V32" s="1477"/>
      <c r="W32" s="1172"/>
      <c r="X32" s="1172"/>
      <c r="Y32" s="293"/>
      <c r="Z32" s="1172"/>
      <c r="AA32" s="1172"/>
      <c r="AB32" s="1172"/>
    </row>
    <row r="33" spans="1:28" ht="18.75" hidden="1" customHeight="1" x14ac:dyDescent="0.35">
      <c r="A33" s="293"/>
      <c r="B33" s="1477"/>
      <c r="C33" s="1477"/>
      <c r="D33" s="1477"/>
      <c r="E33" s="1477"/>
      <c r="F33" s="1477"/>
      <c r="G33" s="1477"/>
      <c r="H33" s="1477"/>
      <c r="I33" s="1477"/>
      <c r="J33" s="1477"/>
      <c r="K33" s="1477"/>
      <c r="L33" s="1477"/>
      <c r="M33" s="1477"/>
      <c r="N33" s="1477"/>
      <c r="O33" s="1477"/>
      <c r="P33" s="1477"/>
      <c r="Q33" s="1477"/>
      <c r="R33" s="1477"/>
      <c r="S33" s="1477"/>
      <c r="T33" s="1477"/>
      <c r="U33" s="1477"/>
      <c r="V33" s="1477"/>
      <c r="W33" s="1172"/>
      <c r="X33" s="1172"/>
      <c r="Y33" s="293"/>
      <c r="Z33" s="1172"/>
      <c r="AA33" s="1172"/>
      <c r="AB33" s="1172"/>
    </row>
    <row r="34" spans="1:28" ht="15" hidden="1" customHeight="1" x14ac:dyDescent="0.35">
      <c r="A34" s="293"/>
      <c r="B34" s="1181"/>
      <c r="C34" s="1181"/>
      <c r="D34" s="1181"/>
      <c r="E34" s="1181"/>
      <c r="F34" s="1181"/>
      <c r="G34" s="1181"/>
      <c r="H34" s="1181"/>
      <c r="I34" s="1181"/>
      <c r="J34" s="1173"/>
      <c r="K34" s="1173"/>
      <c r="L34" s="1173"/>
      <c r="M34" s="1181"/>
      <c r="N34" s="1181"/>
      <c r="O34" s="1172"/>
      <c r="P34" s="1172"/>
      <c r="Q34" s="1172"/>
      <c r="R34" s="1172"/>
      <c r="S34" s="1172"/>
      <c r="T34" s="1172"/>
      <c r="U34" s="1172"/>
      <c r="V34" s="1172"/>
      <c r="W34" s="1172"/>
      <c r="X34" s="1172"/>
      <c r="Y34" s="293"/>
      <c r="Z34" s="1172"/>
      <c r="AA34" s="1172"/>
      <c r="AB34" s="1172"/>
    </row>
    <row r="35" spans="1:28" ht="15" hidden="1" customHeight="1" x14ac:dyDescent="0.35">
      <c r="A35" s="293"/>
      <c r="B35" s="84" t="s">
        <v>361</v>
      </c>
      <c r="C35" s="1172"/>
      <c r="D35" s="1172"/>
      <c r="E35" s="1172"/>
      <c r="F35" s="1172"/>
      <c r="G35" s="1172"/>
      <c r="H35" s="1172"/>
      <c r="I35" s="1172"/>
      <c r="J35" s="293"/>
      <c r="K35" s="293"/>
      <c r="L35" s="293"/>
      <c r="O35" s="1172"/>
      <c r="P35" s="1172"/>
      <c r="Q35" s="1172"/>
      <c r="R35" s="1172"/>
      <c r="S35" s="1172"/>
      <c r="T35" s="1172"/>
      <c r="U35" s="1172"/>
      <c r="V35" s="1172"/>
      <c r="W35" s="1172"/>
      <c r="X35" s="1172"/>
      <c r="Y35" s="293"/>
      <c r="Z35" s="1172"/>
      <c r="AA35" s="1172"/>
      <c r="AB35" s="1172"/>
    </row>
    <row r="36" spans="1:28" ht="15" hidden="1" customHeight="1" x14ac:dyDescent="0.35">
      <c r="A36" s="293"/>
      <c r="B36" s="1477" t="s">
        <v>362</v>
      </c>
      <c r="C36" s="1477"/>
      <c r="D36" s="1477"/>
      <c r="E36" s="1477"/>
      <c r="F36" s="1477"/>
      <c r="G36" s="1477"/>
      <c r="H36" s="1477"/>
      <c r="I36" s="1477"/>
      <c r="J36" s="1477"/>
      <c r="K36" s="1477"/>
      <c r="L36" s="1477"/>
      <c r="M36" s="1477"/>
      <c r="N36" s="1477"/>
      <c r="O36" s="1477"/>
      <c r="P36" s="1477"/>
      <c r="Q36" s="1477"/>
      <c r="R36" s="1477"/>
      <c r="S36" s="1477"/>
      <c r="T36" s="1477"/>
      <c r="U36" s="1477"/>
      <c r="V36" s="1477"/>
      <c r="W36" s="1172"/>
      <c r="X36" s="1172"/>
      <c r="Y36" s="293"/>
      <c r="Z36" s="1172"/>
      <c r="AA36" s="1172"/>
      <c r="AB36" s="1172"/>
    </row>
    <row r="37" spans="1:28" ht="15" hidden="1" customHeight="1" x14ac:dyDescent="0.35">
      <c r="A37" s="293"/>
      <c r="B37" s="1477"/>
      <c r="C37" s="1477"/>
      <c r="D37" s="1477"/>
      <c r="E37" s="1477"/>
      <c r="F37" s="1477"/>
      <c r="G37" s="1477"/>
      <c r="H37" s="1477"/>
      <c r="I37" s="1477"/>
      <c r="J37" s="1477"/>
      <c r="K37" s="1477"/>
      <c r="L37" s="1477"/>
      <c r="M37" s="1477"/>
      <c r="N37" s="1477"/>
      <c r="O37" s="1477"/>
      <c r="P37" s="1477"/>
      <c r="Q37" s="1477"/>
      <c r="R37" s="1477"/>
      <c r="S37" s="1477"/>
      <c r="T37" s="1477"/>
      <c r="U37" s="1477"/>
      <c r="V37" s="1477"/>
      <c r="W37" s="1172"/>
      <c r="X37" s="1172"/>
      <c r="Y37" s="293"/>
      <c r="Z37" s="1172"/>
      <c r="AA37" s="1172"/>
      <c r="AB37" s="1172"/>
    </row>
    <row r="38" spans="1:28" ht="23.25" hidden="1" customHeight="1" x14ac:dyDescent="0.35">
      <c r="A38" s="293"/>
      <c r="B38" s="1477"/>
      <c r="C38" s="1477"/>
      <c r="D38" s="1477"/>
      <c r="E38" s="1477"/>
      <c r="F38" s="1477"/>
      <c r="G38" s="1477"/>
      <c r="H38" s="1477"/>
      <c r="I38" s="1477"/>
      <c r="J38" s="1477"/>
      <c r="K38" s="1477"/>
      <c r="L38" s="1477"/>
      <c r="M38" s="1477"/>
      <c r="N38" s="1477"/>
      <c r="O38" s="1477"/>
      <c r="P38" s="1477"/>
      <c r="Q38" s="1477"/>
      <c r="R38" s="1477"/>
      <c r="S38" s="1477"/>
      <c r="T38" s="1477"/>
      <c r="U38" s="1477"/>
      <c r="V38" s="1477"/>
      <c r="W38" s="1172"/>
      <c r="X38" s="1172"/>
      <c r="Y38" s="293"/>
      <c r="Z38" s="1172"/>
      <c r="AA38" s="1172"/>
      <c r="AB38" s="1172"/>
    </row>
    <row r="39" spans="1:28" ht="15.5" hidden="1" x14ac:dyDescent="0.35">
      <c r="A39" s="293"/>
      <c r="B39" s="1182"/>
      <c r="C39" s="1182"/>
      <c r="D39" s="1182"/>
      <c r="E39" s="1182"/>
      <c r="F39" s="1182"/>
      <c r="G39" s="1182"/>
      <c r="H39" s="1182"/>
      <c r="I39" s="1182"/>
      <c r="J39" s="1182"/>
      <c r="K39" s="1182"/>
      <c r="L39" s="1182"/>
      <c r="M39" s="1182"/>
      <c r="N39" s="1182"/>
      <c r="O39" s="1172"/>
      <c r="P39" s="1172"/>
      <c r="Q39" s="1172"/>
      <c r="R39" s="1172"/>
      <c r="S39" s="1172"/>
      <c r="T39" s="1172"/>
      <c r="U39" s="1172"/>
      <c r="V39" s="1172"/>
      <c r="W39" s="1172"/>
      <c r="X39" s="1172"/>
      <c r="Y39" s="293"/>
      <c r="Z39" s="1172"/>
      <c r="AA39" s="1172"/>
      <c r="AB39" s="1172"/>
    </row>
    <row r="40" spans="1:28" ht="15.5" hidden="1" x14ac:dyDescent="0.35">
      <c r="A40" s="293"/>
      <c r="B40" s="85" t="s">
        <v>363</v>
      </c>
      <c r="C40" s="1182"/>
      <c r="D40" s="1182"/>
      <c r="E40" s="1182"/>
      <c r="F40" s="1182"/>
      <c r="G40" s="1182"/>
      <c r="H40" s="1182"/>
      <c r="I40" s="1182"/>
      <c r="J40" s="1182"/>
      <c r="K40" s="1182"/>
      <c r="L40" s="1182"/>
      <c r="M40" s="1182"/>
      <c r="N40" s="1182"/>
      <c r="O40" s="1172"/>
      <c r="P40" s="1172"/>
      <c r="Q40" s="1172"/>
      <c r="R40" s="1172"/>
      <c r="S40" s="1172"/>
      <c r="T40" s="1172"/>
      <c r="U40" s="1172"/>
      <c r="V40" s="1172"/>
      <c r="W40" s="1172"/>
      <c r="X40" s="1172"/>
      <c r="Y40" s="293"/>
      <c r="Z40" s="1172"/>
      <c r="AA40" s="1172"/>
      <c r="AB40" s="1172"/>
    </row>
    <row r="41" spans="1:28" ht="15.75" hidden="1" customHeight="1" x14ac:dyDescent="0.35">
      <c r="A41" s="293"/>
      <c r="B41" s="1477" t="s">
        <v>364</v>
      </c>
      <c r="C41" s="1477"/>
      <c r="D41" s="1477"/>
      <c r="E41" s="1477"/>
      <c r="F41" s="1477"/>
      <c r="G41" s="1477"/>
      <c r="H41" s="1477"/>
      <c r="I41" s="1477"/>
      <c r="J41" s="1477"/>
      <c r="K41" s="1477"/>
      <c r="L41" s="1477"/>
      <c r="M41" s="1477"/>
      <c r="N41" s="1477"/>
      <c r="O41" s="1477"/>
      <c r="P41" s="1477"/>
      <c r="Q41" s="1477"/>
      <c r="R41" s="1477"/>
      <c r="S41" s="1477"/>
      <c r="T41" s="1477"/>
      <c r="U41" s="1477"/>
      <c r="V41" s="1477"/>
      <c r="W41" s="1172"/>
      <c r="X41" s="1172"/>
      <c r="Y41" s="293"/>
      <c r="Z41" s="1172"/>
      <c r="AA41" s="1172"/>
      <c r="AB41" s="1172"/>
    </row>
    <row r="42" spans="1:28" ht="15.5" hidden="1" x14ac:dyDescent="0.35">
      <c r="A42" s="293"/>
      <c r="B42" s="1477"/>
      <c r="C42" s="1477"/>
      <c r="D42" s="1477"/>
      <c r="E42" s="1477"/>
      <c r="F42" s="1477"/>
      <c r="G42" s="1477"/>
      <c r="H42" s="1477"/>
      <c r="I42" s="1477"/>
      <c r="J42" s="1477"/>
      <c r="K42" s="1477"/>
      <c r="L42" s="1477"/>
      <c r="M42" s="1477"/>
      <c r="N42" s="1477"/>
      <c r="O42" s="1477"/>
      <c r="P42" s="1477"/>
      <c r="Q42" s="1477"/>
      <c r="R42" s="1477"/>
      <c r="S42" s="1477"/>
      <c r="T42" s="1477"/>
      <c r="U42" s="1477"/>
      <c r="V42" s="1477"/>
      <c r="W42" s="1172"/>
      <c r="X42" s="1172"/>
      <c r="Y42" s="293"/>
      <c r="Z42" s="1172"/>
      <c r="AA42" s="1172"/>
      <c r="AB42" s="1172"/>
    </row>
    <row r="43" spans="1:28" ht="15.5" hidden="1" x14ac:dyDescent="0.35">
      <c r="A43" s="293"/>
      <c r="B43" s="1477"/>
      <c r="C43" s="1477"/>
      <c r="D43" s="1477"/>
      <c r="E43" s="1477"/>
      <c r="F43" s="1477"/>
      <c r="G43" s="1477"/>
      <c r="H43" s="1477"/>
      <c r="I43" s="1477"/>
      <c r="J43" s="1477"/>
      <c r="K43" s="1477"/>
      <c r="L43" s="1477"/>
      <c r="M43" s="1477"/>
      <c r="N43" s="1477"/>
      <c r="O43" s="1477"/>
      <c r="P43" s="1477"/>
      <c r="Q43" s="1477"/>
      <c r="R43" s="1477"/>
      <c r="S43" s="1477"/>
      <c r="T43" s="1477"/>
      <c r="U43" s="1477"/>
      <c r="V43" s="1477"/>
      <c r="W43" s="1172"/>
      <c r="X43" s="1172"/>
      <c r="Y43" s="293"/>
      <c r="Z43" s="1172"/>
      <c r="AA43" s="1172"/>
      <c r="AB43" s="1172"/>
    </row>
    <row r="44" spans="1:28" ht="15.5" hidden="1" x14ac:dyDescent="0.35">
      <c r="A44" s="293"/>
      <c r="B44" s="1477"/>
      <c r="C44" s="1477"/>
      <c r="D44" s="1477"/>
      <c r="E44" s="1477"/>
      <c r="F44" s="1477"/>
      <c r="G44" s="1477"/>
      <c r="H44" s="1477"/>
      <c r="I44" s="1477"/>
      <c r="J44" s="1477"/>
      <c r="K44" s="1477"/>
      <c r="L44" s="1477"/>
      <c r="M44" s="1477"/>
      <c r="N44" s="1477"/>
      <c r="O44" s="1477"/>
      <c r="P44" s="1477"/>
      <c r="Q44" s="1477"/>
      <c r="R44" s="1477"/>
      <c r="S44" s="1477"/>
      <c r="T44" s="1477"/>
      <c r="U44" s="1477"/>
      <c r="V44" s="1477"/>
      <c r="W44" s="1172"/>
      <c r="X44" s="1172"/>
      <c r="Y44" s="293"/>
      <c r="Z44" s="1172"/>
      <c r="AA44" s="1172"/>
      <c r="AB44" s="1172"/>
    </row>
    <row r="45" spans="1:28" ht="15" hidden="1" customHeight="1" x14ac:dyDescent="0.35">
      <c r="A45" s="293"/>
      <c r="B45" s="1182"/>
      <c r="C45" s="1182"/>
      <c r="D45" s="1182"/>
      <c r="E45" s="1182"/>
      <c r="F45" s="1182"/>
      <c r="G45" s="1182"/>
      <c r="H45" s="1182"/>
      <c r="I45" s="1182"/>
      <c r="J45" s="1182"/>
      <c r="K45" s="1182"/>
      <c r="L45" s="1182"/>
      <c r="M45" s="1182"/>
      <c r="N45" s="1182"/>
      <c r="O45" s="1172"/>
      <c r="P45" s="1172"/>
      <c r="Q45" s="1172"/>
      <c r="R45" s="1172"/>
      <c r="S45" s="1172"/>
      <c r="T45" s="1172"/>
      <c r="U45" s="1172"/>
      <c r="V45" s="1172"/>
      <c r="W45" s="1172"/>
      <c r="X45" s="1172"/>
      <c r="Y45" s="293"/>
      <c r="Z45" s="1172"/>
      <c r="AA45" s="1172"/>
      <c r="AB45" s="1172"/>
    </row>
    <row r="46" spans="1:28" ht="15" hidden="1" customHeight="1" x14ac:dyDescent="0.35">
      <c r="A46" s="293"/>
      <c r="B46" s="1477" t="s">
        <v>365</v>
      </c>
      <c r="C46" s="1477"/>
      <c r="D46" s="1477"/>
      <c r="E46" s="1477"/>
      <c r="F46" s="1477"/>
      <c r="G46" s="1477"/>
      <c r="H46" s="1477"/>
      <c r="I46" s="1477"/>
      <c r="J46" s="1477"/>
      <c r="K46" s="1477"/>
      <c r="L46" s="1477"/>
      <c r="M46" s="1477"/>
      <c r="N46" s="1477"/>
      <c r="O46" s="1477"/>
      <c r="P46" s="1477"/>
      <c r="Q46" s="1477"/>
      <c r="R46" s="1477"/>
      <c r="S46" s="1477"/>
      <c r="T46" s="1477"/>
      <c r="U46" s="1477"/>
      <c r="V46" s="1477"/>
      <c r="W46" s="1172"/>
      <c r="X46" s="1172"/>
      <c r="Y46" s="293"/>
      <c r="Z46" s="1172"/>
      <c r="AA46" s="1172"/>
      <c r="AB46" s="1172"/>
    </row>
    <row r="47" spans="1:28" ht="15.5" hidden="1" x14ac:dyDescent="0.35">
      <c r="A47" s="293"/>
      <c r="B47" s="1477"/>
      <c r="C47" s="1477"/>
      <c r="D47" s="1477"/>
      <c r="E47" s="1477"/>
      <c r="F47" s="1477"/>
      <c r="G47" s="1477"/>
      <c r="H47" s="1477"/>
      <c r="I47" s="1477"/>
      <c r="J47" s="1477"/>
      <c r="K47" s="1477"/>
      <c r="L47" s="1477"/>
      <c r="M47" s="1477"/>
      <c r="N47" s="1477"/>
      <c r="O47" s="1477"/>
      <c r="P47" s="1477"/>
      <c r="Q47" s="1477"/>
      <c r="R47" s="1477"/>
      <c r="S47" s="1477"/>
      <c r="T47" s="1477"/>
      <c r="U47" s="1477"/>
      <c r="V47" s="1477"/>
      <c r="W47" s="1172"/>
      <c r="X47" s="1172"/>
      <c r="Y47" s="293"/>
      <c r="Z47" s="1172"/>
      <c r="AA47" s="1172"/>
      <c r="AB47" s="1172"/>
    </row>
    <row r="48" spans="1:28" ht="15" hidden="1" customHeight="1" x14ac:dyDescent="0.35">
      <c r="A48" s="293"/>
      <c r="B48" s="1477" t="s">
        <v>366</v>
      </c>
      <c r="C48" s="1477"/>
      <c r="D48" s="1477"/>
      <c r="E48" s="1477"/>
      <c r="F48" s="1477"/>
      <c r="G48" s="1477"/>
      <c r="H48" s="1477"/>
      <c r="I48" s="1477"/>
      <c r="J48" s="1477"/>
      <c r="K48" s="1477"/>
      <c r="L48" s="1477"/>
      <c r="M48" s="1477"/>
      <c r="N48" s="1477"/>
      <c r="O48" s="1477"/>
      <c r="P48" s="1477"/>
      <c r="Q48" s="1477"/>
      <c r="R48" s="1477"/>
      <c r="S48" s="1477"/>
      <c r="T48" s="1477"/>
      <c r="U48" s="1477"/>
      <c r="V48" s="1477"/>
      <c r="W48" s="1172"/>
      <c r="X48" s="1172"/>
      <c r="Y48" s="293"/>
      <c r="Z48" s="1172"/>
      <c r="AA48" s="1172"/>
      <c r="AB48" s="1172"/>
    </row>
    <row r="49" spans="1:39" ht="37.5" hidden="1" customHeight="1" x14ac:dyDescent="0.35">
      <c r="A49" s="293"/>
      <c r="B49" s="1477"/>
      <c r="C49" s="1477"/>
      <c r="D49" s="1477"/>
      <c r="E49" s="1477"/>
      <c r="F49" s="1477"/>
      <c r="G49" s="1477"/>
      <c r="H49" s="1477"/>
      <c r="I49" s="1477"/>
      <c r="J49" s="1477"/>
      <c r="K49" s="1477"/>
      <c r="L49" s="1477"/>
      <c r="M49" s="1477"/>
      <c r="N49" s="1477"/>
      <c r="O49" s="1477"/>
      <c r="P49" s="1477"/>
      <c r="Q49" s="1477"/>
      <c r="R49" s="1477"/>
      <c r="S49" s="1477"/>
      <c r="T49" s="1477"/>
      <c r="U49" s="1477"/>
      <c r="V49" s="1477"/>
      <c r="W49" s="1172"/>
      <c r="X49" s="1172"/>
      <c r="Y49" s="293"/>
      <c r="Z49" s="1172"/>
      <c r="AA49" s="1172"/>
      <c r="AB49" s="1172"/>
    </row>
    <row r="50" spans="1:39" ht="15" hidden="1" customHeight="1" x14ac:dyDescent="0.35">
      <c r="A50" s="293"/>
      <c r="B50" s="1172"/>
      <c r="C50" s="1172"/>
      <c r="D50" s="1172"/>
      <c r="E50" s="1172"/>
      <c r="F50" s="1172"/>
      <c r="G50" s="1172"/>
      <c r="H50" s="1172"/>
      <c r="I50" s="1172"/>
      <c r="J50" s="293"/>
      <c r="K50" s="293"/>
      <c r="L50" s="293"/>
      <c r="O50" s="1172"/>
      <c r="P50" s="1172"/>
      <c r="Q50" s="1172"/>
      <c r="R50" s="1172"/>
      <c r="S50" s="1172"/>
      <c r="T50" s="1172"/>
      <c r="U50" s="1172"/>
      <c r="V50" s="1172"/>
      <c r="W50" s="1172"/>
      <c r="X50" s="1172"/>
      <c r="Y50" s="293"/>
      <c r="Z50" s="1172"/>
      <c r="AA50" s="1172"/>
      <c r="AB50" s="1172"/>
    </row>
    <row r="51" spans="1:39" ht="15" hidden="1" customHeight="1" x14ac:dyDescent="0.35">
      <c r="A51" s="293"/>
      <c r="B51" s="84" t="s">
        <v>11</v>
      </c>
      <c r="C51" s="1172"/>
      <c r="D51" s="1172"/>
      <c r="E51" s="1172"/>
      <c r="F51" s="88" t="s">
        <v>367</v>
      </c>
      <c r="G51" s="88" t="s">
        <v>368</v>
      </c>
      <c r="H51" s="1172"/>
      <c r="I51" s="1172"/>
      <c r="J51" s="293"/>
      <c r="K51" s="293"/>
      <c r="L51" s="293"/>
      <c r="O51" s="1172"/>
      <c r="P51" s="1172"/>
      <c r="Q51" s="1172"/>
      <c r="R51" s="1172"/>
      <c r="S51" s="1172"/>
      <c r="T51" s="1172"/>
      <c r="U51" s="1172"/>
      <c r="V51" s="1172"/>
      <c r="W51" s="1172"/>
      <c r="X51" s="1172"/>
      <c r="Y51" s="293"/>
      <c r="Z51" s="1172"/>
      <c r="AA51" s="1172"/>
      <c r="AB51" s="1172"/>
    </row>
    <row r="52" spans="1:39" ht="15" hidden="1" customHeight="1" x14ac:dyDescent="0.35">
      <c r="A52" s="293">
        <v>9257021</v>
      </c>
      <c r="B52" s="1460" t="s">
        <v>344</v>
      </c>
      <c r="C52" s="1461"/>
      <c r="D52" s="1461"/>
      <c r="E52" s="1476"/>
      <c r="F52" s="255">
        <v>274420</v>
      </c>
      <c r="G52" s="255">
        <f>F52*(3/12)</f>
        <v>68605</v>
      </c>
      <c r="H52" s="1172"/>
      <c r="I52" s="1172"/>
      <c r="J52" s="293" t="s">
        <v>369</v>
      </c>
      <c r="K52" s="293"/>
      <c r="L52" s="293"/>
      <c r="O52" s="1172"/>
      <c r="P52" s="1172"/>
      <c r="Q52" s="1172"/>
      <c r="R52" s="1172"/>
      <c r="S52" s="1172"/>
      <c r="T52" s="1172"/>
      <c r="U52" s="1172"/>
      <c r="V52" s="1172"/>
      <c r="W52" s="1172"/>
      <c r="X52" s="1172"/>
      <c r="Y52" s="293"/>
      <c r="Z52" s="1172"/>
      <c r="AA52" s="1172"/>
      <c r="AB52" s="1172"/>
    </row>
    <row r="53" spans="1:39" ht="15" hidden="1" customHeight="1" x14ac:dyDescent="0.35">
      <c r="A53" s="293">
        <v>9257016</v>
      </c>
      <c r="B53" s="1460" t="s">
        <v>349</v>
      </c>
      <c r="C53" s="1461"/>
      <c r="D53" s="1461"/>
      <c r="E53" s="1476"/>
      <c r="F53" s="255">
        <v>582568</v>
      </c>
      <c r="G53" s="255">
        <f>F53</f>
        <v>582568</v>
      </c>
      <c r="H53" s="1172"/>
      <c r="I53" s="1172"/>
      <c r="J53" s="293"/>
      <c r="K53" s="293"/>
      <c r="L53" s="293"/>
      <c r="O53" s="1172"/>
      <c r="P53" s="1172"/>
      <c r="Q53" s="1172"/>
      <c r="R53" s="1172"/>
      <c r="S53" s="1172"/>
      <c r="T53" s="1172"/>
      <c r="U53" s="1172"/>
      <c r="V53" s="1172"/>
      <c r="W53" s="1172"/>
      <c r="X53" s="1172"/>
      <c r="Y53" s="293"/>
      <c r="Z53" s="1172"/>
      <c r="AA53" s="1172"/>
      <c r="AB53" s="1172"/>
    </row>
    <row r="54" spans="1:39" ht="15" hidden="1" customHeight="1" x14ac:dyDescent="0.35">
      <c r="A54" s="293">
        <v>9257025</v>
      </c>
      <c r="B54" s="1460" t="s">
        <v>351</v>
      </c>
      <c r="C54" s="1461"/>
      <c r="D54" s="1461"/>
      <c r="E54" s="1476"/>
      <c r="F54" s="255">
        <v>327644</v>
      </c>
      <c r="G54" s="255">
        <f>F54</f>
        <v>327644</v>
      </c>
      <c r="H54" s="1172"/>
      <c r="I54" s="1172"/>
      <c r="J54" s="293"/>
      <c r="K54" s="293"/>
      <c r="L54" s="293"/>
      <c r="O54" s="1172"/>
      <c r="P54" s="1172"/>
      <c r="Q54" s="1172"/>
      <c r="R54" s="1172"/>
      <c r="S54" s="1172"/>
      <c r="T54" s="1172"/>
      <c r="U54" s="1172"/>
      <c r="V54" s="1172"/>
      <c r="W54" s="1172"/>
      <c r="X54" s="1172"/>
      <c r="Y54" s="293"/>
      <c r="Z54" s="1172"/>
      <c r="AA54" s="1172"/>
      <c r="AB54" s="1172"/>
    </row>
    <row r="55" spans="1:39" ht="15" hidden="1" customHeight="1" x14ac:dyDescent="0.35">
      <c r="A55" s="293"/>
      <c r="B55" s="1172"/>
      <c r="C55" s="1172"/>
      <c r="D55" s="1172"/>
      <c r="E55" s="1172"/>
      <c r="F55" s="87">
        <f>SUM(F52:F54)</f>
        <v>1184632</v>
      </c>
      <c r="G55" s="89">
        <f>SUM(G52:G54)</f>
        <v>978817</v>
      </c>
      <c r="H55" s="1172" t="s">
        <v>370</v>
      </c>
      <c r="I55" s="1172"/>
      <c r="J55" s="293"/>
      <c r="K55" s="293"/>
      <c r="L55" s="293"/>
      <c r="O55" s="1172"/>
      <c r="P55" s="1172"/>
      <c r="Q55" s="1172"/>
      <c r="R55" s="1172"/>
      <c r="S55" s="1172"/>
      <c r="T55" s="1172"/>
      <c r="U55" s="1172"/>
      <c r="V55" s="1172"/>
      <c r="W55" s="1172"/>
      <c r="X55" s="1172"/>
      <c r="Y55" s="293"/>
      <c r="Z55" s="1172"/>
      <c r="AA55" s="1172"/>
      <c r="AB55" s="1172"/>
    </row>
    <row r="56" spans="1:39" ht="15" hidden="1" customHeight="1" x14ac:dyDescent="0.35">
      <c r="A56" s="293"/>
      <c r="B56" s="1172"/>
      <c r="C56" s="1172"/>
      <c r="D56" s="1172"/>
      <c r="E56" s="1172"/>
      <c r="F56" s="1183"/>
      <c r="G56" s="1183"/>
      <c r="H56" s="1172"/>
      <c r="I56" s="1172"/>
      <c r="J56" s="293"/>
      <c r="K56" s="293"/>
      <c r="L56" s="293"/>
      <c r="O56" s="1172"/>
      <c r="P56" s="1172"/>
      <c r="Q56" s="1172"/>
      <c r="R56" s="1172"/>
      <c r="S56" s="1172"/>
      <c r="T56" s="1172"/>
      <c r="U56" s="1172"/>
      <c r="V56" s="1172"/>
      <c r="W56" s="1172"/>
      <c r="X56" s="1172"/>
      <c r="Y56" s="293"/>
      <c r="Z56" s="1172"/>
      <c r="AA56" s="1172"/>
      <c r="AB56" s="1172"/>
    </row>
    <row r="57" spans="1:39" ht="15" hidden="1" customHeight="1" x14ac:dyDescent="0.35">
      <c r="A57" s="293"/>
      <c r="B57" s="1172" t="s">
        <v>371</v>
      </c>
      <c r="C57" s="1172"/>
      <c r="D57" s="1172"/>
      <c r="E57" s="1172"/>
      <c r="F57" s="1172"/>
      <c r="G57" s="1172"/>
      <c r="H57" s="1172"/>
      <c r="I57" s="1172"/>
      <c r="J57" s="293"/>
      <c r="K57" s="293"/>
      <c r="L57" s="293"/>
      <c r="O57" s="1172"/>
      <c r="P57" s="1172"/>
      <c r="Q57" s="1172"/>
      <c r="R57" s="1172"/>
      <c r="S57" s="1172"/>
      <c r="T57" s="1172"/>
      <c r="U57" s="1172"/>
      <c r="V57" s="1172"/>
      <c r="W57" s="1172"/>
      <c r="X57" s="1172"/>
      <c r="Y57" s="293"/>
      <c r="Z57" s="1172"/>
      <c r="AA57" s="1172"/>
      <c r="AB57" s="1172"/>
    </row>
    <row r="58" spans="1:39" ht="15" hidden="1" customHeight="1" x14ac:dyDescent="0.35">
      <c r="A58" s="293"/>
      <c r="B58" s="1172"/>
      <c r="C58" s="1172"/>
      <c r="D58" s="1172"/>
      <c r="E58" s="1172"/>
      <c r="F58" s="1172"/>
      <c r="G58" s="1172"/>
      <c r="H58" s="1172"/>
      <c r="I58" s="1172"/>
      <c r="J58" s="293"/>
      <c r="K58" s="293"/>
      <c r="L58" s="293"/>
      <c r="O58" s="1172"/>
      <c r="P58" s="1172"/>
      <c r="Q58" s="1172"/>
      <c r="R58" s="1172"/>
      <c r="S58" s="1172"/>
      <c r="T58" s="1172"/>
      <c r="U58" s="1172"/>
      <c r="V58" s="1172"/>
      <c r="W58" s="1172"/>
      <c r="X58" s="1172"/>
      <c r="Y58" s="293"/>
      <c r="Z58" s="1172"/>
      <c r="AA58" s="1172"/>
      <c r="AB58" s="1172"/>
    </row>
    <row r="59" spans="1:39" ht="15" customHeight="1" x14ac:dyDescent="0.35">
      <c r="A59" s="293"/>
      <c r="B59" s="1172"/>
      <c r="C59" s="1172"/>
      <c r="D59" s="1172"/>
      <c r="E59" s="1172"/>
      <c r="F59" s="1172"/>
      <c r="G59" s="1172"/>
      <c r="H59" s="1172"/>
      <c r="I59" s="1172"/>
      <c r="J59" s="293"/>
      <c r="K59" s="293"/>
      <c r="L59" s="293"/>
      <c r="O59" s="1172"/>
      <c r="P59" s="1172"/>
      <c r="Q59" s="1172"/>
      <c r="R59" s="1172"/>
      <c r="S59" s="1172"/>
      <c r="T59" s="1172"/>
      <c r="U59" s="1172"/>
      <c r="V59" s="1172"/>
      <c r="W59" s="1172"/>
      <c r="X59" s="1172"/>
      <c r="Y59" s="293"/>
      <c r="Z59" s="293" t="s">
        <v>207</v>
      </c>
      <c r="AA59" s="1184">
        <f>L26-AA26</f>
        <v>260000</v>
      </c>
      <c r="AB59" s="1184">
        <f>Q26-AB26</f>
        <v>111962.66666666666</v>
      </c>
      <c r="AC59" s="1184">
        <f>206000-AC26</f>
        <v>77249.999999999971</v>
      </c>
      <c r="AD59" s="1184" t="s">
        <v>207</v>
      </c>
      <c r="AE59" s="1183"/>
      <c r="AG59" s="292" t="s">
        <v>207</v>
      </c>
      <c r="AH59" s="292" t="s">
        <v>207</v>
      </c>
      <c r="AI59" s="292" t="s">
        <v>207</v>
      </c>
      <c r="AJ59" s="292" t="s">
        <v>207</v>
      </c>
      <c r="AK59" s="292" t="s">
        <v>207</v>
      </c>
      <c r="AL59" s="292" t="s">
        <v>207</v>
      </c>
      <c r="AM59" s="293"/>
    </row>
    <row r="60" spans="1:39" ht="15" customHeight="1" x14ac:dyDescent="0.35">
      <c r="A60" s="293"/>
      <c r="B60" s="1172"/>
      <c r="C60" s="1172"/>
      <c r="D60" s="1172"/>
      <c r="E60" s="1172"/>
      <c r="F60" s="1172"/>
      <c r="G60" s="1172"/>
      <c r="H60" s="1172"/>
      <c r="I60" s="1172"/>
      <c r="J60" s="293"/>
      <c r="K60" s="293"/>
      <c r="L60" s="293"/>
      <c r="O60" s="1172"/>
      <c r="P60" s="1172"/>
      <c r="Q60" s="1172"/>
      <c r="R60" s="1172"/>
      <c r="S60" s="1172"/>
      <c r="T60" s="1172"/>
      <c r="U60" s="1172"/>
      <c r="V60" s="1172"/>
      <c r="W60" s="1172"/>
      <c r="X60" s="1172"/>
      <c r="Y60" s="293"/>
      <c r="Z60" s="1172"/>
      <c r="AA60" s="1172"/>
      <c r="AB60" s="1172"/>
      <c r="AC60" s="1184"/>
      <c r="AD60" s="1183"/>
      <c r="AE60" s="1183"/>
      <c r="AG60" s="293"/>
      <c r="AH60" s="293"/>
      <c r="AI60" s="293"/>
      <c r="AJ60" s="293"/>
      <c r="AK60" s="293"/>
      <c r="AL60" s="293"/>
      <c r="AM60" s="293"/>
    </row>
    <row r="61" spans="1:39" ht="15" customHeight="1" x14ac:dyDescent="0.35">
      <c r="A61" s="293"/>
      <c r="B61" s="1172"/>
      <c r="C61" s="1172"/>
      <c r="D61" s="1172"/>
      <c r="E61" s="1172"/>
      <c r="F61" s="1172"/>
      <c r="G61" s="1172"/>
      <c r="H61" s="1172"/>
      <c r="I61" s="1172"/>
      <c r="J61" s="293"/>
      <c r="K61" s="293"/>
      <c r="L61" s="293"/>
      <c r="O61" s="1172"/>
      <c r="P61" s="1172"/>
      <c r="Q61" s="1172"/>
      <c r="R61" s="1172"/>
      <c r="S61" s="1172"/>
      <c r="T61" s="1172"/>
      <c r="U61" s="1172"/>
      <c r="V61" s="1172"/>
      <c r="W61" s="1172"/>
      <c r="X61" s="1172"/>
      <c r="Y61" s="293"/>
      <c r="Z61" s="1172"/>
      <c r="AA61" s="293" t="s">
        <v>207</v>
      </c>
      <c r="AB61" s="293" t="s">
        <v>207</v>
      </c>
      <c r="AC61" s="293" t="s">
        <v>207</v>
      </c>
      <c r="AD61" s="1183"/>
      <c r="AE61" s="1183"/>
      <c r="AG61" s="293"/>
      <c r="AH61" s="292" t="s">
        <v>372</v>
      </c>
      <c r="AI61" s="294">
        <f>SUM(AA64:AC64)</f>
        <v>757936</v>
      </c>
      <c r="AJ61" s="292"/>
      <c r="AK61" s="292" t="s">
        <v>3</v>
      </c>
      <c r="AL61" s="294">
        <f>AL26-AE64</f>
        <v>209307</v>
      </c>
      <c r="AM61" s="293"/>
    </row>
    <row r="62" spans="1:39" ht="15" customHeight="1" x14ac:dyDescent="0.35">
      <c r="A62" s="293"/>
      <c r="B62" s="1172"/>
      <c r="C62" s="1172"/>
      <c r="D62" s="1172"/>
      <c r="E62" s="1172"/>
      <c r="F62" s="1172"/>
      <c r="G62" s="1172"/>
      <c r="H62" s="1172"/>
      <c r="I62" s="1172"/>
      <c r="J62" s="293"/>
      <c r="K62" s="293"/>
      <c r="L62" s="293"/>
      <c r="O62" s="1172"/>
      <c r="P62" s="1172"/>
      <c r="Q62" s="1172"/>
      <c r="R62" s="1172"/>
      <c r="S62" s="1172"/>
      <c r="T62" s="1172"/>
      <c r="U62" s="1172"/>
      <c r="V62" s="1172"/>
      <c r="W62" s="1172"/>
      <c r="X62" s="1172"/>
      <c r="Y62" s="293"/>
      <c r="Z62" s="1172"/>
      <c r="AA62" s="1183">
        <f>((L18+L19+L23+L24+L25)*(7/12))+L11</f>
        <v>235000</v>
      </c>
      <c r="AB62" s="1184">
        <f>Q26*(7/12)</f>
        <v>111962.66666666667</v>
      </c>
      <c r="AC62" s="1184">
        <f>(7/12)*206000</f>
        <v>120166.66666666667</v>
      </c>
      <c r="AD62" s="1183"/>
      <c r="AE62" s="1183"/>
      <c r="AG62" s="293"/>
      <c r="AH62" s="292"/>
      <c r="AI62" s="292" t="s">
        <v>207</v>
      </c>
      <c r="AJ62" s="292"/>
      <c r="AK62" s="1475" t="s">
        <v>373</v>
      </c>
      <c r="AL62" s="1475"/>
      <c r="AM62" s="293"/>
    </row>
    <row r="63" spans="1:39" ht="15" customHeight="1" x14ac:dyDescent="0.35">
      <c r="A63" s="293"/>
      <c r="B63" s="1172"/>
      <c r="C63" s="1172"/>
      <c r="D63" s="1172"/>
      <c r="E63" s="1172"/>
      <c r="F63" s="1172"/>
      <c r="G63" s="1172"/>
      <c r="H63" s="1172"/>
      <c r="I63" s="1172"/>
      <c r="J63" s="293"/>
      <c r="K63" s="293"/>
      <c r="L63" s="293"/>
      <c r="O63" s="1172"/>
      <c r="P63" s="1172"/>
      <c r="Q63" s="1172"/>
      <c r="R63" s="1172"/>
      <c r="S63" s="1172"/>
      <c r="T63" s="1172"/>
      <c r="U63" s="1172"/>
      <c r="V63" s="1172"/>
      <c r="W63" s="1172"/>
      <c r="X63" s="1172"/>
      <c r="Y63" s="293"/>
      <c r="Z63" s="1172"/>
      <c r="AA63" s="1172"/>
      <c r="AB63" s="1172"/>
      <c r="AC63" s="1183"/>
      <c r="AD63" s="1183"/>
      <c r="AE63" s="1183"/>
      <c r="AG63" s="293"/>
      <c r="AH63" s="292"/>
      <c r="AI63" s="292"/>
      <c r="AJ63" s="292"/>
      <c r="AK63" s="1475"/>
      <c r="AL63" s="1475"/>
      <c r="AM63" s="293"/>
    </row>
    <row r="64" spans="1:39" ht="12" customHeight="1" x14ac:dyDescent="0.35">
      <c r="A64" s="293"/>
      <c r="B64" s="1172"/>
      <c r="C64" s="1172"/>
      <c r="D64" s="1172"/>
      <c r="E64" s="1172"/>
      <c r="F64" s="1172"/>
      <c r="G64" s="1172"/>
      <c r="H64" s="1172"/>
      <c r="I64" s="1172"/>
      <c r="J64" s="293"/>
      <c r="K64" s="293"/>
      <c r="L64" s="293"/>
      <c r="O64" s="1172"/>
      <c r="P64" s="1172"/>
      <c r="Q64" s="1172"/>
      <c r="R64" s="1172"/>
      <c r="S64" s="1172"/>
      <c r="T64" s="1172"/>
      <c r="U64" s="1172"/>
      <c r="V64" s="1172"/>
      <c r="W64" s="1172"/>
      <c r="X64" s="1172"/>
      <c r="Y64" s="293"/>
      <c r="Z64" s="1183">
        <f>I26</f>
        <v>317322</v>
      </c>
      <c r="AA64" s="1183">
        <f>L26</f>
        <v>360000</v>
      </c>
      <c r="AB64" s="1183">
        <f>Q26</f>
        <v>191936</v>
      </c>
      <c r="AC64" s="1184">
        <f>206000</f>
        <v>206000</v>
      </c>
      <c r="AD64" s="1184">
        <f>U26</f>
        <v>910212</v>
      </c>
      <c r="AE64" s="1184">
        <f>SUM(Z64:AD64)</f>
        <v>1985470</v>
      </c>
      <c r="AG64" s="293"/>
      <c r="AH64" s="292"/>
      <c r="AI64" s="292"/>
      <c r="AJ64" s="292"/>
      <c r="AK64" s="1475"/>
      <c r="AL64" s="1475"/>
      <c r="AM64" s="293"/>
    </row>
    <row r="65" spans="2:38" s="79" customFormat="1" ht="12" customHeight="1" x14ac:dyDescent="0.35">
      <c r="B65" s="159"/>
      <c r="C65" s="1172"/>
      <c r="D65" s="1172"/>
      <c r="E65" s="1172"/>
      <c r="F65" s="1172"/>
      <c r="G65" s="1172"/>
      <c r="H65" s="1172"/>
      <c r="I65" s="1172"/>
      <c r="J65" s="293"/>
      <c r="K65" s="293"/>
      <c r="L65" s="293"/>
      <c r="O65" s="1172"/>
      <c r="P65" s="1172"/>
      <c r="Q65" s="1172"/>
      <c r="R65" s="1172"/>
      <c r="S65" s="1172"/>
      <c r="T65" s="1172"/>
      <c r="U65" s="1172"/>
      <c r="V65" s="1172"/>
      <c r="W65" s="1172"/>
      <c r="X65" s="1172"/>
      <c r="Y65" s="293"/>
      <c r="Z65" s="1172"/>
      <c r="AA65" s="1172"/>
      <c r="AB65" s="1172"/>
      <c r="AC65" s="1184"/>
      <c r="AD65" s="1184"/>
      <c r="AE65" s="1184"/>
    </row>
    <row r="66" spans="2:38" s="79" customFormat="1" ht="12" customHeight="1" x14ac:dyDescent="0.35">
      <c r="B66" s="1172"/>
      <c r="C66" s="1172"/>
      <c r="D66" s="1172"/>
      <c r="E66" s="1185" t="s">
        <v>374</v>
      </c>
      <c r="F66" s="1172"/>
      <c r="G66" s="1172"/>
      <c r="H66" s="1172"/>
      <c r="I66" s="1172"/>
      <c r="J66" s="293"/>
      <c r="K66" s="293"/>
      <c r="L66" s="293"/>
      <c r="O66" s="1172"/>
      <c r="P66" s="1172"/>
      <c r="Q66" s="1172"/>
      <c r="R66" s="1172"/>
      <c r="S66" s="1172"/>
      <c r="T66" s="1172"/>
      <c r="U66" s="1172"/>
      <c r="V66" s="1172"/>
      <c r="W66" s="1172"/>
      <c r="X66" s="1172"/>
      <c r="Y66" s="293"/>
      <c r="Z66" s="1183">
        <f>Z26</f>
        <v>317322</v>
      </c>
      <c r="AA66" s="1172"/>
      <c r="AB66" s="1172"/>
      <c r="AC66" s="1184"/>
      <c r="AD66" s="1184">
        <f>AD26</f>
        <v>910212</v>
      </c>
      <c r="AE66" s="1184"/>
      <c r="AL66" s="292" t="s">
        <v>375</v>
      </c>
    </row>
    <row r="67" spans="2:38" s="79" customFormat="1" ht="12" customHeight="1" x14ac:dyDescent="0.35">
      <c r="B67" s="1172"/>
      <c r="C67" s="1172"/>
      <c r="D67" s="1172"/>
      <c r="E67" s="1172"/>
      <c r="F67" s="1172"/>
      <c r="G67" s="1172"/>
      <c r="H67" s="1172"/>
      <c r="I67" s="1172"/>
      <c r="J67" s="293"/>
      <c r="K67" s="293"/>
      <c r="L67" s="293"/>
      <c r="O67" s="1172"/>
      <c r="P67" s="1172"/>
      <c r="Q67" s="1172"/>
      <c r="R67" s="1172"/>
      <c r="S67" s="1172"/>
      <c r="T67" s="1172"/>
      <c r="U67" s="1172"/>
      <c r="V67" s="1172"/>
      <c r="W67" s="1172"/>
      <c r="X67" s="1172"/>
      <c r="Y67" s="293"/>
      <c r="Z67" s="1172"/>
      <c r="AA67" s="1172"/>
      <c r="AB67" s="1172"/>
      <c r="AL67" s="292" t="s">
        <v>376</v>
      </c>
    </row>
  </sheetData>
  <mergeCells count="67">
    <mergeCell ref="V2:V3"/>
    <mergeCell ref="F4:F6"/>
    <mergeCell ref="G4:G6"/>
    <mergeCell ref="H4:H6"/>
    <mergeCell ref="I4:I6"/>
    <mergeCell ref="J4:J6"/>
    <mergeCell ref="K4:K6"/>
    <mergeCell ref="L4:L6"/>
    <mergeCell ref="M4:M6"/>
    <mergeCell ref="N4:N6"/>
    <mergeCell ref="Z4:Z6"/>
    <mergeCell ref="AA4:AA6"/>
    <mergeCell ref="AB4:AB6"/>
    <mergeCell ref="O4:O6"/>
    <mergeCell ref="P4:P6"/>
    <mergeCell ref="Q4:Q6"/>
    <mergeCell ref="R4:R6"/>
    <mergeCell ref="S4:S6"/>
    <mergeCell ref="U4:U6"/>
    <mergeCell ref="B14:E14"/>
    <mergeCell ref="AJ4:AJ6"/>
    <mergeCell ref="AK4:AK6"/>
    <mergeCell ref="AL4:AL6"/>
    <mergeCell ref="B6:E6"/>
    <mergeCell ref="B7:E7"/>
    <mergeCell ref="B8:E8"/>
    <mergeCell ref="AC4:AC6"/>
    <mergeCell ref="AD4:AD6"/>
    <mergeCell ref="AE4:AE6"/>
    <mergeCell ref="AG4:AG6"/>
    <mergeCell ref="AH4:AH6"/>
    <mergeCell ref="AI4:AI6"/>
    <mergeCell ref="V4:V6"/>
    <mergeCell ref="X4:X6"/>
    <mergeCell ref="Y4:Y6"/>
    <mergeCell ref="AK62:AL64"/>
    <mergeCell ref="AN4:AN6"/>
    <mergeCell ref="AO4:AO6"/>
    <mergeCell ref="AP4:AP6"/>
    <mergeCell ref="B30:V33"/>
    <mergeCell ref="B36:V38"/>
    <mergeCell ref="B41:V44"/>
    <mergeCell ref="B46:V47"/>
    <mergeCell ref="B48:V49"/>
    <mergeCell ref="B52:E52"/>
    <mergeCell ref="B21:E21"/>
    <mergeCell ref="B22:E22"/>
    <mergeCell ref="B23:E23"/>
    <mergeCell ref="B24:E24"/>
    <mergeCell ref="B25:E25"/>
    <mergeCell ref="B26:E26"/>
    <mergeCell ref="AQ4:AQ6"/>
    <mergeCell ref="AR4:AR6"/>
    <mergeCell ref="AS4:AS6"/>
    <mergeCell ref="B53:E53"/>
    <mergeCell ref="B54:E54"/>
    <mergeCell ref="B15:E15"/>
    <mergeCell ref="B16:E16"/>
    <mergeCell ref="B17:E17"/>
    <mergeCell ref="B18:E18"/>
    <mergeCell ref="B19:E19"/>
    <mergeCell ref="B20:E20"/>
    <mergeCell ref="B9:E9"/>
    <mergeCell ref="B10:E10"/>
    <mergeCell ref="B11:E11"/>
    <mergeCell ref="B12:E12"/>
    <mergeCell ref="B13:E13"/>
  </mergeCell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sheetPr>
  <dimension ref="A2:D30"/>
  <sheetViews>
    <sheetView workbookViewId="0">
      <selection activeCell="J43" sqref="J43"/>
    </sheetView>
  </sheetViews>
  <sheetFormatPr defaultRowHeight="12.5" x14ac:dyDescent="0.25"/>
  <cols>
    <col min="2" max="2" width="39.453125" bestFit="1" customWidth="1"/>
    <col min="3" max="3" width="23.1796875" bestFit="1" customWidth="1"/>
    <col min="4" max="4" width="14.7265625" customWidth="1"/>
  </cols>
  <sheetData>
    <row r="2" spans="1:4" ht="13" thickBot="1" x14ac:dyDescent="0.3"/>
    <row r="3" spans="1:4" ht="13" x14ac:dyDescent="0.25">
      <c r="A3" s="141" t="s">
        <v>540</v>
      </c>
      <c r="B3" s="142" t="s">
        <v>541</v>
      </c>
      <c r="C3" s="143" t="s">
        <v>715</v>
      </c>
      <c r="D3" s="143" t="s">
        <v>543</v>
      </c>
    </row>
    <row r="4" spans="1:4" x14ac:dyDescent="0.25">
      <c r="A4" s="156">
        <v>9257002</v>
      </c>
      <c r="B4" s="144" t="s">
        <v>544</v>
      </c>
      <c r="C4" s="145">
        <v>51</v>
      </c>
      <c r="D4" s="146">
        <f>($C$24*$C$25)*C4</f>
        <v>22771.5</v>
      </c>
    </row>
    <row r="5" spans="1:4" x14ac:dyDescent="0.25">
      <c r="A5" s="156">
        <v>9257005</v>
      </c>
      <c r="B5" s="144" t="s">
        <v>545</v>
      </c>
      <c r="C5" s="145">
        <v>17</v>
      </c>
      <c r="D5" s="146">
        <f t="shared" ref="D5:D21" si="0">($C$24*$C$25)*C5</f>
        <v>7590.5</v>
      </c>
    </row>
    <row r="6" spans="1:4" x14ac:dyDescent="0.25">
      <c r="A6" s="156">
        <v>9257008</v>
      </c>
      <c r="B6" s="144" t="s">
        <v>340</v>
      </c>
      <c r="C6" s="145">
        <v>26</v>
      </c>
      <c r="D6" s="146">
        <f t="shared" si="0"/>
        <v>11609</v>
      </c>
    </row>
    <row r="7" spans="1:4" x14ac:dyDescent="0.25">
      <c r="A7" s="156">
        <v>9257009</v>
      </c>
      <c r="B7" s="144" t="s">
        <v>546</v>
      </c>
      <c r="C7" s="145">
        <v>26</v>
      </c>
      <c r="D7" s="146">
        <f t="shared" si="0"/>
        <v>11609</v>
      </c>
    </row>
    <row r="8" spans="1:4" x14ac:dyDescent="0.25">
      <c r="A8" s="156">
        <v>9257010</v>
      </c>
      <c r="B8" s="144" t="s">
        <v>547</v>
      </c>
      <c r="C8" s="145">
        <v>16</v>
      </c>
      <c r="D8" s="146">
        <f t="shared" si="0"/>
        <v>7144</v>
      </c>
    </row>
    <row r="9" spans="1:4" x14ac:dyDescent="0.25">
      <c r="A9" s="156">
        <v>9257011</v>
      </c>
      <c r="B9" s="144" t="s">
        <v>548</v>
      </c>
      <c r="C9" s="145">
        <v>15</v>
      </c>
      <c r="D9" s="146">
        <f t="shared" si="0"/>
        <v>6697.5</v>
      </c>
    </row>
    <row r="10" spans="1:4" x14ac:dyDescent="0.25">
      <c r="A10" s="156">
        <v>9257015</v>
      </c>
      <c r="B10" s="144" t="s">
        <v>549</v>
      </c>
      <c r="C10" s="145">
        <v>76</v>
      </c>
      <c r="D10" s="146">
        <f t="shared" si="0"/>
        <v>33934</v>
      </c>
    </row>
    <row r="11" spans="1:4" x14ac:dyDescent="0.25">
      <c r="A11" s="156">
        <v>9257016</v>
      </c>
      <c r="B11" s="144" t="s">
        <v>550</v>
      </c>
      <c r="C11" s="145">
        <v>29</v>
      </c>
      <c r="D11" s="146">
        <f t="shared" si="0"/>
        <v>12948.5</v>
      </c>
    </row>
    <row r="12" spans="1:4" x14ac:dyDescent="0.25">
      <c r="A12" s="156">
        <v>9257021</v>
      </c>
      <c r="B12" s="144" t="s">
        <v>551</v>
      </c>
      <c r="C12" s="145">
        <v>67</v>
      </c>
      <c r="D12" s="146">
        <f t="shared" si="0"/>
        <v>29915.5</v>
      </c>
    </row>
    <row r="13" spans="1:4" x14ac:dyDescent="0.25">
      <c r="A13" s="156">
        <v>9257024</v>
      </c>
      <c r="B13" s="144" t="s">
        <v>552</v>
      </c>
      <c r="C13" s="145">
        <v>21</v>
      </c>
      <c r="D13" s="146">
        <f t="shared" si="0"/>
        <v>9376.5</v>
      </c>
    </row>
    <row r="14" spans="1:4" x14ac:dyDescent="0.25">
      <c r="A14" s="156">
        <v>9257025</v>
      </c>
      <c r="B14" s="144" t="s">
        <v>553</v>
      </c>
      <c r="C14" s="145">
        <v>20</v>
      </c>
      <c r="D14" s="146">
        <f t="shared" si="0"/>
        <v>8930</v>
      </c>
    </row>
    <row r="15" spans="1:4" x14ac:dyDescent="0.25">
      <c r="A15" s="156">
        <v>9257028</v>
      </c>
      <c r="B15" s="144" t="s">
        <v>554</v>
      </c>
      <c r="C15" s="145">
        <v>15</v>
      </c>
      <c r="D15" s="146">
        <f t="shared" si="0"/>
        <v>6697.5</v>
      </c>
    </row>
    <row r="16" spans="1:4" x14ac:dyDescent="0.25">
      <c r="A16" s="156">
        <v>9257029</v>
      </c>
      <c r="B16" s="144" t="s">
        <v>555</v>
      </c>
      <c r="C16" s="145">
        <v>19</v>
      </c>
      <c r="D16" s="146">
        <f t="shared" si="0"/>
        <v>8483.5</v>
      </c>
    </row>
    <row r="17" spans="1:4" x14ac:dyDescent="0.25">
      <c r="A17" s="156">
        <v>9257030</v>
      </c>
      <c r="B17" s="144" t="s">
        <v>556</v>
      </c>
      <c r="C17" s="145">
        <v>20</v>
      </c>
      <c r="D17" s="146">
        <f t="shared" si="0"/>
        <v>8930</v>
      </c>
    </row>
    <row r="18" spans="1:4" x14ac:dyDescent="0.25">
      <c r="A18" s="156">
        <v>9257031</v>
      </c>
      <c r="B18" s="144" t="s">
        <v>557</v>
      </c>
      <c r="C18" s="145">
        <v>17</v>
      </c>
      <c r="D18" s="146">
        <f t="shared" si="0"/>
        <v>7590.5</v>
      </c>
    </row>
    <row r="19" spans="1:4" x14ac:dyDescent="0.25">
      <c r="A19" s="156">
        <v>9257032</v>
      </c>
      <c r="B19" s="144" t="s">
        <v>558</v>
      </c>
      <c r="C19" s="145">
        <v>11</v>
      </c>
      <c r="D19" s="146">
        <f t="shared" si="0"/>
        <v>4911.5</v>
      </c>
    </row>
    <row r="20" spans="1:4" x14ac:dyDescent="0.25">
      <c r="A20" s="156">
        <v>9257033</v>
      </c>
      <c r="B20" s="144" t="s">
        <v>559</v>
      </c>
      <c r="C20" s="145">
        <v>32</v>
      </c>
      <c r="D20" s="146">
        <f t="shared" si="0"/>
        <v>14288</v>
      </c>
    </row>
    <row r="21" spans="1:4" ht="13" thickBot="1" x14ac:dyDescent="0.3">
      <c r="A21" s="157">
        <v>9257034</v>
      </c>
      <c r="B21" s="147" t="s">
        <v>560</v>
      </c>
      <c r="C21" s="148">
        <v>39</v>
      </c>
      <c r="D21" s="149">
        <f t="shared" si="0"/>
        <v>17413.5</v>
      </c>
    </row>
    <row r="22" spans="1:4" x14ac:dyDescent="0.25">
      <c r="A22" s="150"/>
      <c r="B22" s="151"/>
      <c r="C22" s="150"/>
      <c r="D22" s="152"/>
    </row>
    <row r="23" spans="1:4" ht="13" thickBot="1" x14ac:dyDescent="0.3">
      <c r="A23" s="150"/>
      <c r="B23" s="151"/>
      <c r="C23" s="150"/>
      <c r="D23" s="155">
        <f>SUM(D4:D21)</f>
        <v>230840.5</v>
      </c>
    </row>
    <row r="24" spans="1:4" x14ac:dyDescent="0.25">
      <c r="A24" s="150"/>
      <c r="B24" s="153" t="s">
        <v>561</v>
      </c>
      <c r="C24" s="154">
        <v>2.35</v>
      </c>
      <c r="D24" s="151"/>
    </row>
    <row r="25" spans="1:4" x14ac:dyDescent="0.25">
      <c r="A25" s="150"/>
      <c r="B25" s="153" t="s">
        <v>562</v>
      </c>
      <c r="C25" s="150">
        <v>190</v>
      </c>
      <c r="D25" s="151"/>
    </row>
    <row r="26" spans="1:4" x14ac:dyDescent="0.25">
      <c r="A26" s="150"/>
      <c r="B26" s="151"/>
      <c r="C26" s="150"/>
      <c r="D26" s="151"/>
    </row>
    <row r="28" spans="1:4" x14ac:dyDescent="0.25">
      <c r="C28" s="289" t="s">
        <v>716</v>
      </c>
      <c r="D28" s="16">
        <f>'2016-17 Funding Detail'!K25</f>
        <v>255844.5</v>
      </c>
    </row>
    <row r="29" spans="1:4" x14ac:dyDescent="0.25">
      <c r="D29" s="16"/>
    </row>
    <row r="30" spans="1:4" x14ac:dyDescent="0.25">
      <c r="C30" s="289" t="s">
        <v>564</v>
      </c>
      <c r="D30" s="16">
        <f>D23-D28</f>
        <v>-25004</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sheetPr>
  <dimension ref="A2:I20"/>
  <sheetViews>
    <sheetView workbookViewId="0">
      <selection activeCell="B17" sqref="B17"/>
    </sheetView>
  </sheetViews>
  <sheetFormatPr defaultRowHeight="12.5" x14ac:dyDescent="0.25"/>
  <cols>
    <col min="1" max="1" width="51.453125" customWidth="1"/>
    <col min="2" max="2" width="15.7265625" style="16" customWidth="1"/>
    <col min="3" max="3" width="57.54296875" style="2" customWidth="1"/>
    <col min="4" max="4" width="15.7265625" style="2" customWidth="1"/>
    <col min="5" max="5" width="1" customWidth="1"/>
    <col min="6" max="6" width="15.7265625" style="2" customWidth="1"/>
    <col min="7" max="7" width="0.81640625" customWidth="1"/>
    <col min="8" max="8" width="42" customWidth="1"/>
    <col min="9" max="9" width="15.7265625" customWidth="1"/>
  </cols>
  <sheetData>
    <row r="2" spans="1:9" ht="13" x14ac:dyDescent="0.3">
      <c r="A2" s="1" t="s">
        <v>0</v>
      </c>
      <c r="B2" s="231" t="s">
        <v>717</v>
      </c>
      <c r="C2" s="231"/>
      <c r="D2" s="231" t="s">
        <v>28</v>
      </c>
      <c r="E2" s="232"/>
      <c r="F2" s="231" t="s">
        <v>3</v>
      </c>
    </row>
    <row r="4" spans="1:9" x14ac:dyDescent="0.25">
      <c r="A4" s="289" t="s">
        <v>4</v>
      </c>
      <c r="B4" s="16">
        <f>'2017-18 Funding Detail'!AF25</f>
        <v>25776508.120230969</v>
      </c>
      <c r="D4" s="16">
        <f>SUM('Budget Req 1617'!B4)</f>
        <v>25193996.504152969</v>
      </c>
      <c r="E4" s="230"/>
      <c r="F4" s="16">
        <f>B4-D4</f>
        <v>582511.61607800052</v>
      </c>
      <c r="H4" s="289" t="s">
        <v>5</v>
      </c>
    </row>
    <row r="5" spans="1:9" x14ac:dyDescent="0.25">
      <c r="A5" s="289" t="s">
        <v>6</v>
      </c>
      <c r="B5" s="16">
        <f>'2017-18 Funding Detail'!F25</f>
        <v>889975.85</v>
      </c>
      <c r="D5" s="16">
        <f>SUM('Budget Req 1617'!B5)</f>
        <v>859007</v>
      </c>
      <c r="E5" s="230"/>
      <c r="F5" s="16">
        <f t="shared" ref="F5:F11" si="0">B5-D5</f>
        <v>30968.849999999977</v>
      </c>
      <c r="H5" s="289" t="s">
        <v>7</v>
      </c>
    </row>
    <row r="6" spans="1:9" x14ac:dyDescent="0.25">
      <c r="A6" s="289" t="s">
        <v>383</v>
      </c>
      <c r="B6" s="16">
        <f>SUM('2017-18 Funding Detail'!G14)</f>
        <v>41787</v>
      </c>
      <c r="D6" s="16">
        <v>0</v>
      </c>
      <c r="E6" s="230"/>
      <c r="F6" s="16">
        <f t="shared" si="0"/>
        <v>41787</v>
      </c>
      <c r="H6" s="289"/>
    </row>
    <row r="7" spans="1:9" x14ac:dyDescent="0.25">
      <c r="A7" s="289" t="s">
        <v>8</v>
      </c>
      <c r="B7" s="16">
        <f>'2017-18 Other Funding'!AA64+'2016-17 Other Funding'!AB64+'2016-17 Other Funding'!AC64</f>
        <v>757936</v>
      </c>
      <c r="D7" s="16">
        <f>SUM('Budget Req 1617'!B6)</f>
        <v>757936</v>
      </c>
      <c r="E7" s="230"/>
      <c r="F7" s="16">
        <f t="shared" si="0"/>
        <v>0</v>
      </c>
      <c r="H7" s="289" t="s">
        <v>9</v>
      </c>
      <c r="I7" s="16"/>
    </row>
    <row r="8" spans="1:9" ht="13" x14ac:dyDescent="0.3">
      <c r="A8" s="289" t="s">
        <v>10</v>
      </c>
      <c r="B8" s="16">
        <f>SUM('2017-18 Other Funding'!AN26)</f>
        <v>237991.5</v>
      </c>
      <c r="D8" s="16">
        <f>SUM('Budget Req 1617'!B7)</f>
        <v>317322</v>
      </c>
      <c r="E8" s="230"/>
      <c r="F8" s="16">
        <f t="shared" si="0"/>
        <v>-79330.5</v>
      </c>
      <c r="H8" s="184"/>
      <c r="I8" s="72"/>
    </row>
    <row r="9" spans="1:9" x14ac:dyDescent="0.25">
      <c r="A9" s="289" t="s">
        <v>11</v>
      </c>
      <c r="B9" s="16">
        <f>SUM('2017-18 Other Funding'!AR26)</f>
        <v>1119519</v>
      </c>
      <c r="D9" s="16">
        <f>SUM('Budget Req 1617'!B8)</f>
        <v>910212</v>
      </c>
      <c r="E9" s="230"/>
      <c r="F9" s="16">
        <f t="shared" si="0"/>
        <v>209307</v>
      </c>
    </row>
    <row r="10" spans="1:9" x14ac:dyDescent="0.25">
      <c r="A10" s="289" t="s">
        <v>12</v>
      </c>
      <c r="B10" s="315">
        <v>1312995</v>
      </c>
      <c r="D10" s="16">
        <f>SUM('Budget Req 1617'!B9)</f>
        <v>1235496</v>
      </c>
      <c r="E10" s="230"/>
      <c r="F10" s="16">
        <f t="shared" si="0"/>
        <v>77499</v>
      </c>
      <c r="H10" s="289"/>
    </row>
    <row r="11" spans="1:9" x14ac:dyDescent="0.25">
      <c r="A11" s="289" t="s">
        <v>14</v>
      </c>
      <c r="B11" s="315">
        <v>291991</v>
      </c>
      <c r="D11" s="16">
        <f>SUM('Budget Req 1617'!B10)</f>
        <v>291991</v>
      </c>
      <c r="E11" s="230"/>
      <c r="F11" s="16">
        <f t="shared" si="0"/>
        <v>0</v>
      </c>
      <c r="H11" s="289" t="s">
        <v>29</v>
      </c>
    </row>
    <row r="12" spans="1:9" ht="13" x14ac:dyDescent="0.3">
      <c r="A12" s="289"/>
      <c r="D12" s="16"/>
      <c r="E12" s="230"/>
      <c r="F12" s="72"/>
    </row>
    <row r="13" spans="1:9" ht="13" x14ac:dyDescent="0.3">
      <c r="A13" s="186" t="s">
        <v>718</v>
      </c>
      <c r="B13" s="72">
        <f>SUM(B4:B11)</f>
        <v>30428703.470230971</v>
      </c>
      <c r="D13" s="72">
        <f>SUM(D4:D12)</f>
        <v>29565960.504152969</v>
      </c>
      <c r="E13" s="72"/>
      <c r="F13" s="72">
        <f>SUM(F4:F12)</f>
        <v>862742.96607800049</v>
      </c>
      <c r="H13" s="184"/>
    </row>
    <row r="14" spans="1:9" ht="13" x14ac:dyDescent="0.3">
      <c r="A14" s="186"/>
      <c r="B14" s="72"/>
      <c r="D14" s="72"/>
      <c r="E14" s="72"/>
      <c r="F14" s="72"/>
      <c r="H14" s="184"/>
    </row>
    <row r="15" spans="1:9" ht="13" x14ac:dyDescent="0.3">
      <c r="A15" s="186" t="s">
        <v>719</v>
      </c>
      <c r="B15" s="72">
        <v>79331</v>
      </c>
      <c r="D15" s="72"/>
      <c r="E15" s="72"/>
      <c r="F15" s="72"/>
      <c r="H15" s="184"/>
    </row>
    <row r="16" spans="1:9" ht="13" x14ac:dyDescent="0.3">
      <c r="A16" s="289"/>
      <c r="B16" s="72"/>
      <c r="F16" s="72"/>
      <c r="H16" s="184"/>
    </row>
    <row r="17" spans="1:8" ht="13" x14ac:dyDescent="0.3">
      <c r="A17" s="289" t="s">
        <v>720</v>
      </c>
      <c r="B17" s="290">
        <v>29540671</v>
      </c>
      <c r="D17" s="16">
        <f>B17-D13</f>
        <v>-25289.504152968526</v>
      </c>
      <c r="F17" s="72"/>
      <c r="H17" s="184"/>
    </row>
    <row r="18" spans="1:8" ht="13" x14ac:dyDescent="0.3">
      <c r="A18" s="289"/>
      <c r="B18" s="72"/>
      <c r="F18" s="72"/>
      <c r="H18" s="184"/>
    </row>
    <row r="19" spans="1:8" ht="13" x14ac:dyDescent="0.3">
      <c r="A19" s="184" t="s">
        <v>19</v>
      </c>
      <c r="B19" s="72">
        <f>(B13+B15)-B17</f>
        <v>967363.47023097053</v>
      </c>
      <c r="C19" s="316" t="s">
        <v>721</v>
      </c>
      <c r="F19" s="72"/>
      <c r="H19" s="184"/>
    </row>
    <row r="20" spans="1:8" ht="13" x14ac:dyDescent="0.3">
      <c r="A20" s="289"/>
      <c r="B20" s="72"/>
      <c r="F20" s="72"/>
      <c r="H20" s="184"/>
    </row>
  </sheetData>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indexed="24"/>
    <pageSetUpPr fitToPage="1"/>
  </sheetPr>
  <dimension ref="A1:J39"/>
  <sheetViews>
    <sheetView zoomScale="85" workbookViewId="0">
      <selection activeCell="F37" sqref="F37"/>
    </sheetView>
  </sheetViews>
  <sheetFormatPr defaultRowHeight="12.5" x14ac:dyDescent="0.25"/>
  <cols>
    <col min="1" max="1" width="8" customWidth="1"/>
    <col min="2" max="2" width="31.1796875" style="2" customWidth="1"/>
    <col min="3" max="3" width="4.81640625" style="3" customWidth="1"/>
    <col min="4" max="4" width="14.54296875" style="3" customWidth="1"/>
    <col min="5" max="5" width="14.7265625" customWidth="1"/>
    <col min="6" max="6" width="4.453125" customWidth="1"/>
    <col min="7" max="7" width="40.7265625" customWidth="1"/>
    <col min="8" max="8" width="65.453125" customWidth="1"/>
    <col min="9" max="9" width="8.54296875" customWidth="1"/>
  </cols>
  <sheetData>
    <row r="1" spans="1:10" ht="20" x14ac:dyDescent="0.4">
      <c r="A1" s="4" t="s">
        <v>33</v>
      </c>
    </row>
    <row r="3" spans="1:10" ht="13" x14ac:dyDescent="0.3">
      <c r="A3" s="7" t="s">
        <v>34</v>
      </c>
    </row>
    <row r="4" spans="1:10" ht="13" thickBot="1" x14ac:dyDescent="0.3">
      <c r="A4" s="1"/>
    </row>
    <row r="5" spans="1:10" ht="13" x14ac:dyDescent="0.3">
      <c r="B5" s="5" t="s">
        <v>35</v>
      </c>
      <c r="D5" s="5" t="s">
        <v>36</v>
      </c>
      <c r="E5" s="5"/>
      <c r="F5" s="23" t="s">
        <v>37</v>
      </c>
      <c r="G5" s="24"/>
      <c r="H5" s="24"/>
      <c r="I5" s="24"/>
      <c r="J5" s="25"/>
    </row>
    <row r="6" spans="1:10" ht="13" thickBot="1" x14ac:dyDescent="0.3">
      <c r="E6" s="2"/>
      <c r="F6" s="1409" t="s">
        <v>38</v>
      </c>
      <c r="G6" s="1410"/>
      <c r="H6" s="1410"/>
      <c r="I6" s="1410"/>
      <c r="J6" s="1411"/>
    </row>
    <row r="7" spans="1:10" ht="13" thickBot="1" x14ac:dyDescent="0.3">
      <c r="A7" s="20" t="s">
        <v>39</v>
      </c>
      <c r="B7" s="21" t="s">
        <v>40</v>
      </c>
      <c r="D7" s="16">
        <v>11692.020638096787</v>
      </c>
      <c r="E7" s="62"/>
      <c r="F7" s="1409"/>
      <c r="G7" s="1410"/>
      <c r="H7" s="1410"/>
      <c r="I7" s="1410"/>
      <c r="J7" s="1411"/>
    </row>
    <row r="8" spans="1:10" ht="13" thickBot="1" x14ac:dyDescent="0.3">
      <c r="D8" s="16"/>
      <c r="E8" s="62"/>
      <c r="F8" s="1409" t="s">
        <v>41</v>
      </c>
      <c r="G8" s="1410"/>
      <c r="H8" s="1410"/>
      <c r="I8" s="1410"/>
      <c r="J8" s="1411"/>
    </row>
    <row r="9" spans="1:10" ht="13" thickBot="1" x14ac:dyDescent="0.3">
      <c r="A9" s="20" t="s">
        <v>42</v>
      </c>
      <c r="B9" s="21" t="s">
        <v>43</v>
      </c>
      <c r="D9" s="16">
        <v>7350.1419469065795</v>
      </c>
      <c r="E9" s="62"/>
      <c r="F9" s="1409"/>
      <c r="G9" s="1410"/>
      <c r="H9" s="1410"/>
      <c r="I9" s="1410"/>
      <c r="J9" s="1411"/>
    </row>
    <row r="10" spans="1:10" ht="13" thickBot="1" x14ac:dyDescent="0.3">
      <c r="D10" s="16"/>
      <c r="E10" s="62"/>
      <c r="F10" s="1409" t="s">
        <v>44</v>
      </c>
      <c r="G10" s="1410"/>
      <c r="H10" s="1410"/>
      <c r="I10" s="1410"/>
      <c r="J10" s="1411"/>
    </row>
    <row r="11" spans="1:10" ht="13" thickBot="1" x14ac:dyDescent="0.3">
      <c r="A11" s="20" t="s">
        <v>45</v>
      </c>
      <c r="B11" s="21" t="s">
        <v>46</v>
      </c>
      <c r="D11" s="16">
        <v>6243.7244928897762</v>
      </c>
      <c r="E11" s="62"/>
      <c r="F11" s="1409"/>
      <c r="G11" s="1410"/>
      <c r="H11" s="1410"/>
      <c r="I11" s="1410"/>
      <c r="J11" s="1411"/>
    </row>
    <row r="12" spans="1:10" ht="13" thickBot="1" x14ac:dyDescent="0.3">
      <c r="D12" s="16"/>
      <c r="E12" s="62"/>
      <c r="F12" s="26" t="s">
        <v>47</v>
      </c>
      <c r="J12" s="27"/>
    </row>
    <row r="13" spans="1:10" ht="13" thickBot="1" x14ac:dyDescent="0.3">
      <c r="A13" s="20" t="s">
        <v>48</v>
      </c>
      <c r="B13" s="21" t="s">
        <v>40</v>
      </c>
      <c r="D13" s="16">
        <v>11692.020638096787</v>
      </c>
      <c r="E13" s="62"/>
      <c r="F13" s="26" t="s">
        <v>49</v>
      </c>
      <c r="J13" s="27"/>
    </row>
    <row r="14" spans="1:10" ht="13" thickBot="1" x14ac:dyDescent="0.3">
      <c r="D14" s="16"/>
      <c r="E14" s="62"/>
      <c r="F14" s="26" t="s">
        <v>50</v>
      </c>
      <c r="J14" s="27"/>
    </row>
    <row r="15" spans="1:10" ht="13" thickBot="1" x14ac:dyDescent="0.3">
      <c r="A15" s="20" t="s">
        <v>51</v>
      </c>
      <c r="B15" s="22" t="s">
        <v>40</v>
      </c>
      <c r="D15" s="16">
        <v>11692.020638096787</v>
      </c>
      <c r="E15" s="62"/>
      <c r="F15" s="26" t="s">
        <v>52</v>
      </c>
      <c r="J15" s="27"/>
    </row>
    <row r="16" spans="1:10" ht="13" thickBot="1" x14ac:dyDescent="0.3">
      <c r="B16" s="19"/>
      <c r="D16" s="16"/>
      <c r="E16" s="62"/>
      <c r="F16" s="26" t="s">
        <v>53</v>
      </c>
      <c r="J16" s="27"/>
    </row>
    <row r="17" spans="1:10" ht="13" thickBot="1" x14ac:dyDescent="0.3">
      <c r="A17" s="20" t="s">
        <v>51</v>
      </c>
      <c r="B17" s="22" t="s">
        <v>54</v>
      </c>
      <c r="D17" s="16">
        <v>2635.0478891670464</v>
      </c>
      <c r="E17" s="62"/>
      <c r="F17" s="28" t="s">
        <v>55</v>
      </c>
      <c r="G17" s="43"/>
      <c r="H17" s="43"/>
      <c r="I17" s="43"/>
      <c r="J17" s="44"/>
    </row>
    <row r="19" spans="1:10" ht="13" x14ac:dyDescent="0.3">
      <c r="A19" s="7" t="s">
        <v>56</v>
      </c>
    </row>
    <row r="21" spans="1:10" ht="26" x14ac:dyDescent="0.3">
      <c r="B21" s="11" t="s">
        <v>57</v>
      </c>
      <c r="C21" s="12"/>
      <c r="D21" s="13" t="s">
        <v>58</v>
      </c>
      <c r="E21" s="15" t="s">
        <v>59</v>
      </c>
      <c r="G21" s="14" t="s">
        <v>60</v>
      </c>
      <c r="H21" s="15" t="s">
        <v>61</v>
      </c>
    </row>
    <row r="22" spans="1:10" x14ac:dyDescent="0.25">
      <c r="B22" s="10" t="s">
        <v>62</v>
      </c>
      <c r="C22" s="314"/>
      <c r="D22" s="17">
        <v>314686.51772419503</v>
      </c>
      <c r="E22" s="18">
        <v>69201.680689977453</v>
      </c>
      <c r="G22" s="9" t="s">
        <v>63</v>
      </c>
      <c r="H22" s="8" t="s">
        <v>64</v>
      </c>
    </row>
    <row r="23" spans="1:10" x14ac:dyDescent="0.25">
      <c r="B23" s="10" t="s">
        <v>65</v>
      </c>
      <c r="C23" s="314"/>
      <c r="D23" s="17">
        <v>405763.82046267512</v>
      </c>
      <c r="E23" s="18">
        <v>88790.687513148558</v>
      </c>
      <c r="G23" s="9" t="s">
        <v>66</v>
      </c>
      <c r="H23" s="8" t="s">
        <v>67</v>
      </c>
    </row>
    <row r="24" spans="1:10" x14ac:dyDescent="0.25">
      <c r="B24" s="10" t="s">
        <v>68</v>
      </c>
      <c r="C24" s="314"/>
      <c r="D24" s="17">
        <v>418723.18610831723</v>
      </c>
      <c r="E24" s="18">
        <v>117027.3922528728</v>
      </c>
      <c r="G24" s="9" t="s">
        <v>69</v>
      </c>
      <c r="H24" s="8" t="s">
        <v>70</v>
      </c>
    </row>
    <row r="25" spans="1:10" x14ac:dyDescent="0.25">
      <c r="B25" s="10" t="s">
        <v>71</v>
      </c>
      <c r="C25" s="314"/>
      <c r="D25" s="17">
        <v>493762.11190507573</v>
      </c>
      <c r="E25" s="18">
        <v>131719.7894229154</v>
      </c>
      <c r="G25" s="9" t="s">
        <v>72</v>
      </c>
      <c r="H25" s="8" t="s">
        <v>73</v>
      </c>
    </row>
    <row r="26" spans="1:10" x14ac:dyDescent="0.25">
      <c r="B26" s="45" t="s">
        <v>74</v>
      </c>
      <c r="C26" s="239"/>
      <c r="D26" s="46">
        <v>280697.16623783787</v>
      </c>
      <c r="E26" s="46">
        <v>55663.058379368813</v>
      </c>
      <c r="G26" s="9" t="s">
        <v>75</v>
      </c>
      <c r="H26" s="8" t="s">
        <v>76</v>
      </c>
    </row>
    <row r="27" spans="1:10" x14ac:dyDescent="0.25">
      <c r="B27" s="239" t="s">
        <v>77</v>
      </c>
      <c r="C27" s="239"/>
      <c r="D27" s="46">
        <v>360067.26321081078</v>
      </c>
      <c r="E27" s="46">
        <v>58044.118057617408</v>
      </c>
      <c r="G27" s="9" t="s">
        <v>78</v>
      </c>
      <c r="H27" s="8" t="s">
        <v>79</v>
      </c>
    </row>
    <row r="28" spans="1:10" x14ac:dyDescent="0.25">
      <c r="D28" s="16"/>
      <c r="E28" s="16"/>
      <c r="G28" s="9" t="s">
        <v>80</v>
      </c>
      <c r="H28" s="8" t="s">
        <v>81</v>
      </c>
    </row>
    <row r="29" spans="1:10" x14ac:dyDescent="0.25">
      <c r="D29" s="16"/>
      <c r="E29" s="16"/>
      <c r="G29" s="9" t="s">
        <v>82</v>
      </c>
      <c r="H29" s="8" t="s">
        <v>83</v>
      </c>
    </row>
    <row r="30" spans="1:10" x14ac:dyDescent="0.25">
      <c r="G30" s="9" t="s">
        <v>84</v>
      </c>
      <c r="H30" s="8" t="s">
        <v>85</v>
      </c>
    </row>
    <row r="31" spans="1:10" ht="13" x14ac:dyDescent="0.3">
      <c r="B31" s="5"/>
      <c r="D31" s="5"/>
      <c r="H31" s="8" t="s">
        <v>86</v>
      </c>
    </row>
    <row r="32" spans="1:10" x14ac:dyDescent="0.25">
      <c r="D32" s="16"/>
      <c r="H32" s="8" t="s">
        <v>87</v>
      </c>
    </row>
    <row r="33" spans="2:8" x14ac:dyDescent="0.25">
      <c r="D33" s="16"/>
      <c r="H33" s="8" t="s">
        <v>88</v>
      </c>
    </row>
    <row r="34" spans="2:8" x14ac:dyDescent="0.25">
      <c r="H34" s="8" t="s">
        <v>89</v>
      </c>
    </row>
    <row r="35" spans="2:8" x14ac:dyDescent="0.25">
      <c r="B35" s="316"/>
      <c r="H35" s="8" t="s">
        <v>90</v>
      </c>
    </row>
    <row r="36" spans="2:8" x14ac:dyDescent="0.25">
      <c r="D36" s="16"/>
      <c r="H36" s="8" t="s">
        <v>91</v>
      </c>
    </row>
    <row r="37" spans="2:8" x14ac:dyDescent="0.25">
      <c r="D37" s="16"/>
      <c r="H37" s="8" t="s">
        <v>92</v>
      </c>
    </row>
    <row r="38" spans="2:8" x14ac:dyDescent="0.25">
      <c r="D38" s="16"/>
    </row>
    <row r="39" spans="2:8" x14ac:dyDescent="0.25">
      <c r="D39" s="16"/>
    </row>
  </sheetData>
  <mergeCells count="3">
    <mergeCell ref="F6:J7"/>
    <mergeCell ref="F8:J9"/>
    <mergeCell ref="F10:J11"/>
  </mergeCells>
  <phoneticPr fontId="5" type="noConversion"/>
  <pageMargins left="0.75" right="0.75" top="1" bottom="1" header="0.5" footer="0.5"/>
  <pageSetup paperSize="9" scale="79" orientation="landscape" r:id="rId1"/>
  <headerFooter alignWithMargins="0">
    <oddFooter>&amp;F</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sheetPr>
  <dimension ref="A1:P122"/>
  <sheetViews>
    <sheetView zoomScale="80" zoomScaleNormal="80" workbookViewId="0">
      <selection activeCell="B3" sqref="B3"/>
    </sheetView>
  </sheetViews>
  <sheetFormatPr defaultColWidth="9.1796875" defaultRowHeight="15.75" customHeight="1" x14ac:dyDescent="0.35"/>
  <cols>
    <col min="1" max="1" width="63.54296875" style="895" customWidth="1"/>
    <col min="2" max="2" width="32.26953125" style="895" customWidth="1"/>
    <col min="3" max="3" width="3.1796875" style="895" bestFit="1" customWidth="1"/>
    <col min="4" max="4" width="42.81640625" style="895" bestFit="1" customWidth="1"/>
    <col min="5" max="5" width="8" style="895" customWidth="1"/>
    <col min="6" max="6" width="63" style="895" bestFit="1" customWidth="1"/>
    <col min="7" max="7" width="41.81640625" style="895" customWidth="1"/>
    <col min="8" max="8" width="4.1796875" style="895" bestFit="1" customWidth="1"/>
    <col min="9" max="9" width="3" style="895" customWidth="1"/>
    <col min="10" max="10" width="19.1796875" style="895" customWidth="1"/>
    <col min="11" max="11" width="10.26953125" style="895" bestFit="1" customWidth="1"/>
    <col min="12" max="16384" width="9.1796875" style="895"/>
  </cols>
  <sheetData>
    <row r="1" spans="1:13" ht="15.75" customHeight="1" x14ac:dyDescent="0.35">
      <c r="A1" s="911" t="s">
        <v>93</v>
      </c>
      <c r="B1" s="911"/>
      <c r="C1" s="911"/>
      <c r="D1" s="906"/>
      <c r="E1" s="911"/>
      <c r="F1" s="906"/>
      <c r="G1" s="911"/>
      <c r="H1" s="906"/>
      <c r="I1" s="906"/>
      <c r="J1" s="906"/>
      <c r="K1" s="906"/>
      <c r="L1" s="906"/>
      <c r="M1" s="906"/>
    </row>
    <row r="2" spans="1:13" ht="15.75" customHeight="1" x14ac:dyDescent="0.35">
      <c r="A2" s="911"/>
      <c r="B2" s="911"/>
      <c r="C2" s="911"/>
      <c r="D2" s="906"/>
      <c r="E2" s="911"/>
      <c r="F2" s="906"/>
      <c r="G2" s="906"/>
      <c r="H2" s="906"/>
      <c r="I2" s="906"/>
      <c r="J2" s="906"/>
      <c r="K2" s="906"/>
      <c r="L2" s="906"/>
      <c r="M2" s="906"/>
    </row>
    <row r="3" spans="1:13" ht="15.75" customHeight="1" x14ac:dyDescent="0.35">
      <c r="A3" s="914" t="s">
        <v>95</v>
      </c>
      <c r="B3" s="915"/>
      <c r="C3" s="906"/>
      <c r="D3" s="911" t="e">
        <f>VLOOKUP(B3,'2223 Funding Detail'!A4:AN22,2,FALSE)</f>
        <v>#N/A</v>
      </c>
      <c r="E3" s="916"/>
      <c r="F3" s="911"/>
      <c r="G3" s="917"/>
      <c r="H3" s="906"/>
      <c r="I3" s="906"/>
      <c r="J3" s="906"/>
      <c r="K3" s="911"/>
      <c r="L3" s="906"/>
      <c r="M3" s="906"/>
    </row>
    <row r="4" spans="1:13" ht="15.75" customHeight="1" x14ac:dyDescent="0.35">
      <c r="A4" s="914"/>
      <c r="B4" s="906"/>
      <c r="C4" s="906"/>
      <c r="D4" s="911"/>
      <c r="E4" s="916"/>
      <c r="F4" s="911"/>
      <c r="G4" s="917"/>
      <c r="H4" s="906"/>
      <c r="I4" s="906"/>
      <c r="J4" s="906"/>
      <c r="K4" s="911"/>
      <c r="L4" s="906"/>
      <c r="M4" s="906"/>
    </row>
    <row r="5" spans="1:13" ht="15.75" customHeight="1" x14ac:dyDescent="0.35">
      <c r="A5" s="906"/>
      <c r="B5" s="1017"/>
      <c r="C5" s="1017"/>
      <c r="D5" s="1017"/>
      <c r="E5" s="906"/>
      <c r="F5" s="1521" t="s">
        <v>722</v>
      </c>
      <c r="G5" s="1521"/>
      <c r="H5" s="906"/>
      <c r="I5" s="906"/>
      <c r="J5" s="919"/>
      <c r="K5" s="906"/>
      <c r="L5" s="906"/>
      <c r="M5" s="906"/>
    </row>
    <row r="6" spans="1:13" ht="15.75" customHeight="1" x14ac:dyDescent="0.35">
      <c r="A6" s="906"/>
      <c r="B6" s="911"/>
      <c r="C6" s="911"/>
      <c r="D6" s="911"/>
      <c r="E6" s="906"/>
      <c r="F6" s="906"/>
      <c r="G6" s="906"/>
      <c r="H6" s="906"/>
      <c r="I6" s="906"/>
      <c r="J6" s="919"/>
      <c r="K6" s="906"/>
      <c r="L6" s="906"/>
      <c r="M6" s="906"/>
    </row>
    <row r="7" spans="1:13" ht="15.75" customHeight="1" x14ac:dyDescent="0.35">
      <c r="A7" s="967" t="s">
        <v>98</v>
      </c>
      <c r="B7" s="911" t="s">
        <v>723</v>
      </c>
      <c r="C7" s="906"/>
      <c r="D7" s="911" t="s">
        <v>722</v>
      </c>
      <c r="E7" s="906"/>
      <c r="F7" s="967" t="s">
        <v>98</v>
      </c>
      <c r="G7" s="911" t="s">
        <v>722</v>
      </c>
      <c r="H7" s="906"/>
      <c r="I7" s="906"/>
      <c r="J7" s="919"/>
      <c r="K7" s="906"/>
      <c r="L7" s="906"/>
      <c r="M7" s="906"/>
    </row>
    <row r="8" spans="1:13" ht="15.75" customHeight="1" x14ac:dyDescent="0.35">
      <c r="A8" s="906" t="s">
        <v>58</v>
      </c>
      <c r="B8" s="907" t="e">
        <f>VLOOKUP($B$3,'2223 Funding Detail'!$A$4:$BB$22,4,(FALSE))</f>
        <v>#N/A</v>
      </c>
      <c r="C8" s="922"/>
      <c r="D8" s="907" t="e">
        <f>VLOOKUP($B$3,'2324 Funding Detail'!$A$4:$AB$20,4,(FALSE))</f>
        <v>#N/A</v>
      </c>
      <c r="F8" s="906" t="s">
        <v>58</v>
      </c>
      <c r="G8" s="907" t="e">
        <f>VLOOKUP($B$3,'2324 Funding Detail'!$A$4:$AB$20,4,(FALSE))</f>
        <v>#N/A</v>
      </c>
      <c r="H8" s="968"/>
      <c r="I8" s="906"/>
      <c r="J8" s="919"/>
      <c r="K8" s="906"/>
      <c r="L8" s="906"/>
      <c r="M8" s="906"/>
    </row>
    <row r="9" spans="1:13" ht="15.75" customHeight="1" x14ac:dyDescent="0.35">
      <c r="A9" s="906" t="s">
        <v>724</v>
      </c>
      <c r="B9" s="907" t="e">
        <f>VLOOKUP(B3,'2223 Funding Detail'!A4:BB22,5,(FALSE))</f>
        <v>#N/A</v>
      </c>
      <c r="C9" s="922"/>
      <c r="D9" s="907" t="e">
        <f>VLOOKUP($B$3,'2324 Funding Detail'!$A$4:$AB$20,5,(FALSE))</f>
        <v>#N/A</v>
      </c>
      <c r="F9" s="906" t="s">
        <v>724</v>
      </c>
      <c r="G9" s="907" t="e">
        <f>VLOOKUP($B$3,'2324 Funding Detail'!$A$4:$AB$20,5,(FALSE))</f>
        <v>#N/A</v>
      </c>
      <c r="H9" s="968"/>
      <c r="I9" s="906"/>
      <c r="J9" s="919"/>
      <c r="K9" s="906"/>
      <c r="L9" s="906"/>
      <c r="M9" s="906"/>
    </row>
    <row r="10" spans="1:13" ht="15.75" customHeight="1" x14ac:dyDescent="0.35">
      <c r="A10" s="906" t="s">
        <v>725</v>
      </c>
      <c r="B10" s="907" t="e">
        <f>VLOOKUP($B$3,'2223 Funding Detail'!$A$4:$BB$22,8,FALSE)-VLOOKUP($B$3,'2223 Funding Detail'!$A$4:$BB$22,14,FALSE)</f>
        <v>#N/A</v>
      </c>
      <c r="C10" s="922"/>
      <c r="D10" s="907" t="e">
        <f>VLOOKUP($B$3,'2324 Funding Detail'!$A$4:$AB$20,8,(FALSE))-VLOOKUP($B$3,'2324 Funding Detail'!$A$4:$AB$20,14,(FALSE))</f>
        <v>#N/A</v>
      </c>
      <c r="E10" s="906">
        <v>2</v>
      </c>
      <c r="F10" s="906" t="s">
        <v>725</v>
      </c>
      <c r="G10" s="907" t="e">
        <f>VLOOKUP($B$3,'2324 Funding Detail'!$A$4:$AB$20,8,(FALSE))-VLOOKUP($B$3,'2324 Funding Detail'!$A$4:$AB$20,14,(FALSE))</f>
        <v>#N/A</v>
      </c>
      <c r="H10" s="968"/>
      <c r="I10" s="906"/>
      <c r="J10" s="919"/>
      <c r="K10" s="906"/>
      <c r="L10" s="906"/>
      <c r="M10" s="906"/>
    </row>
    <row r="11" spans="1:13" ht="15.75" customHeight="1" x14ac:dyDescent="0.35">
      <c r="A11" s="906" t="s">
        <v>726</v>
      </c>
      <c r="B11" s="907" t="e">
        <f>VLOOKUP($B$3,'2223 Funding Detail'!$A$4:$BB$22,14,FALSE)</f>
        <v>#N/A</v>
      </c>
      <c r="C11" s="922"/>
      <c r="D11" s="907" t="e">
        <f>VLOOKUP(B3,'2324 Funding Detail'!A3:N20,14,(FALSE))</f>
        <v>#N/A</v>
      </c>
      <c r="E11" s="906"/>
      <c r="F11" s="906" t="s">
        <v>726</v>
      </c>
      <c r="G11" s="907" t="e">
        <f>VLOOKUP($B$3,'2324 Funding Detail'!$A$4:$AB$20,14,(FALSE))</f>
        <v>#N/A</v>
      </c>
      <c r="H11" s="968"/>
      <c r="I11" s="906"/>
      <c r="J11" s="919"/>
      <c r="K11" s="906"/>
      <c r="L11" s="906"/>
      <c r="M11" s="906"/>
    </row>
    <row r="12" spans="1:13" ht="15.75" customHeight="1" x14ac:dyDescent="0.35">
      <c r="A12" s="906" t="s">
        <v>105</v>
      </c>
      <c r="B12" s="907" t="e">
        <f>VLOOKUP($B$3,'2223 Funding Detail'!$A$4:$BB$22,10,FALSE)</f>
        <v>#N/A</v>
      </c>
      <c r="C12" s="922"/>
      <c r="D12" s="907" t="e">
        <f>VLOOKUP($B$3,'2324 Funding Detail'!$A$4:$AB$20,10,(FALSE))</f>
        <v>#N/A</v>
      </c>
      <c r="E12" s="906"/>
      <c r="F12" s="906" t="s">
        <v>105</v>
      </c>
      <c r="G12" s="907" t="e">
        <f>VLOOKUP($B$3,'2324 Funding Detail'!$A$4:$AB$20,10,(FALSE))</f>
        <v>#N/A</v>
      </c>
      <c r="H12" s="968"/>
      <c r="I12" s="906"/>
      <c r="J12" s="919"/>
      <c r="K12" s="906"/>
      <c r="L12" s="906"/>
      <c r="M12" s="906"/>
    </row>
    <row r="13" spans="1:13" ht="15.75" customHeight="1" x14ac:dyDescent="0.35">
      <c r="A13" s="906" t="s">
        <v>727</v>
      </c>
      <c r="B13" s="907" t="e">
        <f>VLOOKUP($B$3,'2223 Funding Detail'!$A$4:$BB$22,17,FALSE)</f>
        <v>#N/A</v>
      </c>
      <c r="C13" s="922"/>
      <c r="D13" s="969"/>
      <c r="E13" s="906"/>
      <c r="F13" s="906" t="s">
        <v>727</v>
      </c>
      <c r="G13" s="970" t="e">
        <f>VLOOKUP($B$3,'2324 Funding Detail'!$A$4:$AB$20,17,(FALSE))</f>
        <v>#N/A</v>
      </c>
      <c r="H13" s="968"/>
      <c r="I13" s="906"/>
      <c r="J13" s="919"/>
      <c r="K13" s="906"/>
      <c r="L13" s="906"/>
      <c r="M13" s="906"/>
    </row>
    <row r="14" spans="1:13" ht="15.75" customHeight="1" x14ac:dyDescent="0.35">
      <c r="A14" s="906" t="s">
        <v>108</v>
      </c>
      <c r="B14" s="920" t="e">
        <f>VLOOKUP($B$3,'2223 Funding Detail'!$A$4:$BB$22,18,FALSE)</f>
        <v>#N/A</v>
      </c>
      <c r="C14" s="919">
        <v>1</v>
      </c>
      <c r="D14" s="921" t="e">
        <f>VLOOKUP($B$3,'2324 Funding Detail'!$A$4:$AC$21,12,(FALSE))</f>
        <v>#N/A</v>
      </c>
      <c r="E14" s="906">
        <v>3</v>
      </c>
      <c r="H14" s="968"/>
      <c r="I14" s="906"/>
      <c r="J14" s="919"/>
      <c r="K14" s="906"/>
      <c r="L14" s="906"/>
      <c r="M14" s="906"/>
    </row>
    <row r="15" spans="1:13" ht="15.75" customHeight="1" x14ac:dyDescent="0.35">
      <c r="E15" s="906"/>
      <c r="F15" s="911" t="s">
        <v>109</v>
      </c>
      <c r="G15" s="931" t="e">
        <f>VLOOKUP(B3,'2324 Funding Detail'!A4:R20,18,FALSE)</f>
        <v>#N/A</v>
      </c>
      <c r="H15" s="906">
        <v>10</v>
      </c>
      <c r="I15" s="906"/>
      <c r="J15" s="907"/>
      <c r="K15" s="922"/>
      <c r="L15" s="906"/>
      <c r="M15" s="906"/>
    </row>
    <row r="16" spans="1:13" ht="15.75" customHeight="1" x14ac:dyDescent="0.35">
      <c r="A16" s="906"/>
      <c r="B16" s="925" t="s">
        <v>728</v>
      </c>
      <c r="C16" s="922"/>
      <c r="D16" s="925" t="s">
        <v>729</v>
      </c>
      <c r="E16" s="906"/>
      <c r="I16" s="906"/>
      <c r="J16" s="971"/>
      <c r="K16" s="922"/>
      <c r="L16" s="906"/>
      <c r="M16" s="906"/>
    </row>
    <row r="17" spans="1:13" ht="15.75" customHeight="1" x14ac:dyDescent="0.35">
      <c r="A17" s="906"/>
      <c r="B17" s="925"/>
      <c r="C17" s="922"/>
      <c r="D17" s="925"/>
      <c r="E17" s="906"/>
      <c r="F17" s="1593" t="s">
        <v>638</v>
      </c>
      <c r="G17" s="1594" t="e">
        <f>VLOOKUP(B3,'3.4% Allocations'!B30:M46,12,FALSE)</f>
        <v>#N/A</v>
      </c>
      <c r="H17" s="895">
        <v>11</v>
      </c>
      <c r="I17" s="906"/>
      <c r="J17" s="971"/>
      <c r="K17" s="906"/>
      <c r="L17" s="906"/>
      <c r="M17" s="906"/>
    </row>
    <row r="18" spans="1:13" ht="15.75" customHeight="1" x14ac:dyDescent="0.35">
      <c r="A18" s="906" t="s">
        <v>730</v>
      </c>
      <c r="B18" s="973" t="e">
        <f>VLOOKUP($B$3,'2223 Funding Detail'!$A$4:$O$22,13,(FALSE))</f>
        <v>#N/A</v>
      </c>
      <c r="C18" s="919"/>
      <c r="D18" s="919" t="e">
        <f>VLOOKUP($B$3,'2324 Funding Detail'!$A$4:$M$20,13,(FALSE))</f>
        <v>#N/A</v>
      </c>
      <c r="E18" s="906">
        <v>4</v>
      </c>
      <c r="I18" s="906"/>
      <c r="K18" s="906"/>
      <c r="L18" s="906"/>
      <c r="M18" s="906"/>
    </row>
    <row r="19" spans="1:13" ht="15.75" customHeight="1" x14ac:dyDescent="0.35">
      <c r="A19" s="906"/>
      <c r="B19" s="922"/>
      <c r="C19" s="922"/>
      <c r="D19" s="922"/>
      <c r="E19" s="906"/>
      <c r="F19" s="918" t="s">
        <v>731</v>
      </c>
      <c r="G19" s="931" t="e">
        <f>G15+G17</f>
        <v>#N/A</v>
      </c>
      <c r="H19" s="895">
        <v>12</v>
      </c>
      <c r="I19" s="906"/>
      <c r="J19" s="919"/>
      <c r="K19" s="974"/>
      <c r="L19" s="906"/>
      <c r="M19" s="906"/>
    </row>
    <row r="20" spans="1:13" ht="15.75" customHeight="1" x14ac:dyDescent="0.35">
      <c r="A20" s="975" t="s">
        <v>732</v>
      </c>
      <c r="B20" s="976" t="e">
        <f>VLOOKUP($B$3,'2324 Funding Detail'!$A$4:$AB$20,17,(FALSE))</f>
        <v>#N/A</v>
      </c>
      <c r="C20" s="919"/>
      <c r="D20" s="922"/>
      <c r="E20" s="906">
        <v>5</v>
      </c>
      <c r="I20" s="906"/>
      <c r="J20" s="919"/>
      <c r="K20" s="974"/>
      <c r="L20" s="906"/>
      <c r="M20" s="906"/>
    </row>
    <row r="21" spans="1:13" ht="15.75" customHeight="1" x14ac:dyDescent="0.35">
      <c r="A21" s="906"/>
      <c r="E21" s="906"/>
      <c r="F21" s="929" t="s">
        <v>111</v>
      </c>
      <c r="G21" s="922"/>
      <c r="H21" s="906"/>
      <c r="I21" s="906"/>
      <c r="J21" s="919"/>
      <c r="K21" s="922"/>
      <c r="L21" s="906"/>
      <c r="M21" s="906"/>
    </row>
    <row r="22" spans="1:13" ht="15.75" customHeight="1" thickBot="1" x14ac:dyDescent="0.4">
      <c r="F22" s="930" t="s">
        <v>112</v>
      </c>
      <c r="G22" s="922"/>
      <c r="H22" s="972"/>
      <c r="I22" s="906"/>
      <c r="J22" s="919"/>
      <c r="K22" s="906"/>
      <c r="L22" s="906"/>
      <c r="M22" s="906"/>
    </row>
    <row r="23" spans="1:13" ht="15.75" customHeight="1" x14ac:dyDescent="0.35">
      <c r="A23" s="1606" t="s">
        <v>613</v>
      </c>
      <c r="B23" s="1595"/>
      <c r="C23" s="1595"/>
      <c r="D23" s="1596"/>
      <c r="E23" s="895">
        <v>6</v>
      </c>
      <c r="F23" s="907" t="s">
        <v>114</v>
      </c>
      <c r="G23" s="922" t="e">
        <f>VLOOKUP($B$3,'2324 Funding Detail'!$A$4:$AB$20,6,(FALSE))</f>
        <v>#N/A</v>
      </c>
      <c r="H23" s="912">
        <v>13</v>
      </c>
      <c r="J23" s="978"/>
      <c r="K23" s="922"/>
      <c r="L23" s="906"/>
      <c r="M23" s="906"/>
    </row>
    <row r="24" spans="1:13" ht="15.75" customHeight="1" x14ac:dyDescent="0.35">
      <c r="A24" s="1604"/>
      <c r="B24" s="1597"/>
      <c r="C24" s="1597"/>
      <c r="D24" s="1605"/>
      <c r="F24" s="907" t="s">
        <v>116</v>
      </c>
      <c r="G24" s="922" t="e">
        <f>VLOOKUP($B$3,'2324 Funding Detail'!$A$4:$AB$20,7,(FALSE))</f>
        <v>#N/A</v>
      </c>
      <c r="H24" s="912">
        <v>14</v>
      </c>
      <c r="I24" s="906"/>
      <c r="J24" s="978"/>
      <c r="K24" s="906"/>
      <c r="L24" s="906"/>
      <c r="M24" s="906"/>
    </row>
    <row r="25" spans="1:13" ht="15.75" customHeight="1" x14ac:dyDescent="0.35">
      <c r="A25" s="1600" t="s">
        <v>733</v>
      </c>
      <c r="B25" s="1601"/>
      <c r="C25" s="1601"/>
      <c r="D25" s="1602" t="e">
        <f>VLOOKUP(B3,'2122 3% MFG Calculation'!A5:AO24,40,FALSE)</f>
        <v>#N/A</v>
      </c>
      <c r="G25" s="907"/>
      <c r="H25" s="906"/>
      <c r="I25" s="906"/>
      <c r="J25" s="978"/>
      <c r="K25" s="906"/>
      <c r="L25" s="906"/>
      <c r="M25" s="906"/>
    </row>
    <row r="26" spans="1:13" ht="15.75" customHeight="1" thickBot="1" x14ac:dyDescent="0.4">
      <c r="A26" s="1603"/>
      <c r="B26" s="1598"/>
      <c r="C26" s="1598"/>
      <c r="D26" s="1599"/>
      <c r="F26" s="977" t="s">
        <v>118</v>
      </c>
      <c r="G26" s="922"/>
      <c r="H26" s="912"/>
      <c r="I26" s="906"/>
      <c r="J26" s="978"/>
      <c r="K26" s="906"/>
      <c r="L26" s="906"/>
      <c r="M26" s="906"/>
    </row>
    <row r="27" spans="1:13" ht="15.75" customHeight="1" x14ac:dyDescent="0.35">
      <c r="A27" s="906"/>
      <c r="B27" s="907"/>
      <c r="C27" s="907"/>
      <c r="D27" s="907"/>
      <c r="F27" s="907" t="s">
        <v>10</v>
      </c>
      <c r="G27" s="922" t="e">
        <f>VLOOKUP($B$3,'Other Funding'!$A$7:$V$25,19,(FALSE))</f>
        <v>#N/A</v>
      </c>
      <c r="H27" s="912">
        <v>15</v>
      </c>
      <c r="I27" s="906"/>
      <c r="J27" s="978"/>
      <c r="K27" s="906"/>
      <c r="L27" s="906"/>
      <c r="M27" s="906"/>
    </row>
    <row r="28" spans="1:13" ht="15.75" customHeight="1" x14ac:dyDescent="0.35">
      <c r="A28" s="906"/>
      <c r="B28" s="908"/>
      <c r="C28" s="907"/>
      <c r="D28" s="1300"/>
      <c r="F28" s="907" t="s">
        <v>8</v>
      </c>
      <c r="G28" s="922" t="e">
        <f>VLOOKUP($B$3,'Other Funding'!$A$7:$V$25,20,(FALSE))</f>
        <v>#N/A</v>
      </c>
      <c r="H28" s="912">
        <v>16</v>
      </c>
      <c r="I28" s="906"/>
      <c r="J28" s="978"/>
      <c r="K28" s="906"/>
      <c r="L28" s="906"/>
      <c r="M28" s="906"/>
    </row>
    <row r="29" spans="1:13" ht="15.75" customHeight="1" thickBot="1" x14ac:dyDescent="0.4">
      <c r="A29" s="906"/>
      <c r="E29" s="906"/>
      <c r="F29" s="907" t="s">
        <v>11</v>
      </c>
      <c r="G29" s="979" t="e">
        <f>VLOOKUP($B$3,'Other Funding'!$A$7:$V$25,21,(FALSE))</f>
        <v>#N/A</v>
      </c>
      <c r="H29" s="912">
        <v>17</v>
      </c>
      <c r="I29" s="906"/>
      <c r="J29" s="907"/>
      <c r="K29" s="922"/>
      <c r="L29" s="906"/>
      <c r="M29" s="906"/>
    </row>
    <row r="30" spans="1:13" ht="15.75" customHeight="1" thickBot="1" x14ac:dyDescent="0.4">
      <c r="A30" s="906"/>
      <c r="B30" s="981" t="s">
        <v>734</v>
      </c>
      <c r="C30" s="982"/>
      <c r="D30" s="983" t="e">
        <f>VLOOKUP(B3,'2324 Funding Detail'!A4:AB20,3,(FALSE))</f>
        <v>#N/A</v>
      </c>
      <c r="E30" s="906">
        <v>7</v>
      </c>
      <c r="F30" s="907" t="s">
        <v>121</v>
      </c>
      <c r="G30" s="980" t="e">
        <f>SUM(G23:G29)</f>
        <v>#N/A</v>
      </c>
      <c r="H30" s="906">
        <v>18</v>
      </c>
      <c r="I30" s="906"/>
      <c r="J30" s="907"/>
      <c r="K30" s="906"/>
      <c r="L30" s="906"/>
      <c r="M30" s="906"/>
    </row>
    <row r="31" spans="1:13" ht="15.75" customHeight="1" thickBot="1" x14ac:dyDescent="0.4">
      <c r="A31" s="975"/>
      <c r="B31" s="911"/>
      <c r="D31" s="911"/>
      <c r="E31" s="906"/>
      <c r="F31" s="907"/>
      <c r="G31" s="922"/>
      <c r="H31" s="906"/>
      <c r="I31" s="906"/>
      <c r="J31" s="907"/>
      <c r="K31" s="906"/>
      <c r="L31" s="906"/>
      <c r="M31" s="906"/>
    </row>
    <row r="32" spans="1:13" ht="15.75" customHeight="1" x14ac:dyDescent="0.35">
      <c r="A32" s="906"/>
      <c r="B32" s="933" t="s">
        <v>125</v>
      </c>
      <c r="C32" s="984"/>
      <c r="D32" s="985" t="s">
        <v>126</v>
      </c>
      <c r="E32" s="906">
        <v>8</v>
      </c>
      <c r="F32" s="908" t="s">
        <v>640</v>
      </c>
      <c r="G32" s="1370" t="e">
        <f>G19+G30</f>
        <v>#N/A</v>
      </c>
      <c r="H32" s="906">
        <v>19</v>
      </c>
      <c r="I32" s="906"/>
      <c r="J32" s="907"/>
      <c r="K32" s="906"/>
      <c r="L32" s="906"/>
      <c r="M32" s="906"/>
    </row>
    <row r="33" spans="1:14" ht="15.75" customHeight="1" x14ac:dyDescent="0.35">
      <c r="A33" s="975"/>
      <c r="B33" s="932" t="s">
        <v>735</v>
      </c>
      <c r="C33" s="986"/>
      <c r="D33" s="987" t="e">
        <f>VLOOKUP($B$3,'2324 Band Calculations'!$A$6:$J$22,4,(FALSE))</f>
        <v>#N/A</v>
      </c>
      <c r="E33" s="906"/>
      <c r="I33" s="906"/>
      <c r="K33" s="906"/>
      <c r="L33" s="906"/>
      <c r="M33" s="906"/>
    </row>
    <row r="34" spans="1:14" ht="15.75" customHeight="1" x14ac:dyDescent="0.35">
      <c r="A34" s="906"/>
      <c r="B34" s="932" t="s">
        <v>736</v>
      </c>
      <c r="C34" s="986"/>
      <c r="D34" s="987" t="e">
        <f>VLOOKUP($B$3,'2324 Band Calculations'!$A$6:$J$22,5,(FALSE))</f>
        <v>#N/A</v>
      </c>
      <c r="E34" s="906"/>
      <c r="I34" s="906"/>
      <c r="J34" s="930"/>
      <c r="K34" s="906"/>
      <c r="L34" s="906"/>
      <c r="M34" s="975"/>
      <c r="N34" s="989"/>
    </row>
    <row r="35" spans="1:14" ht="15.75" customHeight="1" x14ac:dyDescent="0.35">
      <c r="B35" s="932" t="s">
        <v>737</v>
      </c>
      <c r="C35" s="986"/>
      <c r="D35" s="987" t="e">
        <f>VLOOKUP($B$3,'2324 Band Calculations'!$A$6:$J$22,6,(FALSE))</f>
        <v>#N/A</v>
      </c>
      <c r="E35" s="906"/>
      <c r="I35" s="906"/>
      <c r="J35" s="930"/>
      <c r="K35" s="906"/>
      <c r="L35" s="906"/>
      <c r="M35" s="975"/>
      <c r="N35" s="991"/>
    </row>
    <row r="36" spans="1:14" ht="15.75" customHeight="1" thickBot="1" x14ac:dyDescent="0.4">
      <c r="A36" s="975"/>
      <c r="B36" s="932" t="s">
        <v>738</v>
      </c>
      <c r="C36" s="986"/>
      <c r="D36" s="987" t="e">
        <f>VLOOKUP($B$3,'2324 Band Calculations'!$A$6:$J$22,7,(FALSE))</f>
        <v>#N/A</v>
      </c>
      <c r="E36" s="906"/>
      <c r="G36" s="988"/>
      <c r="I36" s="906"/>
      <c r="J36" s="919"/>
      <c r="K36" s="906"/>
      <c r="L36" s="906"/>
      <c r="M36" s="975"/>
      <c r="N36" s="989"/>
    </row>
    <row r="37" spans="1:14" ht="15.75" customHeight="1" x14ac:dyDescent="0.35">
      <c r="B37" s="932" t="s">
        <v>739</v>
      </c>
      <c r="C37" s="986"/>
      <c r="D37" s="987" t="e">
        <f>VLOOKUP($B$3,'2324 Band Calculations'!$A$6:$J$22,8,(FALSE))</f>
        <v>#N/A</v>
      </c>
      <c r="E37" s="906"/>
      <c r="F37" s="933" t="s">
        <v>740</v>
      </c>
      <c r="G37" s="990" t="s">
        <v>128</v>
      </c>
      <c r="H37" s="974"/>
      <c r="I37" s="906"/>
      <c r="J37" s="919"/>
      <c r="K37" s="906"/>
      <c r="L37" s="906"/>
      <c r="M37" s="906"/>
    </row>
    <row r="38" spans="1:14" ht="15.75" customHeight="1" x14ac:dyDescent="0.35">
      <c r="A38" s="906"/>
      <c r="B38" s="935" t="s">
        <v>741</v>
      </c>
      <c r="C38" s="993"/>
      <c r="D38" s="994" t="e">
        <f>VLOOKUP($B$3,'2324 Band Calculations'!$A$6:$J$22,9,(FALSE))</f>
        <v>#N/A</v>
      </c>
      <c r="E38" s="906"/>
      <c r="F38" s="934" t="s">
        <v>742</v>
      </c>
      <c r="G38" s="992" t="e">
        <f>VLOOKUP(B3,'2324 Band Calculations'!A6:K22,11,(FALSE))</f>
        <v>#N/A</v>
      </c>
      <c r="H38" s="906">
        <v>20</v>
      </c>
      <c r="I38" s="906"/>
      <c r="J38" s="919"/>
      <c r="K38" s="906"/>
      <c r="L38" s="906"/>
      <c r="M38" s="906"/>
    </row>
    <row r="39" spans="1:14" ht="15.75" customHeight="1" thickBot="1" x14ac:dyDescent="0.4">
      <c r="A39" s="906"/>
      <c r="B39" s="936" t="s">
        <v>743</v>
      </c>
      <c r="C39" s="995"/>
      <c r="D39" s="996" t="e">
        <f>VLOOKUP($B$3,'2324 Band Calculations'!$A$6:$J$22,10,(FALSE))</f>
        <v>#N/A</v>
      </c>
      <c r="E39" s="906"/>
      <c r="F39" s="934" t="s">
        <v>744</v>
      </c>
      <c r="G39" s="992" t="e">
        <f>VLOOKUP(B3,'2324 Band Calculations'!A48:K64,11,(FALSE))</f>
        <v>#N/A</v>
      </c>
      <c r="H39" s="906"/>
      <c r="I39" s="906"/>
      <c r="J39" s="919"/>
      <c r="K39" s="906"/>
      <c r="L39" s="906"/>
      <c r="M39" s="906"/>
    </row>
    <row r="40" spans="1:14" ht="15.75" customHeight="1" thickTop="1" thickBot="1" x14ac:dyDescent="0.4">
      <c r="A40" s="906"/>
      <c r="B40" s="922"/>
      <c r="C40" s="922"/>
      <c r="D40" s="997"/>
      <c r="E40" s="906"/>
      <c r="F40" s="934"/>
      <c r="G40" s="992"/>
      <c r="H40" s="906"/>
      <c r="I40" s="906"/>
      <c r="J40" s="919"/>
      <c r="K40" s="906"/>
      <c r="L40" s="906"/>
      <c r="M40" s="906"/>
    </row>
    <row r="41" spans="1:14" ht="15.75" customHeight="1" x14ac:dyDescent="0.35">
      <c r="A41" s="906"/>
      <c r="B41" s="937" t="s">
        <v>133</v>
      </c>
      <c r="C41" s="984"/>
      <c r="D41" s="998" t="s">
        <v>134</v>
      </c>
      <c r="E41" s="906">
        <v>9</v>
      </c>
      <c r="F41" s="934" t="s">
        <v>745</v>
      </c>
      <c r="G41" s="992" t="e">
        <f>VLOOKUP(B3,'2324 Band Calculations'!A27:K43,11,(FALSE))</f>
        <v>#N/A</v>
      </c>
      <c r="H41" s="906">
        <v>21</v>
      </c>
      <c r="I41" s="906"/>
      <c r="J41" s="919"/>
      <c r="K41" s="906"/>
      <c r="L41" s="906"/>
      <c r="M41" s="906"/>
    </row>
    <row r="42" spans="1:14" ht="15.75" customHeight="1" thickBot="1" x14ac:dyDescent="0.4">
      <c r="A42" s="906"/>
      <c r="B42" s="939" t="s">
        <v>136</v>
      </c>
      <c r="C42" s="1000"/>
      <c r="D42" s="1001" t="e">
        <f>VLOOKUP(B3,'2324 Funding Detail'!A4:P20,16,(FALSE))</f>
        <v>#N/A</v>
      </c>
      <c r="E42" s="906"/>
      <c r="F42" s="938" t="s">
        <v>746</v>
      </c>
      <c r="G42" s="999" t="e">
        <f>VLOOKUP(B3,'2324 Band Calculations'!A69:K85,11,(FALSE))</f>
        <v>#N/A</v>
      </c>
      <c r="H42" s="906"/>
    </row>
    <row r="43" spans="1:14" ht="15.75" customHeight="1" x14ac:dyDescent="0.35">
      <c r="A43" s="906"/>
      <c r="B43" s="922"/>
      <c r="C43" s="922"/>
      <c r="D43" s="925"/>
      <c r="E43" s="906"/>
    </row>
    <row r="44" spans="1:14" ht="15.75" customHeight="1" thickBot="1" x14ac:dyDescent="0.4">
      <c r="A44" s="906"/>
      <c r="B44" s="922"/>
      <c r="C44" s="922"/>
      <c r="D44" s="925"/>
      <c r="E44" s="906"/>
      <c r="F44" s="906"/>
      <c r="G44" s="922"/>
    </row>
    <row r="45" spans="1:14" ht="15.75" customHeight="1" x14ac:dyDescent="0.35">
      <c r="A45" s="1002" t="s">
        <v>747</v>
      </c>
      <c r="B45" s="1522" t="s">
        <v>35</v>
      </c>
      <c r="C45" s="1003"/>
      <c r="D45" s="1522" t="s">
        <v>36</v>
      </c>
      <c r="E45" s="940" t="s">
        <v>140</v>
      </c>
      <c r="F45" s="941"/>
      <c r="G45" s="942"/>
    </row>
    <row r="46" spans="1:14" ht="15.75" customHeight="1" x14ac:dyDescent="0.35">
      <c r="A46" s="1004" t="s">
        <v>139</v>
      </c>
      <c r="B46" s="1523"/>
      <c r="C46" s="1005"/>
      <c r="D46" s="1523"/>
      <c r="E46" s="943"/>
      <c r="F46" s="944"/>
      <c r="G46" s="945"/>
      <c r="H46" s="907"/>
    </row>
    <row r="47" spans="1:14" ht="15.75" customHeight="1" x14ac:dyDescent="0.35">
      <c r="A47" s="932" t="s">
        <v>735</v>
      </c>
      <c r="B47" s="955" t="s">
        <v>46</v>
      </c>
      <c r="C47" s="955"/>
      <c r="D47" s="1006">
        <f>'2324 Band Calculations'!G88</f>
        <v>6630</v>
      </c>
      <c r="E47" s="946" t="s">
        <v>143</v>
      </c>
      <c r="F47" s="947"/>
      <c r="G47" s="948"/>
      <c r="H47" s="973">
        <v>22</v>
      </c>
    </row>
    <row r="48" spans="1:14" ht="15.75" customHeight="1" x14ac:dyDescent="0.35">
      <c r="A48" s="932" t="s">
        <v>736</v>
      </c>
      <c r="B48" s="955" t="s">
        <v>43</v>
      </c>
      <c r="C48" s="955"/>
      <c r="D48" s="1006">
        <f>'2324 Band Calculations'!G90</f>
        <v>7894</v>
      </c>
      <c r="E48" s="946" t="s">
        <v>142</v>
      </c>
      <c r="F48" s="947"/>
      <c r="G48" s="948"/>
      <c r="H48" s="907"/>
    </row>
    <row r="49" spans="1:16" ht="15.75" customHeight="1" x14ac:dyDescent="0.35">
      <c r="A49" s="932" t="s">
        <v>748</v>
      </c>
      <c r="B49" s="1007" t="s">
        <v>749</v>
      </c>
      <c r="C49" s="955"/>
      <c r="D49" s="1006">
        <f>'2324 Band Calculations'!G92</f>
        <v>15567</v>
      </c>
      <c r="E49" s="946" t="s">
        <v>750</v>
      </c>
      <c r="F49" s="947"/>
      <c r="G49" s="948"/>
      <c r="H49" s="907"/>
    </row>
    <row r="50" spans="1:16" ht="15.75" customHeight="1" x14ac:dyDescent="0.35">
      <c r="A50" s="932" t="s">
        <v>738</v>
      </c>
      <c r="B50" s="946" t="s">
        <v>751</v>
      </c>
      <c r="C50" s="955"/>
      <c r="D50" s="1006">
        <f>'2324 Band Calculations'!G94</f>
        <v>15892</v>
      </c>
      <c r="E50" s="946" t="s">
        <v>752</v>
      </c>
      <c r="F50" s="947"/>
      <c r="G50" s="948"/>
    </row>
    <row r="51" spans="1:16" ht="15.75" customHeight="1" x14ac:dyDescent="0.35">
      <c r="A51" s="932" t="s">
        <v>739</v>
      </c>
      <c r="B51" s="955" t="s">
        <v>751</v>
      </c>
      <c r="C51" s="955"/>
      <c r="D51" s="1006">
        <f>'2324 Band Calculations'!G96</f>
        <v>15892</v>
      </c>
      <c r="E51" s="946" t="s">
        <v>752</v>
      </c>
      <c r="F51" s="947"/>
      <c r="G51" s="948"/>
    </row>
    <row r="52" spans="1:16" ht="15.75" customHeight="1" x14ac:dyDescent="0.35">
      <c r="A52" s="935" t="s">
        <v>741</v>
      </c>
      <c r="B52" s="946" t="s">
        <v>751</v>
      </c>
      <c r="C52" s="955"/>
      <c r="D52" s="1006">
        <f>'2324 Band Calculations'!G98</f>
        <v>17018</v>
      </c>
      <c r="E52" s="949" t="s">
        <v>753</v>
      </c>
      <c r="F52" s="950"/>
      <c r="G52" s="951"/>
    </row>
    <row r="53" spans="1:16" ht="15.75" customHeight="1" thickBot="1" x14ac:dyDescent="0.4">
      <c r="A53" s="939" t="s">
        <v>743</v>
      </c>
      <c r="B53" s="961" t="s">
        <v>671</v>
      </c>
      <c r="C53" s="961"/>
      <c r="D53" s="1012">
        <f>'2324 Band Calculations'!G100</f>
        <v>24406</v>
      </c>
      <c r="E53" s="1042" t="s">
        <v>672</v>
      </c>
      <c r="F53" s="1043"/>
      <c r="G53" s="1044"/>
    </row>
    <row r="54" spans="1:16" ht="15.75" customHeight="1" thickBot="1" x14ac:dyDescent="0.4">
      <c r="P54" s="907"/>
    </row>
    <row r="55" spans="1:16" ht="15.75" customHeight="1" x14ac:dyDescent="0.35">
      <c r="A55" s="952" t="s">
        <v>754</v>
      </c>
      <c r="B55" s="1008" t="s">
        <v>58</v>
      </c>
      <c r="C55" s="953"/>
      <c r="D55" s="1009" t="s">
        <v>59</v>
      </c>
      <c r="E55" s="953"/>
      <c r="F55" s="990" t="s">
        <v>755</v>
      </c>
      <c r="G55" s="895">
        <v>23</v>
      </c>
      <c r="P55" s="907"/>
    </row>
    <row r="56" spans="1:16" ht="15.75" customHeight="1" x14ac:dyDescent="0.35">
      <c r="A56" s="954" t="s">
        <v>756</v>
      </c>
      <c r="B56" s="1006">
        <f>'School Size Ranges (2324)'!H30</f>
        <v>325943.5</v>
      </c>
      <c r="C56" s="955"/>
      <c r="D56" s="1006">
        <f>'School Size Ranges (2324)'!I30</f>
        <v>106090</v>
      </c>
      <c r="E56" s="1082"/>
      <c r="F56" s="1085">
        <f>'School Size Ranges (2324)'!E30</f>
        <v>679800</v>
      </c>
      <c r="G56" s="956"/>
      <c r="P56" s="907"/>
    </row>
    <row r="57" spans="1:16" ht="15.75" customHeight="1" x14ac:dyDescent="0.35">
      <c r="A57" s="954" t="s">
        <v>757</v>
      </c>
      <c r="B57" s="1006">
        <f>'School Size Ranges (2324)'!H31</f>
        <v>362699.05000000005</v>
      </c>
      <c r="C57" s="955"/>
      <c r="D57" s="1006">
        <f>'School Size Ranges (2324)'!I31</f>
        <v>111394.5</v>
      </c>
      <c r="E57" s="1082"/>
      <c r="F57" s="1085">
        <f>'School Size Ranges (2324)'!E31</f>
        <v>793100.00000000012</v>
      </c>
      <c r="G57" s="1010"/>
      <c r="P57" s="907"/>
    </row>
    <row r="58" spans="1:16" ht="15.75" customHeight="1" x14ac:dyDescent="0.35">
      <c r="A58" s="954" t="s">
        <v>758</v>
      </c>
      <c r="B58" s="1006">
        <f>'School Size Ranges (2324)'!H32</f>
        <v>399454.60000000003</v>
      </c>
      <c r="C58" s="955"/>
      <c r="D58" s="1006">
        <f>'School Size Ranges (2324)'!I32</f>
        <v>116699</v>
      </c>
      <c r="E58" s="1082"/>
      <c r="F58" s="1085">
        <f>'School Size Ranges (2324)'!E32</f>
        <v>1076350.0000000002</v>
      </c>
      <c r="G58" s="1010"/>
      <c r="P58" s="907"/>
    </row>
    <row r="59" spans="1:16" ht="15.75" customHeight="1" x14ac:dyDescent="0.35">
      <c r="A59" s="954" t="s">
        <v>759</v>
      </c>
      <c r="B59" s="1006">
        <f>'School Size Ranges (2324)'!H33</f>
        <v>438718.2</v>
      </c>
      <c r="C59" s="955"/>
      <c r="D59" s="1006">
        <f>'School Size Ranges (2324)'!I33</f>
        <v>122003.5</v>
      </c>
      <c r="E59" s="1082"/>
      <c r="F59" s="1085">
        <f>'School Size Ranges (2324)'!E33</f>
        <v>1246300</v>
      </c>
      <c r="G59" s="1010"/>
      <c r="P59" s="907"/>
    </row>
    <row r="60" spans="1:16" ht="15.75" customHeight="1" x14ac:dyDescent="0.35">
      <c r="A60" s="954" t="s">
        <v>760</v>
      </c>
      <c r="B60" s="1006">
        <f>'School Size Ranges (2324)'!H34</f>
        <v>477981.8</v>
      </c>
      <c r="C60" s="955"/>
      <c r="D60" s="1006">
        <f>'School Size Ranges (2324)'!I34</f>
        <v>127308</v>
      </c>
      <c r="E60" s="1082"/>
      <c r="F60" s="1085">
        <f>'School Size Ranges (2324)'!E34</f>
        <v>1586200.0000000002</v>
      </c>
      <c r="G60" s="1010"/>
      <c r="P60" s="907"/>
    </row>
    <row r="61" spans="1:16" ht="15.75" customHeight="1" x14ac:dyDescent="0.35">
      <c r="A61" s="954" t="s">
        <v>761</v>
      </c>
      <c r="B61" s="1006">
        <f>'School Size Ranges (2324)'!H35</f>
        <v>522601.4</v>
      </c>
      <c r="C61" s="955"/>
      <c r="D61" s="1006">
        <f>'School Size Ranges (2324)'!I35</f>
        <v>137917</v>
      </c>
      <c r="E61" s="1082"/>
      <c r="F61" s="1085">
        <f>'School Size Ranges (2324)'!E35</f>
        <v>1812800.0000000002</v>
      </c>
      <c r="G61" s="1010"/>
      <c r="P61" s="907"/>
    </row>
    <row r="62" spans="1:16" ht="15.75" customHeight="1" x14ac:dyDescent="0.35">
      <c r="A62" s="954" t="s">
        <v>762</v>
      </c>
      <c r="B62" s="1006">
        <f>'School Size Ranges (2324)'!H36</f>
        <v>567221</v>
      </c>
      <c r="C62" s="955"/>
      <c r="D62" s="1006">
        <f>'School Size Ranges (2324)'!I36</f>
        <v>148526</v>
      </c>
      <c r="E62" s="1082"/>
      <c r="F62" s="1085">
        <f>'School Size Ranges (2324)'!E36</f>
        <v>2209350</v>
      </c>
      <c r="G62" s="1010"/>
      <c r="P62" s="907"/>
    </row>
    <row r="63" spans="1:16" ht="15.75" customHeight="1" x14ac:dyDescent="0.35">
      <c r="A63" s="954" t="s">
        <v>763</v>
      </c>
      <c r="B63" s="1006">
        <f>'School Size Ranges (2324)'!H37</f>
        <v>615208.69999999995</v>
      </c>
      <c r="C63" s="955"/>
      <c r="D63" s="1006">
        <f>'School Size Ranges (2324)'!I37</f>
        <v>153830.5</v>
      </c>
      <c r="E63" s="1082"/>
      <c r="F63" s="1085">
        <f>'School Size Ranges (2324)'!E37</f>
        <v>2492600</v>
      </c>
      <c r="G63" s="1010"/>
    </row>
    <row r="64" spans="1:16" ht="15.75" customHeight="1" x14ac:dyDescent="0.35">
      <c r="A64" s="954" t="s">
        <v>764</v>
      </c>
      <c r="B64" s="1006">
        <f>'School Size Ranges (2324)'!H38</f>
        <v>663196.4</v>
      </c>
      <c r="C64" s="955"/>
      <c r="D64" s="1006">
        <f>'School Size Ranges (2324)'!I38</f>
        <v>159135</v>
      </c>
      <c r="E64" s="1082"/>
      <c r="F64" s="1085">
        <f>'School Size Ranges (2324)'!E38</f>
        <v>2945800</v>
      </c>
      <c r="G64" s="1010"/>
    </row>
    <row r="65" spans="1:10" ht="15.75" customHeight="1" x14ac:dyDescent="0.35">
      <c r="A65" s="957"/>
      <c r="B65" s="1011"/>
      <c r="C65" s="958"/>
      <c r="D65" s="1011"/>
      <c r="E65" s="958"/>
      <c r="F65" s="959"/>
      <c r="G65" s="1010"/>
    </row>
    <row r="66" spans="1:10" ht="15.75" customHeight="1" x14ac:dyDescent="0.35">
      <c r="A66" s="954" t="str">
        <f>'2122 Group Sizes'!C61</f>
        <v>PFI School Size 3</v>
      </c>
      <c r="B66" s="1086">
        <f>'School Size Ranges (2324)'!J30</f>
        <v>285600.46000000002</v>
      </c>
      <c r="C66" s="955"/>
      <c r="D66" s="1006">
        <f>'School Size Ranges (2324)'!K30</f>
        <v>91206.5</v>
      </c>
      <c r="E66" s="955"/>
      <c r="F66" s="1085">
        <f>'School Size Ranges (2324)'!E30</f>
        <v>679800</v>
      </c>
      <c r="G66" s="895">
        <v>24</v>
      </c>
    </row>
    <row r="67" spans="1:10" ht="15.75" customHeight="1" x14ac:dyDescent="0.35">
      <c r="A67" s="954" t="str">
        <f>'2122 Group Sizes'!C62</f>
        <v>PFI School Size 3 Transition Point</v>
      </c>
      <c r="B67" s="1086">
        <f>'School Size Ranges (2324)'!J31</f>
        <v>330775.23</v>
      </c>
      <c r="C67" s="955"/>
      <c r="D67" s="1006">
        <f>'School Size Ranges (2324)'!K31</f>
        <v>91206.5</v>
      </c>
      <c r="E67" s="955"/>
      <c r="F67" s="1085">
        <f>'School Size Ranges (2324)'!E31</f>
        <v>793100.00000000012</v>
      </c>
    </row>
    <row r="68" spans="1:10" ht="15.75" customHeight="1" x14ac:dyDescent="0.35">
      <c r="A68" s="954" t="str">
        <f>'2122 Group Sizes'!C63</f>
        <v>PFI School Size 4</v>
      </c>
      <c r="B68" s="1086">
        <f>'School Size Ranges (2324)'!J32</f>
        <v>375950</v>
      </c>
      <c r="C68" s="955"/>
      <c r="D68" s="1006">
        <f>'School Size Ranges (2324)'!K32</f>
        <v>91206.5</v>
      </c>
      <c r="E68" s="955"/>
      <c r="F68" s="1085">
        <f>'School Size Ranges (2324)'!E32</f>
        <v>1076350.0000000002</v>
      </c>
    </row>
    <row r="69" spans="1:10" ht="15.75" customHeight="1" x14ac:dyDescent="0.35">
      <c r="A69" s="954" t="str">
        <f>'2122 Group Sizes'!C64</f>
        <v>PFI School Size 4 Transition Point</v>
      </c>
      <c r="B69" s="1086">
        <f>'School Size Ranges (2324)'!J33</f>
        <v>394773.25</v>
      </c>
      <c r="C69" s="955"/>
      <c r="D69" s="1006">
        <f>'School Size Ranges (2324)'!K33</f>
        <v>91206.5</v>
      </c>
      <c r="E69" s="955"/>
      <c r="F69" s="1085">
        <f>'School Size Ranges (2324)'!E33</f>
        <v>1246300</v>
      </c>
    </row>
    <row r="70" spans="1:10" ht="15.75" customHeight="1" thickBot="1" x14ac:dyDescent="0.4">
      <c r="A70" s="960" t="str">
        <f>'2122 Group Sizes'!C65</f>
        <v>PFI School Size 5</v>
      </c>
      <c r="B70" s="1087">
        <f>'School Size Ranges (2324)'!J34</f>
        <v>413596.5</v>
      </c>
      <c r="C70" s="961"/>
      <c r="D70" s="1012">
        <f>'School Size Ranges (2324)'!K34</f>
        <v>91206.5</v>
      </c>
      <c r="E70" s="961"/>
      <c r="F70" s="1088">
        <f>'School Size Ranges (2324)'!E34</f>
        <v>1586200.0000000002</v>
      </c>
    </row>
    <row r="73" spans="1:10" ht="15.75" customHeight="1" x14ac:dyDescent="0.35">
      <c r="H73" s="1013"/>
    </row>
    <row r="74" spans="1:10" ht="15.75" customHeight="1" x14ac:dyDescent="0.35">
      <c r="H74" s="1013"/>
      <c r="I74" s="910"/>
      <c r="J74" s="910"/>
    </row>
    <row r="75" spans="1:10" ht="15.75" customHeight="1" x14ac:dyDescent="0.35">
      <c r="H75" s="1013"/>
    </row>
    <row r="76" spans="1:10" ht="15.5" x14ac:dyDescent="0.35">
      <c r="A76" s="1517" t="s">
        <v>765</v>
      </c>
      <c r="B76" s="1518"/>
      <c r="C76" s="1518"/>
      <c r="D76" s="1518"/>
      <c r="E76" s="1518"/>
      <c r="F76" s="1518"/>
      <c r="G76" s="1339"/>
      <c r="H76" s="1013"/>
    </row>
    <row r="77" spans="1:10" ht="15.75" customHeight="1" x14ac:dyDescent="0.35">
      <c r="A77" s="966"/>
      <c r="B77" s="966"/>
      <c r="C77" s="966"/>
      <c r="D77" s="966"/>
      <c r="E77" s="966"/>
      <c r="F77" s="966"/>
      <c r="G77" s="966"/>
      <c r="H77" s="1013"/>
    </row>
    <row r="78" spans="1:10" ht="298.5" customHeight="1" x14ac:dyDescent="0.35">
      <c r="A78" s="1519" t="s">
        <v>1678</v>
      </c>
      <c r="B78" s="1520"/>
      <c r="C78" s="1520"/>
      <c r="D78" s="1520"/>
      <c r="E78" s="1520"/>
      <c r="F78" s="1520"/>
      <c r="G78" s="1341"/>
    </row>
    <row r="79" spans="1:10" ht="15.75" customHeight="1" x14ac:dyDescent="0.35">
      <c r="A79" s="1014"/>
      <c r="B79" s="1014"/>
      <c r="C79" s="1014"/>
      <c r="D79" s="1014"/>
      <c r="E79" s="1014"/>
      <c r="F79" s="1014"/>
      <c r="G79" s="1014"/>
      <c r="H79" s="1013"/>
    </row>
    <row r="80" spans="1:10" ht="31.5" customHeight="1" x14ac:dyDescent="0.35">
      <c r="A80" s="1517" t="s">
        <v>766</v>
      </c>
      <c r="B80" s="1518"/>
      <c r="C80" s="1518"/>
      <c r="D80" s="1518"/>
      <c r="E80" s="1518"/>
      <c r="F80" s="1518"/>
      <c r="G80" s="1339"/>
      <c r="H80" s="1013"/>
    </row>
    <row r="81" spans="1:8" ht="15.75" customHeight="1" x14ac:dyDescent="0.35">
      <c r="A81" s="1014"/>
      <c r="B81" s="1014"/>
      <c r="C81" s="1014"/>
      <c r="D81" s="1014"/>
      <c r="E81" s="1014"/>
      <c r="F81" s="1014"/>
      <c r="G81" s="1014"/>
      <c r="H81" s="1015"/>
    </row>
    <row r="82" spans="1:8" ht="42.75" customHeight="1" x14ac:dyDescent="0.35">
      <c r="A82" s="1525" t="s">
        <v>767</v>
      </c>
      <c r="B82" s="1525"/>
      <c r="C82" s="1525"/>
      <c r="D82" s="1525"/>
      <c r="E82" s="1525"/>
      <c r="F82" s="1525"/>
      <c r="G82" s="965"/>
      <c r="H82" s="1015"/>
    </row>
    <row r="83" spans="1:8" ht="15.75" customHeight="1" x14ac:dyDescent="0.35">
      <c r="A83" s="966"/>
      <c r="B83" s="962"/>
      <c r="C83" s="962"/>
      <c r="D83" s="962"/>
      <c r="E83" s="962"/>
      <c r="F83" s="962"/>
      <c r="G83" s="962"/>
      <c r="H83" s="1015"/>
    </row>
    <row r="84" spans="1:8" ht="90.75" customHeight="1" x14ac:dyDescent="0.35">
      <c r="A84" s="1519" t="s">
        <v>1679</v>
      </c>
      <c r="B84" s="1520"/>
      <c r="C84" s="1520"/>
      <c r="D84" s="1520"/>
      <c r="E84" s="1520"/>
      <c r="F84" s="1520"/>
      <c r="G84" s="1341"/>
      <c r="H84" s="1015"/>
    </row>
    <row r="85" spans="1:8" ht="15.75" customHeight="1" x14ac:dyDescent="0.35">
      <c r="A85" s="966"/>
      <c r="B85" s="966"/>
      <c r="C85" s="966"/>
      <c r="D85" s="966"/>
      <c r="E85" s="966"/>
      <c r="F85" s="966"/>
      <c r="G85" s="966"/>
      <c r="H85" s="1015"/>
    </row>
    <row r="86" spans="1:8" ht="65.150000000000006" customHeight="1" x14ac:dyDescent="0.35">
      <c r="A86" s="1520" t="s">
        <v>768</v>
      </c>
      <c r="B86" s="1520"/>
      <c r="C86" s="1520"/>
      <c r="D86" s="1520"/>
      <c r="E86" s="1520"/>
      <c r="F86" s="1520"/>
      <c r="G86" s="966"/>
      <c r="H86" s="1015"/>
    </row>
    <row r="87" spans="1:8" ht="15.75" customHeight="1" x14ac:dyDescent="0.35">
      <c r="A87" s="966"/>
      <c r="B87" s="966"/>
      <c r="C87" s="966"/>
      <c r="D87" s="966"/>
      <c r="E87" s="966"/>
      <c r="F87" s="966"/>
      <c r="G87" s="966"/>
      <c r="H87" s="1015"/>
    </row>
    <row r="88" spans="1:8" ht="31.5" customHeight="1" x14ac:dyDescent="0.35">
      <c r="A88" s="1517" t="s">
        <v>769</v>
      </c>
      <c r="B88" s="1518"/>
      <c r="C88" s="1518"/>
      <c r="D88" s="1518"/>
      <c r="E88" s="1518"/>
      <c r="F88" s="1518"/>
      <c r="G88" s="1339"/>
      <c r="H88" s="1015"/>
    </row>
    <row r="89" spans="1:8" ht="15.75" customHeight="1" x14ac:dyDescent="0.35">
      <c r="A89" s="966"/>
      <c r="B89" s="966"/>
      <c r="C89" s="966"/>
      <c r="D89" s="966"/>
      <c r="E89" s="966"/>
      <c r="F89" s="966"/>
      <c r="G89" s="966"/>
      <c r="H89" s="1015"/>
    </row>
    <row r="90" spans="1:8" ht="43.5" customHeight="1" x14ac:dyDescent="0.35">
      <c r="A90" s="1519" t="s">
        <v>770</v>
      </c>
      <c r="B90" s="1520"/>
      <c r="C90" s="1520"/>
      <c r="D90" s="1520"/>
      <c r="E90" s="1520"/>
      <c r="F90" s="1520"/>
      <c r="G90" s="1341"/>
    </row>
    <row r="91" spans="1:8" ht="15.75" customHeight="1" x14ac:dyDescent="0.35">
      <c r="A91" s="966"/>
      <c r="B91" s="966"/>
      <c r="C91" s="966"/>
      <c r="D91" s="966"/>
      <c r="E91" s="966"/>
      <c r="F91" s="966"/>
      <c r="G91" s="966"/>
    </row>
    <row r="92" spans="1:8" ht="89.25" customHeight="1" x14ac:dyDescent="0.35">
      <c r="A92" s="1526" t="s">
        <v>771</v>
      </c>
      <c r="B92" s="1525"/>
      <c r="C92" s="1525"/>
      <c r="D92" s="1525"/>
      <c r="E92" s="1525"/>
      <c r="F92" s="1525"/>
      <c r="G92" s="965"/>
    </row>
    <row r="93" spans="1:8" ht="15.75" customHeight="1" x14ac:dyDescent="0.35">
      <c r="A93" s="963"/>
      <c r="B93" s="964"/>
      <c r="C93" s="964"/>
      <c r="D93" s="964"/>
      <c r="E93" s="964"/>
      <c r="F93" s="964"/>
      <c r="G93" s="965"/>
    </row>
    <row r="94" spans="1:8" ht="36.75" customHeight="1" x14ac:dyDescent="0.35">
      <c r="A94" s="1519" t="s">
        <v>772</v>
      </c>
      <c r="B94" s="1520"/>
      <c r="C94" s="1520"/>
      <c r="D94" s="1520"/>
      <c r="E94" s="1520"/>
      <c r="F94" s="1520"/>
      <c r="G94" s="1341"/>
    </row>
    <row r="95" spans="1:8" ht="15.75" customHeight="1" x14ac:dyDescent="0.35">
      <c r="A95" s="966"/>
      <c r="B95" s="966"/>
      <c r="C95" s="966"/>
      <c r="D95" s="966"/>
      <c r="E95" s="966"/>
      <c r="F95" s="966"/>
      <c r="G95" s="966"/>
    </row>
    <row r="96" spans="1:8" ht="64.5" customHeight="1" x14ac:dyDescent="0.35">
      <c r="A96" s="1520" t="s">
        <v>773</v>
      </c>
      <c r="B96" s="1520"/>
      <c r="C96" s="1520"/>
      <c r="D96" s="1520"/>
      <c r="E96" s="1520"/>
      <c r="F96" s="1520"/>
      <c r="G96" s="966"/>
    </row>
    <row r="97" spans="1:8" ht="15.75" customHeight="1" x14ac:dyDescent="0.35">
      <c r="A97" s="966"/>
      <c r="B97" s="966"/>
      <c r="C97" s="966"/>
      <c r="D97" s="966"/>
      <c r="E97" s="966"/>
      <c r="F97" s="966"/>
      <c r="G97" s="966"/>
    </row>
    <row r="98" spans="1:8" ht="15.75" customHeight="1" x14ac:dyDescent="0.35">
      <c r="A98" s="1524" t="s">
        <v>774</v>
      </c>
      <c r="B98" s="1518"/>
      <c r="C98" s="1518"/>
      <c r="D98" s="1518"/>
      <c r="E98" s="1518"/>
      <c r="F98" s="1518"/>
      <c r="G98" s="966"/>
    </row>
    <row r="99" spans="1:8" ht="15.75" customHeight="1" x14ac:dyDescent="0.35">
      <c r="G99" s="1341"/>
      <c r="H99" s="1015"/>
    </row>
    <row r="100" spans="1:8" ht="32.25" customHeight="1" x14ac:dyDescent="0.35">
      <c r="A100" s="1519" t="s">
        <v>775</v>
      </c>
      <c r="B100" s="1520"/>
      <c r="C100" s="1520"/>
      <c r="D100" s="1520"/>
      <c r="E100" s="1520"/>
      <c r="F100" s="1520"/>
      <c r="G100" s="966"/>
      <c r="H100" s="1015"/>
    </row>
    <row r="101" spans="1:8" ht="15.75" customHeight="1" x14ac:dyDescent="0.35">
      <c r="A101" s="1340"/>
      <c r="B101" s="962"/>
      <c r="C101" s="962"/>
      <c r="D101" s="962"/>
      <c r="E101" s="962"/>
      <c r="F101" s="962"/>
      <c r="G101" s="966"/>
      <c r="H101" s="1015"/>
    </row>
    <row r="102" spans="1:8" ht="33" customHeight="1" x14ac:dyDescent="0.35">
      <c r="A102" s="1519" t="s">
        <v>776</v>
      </c>
      <c r="B102" s="1520"/>
      <c r="C102" s="1520"/>
      <c r="D102" s="1520"/>
      <c r="E102" s="1520"/>
      <c r="F102" s="1520"/>
      <c r="G102" s="1341"/>
      <c r="H102" s="1015"/>
    </row>
    <row r="103" spans="1:8" ht="15.75" customHeight="1" x14ac:dyDescent="0.35">
      <c r="A103" s="966"/>
      <c r="B103" s="966"/>
      <c r="C103" s="966"/>
      <c r="D103" s="966"/>
      <c r="E103" s="966"/>
      <c r="F103" s="966"/>
      <c r="G103" s="966"/>
      <c r="H103" s="1015"/>
    </row>
    <row r="104" spans="1:8" ht="52.5" customHeight="1" x14ac:dyDescent="0.35">
      <c r="A104" s="1519" t="s">
        <v>777</v>
      </c>
      <c r="B104" s="1520"/>
      <c r="C104" s="1520"/>
      <c r="D104" s="1520"/>
      <c r="E104" s="1520"/>
      <c r="F104" s="1520"/>
      <c r="G104" s="1341"/>
      <c r="H104" s="1013"/>
    </row>
    <row r="105" spans="1:8" ht="15.75" customHeight="1" x14ac:dyDescent="0.35">
      <c r="A105" s="966"/>
      <c r="B105" s="966"/>
      <c r="C105" s="966"/>
      <c r="D105" s="966"/>
      <c r="E105" s="966"/>
      <c r="F105" s="966"/>
      <c r="G105" s="966"/>
      <c r="H105" s="1013"/>
    </row>
    <row r="106" spans="1:8" ht="37.5" customHeight="1" x14ac:dyDescent="0.35">
      <c r="A106" s="1519" t="s">
        <v>778</v>
      </c>
      <c r="B106" s="1520"/>
      <c r="C106" s="1520"/>
      <c r="D106" s="1520"/>
      <c r="E106" s="1520"/>
      <c r="F106" s="1520"/>
      <c r="G106" s="1341"/>
      <c r="H106" s="1013"/>
    </row>
    <row r="107" spans="1:8" ht="15.75" customHeight="1" x14ac:dyDescent="0.35">
      <c r="A107" s="966"/>
      <c r="B107" s="966"/>
      <c r="C107" s="966"/>
      <c r="D107" s="966"/>
      <c r="E107" s="966"/>
      <c r="F107" s="966"/>
      <c r="G107" s="966"/>
      <c r="H107" s="1013"/>
    </row>
    <row r="108" spans="1:8" ht="20.25" customHeight="1" x14ac:dyDescent="0.35">
      <c r="A108" s="1519" t="s">
        <v>779</v>
      </c>
      <c r="B108" s="1520"/>
      <c r="C108" s="1520"/>
      <c r="D108" s="1520"/>
      <c r="E108" s="1520"/>
      <c r="F108" s="1520"/>
      <c r="G108" s="1341"/>
      <c r="H108" s="1013"/>
    </row>
    <row r="109" spans="1:8" ht="15.75" customHeight="1" x14ac:dyDescent="0.35">
      <c r="A109" s="966"/>
      <c r="B109" s="966"/>
      <c r="C109" s="966"/>
      <c r="D109" s="966"/>
      <c r="E109" s="966"/>
      <c r="F109" s="966"/>
      <c r="G109" s="966"/>
      <c r="H109" s="1013"/>
    </row>
    <row r="110" spans="1:8" ht="21.75" customHeight="1" x14ac:dyDescent="0.35">
      <c r="A110" s="1517" t="s">
        <v>780</v>
      </c>
      <c r="B110" s="1518"/>
      <c r="C110" s="1518"/>
      <c r="D110" s="1518"/>
      <c r="E110" s="1518"/>
      <c r="F110" s="1518"/>
      <c r="G110" s="1339"/>
      <c r="H110" s="1013"/>
    </row>
    <row r="111" spans="1:8" ht="15.75" customHeight="1" x14ac:dyDescent="0.35">
      <c r="A111" s="966"/>
      <c r="B111" s="966"/>
      <c r="C111" s="966"/>
      <c r="D111" s="966"/>
      <c r="E111" s="966"/>
      <c r="F111" s="966"/>
      <c r="G111" s="966"/>
    </row>
    <row r="112" spans="1:8" ht="29.25" customHeight="1" x14ac:dyDescent="0.35">
      <c r="A112" s="1519" t="s">
        <v>781</v>
      </c>
      <c r="B112" s="1520"/>
      <c r="C112" s="1520"/>
      <c r="D112" s="1520"/>
      <c r="E112" s="1520"/>
      <c r="F112" s="1520"/>
      <c r="G112" s="1341"/>
    </row>
    <row r="113" spans="1:7" ht="15.75" customHeight="1" x14ac:dyDescent="0.35">
      <c r="A113" s="1014"/>
      <c r="B113" s="1014"/>
      <c r="C113" s="1014"/>
      <c r="D113" s="1014"/>
      <c r="E113" s="1014"/>
      <c r="F113" s="1014"/>
      <c r="G113" s="1014"/>
    </row>
    <row r="114" spans="1:7" ht="54.75" customHeight="1" x14ac:dyDescent="0.35">
      <c r="A114" s="1519" t="s">
        <v>782</v>
      </c>
      <c r="B114" s="1520"/>
      <c r="C114" s="1520"/>
      <c r="D114" s="1520"/>
      <c r="E114" s="1520"/>
      <c r="F114" s="1520"/>
      <c r="G114" s="1341"/>
    </row>
    <row r="115" spans="1:7" ht="15.75" customHeight="1" x14ac:dyDescent="0.35">
      <c r="A115" s="966"/>
      <c r="B115" s="966"/>
      <c r="C115" s="966"/>
      <c r="D115" s="966"/>
      <c r="E115" s="966"/>
      <c r="F115" s="966"/>
      <c r="G115" s="966"/>
    </row>
    <row r="116" spans="1:7" ht="36" customHeight="1" x14ac:dyDescent="0.35">
      <c r="A116" s="1519" t="s">
        <v>783</v>
      </c>
      <c r="B116" s="1520"/>
      <c r="C116" s="1520"/>
      <c r="D116" s="1520"/>
      <c r="E116" s="1520"/>
      <c r="F116" s="1520"/>
      <c r="G116" s="1341"/>
    </row>
    <row r="118" spans="1:7" ht="42.75" customHeight="1" x14ac:dyDescent="0.35">
      <c r="A118" s="1519" t="s">
        <v>784</v>
      </c>
      <c r="B118" s="1520"/>
      <c r="C118" s="1520"/>
      <c r="D118" s="1520"/>
      <c r="E118" s="1520"/>
      <c r="F118" s="1520"/>
      <c r="G118" s="1341"/>
    </row>
    <row r="120" spans="1:7" ht="107.25" customHeight="1" x14ac:dyDescent="0.35">
      <c r="A120" s="1519" t="s">
        <v>1680</v>
      </c>
      <c r="B120" s="1520"/>
      <c r="C120" s="1520"/>
      <c r="D120" s="1520"/>
      <c r="E120" s="1520"/>
      <c r="F120" s="1520"/>
      <c r="G120" s="1341"/>
    </row>
    <row r="121" spans="1:7" ht="15.75" customHeight="1" x14ac:dyDescent="0.35">
      <c r="B121" s="1332"/>
      <c r="C121" s="1332"/>
      <c r="D121" s="1332"/>
      <c r="E121" s="1332"/>
      <c r="F121" s="1332"/>
      <c r="G121" s="1332"/>
    </row>
    <row r="122" spans="1:7" ht="54" customHeight="1" x14ac:dyDescent="0.35">
      <c r="A122" s="1519" t="s">
        <v>785</v>
      </c>
      <c r="B122" s="1520"/>
      <c r="C122" s="1520"/>
      <c r="D122" s="1520"/>
      <c r="E122" s="1520"/>
      <c r="F122" s="1520"/>
      <c r="G122" s="1341"/>
    </row>
  </sheetData>
  <sheetProtection algorithmName="SHA-512" hashValue="DXs+SXZNDysajWV/so778+De+isXkfN0yiYj9OxTRwdMIj+5ruX6+ySzNH9TwRtLuJaMHz89kOOH9LQPvcTsqA==" saltValue="ECnidNxc0Leov7Lyhrl8uA==" spinCount="100000" sheet="1" objects="1" scenarios="1"/>
  <mergeCells count="27">
    <mergeCell ref="A120:F120"/>
    <mergeCell ref="A122:F122"/>
    <mergeCell ref="A98:F98"/>
    <mergeCell ref="A96:F96"/>
    <mergeCell ref="A76:F76"/>
    <mergeCell ref="A78:F78"/>
    <mergeCell ref="A80:F80"/>
    <mergeCell ref="A82:F82"/>
    <mergeCell ref="A84:F84"/>
    <mergeCell ref="A92:F92"/>
    <mergeCell ref="A94:F94"/>
    <mergeCell ref="A100:F100"/>
    <mergeCell ref="A102:F102"/>
    <mergeCell ref="A104:F104"/>
    <mergeCell ref="A106:F106"/>
    <mergeCell ref="A108:F108"/>
    <mergeCell ref="F5:G5"/>
    <mergeCell ref="B45:B46"/>
    <mergeCell ref="D45:D46"/>
    <mergeCell ref="A88:F88"/>
    <mergeCell ref="A90:F90"/>
    <mergeCell ref="A86:F86"/>
    <mergeCell ref="A110:F110"/>
    <mergeCell ref="A112:F112"/>
    <mergeCell ref="A114:F114"/>
    <mergeCell ref="A116:F116"/>
    <mergeCell ref="A118:F118"/>
  </mergeCells>
  <pageMargins left="0.70866141732283472" right="0.70866141732283472" top="0.74803149606299213" bottom="0.74803149606299213" header="0.31496062992125984" footer="0.31496062992125984"/>
  <pageSetup paperSize="8" scale="71" orientation="landscape" r:id="rId1"/>
  <headerFooter>
    <oddHeader>&amp;CLincolnshire County Council</oddHeader>
    <oddFooter>&amp;C2023/24 Special School Budget Share Calculation
Funding Summary</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Z44"/>
  <sheetViews>
    <sheetView workbookViewId="0">
      <selection activeCell="G35" sqref="G35"/>
    </sheetView>
  </sheetViews>
  <sheetFormatPr defaultColWidth="10.26953125" defaultRowHeight="12.5" x14ac:dyDescent="0.25"/>
  <cols>
    <col min="1" max="1" width="10.26953125" style="29"/>
    <col min="2" max="2" width="31.54296875" style="29" customWidth="1"/>
    <col min="3" max="3" width="6.1796875" style="29" customWidth="1"/>
    <col min="4" max="8" width="15.7265625" style="30" customWidth="1"/>
    <col min="9" max="12" width="15.7265625" style="29" customWidth="1"/>
    <col min="13" max="13" width="15.7265625" style="30" customWidth="1"/>
    <col min="14" max="14" width="17.26953125" style="29" customWidth="1"/>
    <col min="15" max="15" width="10.26953125" style="30" customWidth="1"/>
    <col min="16" max="16" width="0.81640625" style="29" customWidth="1"/>
    <col min="17" max="21" width="10.26953125" style="29" customWidth="1"/>
    <col min="22" max="23" width="11.1796875" style="29" customWidth="1"/>
    <col min="24" max="24" width="10.26953125" style="29" customWidth="1"/>
    <col min="25" max="25" width="10.26953125" style="31" customWidth="1"/>
    <col min="26" max="26" width="11.81640625" style="30" customWidth="1"/>
    <col min="27" max="27" width="10.26953125" style="30" customWidth="1"/>
    <col min="28" max="29" width="10.26953125" style="29" customWidth="1"/>
    <col min="30" max="30" width="9.54296875" style="30" customWidth="1"/>
    <col min="31" max="31" width="10.26953125" style="30" customWidth="1"/>
    <col min="32" max="38" width="10.81640625" style="30" customWidth="1"/>
    <col min="39" max="39" width="10.26953125" style="29" customWidth="1"/>
    <col min="40" max="42" width="11.26953125" style="29" customWidth="1"/>
    <col min="43" max="50" width="10.26953125" style="29"/>
    <col min="51" max="51" width="11.26953125" style="29" bestFit="1" customWidth="1"/>
    <col min="52" max="16384" width="10.26953125" style="29"/>
  </cols>
  <sheetData>
    <row r="1" spans="1:52" ht="17.5" x14ac:dyDescent="0.35">
      <c r="A1" s="36"/>
      <c r="B1" s="33" t="s">
        <v>695</v>
      </c>
      <c r="C1" s="36"/>
      <c r="D1" s="234"/>
      <c r="E1" s="234"/>
      <c r="F1" s="234"/>
      <c r="G1" s="234"/>
      <c r="H1" s="234"/>
      <c r="I1" s="36"/>
      <c r="J1" s="36"/>
      <c r="K1" s="36"/>
      <c r="L1" s="36"/>
      <c r="M1" s="234"/>
      <c r="N1" s="36"/>
      <c r="O1" s="234"/>
      <c r="P1" s="36"/>
      <c r="Q1" s="36"/>
      <c r="R1" s="36"/>
      <c r="S1" s="36"/>
      <c r="T1" s="36"/>
      <c r="U1" s="36"/>
      <c r="V1" s="36"/>
      <c r="W1" s="36"/>
      <c r="X1" s="36"/>
      <c r="Y1" s="235"/>
      <c r="Z1" s="234"/>
      <c r="AA1" s="234"/>
      <c r="AB1" s="36"/>
      <c r="AC1" s="36"/>
      <c r="AD1" s="234"/>
      <c r="AE1" s="234"/>
      <c r="AF1" s="234"/>
      <c r="AG1" s="234"/>
      <c r="AH1" s="234"/>
      <c r="AI1" s="234"/>
      <c r="AJ1" s="234"/>
      <c r="AK1" s="234"/>
      <c r="AL1" s="234"/>
      <c r="AM1" s="36"/>
      <c r="AN1" s="36"/>
      <c r="AO1" s="36"/>
      <c r="AP1" s="36"/>
      <c r="AQ1" s="36"/>
      <c r="AR1" s="36"/>
      <c r="AS1" s="36"/>
      <c r="AT1" s="36"/>
      <c r="AU1" s="36"/>
      <c r="AV1" s="36"/>
      <c r="AW1" s="36"/>
      <c r="AX1" s="36"/>
      <c r="AY1" s="36"/>
      <c r="AZ1" s="36"/>
    </row>
    <row r="2" spans="1:52" x14ac:dyDescent="0.25">
      <c r="A2" s="36"/>
      <c r="B2" s="36"/>
      <c r="C2" s="36"/>
      <c r="D2" s="234"/>
      <c r="E2" s="234"/>
      <c r="F2" s="234"/>
      <c r="G2" s="234"/>
      <c r="H2" s="234"/>
      <c r="I2" s="36"/>
      <c r="J2" s="36"/>
      <c r="K2" s="36"/>
      <c r="L2" s="36"/>
      <c r="M2" s="234"/>
      <c r="N2" s="36"/>
      <c r="O2" s="234"/>
      <c r="P2" s="36"/>
      <c r="Q2" s="1242"/>
      <c r="R2" s="1242"/>
      <c r="S2" s="1510" t="s">
        <v>181</v>
      </c>
      <c r="T2" s="36"/>
      <c r="U2" s="36"/>
      <c r="V2" s="36"/>
      <c r="W2" s="36"/>
      <c r="X2" s="36"/>
      <c r="Y2" s="235"/>
      <c r="Z2" s="234"/>
      <c r="AA2" s="234"/>
      <c r="AB2" s="36"/>
      <c r="AC2" s="36"/>
      <c r="AD2" s="234"/>
      <c r="AE2" s="234"/>
      <c r="AF2" s="234"/>
      <c r="AG2" s="234"/>
      <c r="AH2" s="234"/>
      <c r="AI2" s="234"/>
      <c r="AJ2" s="234"/>
      <c r="AK2" s="234"/>
      <c r="AL2" s="234"/>
      <c r="AM2" s="1439"/>
      <c r="AN2" s="1439"/>
      <c r="AO2" s="1439"/>
      <c r="AP2" s="1439"/>
      <c r="AQ2" s="1439"/>
      <c r="AR2" s="36"/>
      <c r="AS2" s="36"/>
      <c r="AT2" s="36"/>
      <c r="AU2" s="36"/>
      <c r="AV2" s="36"/>
      <c r="AW2" s="36"/>
      <c r="AX2" s="36"/>
      <c r="AY2" s="36"/>
      <c r="AZ2" s="36"/>
    </row>
    <row r="3" spans="1:52" ht="39" customHeight="1" x14ac:dyDescent="0.3">
      <c r="A3" s="236" t="s">
        <v>182</v>
      </c>
      <c r="B3" s="237" t="s">
        <v>183</v>
      </c>
      <c r="C3" s="238" t="s">
        <v>184</v>
      </c>
      <c r="D3" s="239" t="s">
        <v>58</v>
      </c>
      <c r="E3" s="240" t="s">
        <v>59</v>
      </c>
      <c r="F3" s="238" t="s">
        <v>147</v>
      </c>
      <c r="G3" s="238" t="s">
        <v>185</v>
      </c>
      <c r="H3" s="241" t="s">
        <v>102</v>
      </c>
      <c r="I3" s="241" t="s">
        <v>186</v>
      </c>
      <c r="J3" s="241" t="s">
        <v>104</v>
      </c>
      <c r="K3" s="241" t="s">
        <v>187</v>
      </c>
      <c r="L3" s="241" t="s">
        <v>188</v>
      </c>
      <c r="M3" s="238" t="s">
        <v>189</v>
      </c>
      <c r="N3" s="241" t="s">
        <v>190</v>
      </c>
      <c r="O3" s="241" t="s">
        <v>696</v>
      </c>
      <c r="P3" s="36"/>
      <c r="Q3" s="321" t="s">
        <v>203</v>
      </c>
      <c r="R3" s="321" t="s">
        <v>204</v>
      </c>
      <c r="S3" s="1510"/>
      <c r="T3" s="322" t="s">
        <v>19</v>
      </c>
      <c r="U3" s="321" t="s">
        <v>697</v>
      </c>
      <c r="V3" s="321" t="s">
        <v>698</v>
      </c>
      <c r="W3" s="321" t="s">
        <v>699</v>
      </c>
      <c r="X3" s="321" t="s">
        <v>700</v>
      </c>
      <c r="Y3" s="241" t="s">
        <v>192</v>
      </c>
      <c r="Z3" s="242" t="s">
        <v>193</v>
      </c>
      <c r="AA3" s="242" t="s">
        <v>194</v>
      </c>
      <c r="AB3" s="242" t="s">
        <v>195</v>
      </c>
      <c r="AC3" s="242" t="s">
        <v>196</v>
      </c>
      <c r="AD3" s="241" t="s">
        <v>197</v>
      </c>
      <c r="AE3" s="1243" t="s">
        <v>198</v>
      </c>
      <c r="AF3" s="324" t="s">
        <v>199</v>
      </c>
      <c r="AG3" s="326" t="s">
        <v>701</v>
      </c>
      <c r="AH3" s="326" t="s">
        <v>3</v>
      </c>
      <c r="AI3" s="325" t="s">
        <v>296</v>
      </c>
      <c r="AJ3" s="325" t="s">
        <v>702</v>
      </c>
      <c r="AK3" s="325" t="s">
        <v>703</v>
      </c>
      <c r="AL3" s="325" t="s">
        <v>704</v>
      </c>
      <c r="AM3" s="243"/>
      <c r="AN3" s="243"/>
      <c r="AO3" s="243"/>
      <c r="AP3" s="243"/>
      <c r="AQ3" s="71"/>
      <c r="AR3" s="243"/>
      <c r="AS3" s="243"/>
      <c r="AT3" s="243"/>
      <c r="AU3" s="243"/>
      <c r="AV3" s="243"/>
      <c r="AW3" s="243"/>
      <c r="AX3" s="71"/>
      <c r="AY3" s="243"/>
      <c r="AZ3" s="36"/>
    </row>
    <row r="4" spans="1:52" ht="13" x14ac:dyDescent="0.3">
      <c r="A4" s="244">
        <v>9257010</v>
      </c>
      <c r="B4" s="237" t="s">
        <v>205</v>
      </c>
      <c r="C4" s="273">
        <v>4</v>
      </c>
      <c r="D4" s="245">
        <f>'Funding Model'!$D$23</f>
        <v>405763.82046267512</v>
      </c>
      <c r="E4" s="245">
        <f>'Funding Model'!$E$23</f>
        <v>88790.687513148558</v>
      </c>
      <c r="F4" s="245"/>
      <c r="G4" s="245"/>
      <c r="H4" s="245">
        <f>VLOOKUP(A4,'Band Calculations 1718'!$A$107:$W$125,6,FALSE)</f>
        <v>0</v>
      </c>
      <c r="I4" s="248">
        <f>VLOOKUP(A4,'Band Calculations - Rebase'!$A$110:$W$127,13,FALSE)</f>
        <v>577019.31988524052</v>
      </c>
      <c r="J4" s="248">
        <f>VLOOKUP(A4,'Band Calculations - Rebase'!$A$110:$W$127,20,FALSE)</f>
        <v>9473.6245539100964</v>
      </c>
      <c r="K4" s="245">
        <f>VLOOKUP(A4,'FSM Calculation 1718'!$A$4:$D$21,4,FALSE)</f>
        <v>7144</v>
      </c>
      <c r="L4" s="245">
        <v>616.77824313180849</v>
      </c>
      <c r="M4" s="245">
        <f>SUM(D4:L4)</f>
        <v>1088808.2306581058</v>
      </c>
      <c r="N4" s="248">
        <f>M4-F4</f>
        <v>1088808.2306581058</v>
      </c>
      <c r="O4" s="1036">
        <f>VLOOKUP(A4,'Band Calculations - Rebase'!$A$110:$W$127,22,FALSE)</f>
        <v>50.333333333333343</v>
      </c>
      <c r="P4" s="36"/>
      <c r="Q4" s="1026">
        <f>N4-D4-E4-L4</f>
        <v>593636.94443915039</v>
      </c>
      <c r="R4" s="1167">
        <f>Q4/O4</f>
        <v>11794.111478923516</v>
      </c>
      <c r="S4" s="1026">
        <f>VLOOKUP(A4,'2017-18 Funding Detail'!$A$2:$AD$23,19,FALSE)</f>
        <v>10178.37223696539</v>
      </c>
      <c r="T4" s="235">
        <f>R4-S4</f>
        <v>1615.7392419581265</v>
      </c>
      <c r="U4" s="1026">
        <f>IF(T4&lt;0,((T4*O4)*-1),(0))</f>
        <v>0</v>
      </c>
      <c r="V4" s="1026">
        <f>N4+U4</f>
        <v>1088808.2306581058</v>
      </c>
      <c r="W4" s="235">
        <f>O4*10000</f>
        <v>503333.33333333343</v>
      </c>
      <c r="X4" s="235">
        <f>IF(W4&gt;V4,(W4-V4),(0))</f>
        <v>0</v>
      </c>
      <c r="Y4" s="242">
        <f>N4/O4</f>
        <v>21631.951602478919</v>
      </c>
      <c r="Z4" s="242">
        <f t="shared" ref="Z4:Z15" si="0">O4*10000</f>
        <v>503333.33333333343</v>
      </c>
      <c r="AA4" s="242">
        <f t="shared" ref="AA4:AA15" si="1">Y4-10000</f>
        <v>11631.951602478919</v>
      </c>
      <c r="AB4" s="1244">
        <f>VLOOKUP(A4,'2017-18 Funding Detail'!$A$4:$AH$23,27,FALSE)</f>
        <v>9970.8687899910001</v>
      </c>
      <c r="AC4" s="245">
        <f>IF(AA4&gt;AB4,(AA4),(AB4))</f>
        <v>11631.951602478919</v>
      </c>
      <c r="AD4" s="245">
        <f>10000+AC4</f>
        <v>21631.951602478919</v>
      </c>
      <c r="AE4" s="1029">
        <f>U4+X4</f>
        <v>0</v>
      </c>
      <c r="AF4" s="346">
        <f>N4+AE4</f>
        <v>1088808.2306581058</v>
      </c>
      <c r="AG4" s="235">
        <v>1005200.3957628806</v>
      </c>
      <c r="AH4" s="235">
        <f>AF4-AG4</f>
        <v>83607.834895225242</v>
      </c>
      <c r="AI4" s="42">
        <f>O4*10000</f>
        <v>503333.33333333343</v>
      </c>
      <c r="AJ4" s="42">
        <f>AF4-AI4</f>
        <v>585474.89732477232</v>
      </c>
      <c r="AK4" s="42">
        <f>AJ4/O4</f>
        <v>11631.951602478917</v>
      </c>
      <c r="AL4" s="327">
        <f>AF4/O4</f>
        <v>21631.951602478919</v>
      </c>
      <c r="AM4" s="235"/>
      <c r="AN4" s="297"/>
      <c r="AO4" s="297"/>
      <c r="AP4" s="297"/>
      <c r="AQ4" s="42"/>
      <c r="AR4" s="235"/>
      <c r="AS4" s="235"/>
      <c r="AT4" s="235"/>
      <c r="AU4" s="235"/>
      <c r="AV4" s="235"/>
      <c r="AW4" s="235"/>
      <c r="AX4" s="42"/>
      <c r="AY4" s="235"/>
      <c r="AZ4" s="247"/>
    </row>
    <row r="5" spans="1:52" ht="13" x14ac:dyDescent="0.3">
      <c r="A5" s="244">
        <v>9257005</v>
      </c>
      <c r="B5" s="237" t="s">
        <v>208</v>
      </c>
      <c r="C5" s="267">
        <v>4</v>
      </c>
      <c r="D5" s="245">
        <f>'Funding Model'!$D$23</f>
        <v>405763.82046267512</v>
      </c>
      <c r="E5" s="245">
        <f>'Funding Model'!$E$23</f>
        <v>88790.687513148558</v>
      </c>
      <c r="F5" s="245"/>
      <c r="G5" s="245"/>
      <c r="H5" s="245">
        <f>VLOOKUP(A5,'Band Calculations 1718'!$A$107:$W$125,6,FALSE)</f>
        <v>0</v>
      </c>
      <c r="I5" s="248">
        <f>VLOOKUP(A5,'Band Calculations - Rebase'!$A$110:$W$127,13,FALSE)</f>
        <v>761401.76186577207</v>
      </c>
      <c r="J5" s="248">
        <f>VLOOKUP(A5,'Band Calculations - Rebase'!$A$110:$W$127,20,FALSE)</f>
        <v>38832.284682461737</v>
      </c>
      <c r="K5" s="245">
        <f>VLOOKUP(A5,'FSM Calculation 1718'!$A$4:$D$21,4,FALSE)</f>
        <v>7590.5</v>
      </c>
      <c r="L5" s="245">
        <v>675.74486784427756</v>
      </c>
      <c r="M5" s="245">
        <f t="shared" ref="M5:M15" si="2">SUM(D5:L5)</f>
        <v>1303054.7993919018</v>
      </c>
      <c r="N5" s="248">
        <f t="shared" ref="N5:N15" si="3">M5-F5</f>
        <v>1303054.7993919018</v>
      </c>
      <c r="O5" s="1036">
        <f>VLOOKUP(A5,'Band Calculations - Rebase'!$A$110:$W$127,22,FALSE)</f>
        <v>74.666666666666657</v>
      </c>
      <c r="P5" s="36"/>
      <c r="Q5" s="1026">
        <f t="shared" ref="Q5:Q23" si="4">N5-D5-E5-L5</f>
        <v>807824.54654823395</v>
      </c>
      <c r="R5" s="1026">
        <f t="shared" ref="R5:R23" si="5">Q5/O5</f>
        <v>10819.078748413849</v>
      </c>
      <c r="S5" s="1026">
        <f>VLOOKUP(A5,'2017-18 Funding Detail'!$A$2:$AD$23,19,FALSE)</f>
        <v>9731.8455727065739</v>
      </c>
      <c r="T5" s="235">
        <f t="shared" ref="T5:T23" si="6">R5-S5</f>
        <v>1087.2331757072752</v>
      </c>
      <c r="U5" s="1026">
        <f>IF(T5&lt;0,((T5*O5)*-1),(0))</f>
        <v>0</v>
      </c>
      <c r="V5" s="1026">
        <f t="shared" ref="V5:V23" si="7">N5+U5</f>
        <v>1303054.7993919018</v>
      </c>
      <c r="W5" s="235">
        <f t="shared" ref="W5:W23" si="8">O5*10000</f>
        <v>746666.66666666663</v>
      </c>
      <c r="X5" s="235">
        <f t="shared" ref="X5:X23" si="9">IF(W5&gt;V5,(W5-V5),(0))</f>
        <v>0</v>
      </c>
      <c r="Y5" s="242">
        <f t="shared" ref="Y5:Y23" si="10">N5/O5</f>
        <v>17451.626777570116</v>
      </c>
      <c r="Z5" s="242">
        <f t="shared" si="0"/>
        <v>746666.66666666663</v>
      </c>
      <c r="AA5" s="242">
        <f t="shared" si="1"/>
        <v>7451.6267775701162</v>
      </c>
      <c r="AB5" s="1244">
        <f>VLOOKUP(A5,'2017-18 Funding Detail'!$A$4:$AH$23,27,FALSE)</f>
        <v>6471.8474623916882</v>
      </c>
      <c r="AC5" s="245">
        <f>IF(AA5&gt;AB5,(AA5),(AB5))</f>
        <v>7451.6267775701162</v>
      </c>
      <c r="AD5" s="245">
        <f t="shared" ref="AD5:AD23" si="11">10000+AC5</f>
        <v>17451.626777570116</v>
      </c>
      <c r="AE5" s="1029">
        <f t="shared" ref="AE5:AE23" si="12">U5+X5</f>
        <v>0</v>
      </c>
      <c r="AF5" s="346">
        <f t="shared" ref="AF5:AF23" si="13">N5+AE5</f>
        <v>1303054.7993919018</v>
      </c>
      <c r="AG5" s="235">
        <v>1229897.9438585793</v>
      </c>
      <c r="AH5" s="235">
        <f t="shared" ref="AH5:AH23" si="14">AF5-AG5</f>
        <v>73156.855533322552</v>
      </c>
      <c r="AI5" s="42">
        <f t="shared" ref="AI5:AI23" si="15">O5*10000</f>
        <v>746666.66666666663</v>
      </c>
      <c r="AJ5" s="42">
        <f t="shared" ref="AJ5:AJ23" si="16">AF5-AI5</f>
        <v>556388.13272523519</v>
      </c>
      <c r="AK5" s="42">
        <f>AJ5/O5</f>
        <v>7451.6267775701153</v>
      </c>
      <c r="AL5" s="327">
        <f t="shared" ref="AL5:AL23" si="17">AF5/O5</f>
        <v>17451.626777570116</v>
      </c>
      <c r="AM5" s="235"/>
      <c r="AN5" s="297"/>
      <c r="AO5" s="297"/>
      <c r="AP5" s="297"/>
      <c r="AQ5" s="42"/>
      <c r="AR5" s="235"/>
      <c r="AS5" s="235"/>
      <c r="AT5" s="235"/>
      <c r="AU5" s="235"/>
      <c r="AV5" s="235"/>
      <c r="AW5" s="235"/>
      <c r="AX5" s="42"/>
      <c r="AY5" s="235"/>
      <c r="AZ5" s="247"/>
    </row>
    <row r="6" spans="1:52" ht="13" x14ac:dyDescent="0.3">
      <c r="A6" s="244">
        <v>9257025</v>
      </c>
      <c r="B6" s="237" t="s">
        <v>209</v>
      </c>
      <c r="C6" s="271">
        <v>4</v>
      </c>
      <c r="D6" s="245">
        <f>'Funding Model'!D23</f>
        <v>405763.82046267512</v>
      </c>
      <c r="E6" s="245">
        <f>'Funding Model'!E23</f>
        <v>88790.687513148558</v>
      </c>
      <c r="F6" s="245"/>
      <c r="G6" s="245"/>
      <c r="H6" s="245">
        <f>VLOOKUP(A6,'Band Calculations 1718'!$A$107:$W$125,6,FALSE)</f>
        <v>0</v>
      </c>
      <c r="I6" s="248">
        <f>VLOOKUP(A6,'Band Calculations - Rebase'!$A$110:$W$127,13,FALSE)</f>
        <v>664733.23329359293</v>
      </c>
      <c r="J6" s="248">
        <f>VLOOKUP(A6,'Band Calculations - Rebase'!$A$110:$W$127,20,FALSE)</f>
        <v>34363.344642691009</v>
      </c>
      <c r="K6" s="245">
        <f>VLOOKUP(A6,'FSM Calculation 1718'!$A$4:$D$21,4,FALSE)</f>
        <v>8930</v>
      </c>
      <c r="L6" s="245">
        <v>646.26155548804309</v>
      </c>
      <c r="M6" s="245">
        <f t="shared" si="2"/>
        <v>1203227.3474675957</v>
      </c>
      <c r="N6" s="248">
        <f t="shared" si="3"/>
        <v>1203227.3474675957</v>
      </c>
      <c r="O6" s="1036">
        <f>VLOOKUP(A6,'Band Calculations - Rebase'!$A$110:$W$127,22,FALSE)</f>
        <v>62.833333333333336</v>
      </c>
      <c r="P6" s="36"/>
      <c r="Q6" s="1026">
        <f t="shared" si="4"/>
        <v>708026.57793628413</v>
      </c>
      <c r="R6" s="1026">
        <f t="shared" si="5"/>
        <v>11268.327500312214</v>
      </c>
      <c r="S6" s="1026">
        <f>VLOOKUP(A6,'2017-18 Funding Detail'!$A$2:$AD$23,19,FALSE)</f>
        <v>10269.108423540323</v>
      </c>
      <c r="T6" s="235">
        <f t="shared" si="6"/>
        <v>999.2190767718912</v>
      </c>
      <c r="U6" s="1026">
        <f t="shared" ref="U6:U23" si="18">IF(T6&lt;0,((T6*O6)*-1),(0))</f>
        <v>0</v>
      </c>
      <c r="V6" s="1026">
        <f t="shared" si="7"/>
        <v>1203227.3474675957</v>
      </c>
      <c r="W6" s="235">
        <f t="shared" si="8"/>
        <v>628333.33333333337</v>
      </c>
      <c r="X6" s="235">
        <f t="shared" si="9"/>
        <v>0</v>
      </c>
      <c r="Y6" s="242">
        <f t="shared" si="10"/>
        <v>19149.506856248208</v>
      </c>
      <c r="Z6" s="242">
        <f t="shared" si="0"/>
        <v>628333.33333333337</v>
      </c>
      <c r="AA6" s="242">
        <f t="shared" si="1"/>
        <v>9149.5068562482084</v>
      </c>
      <c r="AB6" s="1244">
        <f>VLOOKUP(A6,'2017-18 Funding Detail'!$A$4:$AH$23,27,FALSE)</f>
        <v>8151.5353521937868</v>
      </c>
      <c r="AC6" s="245">
        <f t="shared" ref="AC6:AC23" si="19">IF(AA6&gt;AB6,(AA6),(AB6))</f>
        <v>9149.5068562482084</v>
      </c>
      <c r="AD6" s="245">
        <f t="shared" si="11"/>
        <v>19149.506856248208</v>
      </c>
      <c r="AE6" s="1029">
        <f t="shared" si="12"/>
        <v>0</v>
      </c>
      <c r="AF6" s="346">
        <f t="shared" si="13"/>
        <v>1203227.3474675957</v>
      </c>
      <c r="AG6" s="235">
        <v>1140521.4712961763</v>
      </c>
      <c r="AH6" s="235">
        <f t="shared" si="14"/>
        <v>62705.876171419397</v>
      </c>
      <c r="AI6" s="42">
        <f t="shared" si="15"/>
        <v>628333.33333333337</v>
      </c>
      <c r="AJ6" s="42">
        <f t="shared" si="16"/>
        <v>574894.01413426234</v>
      </c>
      <c r="AK6" s="42">
        <f t="shared" ref="AK6:AK23" si="20">AJ6/O6</f>
        <v>9149.5068562482065</v>
      </c>
      <c r="AL6" s="327">
        <f t="shared" si="17"/>
        <v>19149.506856248208</v>
      </c>
      <c r="AM6" s="235"/>
      <c r="AN6" s="297"/>
      <c r="AO6" s="297"/>
      <c r="AP6" s="297"/>
      <c r="AQ6" s="42"/>
      <c r="AR6" s="235"/>
      <c r="AS6" s="235"/>
      <c r="AT6" s="235"/>
      <c r="AU6" s="235"/>
      <c r="AV6" s="235"/>
      <c r="AW6" s="235"/>
      <c r="AX6" s="42"/>
      <c r="AY6" s="235"/>
      <c r="AZ6" s="247"/>
    </row>
    <row r="7" spans="1:52" ht="13" x14ac:dyDescent="0.3">
      <c r="A7" s="244">
        <v>9257011</v>
      </c>
      <c r="B7" s="237" t="s">
        <v>210</v>
      </c>
      <c r="C7" s="267">
        <v>4</v>
      </c>
      <c r="D7" s="245">
        <f>'Funding Model'!$D$23</f>
        <v>405763.82046267512</v>
      </c>
      <c r="E7" s="245">
        <f>'Funding Model'!$E$23</f>
        <v>88790.687513148558</v>
      </c>
      <c r="F7" s="245"/>
      <c r="G7" s="245"/>
      <c r="H7" s="245">
        <f>VLOOKUP(A7,'Band Calculations 1718'!$A$107:$W$125,6,FALSE)</f>
        <v>0</v>
      </c>
      <c r="I7" s="248">
        <f>VLOOKUP(A7,'Band Calculations - Rebase'!$A$110:$W$127,13,FALSE)</f>
        <v>593437.02597476193</v>
      </c>
      <c r="J7" s="248">
        <f>VLOOKUP(A7,'Band Calculations - Rebase'!$A$110:$W$127,20,FALSE)</f>
        <v>22066.086212617378</v>
      </c>
      <c r="K7" s="245">
        <f>VLOOKUP(A7,'FSM Calculation 1718'!$A$4:$D$21,4,FALSE)</f>
        <v>6697.5</v>
      </c>
      <c r="L7" s="245">
        <v>610.88158066056155</v>
      </c>
      <c r="M7" s="245">
        <f t="shared" si="2"/>
        <v>1117366.0017438636</v>
      </c>
      <c r="N7" s="248">
        <f t="shared" si="3"/>
        <v>1117366.0017438636</v>
      </c>
      <c r="O7" s="1036">
        <f>VLOOKUP(A7,'Band Calculations - Rebase'!$A$110:$W$127,22,FALSE)</f>
        <v>53.833333333333329</v>
      </c>
      <c r="P7" s="36"/>
      <c r="Q7" s="1026">
        <f t="shared" si="4"/>
        <v>622200.61218737939</v>
      </c>
      <c r="R7" s="1026">
        <f t="shared" si="5"/>
        <v>11557.906108743891</v>
      </c>
      <c r="S7" s="1026">
        <f>VLOOKUP(A7,'2017-18 Funding Detail'!$A$2:$AD$23,19,FALSE)</f>
        <v>10224.790960674309</v>
      </c>
      <c r="T7" s="235">
        <f t="shared" si="6"/>
        <v>1333.1151480695826</v>
      </c>
      <c r="U7" s="1026">
        <f t="shared" si="18"/>
        <v>0</v>
      </c>
      <c r="V7" s="1026">
        <f t="shared" si="7"/>
        <v>1117366.0017438636</v>
      </c>
      <c r="W7" s="235">
        <f t="shared" si="8"/>
        <v>538333.33333333326</v>
      </c>
      <c r="X7" s="235">
        <f t="shared" si="9"/>
        <v>0</v>
      </c>
      <c r="Y7" s="242">
        <f>N7/O7</f>
        <v>20756.02480019561</v>
      </c>
      <c r="Z7" s="242">
        <f t="shared" si="0"/>
        <v>538333.33333333326</v>
      </c>
      <c r="AA7" s="242">
        <f t="shared" si="1"/>
        <v>10756.02480019561</v>
      </c>
      <c r="AB7" s="1244">
        <f>VLOOKUP(A7,'2017-18 Funding Detail'!$A$4:$AH$23,27,FALSE)</f>
        <v>9591.2097629556192</v>
      </c>
      <c r="AC7" s="245">
        <f t="shared" si="19"/>
        <v>10756.02480019561</v>
      </c>
      <c r="AD7" s="245">
        <f t="shared" si="11"/>
        <v>20756.02480019561</v>
      </c>
      <c r="AE7" s="1029">
        <f t="shared" si="12"/>
        <v>0</v>
      </c>
      <c r="AF7" s="346">
        <f t="shared" si="13"/>
        <v>1117366.0017438636</v>
      </c>
      <c r="AG7" s="235">
        <v>1098397.5174908277</v>
      </c>
      <c r="AH7" s="235">
        <f t="shared" si="14"/>
        <v>18968.484253035858</v>
      </c>
      <c r="AI7" s="42">
        <f t="shared" si="15"/>
        <v>538333.33333333326</v>
      </c>
      <c r="AJ7" s="42">
        <f t="shared" si="16"/>
        <v>579032.66841053031</v>
      </c>
      <c r="AK7" s="42">
        <f t="shared" si="20"/>
        <v>10756.02480019561</v>
      </c>
      <c r="AL7" s="327">
        <f t="shared" si="17"/>
        <v>20756.02480019561</v>
      </c>
      <c r="AM7" s="235"/>
      <c r="AN7" s="297"/>
      <c r="AO7" s="297"/>
      <c r="AP7" s="297"/>
      <c r="AQ7" s="42"/>
      <c r="AR7" s="235"/>
      <c r="AS7" s="235"/>
      <c r="AT7" s="235"/>
      <c r="AU7" s="235"/>
      <c r="AV7" s="235"/>
      <c r="AW7" s="235"/>
      <c r="AX7" s="42"/>
      <c r="AY7" s="235"/>
      <c r="AZ7" s="247"/>
    </row>
    <row r="8" spans="1:52" ht="13" x14ac:dyDescent="0.3">
      <c r="A8" s="244">
        <v>9257024</v>
      </c>
      <c r="B8" s="237" t="s">
        <v>211</v>
      </c>
      <c r="C8" s="267">
        <v>3</v>
      </c>
      <c r="D8" s="245">
        <f>'Funding Model'!$D$22</f>
        <v>314686.51772419503</v>
      </c>
      <c r="E8" s="245">
        <f>'Funding Model'!$E$22</f>
        <v>69201.680689977453</v>
      </c>
      <c r="F8" s="245"/>
      <c r="G8" s="245"/>
      <c r="H8" s="245">
        <f>VLOOKUP(A8,'Band Calculations 1718'!$A$107:$W$125,6,FALSE)</f>
        <v>0</v>
      </c>
      <c r="I8" s="248">
        <f>VLOOKUP(A8,'Band Calculations - Rebase'!$A$110:$W$127,13,FALSE)</f>
        <v>681671.32370016293</v>
      </c>
      <c r="J8" s="248">
        <f>VLOOKUP(A8,'Band Calculations - Rebase'!$A$110:$W$127,20,FALSE)</f>
        <v>9234.6451024899688</v>
      </c>
      <c r="K8" s="245">
        <f>VLOOKUP(A8,'FSM Calculation 1718'!$A$4:$D$21,4,FALSE)</f>
        <v>9376.5</v>
      </c>
      <c r="L8" s="245">
        <v>628.57156807430238</v>
      </c>
      <c r="M8" s="245">
        <f t="shared" si="2"/>
        <v>1084799.2387848999</v>
      </c>
      <c r="N8" s="248">
        <f t="shared" si="3"/>
        <v>1084799.2387848999</v>
      </c>
      <c r="O8" s="1036">
        <f>VLOOKUP(A8,'Band Calculations - Rebase'!$A$110:$W$127,22,FALSE)</f>
        <v>64.25</v>
      </c>
      <c r="P8" s="36"/>
      <c r="Q8" s="1026">
        <f t="shared" si="4"/>
        <v>700282.46880265314</v>
      </c>
      <c r="R8" s="1026">
        <f t="shared" si="5"/>
        <v>10899.338035838959</v>
      </c>
      <c r="S8" s="1026">
        <f>VLOOKUP(A8,'2017-18 Funding Detail'!$A$2:$AD$23,19,FALSE)</f>
        <v>9576.7857169851904</v>
      </c>
      <c r="T8" s="235">
        <f t="shared" si="6"/>
        <v>1322.5523188537682</v>
      </c>
      <c r="U8" s="1026">
        <f t="shared" si="18"/>
        <v>0</v>
      </c>
      <c r="V8" s="1026">
        <f t="shared" si="7"/>
        <v>1084799.2387848999</v>
      </c>
      <c r="W8" s="235">
        <f t="shared" si="8"/>
        <v>642500</v>
      </c>
      <c r="X8" s="235">
        <f t="shared" si="9"/>
        <v>0</v>
      </c>
      <c r="Y8" s="242">
        <f t="shared" si="10"/>
        <v>16884.034844901165</v>
      </c>
      <c r="Z8" s="242">
        <f t="shared" si="0"/>
        <v>642500</v>
      </c>
      <c r="AA8" s="242">
        <f t="shared" si="1"/>
        <v>6884.0348449011653</v>
      </c>
      <c r="AB8" s="1244">
        <f>VLOOKUP(A8,'2017-18 Funding Detail'!$A$4:$AH$23,27,FALSE)</f>
        <v>5420.0844284477953</v>
      </c>
      <c r="AC8" s="245">
        <f t="shared" si="19"/>
        <v>6884.0348449011653</v>
      </c>
      <c r="AD8" s="245">
        <f t="shared" si="11"/>
        <v>16884.034844901165</v>
      </c>
      <c r="AE8" s="1029">
        <f t="shared" si="12"/>
        <v>0</v>
      </c>
      <c r="AF8" s="346">
        <f t="shared" si="13"/>
        <v>1084799.2387848999</v>
      </c>
      <c r="AG8" s="235">
        <v>1037906.8805962806</v>
      </c>
      <c r="AH8" s="235">
        <f t="shared" si="14"/>
        <v>46892.358188619372</v>
      </c>
      <c r="AI8" s="42">
        <f t="shared" si="15"/>
        <v>642500</v>
      </c>
      <c r="AJ8" s="42">
        <f t="shared" si="16"/>
        <v>442299.23878489994</v>
      </c>
      <c r="AK8" s="42">
        <f t="shared" si="20"/>
        <v>6884.0348449011663</v>
      </c>
      <c r="AL8" s="327">
        <f t="shared" si="17"/>
        <v>16884.034844901165</v>
      </c>
      <c r="AM8" s="235"/>
      <c r="AN8" s="297"/>
      <c r="AO8" s="297"/>
      <c r="AP8" s="297"/>
      <c r="AQ8" s="42"/>
      <c r="AR8" s="235"/>
      <c r="AS8" s="235"/>
      <c r="AT8" s="235"/>
      <c r="AU8" s="235"/>
      <c r="AV8" s="235"/>
      <c r="AW8" s="235"/>
      <c r="AX8" s="42"/>
      <c r="AY8" s="235"/>
      <c r="AZ8" s="247"/>
    </row>
    <row r="9" spans="1:52" ht="13" x14ac:dyDescent="0.3">
      <c r="A9" s="244">
        <v>9257008</v>
      </c>
      <c r="B9" s="237" t="s">
        <v>212</v>
      </c>
      <c r="C9" s="271">
        <v>4</v>
      </c>
      <c r="D9" s="245">
        <f>'Funding Model'!$D$23</f>
        <v>405763.82046267512</v>
      </c>
      <c r="E9" s="245">
        <f>'Funding Model'!$E$23</f>
        <v>88790.687513148558</v>
      </c>
      <c r="F9" s="245"/>
      <c r="G9" s="245"/>
      <c r="H9" s="245">
        <f>VLOOKUP(A9,'Band Calculations 1718'!$A$107:$W$125,6,FALSE)</f>
        <v>0</v>
      </c>
      <c r="I9" s="248">
        <f>VLOOKUP(A9,'Band Calculations - Rebase'!$A$110:$W$127,13,FALSE)</f>
        <v>720124.09819319728</v>
      </c>
      <c r="J9" s="248">
        <f>VLOOKUP(A9,'Band Calculations - Rebase'!$A$110:$W$127,20,FALSE)</f>
        <v>66961.216948244939</v>
      </c>
      <c r="K9" s="245">
        <f>VLOOKUP(A9,'FSM Calculation 1718'!$A$4:$D$21,4,FALSE)</f>
        <v>11609</v>
      </c>
      <c r="L9" s="245">
        <v>737.65982379237016</v>
      </c>
      <c r="M9" s="245">
        <f t="shared" si="2"/>
        <v>1293986.4829410582</v>
      </c>
      <c r="N9" s="248">
        <f t="shared" si="3"/>
        <v>1293986.4829410582</v>
      </c>
      <c r="O9" s="1036">
        <f>VLOOKUP(A9,'Band Calculations - Rebase'!$A$110:$W$127,22,FALSE)</f>
        <v>90</v>
      </c>
      <c r="P9" s="36"/>
      <c r="Q9" s="1026">
        <f t="shared" si="4"/>
        <v>798694.31514144223</v>
      </c>
      <c r="R9" s="1026">
        <f t="shared" si="5"/>
        <v>8874.381279349358</v>
      </c>
      <c r="S9" s="1026">
        <f>VLOOKUP(A9,'2017-18 Funding Detail'!$A$2:$AD$23,19,FALSE)</f>
        <v>8809.679282381343</v>
      </c>
      <c r="T9" s="235">
        <f t="shared" si="6"/>
        <v>64.70199696801501</v>
      </c>
      <c r="U9" s="1026">
        <f t="shared" si="18"/>
        <v>0</v>
      </c>
      <c r="V9" s="1026">
        <f t="shared" si="7"/>
        <v>1293986.4829410582</v>
      </c>
      <c r="W9" s="235">
        <f t="shared" si="8"/>
        <v>900000</v>
      </c>
      <c r="X9" s="235">
        <f t="shared" si="9"/>
        <v>0</v>
      </c>
      <c r="Y9" s="242">
        <f t="shared" si="10"/>
        <v>14377.62758823398</v>
      </c>
      <c r="Z9" s="242">
        <f t="shared" si="0"/>
        <v>900000</v>
      </c>
      <c r="AA9" s="242">
        <f t="shared" si="1"/>
        <v>4377.6275882339796</v>
      </c>
      <c r="AB9" s="1244">
        <f>VLOOKUP(A9,'2017-18 Funding Detail'!$A$4:$AH$23,27,FALSE)</f>
        <v>4377.6275882339796</v>
      </c>
      <c r="AC9" s="245">
        <f t="shared" si="19"/>
        <v>4377.6275882339796</v>
      </c>
      <c r="AD9" s="245">
        <f t="shared" si="11"/>
        <v>14377.62758823398</v>
      </c>
      <c r="AE9" s="1029">
        <f t="shared" si="12"/>
        <v>0</v>
      </c>
      <c r="AF9" s="346">
        <f t="shared" si="13"/>
        <v>1293986.4829410582</v>
      </c>
      <c r="AG9" s="235">
        <v>1293986.4829410582</v>
      </c>
      <c r="AH9" s="235">
        <f t="shared" si="14"/>
        <v>0</v>
      </c>
      <c r="AI9" s="42">
        <f t="shared" si="15"/>
        <v>900000</v>
      </c>
      <c r="AJ9" s="42">
        <f t="shared" si="16"/>
        <v>393986.48294105823</v>
      </c>
      <c r="AK9" s="42">
        <f t="shared" si="20"/>
        <v>4377.6275882339805</v>
      </c>
      <c r="AL9" s="327">
        <f t="shared" si="17"/>
        <v>14377.62758823398</v>
      </c>
      <c r="AM9" s="235"/>
      <c r="AN9" s="297"/>
      <c r="AO9" s="297"/>
      <c r="AP9" s="297"/>
      <c r="AQ9" s="42"/>
      <c r="AR9" s="235"/>
      <c r="AS9" s="235"/>
      <c r="AT9" s="235"/>
      <c r="AU9" s="235"/>
      <c r="AV9" s="235"/>
      <c r="AW9" s="235"/>
      <c r="AX9" s="42"/>
      <c r="AY9" s="235"/>
      <c r="AZ9" s="247"/>
    </row>
    <row r="10" spans="1:52" ht="13" x14ac:dyDescent="0.3">
      <c r="A10" s="244">
        <v>9257002</v>
      </c>
      <c r="B10" s="237" t="s">
        <v>213</v>
      </c>
      <c r="C10" s="267">
        <v>5</v>
      </c>
      <c r="D10" s="245">
        <f>'Funding Model'!$D$24</f>
        <v>418723.18610831723</v>
      </c>
      <c r="E10" s="245">
        <f>'Funding Model'!$E$24</f>
        <v>117027.3922528728</v>
      </c>
      <c r="F10" s="245"/>
      <c r="G10" s="245"/>
      <c r="H10" s="245">
        <f>VLOOKUP(A10,'Band Calculations 1718'!$A$107:$W$125,6,FALSE)</f>
        <v>0</v>
      </c>
      <c r="I10" s="248">
        <f>VLOOKUP(A10,'Band Calculations - Rebase'!$A$110:$W$127,13,FALSE)</f>
        <v>986884.20185962389</v>
      </c>
      <c r="J10" s="248">
        <f>VLOOKUP(A10,'Band Calculations - Rebase'!$A$110:$W$127,20,FALSE)</f>
        <v>32862.442477714241</v>
      </c>
      <c r="K10" s="245">
        <f>VLOOKUP(A10,'FSM Calculation 1718'!$A$4:$D$21,4,FALSE)</f>
        <v>22771.5</v>
      </c>
      <c r="L10" s="245">
        <v>873.28306063104901</v>
      </c>
      <c r="M10" s="245">
        <f t="shared" si="2"/>
        <v>1579142.0057591593</v>
      </c>
      <c r="N10" s="248">
        <f t="shared" si="3"/>
        <v>1579142.0057591593</v>
      </c>
      <c r="O10" s="1036">
        <f>VLOOKUP(A10,'Band Calculations - Rebase'!$A$110:$W$127,22,FALSE)</f>
        <v>134.91666666666669</v>
      </c>
      <c r="P10" s="36"/>
      <c r="Q10" s="1026">
        <f t="shared" si="4"/>
        <v>1042518.1443373383</v>
      </c>
      <c r="R10" s="1026">
        <f t="shared" si="5"/>
        <v>7727.1264558666198</v>
      </c>
      <c r="S10" s="1026">
        <f>VLOOKUP(A10,'2017-18 Funding Detail'!$A$2:$AD$23,19,FALSE)</f>
        <v>7514.3811266398034</v>
      </c>
      <c r="T10" s="235">
        <f t="shared" si="6"/>
        <v>212.74532922681647</v>
      </c>
      <c r="U10" s="1026">
        <f t="shared" si="18"/>
        <v>0</v>
      </c>
      <c r="V10" s="1026">
        <f t="shared" si="7"/>
        <v>1579142.0057591593</v>
      </c>
      <c r="W10" s="235">
        <f t="shared" si="8"/>
        <v>1349166.6666666667</v>
      </c>
      <c r="X10" s="235">
        <f t="shared" si="9"/>
        <v>0</v>
      </c>
      <c r="Y10" s="242">
        <f t="shared" si="10"/>
        <v>11704.573236016004</v>
      </c>
      <c r="Z10" s="242">
        <f t="shared" si="0"/>
        <v>1349166.6666666667</v>
      </c>
      <c r="AA10" s="242">
        <f t="shared" si="1"/>
        <v>1704.5732360160036</v>
      </c>
      <c r="AB10" s="1244">
        <f>VLOOKUP(A10,'2017-18 Funding Detail'!$A$4:$AH$23,27,FALSE)</f>
        <v>1627.1107577313596</v>
      </c>
      <c r="AC10" s="245">
        <f t="shared" si="19"/>
        <v>1704.5732360160036</v>
      </c>
      <c r="AD10" s="245">
        <f t="shared" si="11"/>
        <v>11704.573236016004</v>
      </c>
      <c r="AE10" s="1029">
        <f t="shared" si="12"/>
        <v>0</v>
      </c>
      <c r="AF10" s="346">
        <f t="shared" si="13"/>
        <v>1579142.0057591593</v>
      </c>
      <c r="AG10" s="235">
        <v>1590086.0423340017</v>
      </c>
      <c r="AH10" s="235">
        <f t="shared" si="14"/>
        <v>-10944.036574842408</v>
      </c>
      <c r="AI10" s="42">
        <f t="shared" si="15"/>
        <v>1349166.6666666667</v>
      </c>
      <c r="AJ10" s="42">
        <f t="shared" si="16"/>
        <v>229975.33909249259</v>
      </c>
      <c r="AK10" s="42">
        <f t="shared" si="20"/>
        <v>1704.5732360160041</v>
      </c>
      <c r="AL10" s="327">
        <f t="shared" si="17"/>
        <v>11704.573236016004</v>
      </c>
      <c r="AM10" s="235"/>
      <c r="AN10" s="297"/>
      <c r="AO10" s="297"/>
      <c r="AP10" s="297"/>
      <c r="AQ10" s="42"/>
      <c r="AR10" s="235"/>
      <c r="AS10" s="235"/>
      <c r="AT10" s="235"/>
      <c r="AU10" s="235"/>
      <c r="AV10" s="235"/>
      <c r="AW10" s="235"/>
      <c r="AX10" s="42"/>
      <c r="AY10" s="235"/>
      <c r="AZ10" s="247"/>
    </row>
    <row r="11" spans="1:52" ht="13" x14ac:dyDescent="0.3">
      <c r="A11" s="244">
        <v>9257009</v>
      </c>
      <c r="B11" s="237" t="s">
        <v>214</v>
      </c>
      <c r="C11" s="267">
        <v>4</v>
      </c>
      <c r="D11" s="245">
        <f>'Funding Model'!$D$23</f>
        <v>405763.82046267512</v>
      </c>
      <c r="E11" s="245">
        <f>'Funding Model'!$E$23</f>
        <v>88790.687513148558</v>
      </c>
      <c r="F11" s="245"/>
      <c r="G11" s="245"/>
      <c r="H11" s="245">
        <f>VLOOKUP(A11,'Band Calculations 1718'!$A$107:$W$125,6,FALSE)</f>
        <v>0</v>
      </c>
      <c r="I11" s="248">
        <f>VLOOKUP(A11,'Band Calculations - Rebase'!$A$110:$W$127,13,FALSE)</f>
        <v>931410.22792901238</v>
      </c>
      <c r="J11" s="248">
        <f>VLOOKUP(A11,'Band Calculations - Rebase'!$A$110:$W$127,20,FALSE)</f>
        <v>46913.987226747151</v>
      </c>
      <c r="K11" s="245">
        <f>VLOOKUP(A11,'FSM Calculation 1718'!$A$4:$D$21,4,FALSE)</f>
        <v>11609</v>
      </c>
      <c r="L11" s="245">
        <v>876.23139186667242</v>
      </c>
      <c r="M11" s="245">
        <f t="shared" si="2"/>
        <v>1485363.95452345</v>
      </c>
      <c r="N11" s="248">
        <f t="shared" si="3"/>
        <v>1485363.95452345</v>
      </c>
      <c r="O11" s="1036">
        <f>VLOOKUP(A11,'Band Calculations - Rebase'!$A$110:$W$127,22,FALSE)</f>
        <v>128.58333333333334</v>
      </c>
      <c r="P11" s="36"/>
      <c r="Q11" s="1026">
        <f t="shared" si="4"/>
        <v>989933.21515575971</v>
      </c>
      <c r="R11" s="1026">
        <f t="shared" si="5"/>
        <v>7698.7677134602172</v>
      </c>
      <c r="S11" s="1026">
        <f>VLOOKUP(A11,'2017-18 Funding Detail'!$A$2:$AD$23,19,FALSE)</f>
        <v>7610.4234883055324</v>
      </c>
      <c r="T11" s="235">
        <f t="shared" si="6"/>
        <v>88.344225154684864</v>
      </c>
      <c r="U11" s="1026">
        <f t="shared" si="18"/>
        <v>0</v>
      </c>
      <c r="V11" s="1026">
        <f t="shared" si="7"/>
        <v>1485363.95452345</v>
      </c>
      <c r="W11" s="235">
        <f t="shared" si="8"/>
        <v>1285833.3333333335</v>
      </c>
      <c r="X11" s="235">
        <f t="shared" si="9"/>
        <v>0</v>
      </c>
      <c r="Y11" s="242">
        <f t="shared" si="10"/>
        <v>11551.761149890732</v>
      </c>
      <c r="Z11" s="242">
        <f t="shared" si="0"/>
        <v>1285833.3333333335</v>
      </c>
      <c r="AA11" s="242">
        <f t="shared" si="1"/>
        <v>1551.7611498907318</v>
      </c>
      <c r="AB11" s="1244">
        <f>VLOOKUP(A11,'2017-18 Funding Detail'!$A$4:$AH$23,27,FALSE)</f>
        <v>1551.7611498907318</v>
      </c>
      <c r="AC11" s="245">
        <f t="shared" si="19"/>
        <v>1551.7611498907318</v>
      </c>
      <c r="AD11" s="245">
        <f t="shared" si="11"/>
        <v>11551.761149890732</v>
      </c>
      <c r="AE11" s="1029">
        <f t="shared" si="12"/>
        <v>0</v>
      </c>
      <c r="AF11" s="346">
        <f t="shared" si="13"/>
        <v>1485363.95452345</v>
      </c>
      <c r="AG11" s="235">
        <v>1485363.95452345</v>
      </c>
      <c r="AH11" s="235">
        <f t="shared" si="14"/>
        <v>0</v>
      </c>
      <c r="AI11" s="42">
        <f t="shared" si="15"/>
        <v>1285833.3333333335</v>
      </c>
      <c r="AJ11" s="42">
        <f t="shared" si="16"/>
        <v>199530.62119011651</v>
      </c>
      <c r="AK11" s="42">
        <f t="shared" si="20"/>
        <v>1551.7611498907311</v>
      </c>
      <c r="AL11" s="327">
        <f t="shared" si="17"/>
        <v>11551.761149890732</v>
      </c>
      <c r="AM11" s="235"/>
      <c r="AN11" s="297"/>
      <c r="AO11" s="297"/>
      <c r="AP11" s="297"/>
      <c r="AQ11" s="42"/>
      <c r="AR11" s="235"/>
      <c r="AS11" s="235"/>
      <c r="AT11" s="235"/>
      <c r="AU11" s="235"/>
      <c r="AV11" s="235"/>
      <c r="AW11" s="235"/>
      <c r="AX11" s="42"/>
      <c r="AY11" s="235"/>
      <c r="AZ11" s="247"/>
    </row>
    <row r="12" spans="1:52" ht="13" x14ac:dyDescent="0.3">
      <c r="A12" s="244">
        <v>9257028</v>
      </c>
      <c r="B12" s="237" t="s">
        <v>215</v>
      </c>
      <c r="C12" s="267">
        <v>5</v>
      </c>
      <c r="D12" s="245">
        <f>'Funding Model'!$D$24</f>
        <v>418723.18610831723</v>
      </c>
      <c r="E12" s="245">
        <f>'Funding Model'!$E$24</f>
        <v>117027.3922528728</v>
      </c>
      <c r="F12" s="245"/>
      <c r="G12" s="245"/>
      <c r="H12" s="245">
        <f>VLOOKUP(A12,'Band Calculations 1718'!$A$107:$W$125,6,FALSE)</f>
        <v>0</v>
      </c>
      <c r="I12" s="248">
        <f>VLOOKUP(A12,'Band Calculations - Rebase'!$A$110:$W$127,13,FALSE)</f>
        <v>923590.44048098498</v>
      </c>
      <c r="J12" s="248">
        <f>VLOOKUP(A12,'Band Calculations - Rebase'!$A$110:$W$127,20,FALSE)</f>
        <v>47319.52195335189</v>
      </c>
      <c r="K12" s="245">
        <f>VLOOKUP(A12,'FSM Calculation 1718'!$A$4:$D$21,4,FALSE)</f>
        <v>6697.5</v>
      </c>
      <c r="L12" s="245">
        <v>705.22818020051216</v>
      </c>
      <c r="M12" s="245">
        <f t="shared" si="2"/>
        <v>1514063.2689757275</v>
      </c>
      <c r="N12" s="248">
        <f t="shared" si="3"/>
        <v>1514063.2689757275</v>
      </c>
      <c r="O12" s="1036">
        <f>VLOOKUP(A12,'Band Calculations - Rebase'!$A$110:$W$127,22,FALSE)</f>
        <v>75</v>
      </c>
      <c r="P12" s="36"/>
      <c r="Q12" s="1026">
        <f t="shared" si="4"/>
        <v>977607.46243433689</v>
      </c>
      <c r="R12" s="1026">
        <f t="shared" si="5"/>
        <v>13034.766165791159</v>
      </c>
      <c r="S12" s="1026">
        <f>VLOOKUP(A12,'2017-18 Funding Detail'!$A$2:$AD$23,19,FALSE)</f>
        <v>10830.994771228929</v>
      </c>
      <c r="T12" s="235">
        <f t="shared" si="6"/>
        <v>2203.7713945622309</v>
      </c>
      <c r="U12" s="1026">
        <f t="shared" si="18"/>
        <v>0</v>
      </c>
      <c r="V12" s="1026">
        <f t="shared" si="7"/>
        <v>1514063.2689757275</v>
      </c>
      <c r="W12" s="235">
        <f t="shared" si="8"/>
        <v>750000</v>
      </c>
      <c r="X12" s="235">
        <f t="shared" si="9"/>
        <v>0</v>
      </c>
      <c r="Y12" s="242">
        <f t="shared" si="10"/>
        <v>20187.510253009699</v>
      </c>
      <c r="Z12" s="242">
        <f t="shared" si="0"/>
        <v>750000</v>
      </c>
      <c r="AA12" s="242">
        <f t="shared" si="1"/>
        <v>10187.510253009699</v>
      </c>
      <c r="AB12" s="1244">
        <f>VLOOKUP(A12,'2017-18 Funding Detail'!$A$4:$AH$23,27,FALSE)</f>
        <v>8097.3143806290573</v>
      </c>
      <c r="AC12" s="245">
        <f t="shared" si="19"/>
        <v>10187.510253009699</v>
      </c>
      <c r="AD12" s="245">
        <f t="shared" si="11"/>
        <v>20187.510253009699</v>
      </c>
      <c r="AE12" s="1029">
        <f t="shared" si="12"/>
        <v>0</v>
      </c>
      <c r="AF12" s="346">
        <f t="shared" si="13"/>
        <v>1514063.2689757275</v>
      </c>
      <c r="AG12" s="235">
        <v>1379828.2743086882</v>
      </c>
      <c r="AH12" s="235">
        <f t="shared" si="14"/>
        <v>134234.99466703925</v>
      </c>
      <c r="AI12" s="42">
        <f t="shared" si="15"/>
        <v>750000</v>
      </c>
      <c r="AJ12" s="42">
        <f t="shared" si="16"/>
        <v>764063.26897572749</v>
      </c>
      <c r="AK12" s="42">
        <f t="shared" si="20"/>
        <v>10187.510253009699</v>
      </c>
      <c r="AL12" s="327">
        <f t="shared" si="17"/>
        <v>20187.510253009699</v>
      </c>
      <c r="AM12" s="235"/>
      <c r="AN12" s="297"/>
      <c r="AO12" s="297"/>
      <c r="AP12" s="297"/>
      <c r="AQ12" s="42"/>
      <c r="AR12" s="235"/>
      <c r="AS12" s="235"/>
      <c r="AT12" s="235"/>
      <c r="AU12" s="235"/>
      <c r="AV12" s="235"/>
      <c r="AW12" s="235"/>
      <c r="AX12" s="42"/>
      <c r="AY12" s="235"/>
      <c r="AZ12" s="247"/>
    </row>
    <row r="13" spans="1:52" ht="13" x14ac:dyDescent="0.3">
      <c r="A13" s="244">
        <v>9257021</v>
      </c>
      <c r="B13" s="237" t="s">
        <v>216</v>
      </c>
      <c r="C13" s="271">
        <v>5</v>
      </c>
      <c r="D13" s="245">
        <f>'Funding Model'!$D$24</f>
        <v>418723.18610831723</v>
      </c>
      <c r="E13" s="245">
        <f>'Funding Model'!$E$24</f>
        <v>117027.3922528728</v>
      </c>
      <c r="F13" s="245"/>
      <c r="G13" s="245"/>
      <c r="H13" s="245">
        <f>VLOOKUP(A13,'Band Calculations 1718'!$A$107:$W$125,6,FALSE)</f>
        <v>0</v>
      </c>
      <c r="I13" s="248">
        <f>VLOOKUP(A13,'Band Calculations - Rebase'!$A$110:$W$127,13,FALSE)</f>
        <v>1166949.2144692279</v>
      </c>
      <c r="J13" s="248">
        <f>VLOOKUP(A13,'Band Calculations - Rebase'!$A$110:$W$127,20,FALSE)</f>
        <v>57865.89906844536</v>
      </c>
      <c r="K13" s="245">
        <f>VLOOKUP(A13,'FSM Calculation 1718'!$A$4:$D$21,4,FALSE)</f>
        <v>29915.5</v>
      </c>
      <c r="L13" s="245">
        <v>908.66303545853043</v>
      </c>
      <c r="M13" s="245">
        <f t="shared" si="2"/>
        <v>1791389.8549343217</v>
      </c>
      <c r="N13" s="248">
        <f t="shared" si="3"/>
        <v>1791389.8549343217</v>
      </c>
      <c r="O13" s="1036">
        <f>VLOOKUP(A13,'Band Calculations - Rebase'!$A$110:$W$127,22,FALSE)</f>
        <v>155.91666666666669</v>
      </c>
      <c r="P13" s="36"/>
      <c r="Q13" s="1026">
        <f t="shared" si="4"/>
        <v>1254730.6135376734</v>
      </c>
      <c r="R13" s="1026">
        <f t="shared" si="5"/>
        <v>8047.4438067622013</v>
      </c>
      <c r="S13" s="1026">
        <f>VLOOKUP(A13,'2017-18 Funding Detail'!$A$2:$AD$23,19,FALSE)</f>
        <v>7777.3723820258401</v>
      </c>
      <c r="T13" s="235">
        <f t="shared" si="6"/>
        <v>270.07142473636122</v>
      </c>
      <c r="U13" s="1026">
        <f t="shared" si="18"/>
        <v>0</v>
      </c>
      <c r="V13" s="1026">
        <f t="shared" si="7"/>
        <v>1791389.8549343217</v>
      </c>
      <c r="W13" s="235">
        <f t="shared" si="8"/>
        <v>1559166.6666666667</v>
      </c>
      <c r="X13" s="235">
        <f t="shared" si="9"/>
        <v>0</v>
      </c>
      <c r="Y13" s="242">
        <f t="shared" si="10"/>
        <v>11489.405803961443</v>
      </c>
      <c r="Z13" s="242">
        <f t="shared" si="0"/>
        <v>1559166.6666666667</v>
      </c>
      <c r="AA13" s="242">
        <f t="shared" si="1"/>
        <v>1489.4058039614429</v>
      </c>
      <c r="AB13" s="1244">
        <f>VLOOKUP(A13,'2017-18 Funding Detail'!$A$4:$AH$23,27,FALSE)</f>
        <v>1355.3472766040522</v>
      </c>
      <c r="AC13" s="245">
        <f t="shared" si="19"/>
        <v>1489.4058039614429</v>
      </c>
      <c r="AD13" s="245">
        <f t="shared" si="11"/>
        <v>11489.405803961443</v>
      </c>
      <c r="AE13" s="1029">
        <f t="shared" si="12"/>
        <v>0</v>
      </c>
      <c r="AF13" s="346">
        <f t="shared" si="13"/>
        <v>1791389.8549343217</v>
      </c>
      <c r="AG13" s="235">
        <v>1770487.8962105154</v>
      </c>
      <c r="AH13" s="235">
        <f t="shared" si="14"/>
        <v>20901.95872380631</v>
      </c>
      <c r="AI13" s="42">
        <f t="shared" si="15"/>
        <v>1559166.6666666667</v>
      </c>
      <c r="AJ13" s="42">
        <f t="shared" si="16"/>
        <v>232223.18826765497</v>
      </c>
      <c r="AK13" s="42">
        <f t="shared" si="20"/>
        <v>1489.4058039614426</v>
      </c>
      <c r="AL13" s="327">
        <f t="shared" si="17"/>
        <v>11489.405803961443</v>
      </c>
      <c r="AM13" s="235"/>
      <c r="AN13" s="297"/>
      <c r="AO13" s="297"/>
      <c r="AP13" s="297"/>
      <c r="AQ13" s="42"/>
      <c r="AR13" s="235"/>
      <c r="AS13" s="235"/>
      <c r="AT13" s="235"/>
      <c r="AU13" s="235"/>
      <c r="AV13" s="235"/>
      <c r="AW13" s="235"/>
      <c r="AX13" s="42"/>
      <c r="AY13" s="235"/>
      <c r="AZ13" s="247"/>
    </row>
    <row r="14" spans="1:52" ht="12.75" customHeight="1" x14ac:dyDescent="0.3">
      <c r="A14" s="244">
        <v>9257015</v>
      </c>
      <c r="B14" s="237" t="s">
        <v>217</v>
      </c>
      <c r="C14" s="267">
        <v>6</v>
      </c>
      <c r="D14" s="245">
        <f>'Funding Model'!$D$25</f>
        <v>493762.11190507573</v>
      </c>
      <c r="E14" s="245">
        <f>'Funding Model'!$E$25</f>
        <v>131719.7894229154</v>
      </c>
      <c r="F14" s="245"/>
      <c r="G14" s="302">
        <v>41787</v>
      </c>
      <c r="H14" s="245">
        <f>VLOOKUP(A14,'Band Calculations 1718'!$A$107:$W$125,6,FALSE)</f>
        <v>0</v>
      </c>
      <c r="I14" s="248">
        <f>VLOOKUP(A14,'Band Calculations - Rebase'!$A$110:$W$127,13,FALSE)</f>
        <v>1991776.7793852668</v>
      </c>
      <c r="J14" s="248">
        <f>VLOOKUP(A14,'Band Calculations - Rebase'!$A$110:$W$127,20,FALSE)</f>
        <v>45985.835743205549</v>
      </c>
      <c r="K14" s="245">
        <f>VLOOKUP(A14,'FSM Calculation 1718'!$A$4:$D$21,4,FALSE)</f>
        <v>33934</v>
      </c>
      <c r="L14" s="245">
        <v>1056.0795972397032</v>
      </c>
      <c r="M14" s="245">
        <f t="shared" si="2"/>
        <v>2740021.5960537032</v>
      </c>
      <c r="N14" s="248">
        <f>M14-F14-G14</f>
        <v>2698234.5960537032</v>
      </c>
      <c r="O14" s="1036">
        <f>VLOOKUP(A14,'Band Calculations - Rebase'!$A$110:$W$127,22,FALSE)</f>
        <v>270.50000000000006</v>
      </c>
      <c r="P14" s="36"/>
      <c r="Q14" s="1026">
        <f t="shared" si="4"/>
        <v>2071696.6151284727</v>
      </c>
      <c r="R14" s="1026">
        <f t="shared" si="5"/>
        <v>7658.7675235803044</v>
      </c>
      <c r="S14" s="1026">
        <f>VLOOKUP(A14,'2017-18 Funding Detail'!$A$2:$AD$23,19,FALSE)</f>
        <v>7588.033312603473</v>
      </c>
      <c r="T14" s="235">
        <f t="shared" si="6"/>
        <v>70.734210976831491</v>
      </c>
      <c r="U14" s="1026">
        <f t="shared" si="18"/>
        <v>0</v>
      </c>
      <c r="V14" s="235">
        <f t="shared" si="7"/>
        <v>2698234.5960537032</v>
      </c>
      <c r="W14" s="1026">
        <f t="shared" si="8"/>
        <v>2705000.0000000005</v>
      </c>
      <c r="X14" s="1026">
        <f t="shared" si="9"/>
        <v>6765.4039462972432</v>
      </c>
      <c r="Y14" s="242">
        <f t="shared" si="10"/>
        <v>9974.9892645238542</v>
      </c>
      <c r="Z14" s="242">
        <f t="shared" si="0"/>
        <v>2705000.0000000005</v>
      </c>
      <c r="AA14" s="242">
        <f t="shared" si="1"/>
        <v>-25.010735476145783</v>
      </c>
      <c r="AB14" s="1244">
        <f>VLOOKUP(A14,'2017-18 Funding Detail'!$A$4:$AH$23,27,FALSE)</f>
        <v>-218.18965159265645</v>
      </c>
      <c r="AC14" s="302">
        <v>0</v>
      </c>
      <c r="AD14" s="245">
        <f t="shared" si="11"/>
        <v>10000</v>
      </c>
      <c r="AE14" s="1029">
        <f t="shared" si="12"/>
        <v>6765.4039462972432</v>
      </c>
      <c r="AF14" s="346">
        <f t="shared" si="13"/>
        <v>2705000.0000000005</v>
      </c>
      <c r="AG14" s="235">
        <v>2705000.0000000009</v>
      </c>
      <c r="AH14" s="235">
        <f t="shared" si="14"/>
        <v>0</v>
      </c>
      <c r="AI14" s="42">
        <f t="shared" si="15"/>
        <v>2705000.0000000005</v>
      </c>
      <c r="AJ14" s="42">
        <f t="shared" si="16"/>
        <v>0</v>
      </c>
      <c r="AK14" s="42">
        <f t="shared" si="20"/>
        <v>0</v>
      </c>
      <c r="AL14" s="327">
        <f t="shared" si="17"/>
        <v>10000</v>
      </c>
      <c r="AM14" s="235"/>
      <c r="AN14" s="297"/>
      <c r="AO14" s="297"/>
      <c r="AP14" s="297"/>
      <c r="AQ14" s="382"/>
      <c r="AR14" s="382"/>
      <c r="AS14" s="382"/>
      <c r="AT14" s="382"/>
      <c r="AU14" s="382"/>
      <c r="AV14" s="382"/>
      <c r="AW14" s="382"/>
      <c r="AX14" s="382"/>
      <c r="AY14" s="235"/>
      <c r="AZ14" s="247"/>
    </row>
    <row r="15" spans="1:52" ht="13" x14ac:dyDescent="0.3">
      <c r="A15" s="244">
        <v>9257016</v>
      </c>
      <c r="B15" s="237" t="s">
        <v>219</v>
      </c>
      <c r="C15" s="267">
        <v>6</v>
      </c>
      <c r="D15" s="245">
        <f>'Funding Model'!$D$25</f>
        <v>493762.11190507573</v>
      </c>
      <c r="E15" s="245">
        <f>'Funding Model'!$E$25</f>
        <v>131719.7894229154</v>
      </c>
      <c r="F15" s="245"/>
      <c r="G15" s="245"/>
      <c r="H15" s="245">
        <f>VLOOKUP(A15,'Band Calculations 1718'!$A$107:$W$125,6,FALSE)</f>
        <v>0</v>
      </c>
      <c r="I15" s="248">
        <f>VLOOKUP(A15,'Band Calculations - Rebase'!$A$110:$W$127,13,FALSE)</f>
        <v>1897984.0311439191</v>
      </c>
      <c r="J15" s="248">
        <f>VLOOKUP(A15,'Band Calculations - Rebase'!$A$110:$W$127,20,FALSE)</f>
        <v>0</v>
      </c>
      <c r="K15" s="245">
        <f>VLOOKUP(A15,'FSM Calculation 1718'!$A$4:$D$21,4,FALSE)</f>
        <v>12948.5</v>
      </c>
      <c r="L15" s="245">
        <v>832.00642333232065</v>
      </c>
      <c r="M15" s="245">
        <f t="shared" si="2"/>
        <v>2537246.4388952428</v>
      </c>
      <c r="N15" s="248">
        <f t="shared" si="3"/>
        <v>2537246.4388952428</v>
      </c>
      <c r="O15" s="1036">
        <f>VLOOKUP(A15,'Band Calculations - Rebase'!$A$110:$W$127,22,FALSE)</f>
        <v>148.33333333333334</v>
      </c>
      <c r="P15" s="36"/>
      <c r="Q15" s="1026">
        <f t="shared" si="4"/>
        <v>1910932.5311439196</v>
      </c>
      <c r="R15" s="1026">
        <f t="shared" si="5"/>
        <v>12882.691221194962</v>
      </c>
      <c r="S15" s="1026">
        <f>VLOOKUP(A15,'2017-18 Funding Detail'!$A$2:$AD$23,19,FALSE)</f>
        <v>11812.521056554318</v>
      </c>
      <c r="T15" s="235">
        <f t="shared" si="6"/>
        <v>1070.1701646406436</v>
      </c>
      <c r="U15" s="1026">
        <f t="shared" si="18"/>
        <v>0</v>
      </c>
      <c r="V15" s="1026">
        <f t="shared" si="7"/>
        <v>2537246.4388952428</v>
      </c>
      <c r="W15" s="235">
        <f t="shared" si="8"/>
        <v>1483333.3333333335</v>
      </c>
      <c r="X15" s="235">
        <f t="shared" si="9"/>
        <v>0</v>
      </c>
      <c r="Y15" s="242">
        <f t="shared" si="10"/>
        <v>17105.032172327479</v>
      </c>
      <c r="Z15" s="242">
        <f t="shared" si="0"/>
        <v>1483333.3333333335</v>
      </c>
      <c r="AA15" s="242">
        <f t="shared" si="1"/>
        <v>7105.0321723274792</v>
      </c>
      <c r="AB15" s="1244">
        <f>VLOOKUP(A15,'2017-18 Funding Detail'!$A$4:$AH$23,27,FALSE)</f>
        <v>4427.7026279298007</v>
      </c>
      <c r="AC15" s="245">
        <f t="shared" si="19"/>
        <v>7105.0321723274792</v>
      </c>
      <c r="AD15" s="245">
        <f t="shared" si="11"/>
        <v>17105.032172327479</v>
      </c>
      <c r="AE15" s="1029">
        <f t="shared" si="12"/>
        <v>0</v>
      </c>
      <c r="AF15" s="346">
        <f t="shared" si="13"/>
        <v>2537246.4388952428</v>
      </c>
      <c r="AG15" s="235">
        <v>2389888.7502532313</v>
      </c>
      <c r="AH15" s="235">
        <f t="shared" si="14"/>
        <v>147357.68864201149</v>
      </c>
      <c r="AI15" s="42">
        <f t="shared" si="15"/>
        <v>1483333.3333333335</v>
      </c>
      <c r="AJ15" s="42">
        <f t="shared" si="16"/>
        <v>1053913.1055619093</v>
      </c>
      <c r="AK15" s="42">
        <f t="shared" si="20"/>
        <v>7105.0321723274774</v>
      </c>
      <c r="AL15" s="327">
        <f t="shared" si="17"/>
        <v>17105.032172327479</v>
      </c>
      <c r="AM15" s="235"/>
      <c r="AN15" s="297"/>
      <c r="AO15" s="297"/>
      <c r="AP15" s="297"/>
      <c r="AQ15" s="382"/>
      <c r="AR15" s="382"/>
      <c r="AS15" s="382"/>
      <c r="AT15" s="382"/>
      <c r="AU15" s="382"/>
      <c r="AV15" s="382"/>
      <c r="AW15" s="382"/>
      <c r="AX15" s="382"/>
      <c r="AY15" s="235"/>
      <c r="AZ15" s="247"/>
    </row>
    <row r="16" spans="1:52" ht="13" x14ac:dyDescent="0.3">
      <c r="A16" s="244"/>
      <c r="B16" s="237"/>
      <c r="C16" s="238"/>
      <c r="D16" s="245"/>
      <c r="E16" s="245"/>
      <c r="F16" s="245"/>
      <c r="G16" s="245"/>
      <c r="H16" s="245"/>
      <c r="I16" s="248"/>
      <c r="J16" s="248"/>
      <c r="K16" s="245"/>
      <c r="L16" s="245"/>
      <c r="M16" s="245"/>
      <c r="N16" s="248"/>
      <c r="O16" s="1036"/>
      <c r="P16" s="36"/>
      <c r="Q16" s="235"/>
      <c r="R16" s="235"/>
      <c r="S16" s="235"/>
      <c r="T16" s="235"/>
      <c r="U16" s="235"/>
      <c r="V16" s="235"/>
      <c r="W16" s="235"/>
      <c r="X16" s="235"/>
      <c r="Y16" s="242"/>
      <c r="Z16" s="242"/>
      <c r="AA16" s="242"/>
      <c r="AB16" s="245"/>
      <c r="AC16" s="245"/>
      <c r="AD16" s="245"/>
      <c r="AE16" s="245">
        <f t="shared" si="12"/>
        <v>0</v>
      </c>
      <c r="AF16" s="68"/>
      <c r="AG16" s="235"/>
      <c r="AH16" s="235"/>
      <c r="AI16" s="42"/>
      <c r="AJ16" s="42"/>
      <c r="AK16" s="42"/>
      <c r="AL16" s="327"/>
      <c r="AM16" s="234"/>
      <c r="AN16" s="297"/>
      <c r="AO16" s="297"/>
      <c r="AP16" s="297"/>
      <c r="AQ16" s="382"/>
      <c r="AR16" s="382"/>
      <c r="AS16" s="382"/>
      <c r="AT16" s="382"/>
      <c r="AU16" s="382"/>
      <c r="AV16" s="382"/>
      <c r="AW16" s="382"/>
      <c r="AX16" s="382"/>
      <c r="AY16" s="235"/>
      <c r="AZ16" s="247"/>
    </row>
    <row r="17" spans="1:52" ht="13" x14ac:dyDescent="0.3">
      <c r="A17" s="244">
        <v>9257031</v>
      </c>
      <c r="B17" s="32" t="s">
        <v>148</v>
      </c>
      <c r="C17" s="267">
        <v>4</v>
      </c>
      <c r="D17" s="245">
        <f>'Funding Model'!D27</f>
        <v>360067.26321081078</v>
      </c>
      <c r="E17" s="245">
        <f>'Funding Model'!E27</f>
        <v>58044.118057617408</v>
      </c>
      <c r="F17" s="245">
        <v>170753.69</v>
      </c>
      <c r="G17" s="245"/>
      <c r="H17" s="245">
        <f>VLOOKUP(A17,'Band Calculations 1718'!$A$107:$W$125,6,FALSE)</f>
        <v>0</v>
      </c>
      <c r="I17" s="248">
        <f>VLOOKUP(A17,'Band Calculations - Rebase'!$A$110:$W$127,13,FALSE)</f>
        <v>808698.09413502784</v>
      </c>
      <c r="J17" s="248">
        <f>VLOOKUP(A17,'Band Calculations - Rebase'!$A$110:$W$127,20,FALSE)</f>
        <v>182257.47900072072</v>
      </c>
      <c r="K17" s="245">
        <f>VLOOKUP(A17,'FSM Calculation 1718'!$A$4:$D$21,4,FALSE)</f>
        <v>7590.5</v>
      </c>
      <c r="L17" s="245">
        <v>669.84820537303062</v>
      </c>
      <c r="M17" s="245">
        <f>SUM(D17:L17)</f>
        <v>1588080.9926095495</v>
      </c>
      <c r="N17" s="248">
        <f>M17-F17</f>
        <v>1417327.3026095496</v>
      </c>
      <c r="O17" s="1036">
        <f>VLOOKUP(A17,'Band Calculations - Rebase'!$A$110:$W$127,22,FALSE)</f>
        <v>69.166666666666671</v>
      </c>
      <c r="P17" s="36"/>
      <c r="Q17" s="1026">
        <f t="shared" si="4"/>
        <v>998546.07313574839</v>
      </c>
      <c r="R17" s="1026">
        <f t="shared" si="5"/>
        <v>14436.81069593853</v>
      </c>
      <c r="S17" s="1026">
        <f>VLOOKUP(A17,'2017-18 Funding Detail'!$A$2:$AD$23,19,FALSE)</f>
        <v>14293.455132942658</v>
      </c>
      <c r="T17" s="235">
        <f t="shared" si="6"/>
        <v>143.35556299587188</v>
      </c>
      <c r="U17" s="1026">
        <f t="shared" si="18"/>
        <v>0</v>
      </c>
      <c r="V17" s="1026">
        <f t="shared" si="7"/>
        <v>1417327.3026095496</v>
      </c>
      <c r="W17" s="235">
        <f t="shared" si="8"/>
        <v>691666.66666666674</v>
      </c>
      <c r="X17" s="235">
        <f t="shared" si="9"/>
        <v>0</v>
      </c>
      <c r="Y17" s="242">
        <f t="shared" si="10"/>
        <v>20491.479073873004</v>
      </c>
      <c r="Z17" s="242">
        <f>O17*10000</f>
        <v>691666.66666666674</v>
      </c>
      <c r="AA17" s="242">
        <f>Y17-10000</f>
        <v>10491.479073873004</v>
      </c>
      <c r="AB17" s="1244">
        <f>VLOOKUP(A17,'2017-18 Funding Detail'!$A$4:$AH$23,27,FALSE)</f>
        <v>10491.479073873004</v>
      </c>
      <c r="AC17" s="245">
        <f t="shared" si="19"/>
        <v>10491.479073873004</v>
      </c>
      <c r="AD17" s="245">
        <f t="shared" si="11"/>
        <v>20491.479073873004</v>
      </c>
      <c r="AE17" s="1029">
        <f t="shared" si="12"/>
        <v>0</v>
      </c>
      <c r="AF17" s="346">
        <f t="shared" si="13"/>
        <v>1417327.3026095496</v>
      </c>
      <c r="AG17" s="235">
        <v>1424221.7334080583</v>
      </c>
      <c r="AH17" s="235">
        <f t="shared" si="14"/>
        <v>-6894.4307985086925</v>
      </c>
      <c r="AI17" s="42">
        <f t="shared" si="15"/>
        <v>691666.66666666674</v>
      </c>
      <c r="AJ17" s="42">
        <f t="shared" si="16"/>
        <v>725660.63594288286</v>
      </c>
      <c r="AK17" s="42">
        <f t="shared" si="20"/>
        <v>10491.479073873004</v>
      </c>
      <c r="AL17" s="327">
        <f t="shared" si="17"/>
        <v>20491.479073873004</v>
      </c>
      <c r="AM17" s="235"/>
      <c r="AN17" s="297"/>
      <c r="AO17" s="297"/>
      <c r="AP17" s="297"/>
      <c r="AQ17" s="42"/>
      <c r="AR17" s="235"/>
      <c r="AS17" s="235"/>
      <c r="AT17" s="235"/>
      <c r="AU17" s="235"/>
      <c r="AV17" s="235"/>
      <c r="AW17" s="235"/>
      <c r="AX17" s="42"/>
      <c r="AY17" s="235"/>
      <c r="AZ17" s="247"/>
    </row>
    <row r="18" spans="1:52" ht="13" x14ac:dyDescent="0.3">
      <c r="A18" s="244">
        <v>9257029</v>
      </c>
      <c r="B18" s="32" t="s">
        <v>149</v>
      </c>
      <c r="C18" s="271">
        <v>3</v>
      </c>
      <c r="D18" s="245">
        <f>'Funding Model'!$D$26</f>
        <v>280697.16623783787</v>
      </c>
      <c r="E18" s="245">
        <f>'Funding Model'!$E$26</f>
        <v>55663.058379368813</v>
      </c>
      <c r="F18" s="245">
        <v>241540.96</v>
      </c>
      <c r="G18" s="245"/>
      <c r="H18" s="245">
        <f>VLOOKUP(A18,'Band Calculations 1718'!$A$107:$W$125,6,FALSE)</f>
        <v>0</v>
      </c>
      <c r="I18" s="248">
        <f>VLOOKUP(A18,'Band Calculations - Rebase'!$A$110:$W$127,13,FALSE)</f>
        <v>507628.56270403555</v>
      </c>
      <c r="J18" s="248">
        <f>VLOOKUP(A18,'Band Calculations - Rebase'!$A$110:$W$127,20,FALSE)</f>
        <v>114404.99585466928</v>
      </c>
      <c r="K18" s="245">
        <f>VLOOKUP(A18,'FSM Calculation 1718'!$A$4:$D$21,4,FALSE)</f>
        <v>8483.5</v>
      </c>
      <c r="L18" s="245">
        <v>672.79653660865415</v>
      </c>
      <c r="M18" s="245">
        <f>SUM(D18:L18)</f>
        <v>1209091.0397125201</v>
      </c>
      <c r="N18" s="248">
        <f>M18-F18</f>
        <v>967550.07971252012</v>
      </c>
      <c r="O18" s="1036">
        <f>VLOOKUP(A18,'Band Calculations - Rebase'!$A$110:$W$127,22,FALSE)</f>
        <v>43.416666666666671</v>
      </c>
      <c r="P18" s="36"/>
      <c r="Q18" s="1026">
        <f t="shared" si="4"/>
        <v>630517.0585587048</v>
      </c>
      <c r="R18" s="1026">
        <f t="shared" si="5"/>
        <v>14522.465840123717</v>
      </c>
      <c r="S18" s="1026">
        <f>VLOOKUP(A18,'2017-18 Funding Detail'!$A$2:$AD$23,19,FALSE)</f>
        <v>14380.20978680139</v>
      </c>
      <c r="T18" s="235">
        <f t="shared" si="6"/>
        <v>142.25605332232772</v>
      </c>
      <c r="U18" s="1026">
        <f t="shared" si="18"/>
        <v>0</v>
      </c>
      <c r="V18" s="1026">
        <f t="shared" si="7"/>
        <v>967550.07971252012</v>
      </c>
      <c r="W18" s="235">
        <f t="shared" si="8"/>
        <v>434166.66666666669</v>
      </c>
      <c r="X18" s="235">
        <f t="shared" si="9"/>
        <v>0</v>
      </c>
      <c r="Y18" s="242">
        <f t="shared" si="10"/>
        <v>22285.222565355547</v>
      </c>
      <c r="Z18" s="242">
        <f>O18*10000</f>
        <v>434166.66666666669</v>
      </c>
      <c r="AA18" s="242">
        <f>Y18-10000</f>
        <v>12285.222565355547</v>
      </c>
      <c r="AB18" s="1244">
        <f>VLOOKUP(A18,'2017-18 Funding Detail'!$A$4:$AH$23,27,FALSE)</f>
        <v>12285.222565355547</v>
      </c>
      <c r="AC18" s="245">
        <f t="shared" si="19"/>
        <v>12285.222565355547</v>
      </c>
      <c r="AD18" s="245">
        <f t="shared" si="11"/>
        <v>22285.222565355547</v>
      </c>
      <c r="AE18" s="1029">
        <f t="shared" si="12"/>
        <v>0</v>
      </c>
      <c r="AF18" s="346">
        <f t="shared" si="13"/>
        <v>967550.07971252012</v>
      </c>
      <c r="AG18" s="235">
        <v>967550.07971252012</v>
      </c>
      <c r="AH18" s="235">
        <f t="shared" si="14"/>
        <v>0</v>
      </c>
      <c r="AI18" s="42">
        <f t="shared" si="15"/>
        <v>434166.66666666669</v>
      </c>
      <c r="AJ18" s="42">
        <f t="shared" si="16"/>
        <v>533383.41304585338</v>
      </c>
      <c r="AK18" s="42">
        <f t="shared" si="20"/>
        <v>12285.222565355547</v>
      </c>
      <c r="AL18" s="327">
        <f t="shared" si="17"/>
        <v>22285.222565355547</v>
      </c>
      <c r="AM18" s="235"/>
      <c r="AN18" s="297"/>
      <c r="AO18" s="297"/>
      <c r="AP18" s="297"/>
      <c r="AQ18" s="42"/>
      <c r="AR18" s="235"/>
      <c r="AS18" s="235"/>
      <c r="AT18" s="235"/>
      <c r="AU18" s="235"/>
      <c r="AV18" s="235"/>
      <c r="AW18" s="235"/>
      <c r="AX18" s="42"/>
      <c r="AY18" s="235"/>
      <c r="AZ18" s="247"/>
    </row>
    <row r="19" spans="1:52" ht="13" x14ac:dyDescent="0.3">
      <c r="A19" s="244">
        <v>9257032</v>
      </c>
      <c r="B19" s="32" t="s">
        <v>150</v>
      </c>
      <c r="C19" s="267">
        <v>4</v>
      </c>
      <c r="D19" s="245">
        <f>'Funding Model'!$D$27</f>
        <v>360067.26321081078</v>
      </c>
      <c r="E19" s="245">
        <f>'Funding Model'!$E$27</f>
        <v>58044.118057617408</v>
      </c>
      <c r="F19" s="245">
        <v>214408.47</v>
      </c>
      <c r="G19" s="245"/>
      <c r="H19" s="245">
        <f>VLOOKUP(A19,'Band Calculations 1718'!$A$107:$W$125,6,FALSE)</f>
        <v>0</v>
      </c>
      <c r="I19" s="248">
        <f>VLOOKUP(A19,'Band Calculations - Rebase'!$A$110:$W$127,13,FALSE)</f>
        <v>701521.23828580719</v>
      </c>
      <c r="J19" s="248">
        <f>VLOOKUP(A19,'Band Calculations - Rebase'!$A$110:$W$127,20,FALSE)</f>
        <v>158102.87335002277</v>
      </c>
      <c r="K19" s="245">
        <f>VLOOKUP(A19,'FSM Calculation 1718'!$A$4:$D$21,4,FALSE)</f>
        <v>4911.5</v>
      </c>
      <c r="L19" s="245">
        <v>663.9515429017838</v>
      </c>
      <c r="M19" s="245">
        <f>SUM(D19:L19)</f>
        <v>1497719.41444716</v>
      </c>
      <c r="N19" s="248">
        <f>M19-F19</f>
        <v>1283310.94444716</v>
      </c>
      <c r="O19" s="1036">
        <f>VLOOKUP(A19,'Band Calculations - Rebase'!$A$110:$W$127,22,FALSE)</f>
        <v>60</v>
      </c>
      <c r="P19" s="36"/>
      <c r="Q19" s="1026">
        <f t="shared" si="4"/>
        <v>864535.61163583002</v>
      </c>
      <c r="R19" s="1026">
        <f t="shared" si="5"/>
        <v>14408.926860597167</v>
      </c>
      <c r="S19" s="1026">
        <f>VLOOKUP(A19,'2017-18 Funding Detail'!$A$2:$AD$23,19,FALSE)</f>
        <v>14192.792957688209</v>
      </c>
      <c r="T19" s="235">
        <f t="shared" si="6"/>
        <v>216.13390290895768</v>
      </c>
      <c r="U19" s="1026">
        <f t="shared" si="18"/>
        <v>0</v>
      </c>
      <c r="V19" s="1026">
        <f t="shared" si="7"/>
        <v>1283310.94444716</v>
      </c>
      <c r="W19" s="235">
        <f t="shared" si="8"/>
        <v>600000</v>
      </c>
      <c r="X19" s="235">
        <f t="shared" si="9"/>
        <v>0</v>
      </c>
      <c r="Y19" s="242">
        <f t="shared" si="10"/>
        <v>21388.515740785999</v>
      </c>
      <c r="Z19" s="242">
        <f>O19*10000</f>
        <v>600000</v>
      </c>
      <c r="AA19" s="242">
        <f>Y19-10000</f>
        <v>11388.515740785999</v>
      </c>
      <c r="AB19" s="1244">
        <f>VLOOKUP(A19,'2017-18 Funding Detail'!$A$4:$AH$23,27,FALSE)</f>
        <v>11388.515740785999</v>
      </c>
      <c r="AC19" s="245">
        <f t="shared" si="19"/>
        <v>11388.515740785999</v>
      </c>
      <c r="AD19" s="245">
        <f t="shared" si="11"/>
        <v>21388.515740785999</v>
      </c>
      <c r="AE19" s="1029">
        <f t="shared" si="12"/>
        <v>0</v>
      </c>
      <c r="AF19" s="346">
        <f t="shared" si="13"/>
        <v>1283310.94444716</v>
      </c>
      <c r="AG19" s="235">
        <v>1283310.94444716</v>
      </c>
      <c r="AH19" s="235">
        <f t="shared" si="14"/>
        <v>0</v>
      </c>
      <c r="AI19" s="42">
        <f t="shared" si="15"/>
        <v>600000</v>
      </c>
      <c r="AJ19" s="42">
        <f t="shared" si="16"/>
        <v>683310.94444716</v>
      </c>
      <c r="AK19" s="42">
        <f t="shared" si="20"/>
        <v>11388.515740786001</v>
      </c>
      <c r="AL19" s="327">
        <f t="shared" si="17"/>
        <v>21388.515740785999</v>
      </c>
      <c r="AM19" s="235"/>
      <c r="AN19" s="297"/>
      <c r="AO19" s="297"/>
      <c r="AP19" s="297"/>
      <c r="AQ19" s="42"/>
      <c r="AR19" s="235"/>
      <c r="AS19" s="235"/>
      <c r="AT19" s="235"/>
      <c r="AU19" s="235"/>
      <c r="AV19" s="235"/>
      <c r="AW19" s="235"/>
      <c r="AX19" s="42"/>
      <c r="AY19" s="235"/>
      <c r="AZ19" s="247"/>
    </row>
    <row r="20" spans="1:52" ht="13" x14ac:dyDescent="0.3">
      <c r="A20" s="244">
        <v>9257030</v>
      </c>
      <c r="B20" s="32" t="s">
        <v>152</v>
      </c>
      <c r="C20" s="271">
        <v>4</v>
      </c>
      <c r="D20" s="245">
        <f>'Funding Model'!$D$27</f>
        <v>360067.26321081078</v>
      </c>
      <c r="E20" s="245">
        <f>'Funding Model'!$E$27</f>
        <v>58044.118057617408</v>
      </c>
      <c r="F20" s="245">
        <v>263272.73</v>
      </c>
      <c r="G20" s="245"/>
      <c r="H20" s="245">
        <f>VLOOKUP(A20,'Band Calculations 1718'!$A$107:$W$125,6,FALSE)</f>
        <v>0</v>
      </c>
      <c r="I20" s="248">
        <f>VLOOKUP(A20,'Band Calculations - Rebase'!$A$110:$W$127,13,FALSE)</f>
        <v>794083.06833740673</v>
      </c>
      <c r="J20" s="248">
        <f>VLOOKUP(A20,'Band Calculations - Rebase'!$A$110:$W$127,20,FALSE)</f>
        <v>178963.66913926188</v>
      </c>
      <c r="K20" s="245">
        <f>VLOOKUP(A20,'FSM Calculation 1718'!$A$4:$D$21,4,FALSE)</f>
        <v>8930</v>
      </c>
      <c r="L20" s="245">
        <v>652.15821795928991</v>
      </c>
      <c r="M20" s="245">
        <f>SUM(D20:L20)</f>
        <v>1664013.006963056</v>
      </c>
      <c r="N20" s="248">
        <f>M20-F20</f>
        <v>1400740.2769630561</v>
      </c>
      <c r="O20" s="1036">
        <f>VLOOKUP(A20,'Band Calculations - Rebase'!$A$110:$W$127,22,FALSE)</f>
        <v>67.916666666666671</v>
      </c>
      <c r="P20" s="36"/>
      <c r="Q20" s="1026">
        <f t="shared" si="4"/>
        <v>981976.73747666855</v>
      </c>
      <c r="R20" s="1026">
        <f t="shared" si="5"/>
        <v>14458.553189840517</v>
      </c>
      <c r="S20" s="1026">
        <f>VLOOKUP(A20,'2017-18 Funding Detail'!$A$2:$AD$23,19,FALSE)</f>
        <v>14576.550746280269</v>
      </c>
      <c r="T20" s="235">
        <f t="shared" si="6"/>
        <v>-117.99755643975186</v>
      </c>
      <c r="U20" s="1026">
        <f t="shared" si="18"/>
        <v>8014.0007081998147</v>
      </c>
      <c r="V20" s="1026">
        <f t="shared" si="7"/>
        <v>1408754.2776712559</v>
      </c>
      <c r="W20" s="235">
        <f t="shared" si="8"/>
        <v>679166.66666666674</v>
      </c>
      <c r="X20" s="235">
        <f t="shared" si="9"/>
        <v>0</v>
      </c>
      <c r="Y20" s="242">
        <f t="shared" si="10"/>
        <v>20624.396716020456</v>
      </c>
      <c r="Z20" s="242">
        <f>O20*10000</f>
        <v>679166.66666666674</v>
      </c>
      <c r="AA20" s="242">
        <f>Y20-10000</f>
        <v>10624.396716020456</v>
      </c>
      <c r="AB20" s="1244">
        <f>VLOOKUP(A20,'2017-18 Funding Detail'!$A$4:$AH$23,27,FALSE)</f>
        <v>10624.396716020456</v>
      </c>
      <c r="AC20" s="245">
        <f t="shared" si="19"/>
        <v>10624.396716020456</v>
      </c>
      <c r="AD20" s="245">
        <f t="shared" si="11"/>
        <v>20624.396716020456</v>
      </c>
      <c r="AE20" s="1029">
        <f t="shared" si="12"/>
        <v>8014.0007081998147</v>
      </c>
      <c r="AF20" s="346">
        <f t="shared" si="13"/>
        <v>1408754.2776712559</v>
      </c>
      <c r="AG20" s="235">
        <v>1435252.857934782</v>
      </c>
      <c r="AH20" s="235">
        <f t="shared" si="14"/>
        <v>-26498.580263526179</v>
      </c>
      <c r="AI20" s="42">
        <f t="shared" si="15"/>
        <v>679166.66666666674</v>
      </c>
      <c r="AJ20" s="42">
        <f t="shared" si="16"/>
        <v>729587.61100458913</v>
      </c>
      <c r="AK20" s="42">
        <f t="shared" si="20"/>
        <v>10742.394272460208</v>
      </c>
      <c r="AL20" s="327">
        <f t="shared" si="17"/>
        <v>20742.394272460209</v>
      </c>
      <c r="AM20" s="235"/>
      <c r="AN20" s="297"/>
      <c r="AO20" s="297"/>
      <c r="AP20" s="297"/>
      <c r="AQ20" s="42"/>
      <c r="AR20" s="235"/>
      <c r="AS20" s="235"/>
      <c r="AT20" s="235"/>
      <c r="AU20" s="235"/>
      <c r="AV20" s="235"/>
      <c r="AW20" s="235"/>
      <c r="AX20" s="42"/>
      <c r="AY20" s="235"/>
      <c r="AZ20" s="247"/>
    </row>
    <row r="21" spans="1:52" ht="13" x14ac:dyDescent="0.3">
      <c r="A21" s="244"/>
      <c r="B21" s="32"/>
      <c r="C21" s="238"/>
      <c r="D21" s="245"/>
      <c r="E21" s="245"/>
      <c r="F21" s="245"/>
      <c r="G21" s="245"/>
      <c r="H21" s="245"/>
      <c r="I21" s="248"/>
      <c r="J21" s="248"/>
      <c r="K21" s="245"/>
      <c r="L21" s="245"/>
      <c r="M21" s="245"/>
      <c r="N21" s="248"/>
      <c r="O21" s="1036"/>
      <c r="P21" s="36"/>
      <c r="Q21" s="235"/>
      <c r="R21" s="235"/>
      <c r="S21" s="235"/>
      <c r="T21" s="235"/>
      <c r="U21" s="235"/>
      <c r="V21" s="235"/>
      <c r="W21" s="235"/>
      <c r="X21" s="235"/>
      <c r="Y21" s="242"/>
      <c r="Z21" s="242"/>
      <c r="AA21" s="242"/>
      <c r="AB21" s="245"/>
      <c r="AC21" s="245"/>
      <c r="AD21" s="245"/>
      <c r="AE21" s="245">
        <f t="shared" si="12"/>
        <v>0</v>
      </c>
      <c r="AF21" s="68"/>
      <c r="AG21" s="235"/>
      <c r="AH21" s="235"/>
      <c r="AI21" s="42"/>
      <c r="AJ21" s="42"/>
      <c r="AK21" s="42"/>
      <c r="AL21" s="327"/>
      <c r="AM21" s="234"/>
      <c r="AN21" s="297"/>
      <c r="AO21" s="297"/>
      <c r="AP21" s="297"/>
      <c r="AQ21" s="42"/>
      <c r="AR21" s="235"/>
      <c r="AS21" s="235"/>
      <c r="AT21" s="235"/>
      <c r="AU21" s="235"/>
      <c r="AV21" s="235"/>
      <c r="AW21" s="235"/>
      <c r="AX21" s="42"/>
      <c r="AY21" s="235"/>
      <c r="AZ21" s="247"/>
    </row>
    <row r="22" spans="1:52" ht="13" x14ac:dyDescent="0.3">
      <c r="A22" s="244">
        <v>9257033</v>
      </c>
      <c r="B22" s="237" t="s">
        <v>220</v>
      </c>
      <c r="C22" s="267">
        <v>3</v>
      </c>
      <c r="D22" s="245">
        <f>'Funding Model'!$D$22</f>
        <v>314686.51772419503</v>
      </c>
      <c r="E22" s="245">
        <f>'Funding Model'!$E$22</f>
        <v>69201.680689977453</v>
      </c>
      <c r="F22" s="245"/>
      <c r="G22" s="245"/>
      <c r="H22" s="245">
        <f>VLOOKUP(A22,'Band Calculations 1718'!$A$107:$W$125,6,FALSE)</f>
        <v>0</v>
      </c>
      <c r="I22" s="248">
        <f>VLOOKUP(A22,'Band Calculations - Rebase'!$A$110:$W$127,13,FALSE)</f>
        <v>655822.17847756646</v>
      </c>
      <c r="J22" s="248">
        <f>VLOOKUP(A22,'Band Calculations - Rebase'!$A$110:$W$127,20,FALSE)</f>
        <v>66754.54652556518</v>
      </c>
      <c r="K22" s="245">
        <f>VLOOKUP(A22,'FSM Calculation 1718'!$A$4:$D$21,4,FALSE)</f>
        <v>14288</v>
      </c>
      <c r="L22" s="245">
        <v>666.89987413740721</v>
      </c>
      <c r="M22" s="245">
        <f>SUM(D22:L22)</f>
        <v>1121419.8232914417</v>
      </c>
      <c r="N22" s="248">
        <f>M22-F22</f>
        <v>1121419.8232914417</v>
      </c>
      <c r="O22" s="1036">
        <f>VLOOKUP(A22,'Band Calculations - Rebase'!$A$110:$W$127,22,FALSE)</f>
        <v>73.333333333333343</v>
      </c>
      <c r="P22" s="36"/>
      <c r="Q22" s="1026">
        <f t="shared" si="4"/>
        <v>736864.72500313178</v>
      </c>
      <c r="R22" s="1026">
        <f t="shared" si="5"/>
        <v>10048.155340951796</v>
      </c>
      <c r="S22" s="1026">
        <f>VLOOKUP(A22,'2017-18 Funding Detail'!$A$2:$AD$23,19,FALSE)</f>
        <v>9901.8258879346722</v>
      </c>
      <c r="T22" s="235">
        <f t="shared" si="6"/>
        <v>146.32945301712425</v>
      </c>
      <c r="U22" s="1026">
        <f t="shared" si="18"/>
        <v>0</v>
      </c>
      <c r="V22" s="1026">
        <f t="shared" si="7"/>
        <v>1121419.8232914417</v>
      </c>
      <c r="W22" s="235">
        <f t="shared" si="8"/>
        <v>733333.33333333337</v>
      </c>
      <c r="X22" s="235">
        <f t="shared" si="9"/>
        <v>0</v>
      </c>
      <c r="Y22" s="242">
        <f t="shared" si="10"/>
        <v>15292.088499428748</v>
      </c>
      <c r="Z22" s="242">
        <f>O22*10000</f>
        <v>733333.33333333337</v>
      </c>
      <c r="AA22" s="242">
        <f>Y22-10000</f>
        <v>5292.088499428748</v>
      </c>
      <c r="AB22" s="1244">
        <f>VLOOKUP(A22,'2017-18 Funding Detail'!$A$4:$AH$23,27,FALSE)</f>
        <v>5292.088499428748</v>
      </c>
      <c r="AC22" s="245">
        <f t="shared" si="19"/>
        <v>5292.088499428748</v>
      </c>
      <c r="AD22" s="245">
        <f t="shared" si="11"/>
        <v>15292.088499428748</v>
      </c>
      <c r="AE22" s="1029">
        <f t="shared" si="12"/>
        <v>0</v>
      </c>
      <c r="AF22" s="346">
        <f t="shared" si="13"/>
        <v>1121419.8232914417</v>
      </c>
      <c r="AG22" s="235">
        <v>1203004.226340255</v>
      </c>
      <c r="AH22" s="235">
        <f t="shared" si="14"/>
        <v>-81584.403048813343</v>
      </c>
      <c r="AI22" s="42">
        <f t="shared" si="15"/>
        <v>733333.33333333337</v>
      </c>
      <c r="AJ22" s="42">
        <f t="shared" si="16"/>
        <v>388086.48995810829</v>
      </c>
      <c r="AK22" s="42">
        <f t="shared" si="20"/>
        <v>5292.0884994287489</v>
      </c>
      <c r="AL22" s="327">
        <f t="shared" si="17"/>
        <v>15292.088499428748</v>
      </c>
      <c r="AM22" s="235"/>
      <c r="AN22" s="297"/>
      <c r="AO22" s="297"/>
      <c r="AP22" s="297"/>
      <c r="AQ22" s="42"/>
      <c r="AR22" s="235"/>
      <c r="AS22" s="235"/>
      <c r="AT22" s="235"/>
      <c r="AU22" s="235"/>
      <c r="AV22" s="235"/>
      <c r="AW22" s="235"/>
      <c r="AX22" s="42"/>
      <c r="AY22" s="235"/>
      <c r="AZ22" s="247"/>
    </row>
    <row r="23" spans="1:52" ht="13" x14ac:dyDescent="0.3">
      <c r="A23" s="244">
        <v>9257034</v>
      </c>
      <c r="B23" s="237" t="s">
        <v>221</v>
      </c>
      <c r="C23" s="267">
        <v>5</v>
      </c>
      <c r="D23" s="245">
        <f>'Funding Model'!D24</f>
        <v>418723.18610831723</v>
      </c>
      <c r="E23" s="245">
        <f>'Funding Model'!E24</f>
        <v>117027.3922528728</v>
      </c>
      <c r="F23" s="245"/>
      <c r="G23" s="245"/>
      <c r="H23" s="245">
        <f>VLOOKUP(A23,'Band Calculations 1718'!$A$107:$W$125,6,FALSE)</f>
        <v>0</v>
      </c>
      <c r="I23" s="248">
        <f>VLOOKUP(A23,'Band Calculations - Rebase'!$A$110:$W$127,13,FALSE)</f>
        <v>999652.61127131269</v>
      </c>
      <c r="J23" s="248">
        <f>VLOOKUP(A23,'Band Calculations - Rebase'!$A$110:$W$127,20,FALSE)</f>
        <v>64150.621249262302</v>
      </c>
      <c r="K23" s="245">
        <f>VLOOKUP(A23,'FSM Calculation 1718'!$A$4:$D$21,4,FALSE)</f>
        <v>17413.5</v>
      </c>
      <c r="L23" s="245">
        <v>811.36810468295653</v>
      </c>
      <c r="M23" s="245">
        <f>SUM(D23:L23)</f>
        <v>1617778.6789864481</v>
      </c>
      <c r="N23" s="248">
        <f>M23-F23</f>
        <v>1617778.6789864481</v>
      </c>
      <c r="O23" s="1036">
        <f>VLOOKUP(A23,'Band Calculations - Rebase'!$A$110:$W$127,22,FALSE)</f>
        <v>118.91666666666667</v>
      </c>
      <c r="P23" s="36"/>
      <c r="Q23" s="1026">
        <f t="shared" si="4"/>
        <v>1081216.7325205752</v>
      </c>
      <c r="R23" s="1026">
        <f t="shared" si="5"/>
        <v>9092.2219973699375</v>
      </c>
      <c r="S23" s="1026">
        <f>VLOOKUP(A23,'2017-18 Funding Detail'!$A$2:$AD$23,19,FALSE)</f>
        <v>8697.9081347561532</v>
      </c>
      <c r="T23" s="235">
        <f t="shared" si="6"/>
        <v>394.31386261378429</v>
      </c>
      <c r="U23" s="1026">
        <f t="shared" si="18"/>
        <v>0</v>
      </c>
      <c r="V23" s="1026">
        <f t="shared" si="7"/>
        <v>1617778.6789864481</v>
      </c>
      <c r="W23" s="235">
        <f t="shared" si="8"/>
        <v>1189166.6666666667</v>
      </c>
      <c r="X23" s="235">
        <f t="shared" si="9"/>
        <v>0</v>
      </c>
      <c r="Y23" s="242">
        <f t="shared" si="10"/>
        <v>13604.305639689823</v>
      </c>
      <c r="Z23" s="242">
        <f>O23*10000</f>
        <v>1189166.6666666667</v>
      </c>
      <c r="AA23" s="242">
        <f>Y23-10000</f>
        <v>3604.3056396898228</v>
      </c>
      <c r="AB23" s="1244">
        <f>VLOOKUP(A23,'2017-18 Funding Detail'!$A$4:$AH$23,27,FALSE)</f>
        <v>3340.6509395997618</v>
      </c>
      <c r="AC23" s="245">
        <f t="shared" si="19"/>
        <v>3604.3056396898228</v>
      </c>
      <c r="AD23" s="245">
        <f t="shared" si="11"/>
        <v>13604.305639689823</v>
      </c>
      <c r="AE23" s="1029">
        <f t="shared" si="12"/>
        <v>0</v>
      </c>
      <c r="AF23" s="346">
        <f t="shared" si="13"/>
        <v>1617778.6789864481</v>
      </c>
      <c r="AG23" s="235">
        <v>1586425.7409007384</v>
      </c>
      <c r="AH23" s="235">
        <f t="shared" si="14"/>
        <v>31352.938085709698</v>
      </c>
      <c r="AI23" s="42">
        <f t="shared" si="15"/>
        <v>1189166.6666666667</v>
      </c>
      <c r="AJ23" s="42">
        <f t="shared" si="16"/>
        <v>428612.01231978135</v>
      </c>
      <c r="AK23" s="42">
        <f t="shared" si="20"/>
        <v>3604.3056396898219</v>
      </c>
      <c r="AL23" s="327">
        <f t="shared" si="17"/>
        <v>13604.305639689823</v>
      </c>
      <c r="AM23" s="235"/>
      <c r="AN23" s="297"/>
      <c r="AO23" s="297"/>
      <c r="AP23" s="297"/>
      <c r="AQ23" s="42"/>
      <c r="AR23" s="235"/>
      <c r="AS23" s="235"/>
      <c r="AT23" s="235"/>
      <c r="AU23" s="235"/>
      <c r="AV23" s="235"/>
      <c r="AW23" s="235"/>
      <c r="AX23" s="42"/>
      <c r="AY23" s="235"/>
      <c r="AZ23" s="247"/>
    </row>
    <row r="24" spans="1:52" x14ac:dyDescent="0.25">
      <c r="A24" s="249"/>
      <c r="B24" s="36"/>
      <c r="C24" s="234"/>
      <c r="D24" s="235"/>
      <c r="E24" s="235"/>
      <c r="F24" s="235"/>
      <c r="G24" s="235"/>
      <c r="H24" s="235"/>
      <c r="I24" s="235"/>
      <c r="J24" s="235"/>
      <c r="K24" s="235"/>
      <c r="L24" s="235"/>
      <c r="M24" s="234"/>
      <c r="N24" s="36"/>
      <c r="O24" s="234"/>
      <c r="P24" s="36"/>
      <c r="Q24" s="36"/>
      <c r="R24" s="36"/>
      <c r="S24" s="36"/>
      <c r="T24" s="36"/>
      <c r="U24" s="36"/>
      <c r="V24" s="36"/>
      <c r="W24" s="36"/>
      <c r="X24" s="36"/>
      <c r="Y24" s="235"/>
      <c r="Z24" s="234"/>
      <c r="AA24" s="234"/>
      <c r="AB24" s="36"/>
      <c r="AC24" s="36"/>
      <c r="AD24" s="234"/>
      <c r="AE24" s="234"/>
      <c r="AF24" s="234"/>
      <c r="AG24" s="234"/>
      <c r="AH24" s="234"/>
      <c r="AI24" s="234"/>
      <c r="AJ24" s="234"/>
      <c r="AK24" s="234"/>
      <c r="AL24" s="234"/>
      <c r="AM24" s="36"/>
      <c r="AN24" s="36"/>
      <c r="AO24" s="36"/>
      <c r="AP24" s="36"/>
      <c r="AQ24" s="36"/>
      <c r="AR24" s="36"/>
      <c r="AS24" s="36"/>
      <c r="AT24" s="36"/>
      <c r="AU24" s="36"/>
      <c r="AV24" s="36"/>
      <c r="AW24" s="36"/>
      <c r="AX24" s="36"/>
      <c r="AY24" s="36"/>
      <c r="AZ24" s="36"/>
    </row>
    <row r="25" spans="1:52" ht="13.5" customHeight="1" thickBot="1" x14ac:dyDescent="0.3">
      <c r="A25" s="249"/>
      <c r="B25" s="36"/>
      <c r="C25" s="36"/>
      <c r="D25" s="250">
        <f t="shared" ref="D25:M25" si="21">SUM(D4:D23)</f>
        <v>7087271.8823381308</v>
      </c>
      <c r="E25" s="250">
        <f t="shared" si="21"/>
        <v>1632492.0468683892</v>
      </c>
      <c r="F25" s="250">
        <f t="shared" si="21"/>
        <v>889975.85</v>
      </c>
      <c r="G25" s="250">
        <f t="shared" si="21"/>
        <v>41787</v>
      </c>
      <c r="H25" s="250">
        <f t="shared" si="21"/>
        <v>0</v>
      </c>
      <c r="I25" s="250">
        <f t="shared" si="21"/>
        <v>16364387.411391919</v>
      </c>
      <c r="J25" s="250">
        <f t="shared" si="21"/>
        <v>1176513.0737313814</v>
      </c>
      <c r="K25" s="250">
        <f t="shared" si="21"/>
        <v>230840.5</v>
      </c>
      <c r="L25" s="250">
        <f t="shared" si="21"/>
        <v>13304.411809383275</v>
      </c>
      <c r="M25" s="250">
        <f t="shared" si="21"/>
        <v>27436572.176139202</v>
      </c>
      <c r="N25" s="250">
        <f>SUM(N4:N23)</f>
        <v>26504809.326139204</v>
      </c>
      <c r="O25" s="251">
        <f>SUM(O4:O23)</f>
        <v>1741.916666666667</v>
      </c>
      <c r="P25" s="36"/>
      <c r="Q25" s="36"/>
      <c r="R25" s="36"/>
      <c r="S25" s="36"/>
      <c r="T25" s="36"/>
      <c r="U25" s="250">
        <f>SUM(U4:U23)</f>
        <v>8014.0007081998147</v>
      </c>
      <c r="V25" s="250">
        <f>SUM(V4:V23)</f>
        <v>26512823.326847404</v>
      </c>
      <c r="W25" s="235"/>
      <c r="X25" s="36"/>
      <c r="Y25" s="235"/>
      <c r="Z25" s="235"/>
      <c r="AA25" s="249"/>
      <c r="AB25" s="36"/>
      <c r="AC25" s="36"/>
      <c r="AD25" s="234"/>
      <c r="AE25" s="250">
        <f>SUM(AE4:AE23)</f>
        <v>14779.404654497059</v>
      </c>
      <c r="AF25" s="250">
        <f>SUM(AF4:AF23)</f>
        <v>26519588.730793703</v>
      </c>
      <c r="AG25" s="235"/>
      <c r="AH25" s="235"/>
      <c r="AI25" s="235"/>
      <c r="AJ25" s="235"/>
      <c r="AK25" s="235"/>
      <c r="AL25" s="235"/>
      <c r="AM25" s="36"/>
      <c r="AN25" s="36"/>
      <c r="AO25" s="36"/>
      <c r="AP25" s="36"/>
      <c r="AQ25" s="36"/>
      <c r="AR25" s="36"/>
      <c r="AS25" s="36"/>
      <c r="AT25" s="36"/>
      <c r="AU25" s="36"/>
      <c r="AV25" s="36"/>
      <c r="AW25" s="36"/>
      <c r="AX25" s="36"/>
      <c r="AY25" s="235"/>
      <c r="AZ25" s="36"/>
    </row>
    <row r="26" spans="1:52" x14ac:dyDescent="0.25">
      <c r="A26" s="249"/>
      <c r="B26" s="36"/>
      <c r="C26" s="36"/>
      <c r="D26" s="234"/>
      <c r="E26" s="234"/>
      <c r="F26" s="234"/>
      <c r="G26" s="234"/>
      <c r="H26" s="234"/>
      <c r="I26" s="36"/>
      <c r="J26" s="36"/>
      <c r="K26" s="36"/>
      <c r="L26" s="36"/>
      <c r="M26" s="234"/>
      <c r="N26" s="252"/>
      <c r="O26" s="252"/>
      <c r="P26" s="36"/>
      <c r="Q26" s="36"/>
      <c r="R26" s="36"/>
      <c r="S26" s="36"/>
      <c r="T26" s="36"/>
      <c r="U26" s="36"/>
      <c r="V26" s="36"/>
      <c r="W26" s="36"/>
      <c r="X26" s="36"/>
      <c r="Y26" s="235"/>
      <c r="Z26" s="235"/>
      <c r="AA26" s="249"/>
      <c r="AB26" s="36"/>
      <c r="AC26" s="36"/>
      <c r="AD26" s="234"/>
      <c r="AE26" s="234"/>
      <c r="AF26" s="234"/>
      <c r="AG26" s="234"/>
      <c r="AH26" s="234"/>
      <c r="AI26" s="234"/>
      <c r="AJ26" s="234"/>
      <c r="AK26" s="234"/>
      <c r="AL26" s="234"/>
      <c r="AM26" s="36"/>
      <c r="AN26" s="36"/>
      <c r="AO26" s="36"/>
      <c r="AP26" s="36"/>
      <c r="AQ26" s="36"/>
      <c r="AR26" s="36"/>
      <c r="AS26" s="36"/>
      <c r="AT26" s="36"/>
      <c r="AU26" s="36"/>
      <c r="AV26" s="36"/>
      <c r="AW26" s="36"/>
      <c r="AX26" s="36"/>
      <c r="AY26" s="235"/>
      <c r="AZ26" s="36"/>
    </row>
    <row r="27" spans="1:52" x14ac:dyDescent="0.25">
      <c r="A27" s="36"/>
      <c r="B27" s="234"/>
      <c r="C27" s="234" t="s">
        <v>207</v>
      </c>
      <c r="D27" s="235" t="s">
        <v>207</v>
      </c>
      <c r="E27" s="235" t="s">
        <v>207</v>
      </c>
      <c r="F27" s="235" t="s">
        <v>207</v>
      </c>
      <c r="G27" s="235" t="s">
        <v>207</v>
      </c>
      <c r="H27" s="235" t="s">
        <v>207</v>
      </c>
      <c r="I27" s="235" t="s">
        <v>207</v>
      </c>
      <c r="J27" s="235" t="s">
        <v>207</v>
      </c>
      <c r="K27" s="235" t="s">
        <v>207</v>
      </c>
      <c r="L27" s="235" t="s">
        <v>207</v>
      </c>
      <c r="M27" s="235" t="s">
        <v>207</v>
      </c>
      <c r="N27" s="235" t="s">
        <v>207</v>
      </c>
      <c r="O27" s="253" t="s">
        <v>207</v>
      </c>
      <c r="P27" s="36"/>
      <c r="Q27" s="36"/>
      <c r="R27" s="36"/>
      <c r="S27" s="36"/>
      <c r="T27" s="36"/>
      <c r="U27" s="36"/>
      <c r="V27" s="36"/>
      <c r="W27" s="36"/>
      <c r="X27" s="36"/>
      <c r="Y27" s="235" t="s">
        <v>207</v>
      </c>
      <c r="Z27" s="234" t="s">
        <v>207</v>
      </c>
      <c r="AA27" s="234" t="s">
        <v>207</v>
      </c>
      <c r="AB27" s="234" t="s">
        <v>207</v>
      </c>
      <c r="AC27" s="234" t="s">
        <v>207</v>
      </c>
      <c r="AD27" s="234" t="s">
        <v>207</v>
      </c>
      <c r="AE27" s="235"/>
      <c r="AF27" s="234" t="s">
        <v>207</v>
      </c>
      <c r="AG27" s="234"/>
      <c r="AH27" s="234"/>
      <c r="AI27" s="234"/>
      <c r="AJ27" s="234"/>
      <c r="AK27" s="234"/>
      <c r="AL27" s="234"/>
      <c r="AM27" s="36"/>
      <c r="AN27" s="36"/>
      <c r="AO27" s="36"/>
      <c r="AP27" s="36"/>
      <c r="AQ27" s="36"/>
      <c r="AR27" s="36"/>
      <c r="AS27" s="36"/>
      <c r="AT27" s="36"/>
      <c r="AU27" s="36"/>
      <c r="AV27" s="36"/>
      <c r="AW27" s="36"/>
      <c r="AX27" s="36"/>
      <c r="AY27" s="235"/>
      <c r="AZ27" s="36"/>
    </row>
    <row r="28" spans="1:52" x14ac:dyDescent="0.25">
      <c r="A28" s="36"/>
      <c r="B28" s="234"/>
      <c r="C28" s="36"/>
      <c r="D28" s="234"/>
      <c r="E28" s="234"/>
      <c r="F28" s="234"/>
      <c r="G28" s="234"/>
      <c r="H28" s="234"/>
      <c r="I28" s="36"/>
      <c r="J28" s="36"/>
      <c r="K28" s="36"/>
      <c r="L28" s="36"/>
      <c r="M28" s="234"/>
      <c r="N28" s="36"/>
      <c r="O28" s="253"/>
      <c r="P28" s="36"/>
      <c r="Q28" s="36"/>
      <c r="R28" s="36"/>
      <c r="S28" s="36"/>
      <c r="T28" s="36"/>
      <c r="U28" s="36"/>
      <c r="V28" s="36"/>
      <c r="W28" s="36"/>
      <c r="X28" s="36"/>
      <c r="Y28" s="235"/>
      <c r="Z28" s="234"/>
      <c r="AA28" s="234"/>
      <c r="AB28" s="234"/>
      <c r="AC28" s="36"/>
      <c r="AD28" s="234"/>
      <c r="AE28" s="234"/>
      <c r="AF28" s="234"/>
      <c r="AG28" s="234"/>
      <c r="AH28" s="234"/>
      <c r="AI28" s="234"/>
      <c r="AJ28" s="234"/>
      <c r="AK28" s="234"/>
      <c r="AL28" s="234"/>
      <c r="AM28" s="36"/>
      <c r="AN28" s="36"/>
      <c r="AO28" s="36"/>
      <c r="AP28" s="36"/>
      <c r="AQ28" s="36"/>
      <c r="AR28" s="36"/>
      <c r="AS28" s="36"/>
      <c r="AT28" s="36"/>
      <c r="AU28" s="36"/>
      <c r="AV28" s="36"/>
      <c r="AW28" s="36"/>
      <c r="AX28" s="36"/>
      <c r="AY28" s="235"/>
      <c r="AZ28" s="36"/>
    </row>
    <row r="29" spans="1:52" x14ac:dyDescent="0.25">
      <c r="A29" s="36"/>
      <c r="B29" s="234"/>
      <c r="C29" s="36"/>
      <c r="D29" s="235"/>
      <c r="E29" s="235"/>
      <c r="F29" s="235"/>
      <c r="G29" s="235"/>
      <c r="H29" s="235"/>
      <c r="I29" s="235"/>
      <c r="J29" s="235"/>
      <c r="K29" s="235"/>
      <c r="L29" s="235"/>
      <c r="M29" s="235"/>
      <c r="N29" s="235"/>
      <c r="O29" s="253"/>
      <c r="P29" s="235"/>
      <c r="Q29" s="235"/>
      <c r="R29" s="235"/>
      <c r="S29" s="235"/>
      <c r="T29" s="235"/>
      <c r="U29" s="235"/>
      <c r="V29" s="235"/>
      <c r="W29" s="235"/>
      <c r="X29" s="235"/>
      <c r="Y29" s="235"/>
      <c r="Z29" s="234"/>
      <c r="AA29" s="234"/>
      <c r="AB29" s="36"/>
      <c r="AC29" s="36"/>
      <c r="AD29" s="234"/>
      <c r="AE29" s="234"/>
      <c r="AF29" s="234"/>
      <c r="AG29" s="234"/>
      <c r="AH29" s="234"/>
      <c r="AI29" s="234"/>
      <c r="AJ29" s="234"/>
      <c r="AK29" s="234"/>
      <c r="AL29" s="234"/>
      <c r="AM29" s="36"/>
      <c r="AN29" s="36"/>
      <c r="AO29" s="36"/>
      <c r="AP29" s="36"/>
      <c r="AQ29" s="36"/>
      <c r="AR29" s="36"/>
      <c r="AS29" s="36"/>
      <c r="AT29" s="36"/>
      <c r="AU29" s="36"/>
      <c r="AV29" s="36"/>
      <c r="AW29" s="36"/>
      <c r="AX29" s="36"/>
      <c r="AY29" s="235"/>
      <c r="AZ29" s="36"/>
    </row>
    <row r="30" spans="1:52" x14ac:dyDescent="0.25">
      <c r="A30" s="234"/>
      <c r="B30" s="234"/>
      <c r="C30" s="36"/>
      <c r="D30" s="235"/>
      <c r="E30" s="235"/>
      <c r="F30" s="235"/>
      <c r="G30" s="235"/>
      <c r="H30" s="235"/>
      <c r="I30" s="235"/>
      <c r="J30" s="235"/>
      <c r="K30" s="235"/>
      <c r="L30" s="235"/>
      <c r="M30" s="235"/>
      <c r="N30" s="36"/>
      <c r="O30" s="253"/>
      <c r="P30" s="36"/>
      <c r="Q30" s="36"/>
      <c r="R30" s="36"/>
      <c r="S30" s="36"/>
      <c r="T30" s="36"/>
      <c r="U30" s="36"/>
      <c r="V30" s="36"/>
      <c r="W30" s="36"/>
      <c r="X30" s="36"/>
      <c r="Y30" s="235"/>
      <c r="Z30" s="234"/>
      <c r="AA30" s="234"/>
      <c r="AB30" s="36"/>
      <c r="AC30" s="36"/>
      <c r="AD30" s="234"/>
      <c r="AE30" s="235"/>
      <c r="AF30" s="235"/>
      <c r="AG30" s="235"/>
      <c r="AH30" s="235"/>
      <c r="AI30" s="235"/>
      <c r="AJ30" s="235"/>
      <c r="AK30" s="235"/>
      <c r="AL30" s="235"/>
      <c r="AM30" s="36"/>
      <c r="AN30" s="36"/>
      <c r="AO30" s="36"/>
      <c r="AP30" s="36"/>
      <c r="AQ30" s="36"/>
      <c r="AR30" s="36"/>
      <c r="AS30" s="36"/>
      <c r="AT30" s="36"/>
      <c r="AU30" s="36"/>
      <c r="AV30" s="36"/>
      <c r="AW30" s="36"/>
      <c r="AX30" s="36"/>
      <c r="AY30" s="36"/>
      <c r="AZ30" s="36"/>
    </row>
    <row r="31" spans="1:52" x14ac:dyDescent="0.25">
      <c r="A31" s="36"/>
      <c r="B31" s="234"/>
      <c r="C31" s="36"/>
      <c r="D31" s="235"/>
      <c r="E31" s="235"/>
      <c r="F31" s="235"/>
      <c r="G31" s="234"/>
      <c r="H31" s="234"/>
      <c r="I31" s="234"/>
      <c r="J31" s="234"/>
      <c r="K31" s="234"/>
      <c r="L31" s="234"/>
      <c r="M31" s="234"/>
      <c r="N31" s="234"/>
      <c r="O31" s="234"/>
      <c r="P31" s="36"/>
      <c r="Q31" s="36"/>
      <c r="R31" s="36"/>
      <c r="S31" s="36"/>
      <c r="T31" s="36"/>
      <c r="U31" s="36"/>
      <c r="V31" s="36"/>
      <c r="W31" s="36"/>
      <c r="X31" s="36"/>
      <c r="Y31" s="235"/>
      <c r="Z31" s="234"/>
      <c r="AA31" s="234"/>
      <c r="AB31" s="36"/>
      <c r="AC31" s="36"/>
      <c r="AD31" s="234"/>
      <c r="AE31" s="234"/>
      <c r="AF31" s="234"/>
      <c r="AG31" s="234"/>
      <c r="AH31" s="234"/>
      <c r="AI31" s="234"/>
      <c r="AJ31" s="234"/>
      <c r="AK31" s="234"/>
      <c r="AL31" s="234"/>
      <c r="AM31" s="36"/>
      <c r="AN31" s="36"/>
      <c r="AO31" s="36"/>
      <c r="AP31" s="36"/>
      <c r="AQ31" s="36"/>
      <c r="AR31" s="36"/>
      <c r="AS31" s="36"/>
      <c r="AT31" s="36"/>
      <c r="AU31" s="36"/>
      <c r="AV31" s="36"/>
      <c r="AW31" s="36"/>
      <c r="AX31" s="36"/>
      <c r="AY31" s="234"/>
      <c r="AZ31" s="36"/>
    </row>
    <row r="32" spans="1:52" x14ac:dyDescent="0.25">
      <c r="A32" s="36"/>
      <c r="B32" s="234"/>
      <c r="C32" s="36"/>
      <c r="D32" s="235"/>
      <c r="E32" s="235"/>
      <c r="F32" s="235"/>
      <c r="G32" s="235"/>
      <c r="H32" s="235"/>
      <c r="I32" s="235"/>
      <c r="J32" s="235"/>
      <c r="K32" s="235"/>
      <c r="L32" s="235"/>
      <c r="M32" s="235"/>
      <c r="N32" s="234"/>
      <c r="O32" s="234"/>
      <c r="P32" s="36"/>
      <c r="Q32" s="36"/>
      <c r="R32" s="36"/>
      <c r="S32" s="36"/>
      <c r="T32" s="36"/>
      <c r="U32" s="36"/>
      <c r="V32" s="36"/>
      <c r="W32" s="36"/>
      <c r="X32" s="36"/>
      <c r="Y32" s="235"/>
      <c r="Z32" s="234"/>
      <c r="AA32" s="234"/>
      <c r="AB32" s="36"/>
      <c r="AC32" s="36"/>
      <c r="AD32" s="234"/>
      <c r="AE32" s="235"/>
      <c r="AF32" s="235"/>
      <c r="AG32" s="235"/>
      <c r="AH32" s="235"/>
      <c r="AI32" s="235"/>
      <c r="AJ32" s="235"/>
      <c r="AK32" s="235"/>
      <c r="AL32" s="235"/>
      <c r="AM32" s="36"/>
      <c r="AN32" s="36"/>
      <c r="AO32" s="36"/>
      <c r="AP32" s="36"/>
      <c r="AQ32" s="36"/>
      <c r="AR32" s="36"/>
      <c r="AS32" s="36"/>
      <c r="AT32" s="36"/>
      <c r="AU32" s="36"/>
      <c r="AV32" s="36"/>
      <c r="AW32" s="36"/>
      <c r="AX32" s="36"/>
      <c r="AY32" s="36"/>
      <c r="AZ32" s="36"/>
    </row>
    <row r="33" spans="2:38" x14ac:dyDescent="0.25">
      <c r="B33" s="234"/>
      <c r="C33" s="36"/>
      <c r="D33" s="1439"/>
      <c r="E33" s="1439"/>
      <c r="F33" s="234"/>
      <c r="G33" s="234"/>
      <c r="H33" s="234"/>
      <c r="I33" s="36"/>
      <c r="J33" s="243"/>
      <c r="K33" s="36"/>
      <c r="L33" s="234"/>
      <c r="M33" s="234"/>
      <c r="N33" s="36"/>
      <c r="O33" s="234"/>
      <c r="P33" s="36"/>
      <c r="Q33" s="36"/>
      <c r="R33" s="36"/>
      <c r="S33" s="36"/>
      <c r="T33" s="36"/>
      <c r="U33" s="36"/>
      <c r="V33" s="36"/>
      <c r="W33" s="36"/>
      <c r="X33" s="36"/>
      <c r="Y33" s="235"/>
      <c r="Z33" s="234"/>
      <c r="AA33" s="234"/>
      <c r="AB33" s="36"/>
      <c r="AC33" s="36"/>
      <c r="AD33" s="234"/>
      <c r="AE33" s="234"/>
      <c r="AF33" s="234"/>
      <c r="AG33" s="234"/>
      <c r="AH33" s="234"/>
      <c r="AI33" s="234"/>
      <c r="AJ33" s="234"/>
      <c r="AK33" s="234"/>
      <c r="AL33" s="234"/>
    </row>
    <row r="34" spans="2:38" x14ac:dyDescent="0.25">
      <c r="B34" s="234"/>
      <c r="C34" s="36"/>
      <c r="D34" s="298"/>
      <c r="E34" s="298"/>
      <c r="F34" s="298"/>
      <c r="G34" s="298"/>
      <c r="H34" s="298"/>
      <c r="I34" s="298"/>
      <c r="J34" s="298"/>
      <c r="K34" s="298"/>
      <c r="L34" s="298"/>
      <c r="M34" s="298"/>
      <c r="N34" s="298"/>
      <c r="O34" s="298"/>
      <c r="P34" s="298"/>
      <c r="Q34" s="298"/>
      <c r="R34" s="298"/>
      <c r="S34" s="298"/>
      <c r="T34" s="298"/>
      <c r="U34" s="298"/>
      <c r="V34" s="298"/>
      <c r="W34" s="298"/>
      <c r="X34" s="298"/>
      <c r="Y34" s="298"/>
      <c r="Z34" s="298"/>
      <c r="AA34" s="298"/>
      <c r="AB34" s="298"/>
      <c r="AC34" s="298"/>
      <c r="AD34" s="298"/>
      <c r="AE34" s="298"/>
      <c r="AF34" s="298"/>
      <c r="AG34" s="298"/>
      <c r="AH34" s="298"/>
      <c r="AI34" s="298"/>
      <c r="AJ34" s="298"/>
      <c r="AK34" s="298"/>
      <c r="AL34" s="298"/>
    </row>
    <row r="35" spans="2:38" x14ac:dyDescent="0.25">
      <c r="B35" s="36"/>
      <c r="C35" s="36"/>
      <c r="D35" s="234"/>
      <c r="E35" s="234"/>
      <c r="F35" s="234"/>
      <c r="G35" s="234"/>
      <c r="H35" s="234"/>
      <c r="I35" s="36"/>
      <c r="J35" s="36"/>
      <c r="K35" s="36"/>
      <c r="L35" s="36"/>
      <c r="M35" s="234"/>
      <c r="N35" s="36"/>
      <c r="O35" s="234"/>
      <c r="P35" s="36"/>
      <c r="Q35" s="36"/>
      <c r="R35" s="36"/>
      <c r="S35" s="36"/>
      <c r="T35" s="36"/>
      <c r="U35" s="36"/>
      <c r="V35" s="36"/>
      <c r="W35" s="36"/>
      <c r="X35" s="36"/>
      <c r="Y35" s="235"/>
      <c r="Z35" s="234"/>
      <c r="AA35" s="234"/>
      <c r="AB35" s="36"/>
      <c r="AC35" s="36"/>
      <c r="AD35" s="234"/>
      <c r="AE35" s="234"/>
      <c r="AF35" s="234"/>
      <c r="AG35" s="234"/>
      <c r="AH35" s="234"/>
      <c r="AI35" s="234"/>
      <c r="AJ35" s="234"/>
      <c r="AK35" s="234"/>
      <c r="AL35" s="234"/>
    </row>
    <row r="36" spans="2:38" x14ac:dyDescent="0.25">
      <c r="B36" s="36"/>
      <c r="C36" s="36"/>
      <c r="D36" s="234"/>
      <c r="E36" s="234"/>
      <c r="F36" s="234"/>
      <c r="G36" s="234"/>
      <c r="H36" s="234"/>
      <c r="I36" s="36"/>
      <c r="J36" s="36"/>
      <c r="K36" s="36"/>
      <c r="L36" s="36"/>
      <c r="M36" s="234"/>
      <c r="N36" s="36"/>
      <c r="O36" s="234"/>
      <c r="P36" s="36"/>
      <c r="Q36" s="36"/>
      <c r="R36" s="36"/>
      <c r="S36" s="36"/>
      <c r="T36" s="36"/>
      <c r="U36" s="36"/>
      <c r="V36" s="36"/>
      <c r="W36" s="36"/>
      <c r="X36" s="36"/>
      <c r="Y36" s="235"/>
      <c r="Z36" s="234"/>
      <c r="AA36" s="234"/>
      <c r="AB36" s="36"/>
      <c r="AC36" s="36"/>
      <c r="AD36" s="234"/>
      <c r="AE36" s="234"/>
      <c r="AF36" s="234"/>
      <c r="AG36" s="234"/>
      <c r="AH36" s="234"/>
      <c r="AI36" s="234"/>
      <c r="AJ36" s="234"/>
      <c r="AK36" s="234"/>
      <c r="AL36" s="234"/>
    </row>
    <row r="37" spans="2:38" x14ac:dyDescent="0.25">
      <c r="B37" s="36"/>
      <c r="C37" s="36"/>
      <c r="D37" s="234"/>
      <c r="E37" s="234"/>
      <c r="F37" s="234"/>
      <c r="G37" s="234"/>
      <c r="H37" s="234"/>
      <c r="I37" s="36"/>
      <c r="J37" s="36"/>
      <c r="K37" s="36"/>
      <c r="L37" s="36"/>
      <c r="M37" s="234"/>
      <c r="N37" s="36"/>
      <c r="O37" s="234"/>
      <c r="P37" s="36"/>
      <c r="Q37" s="36"/>
      <c r="R37" s="36"/>
      <c r="S37" s="36"/>
      <c r="T37" s="36"/>
      <c r="U37" s="36"/>
      <c r="V37" s="36"/>
      <c r="W37" s="36"/>
      <c r="X37" s="36"/>
      <c r="Y37" s="235"/>
      <c r="Z37" s="234"/>
      <c r="AA37" s="234"/>
      <c r="AB37" s="36"/>
      <c r="AC37" s="36"/>
      <c r="AD37" s="234"/>
      <c r="AE37" s="234"/>
      <c r="AF37" s="234"/>
      <c r="AG37" s="234"/>
      <c r="AH37" s="234"/>
      <c r="AI37" s="234"/>
      <c r="AJ37" s="234"/>
      <c r="AK37" s="234"/>
      <c r="AL37" s="234"/>
    </row>
    <row r="38" spans="2:38" x14ac:dyDescent="0.25">
      <c r="B38" s="36"/>
      <c r="C38" s="36"/>
      <c r="D38" s="234"/>
      <c r="E38" s="234"/>
      <c r="F38" s="234"/>
      <c r="G38" s="234"/>
      <c r="H38" s="304"/>
      <c r="I38" s="297"/>
      <c r="J38" s="296"/>
      <c r="K38" s="36"/>
      <c r="L38" s="36"/>
      <c r="M38" s="234"/>
      <c r="N38" s="36"/>
      <c r="O38" s="234"/>
      <c r="P38" s="36"/>
      <c r="Q38" s="36"/>
      <c r="R38" s="36"/>
      <c r="S38" s="36"/>
      <c r="T38" s="36"/>
      <c r="U38" s="36"/>
      <c r="V38" s="36"/>
      <c r="W38" s="36"/>
      <c r="X38" s="36"/>
      <c r="Y38" s="235"/>
      <c r="Z38" s="234"/>
      <c r="AA38" s="234"/>
      <c r="AB38" s="36"/>
      <c r="AC38" s="36"/>
      <c r="AD38" s="234"/>
      <c r="AE38" s="234"/>
      <c r="AF38" s="234"/>
      <c r="AG38" s="234"/>
      <c r="AH38" s="234"/>
      <c r="AI38" s="234"/>
      <c r="AJ38" s="234"/>
      <c r="AK38" s="234"/>
      <c r="AL38" s="234"/>
    </row>
    <row r="39" spans="2:38" x14ac:dyDescent="0.25">
      <c r="B39" s="36"/>
      <c r="C39" s="36"/>
      <c r="D39" s="234"/>
      <c r="E39" s="234"/>
      <c r="F39" s="234"/>
      <c r="G39" s="234"/>
      <c r="H39" s="304"/>
      <c r="I39" s="296"/>
      <c r="J39" s="296"/>
      <c r="K39" s="36"/>
      <c r="L39" s="36"/>
      <c r="M39" s="234"/>
      <c r="N39" s="36"/>
      <c r="O39" s="234"/>
      <c r="P39" s="36"/>
      <c r="Q39" s="36"/>
      <c r="R39" s="36"/>
      <c r="S39" s="36"/>
      <c r="T39" s="36"/>
      <c r="U39" s="36"/>
      <c r="V39" s="36"/>
      <c r="W39" s="36"/>
      <c r="X39" s="36"/>
      <c r="Y39" s="235"/>
      <c r="Z39" s="234"/>
      <c r="AA39" s="234"/>
      <c r="AB39" s="36"/>
      <c r="AC39" s="36"/>
      <c r="AD39" s="234"/>
      <c r="AE39" s="234"/>
      <c r="AF39" s="234"/>
      <c r="AG39" s="234"/>
      <c r="AH39" s="234"/>
      <c r="AI39" s="234"/>
      <c r="AJ39" s="234"/>
      <c r="AK39" s="234"/>
      <c r="AL39" s="234"/>
    </row>
    <row r="40" spans="2:38" x14ac:dyDescent="0.25">
      <c r="B40" s="36"/>
      <c r="C40" s="36"/>
      <c r="D40" s="234"/>
      <c r="E40" s="234"/>
      <c r="F40" s="234"/>
      <c r="G40" s="234"/>
      <c r="H40" s="304"/>
      <c r="I40" s="305"/>
      <c r="J40" s="296"/>
      <c r="K40" s="36"/>
      <c r="L40" s="36"/>
      <c r="M40" s="234"/>
      <c r="N40" s="36"/>
      <c r="O40" s="234"/>
      <c r="P40" s="36"/>
      <c r="Q40" s="36"/>
      <c r="R40" s="36"/>
      <c r="S40" s="36"/>
      <c r="T40" s="36"/>
      <c r="U40" s="36"/>
      <c r="V40" s="36"/>
      <c r="W40" s="36"/>
      <c r="X40" s="36"/>
      <c r="Y40" s="235"/>
      <c r="Z40" s="234"/>
      <c r="AA40" s="234"/>
      <c r="AB40" s="36"/>
      <c r="AC40" s="36"/>
      <c r="AD40" s="234"/>
      <c r="AE40" s="234"/>
      <c r="AF40" s="234"/>
      <c r="AG40" s="234"/>
      <c r="AH40" s="234"/>
      <c r="AI40" s="234"/>
      <c r="AJ40" s="234"/>
      <c r="AK40" s="234"/>
      <c r="AL40" s="234"/>
    </row>
    <row r="41" spans="2:38" x14ac:dyDescent="0.25">
      <c r="B41" s="36"/>
      <c r="C41" s="36"/>
      <c r="D41" s="234"/>
      <c r="E41" s="234"/>
      <c r="F41" s="234"/>
      <c r="G41" s="234"/>
      <c r="H41" s="298"/>
      <c r="I41" s="296"/>
      <c r="J41" s="296"/>
      <c r="K41" s="36"/>
      <c r="L41" s="36"/>
      <c r="M41" s="234"/>
      <c r="N41" s="36"/>
      <c r="O41" s="234"/>
      <c r="P41" s="36"/>
      <c r="Q41" s="36"/>
      <c r="R41" s="36"/>
      <c r="S41" s="36"/>
      <c r="T41" s="36"/>
      <c r="U41" s="36"/>
      <c r="V41" s="36"/>
      <c r="W41" s="36"/>
      <c r="X41" s="36"/>
      <c r="Y41" s="235"/>
      <c r="Z41" s="234"/>
      <c r="AA41" s="234"/>
      <c r="AB41" s="36"/>
      <c r="AC41" s="36"/>
      <c r="AD41" s="234"/>
      <c r="AE41" s="234"/>
      <c r="AF41" s="234"/>
      <c r="AG41" s="234"/>
      <c r="AH41" s="234"/>
      <c r="AI41" s="234"/>
      <c r="AJ41" s="234"/>
      <c r="AK41" s="234"/>
      <c r="AL41" s="234"/>
    </row>
    <row r="42" spans="2:38" x14ac:dyDescent="0.25">
      <c r="B42" s="36"/>
      <c r="C42" s="36"/>
      <c r="D42" s="234"/>
      <c r="E42" s="234"/>
      <c r="F42" s="234"/>
      <c r="G42" s="234"/>
      <c r="H42" s="304"/>
      <c r="I42" s="297"/>
      <c r="J42" s="296"/>
      <c r="K42" s="36"/>
      <c r="L42" s="36"/>
      <c r="M42" s="234"/>
      <c r="N42" s="36"/>
      <c r="O42" s="234"/>
      <c r="P42" s="36"/>
      <c r="Q42" s="36"/>
      <c r="R42" s="36"/>
      <c r="S42" s="36"/>
      <c r="T42" s="36"/>
      <c r="U42" s="36"/>
      <c r="V42" s="36"/>
      <c r="W42" s="36"/>
      <c r="X42" s="36"/>
      <c r="Y42" s="235"/>
      <c r="Z42" s="234"/>
      <c r="AA42" s="234"/>
      <c r="AB42" s="36"/>
      <c r="AC42" s="36"/>
      <c r="AD42" s="234"/>
      <c r="AE42" s="234"/>
      <c r="AF42" s="234"/>
      <c r="AG42" s="234"/>
      <c r="AH42" s="234"/>
      <c r="AI42" s="234"/>
      <c r="AJ42" s="234"/>
      <c r="AK42" s="234"/>
      <c r="AL42" s="234"/>
    </row>
    <row r="43" spans="2:38" x14ac:dyDescent="0.25">
      <c r="B43" s="36"/>
      <c r="C43" s="36"/>
      <c r="D43" s="234"/>
      <c r="E43" s="234"/>
      <c r="F43" s="234"/>
      <c r="G43" s="234"/>
      <c r="H43" s="298"/>
      <c r="I43" s="296"/>
      <c r="J43" s="296"/>
      <c r="K43" s="36"/>
      <c r="L43" s="36"/>
      <c r="M43" s="234"/>
      <c r="N43" s="36"/>
      <c r="O43" s="234"/>
      <c r="P43" s="36"/>
      <c r="Q43" s="36"/>
      <c r="R43" s="36"/>
      <c r="S43" s="36"/>
      <c r="T43" s="36"/>
      <c r="U43" s="36"/>
      <c r="V43" s="36"/>
      <c r="W43" s="36"/>
      <c r="X43" s="36"/>
      <c r="Y43" s="235"/>
      <c r="Z43" s="234"/>
      <c r="AA43" s="234"/>
      <c r="AB43" s="36"/>
      <c r="AC43" s="36"/>
      <c r="AD43" s="234"/>
      <c r="AE43" s="234"/>
      <c r="AF43" s="234"/>
      <c r="AG43" s="234"/>
      <c r="AH43" s="234"/>
      <c r="AI43" s="234"/>
      <c r="AJ43" s="234"/>
      <c r="AK43" s="234"/>
      <c r="AL43" s="234"/>
    </row>
    <row r="44" spans="2:38" x14ac:dyDescent="0.25">
      <c r="B44" s="36"/>
      <c r="C44" s="36"/>
      <c r="D44" s="234"/>
      <c r="E44" s="234"/>
      <c r="F44" s="234"/>
      <c r="G44" s="234"/>
      <c r="H44" s="234"/>
      <c r="I44" s="36"/>
      <c r="J44" s="36"/>
      <c r="K44" s="36"/>
      <c r="L44" s="36"/>
      <c r="M44" s="234"/>
      <c r="N44" s="36"/>
      <c r="O44" s="234"/>
      <c r="P44" s="36"/>
      <c r="Q44" s="36"/>
      <c r="R44" s="36"/>
      <c r="S44" s="36"/>
      <c r="T44" s="36"/>
      <c r="U44" s="36"/>
      <c r="V44" s="36"/>
      <c r="W44" s="36"/>
      <c r="X44" s="36"/>
      <c r="Y44" s="235"/>
      <c r="Z44" s="234"/>
      <c r="AA44" s="234"/>
      <c r="AB44" s="36"/>
      <c r="AC44" s="36"/>
      <c r="AD44" s="234"/>
      <c r="AE44" s="234"/>
      <c r="AF44" s="234"/>
      <c r="AG44" s="234"/>
      <c r="AH44" s="234"/>
      <c r="AI44" s="234"/>
      <c r="AJ44" s="234"/>
      <c r="AK44" s="234"/>
      <c r="AL44" s="234"/>
    </row>
  </sheetData>
  <mergeCells count="3">
    <mergeCell ref="S2:S3"/>
    <mergeCell ref="AM2:AQ2"/>
    <mergeCell ref="D33:E33"/>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Q131"/>
  <sheetViews>
    <sheetView topLeftCell="A82" workbookViewId="0">
      <selection activeCell="P131" sqref="P131"/>
    </sheetView>
  </sheetViews>
  <sheetFormatPr defaultColWidth="10.26953125" defaultRowHeight="12.5" x14ac:dyDescent="0.25"/>
  <cols>
    <col min="1" max="1" width="9.1796875" style="29" customWidth="1"/>
    <col min="2" max="2" width="26.7265625" style="29" customWidth="1"/>
    <col min="3" max="3" width="6.26953125" style="29" customWidth="1"/>
    <col min="4" max="5" width="11.26953125" style="29" customWidth="1"/>
    <col min="6" max="6" width="11.1796875" style="29" customWidth="1"/>
    <col min="7" max="8" width="10.26953125" style="29" customWidth="1"/>
    <col min="9" max="9" width="11.54296875" style="30" customWidth="1"/>
    <col min="10" max="10" width="11.1796875" style="30" customWidth="1"/>
    <col min="11" max="11" width="11" style="29" customWidth="1"/>
    <col min="12" max="12" width="11.1796875" style="29" customWidth="1"/>
    <col min="13" max="13" width="11.26953125" style="29" customWidth="1"/>
    <col min="14" max="14" width="10.54296875" style="29" customWidth="1"/>
    <col min="15" max="15" width="12.81640625" style="29" customWidth="1"/>
    <col min="16" max="16" width="11.54296875" style="29" customWidth="1"/>
    <col min="17" max="17" width="11" style="29" customWidth="1"/>
    <col min="18" max="18" width="11.54296875" style="29" customWidth="1"/>
    <col min="19" max="19" width="12.453125" style="29" customWidth="1"/>
    <col min="20" max="20" width="12.26953125" style="29" customWidth="1"/>
    <col min="21" max="22" width="11.26953125" style="29" customWidth="1"/>
    <col min="23" max="24" width="10.26953125" style="29" customWidth="1"/>
    <col min="25" max="25" width="11.1796875" style="29" customWidth="1"/>
    <col min="26" max="26" width="11.26953125" style="29" customWidth="1"/>
    <col min="27" max="27" width="11" style="29" customWidth="1"/>
    <col min="28" max="29" width="11.1796875" style="29" customWidth="1"/>
    <col min="30" max="31" width="10.26953125" style="29" customWidth="1"/>
    <col min="32" max="32" width="11.1796875" style="29" customWidth="1"/>
    <col min="33" max="35" width="10.26953125" style="29" customWidth="1"/>
    <col min="36" max="36" width="11.1796875" style="29" customWidth="1"/>
    <col min="37" max="37" width="2" style="29" customWidth="1"/>
    <col min="38" max="38" width="11" style="29" customWidth="1"/>
    <col min="39" max="41" width="10.26953125" style="29" customWidth="1"/>
    <col min="42" max="16384" width="10.26953125" style="29"/>
  </cols>
  <sheetData>
    <row r="1" spans="1:28" x14ac:dyDescent="0.25">
      <c r="A1" s="94" t="s">
        <v>230</v>
      </c>
      <c r="B1" s="36"/>
      <c r="C1" s="36"/>
      <c r="D1" s="36"/>
      <c r="E1" s="36"/>
      <c r="F1" s="36"/>
      <c r="G1" s="36"/>
      <c r="H1" s="36"/>
      <c r="I1" s="234"/>
      <c r="J1" s="234"/>
      <c r="K1" s="36"/>
      <c r="L1" s="36"/>
      <c r="M1" s="36"/>
      <c r="N1" s="36"/>
      <c r="O1" s="36"/>
      <c r="P1" s="36"/>
      <c r="Q1" s="36"/>
      <c r="R1" s="36"/>
      <c r="S1" s="1451" t="s">
        <v>231</v>
      </c>
      <c r="T1" s="260"/>
      <c r="U1" s="1454" t="s">
        <v>232</v>
      </c>
      <c r="V1" s="1454"/>
      <c r="W1" s="1454"/>
      <c r="X1" s="36"/>
      <c r="Y1" s="36"/>
      <c r="Z1" s="36"/>
      <c r="AA1" s="36"/>
      <c r="AB1" s="36"/>
    </row>
    <row r="2" spans="1:28" ht="13" x14ac:dyDescent="0.3">
      <c r="A2" s="94"/>
      <c r="B2" s="36"/>
      <c r="C2" s="36"/>
      <c r="D2" s="36"/>
      <c r="E2" s="139" t="s">
        <v>708</v>
      </c>
      <c r="F2" s="36"/>
      <c r="G2" s="36"/>
      <c r="H2" s="36"/>
      <c r="I2" s="234"/>
      <c r="J2" s="234"/>
      <c r="K2" s="36"/>
      <c r="L2" s="36"/>
      <c r="M2" s="36"/>
      <c r="N2" s="36"/>
      <c r="O2" s="36"/>
      <c r="P2" s="36"/>
      <c r="Q2" s="36"/>
      <c r="R2" s="36"/>
      <c r="S2" s="1452"/>
      <c r="T2" s="261"/>
      <c r="U2" s="1454" t="s">
        <v>234</v>
      </c>
      <c r="V2" s="1454"/>
      <c r="W2" s="1454"/>
      <c r="X2" s="36"/>
      <c r="Y2" s="36"/>
      <c r="Z2" s="36"/>
      <c r="AA2" s="36"/>
      <c r="AB2" s="36"/>
    </row>
    <row r="3" spans="1:28" ht="13" x14ac:dyDescent="0.3">
      <c r="A3" s="93" t="s">
        <v>235</v>
      </c>
      <c r="B3" s="36"/>
      <c r="C3" s="36"/>
      <c r="D3" s="36"/>
      <c r="E3" s="36"/>
      <c r="F3" s="36"/>
      <c r="G3" s="36"/>
      <c r="H3" s="36"/>
      <c r="I3" s="94" t="s">
        <v>709</v>
      </c>
      <c r="J3" s="234"/>
      <c r="K3" s="36"/>
      <c r="L3" s="36"/>
      <c r="M3" s="36"/>
      <c r="N3" s="36"/>
      <c r="O3" s="36"/>
      <c r="P3" s="36"/>
      <c r="Q3" s="36"/>
      <c r="R3" s="36"/>
      <c r="S3" s="1452"/>
      <c r="T3" s="262"/>
      <c r="U3" s="1454" t="s">
        <v>237</v>
      </c>
      <c r="V3" s="1454"/>
      <c r="W3" s="1454"/>
      <c r="X3" s="36"/>
      <c r="Y3" s="36"/>
      <c r="Z3" s="36"/>
      <c r="AA3" s="36"/>
      <c r="AB3" s="36"/>
    </row>
    <row r="4" spans="1:28" x14ac:dyDescent="0.25">
      <c r="A4" s="36"/>
      <c r="B4" s="263"/>
      <c r="C4" s="263"/>
      <c r="D4" s="36"/>
      <c r="E4" s="36"/>
      <c r="F4" s="36"/>
      <c r="G4" s="36"/>
      <c r="H4" s="36"/>
      <c r="I4" s="234"/>
      <c r="J4" s="234"/>
      <c r="K4" s="36"/>
      <c r="L4" s="36"/>
      <c r="M4" s="36"/>
      <c r="N4" s="36"/>
      <c r="O4" s="36"/>
      <c r="P4" s="1445" t="s">
        <v>238</v>
      </c>
      <c r="Q4" s="1446"/>
      <c r="R4" s="36"/>
      <c r="S4" s="1453"/>
      <c r="T4" s="264"/>
      <c r="U4" s="1454" t="s">
        <v>239</v>
      </c>
      <c r="V4" s="1454"/>
      <c r="W4" s="1454"/>
      <c r="X4" s="36"/>
      <c r="Y4" s="36"/>
      <c r="Z4" s="36"/>
      <c r="AA4" s="36"/>
      <c r="AB4" s="36"/>
    </row>
    <row r="5" spans="1:28" ht="37.5" x14ac:dyDescent="0.25">
      <c r="A5" s="265" t="s">
        <v>182</v>
      </c>
      <c r="B5" s="237" t="s">
        <v>183</v>
      </c>
      <c r="C5" s="238" t="s">
        <v>184</v>
      </c>
      <c r="D5" s="36" t="s">
        <v>240</v>
      </c>
      <c r="E5" s="36" t="s">
        <v>241</v>
      </c>
      <c r="F5" s="36" t="s">
        <v>242</v>
      </c>
      <c r="G5" s="36" t="s">
        <v>243</v>
      </c>
      <c r="H5" s="36" t="s">
        <v>786</v>
      </c>
      <c r="I5" s="36" t="s">
        <v>244</v>
      </c>
      <c r="J5" s="243" t="s">
        <v>245</v>
      </c>
      <c r="K5" s="243" t="s">
        <v>246</v>
      </c>
      <c r="L5" s="243" t="s">
        <v>247</v>
      </c>
      <c r="M5" s="243" t="s">
        <v>248</v>
      </c>
      <c r="N5" s="243" t="s">
        <v>249</v>
      </c>
      <c r="O5" s="243" t="s">
        <v>250</v>
      </c>
      <c r="P5" s="243" t="s">
        <v>251</v>
      </c>
      <c r="Q5" s="266" t="s">
        <v>252</v>
      </c>
      <c r="R5" s="320" t="s">
        <v>253</v>
      </c>
      <c r="S5" s="36"/>
      <c r="T5" s="36"/>
      <c r="U5" s="36"/>
      <c r="V5" s="36"/>
      <c r="W5" s="36"/>
      <c r="X5" s="36"/>
      <c r="Y5" s="36"/>
      <c r="Z5" s="36"/>
      <c r="AA5" s="36"/>
      <c r="AB5" s="36"/>
    </row>
    <row r="6" spans="1:28" x14ac:dyDescent="0.25">
      <c r="A6" s="244">
        <v>9257010</v>
      </c>
      <c r="B6" s="237" t="s">
        <v>205</v>
      </c>
      <c r="C6" s="273">
        <v>4</v>
      </c>
      <c r="D6" s="268">
        <f>'Revised Bands - Rebase'!F62</f>
        <v>0.36486912645853048</v>
      </c>
      <c r="E6" s="268">
        <f>'Revised Bands - Rebase'!G62</f>
        <v>0.2857142857142857</v>
      </c>
      <c r="F6" s="268">
        <f>'Revised Bands - Rebase'!H62</f>
        <v>0.11904761904761904</v>
      </c>
      <c r="G6" s="268">
        <f>'Revised Bands - Rebase'!I62</f>
        <v>0</v>
      </c>
      <c r="H6" s="268">
        <f>'Revised Bands - Rebase'!K62</f>
        <v>0.15894039735099336</v>
      </c>
      <c r="I6" s="268">
        <f>'Revised Bands - Rebase'!J62</f>
        <v>7.1428571428571425E-2</v>
      </c>
      <c r="J6" s="269">
        <v>0</v>
      </c>
      <c r="K6" s="269">
        <v>39</v>
      </c>
      <c r="L6" s="269">
        <f>SUM(J6:K6)</f>
        <v>39</v>
      </c>
      <c r="M6" s="235">
        <f t="shared" ref="M6:M23" si="0">((((J6*D6)*$G$92)+((J6*E6)*$G$94)+((J6*F6)*$G$96)+((J6*G6)*$G$98)+((J6*I6)*$G$102)))*(5/12)</f>
        <v>0</v>
      </c>
      <c r="N6" s="235">
        <f>((((K6*D6)*$G$92)+((K6*E6)*$G$94)+((K6*F6)*$G$96)+((K6*G6)*$G$98)+((K6*H6)*$G$100)+((K6*I6)*$G$102))*(5/12))</f>
        <v>186289.34996295019</v>
      </c>
      <c r="O6" s="235">
        <f>((L6*I6)*$G$104)*(5/12)</f>
        <v>3058.5377284974647</v>
      </c>
      <c r="P6" s="235">
        <f>SUM(M6:O6)</f>
        <v>189347.88769144766</v>
      </c>
      <c r="Q6" s="1026">
        <f>(L6*(5/12))*10000</f>
        <v>162500</v>
      </c>
      <c r="R6" s="1026">
        <f>(VLOOKUP(A6,'Funding Detail - Rebase'!$A$4:$AK$23,37,FALSE)*5/12)*L6</f>
        <v>189019.21354028239</v>
      </c>
      <c r="S6" s="235"/>
      <c r="T6" s="235"/>
      <c r="U6" s="235"/>
      <c r="V6" s="295" t="s">
        <v>254</v>
      </c>
      <c r="W6" s="36"/>
      <c r="X6" s="36"/>
      <c r="Y6" s="235"/>
      <c r="Z6" s="36"/>
      <c r="AA6" s="36"/>
      <c r="AB6" s="36"/>
    </row>
    <row r="7" spans="1:28" ht="12.75" customHeight="1" x14ac:dyDescent="0.25">
      <c r="A7" s="244">
        <v>9257005</v>
      </c>
      <c r="B7" s="237" t="s">
        <v>208</v>
      </c>
      <c r="C7" s="267">
        <v>4</v>
      </c>
      <c r="D7" s="268">
        <f>'Revised Bands - Rebase'!F67</f>
        <v>0.13157894736842105</v>
      </c>
      <c r="E7" s="268">
        <f>'Revised Bands - Rebase'!G67</f>
        <v>0.35526315789473684</v>
      </c>
      <c r="F7" s="268">
        <f>'Revised Bands - Rebase'!H67</f>
        <v>0.17105263157894737</v>
      </c>
      <c r="G7" s="268">
        <f>'Revised Bands - Rebase'!I67</f>
        <v>5.0986842105263164E-2</v>
      </c>
      <c r="H7" s="268">
        <f>'Revised Bands - Rebase'!K67</f>
        <v>9.3750000000000014E-2</v>
      </c>
      <c r="I7" s="268">
        <f>'Revised Bands - Rebase'!J67</f>
        <v>0.19736842105263158</v>
      </c>
      <c r="J7" s="269">
        <v>0</v>
      </c>
      <c r="K7" s="269">
        <v>45</v>
      </c>
      <c r="L7" s="269">
        <f t="shared" ref="L7:L23" si="1">SUM(J7:K7)</f>
        <v>45</v>
      </c>
      <c r="M7" s="235">
        <f t="shared" si="0"/>
        <v>0</v>
      </c>
      <c r="N7" s="235">
        <f t="shared" ref="N7:N23" si="2">((((K7*D7)*$G$92)+((K7*E7)*$G$94)+((K7*F7)*$G$96)+((K7*G7)*$G$98)+((K7*H7)*$G$100)+((K7*I7)*$G$102))*(5/12))</f>
        <v>191200.21921852537</v>
      </c>
      <c r="O7" s="235">
        <f t="shared" ref="O7:O23" si="3">((L7*I7)*$G$104)*(5/12)</f>
        <v>9751.4107740556829</v>
      </c>
      <c r="P7" s="235">
        <f>SUM(M7:O7)</f>
        <v>200951.62999258106</v>
      </c>
      <c r="Q7" s="1026">
        <f>(L7*(5/12))*10000</f>
        <v>187500</v>
      </c>
      <c r="R7" s="1026">
        <f>(VLOOKUP(A7,'Funding Detail - Rebase'!$A$4:$AK$23,37,FALSE)*5/12)*L7</f>
        <v>139718.00207943967</v>
      </c>
      <c r="S7" s="235"/>
      <c r="T7" s="235"/>
      <c r="U7" s="297" t="s">
        <v>207</v>
      </c>
      <c r="V7" s="296" t="s">
        <v>255</v>
      </c>
      <c r="W7" s="36"/>
      <c r="X7" s="36"/>
      <c r="Y7" s="235"/>
      <c r="Z7" s="234"/>
      <c r="AA7" s="36"/>
      <c r="AB7" s="36"/>
    </row>
    <row r="8" spans="1:28" ht="12.75" customHeight="1" x14ac:dyDescent="0.25">
      <c r="A8" s="244">
        <v>9257025</v>
      </c>
      <c r="B8" s="237" t="s">
        <v>209</v>
      </c>
      <c r="C8" s="271">
        <v>4</v>
      </c>
      <c r="D8" s="268">
        <f>'Revised Bands - Rebase'!F72</f>
        <v>0.2252640008007607</v>
      </c>
      <c r="E8" s="268">
        <f>'Revised Bands - Rebase'!G72</f>
        <v>0.41509433962264153</v>
      </c>
      <c r="F8" s="268">
        <f>'Revised Bands - Rebase'!H72</f>
        <v>5.6603773584905662E-2</v>
      </c>
      <c r="G8" s="268">
        <f>'Revised Bands - Rebase'!I72</f>
        <v>0</v>
      </c>
      <c r="H8" s="268">
        <f>'Revised Bands - Rebase'!K72</f>
        <v>9.5490716180371346E-2</v>
      </c>
      <c r="I8" s="268">
        <f>'Revised Bands - Rebase'!J72</f>
        <v>0.20754716981132076</v>
      </c>
      <c r="J8" s="269">
        <v>0</v>
      </c>
      <c r="K8" s="269">
        <v>49</v>
      </c>
      <c r="L8" s="269">
        <f t="shared" si="1"/>
        <v>49</v>
      </c>
      <c r="M8" s="235">
        <f t="shared" si="0"/>
        <v>0</v>
      </c>
      <c r="N8" s="235">
        <f t="shared" si="2"/>
        <v>215994.22036728152</v>
      </c>
      <c r="O8" s="235">
        <f t="shared" si="3"/>
        <v>11165.808272492439</v>
      </c>
      <c r="P8" s="235">
        <f t="shared" ref="P8:P23" si="4">SUM(M8:O8)</f>
        <v>227160.02863977395</v>
      </c>
      <c r="Q8" s="1026">
        <f t="shared" ref="Q8:Q23" si="5">(L8*(5/12))*10000</f>
        <v>204166.66666666669</v>
      </c>
      <c r="R8" s="1026">
        <f>(VLOOKUP(A8,'Funding Detail - Rebase'!$A$4:$AK$23,37,FALSE)*5/12)*L8</f>
        <v>186802.43164840087</v>
      </c>
      <c r="S8" s="235"/>
      <c r="T8" s="235"/>
      <c r="U8" s="297" t="s">
        <v>207</v>
      </c>
      <c r="V8" s="1447" t="s">
        <v>256</v>
      </c>
      <c r="W8" s="1447"/>
      <c r="X8" s="1447"/>
      <c r="Y8" s="1447"/>
      <c r="Z8" s="1447"/>
      <c r="AA8" s="1447"/>
      <c r="AB8" s="1447"/>
    </row>
    <row r="9" spans="1:28" x14ac:dyDescent="0.25">
      <c r="A9" s="244">
        <v>9257011</v>
      </c>
      <c r="B9" s="237" t="s">
        <v>210</v>
      </c>
      <c r="C9" s="267">
        <v>4</v>
      </c>
      <c r="D9" s="268">
        <f>'Revised Bands - Rebase'!F77</f>
        <v>0.31076711386308908</v>
      </c>
      <c r="E9" s="268">
        <f>'Revised Bands - Rebase'!G77</f>
        <v>0.42222222222222222</v>
      </c>
      <c r="F9" s="268">
        <f>'Revised Bands - Rebase'!H77</f>
        <v>0</v>
      </c>
      <c r="G9" s="268">
        <f>'Revised Bands - Rebase'!I77</f>
        <v>0</v>
      </c>
      <c r="H9" s="268">
        <f>'Revised Bands - Rebase'!K77</f>
        <v>0.11145510835913314</v>
      </c>
      <c r="I9" s="268">
        <f>'Revised Bands - Rebase'!J77</f>
        <v>0.15555555555555556</v>
      </c>
      <c r="J9" s="269">
        <v>0</v>
      </c>
      <c r="K9" s="269">
        <v>47</v>
      </c>
      <c r="L9" s="269">
        <f t="shared" si="1"/>
        <v>47</v>
      </c>
      <c r="M9" s="235">
        <f t="shared" si="0"/>
        <v>0</v>
      </c>
      <c r="N9" s="235">
        <f t="shared" si="2"/>
        <v>215878.79427874461</v>
      </c>
      <c r="O9" s="235">
        <f t="shared" si="3"/>
        <v>8027.1366253329461</v>
      </c>
      <c r="P9" s="235">
        <f t="shared" si="4"/>
        <v>223905.93090407754</v>
      </c>
      <c r="Q9" s="1026">
        <f t="shared" si="5"/>
        <v>195833.33333333334</v>
      </c>
      <c r="R9" s="1026">
        <f>(VLOOKUP(A9,'Funding Detail - Rebase'!$A$4:$AK$23,37,FALSE)*5/12)*L9</f>
        <v>210638.81900383069</v>
      </c>
      <c r="S9" s="235"/>
      <c r="T9" s="235"/>
      <c r="U9" s="297"/>
      <c r="V9" s="1447"/>
      <c r="W9" s="1447"/>
      <c r="X9" s="1447"/>
      <c r="Y9" s="1447"/>
      <c r="Z9" s="1447"/>
      <c r="AA9" s="1447"/>
      <c r="AB9" s="1447"/>
    </row>
    <row r="10" spans="1:28" x14ac:dyDescent="0.25">
      <c r="A10" s="244">
        <v>9257024</v>
      </c>
      <c r="B10" s="237" t="s">
        <v>211</v>
      </c>
      <c r="C10" s="267">
        <v>3</v>
      </c>
      <c r="D10" s="268">
        <f>'Revised Bands - Rebase'!F82</f>
        <v>0.2</v>
      </c>
      <c r="E10" s="268">
        <f>'Revised Bands - Rebase'!G82</f>
        <v>0.5636363636363636</v>
      </c>
      <c r="F10" s="268">
        <f>'Revised Bands - Rebase'!H82</f>
        <v>1.8181818181818181E-2</v>
      </c>
      <c r="G10" s="268">
        <f>'Revised Bands - Rebase'!I82</f>
        <v>2.3558542624690485E-2</v>
      </c>
      <c r="H10" s="268">
        <f>'Revised Bands - Rebase'!K82</f>
        <v>0.14007782101167315</v>
      </c>
      <c r="I10" s="268">
        <f>'Revised Bands - Rebase'!J82</f>
        <v>5.4545454545454543E-2</v>
      </c>
      <c r="J10" s="269">
        <v>0</v>
      </c>
      <c r="K10" s="269">
        <v>45</v>
      </c>
      <c r="L10" s="269">
        <f t="shared" si="1"/>
        <v>45</v>
      </c>
      <c r="M10" s="235">
        <f t="shared" si="0"/>
        <v>0</v>
      </c>
      <c r="N10" s="235">
        <f t="shared" si="2"/>
        <v>198931.32014596194</v>
      </c>
      <c r="O10" s="235">
        <f t="shared" si="3"/>
        <v>2694.9353411935704</v>
      </c>
      <c r="P10" s="235">
        <f t="shared" si="4"/>
        <v>201626.25548715552</v>
      </c>
      <c r="Q10" s="1026">
        <f t="shared" si="5"/>
        <v>187500</v>
      </c>
      <c r="R10" s="1026">
        <f>(VLOOKUP(A10,'Funding Detail - Rebase'!$A$4:$AK$23,37,FALSE)*5/12)*L10</f>
        <v>129075.65334189688</v>
      </c>
      <c r="S10" s="235"/>
      <c r="T10" s="235"/>
      <c r="U10" s="297"/>
      <c r="V10" s="1447"/>
      <c r="W10" s="1447"/>
      <c r="X10" s="1447"/>
      <c r="Y10" s="1447"/>
      <c r="Z10" s="1447"/>
      <c r="AA10" s="1447"/>
      <c r="AB10" s="1447"/>
    </row>
    <row r="11" spans="1:28" ht="12.75" customHeight="1" x14ac:dyDescent="0.25">
      <c r="A11" s="244">
        <v>9257031</v>
      </c>
      <c r="B11" s="237" t="s">
        <v>257</v>
      </c>
      <c r="C11" s="267">
        <v>4</v>
      </c>
      <c r="D11" s="268">
        <f>SUM('Revised Bands - Rebase'!G35)</f>
        <v>0</v>
      </c>
      <c r="E11" s="268">
        <f>SUM('Revised Bands - Rebase'!I35)</f>
        <v>0</v>
      </c>
      <c r="F11" s="268">
        <f>SUM('Revised Bands - Rebase'!K35)</f>
        <v>0</v>
      </c>
      <c r="G11" s="268">
        <f>SUM('Revised Bands - Rebase'!M35)</f>
        <v>0</v>
      </c>
      <c r="H11" s="268">
        <f>SUM('Revised Bands - Rebase'!O35)</f>
        <v>0</v>
      </c>
      <c r="I11" s="268">
        <f>SUM('Revised Bands - Rebase'!Q35)</f>
        <v>1</v>
      </c>
      <c r="J11" s="269">
        <v>0</v>
      </c>
      <c r="K11" s="269">
        <v>68</v>
      </c>
      <c r="L11" s="269">
        <f t="shared" si="1"/>
        <v>68</v>
      </c>
      <c r="M11" s="235">
        <f t="shared" si="0"/>
        <v>0</v>
      </c>
      <c r="N11" s="235">
        <f t="shared" si="2"/>
        <v>331273.91807940899</v>
      </c>
      <c r="O11" s="235">
        <f t="shared" si="3"/>
        <v>74659.69019306633</v>
      </c>
      <c r="P11" s="235">
        <f t="shared" si="4"/>
        <v>405933.60827247531</v>
      </c>
      <c r="Q11" s="1026">
        <f t="shared" si="5"/>
        <v>283333.33333333337</v>
      </c>
      <c r="R11" s="1026">
        <f>(VLOOKUP(A11,'Funding Detail - Rebase'!$A$4:$AK$23,37,FALSE)*5/12)*L11</f>
        <v>297258.57375973515</v>
      </c>
      <c r="S11" s="235"/>
      <c r="T11" s="235"/>
      <c r="U11" s="297"/>
      <c r="V11" s="1447" t="s">
        <v>258</v>
      </c>
      <c r="W11" s="1447"/>
      <c r="X11" s="1447"/>
      <c r="Y11" s="1447"/>
      <c r="Z11" s="1447"/>
      <c r="AA11" s="1447"/>
      <c r="AB11" s="1447"/>
    </row>
    <row r="12" spans="1:28" x14ac:dyDescent="0.25">
      <c r="A12" s="244">
        <v>9257033</v>
      </c>
      <c r="B12" s="237" t="s">
        <v>220</v>
      </c>
      <c r="C12" s="267">
        <v>3</v>
      </c>
      <c r="D12" s="268">
        <f>SUM('Revised Bands - Rebase'!G36)</f>
        <v>3.6363636363636362E-2</v>
      </c>
      <c r="E12" s="268">
        <f>SUM('Revised Bands - Rebase'!I36)</f>
        <v>0.29090909090909089</v>
      </c>
      <c r="F12" s="268">
        <f>SUM('Revised Bands - Rebase'!K36)</f>
        <v>0.27272727272727271</v>
      </c>
      <c r="G12" s="268">
        <f>SUM('Revised Bands - Rebase'!M36)</f>
        <v>5.4545454545454543E-2</v>
      </c>
      <c r="H12" s="268">
        <f>SUM('Revised Bands - Rebase'!O36)</f>
        <v>0</v>
      </c>
      <c r="I12" s="268">
        <f>SUM('Revised Bands - Rebase'!Q36)</f>
        <v>0.34545454545454546</v>
      </c>
      <c r="J12" s="269">
        <v>0</v>
      </c>
      <c r="K12" s="269">
        <v>57</v>
      </c>
      <c r="L12" s="269">
        <f t="shared" si="1"/>
        <v>57</v>
      </c>
      <c r="M12" s="235">
        <f t="shared" si="0"/>
        <v>0</v>
      </c>
      <c r="N12" s="235">
        <f t="shared" si="2"/>
        <v>212396.95552966642</v>
      </c>
      <c r="O12" s="235">
        <f t="shared" si="3"/>
        <v>21619.370181575086</v>
      </c>
      <c r="P12" s="235">
        <f t="shared" si="4"/>
        <v>234016.32571124152</v>
      </c>
      <c r="Q12" s="1026">
        <f t="shared" si="5"/>
        <v>237500</v>
      </c>
      <c r="R12" s="1026">
        <f>(VLOOKUP(A12,'Funding Detail - Rebase'!$A$4:$AK$23,37,FALSE)*5/12)*L12</f>
        <v>125687.10186143278</v>
      </c>
      <c r="S12" s="235"/>
      <c r="T12" s="235"/>
      <c r="U12" s="297"/>
      <c r="V12" s="1447"/>
      <c r="W12" s="1447"/>
      <c r="X12" s="1447"/>
      <c r="Y12" s="1447"/>
      <c r="Z12" s="1447"/>
      <c r="AA12" s="1447"/>
      <c r="AB12" s="1447"/>
    </row>
    <row r="13" spans="1:28" x14ac:dyDescent="0.25">
      <c r="A13" s="244">
        <v>9257008</v>
      </c>
      <c r="B13" s="237" t="s">
        <v>212</v>
      </c>
      <c r="C13" s="271">
        <v>4</v>
      </c>
      <c r="D13" s="268">
        <f>SUM('Revised Bands - Rebase'!G37)</f>
        <v>0</v>
      </c>
      <c r="E13" s="268">
        <f>SUM('Revised Bands - Rebase'!I37)</f>
        <v>8.2352941176470587E-2</v>
      </c>
      <c r="F13" s="268">
        <f>SUM('Revised Bands - Rebase'!K37)</f>
        <v>0.61176470588235299</v>
      </c>
      <c r="G13" s="268">
        <f>SUM('Revised Bands - Rebase'!M37)</f>
        <v>2.3529411764705882E-2</v>
      </c>
      <c r="H13" s="268">
        <f>SUM('Revised Bands - Rebase'!O37)</f>
        <v>0</v>
      </c>
      <c r="I13" s="268">
        <f>SUM('Revised Bands - Rebase'!Q37)</f>
        <v>0.28235294117647058</v>
      </c>
      <c r="J13" s="269">
        <v>0</v>
      </c>
      <c r="K13" s="269">
        <v>90</v>
      </c>
      <c r="L13" s="269">
        <f t="shared" si="1"/>
        <v>90</v>
      </c>
      <c r="M13" s="235">
        <f t="shared" si="0"/>
        <v>0</v>
      </c>
      <c r="N13" s="235">
        <f t="shared" si="2"/>
        <v>300051.70758049889</v>
      </c>
      <c r="O13" s="235">
        <f t="shared" si="3"/>
        <v>27900.507061768727</v>
      </c>
      <c r="P13" s="235">
        <f t="shared" si="4"/>
        <v>327952.21464226762</v>
      </c>
      <c r="Q13" s="1026">
        <f t="shared" si="5"/>
        <v>375000</v>
      </c>
      <c r="R13" s="1026">
        <f>(VLOOKUP(A13,'Funding Detail - Rebase'!$A$4:$AK$23,37,FALSE)*5/12)*L13</f>
        <v>164161.03455877426</v>
      </c>
      <c r="S13" s="235"/>
      <c r="T13" s="235"/>
      <c r="U13" s="297"/>
      <c r="V13" s="1447"/>
      <c r="W13" s="1447"/>
      <c r="X13" s="1447"/>
      <c r="Y13" s="1447"/>
      <c r="Z13" s="1447"/>
      <c r="AA13" s="1447"/>
      <c r="AB13" s="1447"/>
    </row>
    <row r="14" spans="1:28" x14ac:dyDescent="0.25">
      <c r="A14" s="244">
        <v>9257034</v>
      </c>
      <c r="B14" s="237" t="s">
        <v>221</v>
      </c>
      <c r="C14" s="267">
        <v>5</v>
      </c>
      <c r="D14" s="268">
        <f>'Revised Bands - Rebase'!F112</f>
        <v>7.0866141732283464E-2</v>
      </c>
      <c r="E14" s="268">
        <f>'Revised Bands - Rebase'!G112</f>
        <v>0.16535433070866143</v>
      </c>
      <c r="F14" s="268">
        <f>'Revised Bands - Rebase'!H112</f>
        <v>0.51968503937007871</v>
      </c>
      <c r="G14" s="268">
        <f>'Revised Bands - Rebase'!I112</f>
        <v>1.4142328214579346E-2</v>
      </c>
      <c r="H14" s="268">
        <f>'Revised Bands - Rebase'!K112</f>
        <v>2.5227750525578133E-2</v>
      </c>
      <c r="I14" s="268">
        <f>'Revised Bands - Rebase'!J112</f>
        <v>0.20472440944881889</v>
      </c>
      <c r="J14" s="269">
        <v>0</v>
      </c>
      <c r="K14" s="269">
        <v>89</v>
      </c>
      <c r="L14" s="269">
        <f t="shared" si="1"/>
        <v>89</v>
      </c>
      <c r="M14" s="235">
        <f t="shared" si="0"/>
        <v>0</v>
      </c>
      <c r="N14" s="235">
        <f t="shared" si="2"/>
        <v>311734.69657724886</v>
      </c>
      <c r="O14" s="235">
        <f t="shared" si="3"/>
        <v>20004.923935474231</v>
      </c>
      <c r="P14" s="235">
        <f t="shared" si="4"/>
        <v>331739.62051272311</v>
      </c>
      <c r="Q14" s="1026">
        <f t="shared" si="5"/>
        <v>370833.33333333337</v>
      </c>
      <c r="R14" s="1026">
        <f>(VLOOKUP(A14,'Funding Detail - Rebase'!$A$4:$AK$23,37,FALSE)*5/12)*L14</f>
        <v>133659.66747183088</v>
      </c>
      <c r="S14" s="235"/>
      <c r="T14" s="235"/>
      <c r="U14" s="297"/>
      <c r="V14" s="1447"/>
      <c r="W14" s="1447"/>
      <c r="X14" s="1447"/>
      <c r="Y14" s="1447"/>
      <c r="Z14" s="1447"/>
      <c r="AA14" s="1447"/>
      <c r="AB14" s="1447"/>
    </row>
    <row r="15" spans="1:28" x14ac:dyDescent="0.25">
      <c r="A15" s="244">
        <v>9257002</v>
      </c>
      <c r="B15" s="237" t="s">
        <v>213</v>
      </c>
      <c r="C15" s="267">
        <v>5</v>
      </c>
      <c r="D15" s="268">
        <f>'Revised Bands - Rebase'!F87</f>
        <v>8.4033613445378148E-3</v>
      </c>
      <c r="E15" s="268">
        <f>'Revised Bands - Rebase'!G87</f>
        <v>0.27731092436974791</v>
      </c>
      <c r="F15" s="268">
        <f>'Revised Bands - Rebase'!H87</f>
        <v>0.59663865546218486</v>
      </c>
      <c r="G15" s="268">
        <f>'Revised Bands - Rebase'!I87</f>
        <v>1.7798101328239758E-2</v>
      </c>
      <c r="H15" s="268">
        <f>'Revised Bands - Rebase'!K87</f>
        <v>7.4119827053736867E-3</v>
      </c>
      <c r="I15" s="268">
        <f>'Revised Bands - Rebase'!J87</f>
        <v>9.2436974789915971E-2</v>
      </c>
      <c r="J15" s="269">
        <v>0</v>
      </c>
      <c r="K15" s="269">
        <v>125</v>
      </c>
      <c r="L15" s="269">
        <f t="shared" si="1"/>
        <v>125</v>
      </c>
      <c r="M15" s="235">
        <f t="shared" si="0"/>
        <v>0</v>
      </c>
      <c r="N15" s="235">
        <f t="shared" si="2"/>
        <v>380977.53314531496</v>
      </c>
      <c r="O15" s="235">
        <f t="shared" si="3"/>
        <v>12686.242463601851</v>
      </c>
      <c r="P15" s="235">
        <f t="shared" si="4"/>
        <v>393663.77560891683</v>
      </c>
      <c r="Q15" s="1026">
        <f t="shared" si="5"/>
        <v>520833.33333333337</v>
      </c>
      <c r="R15" s="1026">
        <f>(VLOOKUP(A15,'Funding Detail - Rebase'!$A$4:$AK$23,37,FALSE)*5/12)*L15</f>
        <v>88779.856042500207</v>
      </c>
      <c r="S15" s="235"/>
      <c r="T15" s="235"/>
      <c r="U15" s="297"/>
      <c r="V15" s="1447"/>
      <c r="W15" s="1447"/>
      <c r="X15" s="1447"/>
      <c r="Y15" s="1447"/>
      <c r="Z15" s="1447"/>
      <c r="AA15" s="1447"/>
      <c r="AB15" s="1447"/>
    </row>
    <row r="16" spans="1:28" x14ac:dyDescent="0.25">
      <c r="A16" s="244">
        <v>9257009</v>
      </c>
      <c r="B16" s="237" t="s">
        <v>214</v>
      </c>
      <c r="C16" s="267">
        <v>4</v>
      </c>
      <c r="D16" s="268">
        <f>SUM('Revised Bands - Rebase'!G40)</f>
        <v>0</v>
      </c>
      <c r="E16" s="268">
        <f>SUM('Revised Bands - Rebase'!I40)</f>
        <v>0.14615384615384616</v>
      </c>
      <c r="F16" s="268">
        <f>SUM('Revised Bands - Rebase'!K40)</f>
        <v>0.7</v>
      </c>
      <c r="G16" s="268">
        <f>SUM('Revised Bands - Rebase'!M40)</f>
        <v>1.5384615384615385E-2</v>
      </c>
      <c r="H16" s="268">
        <f>SUM('Revised Bands - Rebase'!O40)</f>
        <v>0</v>
      </c>
      <c r="I16" s="268">
        <f>SUM('Revised Bands - Rebase'!Q40)</f>
        <v>0.13846153846153847</v>
      </c>
      <c r="J16" s="269">
        <v>0</v>
      </c>
      <c r="K16" s="269">
        <v>128</v>
      </c>
      <c r="L16" s="269">
        <f t="shared" si="1"/>
        <v>128</v>
      </c>
      <c r="M16" s="235">
        <f t="shared" si="0"/>
        <v>0</v>
      </c>
      <c r="N16" s="235">
        <f t="shared" si="2"/>
        <v>386326.99019738677</v>
      </c>
      <c r="O16" s="235">
        <f t="shared" si="3"/>
        <v>19458.815181541268</v>
      </c>
      <c r="P16" s="235">
        <f t="shared" si="4"/>
        <v>405785.80537892802</v>
      </c>
      <c r="Q16" s="1026">
        <f t="shared" si="5"/>
        <v>533333.33333333337</v>
      </c>
      <c r="R16" s="1026">
        <f>(VLOOKUP(A16,'Funding Detail - Rebase'!$A$4:$AK$23,37,FALSE)*5/12)*L16</f>
        <v>82760.594660838993</v>
      </c>
      <c r="S16" s="235"/>
      <c r="T16" s="235"/>
      <c r="U16" s="297"/>
      <c r="V16" s="1447"/>
      <c r="W16" s="1447"/>
      <c r="X16" s="1447"/>
      <c r="Y16" s="1447"/>
      <c r="Z16" s="1447"/>
      <c r="AA16" s="1447"/>
      <c r="AB16" s="1447"/>
    </row>
    <row r="17" spans="1:25" x14ac:dyDescent="0.25">
      <c r="A17" s="244">
        <v>9257029</v>
      </c>
      <c r="B17" s="237" t="s">
        <v>259</v>
      </c>
      <c r="C17" s="271">
        <v>3</v>
      </c>
      <c r="D17" s="268">
        <f>SUM('Revised Bands - Rebase'!G41)</f>
        <v>0</v>
      </c>
      <c r="E17" s="268">
        <f>SUM('Revised Bands - Rebase'!I41)</f>
        <v>0</v>
      </c>
      <c r="F17" s="268">
        <f>SUM('Revised Bands - Rebase'!K41)</f>
        <v>0</v>
      </c>
      <c r="G17" s="268">
        <f>SUM('Revised Bands - Rebase'!M41)</f>
        <v>0</v>
      </c>
      <c r="H17" s="268">
        <f>SUM('Revised Bands - Rebase'!O41)</f>
        <v>0</v>
      </c>
      <c r="I17" s="268">
        <f>SUM('Revised Bands - Rebase'!Q41)</f>
        <v>1</v>
      </c>
      <c r="J17" s="269">
        <v>0</v>
      </c>
      <c r="K17" s="269">
        <v>44</v>
      </c>
      <c r="L17" s="269">
        <f t="shared" si="1"/>
        <v>44</v>
      </c>
      <c r="M17" s="235">
        <f t="shared" si="0"/>
        <v>0</v>
      </c>
      <c r="N17" s="235">
        <f t="shared" si="2"/>
        <v>214353.7116984411</v>
      </c>
      <c r="O17" s="235">
        <f t="shared" si="3"/>
        <v>48309.211301395851</v>
      </c>
      <c r="P17" s="235">
        <f t="shared" si="4"/>
        <v>262662.92299983697</v>
      </c>
      <c r="Q17" s="1026">
        <f t="shared" si="5"/>
        <v>183333.33333333334</v>
      </c>
      <c r="R17" s="1026">
        <f>(VLOOKUP(A17,'Funding Detail - Rebase'!$A$4:$AK$23,37,FALSE)*5/12)*L17</f>
        <v>225229.08036485172</v>
      </c>
      <c r="S17" s="235"/>
      <c r="T17" s="235"/>
      <c r="U17" s="297" t="s">
        <v>207</v>
      </c>
      <c r="V17" s="296" t="s">
        <v>260</v>
      </c>
      <c r="W17" s="36"/>
      <c r="X17" s="36"/>
      <c r="Y17" s="235"/>
    </row>
    <row r="18" spans="1:25" x14ac:dyDescent="0.25">
      <c r="A18" s="244">
        <v>9257032</v>
      </c>
      <c r="B18" s="237" t="s">
        <v>261</v>
      </c>
      <c r="C18" s="267">
        <v>4</v>
      </c>
      <c r="D18" s="268">
        <f>SUM('Revised Bands - Rebase'!G42)</f>
        <v>0</v>
      </c>
      <c r="E18" s="268">
        <f>SUM('Revised Bands - Rebase'!I42)</f>
        <v>0</v>
      </c>
      <c r="F18" s="268">
        <f>SUM('Revised Bands - Rebase'!K42)</f>
        <v>0</v>
      </c>
      <c r="G18" s="268">
        <f>SUM('Revised Bands - Rebase'!M42)</f>
        <v>0</v>
      </c>
      <c r="H18" s="268">
        <f>SUM('Revised Bands - Rebase'!O42)</f>
        <v>0</v>
      </c>
      <c r="I18" s="268">
        <f>SUM('Revised Bands - Rebase'!Q42)</f>
        <v>1</v>
      </c>
      <c r="J18" s="269">
        <v>0</v>
      </c>
      <c r="K18" s="269">
        <v>60</v>
      </c>
      <c r="L18" s="269">
        <f t="shared" si="1"/>
        <v>60</v>
      </c>
      <c r="M18" s="235">
        <f t="shared" si="0"/>
        <v>0</v>
      </c>
      <c r="N18" s="235">
        <f t="shared" si="2"/>
        <v>292300.51595241966</v>
      </c>
      <c r="O18" s="235">
        <f t="shared" si="3"/>
        <v>65876.197229176163</v>
      </c>
      <c r="P18" s="235">
        <f t="shared" si="4"/>
        <v>358176.71318159584</v>
      </c>
      <c r="Q18" s="1026">
        <f t="shared" si="5"/>
        <v>250000</v>
      </c>
      <c r="R18" s="1026">
        <f>(VLOOKUP(A18,'Funding Detail - Rebase'!$A$4:$AK$23,37,FALSE)*5/12)*L18</f>
        <v>284712.89351965004</v>
      </c>
      <c r="S18" s="235"/>
      <c r="T18" s="235"/>
      <c r="U18" s="235"/>
      <c r="V18" s="36"/>
      <c r="W18" s="36"/>
      <c r="X18" s="36"/>
      <c r="Y18" s="235"/>
    </row>
    <row r="19" spans="1:25" x14ac:dyDescent="0.25">
      <c r="A19" s="244">
        <v>9257030</v>
      </c>
      <c r="B19" s="237" t="s">
        <v>262</v>
      </c>
      <c r="C19" s="271">
        <v>4</v>
      </c>
      <c r="D19" s="268">
        <f>SUM('Revised Bands - Rebase'!G43)</f>
        <v>0</v>
      </c>
      <c r="E19" s="268">
        <f>SUM('Revised Bands - Rebase'!I43)</f>
        <v>0</v>
      </c>
      <c r="F19" s="268">
        <f>SUM('Revised Bands - Rebase'!K43)</f>
        <v>0</v>
      </c>
      <c r="G19" s="268">
        <f>SUM('Revised Bands - Rebase'!M43)</f>
        <v>0</v>
      </c>
      <c r="H19" s="268">
        <f>SUM('Revised Bands - Rebase'!O43)</f>
        <v>0</v>
      </c>
      <c r="I19" s="268">
        <f>SUM('Revised Bands - Rebase'!Q43)</f>
        <v>1</v>
      </c>
      <c r="J19" s="269">
        <v>0</v>
      </c>
      <c r="K19" s="269">
        <v>65</v>
      </c>
      <c r="L19" s="269">
        <f t="shared" si="1"/>
        <v>65</v>
      </c>
      <c r="M19" s="235">
        <f t="shared" si="0"/>
        <v>0</v>
      </c>
      <c r="N19" s="235">
        <f t="shared" si="2"/>
        <v>316658.89228178799</v>
      </c>
      <c r="O19" s="235">
        <f t="shared" si="3"/>
        <v>71365.880331607506</v>
      </c>
      <c r="P19" s="235">
        <f t="shared" si="4"/>
        <v>388024.77261339547</v>
      </c>
      <c r="Q19" s="1026">
        <f t="shared" si="5"/>
        <v>270833.33333333337</v>
      </c>
      <c r="R19" s="1026">
        <f>(VLOOKUP(A19,'Funding Detail - Rebase'!$A$4:$AK$23,37,FALSE)*5/12)*L19</f>
        <v>290939.8448791306</v>
      </c>
      <c r="S19" s="235"/>
      <c r="T19" s="235"/>
      <c r="U19" s="235"/>
      <c r="V19" s="36"/>
      <c r="W19" s="36"/>
      <c r="X19" s="36"/>
      <c r="Y19" s="235"/>
    </row>
    <row r="20" spans="1:25" x14ac:dyDescent="0.25">
      <c r="A20" s="244">
        <v>9257028</v>
      </c>
      <c r="B20" s="237" t="s">
        <v>215</v>
      </c>
      <c r="C20" s="267">
        <v>5</v>
      </c>
      <c r="D20" s="268">
        <f>'Revised Bands - Rebase'!F92</f>
        <v>0.22253521126760564</v>
      </c>
      <c r="E20" s="268">
        <f>'Revised Bands - Rebase'!G92</f>
        <v>0.3380281690140845</v>
      </c>
      <c r="F20" s="268">
        <f>'Revised Bands - Rebase'!H92</f>
        <v>0</v>
      </c>
      <c r="G20" s="268">
        <f>'Revised Bands - Rebase'!I92</f>
        <v>0</v>
      </c>
      <c r="H20" s="268">
        <f>'Revised Bands - Rebase'!K92</f>
        <v>0.2</v>
      </c>
      <c r="I20" s="268">
        <f>'Revised Bands - Rebase'!J92</f>
        <v>0.23943661971830987</v>
      </c>
      <c r="J20" s="1170">
        <v>0</v>
      </c>
      <c r="K20" s="269">
        <v>53</v>
      </c>
      <c r="L20" s="269">
        <f t="shared" si="1"/>
        <v>53</v>
      </c>
      <c r="M20" s="1171">
        <f t="shared" si="0"/>
        <v>0</v>
      </c>
      <c r="N20" s="235">
        <f t="shared" si="2"/>
        <v>271946.07414162339</v>
      </c>
      <c r="O20" s="235">
        <f t="shared" si="3"/>
        <v>13932.970352931392</v>
      </c>
      <c r="P20" s="235">
        <f t="shared" si="4"/>
        <v>285879.04449455481</v>
      </c>
      <c r="Q20" s="1026">
        <f t="shared" si="5"/>
        <v>220833.33333333334</v>
      </c>
      <c r="R20" s="1026">
        <f>(VLOOKUP(A20,'Funding Detail - Rebase'!$A$4:$AK$23,37,FALSE)*5/12)*L20</f>
        <v>224974.18475396419</v>
      </c>
      <c r="S20" s="235"/>
      <c r="T20" s="235"/>
      <c r="U20" s="235"/>
      <c r="V20" s="36"/>
      <c r="W20" s="36"/>
      <c r="X20" s="36"/>
      <c r="Y20" s="235"/>
    </row>
    <row r="21" spans="1:25" x14ac:dyDescent="0.25">
      <c r="A21" s="244">
        <v>9257021</v>
      </c>
      <c r="B21" s="237" t="s">
        <v>216</v>
      </c>
      <c r="C21" s="271">
        <v>5</v>
      </c>
      <c r="D21" s="268">
        <f>'Revised Bands - Rebase'!F97</f>
        <v>0</v>
      </c>
      <c r="E21" s="268">
        <f>'Revised Bands - Rebase'!G97</f>
        <v>9.8591549295774641E-2</v>
      </c>
      <c r="F21" s="268">
        <f>'Revised Bands - Rebase'!H97</f>
        <v>0.71830985915492962</v>
      </c>
      <c r="G21" s="268">
        <f>'Revised Bands - Rebase'!I97</f>
        <v>2.9426156081330312E-2</v>
      </c>
      <c r="H21" s="268">
        <f>'Revised Bands - Rebase'!K97</f>
        <v>1.282736504543025E-2</v>
      </c>
      <c r="I21" s="268">
        <f>'Revised Bands - Rebase'!J97</f>
        <v>0.14084507042253522</v>
      </c>
      <c r="J21" s="269">
        <v>0</v>
      </c>
      <c r="K21" s="269">
        <v>154</v>
      </c>
      <c r="L21" s="269">
        <f t="shared" si="1"/>
        <v>154</v>
      </c>
      <c r="M21" s="235">
        <f t="shared" si="0"/>
        <v>0</v>
      </c>
      <c r="N21" s="235">
        <f t="shared" si="2"/>
        <v>480251.68099481857</v>
      </c>
      <c r="O21" s="235">
        <f t="shared" si="3"/>
        <v>23814.399937307815</v>
      </c>
      <c r="P21" s="235">
        <f t="shared" si="4"/>
        <v>504066.08093212638</v>
      </c>
      <c r="Q21" s="1026">
        <f t="shared" si="5"/>
        <v>641666.66666666674</v>
      </c>
      <c r="R21" s="1026">
        <f>(VLOOKUP(A21,'Funding Detail - Rebase'!$A$4:$AK$23,37,FALSE)*5/12)*L21</f>
        <v>95570.205754192561</v>
      </c>
      <c r="S21" s="235"/>
      <c r="T21" s="235"/>
      <c r="U21" s="235"/>
      <c r="V21" s="36"/>
      <c r="W21" s="36"/>
      <c r="X21" s="36"/>
      <c r="Y21" s="235"/>
    </row>
    <row r="22" spans="1:25" x14ac:dyDescent="0.25">
      <c r="A22" s="244">
        <v>9257015</v>
      </c>
      <c r="B22" s="237" t="s">
        <v>217</v>
      </c>
      <c r="C22" s="267">
        <v>6</v>
      </c>
      <c r="D22" s="268">
        <f>'Revised Bands - Rebase'!F102</f>
        <v>4.1999582612843596E-2</v>
      </c>
      <c r="E22" s="268">
        <f>'Revised Bands - Rebase'!G102</f>
        <v>0.22177419354838709</v>
      </c>
      <c r="F22" s="268">
        <f>'Revised Bands - Rebase'!H102</f>
        <v>0.65322580645161288</v>
      </c>
      <c r="G22" s="268">
        <f>'Revised Bands - Rebase'!I102</f>
        <v>0</v>
      </c>
      <c r="H22" s="268">
        <f>'Revised Bands - Rebase'!K102</f>
        <v>1.8484288354898331E-2</v>
      </c>
      <c r="I22" s="268">
        <f>'Revised Bands - Rebase'!J102</f>
        <v>6.4516129032258063E-2</v>
      </c>
      <c r="J22" s="269">
        <v>0</v>
      </c>
      <c r="K22" s="269">
        <v>263</v>
      </c>
      <c r="L22" s="269">
        <f>SUM(J22:K22)</f>
        <v>263</v>
      </c>
      <c r="M22" s="235">
        <f t="shared" si="0"/>
        <v>0</v>
      </c>
      <c r="N22" s="235">
        <f t="shared" si="2"/>
        <v>806896.63120506029</v>
      </c>
      <c r="O22" s="235">
        <f t="shared" si="3"/>
        <v>18629.505237928312</v>
      </c>
      <c r="P22" s="235">
        <f t="shared" si="4"/>
        <v>825526.13644298865</v>
      </c>
      <c r="Q22" s="1026">
        <f t="shared" si="5"/>
        <v>1095833.3333333335</v>
      </c>
      <c r="R22" s="1026">
        <f>(VLOOKUP(A22,'Funding Detail - Rebase'!$A$4:$AK$23,37,FALSE)*5/12)*L22</f>
        <v>0</v>
      </c>
      <c r="S22" s="235"/>
      <c r="T22" s="235"/>
      <c r="U22" s="235"/>
      <c r="V22" s="36"/>
      <c r="W22" s="36"/>
      <c r="X22" s="36"/>
      <c r="Y22" s="235"/>
    </row>
    <row r="23" spans="1:25" x14ac:dyDescent="0.25">
      <c r="A23" s="244">
        <v>9257016</v>
      </c>
      <c r="B23" s="237" t="s">
        <v>219</v>
      </c>
      <c r="C23" s="267">
        <v>6</v>
      </c>
      <c r="D23" s="268">
        <f>'Revised Bands - Rebase'!F107</f>
        <v>0.45493133583021222</v>
      </c>
      <c r="E23" s="268">
        <f>'Revised Bands - Rebase'!G107</f>
        <v>0</v>
      </c>
      <c r="F23" s="268">
        <f>'Revised Bands - Rebase'!H107</f>
        <v>0.28888888888888886</v>
      </c>
      <c r="G23" s="268">
        <f>'Revised Bands - Rebase'!I107</f>
        <v>0</v>
      </c>
      <c r="H23" s="268">
        <f>'Revised Bands - Rebase'!K107</f>
        <v>0.25617977528089886</v>
      </c>
      <c r="I23" s="268">
        <f>'Revised Bands - Rebase'!J107</f>
        <v>0</v>
      </c>
      <c r="J23" s="269">
        <v>0</v>
      </c>
      <c r="K23" s="269">
        <v>97</v>
      </c>
      <c r="L23" s="269">
        <f t="shared" si="1"/>
        <v>97</v>
      </c>
      <c r="M23" s="235">
        <f t="shared" si="0"/>
        <v>0</v>
      </c>
      <c r="N23" s="235">
        <f t="shared" si="2"/>
        <v>517147.33432853973</v>
      </c>
      <c r="O23" s="235">
        <f t="shared" si="3"/>
        <v>0</v>
      </c>
      <c r="P23" s="235">
        <f t="shared" si="4"/>
        <v>517147.33432853973</v>
      </c>
      <c r="Q23" s="1026">
        <f t="shared" si="5"/>
        <v>404166.66666666669</v>
      </c>
      <c r="R23" s="1026">
        <f>(VLOOKUP(A23,'Funding Detail - Rebase'!$A$4:$AK$23,37,FALSE)*5/12)*L23</f>
        <v>287161.71696490218</v>
      </c>
      <c r="S23" s="299" t="s">
        <v>207</v>
      </c>
      <c r="T23" s="235"/>
      <c r="U23" s="235"/>
      <c r="V23" s="36"/>
      <c r="W23" s="36"/>
      <c r="X23" s="36"/>
      <c r="Y23" s="235"/>
    </row>
    <row r="24" spans="1:25" x14ac:dyDescent="0.25">
      <c r="A24" s="249"/>
      <c r="B24" s="36"/>
      <c r="C24" s="234"/>
      <c r="D24" s="299"/>
      <c r="E24" s="268"/>
      <c r="F24" s="268"/>
      <c r="G24" s="268"/>
      <c r="H24" s="299" t="s">
        <v>207</v>
      </c>
      <c r="I24" s="269"/>
      <c r="J24" s="269"/>
      <c r="K24" s="299" t="s">
        <v>207</v>
      </c>
      <c r="L24" s="235"/>
      <c r="M24" s="235"/>
      <c r="N24" s="235"/>
      <c r="O24" s="299" t="s">
        <v>207</v>
      </c>
      <c r="P24" s="269"/>
      <c r="Q24" s="269"/>
      <c r="R24" s="36"/>
      <c r="S24" s="36"/>
      <c r="T24" s="36"/>
      <c r="U24" s="36"/>
      <c r="V24" s="36"/>
      <c r="W24" s="36"/>
      <c r="X24" s="36"/>
      <c r="Y24" s="36"/>
    </row>
    <row r="25" spans="1:25" ht="13" x14ac:dyDescent="0.3">
      <c r="A25" s="93" t="s">
        <v>263</v>
      </c>
      <c r="B25" s="36"/>
      <c r="C25" s="234"/>
      <c r="D25" s="268"/>
      <c r="E25" s="268"/>
      <c r="F25" s="268"/>
      <c r="G25" s="268"/>
      <c r="H25" s="268"/>
      <c r="I25" s="269"/>
      <c r="J25" s="269"/>
      <c r="K25" s="269"/>
      <c r="L25" s="235"/>
      <c r="M25" s="235"/>
      <c r="N25" s="235"/>
      <c r="O25" s="235"/>
      <c r="P25" s="269"/>
      <c r="Q25" s="269"/>
      <c r="R25" s="36"/>
      <c r="S25" s="36"/>
      <c r="T25" s="36"/>
      <c r="U25" s="36"/>
      <c r="V25" s="36"/>
      <c r="W25" s="36"/>
      <c r="X25" s="36"/>
      <c r="Y25" s="36"/>
    </row>
    <row r="26" spans="1:25" x14ac:dyDescent="0.25">
      <c r="A26" s="249"/>
      <c r="B26" s="36"/>
      <c r="C26" s="234"/>
      <c r="D26" s="268"/>
      <c r="E26" s="268"/>
      <c r="F26" s="268"/>
      <c r="G26" s="268"/>
      <c r="H26" s="268"/>
      <c r="I26" s="94" t="s">
        <v>709</v>
      </c>
      <c r="J26" s="269"/>
      <c r="K26" s="269"/>
      <c r="L26" s="235"/>
      <c r="M26" s="1445" t="s">
        <v>238</v>
      </c>
      <c r="N26" s="1446"/>
      <c r="O26" s="235"/>
      <c r="P26" s="269"/>
      <c r="Q26" s="269"/>
      <c r="R26" s="36"/>
      <c r="S26" s="36"/>
      <c r="T26" s="36"/>
      <c r="U26" s="36"/>
      <c r="V26" s="36"/>
      <c r="W26" s="36"/>
      <c r="X26" s="36"/>
      <c r="Y26" s="36"/>
    </row>
    <row r="27" spans="1:25" ht="37.5" x14ac:dyDescent="0.25">
      <c r="A27" s="265" t="s">
        <v>182</v>
      </c>
      <c r="B27" s="237" t="s">
        <v>183</v>
      </c>
      <c r="C27" s="238" t="s">
        <v>184</v>
      </c>
      <c r="D27" s="36" t="s">
        <v>240</v>
      </c>
      <c r="E27" s="36" t="s">
        <v>241</v>
      </c>
      <c r="F27" s="36" t="s">
        <v>242</v>
      </c>
      <c r="G27" s="36" t="s">
        <v>243</v>
      </c>
      <c r="H27" s="36" t="s">
        <v>786</v>
      </c>
      <c r="I27" s="36" t="s">
        <v>244</v>
      </c>
      <c r="J27" s="243" t="s">
        <v>264</v>
      </c>
      <c r="K27" s="243" t="s">
        <v>265</v>
      </c>
      <c r="L27" s="243" t="s">
        <v>266</v>
      </c>
      <c r="M27" s="243" t="s">
        <v>265</v>
      </c>
      <c r="N27" s="276" t="s">
        <v>267</v>
      </c>
      <c r="O27" s="320" t="s">
        <v>268</v>
      </c>
      <c r="P27" s="243"/>
      <c r="Q27" s="243"/>
      <c r="R27" s="243"/>
      <c r="S27" s="36"/>
      <c r="T27" s="36"/>
      <c r="U27" s="36"/>
      <c r="V27" s="36"/>
      <c r="W27" s="36"/>
      <c r="X27" s="36"/>
      <c r="Y27" s="36"/>
    </row>
    <row r="28" spans="1:25" x14ac:dyDescent="0.25">
      <c r="A28" s="244">
        <v>9257010</v>
      </c>
      <c r="B28" s="237" t="s">
        <v>205</v>
      </c>
      <c r="C28" s="273">
        <v>4</v>
      </c>
      <c r="D28" s="268">
        <v>0.36486912645853048</v>
      </c>
      <c r="E28" s="268">
        <v>0.2857142857142857</v>
      </c>
      <c r="F28" s="268">
        <v>0.11904761904761904</v>
      </c>
      <c r="G28" s="268">
        <v>0</v>
      </c>
      <c r="H28" s="268">
        <v>0.15894039735099336</v>
      </c>
      <c r="I28" s="268">
        <v>7.1428571428571425E-2</v>
      </c>
      <c r="J28" s="269">
        <v>10</v>
      </c>
      <c r="K28" s="235">
        <f>((((J28*D28)*$G$92)+((J28*E28)*$G$94)+((J28*F28)*$G$96)+((J28*G28)*$G$98)+((J28*H28)*$G$100)+((J28*I28)*$G$102)))*(4/12)</f>
        <v>38213.199992400027</v>
      </c>
      <c r="L28" s="235">
        <f t="shared" ref="L28:L45" si="6">((J28*I28)*$G$104)*(4/12)</f>
        <v>627.39235456358233</v>
      </c>
      <c r="M28" s="235">
        <f>SUM(K28:L28)</f>
        <v>38840.592346963611</v>
      </c>
      <c r="N28" s="1026">
        <f>(J28*(4/12))*10000</f>
        <v>33333.333333333328</v>
      </c>
      <c r="O28" s="1026">
        <f>(VLOOKUP(A28,'Funding Detail - Rebase'!$A$4:$AK$23,37,FALSE)*4/12)*J28</f>
        <v>38773.172008263056</v>
      </c>
      <c r="P28" s="235"/>
      <c r="Q28" s="235"/>
      <c r="R28" s="235"/>
      <c r="S28" s="235"/>
      <c r="T28" s="235"/>
      <c r="U28" s="297" t="s">
        <v>207</v>
      </c>
      <c r="V28" s="296" t="s">
        <v>269</v>
      </c>
      <c r="W28" s="36"/>
      <c r="X28" s="36"/>
      <c r="Y28" s="36"/>
    </row>
    <row r="29" spans="1:25" x14ac:dyDescent="0.25">
      <c r="A29" s="244">
        <v>9257005</v>
      </c>
      <c r="B29" s="237" t="s">
        <v>208</v>
      </c>
      <c r="C29" s="267">
        <v>4</v>
      </c>
      <c r="D29" s="268">
        <v>0.13157894736842105</v>
      </c>
      <c r="E29" s="268">
        <v>0.35526315789473684</v>
      </c>
      <c r="F29" s="268">
        <v>0.17105263157894737</v>
      </c>
      <c r="G29" s="268">
        <v>5.0986842105263164E-2</v>
      </c>
      <c r="H29" s="268">
        <v>9.3750000000000014E-2</v>
      </c>
      <c r="I29" s="268">
        <v>0.19736842105263158</v>
      </c>
      <c r="J29" s="269">
        <v>29</v>
      </c>
      <c r="K29" s="235">
        <f t="shared" ref="K29:K45" si="7">((((J29*D29)*$G$92)+((J29*E29)*$G$94)+((J29*F29)*$G$96)+((J29*G29)*$G$98)+((J29*H29)*$G$100)+((J29*I29)*$G$102)))*(4/12)</f>
        <v>98574.335241550842</v>
      </c>
      <c r="L29" s="235">
        <f t="shared" si="6"/>
        <v>5027.3939990687068</v>
      </c>
      <c r="M29" s="235">
        <f>SUM(K29:L29)</f>
        <v>103601.72924061955</v>
      </c>
      <c r="N29" s="1026">
        <f>(J29*(4/12))*10000</f>
        <v>96666.666666666657</v>
      </c>
      <c r="O29" s="1026">
        <f>(VLOOKUP(A29,'Funding Detail - Rebase'!$A$4:$AK$23,37,FALSE)*4/12)*J29</f>
        <v>72032.392183177784</v>
      </c>
      <c r="P29" s="235"/>
      <c r="Q29" s="235"/>
      <c r="R29" s="235"/>
      <c r="S29" s="235"/>
      <c r="T29" s="235"/>
      <c r="U29" s="235"/>
      <c r="V29" s="36"/>
      <c r="W29" s="36"/>
      <c r="X29" s="36"/>
      <c r="Y29" s="36"/>
    </row>
    <row r="30" spans="1:25" x14ac:dyDescent="0.25">
      <c r="A30" s="244">
        <v>9257025</v>
      </c>
      <c r="B30" s="237" t="s">
        <v>209</v>
      </c>
      <c r="C30" s="271">
        <v>4</v>
      </c>
      <c r="D30" s="268">
        <v>0.2252640008007607</v>
      </c>
      <c r="E30" s="268">
        <v>0.41509433962264153</v>
      </c>
      <c r="F30" s="268">
        <v>5.6603773584905662E-2</v>
      </c>
      <c r="G30" s="268">
        <v>0</v>
      </c>
      <c r="H30" s="268">
        <v>9.5490716180371346E-2</v>
      </c>
      <c r="I30" s="268">
        <v>0.20754716981132076</v>
      </c>
      <c r="J30" s="269">
        <v>13</v>
      </c>
      <c r="K30" s="235">
        <f t="shared" si="7"/>
        <v>45843.671261627089</v>
      </c>
      <c r="L30" s="235">
        <f t="shared" si="6"/>
        <v>2369.8858374269662</v>
      </c>
      <c r="M30" s="235">
        <f t="shared" ref="M30:M45" si="8">SUM(K30:L30)</f>
        <v>48213.557099054058</v>
      </c>
      <c r="N30" s="1026">
        <f t="shared" ref="N30:N45" si="9">(J30*(4/12))*10000</f>
        <v>43333.333333333328</v>
      </c>
      <c r="O30" s="1026">
        <f>(VLOOKUP(A30,'Funding Detail - Rebase'!$A$4:$AK$23,37,FALSE)*4/12)*J30</f>
        <v>39647.863043742233</v>
      </c>
      <c r="P30" s="235"/>
      <c r="Q30" s="235"/>
      <c r="R30" s="235"/>
      <c r="S30" s="235"/>
      <c r="T30" s="235"/>
      <c r="U30" s="235"/>
      <c r="V30" s="36"/>
      <c r="W30" s="36"/>
      <c r="X30" s="36"/>
      <c r="Y30" s="36"/>
    </row>
    <row r="31" spans="1:25" x14ac:dyDescent="0.25">
      <c r="A31" s="244">
        <v>9257011</v>
      </c>
      <c r="B31" s="237" t="s">
        <v>210</v>
      </c>
      <c r="C31" s="267">
        <v>4</v>
      </c>
      <c r="D31" s="268">
        <v>0.31076711386308908</v>
      </c>
      <c r="E31" s="268">
        <v>0.42222222222222222</v>
      </c>
      <c r="F31" s="268">
        <v>0</v>
      </c>
      <c r="G31" s="268">
        <v>0</v>
      </c>
      <c r="H31" s="268">
        <v>0.11145510835913314</v>
      </c>
      <c r="I31" s="268">
        <v>0.15555555555555556</v>
      </c>
      <c r="J31" s="269">
        <v>3</v>
      </c>
      <c r="K31" s="235">
        <f t="shared" si="7"/>
        <v>11023.59800572313</v>
      </c>
      <c r="L31" s="235">
        <f t="shared" si="6"/>
        <v>409.8963383148739</v>
      </c>
      <c r="M31" s="235">
        <f t="shared" si="8"/>
        <v>11433.494344038005</v>
      </c>
      <c r="N31" s="1026">
        <f t="shared" si="9"/>
        <v>10000</v>
      </c>
      <c r="O31" s="1026">
        <f>(VLOOKUP(A31,'Funding Detail - Rebase'!$A$4:$AK$23,37,FALSE)*4/12)*J31</f>
        <v>10756.02480019561</v>
      </c>
      <c r="P31" s="235"/>
      <c r="Q31" s="235"/>
      <c r="R31" s="235"/>
      <c r="S31" s="235"/>
      <c r="T31" s="235"/>
      <c r="U31" s="235"/>
      <c r="V31" s="36"/>
      <c r="W31" s="36"/>
      <c r="X31" s="36"/>
      <c r="Y31" s="36"/>
    </row>
    <row r="32" spans="1:25" x14ac:dyDescent="0.25">
      <c r="A32" s="244">
        <v>9257024</v>
      </c>
      <c r="B32" s="237" t="s">
        <v>211</v>
      </c>
      <c r="C32" s="267">
        <v>3</v>
      </c>
      <c r="D32" s="268">
        <v>0.2</v>
      </c>
      <c r="E32" s="268">
        <v>0.5636363636363636</v>
      </c>
      <c r="F32" s="268">
        <v>1.8181818181818181E-2</v>
      </c>
      <c r="G32" s="268">
        <v>2.3558542624690485E-2</v>
      </c>
      <c r="H32" s="268">
        <v>0.14007782101167315</v>
      </c>
      <c r="I32" s="268">
        <v>5.4545454545454543E-2</v>
      </c>
      <c r="J32" s="269">
        <v>13</v>
      </c>
      <c r="K32" s="235">
        <f t="shared" si="7"/>
        <v>45975.238433733437</v>
      </c>
      <c r="L32" s="235">
        <f t="shared" si="6"/>
        <v>622.82950107584725</v>
      </c>
      <c r="M32" s="235">
        <f t="shared" si="8"/>
        <v>46598.067934809282</v>
      </c>
      <c r="N32" s="1026">
        <f t="shared" si="9"/>
        <v>43333.333333333328</v>
      </c>
      <c r="O32" s="1026">
        <f>(VLOOKUP(A32,'Funding Detail - Rebase'!$A$4:$AK$23,37,FALSE)*4/12)*J32</f>
        <v>29830.81766123839</v>
      </c>
      <c r="P32" s="235"/>
      <c r="Q32" s="235"/>
      <c r="R32" s="235"/>
      <c r="S32" s="235"/>
      <c r="T32" s="235"/>
      <c r="U32" s="235"/>
      <c r="V32" s="36"/>
      <c r="W32" s="36"/>
      <c r="X32" s="36"/>
      <c r="Y32" s="36"/>
    </row>
    <row r="33" spans="1:21" x14ac:dyDescent="0.25">
      <c r="A33" s="244">
        <v>9257031</v>
      </c>
      <c r="B33" s="237" t="s">
        <v>257</v>
      </c>
      <c r="C33" s="267">
        <v>4</v>
      </c>
      <c r="D33" s="268">
        <v>0</v>
      </c>
      <c r="E33" s="268">
        <v>0</v>
      </c>
      <c r="F33" s="268">
        <v>0</v>
      </c>
      <c r="G33" s="268">
        <v>0</v>
      </c>
      <c r="H33" s="268">
        <v>0</v>
      </c>
      <c r="I33" s="268">
        <v>1</v>
      </c>
      <c r="J33" s="269">
        <v>0</v>
      </c>
      <c r="K33" s="235">
        <f t="shared" si="7"/>
        <v>0</v>
      </c>
      <c r="L33" s="235">
        <f t="shared" si="6"/>
        <v>0</v>
      </c>
      <c r="M33" s="235">
        <f t="shared" si="8"/>
        <v>0</v>
      </c>
      <c r="N33" s="1026">
        <f t="shared" si="9"/>
        <v>0</v>
      </c>
      <c r="O33" s="1026">
        <f>(VLOOKUP(A33,'Funding Detail - Rebase'!$A$4:$AK$23,37,FALSE)*4/12)*J33</f>
        <v>0</v>
      </c>
      <c r="P33" s="235"/>
      <c r="Q33" s="235"/>
      <c r="R33" s="235"/>
      <c r="S33" s="235"/>
      <c r="T33" s="235"/>
      <c r="U33" s="235"/>
    </row>
    <row r="34" spans="1:21" x14ac:dyDescent="0.25">
      <c r="A34" s="244">
        <v>9257033</v>
      </c>
      <c r="B34" s="237" t="s">
        <v>220</v>
      </c>
      <c r="C34" s="267">
        <v>3</v>
      </c>
      <c r="D34" s="268">
        <v>3.6363636363636362E-2</v>
      </c>
      <c r="E34" s="268">
        <v>0.29090909090909089</v>
      </c>
      <c r="F34" s="268">
        <v>0.27272727272727271</v>
      </c>
      <c r="G34" s="268">
        <v>5.4545454545454543E-2</v>
      </c>
      <c r="H34" s="268">
        <v>0</v>
      </c>
      <c r="I34" s="268">
        <v>0.34545454545454546</v>
      </c>
      <c r="J34" s="269">
        <v>0</v>
      </c>
      <c r="K34" s="235">
        <f t="shared" si="7"/>
        <v>0</v>
      </c>
      <c r="L34" s="235">
        <f t="shared" si="6"/>
        <v>0</v>
      </c>
      <c r="M34" s="235">
        <f t="shared" si="8"/>
        <v>0</v>
      </c>
      <c r="N34" s="1026">
        <f t="shared" si="9"/>
        <v>0</v>
      </c>
      <c r="O34" s="1026">
        <f>(VLOOKUP(A34,'Funding Detail - Rebase'!$A$4:$AK$23,37,FALSE)*4/12)*J34</f>
        <v>0</v>
      </c>
      <c r="P34" s="235"/>
      <c r="Q34" s="235"/>
      <c r="R34" s="235"/>
      <c r="S34" s="235"/>
      <c r="T34" s="235"/>
      <c r="U34" s="235"/>
    </row>
    <row r="35" spans="1:21" x14ac:dyDescent="0.25">
      <c r="A35" s="244">
        <v>9257008</v>
      </c>
      <c r="B35" s="237" t="s">
        <v>212</v>
      </c>
      <c r="C35" s="271">
        <v>4</v>
      </c>
      <c r="D35" s="268">
        <v>0</v>
      </c>
      <c r="E35" s="268">
        <v>8.2352941176470587E-2</v>
      </c>
      <c r="F35" s="268">
        <v>0.61176470588235299</v>
      </c>
      <c r="G35" s="268">
        <v>2.3529411764705882E-2</v>
      </c>
      <c r="H35" s="268">
        <v>0</v>
      </c>
      <c r="I35" s="268">
        <v>0.28235294117647058</v>
      </c>
      <c r="J35" s="269">
        <v>0</v>
      </c>
      <c r="K35" s="235">
        <f t="shared" si="7"/>
        <v>0</v>
      </c>
      <c r="L35" s="235">
        <f t="shared" si="6"/>
        <v>0</v>
      </c>
      <c r="M35" s="235">
        <f t="shared" si="8"/>
        <v>0</v>
      </c>
      <c r="N35" s="1026">
        <f t="shared" si="9"/>
        <v>0</v>
      </c>
      <c r="O35" s="1026">
        <f>(VLOOKUP(A35,'Funding Detail - Rebase'!$A$4:$AK$23,37,FALSE)*4/12)*J35</f>
        <v>0</v>
      </c>
      <c r="P35" s="235"/>
      <c r="Q35" s="235"/>
      <c r="R35" s="235"/>
      <c r="S35" s="235"/>
      <c r="T35" s="235"/>
      <c r="U35" s="235"/>
    </row>
    <row r="36" spans="1:21" x14ac:dyDescent="0.25">
      <c r="A36" s="244">
        <v>9257034</v>
      </c>
      <c r="B36" s="237" t="s">
        <v>221</v>
      </c>
      <c r="C36" s="267">
        <v>5</v>
      </c>
      <c r="D36" s="268">
        <v>7.0866141732283464E-2</v>
      </c>
      <c r="E36" s="268">
        <v>0.16535433070866143</v>
      </c>
      <c r="F36" s="268">
        <v>0.51968503937007871</v>
      </c>
      <c r="G36" s="268">
        <v>1.4142328214579346E-2</v>
      </c>
      <c r="H36" s="268">
        <v>2.5227750525578133E-2</v>
      </c>
      <c r="I36" s="268">
        <v>0.20472440944881889</v>
      </c>
      <c r="J36" s="269">
        <v>32</v>
      </c>
      <c r="K36" s="235">
        <f t="shared" si="7"/>
        <v>89667.508228961451</v>
      </c>
      <c r="L36" s="235">
        <f t="shared" si="6"/>
        <v>5754.2253117768569</v>
      </c>
      <c r="M36" s="235">
        <f t="shared" si="8"/>
        <v>95421.733540738307</v>
      </c>
      <c r="N36" s="1026">
        <f t="shared" si="9"/>
        <v>106666.66666666666</v>
      </c>
      <c r="O36" s="1026">
        <f>(VLOOKUP(A36,'Funding Detail - Rebase'!$A$4:$AK$23,37,FALSE)*4/12)*J36</f>
        <v>38445.926823358102</v>
      </c>
      <c r="P36" s="235"/>
      <c r="Q36" s="235"/>
      <c r="R36" s="235"/>
      <c r="S36" s="235"/>
      <c r="T36" s="235"/>
      <c r="U36" s="235"/>
    </row>
    <row r="37" spans="1:21" x14ac:dyDescent="0.25">
      <c r="A37" s="244">
        <v>9257002</v>
      </c>
      <c r="B37" s="237" t="s">
        <v>213</v>
      </c>
      <c r="C37" s="267">
        <v>5</v>
      </c>
      <c r="D37" s="268">
        <v>8.4033613445378148E-3</v>
      </c>
      <c r="E37" s="268">
        <v>0.27731092436974791</v>
      </c>
      <c r="F37" s="268">
        <v>0.59663865546218486</v>
      </c>
      <c r="G37" s="268">
        <v>1.7798101328239758E-2</v>
      </c>
      <c r="H37" s="268">
        <v>7.4119827053736867E-3</v>
      </c>
      <c r="I37" s="268">
        <v>9.2436974789915971E-2</v>
      </c>
      <c r="J37" s="269">
        <v>0</v>
      </c>
      <c r="K37" s="235">
        <f t="shared" si="7"/>
        <v>0</v>
      </c>
      <c r="L37" s="235">
        <f t="shared" si="6"/>
        <v>0</v>
      </c>
      <c r="M37" s="235">
        <f t="shared" si="8"/>
        <v>0</v>
      </c>
      <c r="N37" s="1026">
        <f t="shared" si="9"/>
        <v>0</v>
      </c>
      <c r="O37" s="1026">
        <f>(VLOOKUP(A37,'Funding Detail - Rebase'!$A$4:$AK$23,37,FALSE)*4/12)*J37</f>
        <v>0</v>
      </c>
      <c r="P37" s="235"/>
      <c r="Q37" s="235"/>
      <c r="R37" s="235"/>
      <c r="S37" s="235"/>
      <c r="T37" s="235"/>
      <c r="U37" s="235"/>
    </row>
    <row r="38" spans="1:21" x14ac:dyDescent="0.25">
      <c r="A38" s="244">
        <v>9257009</v>
      </c>
      <c r="B38" s="237" t="s">
        <v>214</v>
      </c>
      <c r="C38" s="267">
        <v>4</v>
      </c>
      <c r="D38" s="268">
        <v>0</v>
      </c>
      <c r="E38" s="268">
        <v>0.14615384615384616</v>
      </c>
      <c r="F38" s="268">
        <v>0.7</v>
      </c>
      <c r="G38" s="268">
        <v>1.5384615384615385E-2</v>
      </c>
      <c r="H38" s="268">
        <v>0</v>
      </c>
      <c r="I38" s="268">
        <v>0.13846153846153847</v>
      </c>
      <c r="J38" s="269">
        <v>0</v>
      </c>
      <c r="K38" s="235">
        <f t="shared" si="7"/>
        <v>0</v>
      </c>
      <c r="L38" s="235">
        <f t="shared" si="6"/>
        <v>0</v>
      </c>
      <c r="M38" s="235">
        <f t="shared" si="8"/>
        <v>0</v>
      </c>
      <c r="N38" s="1026">
        <f t="shared" si="9"/>
        <v>0</v>
      </c>
      <c r="O38" s="1026">
        <f>(VLOOKUP(A38,'Funding Detail - Rebase'!$A$4:$AK$23,37,FALSE)*4/12)*J38</f>
        <v>0</v>
      </c>
      <c r="P38" s="235"/>
      <c r="Q38" s="235"/>
      <c r="R38" s="235"/>
      <c r="S38" s="235"/>
      <c r="T38" s="235"/>
      <c r="U38" s="235"/>
    </row>
    <row r="39" spans="1:21" x14ac:dyDescent="0.25">
      <c r="A39" s="244">
        <v>9257029</v>
      </c>
      <c r="B39" s="237" t="s">
        <v>259</v>
      </c>
      <c r="C39" s="271">
        <v>3</v>
      </c>
      <c r="D39" s="268">
        <v>0</v>
      </c>
      <c r="E39" s="268">
        <v>0</v>
      </c>
      <c r="F39" s="268">
        <v>0</v>
      </c>
      <c r="G39" s="268">
        <v>0</v>
      </c>
      <c r="H39" s="268">
        <v>0</v>
      </c>
      <c r="I39" s="268">
        <v>1</v>
      </c>
      <c r="J39" s="269">
        <v>0</v>
      </c>
      <c r="K39" s="235">
        <f t="shared" si="7"/>
        <v>0</v>
      </c>
      <c r="L39" s="235">
        <f t="shared" si="6"/>
        <v>0</v>
      </c>
      <c r="M39" s="235">
        <f t="shared" si="8"/>
        <v>0</v>
      </c>
      <c r="N39" s="1026">
        <f t="shared" si="9"/>
        <v>0</v>
      </c>
      <c r="O39" s="1026">
        <f>(VLOOKUP(A39,'Funding Detail - Rebase'!$A$4:$AK$23,37,FALSE)*4/12)*J39</f>
        <v>0</v>
      </c>
      <c r="P39" s="235"/>
      <c r="Q39" s="235"/>
      <c r="R39" s="235"/>
      <c r="S39" s="235"/>
      <c r="T39" s="235"/>
      <c r="U39" s="235"/>
    </row>
    <row r="40" spans="1:21" x14ac:dyDescent="0.25">
      <c r="A40" s="244">
        <v>9257032</v>
      </c>
      <c r="B40" s="237" t="s">
        <v>261</v>
      </c>
      <c r="C40" s="267">
        <v>4</v>
      </c>
      <c r="D40" s="268">
        <v>0</v>
      </c>
      <c r="E40" s="268">
        <v>0</v>
      </c>
      <c r="F40" s="268">
        <v>0</v>
      </c>
      <c r="G40" s="268">
        <v>0</v>
      </c>
      <c r="H40" s="268">
        <v>0</v>
      </c>
      <c r="I40" s="268">
        <v>1</v>
      </c>
      <c r="J40" s="269">
        <v>0</v>
      </c>
      <c r="K40" s="235">
        <f t="shared" si="7"/>
        <v>0</v>
      </c>
      <c r="L40" s="235">
        <f t="shared" si="6"/>
        <v>0</v>
      </c>
      <c r="M40" s="235">
        <f t="shared" si="8"/>
        <v>0</v>
      </c>
      <c r="N40" s="1026">
        <f t="shared" si="9"/>
        <v>0</v>
      </c>
      <c r="O40" s="1026">
        <f>(VLOOKUP(A40,'Funding Detail - Rebase'!$A$4:$AK$23,37,FALSE)*4/12)*J40</f>
        <v>0</v>
      </c>
      <c r="P40" s="235"/>
      <c r="Q40" s="235"/>
      <c r="R40" s="235"/>
      <c r="S40" s="235"/>
      <c r="T40" s="235"/>
      <c r="U40" s="235"/>
    </row>
    <row r="41" spans="1:21" x14ac:dyDescent="0.25">
      <c r="A41" s="244">
        <v>9257030</v>
      </c>
      <c r="B41" s="237" t="s">
        <v>262</v>
      </c>
      <c r="C41" s="271">
        <v>4</v>
      </c>
      <c r="D41" s="268">
        <v>0</v>
      </c>
      <c r="E41" s="268">
        <v>0</v>
      </c>
      <c r="F41" s="268">
        <v>0</v>
      </c>
      <c r="G41" s="268">
        <v>0</v>
      </c>
      <c r="H41" s="268">
        <v>0</v>
      </c>
      <c r="I41" s="268">
        <v>1</v>
      </c>
      <c r="J41" s="269">
        <v>0</v>
      </c>
      <c r="K41" s="235">
        <f t="shared" si="7"/>
        <v>0</v>
      </c>
      <c r="L41" s="235">
        <f t="shared" si="6"/>
        <v>0</v>
      </c>
      <c r="M41" s="235">
        <f t="shared" si="8"/>
        <v>0</v>
      </c>
      <c r="N41" s="1026">
        <f t="shared" si="9"/>
        <v>0</v>
      </c>
      <c r="O41" s="1026">
        <f>(VLOOKUP(A41,'Funding Detail - Rebase'!$A$4:$AK$23,37,FALSE)*4/12)*J41</f>
        <v>0</v>
      </c>
      <c r="P41" s="235"/>
      <c r="Q41" s="235"/>
      <c r="R41" s="235"/>
      <c r="S41" s="235"/>
      <c r="T41" s="235"/>
      <c r="U41" s="235"/>
    </row>
    <row r="42" spans="1:21" x14ac:dyDescent="0.25">
      <c r="A42" s="244">
        <v>9257028</v>
      </c>
      <c r="B42" s="237" t="s">
        <v>215</v>
      </c>
      <c r="C42" s="267">
        <v>5</v>
      </c>
      <c r="D42" s="268">
        <v>0.22253521126760564</v>
      </c>
      <c r="E42" s="268">
        <v>0.3380281690140845</v>
      </c>
      <c r="F42" s="268">
        <v>0</v>
      </c>
      <c r="G42" s="268">
        <v>0</v>
      </c>
      <c r="H42" s="268">
        <v>0.2</v>
      </c>
      <c r="I42" s="268">
        <v>0.23943661971830987</v>
      </c>
      <c r="J42" s="269">
        <v>16</v>
      </c>
      <c r="K42" s="235">
        <f t="shared" si="7"/>
        <v>65677.54243420338</v>
      </c>
      <c r="L42" s="235">
        <f t="shared" si="6"/>
        <v>3364.9437833494676</v>
      </c>
      <c r="M42" s="235">
        <f t="shared" si="8"/>
        <v>69042.486217552854</v>
      </c>
      <c r="N42" s="1026">
        <f t="shared" si="9"/>
        <v>53333.333333333328</v>
      </c>
      <c r="O42" s="1026">
        <f>(VLOOKUP(A42,'Funding Detail - Rebase'!$A$4:$AK$23,37,FALSE)*4/12)*J42</f>
        <v>54333.388016051729</v>
      </c>
      <c r="P42" s="235"/>
      <c r="Q42" s="235"/>
      <c r="R42" s="235"/>
      <c r="S42" s="235"/>
      <c r="T42" s="235"/>
      <c r="U42" s="235"/>
    </row>
    <row r="43" spans="1:21" x14ac:dyDescent="0.25">
      <c r="A43" s="244">
        <v>9257021</v>
      </c>
      <c r="B43" s="237" t="s">
        <v>216</v>
      </c>
      <c r="C43" s="271">
        <v>5</v>
      </c>
      <c r="D43" s="268">
        <v>0</v>
      </c>
      <c r="E43" s="268">
        <v>9.8591549295774641E-2</v>
      </c>
      <c r="F43" s="268">
        <v>0.71830985915492962</v>
      </c>
      <c r="G43" s="268">
        <v>2.9426156081330312E-2</v>
      </c>
      <c r="H43" s="268">
        <v>1.282736504543025E-2</v>
      </c>
      <c r="I43" s="268">
        <v>0.14084507042253522</v>
      </c>
      <c r="J43" s="269">
        <v>0</v>
      </c>
      <c r="K43" s="235">
        <f t="shared" si="7"/>
        <v>0</v>
      </c>
      <c r="L43" s="235">
        <f t="shared" si="6"/>
        <v>0</v>
      </c>
      <c r="M43" s="235">
        <f t="shared" si="8"/>
        <v>0</v>
      </c>
      <c r="N43" s="1026">
        <f t="shared" si="9"/>
        <v>0</v>
      </c>
      <c r="O43" s="1026">
        <f>(VLOOKUP(A43,'Funding Detail - Rebase'!$A$4:$AK$23,37,FALSE)*4/12)*J43</f>
        <v>0</v>
      </c>
      <c r="P43" s="235"/>
      <c r="Q43" s="235"/>
      <c r="R43" s="235"/>
      <c r="S43" s="235"/>
      <c r="T43" s="235"/>
      <c r="U43" s="235"/>
    </row>
    <row r="44" spans="1:21" x14ac:dyDescent="0.25">
      <c r="A44" s="244">
        <v>9257015</v>
      </c>
      <c r="B44" s="237" t="s">
        <v>217</v>
      </c>
      <c r="C44" s="267">
        <v>6</v>
      </c>
      <c r="D44" s="268">
        <v>4.1999582612843596E-2</v>
      </c>
      <c r="E44" s="268">
        <v>0.22177419354838709</v>
      </c>
      <c r="F44" s="268">
        <v>0.65322580645161288</v>
      </c>
      <c r="G44" s="268">
        <v>0</v>
      </c>
      <c r="H44" s="268">
        <v>1.8484288354898331E-2</v>
      </c>
      <c r="I44" s="268">
        <v>6.4516129032258063E-2</v>
      </c>
      <c r="J44" s="269">
        <v>19</v>
      </c>
      <c r="K44" s="235">
        <f t="shared" si="7"/>
        <v>46634.330016414126</v>
      </c>
      <c r="L44" s="235">
        <f t="shared" si="6"/>
        <v>1076.6862342833092</v>
      </c>
      <c r="M44" s="235">
        <f t="shared" si="8"/>
        <v>47711.016250697437</v>
      </c>
      <c r="N44" s="1026">
        <f t="shared" si="9"/>
        <v>63333.333333333328</v>
      </c>
      <c r="O44" s="1026">
        <f>(VLOOKUP(A44,'Funding Detail - Rebase'!$A$4:$AK$23,37,FALSE)*4/12)*J44</f>
        <v>0</v>
      </c>
      <c r="P44" s="235"/>
      <c r="Q44" s="235"/>
      <c r="R44" s="235"/>
      <c r="S44" s="235"/>
      <c r="T44" s="235"/>
      <c r="U44" s="235"/>
    </row>
    <row r="45" spans="1:21" x14ac:dyDescent="0.25">
      <c r="A45" s="244">
        <v>9257016</v>
      </c>
      <c r="B45" s="237" t="s">
        <v>219</v>
      </c>
      <c r="C45" s="267">
        <v>6</v>
      </c>
      <c r="D45" s="268">
        <v>0.45493133583021222</v>
      </c>
      <c r="E45" s="268">
        <v>0</v>
      </c>
      <c r="F45" s="268">
        <v>0.28888888888888886</v>
      </c>
      <c r="G45" s="268">
        <v>0</v>
      </c>
      <c r="H45" s="268">
        <v>0.25617977528089886</v>
      </c>
      <c r="I45" s="268">
        <v>0</v>
      </c>
      <c r="J45" s="269">
        <v>54</v>
      </c>
      <c r="K45" s="235">
        <f t="shared" si="7"/>
        <v>230317.16332982387</v>
      </c>
      <c r="L45" s="235">
        <f t="shared" si="6"/>
        <v>0</v>
      </c>
      <c r="M45" s="235">
        <f t="shared" si="8"/>
        <v>230317.16332982387</v>
      </c>
      <c r="N45" s="1026">
        <f t="shared" si="9"/>
        <v>180000</v>
      </c>
      <c r="O45" s="1026">
        <f>(VLOOKUP(A45,'Funding Detail - Rebase'!$A$4:$AK$23,37,FALSE)*4/12)*J45</f>
        <v>127890.5791018946</v>
      </c>
      <c r="P45" s="299" t="s">
        <v>207</v>
      </c>
      <c r="Q45" s="235"/>
      <c r="R45" s="235"/>
      <c r="S45" s="235"/>
      <c r="T45" s="235"/>
      <c r="U45" s="235"/>
    </row>
    <row r="46" spans="1:21" x14ac:dyDescent="0.25">
      <c r="A46" s="249"/>
      <c r="B46" s="36"/>
      <c r="C46" s="234"/>
      <c r="D46" s="268"/>
      <c r="E46" s="268"/>
      <c r="F46" s="268"/>
      <c r="G46" s="268"/>
      <c r="H46" s="299" t="s">
        <v>207</v>
      </c>
      <c r="I46" s="299" t="s">
        <v>207</v>
      </c>
      <c r="J46" s="269"/>
      <c r="K46" s="269"/>
      <c r="L46" s="299" t="s">
        <v>207</v>
      </c>
      <c r="M46" s="235"/>
      <c r="N46" s="235"/>
      <c r="O46" s="235"/>
      <c r="P46" s="269"/>
      <c r="Q46" s="269"/>
      <c r="R46" s="36"/>
      <c r="S46" s="36"/>
      <c r="T46" s="36"/>
      <c r="U46" s="36"/>
    </row>
    <row r="47" spans="1:21" ht="13" x14ac:dyDescent="0.3">
      <c r="A47" s="93" t="s">
        <v>270</v>
      </c>
      <c r="B47" s="36"/>
      <c r="C47" s="36"/>
      <c r="D47" s="36"/>
      <c r="E47" s="36"/>
      <c r="F47" s="36"/>
      <c r="G47" s="36"/>
      <c r="H47" s="36"/>
      <c r="I47" s="234"/>
      <c r="J47" s="234"/>
      <c r="K47" s="36"/>
      <c r="L47" s="36"/>
      <c r="M47" s="36"/>
      <c r="N47" s="36"/>
      <c r="O47" s="36"/>
      <c r="P47" s="36"/>
      <c r="Q47" s="36"/>
      <c r="R47" s="36"/>
      <c r="S47" s="36"/>
      <c r="T47" s="36"/>
      <c r="U47" s="36"/>
    </row>
    <row r="48" spans="1:21" x14ac:dyDescent="0.25">
      <c r="A48" s="36"/>
      <c r="B48" s="36"/>
      <c r="C48" s="36"/>
      <c r="D48" s="36"/>
      <c r="E48" s="36"/>
      <c r="F48" s="36"/>
      <c r="G48" s="36"/>
      <c r="H48" s="36"/>
      <c r="I48" s="94" t="s">
        <v>709</v>
      </c>
      <c r="J48" s="234"/>
      <c r="K48" s="36"/>
      <c r="L48" s="36"/>
      <c r="M48" s="36"/>
      <c r="N48" s="36"/>
      <c r="O48" s="36"/>
      <c r="P48" s="1445" t="s">
        <v>238</v>
      </c>
      <c r="Q48" s="1446"/>
      <c r="R48" s="36"/>
      <c r="S48" s="36"/>
      <c r="T48" s="36"/>
      <c r="U48" s="36"/>
    </row>
    <row r="49" spans="1:22" ht="39.75" customHeight="1" x14ac:dyDescent="0.25">
      <c r="A49" s="265" t="s">
        <v>182</v>
      </c>
      <c r="B49" s="237" t="s">
        <v>183</v>
      </c>
      <c r="C49" s="238" t="s">
        <v>184</v>
      </c>
      <c r="D49" s="36" t="s">
        <v>240</v>
      </c>
      <c r="E49" s="36" t="s">
        <v>241</v>
      </c>
      <c r="F49" s="36" t="s">
        <v>242</v>
      </c>
      <c r="G49" s="36" t="s">
        <v>243</v>
      </c>
      <c r="H49" s="36" t="s">
        <v>786</v>
      </c>
      <c r="I49" s="36" t="s">
        <v>244</v>
      </c>
      <c r="J49" s="243" t="s">
        <v>245</v>
      </c>
      <c r="K49" s="243" t="s">
        <v>246</v>
      </c>
      <c r="L49" s="243" t="s">
        <v>247</v>
      </c>
      <c r="M49" s="243" t="s">
        <v>271</v>
      </c>
      <c r="N49" s="243" t="s">
        <v>272</v>
      </c>
      <c r="O49" s="243" t="s">
        <v>273</v>
      </c>
      <c r="P49" s="243" t="s">
        <v>274</v>
      </c>
      <c r="Q49" s="277" t="s">
        <v>275</v>
      </c>
      <c r="R49" s="320" t="s">
        <v>276</v>
      </c>
      <c r="S49" s="36"/>
      <c r="T49" s="36"/>
      <c r="U49" s="36"/>
      <c r="V49" s="36"/>
    </row>
    <row r="50" spans="1:22" x14ac:dyDescent="0.25">
      <c r="A50" s="244">
        <v>9257010</v>
      </c>
      <c r="B50" s="237" t="s">
        <v>205</v>
      </c>
      <c r="C50" s="273">
        <v>4</v>
      </c>
      <c r="D50" s="268">
        <v>0.36486912645853048</v>
      </c>
      <c r="E50" s="268">
        <v>0.2857142857142857</v>
      </c>
      <c r="F50" s="268">
        <v>0.11904761904761904</v>
      </c>
      <c r="G50" s="268">
        <v>0</v>
      </c>
      <c r="H50" s="268">
        <v>0.15894039735099336</v>
      </c>
      <c r="I50" s="268">
        <v>7.1428571428571425E-2</v>
      </c>
      <c r="J50" s="269">
        <v>0</v>
      </c>
      <c r="K50" s="233">
        <v>47</v>
      </c>
      <c r="L50" s="269">
        <f>SUM(J50:K50)</f>
        <v>47</v>
      </c>
      <c r="M50" s="235">
        <f t="shared" ref="M50:M67" si="10">((((J50*D50)*$G$92)+((J50*E50)*$G$94)+((J50*F50)*$G$96)+((J50*G50)*$G$98)+((J50*I50)*$G$102)))*(7/12)</f>
        <v>0</v>
      </c>
      <c r="N50" s="235">
        <f>((((K50*D50)*$G$92)+((K50*E50)*$G$94)+((K50*F50)*$G$96)+((K50*G50)*$G$98)+((K50*H50)*$G$100)+((K50*I50)*$G$102)))*(7/12)</f>
        <v>314303.56993749033</v>
      </c>
      <c r="O50" s="235">
        <f>((I50*L50)*$G$104)*(7/12)</f>
        <v>5160.3021162854657</v>
      </c>
      <c r="P50" s="235">
        <f t="shared" ref="P50:P67" si="11">SUM(M50:O50)</f>
        <v>319463.87205377582</v>
      </c>
      <c r="Q50" s="1026">
        <f>(L50*(7/12))*10000</f>
        <v>274166.66666666669</v>
      </c>
      <c r="R50" s="1026">
        <f>(VLOOKUP(A50,'Funding Detail - Rebase'!$A$4:$AK$23,37,FALSE)*7/12)*L50</f>
        <v>318909.33976796368</v>
      </c>
      <c r="S50" s="235"/>
      <c r="T50" s="235"/>
      <c r="U50" s="297" t="s">
        <v>207</v>
      </c>
      <c r="V50" s="296" t="s">
        <v>277</v>
      </c>
    </row>
    <row r="51" spans="1:22" x14ac:dyDescent="0.25">
      <c r="A51" s="244">
        <v>9257005</v>
      </c>
      <c r="B51" s="237" t="s">
        <v>208</v>
      </c>
      <c r="C51" s="267">
        <v>4</v>
      </c>
      <c r="D51" s="268">
        <v>0.13157894736842105</v>
      </c>
      <c r="E51" s="268">
        <v>0.35526315789473684</v>
      </c>
      <c r="F51" s="268">
        <v>0.17105263157894737</v>
      </c>
      <c r="G51" s="268">
        <v>5.0986842105263164E-2</v>
      </c>
      <c r="H51" s="268">
        <v>9.3750000000000014E-2</v>
      </c>
      <c r="I51" s="268">
        <v>0.19736842105263158</v>
      </c>
      <c r="J51" s="269">
        <v>0</v>
      </c>
      <c r="K51" s="233">
        <v>45</v>
      </c>
      <c r="L51" s="269">
        <f t="shared" ref="L51:L67" si="12">SUM(J51:K51)</f>
        <v>45</v>
      </c>
      <c r="M51" s="235">
        <f t="shared" si="10"/>
        <v>0</v>
      </c>
      <c r="N51" s="235">
        <f t="shared" ref="N51:N67" si="13">((((K51*D51)*$G$92)+((K51*E51)*$G$94)+((K51*F51)*$G$96)+((K51*G51)*$G$98)+((K51*H51)*$G$100)+((K51*I51)*$G$102)))*(7/12)</f>
        <v>267680.30690593552</v>
      </c>
      <c r="O51" s="235">
        <f t="shared" ref="O51:O67" si="14">((I51*L51)*$G$104)*(7/12)</f>
        <v>13651.975083677955</v>
      </c>
      <c r="P51" s="235">
        <f t="shared" si="11"/>
        <v>281332.28198961349</v>
      </c>
      <c r="Q51" s="1026">
        <f t="shared" ref="Q51:Q67" si="15">(L51*(7/12))*10000</f>
        <v>262500</v>
      </c>
      <c r="R51" s="1026">
        <f>(VLOOKUP(A51,'Funding Detail - Rebase'!$A$4:$AK$23,37,FALSE)*7/12)*L51</f>
        <v>195605.20291121554</v>
      </c>
      <c r="S51" s="235"/>
      <c r="T51" s="235"/>
      <c r="U51" s="235"/>
      <c r="V51" s="36"/>
    </row>
    <row r="52" spans="1:22" x14ac:dyDescent="0.25">
      <c r="A52" s="244">
        <v>9257025</v>
      </c>
      <c r="B52" s="237" t="s">
        <v>209</v>
      </c>
      <c r="C52" s="271">
        <v>4</v>
      </c>
      <c r="D52" s="268">
        <v>0.2252640008007607</v>
      </c>
      <c r="E52" s="268">
        <v>0.41509433962264153</v>
      </c>
      <c r="F52" s="268">
        <v>5.6603773584905662E-2</v>
      </c>
      <c r="G52" s="268">
        <v>0</v>
      </c>
      <c r="H52" s="268">
        <v>9.5490716180371346E-2</v>
      </c>
      <c r="I52" s="268">
        <v>0.20754716981132076</v>
      </c>
      <c r="J52" s="269">
        <v>0</v>
      </c>
      <c r="K52" s="233">
        <v>47</v>
      </c>
      <c r="L52" s="269">
        <f t="shared" si="12"/>
        <v>47</v>
      </c>
      <c r="M52" s="235">
        <f t="shared" si="10"/>
        <v>0</v>
      </c>
      <c r="N52" s="235">
        <f t="shared" si="13"/>
        <v>290049.38163606374</v>
      </c>
      <c r="O52" s="235">
        <f t="shared" si="14"/>
        <v>14994.085394489844</v>
      </c>
      <c r="P52" s="235">
        <f t="shared" si="11"/>
        <v>305043.46703055361</v>
      </c>
      <c r="Q52" s="1026">
        <f t="shared" si="15"/>
        <v>274166.66666666669</v>
      </c>
      <c r="R52" s="1026">
        <f>(VLOOKUP(A52,'Funding Detail - Rebase'!$A$4:$AK$23,37,FALSE)*7/12)*L52</f>
        <v>250848.97964213835</v>
      </c>
      <c r="S52" s="235"/>
      <c r="T52" s="235"/>
      <c r="U52" s="235"/>
      <c r="V52" s="36"/>
    </row>
    <row r="53" spans="1:22" x14ac:dyDescent="0.25">
      <c r="A53" s="244">
        <v>9257011</v>
      </c>
      <c r="B53" s="237" t="s">
        <v>210</v>
      </c>
      <c r="C53" s="267">
        <v>4</v>
      </c>
      <c r="D53" s="268">
        <v>0.31076711386308908</v>
      </c>
      <c r="E53" s="268">
        <v>0.42222222222222222</v>
      </c>
      <c r="F53" s="268">
        <v>0</v>
      </c>
      <c r="G53" s="268">
        <v>0</v>
      </c>
      <c r="H53" s="268">
        <v>0.11145510835913314</v>
      </c>
      <c r="I53" s="268">
        <v>0.15555555555555556</v>
      </c>
      <c r="J53" s="269">
        <v>0</v>
      </c>
      <c r="K53" s="233">
        <v>41</v>
      </c>
      <c r="L53" s="269">
        <f t="shared" si="12"/>
        <v>41</v>
      </c>
      <c r="M53" s="235">
        <f t="shared" si="10"/>
        <v>0</v>
      </c>
      <c r="N53" s="235">
        <f t="shared" si="13"/>
        <v>263647.71897021157</v>
      </c>
      <c r="O53" s="235">
        <f t="shared" si="14"/>
        <v>9803.3540913640682</v>
      </c>
      <c r="P53" s="235">
        <f t="shared" si="11"/>
        <v>273451.07306157565</v>
      </c>
      <c r="Q53" s="1026">
        <f t="shared" si="15"/>
        <v>239166.66666666669</v>
      </c>
      <c r="R53" s="1026">
        <f>(VLOOKUP(A53,'Funding Detail - Rebase'!$A$4:$AK$23,37,FALSE)*7/12)*L53</f>
        <v>257248.25980467832</v>
      </c>
      <c r="S53" s="235"/>
      <c r="T53" s="235"/>
      <c r="U53" s="235"/>
      <c r="V53" s="36"/>
    </row>
    <row r="54" spans="1:22" x14ac:dyDescent="0.25">
      <c r="A54" s="244">
        <v>9257024</v>
      </c>
      <c r="B54" s="237" t="s">
        <v>211</v>
      </c>
      <c r="C54" s="267">
        <v>3</v>
      </c>
      <c r="D54" s="268">
        <v>0.2</v>
      </c>
      <c r="E54" s="268">
        <v>0.5636363636363636</v>
      </c>
      <c r="F54" s="268">
        <v>1.8181818181818181E-2</v>
      </c>
      <c r="G54" s="268">
        <v>2.3558542624690485E-2</v>
      </c>
      <c r="H54" s="268">
        <v>0.14007782101167315</v>
      </c>
      <c r="I54" s="268">
        <v>5.4545454545454543E-2</v>
      </c>
      <c r="J54" s="269">
        <v>0</v>
      </c>
      <c r="K54" s="233">
        <v>58</v>
      </c>
      <c r="L54" s="269">
        <f t="shared" si="12"/>
        <v>58</v>
      </c>
      <c r="M54" s="235">
        <f t="shared" si="10"/>
        <v>0</v>
      </c>
      <c r="N54" s="235">
        <f t="shared" si="13"/>
        <v>358960.51546338026</v>
      </c>
      <c r="O54" s="235">
        <f t="shared" si="14"/>
        <v>4862.8611045537318</v>
      </c>
      <c r="P54" s="235">
        <f t="shared" si="11"/>
        <v>363823.376567934</v>
      </c>
      <c r="Q54" s="1026">
        <f t="shared" si="15"/>
        <v>338333.33333333337</v>
      </c>
      <c r="R54" s="1026">
        <f>(VLOOKUP(A54,'Funding Detail - Rebase'!$A$4:$AK$23,37,FALSE)*7/12)*L54</f>
        <v>232909.8455858228</v>
      </c>
      <c r="S54" s="235"/>
      <c r="T54" s="235"/>
      <c r="U54" s="235"/>
      <c r="V54" s="36"/>
    </row>
    <row r="55" spans="1:22" x14ac:dyDescent="0.25">
      <c r="A55" s="244">
        <v>9257031</v>
      </c>
      <c r="B55" s="237" t="s">
        <v>257</v>
      </c>
      <c r="C55" s="267">
        <v>4</v>
      </c>
      <c r="D55" s="268">
        <v>0</v>
      </c>
      <c r="E55" s="268">
        <v>0</v>
      </c>
      <c r="F55" s="268">
        <v>0</v>
      </c>
      <c r="G55" s="268">
        <v>0</v>
      </c>
      <c r="H55" s="268">
        <v>0</v>
      </c>
      <c r="I55" s="268">
        <v>1</v>
      </c>
      <c r="J55" s="269">
        <v>0</v>
      </c>
      <c r="K55" s="233">
        <v>70</v>
      </c>
      <c r="L55" s="269">
        <f t="shared" si="12"/>
        <v>70</v>
      </c>
      <c r="M55" s="235">
        <f t="shared" si="10"/>
        <v>0</v>
      </c>
      <c r="N55" s="235">
        <f t="shared" si="13"/>
        <v>477424.17605561879</v>
      </c>
      <c r="O55" s="235">
        <f t="shared" si="14"/>
        <v>107597.78880765439</v>
      </c>
      <c r="P55" s="235">
        <f t="shared" si="11"/>
        <v>585021.9648632732</v>
      </c>
      <c r="Q55" s="1026">
        <f t="shared" si="15"/>
        <v>408333.33333333337</v>
      </c>
      <c r="R55" s="1026">
        <f>(VLOOKUP(A55,'Funding Detail - Rebase'!$A$4:$AK$23,37,FALSE)*7/12)*L55</f>
        <v>428402.06218314765</v>
      </c>
      <c r="S55" s="235"/>
      <c r="T55" s="235"/>
      <c r="U55" s="235"/>
      <c r="V55" s="36"/>
    </row>
    <row r="56" spans="1:22" x14ac:dyDescent="0.25">
      <c r="A56" s="244">
        <v>9257033</v>
      </c>
      <c r="B56" s="237" t="s">
        <v>220</v>
      </c>
      <c r="C56" s="267">
        <v>3</v>
      </c>
      <c r="D56" s="268">
        <v>3.6363636363636362E-2</v>
      </c>
      <c r="E56" s="268">
        <v>0.29090909090909089</v>
      </c>
      <c r="F56" s="268">
        <v>0.27272727272727271</v>
      </c>
      <c r="G56" s="268">
        <v>5.4545454545454543E-2</v>
      </c>
      <c r="H56" s="268">
        <v>0</v>
      </c>
      <c r="I56" s="268">
        <v>0.34545454545454546</v>
      </c>
      <c r="J56" s="269">
        <v>0</v>
      </c>
      <c r="K56" s="233">
        <v>85</v>
      </c>
      <c r="L56" s="269">
        <f t="shared" si="12"/>
        <v>85</v>
      </c>
      <c r="M56" s="235">
        <f t="shared" si="10"/>
        <v>0</v>
      </c>
      <c r="N56" s="235">
        <f t="shared" si="13"/>
        <v>443425.22294790001</v>
      </c>
      <c r="O56" s="235">
        <f t="shared" si="14"/>
        <v>45135.17634399009</v>
      </c>
      <c r="P56" s="235">
        <f t="shared" si="11"/>
        <v>488560.39929189009</v>
      </c>
      <c r="Q56" s="1026">
        <f t="shared" si="15"/>
        <v>495833.33333333337</v>
      </c>
      <c r="R56" s="1026">
        <f>(VLOOKUP(A56,'Funding Detail - Rebase'!$A$4:$AK$23,37,FALSE)*7/12)*L56</f>
        <v>262399.38809667545</v>
      </c>
      <c r="S56" s="235"/>
      <c r="T56" s="235"/>
      <c r="U56" s="235"/>
      <c r="V56" s="36"/>
    </row>
    <row r="57" spans="1:22" x14ac:dyDescent="0.25">
      <c r="A57" s="244">
        <v>9257008</v>
      </c>
      <c r="B57" s="237" t="s">
        <v>212</v>
      </c>
      <c r="C57" s="271">
        <v>4</v>
      </c>
      <c r="D57" s="268">
        <v>0</v>
      </c>
      <c r="E57" s="268">
        <v>8.2352941176470587E-2</v>
      </c>
      <c r="F57" s="268">
        <v>0.61176470588235299</v>
      </c>
      <c r="G57" s="268">
        <v>2.3529411764705882E-2</v>
      </c>
      <c r="H57" s="268">
        <v>0</v>
      </c>
      <c r="I57" s="268">
        <v>0.28235294117647058</v>
      </c>
      <c r="J57" s="269">
        <v>0</v>
      </c>
      <c r="K57" s="233">
        <v>90</v>
      </c>
      <c r="L57" s="269">
        <f t="shared" si="12"/>
        <v>90</v>
      </c>
      <c r="M57" s="235">
        <f t="shared" si="10"/>
        <v>0</v>
      </c>
      <c r="N57" s="235">
        <f t="shared" si="13"/>
        <v>420072.39061269845</v>
      </c>
      <c r="O57" s="235">
        <f t="shared" si="14"/>
        <v>39060.709886476216</v>
      </c>
      <c r="P57" s="235">
        <f t="shared" si="11"/>
        <v>459133.10049917467</v>
      </c>
      <c r="Q57" s="1026">
        <f t="shared" si="15"/>
        <v>525000</v>
      </c>
      <c r="R57" s="1026">
        <f>(VLOOKUP(A57,'Funding Detail - Rebase'!$A$4:$AK$23,37,FALSE)*7/12)*L57</f>
        <v>229825.448382284</v>
      </c>
      <c r="S57" s="235"/>
      <c r="T57" s="235"/>
      <c r="U57" s="235"/>
      <c r="V57" s="36"/>
    </row>
    <row r="58" spans="1:22" x14ac:dyDescent="0.25">
      <c r="A58" s="244">
        <v>9257034</v>
      </c>
      <c r="B58" s="237" t="s">
        <v>221</v>
      </c>
      <c r="C58" s="267">
        <v>5</v>
      </c>
      <c r="D58" s="268">
        <v>7.0866141732283464E-2</v>
      </c>
      <c r="E58" s="268">
        <v>0.16535433070866143</v>
      </c>
      <c r="F58" s="268">
        <v>0.51968503937007871</v>
      </c>
      <c r="G58" s="268">
        <v>1.4142328214579346E-2</v>
      </c>
      <c r="H58" s="268">
        <v>2.5227750525578133E-2</v>
      </c>
      <c r="I58" s="268">
        <v>0.20472440944881889</v>
      </c>
      <c r="J58" s="269">
        <v>0</v>
      </c>
      <c r="K58" s="233">
        <v>82</v>
      </c>
      <c r="L58" s="269">
        <f t="shared" si="12"/>
        <v>82</v>
      </c>
      <c r="M58" s="235">
        <f t="shared" si="10"/>
        <v>0</v>
      </c>
      <c r="N58" s="235">
        <f t="shared" si="13"/>
        <v>402102.73221424909</v>
      </c>
      <c r="O58" s="235">
        <f t="shared" si="14"/>
        <v>25804.104132499346</v>
      </c>
      <c r="P58" s="235">
        <f t="shared" si="11"/>
        <v>427906.83634674846</v>
      </c>
      <c r="Q58" s="1026">
        <f t="shared" si="15"/>
        <v>478333.33333333337</v>
      </c>
      <c r="R58" s="1026">
        <f>(VLOOKUP(A58,'Funding Detail - Rebase'!$A$4:$AK$23,37,FALSE)*7/12)*L58</f>
        <v>172405.95309849648</v>
      </c>
      <c r="S58" s="235"/>
      <c r="T58" s="235"/>
      <c r="U58" s="235"/>
      <c r="V58" s="36"/>
    </row>
    <row r="59" spans="1:22" x14ac:dyDescent="0.25">
      <c r="A59" s="244">
        <v>9257002</v>
      </c>
      <c r="B59" s="237" t="s">
        <v>213</v>
      </c>
      <c r="C59" s="267">
        <v>5</v>
      </c>
      <c r="D59" s="268">
        <v>8.4033613445378148E-3</v>
      </c>
      <c r="E59" s="268">
        <v>0.27731092436974791</v>
      </c>
      <c r="F59" s="268">
        <v>0.59663865546218486</v>
      </c>
      <c r="G59" s="268">
        <v>1.7798101328239758E-2</v>
      </c>
      <c r="H59" s="268">
        <v>7.4119827053736867E-3</v>
      </c>
      <c r="I59" s="268">
        <v>9.2436974789915971E-2</v>
      </c>
      <c r="J59" s="269">
        <v>0</v>
      </c>
      <c r="K59" s="233">
        <v>142</v>
      </c>
      <c r="L59" s="269">
        <f t="shared" si="12"/>
        <v>142</v>
      </c>
      <c r="M59" s="235">
        <f t="shared" si="10"/>
        <v>0</v>
      </c>
      <c r="N59" s="235">
        <f t="shared" si="13"/>
        <v>605906.66871430899</v>
      </c>
      <c r="O59" s="235">
        <f t="shared" si="14"/>
        <v>20176.20001411239</v>
      </c>
      <c r="P59" s="235">
        <f t="shared" si="11"/>
        <v>626082.8687284214</v>
      </c>
      <c r="Q59" s="1026">
        <f t="shared" si="15"/>
        <v>828333.33333333337</v>
      </c>
      <c r="R59" s="1026">
        <f>(VLOOKUP(A59,'Funding Detail - Rebase'!$A$4:$AK$23,37,FALSE)*7/12)*L59</f>
        <v>141195.48304999233</v>
      </c>
      <c r="S59" s="235"/>
      <c r="T59" s="235"/>
      <c r="U59" s="235"/>
      <c r="V59" s="36"/>
    </row>
    <row r="60" spans="1:22" x14ac:dyDescent="0.25">
      <c r="A60" s="244">
        <v>9257009</v>
      </c>
      <c r="B60" s="237" t="s">
        <v>214</v>
      </c>
      <c r="C60" s="267">
        <v>4</v>
      </c>
      <c r="D60" s="268">
        <v>0</v>
      </c>
      <c r="E60" s="268">
        <v>0.14615384615384616</v>
      </c>
      <c r="F60" s="268">
        <v>0.7</v>
      </c>
      <c r="G60" s="268">
        <v>1.5384615384615385E-2</v>
      </c>
      <c r="H60" s="268">
        <v>0</v>
      </c>
      <c r="I60" s="268">
        <v>0.13846153846153847</v>
      </c>
      <c r="J60" s="269">
        <v>0</v>
      </c>
      <c r="K60" s="233">
        <v>129</v>
      </c>
      <c r="L60" s="269">
        <f t="shared" si="12"/>
        <v>129</v>
      </c>
      <c r="M60" s="235">
        <f t="shared" si="10"/>
        <v>0</v>
      </c>
      <c r="N60" s="235">
        <f t="shared" si="13"/>
        <v>545083.23773162556</v>
      </c>
      <c r="O60" s="235">
        <f t="shared" si="14"/>
        <v>27455.17204520588</v>
      </c>
      <c r="P60" s="235">
        <f t="shared" si="11"/>
        <v>572538.40977683139</v>
      </c>
      <c r="Q60" s="1026">
        <f t="shared" si="15"/>
        <v>752500</v>
      </c>
      <c r="R60" s="1026">
        <f>(VLOOKUP(A60,'Funding Detail - Rebase'!$A$4:$AK$23,37,FALSE)*7/12)*L60</f>
        <v>116770.02652927751</v>
      </c>
      <c r="S60" s="235"/>
      <c r="T60" s="235"/>
      <c r="U60" s="235"/>
      <c r="V60" s="36"/>
    </row>
    <row r="61" spans="1:22" x14ac:dyDescent="0.25">
      <c r="A61" s="244">
        <v>9257029</v>
      </c>
      <c r="B61" s="237" t="s">
        <v>259</v>
      </c>
      <c r="C61" s="271">
        <v>3</v>
      </c>
      <c r="D61" s="268">
        <v>0</v>
      </c>
      <c r="E61" s="268">
        <v>0</v>
      </c>
      <c r="F61" s="268">
        <v>0</v>
      </c>
      <c r="G61" s="268">
        <v>0</v>
      </c>
      <c r="H61" s="268">
        <v>0</v>
      </c>
      <c r="I61" s="268">
        <v>1</v>
      </c>
      <c r="J61" s="269">
        <v>0</v>
      </c>
      <c r="K61" s="233">
        <v>43</v>
      </c>
      <c r="L61" s="269">
        <f t="shared" si="12"/>
        <v>43</v>
      </c>
      <c r="M61" s="235">
        <f t="shared" si="10"/>
        <v>0</v>
      </c>
      <c r="N61" s="235">
        <f t="shared" si="13"/>
        <v>293274.85100559442</v>
      </c>
      <c r="O61" s="235">
        <f t="shared" si="14"/>
        <v>66095.784553273421</v>
      </c>
      <c r="P61" s="235">
        <f t="shared" si="11"/>
        <v>359370.63555886783</v>
      </c>
      <c r="Q61" s="1026">
        <f t="shared" si="15"/>
        <v>250833.33333333334</v>
      </c>
      <c r="R61" s="1026">
        <f>(VLOOKUP(A61,'Funding Detail - Rebase'!$A$4:$AK$23,37,FALSE)*7/12)*L61</f>
        <v>308154.33268100163</v>
      </c>
      <c r="S61" s="235"/>
      <c r="T61" s="235"/>
      <c r="U61" s="235"/>
      <c r="V61" s="36"/>
    </row>
    <row r="62" spans="1:22" x14ac:dyDescent="0.25">
      <c r="A62" s="244">
        <v>9257032</v>
      </c>
      <c r="B62" s="237" t="s">
        <v>261</v>
      </c>
      <c r="C62" s="267">
        <v>4</v>
      </c>
      <c r="D62" s="268">
        <v>0</v>
      </c>
      <c r="E62" s="268">
        <v>0</v>
      </c>
      <c r="F62" s="268">
        <v>0</v>
      </c>
      <c r="G62" s="268">
        <v>0</v>
      </c>
      <c r="H62" s="268">
        <v>0</v>
      </c>
      <c r="I62" s="268">
        <v>1</v>
      </c>
      <c r="J62" s="269">
        <v>0</v>
      </c>
      <c r="K62" s="233">
        <v>60</v>
      </c>
      <c r="L62" s="269">
        <f t="shared" si="12"/>
        <v>60</v>
      </c>
      <c r="M62" s="235">
        <f t="shared" si="10"/>
        <v>0</v>
      </c>
      <c r="N62" s="235">
        <f t="shared" si="13"/>
        <v>409220.72233338753</v>
      </c>
      <c r="O62" s="235">
        <f t="shared" si="14"/>
        <v>92226.67612084662</v>
      </c>
      <c r="P62" s="235">
        <f t="shared" si="11"/>
        <v>501447.39845423412</v>
      </c>
      <c r="Q62" s="1026">
        <f t="shared" si="15"/>
        <v>350000</v>
      </c>
      <c r="R62" s="1026">
        <f>(VLOOKUP(A62,'Funding Detail - Rebase'!$A$4:$AK$23,37,FALSE)*7/12)*L62</f>
        <v>398598.05092751002</v>
      </c>
      <c r="S62" s="235"/>
      <c r="T62" s="235"/>
      <c r="U62" s="235"/>
      <c r="V62" s="36"/>
    </row>
    <row r="63" spans="1:22" x14ac:dyDescent="0.25">
      <c r="A63" s="244">
        <v>9257030</v>
      </c>
      <c r="B63" s="237" t="s">
        <v>262</v>
      </c>
      <c r="C63" s="271">
        <v>4</v>
      </c>
      <c r="D63" s="268">
        <v>0</v>
      </c>
      <c r="E63" s="268">
        <v>0</v>
      </c>
      <c r="F63" s="268">
        <v>0</v>
      </c>
      <c r="G63" s="268">
        <v>0</v>
      </c>
      <c r="H63" s="268">
        <v>0</v>
      </c>
      <c r="I63" s="268">
        <v>1</v>
      </c>
      <c r="J63" s="269">
        <v>0</v>
      </c>
      <c r="K63" s="233">
        <v>70</v>
      </c>
      <c r="L63" s="269">
        <f t="shared" si="12"/>
        <v>70</v>
      </c>
      <c r="M63" s="235">
        <f t="shared" si="10"/>
        <v>0</v>
      </c>
      <c r="N63" s="235">
        <f t="shared" si="13"/>
        <v>477424.17605561879</v>
      </c>
      <c r="O63" s="235">
        <f t="shared" si="14"/>
        <v>107597.78880765439</v>
      </c>
      <c r="P63" s="235">
        <f t="shared" si="11"/>
        <v>585021.9648632732</v>
      </c>
      <c r="Q63" s="1026">
        <f t="shared" si="15"/>
        <v>408333.33333333337</v>
      </c>
      <c r="R63" s="1026">
        <f>(VLOOKUP(A63,'Funding Detail - Rebase'!$A$4:$AK$23,37,FALSE)*7/12)*L63</f>
        <v>438647.76612545847</v>
      </c>
      <c r="S63" s="235"/>
      <c r="T63" s="235"/>
      <c r="U63" s="235"/>
      <c r="V63" s="36"/>
    </row>
    <row r="64" spans="1:22" x14ac:dyDescent="0.25">
      <c r="A64" s="244">
        <v>9257028</v>
      </c>
      <c r="B64" s="237" t="s">
        <v>215</v>
      </c>
      <c r="C64" s="267">
        <v>5</v>
      </c>
      <c r="D64" s="268">
        <v>0.22253521126760564</v>
      </c>
      <c r="E64" s="268">
        <v>0.3380281690140845</v>
      </c>
      <c r="F64" s="268">
        <v>0</v>
      </c>
      <c r="G64" s="268">
        <v>0</v>
      </c>
      <c r="H64" s="268">
        <v>0.2</v>
      </c>
      <c r="I64" s="268">
        <v>0.23943661971830987</v>
      </c>
      <c r="J64" s="1170">
        <v>0</v>
      </c>
      <c r="K64" s="233">
        <v>61</v>
      </c>
      <c r="L64" s="269">
        <f t="shared" si="12"/>
        <v>61</v>
      </c>
      <c r="M64" s="235">
        <f t="shared" si="10"/>
        <v>0</v>
      </c>
      <c r="N64" s="235">
        <f t="shared" si="13"/>
        <v>438192.3534282007</v>
      </c>
      <c r="O64" s="235">
        <f t="shared" si="14"/>
        <v>22450.48430453473</v>
      </c>
      <c r="P64" s="235">
        <f t="shared" si="11"/>
        <v>460642.83773273544</v>
      </c>
      <c r="Q64" s="1026">
        <f t="shared" si="15"/>
        <v>355833.33333333337</v>
      </c>
      <c r="R64" s="1026">
        <f>(VLOOKUP(A64,'Funding Detail - Rebase'!$A$4:$AK$23,37,FALSE)*7/12)*L64</f>
        <v>362505.5731695951</v>
      </c>
      <c r="S64" s="235"/>
      <c r="T64" s="235"/>
      <c r="U64" s="235"/>
      <c r="V64" s="36"/>
    </row>
    <row r="65" spans="1:22" x14ac:dyDescent="0.25">
      <c r="A65" s="244">
        <v>9257021</v>
      </c>
      <c r="B65" s="237" t="s">
        <v>216</v>
      </c>
      <c r="C65" s="271">
        <v>5</v>
      </c>
      <c r="D65" s="268">
        <v>0</v>
      </c>
      <c r="E65" s="268">
        <v>9.8591549295774641E-2</v>
      </c>
      <c r="F65" s="268">
        <v>0.71830985915492962</v>
      </c>
      <c r="G65" s="268">
        <v>2.9426156081330312E-2</v>
      </c>
      <c r="H65" s="268">
        <v>1.282736504543025E-2</v>
      </c>
      <c r="I65" s="268">
        <v>0.14084507042253522</v>
      </c>
      <c r="J65" s="269">
        <v>0</v>
      </c>
      <c r="K65" s="233">
        <v>155</v>
      </c>
      <c r="L65" s="269">
        <f t="shared" si="12"/>
        <v>155</v>
      </c>
      <c r="M65" s="235">
        <f t="shared" si="10"/>
        <v>0</v>
      </c>
      <c r="N65" s="235">
        <f t="shared" si="13"/>
        <v>676718.2777654262</v>
      </c>
      <c r="O65" s="235">
        <f t="shared" si="14"/>
        <v>33556.654457115561</v>
      </c>
      <c r="P65" s="235">
        <f t="shared" si="11"/>
        <v>710274.93222254177</v>
      </c>
      <c r="Q65" s="1026">
        <f t="shared" si="15"/>
        <v>904166.66666666674</v>
      </c>
      <c r="R65" s="1026">
        <f>(VLOOKUP(A65,'Funding Detail - Rebase'!$A$4:$AK$23,37,FALSE)*7/12)*L65</f>
        <v>134667.10810818043</v>
      </c>
      <c r="S65" s="235"/>
      <c r="T65" s="235"/>
      <c r="U65" s="235"/>
      <c r="V65" s="36"/>
    </row>
    <row r="66" spans="1:22" x14ac:dyDescent="0.25">
      <c r="A66" s="244">
        <v>9257015</v>
      </c>
      <c r="B66" s="237" t="s">
        <v>217</v>
      </c>
      <c r="C66" s="267">
        <v>6</v>
      </c>
      <c r="D66" s="268">
        <v>4.1999582612843596E-2</v>
      </c>
      <c r="E66" s="268">
        <v>0.22177419354838709</v>
      </c>
      <c r="F66" s="268">
        <v>0.65322580645161288</v>
      </c>
      <c r="G66" s="268">
        <v>0</v>
      </c>
      <c r="H66" s="268">
        <v>1.8484288354898331E-2</v>
      </c>
      <c r="I66" s="268">
        <v>6.4516129032258063E-2</v>
      </c>
      <c r="J66" s="269">
        <v>0</v>
      </c>
      <c r="K66" s="233">
        <v>233</v>
      </c>
      <c r="L66" s="269">
        <f t="shared" si="12"/>
        <v>233</v>
      </c>
      <c r="M66" s="235">
        <f t="shared" si="10"/>
        <v>0</v>
      </c>
      <c r="N66" s="235">
        <f t="shared" si="13"/>
        <v>1000797.2665364664</v>
      </c>
      <c r="O66" s="235">
        <f t="shared" si="14"/>
        <v>23106.253264685231</v>
      </c>
      <c r="P66" s="235">
        <f t="shared" si="11"/>
        <v>1023903.5198011517</v>
      </c>
      <c r="Q66" s="1026">
        <f t="shared" si="15"/>
        <v>1359166.6666666667</v>
      </c>
      <c r="R66" s="1026">
        <f>(VLOOKUP(A66,'Funding Detail - Rebase'!$A$4:$AK$23,37,FALSE)*7/12)*L66</f>
        <v>0</v>
      </c>
      <c r="S66" s="235"/>
      <c r="T66" s="235"/>
      <c r="U66" s="235"/>
      <c r="V66" s="36"/>
    </row>
    <row r="67" spans="1:22" x14ac:dyDescent="0.25">
      <c r="A67" s="244">
        <v>9257016</v>
      </c>
      <c r="B67" s="237" t="s">
        <v>219</v>
      </c>
      <c r="C67" s="267">
        <v>6</v>
      </c>
      <c r="D67" s="268">
        <v>0.45493133583021222</v>
      </c>
      <c r="E67" s="268">
        <v>0</v>
      </c>
      <c r="F67" s="268">
        <v>0.28888888888888886</v>
      </c>
      <c r="G67" s="268">
        <v>0</v>
      </c>
      <c r="H67" s="268">
        <v>0.25617977528089886</v>
      </c>
      <c r="I67" s="268">
        <v>0</v>
      </c>
      <c r="J67" s="269">
        <v>0</v>
      </c>
      <c r="K67" s="233">
        <v>89</v>
      </c>
      <c r="L67" s="269">
        <f t="shared" si="12"/>
        <v>89</v>
      </c>
      <c r="M67" s="235">
        <f t="shared" si="10"/>
        <v>0</v>
      </c>
      <c r="N67" s="235">
        <f t="shared" si="13"/>
        <v>664294.41090037173</v>
      </c>
      <c r="O67" s="235">
        <f t="shared" si="14"/>
        <v>0</v>
      </c>
      <c r="P67" s="235">
        <f t="shared" si="11"/>
        <v>664294.41090037173</v>
      </c>
      <c r="Q67" s="1026">
        <f t="shared" si="15"/>
        <v>519166.66666666669</v>
      </c>
      <c r="R67" s="1026">
        <f>(VLOOKUP(A67,'Funding Detail - Rebase'!$A$4:$AK$23,37,FALSE)*7/12)*L67</f>
        <v>368869.58694666822</v>
      </c>
      <c r="S67" s="299" t="s">
        <v>207</v>
      </c>
      <c r="T67" s="235"/>
      <c r="U67" s="235"/>
      <c r="V67" s="36"/>
    </row>
    <row r="68" spans="1:22" x14ac:dyDescent="0.25">
      <c r="A68" s="36"/>
      <c r="B68" s="36"/>
      <c r="C68" s="36"/>
      <c r="D68" s="36"/>
      <c r="E68" s="36"/>
      <c r="F68" s="36"/>
      <c r="G68" s="36"/>
      <c r="H68" s="299" t="s">
        <v>207</v>
      </c>
      <c r="I68" s="299" t="s">
        <v>207</v>
      </c>
      <c r="J68" s="234"/>
      <c r="K68" s="299" t="s">
        <v>207</v>
      </c>
      <c r="L68" s="36"/>
      <c r="M68" s="36"/>
      <c r="N68" s="36"/>
      <c r="O68" s="299" t="s">
        <v>207</v>
      </c>
      <c r="P68" s="36"/>
      <c r="Q68" s="36"/>
      <c r="R68" s="36"/>
      <c r="S68" s="36"/>
      <c r="T68" s="36"/>
      <c r="U68" s="36"/>
      <c r="V68" s="36"/>
    </row>
    <row r="69" spans="1:22" ht="13" x14ac:dyDescent="0.3">
      <c r="A69" s="93" t="s">
        <v>278</v>
      </c>
      <c r="B69" s="36"/>
      <c r="C69" s="36"/>
      <c r="D69" s="36"/>
      <c r="E69" s="36"/>
      <c r="F69" s="36"/>
      <c r="G69" s="36"/>
      <c r="H69" s="36"/>
      <c r="I69" s="234"/>
      <c r="J69" s="234"/>
      <c r="K69" s="36"/>
      <c r="L69" s="36"/>
      <c r="M69" s="36"/>
      <c r="N69" s="36"/>
      <c r="O69" s="36"/>
      <c r="P69" s="36"/>
      <c r="Q69" s="36"/>
      <c r="R69" s="36"/>
      <c r="S69" s="36"/>
      <c r="T69" s="36"/>
      <c r="U69" s="36"/>
      <c r="V69" s="36"/>
    </row>
    <row r="70" spans="1:22" x14ac:dyDescent="0.25">
      <c r="A70" s="36"/>
      <c r="B70" s="36"/>
      <c r="C70" s="36"/>
      <c r="D70" s="36"/>
      <c r="E70" s="36"/>
      <c r="F70" s="36"/>
      <c r="G70" s="36"/>
      <c r="H70" s="36"/>
      <c r="I70" s="234"/>
      <c r="J70" s="234"/>
      <c r="K70" s="36"/>
      <c r="L70" s="36"/>
      <c r="M70" s="1445" t="s">
        <v>238</v>
      </c>
      <c r="N70" s="1446"/>
      <c r="O70" s="36"/>
      <c r="P70" s="36"/>
      <c r="Q70" s="36"/>
      <c r="R70" s="36"/>
      <c r="S70" s="36"/>
      <c r="T70" s="36"/>
      <c r="U70" s="36"/>
      <c r="V70" s="36"/>
    </row>
    <row r="71" spans="1:22" ht="37.5" x14ac:dyDescent="0.25">
      <c r="A71" s="265" t="s">
        <v>182</v>
      </c>
      <c r="B71" s="237" t="s">
        <v>183</v>
      </c>
      <c r="C71" s="238" t="s">
        <v>184</v>
      </c>
      <c r="D71" s="36" t="s">
        <v>240</v>
      </c>
      <c r="E71" s="36" t="s">
        <v>241</v>
      </c>
      <c r="F71" s="36" t="s">
        <v>242</v>
      </c>
      <c r="G71" s="36" t="s">
        <v>243</v>
      </c>
      <c r="H71" s="36" t="s">
        <v>786</v>
      </c>
      <c r="I71" s="36" t="s">
        <v>244</v>
      </c>
      <c r="J71" s="243" t="s">
        <v>264</v>
      </c>
      <c r="K71" s="243" t="s">
        <v>279</v>
      </c>
      <c r="L71" s="243" t="s">
        <v>280</v>
      </c>
      <c r="M71" s="243" t="s">
        <v>279</v>
      </c>
      <c r="N71" s="243" t="s">
        <v>267</v>
      </c>
      <c r="O71" s="320" t="s">
        <v>281</v>
      </c>
      <c r="P71" s="243"/>
      <c r="Q71" s="243"/>
      <c r="R71" s="243"/>
      <c r="S71" s="36"/>
      <c r="T71" s="36"/>
      <c r="U71" s="36"/>
      <c r="V71" s="36"/>
    </row>
    <row r="72" spans="1:22" x14ac:dyDescent="0.25">
      <c r="A72" s="244">
        <v>9257010</v>
      </c>
      <c r="B72" s="237" t="s">
        <v>205</v>
      </c>
      <c r="C72" s="273">
        <v>4</v>
      </c>
      <c r="D72" s="268">
        <v>0.36486912645853048</v>
      </c>
      <c r="E72" s="268">
        <v>0.2857142857142857</v>
      </c>
      <c r="F72" s="268">
        <v>0.11904761904761904</v>
      </c>
      <c r="G72" s="268">
        <v>0</v>
      </c>
      <c r="H72" s="268">
        <v>0.15894039735099336</v>
      </c>
      <c r="I72" s="268">
        <v>7.1428571428571425E-2</v>
      </c>
      <c r="J72" s="233">
        <v>5</v>
      </c>
      <c r="K72" s="235">
        <f>(((J72*D72)*$G$92)+((J72*E72)*$G$94)+((J72*F72)*$G$96)+((J72*G72)*$G$98)+((J72*H72)*$G$100)+((J72*I72)*$G$102))*(8/12)</f>
        <v>38213.199992400027</v>
      </c>
      <c r="L72" s="235">
        <f t="shared" ref="L72:L89" si="16">((I72*J72)*$G$104)*(8/12)</f>
        <v>627.39235456358233</v>
      </c>
      <c r="M72" s="235">
        <f>SUM(K72:L72)</f>
        <v>38840.592346963611</v>
      </c>
      <c r="N72" s="1026">
        <f>(J72*(8/12))*10000</f>
        <v>33333.333333333328</v>
      </c>
      <c r="O72" s="1026">
        <f>(VLOOKUP(A72,'Funding Detail - Rebase'!$A$4:$AK$23,37,FALSE)*8/12)*J72</f>
        <v>38773.172008263056</v>
      </c>
      <c r="P72" s="235"/>
      <c r="Q72" s="235"/>
      <c r="R72" s="269"/>
      <c r="S72" s="280"/>
      <c r="T72" s="36"/>
      <c r="U72" s="297" t="s">
        <v>207</v>
      </c>
      <c r="V72" s="296" t="s">
        <v>282</v>
      </c>
    </row>
    <row r="73" spans="1:22" x14ac:dyDescent="0.25">
      <c r="A73" s="244">
        <v>9257005</v>
      </c>
      <c r="B73" s="237" t="s">
        <v>208</v>
      </c>
      <c r="C73" s="267">
        <v>4</v>
      </c>
      <c r="D73" s="268">
        <v>0.13157894736842105</v>
      </c>
      <c r="E73" s="268">
        <v>0.35526315789473684</v>
      </c>
      <c r="F73" s="268">
        <v>0.17105263157894737</v>
      </c>
      <c r="G73" s="268">
        <v>5.0986842105263164E-2</v>
      </c>
      <c r="H73" s="268">
        <v>9.3750000000000014E-2</v>
      </c>
      <c r="I73" s="268">
        <v>0.19736842105263158</v>
      </c>
      <c r="J73" s="233">
        <v>30</v>
      </c>
      <c r="K73" s="235">
        <f t="shared" ref="K73:K89" si="17">(((J73*D73)*$G$92)+((J73*E73)*$G$94)+((J73*F73)*$G$96)+((J73*G73)*$G$98)+((J73*H73)*$G$100)+((J73*I73)*$G$102))*(8/12)</f>
        <v>203946.90049976041</v>
      </c>
      <c r="L73" s="235">
        <f t="shared" si="16"/>
        <v>10401.504825659395</v>
      </c>
      <c r="M73" s="235">
        <f>SUM(K73:L73)</f>
        <v>214348.40532541979</v>
      </c>
      <c r="N73" s="1026">
        <f t="shared" ref="N73:N89" si="18">(J73*(8/12))*10000</f>
        <v>200000</v>
      </c>
      <c r="O73" s="1026">
        <f>(VLOOKUP(A73,'Funding Detail - Rebase'!$A$4:$AK$23,37,FALSE)*8/12)*J73</f>
        <v>149032.53555140231</v>
      </c>
      <c r="P73" s="235"/>
      <c r="Q73" s="235"/>
      <c r="R73" s="269"/>
      <c r="S73" s="280"/>
      <c r="T73" s="36"/>
      <c r="U73" s="36"/>
      <c r="V73" s="36"/>
    </row>
    <row r="74" spans="1:22" x14ac:dyDescent="0.25">
      <c r="A74" s="244">
        <v>9257025</v>
      </c>
      <c r="B74" s="237" t="s">
        <v>209</v>
      </c>
      <c r="C74" s="271">
        <v>4</v>
      </c>
      <c r="D74" s="268">
        <v>0.2252640008007607</v>
      </c>
      <c r="E74" s="268">
        <v>0.41509433962264153</v>
      </c>
      <c r="F74" s="268">
        <v>5.6603773584905662E-2</v>
      </c>
      <c r="G74" s="268">
        <v>0</v>
      </c>
      <c r="H74" s="268">
        <v>9.5490716180371346E-2</v>
      </c>
      <c r="I74" s="268">
        <v>0.20754716981132076</v>
      </c>
      <c r="J74" s="233">
        <v>16</v>
      </c>
      <c r="K74" s="235">
        <f t="shared" si="17"/>
        <v>112845.96002862052</v>
      </c>
      <c r="L74" s="235">
        <f t="shared" si="16"/>
        <v>5833.5651382817632</v>
      </c>
      <c r="M74" s="235">
        <f t="shared" ref="M74:M89" si="19">SUM(K74:L74)</f>
        <v>118679.52516690228</v>
      </c>
      <c r="N74" s="1026">
        <f t="shared" si="18"/>
        <v>106666.66666666666</v>
      </c>
      <c r="O74" s="1026">
        <f>(VLOOKUP(A74,'Funding Detail - Rebase'!$A$4:$AK$23,37,FALSE)*8/12)*J74</f>
        <v>97594.739799980875</v>
      </c>
      <c r="P74" s="235"/>
      <c r="Q74" s="235"/>
      <c r="R74" s="269"/>
      <c r="S74" s="280"/>
      <c r="T74" s="36"/>
      <c r="U74" s="36"/>
      <c r="V74" s="36"/>
    </row>
    <row r="75" spans="1:22" x14ac:dyDescent="0.25">
      <c r="A75" s="244">
        <v>9257011</v>
      </c>
      <c r="B75" s="237" t="s">
        <v>210</v>
      </c>
      <c r="C75" s="267">
        <v>4</v>
      </c>
      <c r="D75" s="268">
        <v>0.31076711386308908</v>
      </c>
      <c r="E75" s="268">
        <v>0.42222222222222222</v>
      </c>
      <c r="F75" s="268">
        <v>0</v>
      </c>
      <c r="G75" s="268">
        <v>0</v>
      </c>
      <c r="H75" s="268">
        <v>0.11145510835913314</v>
      </c>
      <c r="I75" s="268">
        <v>0.15555555555555556</v>
      </c>
      <c r="J75" s="233">
        <v>14</v>
      </c>
      <c r="K75" s="235">
        <f t="shared" si="17"/>
        <v>102886.91472008255</v>
      </c>
      <c r="L75" s="235">
        <f t="shared" si="16"/>
        <v>3825.6991576054897</v>
      </c>
      <c r="M75" s="235">
        <f t="shared" si="19"/>
        <v>106712.61387768804</v>
      </c>
      <c r="N75" s="1026">
        <f t="shared" si="18"/>
        <v>93333.333333333328</v>
      </c>
      <c r="O75" s="1026">
        <f>(VLOOKUP(A75,'Funding Detail - Rebase'!$A$4:$AK$23,37,FALSE)*8/12)*J75</f>
        <v>100389.56480182569</v>
      </c>
      <c r="P75" s="235"/>
      <c r="Q75" s="235"/>
      <c r="R75" s="269"/>
      <c r="S75" s="280"/>
      <c r="T75" s="36"/>
      <c r="U75" s="36"/>
      <c r="V75" s="36"/>
    </row>
    <row r="76" spans="1:22" x14ac:dyDescent="0.25">
      <c r="A76" s="244">
        <v>9257024</v>
      </c>
      <c r="B76" s="237" t="s">
        <v>211</v>
      </c>
      <c r="C76" s="267">
        <v>3</v>
      </c>
      <c r="D76" s="268">
        <v>0.2</v>
      </c>
      <c r="E76" s="268">
        <v>0.5636363636363636</v>
      </c>
      <c r="F76" s="268">
        <v>1.8181818181818181E-2</v>
      </c>
      <c r="G76" s="268">
        <v>2.3558542624690485E-2</v>
      </c>
      <c r="H76" s="268">
        <v>0.14007782101167315</v>
      </c>
      <c r="I76" s="268">
        <v>5.4545454545454543E-2</v>
      </c>
      <c r="J76" s="233">
        <v>11</v>
      </c>
      <c r="K76" s="235">
        <f t="shared" si="17"/>
        <v>77804.249657087334</v>
      </c>
      <c r="L76" s="235">
        <f t="shared" si="16"/>
        <v>1054.0191556668185</v>
      </c>
      <c r="M76" s="235">
        <f t="shared" si="19"/>
        <v>78858.268812754148</v>
      </c>
      <c r="N76" s="1026">
        <f t="shared" si="18"/>
        <v>73333.333333333328</v>
      </c>
      <c r="O76" s="1026">
        <f>(VLOOKUP(A76,'Funding Detail - Rebase'!$A$4:$AK$23,37,FALSE)*8/12)*J76</f>
        <v>50482.922195941886</v>
      </c>
      <c r="P76" s="235"/>
      <c r="Q76" s="235"/>
      <c r="R76" s="269"/>
      <c r="S76" s="280"/>
      <c r="T76" s="36"/>
      <c r="U76" s="36"/>
      <c r="V76" s="36"/>
    </row>
    <row r="77" spans="1:22" x14ac:dyDescent="0.25">
      <c r="A77" s="244">
        <v>9257031</v>
      </c>
      <c r="B77" s="237" t="s">
        <v>257</v>
      </c>
      <c r="C77" s="267">
        <v>4</v>
      </c>
      <c r="D77" s="268">
        <v>0</v>
      </c>
      <c r="E77" s="268">
        <v>0</v>
      </c>
      <c r="F77" s="268">
        <v>0</v>
      </c>
      <c r="G77" s="268">
        <v>0</v>
      </c>
      <c r="H77" s="268">
        <v>0</v>
      </c>
      <c r="I77" s="268">
        <v>1</v>
      </c>
      <c r="J77" s="233">
        <v>0</v>
      </c>
      <c r="K77" s="235">
        <f t="shared" si="17"/>
        <v>0</v>
      </c>
      <c r="L77" s="235">
        <f t="shared" si="16"/>
        <v>0</v>
      </c>
      <c r="M77" s="235">
        <f t="shared" si="19"/>
        <v>0</v>
      </c>
      <c r="N77" s="1026">
        <f t="shared" si="18"/>
        <v>0</v>
      </c>
      <c r="O77" s="1026">
        <f>(VLOOKUP(A77,'Funding Detail - Rebase'!$A$4:$AK$23,37,FALSE)*8/12)*J77</f>
        <v>0</v>
      </c>
      <c r="P77" s="235"/>
      <c r="Q77" s="235"/>
      <c r="R77" s="269"/>
      <c r="S77" s="280"/>
      <c r="T77" s="36"/>
      <c r="U77" s="36"/>
      <c r="V77" s="36"/>
    </row>
    <row r="78" spans="1:22" x14ac:dyDescent="0.25">
      <c r="A78" s="244">
        <v>9257033</v>
      </c>
      <c r="B78" s="237" t="s">
        <v>220</v>
      </c>
      <c r="C78" s="267">
        <v>3</v>
      </c>
      <c r="D78" s="268">
        <v>3.6363636363636362E-2</v>
      </c>
      <c r="E78" s="268">
        <v>0.29090909090909089</v>
      </c>
      <c r="F78" s="268">
        <v>0.27272727272727271</v>
      </c>
      <c r="G78" s="268">
        <v>5.4545454545454543E-2</v>
      </c>
      <c r="H78" s="268">
        <v>0</v>
      </c>
      <c r="I78" s="268">
        <v>0.34545454545454546</v>
      </c>
      <c r="J78" s="233">
        <v>0</v>
      </c>
      <c r="K78" s="235">
        <f t="shared" si="17"/>
        <v>0</v>
      </c>
      <c r="L78" s="235">
        <f t="shared" si="16"/>
        <v>0</v>
      </c>
      <c r="M78" s="235">
        <f t="shared" si="19"/>
        <v>0</v>
      </c>
      <c r="N78" s="1026">
        <f t="shared" si="18"/>
        <v>0</v>
      </c>
      <c r="O78" s="1026">
        <f>(VLOOKUP(A78,'Funding Detail - Rebase'!$A$4:$AK$23,37,FALSE)*8/12)*J78</f>
        <v>0</v>
      </c>
      <c r="P78" s="235"/>
      <c r="Q78" s="235"/>
      <c r="R78" s="269"/>
      <c r="S78" s="280"/>
      <c r="T78" s="36"/>
      <c r="U78" s="36"/>
      <c r="V78" s="36"/>
    </row>
    <row r="79" spans="1:22" x14ac:dyDescent="0.25">
      <c r="A79" s="244">
        <v>9257008</v>
      </c>
      <c r="B79" s="237" t="s">
        <v>212</v>
      </c>
      <c r="C79" s="271">
        <v>4</v>
      </c>
      <c r="D79" s="268">
        <v>0</v>
      </c>
      <c r="E79" s="268">
        <v>8.2352941176470587E-2</v>
      </c>
      <c r="F79" s="268">
        <v>0.61176470588235299</v>
      </c>
      <c r="G79" s="268">
        <v>2.3529411764705882E-2</v>
      </c>
      <c r="H79" s="268">
        <v>0</v>
      </c>
      <c r="I79" s="268">
        <v>0.28235294117647058</v>
      </c>
      <c r="J79" s="233">
        <v>0</v>
      </c>
      <c r="K79" s="235">
        <f t="shared" si="17"/>
        <v>0</v>
      </c>
      <c r="L79" s="235">
        <f t="shared" si="16"/>
        <v>0</v>
      </c>
      <c r="M79" s="235">
        <f t="shared" si="19"/>
        <v>0</v>
      </c>
      <c r="N79" s="1026">
        <f t="shared" si="18"/>
        <v>0</v>
      </c>
      <c r="O79" s="1026">
        <f>(VLOOKUP(A79,'Funding Detail - Rebase'!$A$4:$AK$23,37,FALSE)*8/12)*J79</f>
        <v>0</v>
      </c>
      <c r="P79" s="235"/>
      <c r="Q79" s="235"/>
      <c r="R79" s="269"/>
      <c r="S79" s="280"/>
      <c r="T79" s="36"/>
      <c r="U79" s="36"/>
      <c r="V79" s="36"/>
    </row>
    <row r="80" spans="1:22" x14ac:dyDescent="0.25">
      <c r="A80" s="244">
        <v>9257034</v>
      </c>
      <c r="B80" s="237" t="s">
        <v>221</v>
      </c>
      <c r="C80" s="267">
        <v>5</v>
      </c>
      <c r="D80" s="268">
        <v>7.0866141732283464E-2</v>
      </c>
      <c r="E80" s="268">
        <v>0.16535433070866143</v>
      </c>
      <c r="F80" s="268">
        <v>0.51968503937007871</v>
      </c>
      <c r="G80" s="268">
        <v>1.4142328214579346E-2</v>
      </c>
      <c r="H80" s="268">
        <v>2.5227750525578133E-2</v>
      </c>
      <c r="I80" s="268">
        <v>0.20472440944881889</v>
      </c>
      <c r="J80" s="233">
        <v>35</v>
      </c>
      <c r="K80" s="235">
        <f t="shared" si="17"/>
        <v>196147.67425085325</v>
      </c>
      <c r="L80" s="235">
        <f t="shared" si="16"/>
        <v>12587.367869511874</v>
      </c>
      <c r="M80" s="235">
        <f t="shared" si="19"/>
        <v>208735.04212036513</v>
      </c>
      <c r="N80" s="1026">
        <f t="shared" si="18"/>
        <v>233333.33333333331</v>
      </c>
      <c r="O80" s="1026">
        <f>(VLOOKUP(A80,'Funding Detail - Rebase'!$A$4:$AK$23,37,FALSE)*8/12)*J80</f>
        <v>84100.464926095854</v>
      </c>
      <c r="P80" s="235"/>
      <c r="Q80" s="235"/>
      <c r="R80" s="269"/>
      <c r="S80" s="280"/>
      <c r="T80" s="36"/>
      <c r="U80" s="36"/>
      <c r="V80" s="36"/>
    </row>
    <row r="81" spans="1:19" x14ac:dyDescent="0.25">
      <c r="A81" s="244">
        <v>9257002</v>
      </c>
      <c r="B81" s="237" t="s">
        <v>213</v>
      </c>
      <c r="C81" s="267">
        <v>5</v>
      </c>
      <c r="D81" s="268">
        <v>8.4033613445378148E-3</v>
      </c>
      <c r="E81" s="268">
        <v>0.27731092436974791</v>
      </c>
      <c r="F81" s="268">
        <v>0.59663865546218486</v>
      </c>
      <c r="G81" s="268">
        <v>1.7798101328239758E-2</v>
      </c>
      <c r="H81" s="268">
        <v>7.4119827053736867E-3</v>
      </c>
      <c r="I81" s="268">
        <v>9.2436974789915971E-2</v>
      </c>
      <c r="J81" s="233">
        <v>0</v>
      </c>
      <c r="K81" s="235">
        <f t="shared" si="17"/>
        <v>0</v>
      </c>
      <c r="L81" s="235">
        <f t="shared" si="16"/>
        <v>0</v>
      </c>
      <c r="M81" s="235">
        <f t="shared" si="19"/>
        <v>0</v>
      </c>
      <c r="N81" s="1026">
        <f t="shared" si="18"/>
        <v>0</v>
      </c>
      <c r="O81" s="1026">
        <f>(VLOOKUP(A81,'Funding Detail - Rebase'!$A$4:$AK$23,37,FALSE)*8/12)*J81</f>
        <v>0</v>
      </c>
      <c r="P81" s="235"/>
      <c r="Q81" s="235"/>
      <c r="R81" s="269"/>
      <c r="S81" s="280"/>
    </row>
    <row r="82" spans="1:19" x14ac:dyDescent="0.25">
      <c r="A82" s="244">
        <v>9257009</v>
      </c>
      <c r="B82" s="237" t="s">
        <v>214</v>
      </c>
      <c r="C82" s="267">
        <v>4</v>
      </c>
      <c r="D82" s="268">
        <v>0</v>
      </c>
      <c r="E82" s="268">
        <v>0.14615384615384616</v>
      </c>
      <c r="F82" s="268">
        <v>0.7</v>
      </c>
      <c r="G82" s="268">
        <v>1.5384615384615385E-2</v>
      </c>
      <c r="H82" s="268">
        <v>0</v>
      </c>
      <c r="I82" s="268">
        <v>0.13846153846153847</v>
      </c>
      <c r="J82" s="233">
        <v>0</v>
      </c>
      <c r="K82" s="235">
        <f t="shared" si="17"/>
        <v>0</v>
      </c>
      <c r="L82" s="235">
        <f t="shared" si="16"/>
        <v>0</v>
      </c>
      <c r="M82" s="235">
        <f t="shared" si="19"/>
        <v>0</v>
      </c>
      <c r="N82" s="1026">
        <f t="shared" si="18"/>
        <v>0</v>
      </c>
      <c r="O82" s="1026">
        <f>(VLOOKUP(A82,'Funding Detail - Rebase'!$A$4:$AK$23,37,FALSE)*8/12)*J82</f>
        <v>0</v>
      </c>
      <c r="P82" s="235"/>
      <c r="Q82" s="235"/>
      <c r="R82" s="269"/>
      <c r="S82" s="280"/>
    </row>
    <row r="83" spans="1:19" x14ac:dyDescent="0.25">
      <c r="A83" s="244">
        <v>9257029</v>
      </c>
      <c r="B83" s="237" t="s">
        <v>259</v>
      </c>
      <c r="C83" s="271">
        <v>3</v>
      </c>
      <c r="D83" s="268">
        <v>0</v>
      </c>
      <c r="E83" s="268">
        <v>0</v>
      </c>
      <c r="F83" s="268">
        <v>0</v>
      </c>
      <c r="G83" s="268">
        <v>0</v>
      </c>
      <c r="H83" s="268">
        <v>0</v>
      </c>
      <c r="I83" s="268">
        <v>1</v>
      </c>
      <c r="J83" s="233">
        <v>0</v>
      </c>
      <c r="K83" s="235">
        <f t="shared" si="17"/>
        <v>0</v>
      </c>
      <c r="L83" s="235">
        <f t="shared" si="16"/>
        <v>0</v>
      </c>
      <c r="M83" s="235">
        <f t="shared" si="19"/>
        <v>0</v>
      </c>
      <c r="N83" s="1026">
        <f t="shared" si="18"/>
        <v>0</v>
      </c>
      <c r="O83" s="1026">
        <f>(VLOOKUP(A83,'Funding Detail - Rebase'!$A$4:$AK$23,37,FALSE)*8/12)*J83</f>
        <v>0</v>
      </c>
      <c r="P83" s="235"/>
      <c r="Q83" s="235"/>
      <c r="R83" s="269"/>
      <c r="S83" s="280"/>
    </row>
    <row r="84" spans="1:19" x14ac:dyDescent="0.25">
      <c r="A84" s="244">
        <v>9257032</v>
      </c>
      <c r="B84" s="237" t="s">
        <v>261</v>
      </c>
      <c r="C84" s="267">
        <v>4</v>
      </c>
      <c r="D84" s="268">
        <v>0</v>
      </c>
      <c r="E84" s="268">
        <v>0</v>
      </c>
      <c r="F84" s="268">
        <v>0</v>
      </c>
      <c r="G84" s="268">
        <v>0</v>
      </c>
      <c r="H84" s="268">
        <v>0</v>
      </c>
      <c r="I84" s="268">
        <v>1</v>
      </c>
      <c r="J84" s="233">
        <v>0</v>
      </c>
      <c r="K84" s="235">
        <f t="shared" si="17"/>
        <v>0</v>
      </c>
      <c r="L84" s="235">
        <f t="shared" si="16"/>
        <v>0</v>
      </c>
      <c r="M84" s="235">
        <f t="shared" si="19"/>
        <v>0</v>
      </c>
      <c r="N84" s="1026">
        <f t="shared" si="18"/>
        <v>0</v>
      </c>
      <c r="O84" s="1026">
        <f>(VLOOKUP(A84,'Funding Detail - Rebase'!$A$4:$AK$23,37,FALSE)*8/12)*J84</f>
        <v>0</v>
      </c>
      <c r="P84" s="235"/>
      <c r="Q84" s="235"/>
      <c r="R84" s="269"/>
      <c r="S84" s="280"/>
    </row>
    <row r="85" spans="1:19" x14ac:dyDescent="0.25">
      <c r="A85" s="244">
        <v>9257030</v>
      </c>
      <c r="B85" s="237" t="s">
        <v>262</v>
      </c>
      <c r="C85" s="271">
        <v>4</v>
      </c>
      <c r="D85" s="268">
        <v>0</v>
      </c>
      <c r="E85" s="268">
        <v>0</v>
      </c>
      <c r="F85" s="268">
        <v>0</v>
      </c>
      <c r="G85" s="268">
        <v>0</v>
      </c>
      <c r="H85" s="268">
        <v>0</v>
      </c>
      <c r="I85" s="268">
        <v>1</v>
      </c>
      <c r="J85" s="233">
        <v>0</v>
      </c>
      <c r="K85" s="235">
        <f t="shared" si="17"/>
        <v>0</v>
      </c>
      <c r="L85" s="235">
        <f t="shared" si="16"/>
        <v>0</v>
      </c>
      <c r="M85" s="235">
        <f t="shared" si="19"/>
        <v>0</v>
      </c>
      <c r="N85" s="1026">
        <f t="shared" si="18"/>
        <v>0</v>
      </c>
      <c r="O85" s="1026">
        <f>(VLOOKUP(A85,'Funding Detail - Rebase'!$A$4:$AK$23,37,FALSE)*8/12)*J85</f>
        <v>0</v>
      </c>
      <c r="P85" s="235"/>
      <c r="Q85" s="235"/>
      <c r="R85" s="269"/>
      <c r="S85" s="280"/>
    </row>
    <row r="86" spans="1:19" x14ac:dyDescent="0.25">
      <c r="A86" s="244">
        <v>9257028</v>
      </c>
      <c r="B86" s="237" t="s">
        <v>215</v>
      </c>
      <c r="C86" s="267">
        <v>5</v>
      </c>
      <c r="D86" s="268">
        <v>0.22253521126760564</v>
      </c>
      <c r="E86" s="268">
        <v>0.3380281690140845</v>
      </c>
      <c r="F86" s="268">
        <v>0</v>
      </c>
      <c r="G86" s="268">
        <v>0</v>
      </c>
      <c r="H86" s="268">
        <v>0.2</v>
      </c>
      <c r="I86" s="268">
        <v>0.23943661971830987</v>
      </c>
      <c r="J86" s="233">
        <v>18</v>
      </c>
      <c r="K86" s="235">
        <f t="shared" si="17"/>
        <v>147774.47047695759</v>
      </c>
      <c r="L86" s="235">
        <f t="shared" si="16"/>
        <v>7571.1235125363028</v>
      </c>
      <c r="M86" s="235">
        <f t="shared" si="19"/>
        <v>155345.59398949391</v>
      </c>
      <c r="N86" s="1026">
        <f t="shared" si="18"/>
        <v>120000</v>
      </c>
      <c r="O86" s="1026">
        <f>(VLOOKUP(A86,'Funding Detail - Rebase'!$A$4:$AK$23,37,FALSE)*8/12)*J86</f>
        <v>122250.12303611639</v>
      </c>
      <c r="P86" s="235"/>
      <c r="Q86" s="235"/>
      <c r="R86" s="269"/>
      <c r="S86" s="280"/>
    </row>
    <row r="87" spans="1:19" x14ac:dyDescent="0.25">
      <c r="A87" s="244">
        <v>9257021</v>
      </c>
      <c r="B87" s="237" t="s">
        <v>216</v>
      </c>
      <c r="C87" s="271">
        <v>5</v>
      </c>
      <c r="D87" s="268">
        <v>0</v>
      </c>
      <c r="E87" s="268">
        <v>9.8591549295774641E-2</v>
      </c>
      <c r="F87" s="268">
        <v>0.71830985915492962</v>
      </c>
      <c r="G87" s="268">
        <v>2.9426156081330312E-2</v>
      </c>
      <c r="H87" s="268">
        <v>1.282736504543025E-2</v>
      </c>
      <c r="I87" s="268">
        <v>0.14084507042253522</v>
      </c>
      <c r="J87" s="233">
        <v>2</v>
      </c>
      <c r="K87" s="235">
        <f t="shared" si="17"/>
        <v>9979.2557089832408</v>
      </c>
      <c r="L87" s="235">
        <f t="shared" si="16"/>
        <v>494.8446740219805</v>
      </c>
      <c r="M87" s="235">
        <f t="shared" si="19"/>
        <v>10474.100383005221</v>
      </c>
      <c r="N87" s="1026">
        <f t="shared" si="18"/>
        <v>13333.333333333332</v>
      </c>
      <c r="O87" s="1026">
        <f>(VLOOKUP(A87,'Funding Detail - Rebase'!$A$4:$AK$23,37,FALSE)*8/12)*J87</f>
        <v>1985.8744052819236</v>
      </c>
      <c r="P87" s="235"/>
      <c r="Q87" s="235"/>
      <c r="R87" s="269"/>
      <c r="S87" s="280"/>
    </row>
    <row r="88" spans="1:19" x14ac:dyDescent="0.25">
      <c r="A88" s="244">
        <v>9257015</v>
      </c>
      <c r="B88" s="237" t="s">
        <v>217</v>
      </c>
      <c r="C88" s="267">
        <v>6</v>
      </c>
      <c r="D88" s="268">
        <v>4.1999582612843596E-2</v>
      </c>
      <c r="E88" s="268">
        <v>0.22177419354838709</v>
      </c>
      <c r="F88" s="268">
        <v>0.65322580645161288</v>
      </c>
      <c r="G88" s="268">
        <v>0</v>
      </c>
      <c r="H88" s="268">
        <v>1.8484288354898331E-2</v>
      </c>
      <c r="I88" s="268">
        <v>6.4516129032258063E-2</v>
      </c>
      <c r="J88" s="233">
        <v>28</v>
      </c>
      <c r="K88" s="235">
        <f t="shared" si="17"/>
        <v>137448.55162732583</v>
      </c>
      <c r="L88" s="235">
        <f t="shared" si="16"/>
        <v>3173.391006308701</v>
      </c>
      <c r="M88" s="235">
        <f t="shared" si="19"/>
        <v>140621.94263363452</v>
      </c>
      <c r="N88" s="1026">
        <f t="shared" si="18"/>
        <v>186666.66666666666</v>
      </c>
      <c r="O88" s="1026">
        <f>(VLOOKUP(A88,'Funding Detail - Rebase'!$A$4:$AK$23,37,FALSE)*8/12)*J88</f>
        <v>0</v>
      </c>
      <c r="P88" s="235"/>
      <c r="Q88" s="235"/>
      <c r="R88" s="269"/>
      <c r="S88" s="280"/>
    </row>
    <row r="89" spans="1:19" x14ac:dyDescent="0.25">
      <c r="A89" s="244">
        <v>9257016</v>
      </c>
      <c r="B89" s="237" t="s">
        <v>219</v>
      </c>
      <c r="C89" s="267">
        <v>6</v>
      </c>
      <c r="D89" s="268">
        <v>0.45493133583021222</v>
      </c>
      <c r="E89" s="268">
        <v>0</v>
      </c>
      <c r="F89" s="268">
        <v>0.28888888888888886</v>
      </c>
      <c r="G89" s="268">
        <v>0</v>
      </c>
      <c r="H89" s="268">
        <v>0.25617977528089886</v>
      </c>
      <c r="I89" s="268">
        <v>0</v>
      </c>
      <c r="J89" s="233">
        <v>57</v>
      </c>
      <c r="K89" s="235">
        <f t="shared" si="17"/>
        <v>486225.12258518377</v>
      </c>
      <c r="L89" s="235">
        <f t="shared" si="16"/>
        <v>0</v>
      </c>
      <c r="M89" s="235">
        <f t="shared" si="19"/>
        <v>486225.12258518377</v>
      </c>
      <c r="N89" s="1026">
        <f t="shared" si="18"/>
        <v>380000</v>
      </c>
      <c r="O89" s="1026">
        <f>(VLOOKUP(A89,'Funding Detail - Rebase'!$A$4:$AK$23,37,FALSE)*8/12)*J89</f>
        <v>269991.22254844417</v>
      </c>
      <c r="P89" s="299" t="s">
        <v>207</v>
      </c>
      <c r="Q89" s="235"/>
      <c r="R89" s="269"/>
      <c r="S89" s="280"/>
    </row>
    <row r="90" spans="1:19" x14ac:dyDescent="0.25">
      <c r="A90" s="36"/>
      <c r="B90" s="36"/>
      <c r="C90" s="36"/>
      <c r="D90" s="36"/>
      <c r="E90" s="36"/>
      <c r="F90" s="36"/>
      <c r="G90" s="36"/>
      <c r="H90" s="299" t="s">
        <v>207</v>
      </c>
      <c r="I90" s="299" t="s">
        <v>207</v>
      </c>
      <c r="J90" s="234"/>
      <c r="K90" s="36"/>
      <c r="L90" s="299" t="s">
        <v>207</v>
      </c>
      <c r="M90" s="36"/>
      <c r="N90" s="36"/>
      <c r="O90" s="36"/>
      <c r="P90" s="36"/>
      <c r="Q90" s="36"/>
      <c r="R90" s="36"/>
      <c r="S90" s="36"/>
    </row>
    <row r="92" spans="1:19" x14ac:dyDescent="0.25">
      <c r="A92" s="36"/>
      <c r="B92" s="36"/>
      <c r="C92" s="35"/>
      <c r="D92" s="36"/>
      <c r="E92" s="36" t="s">
        <v>39</v>
      </c>
      <c r="F92" s="36"/>
      <c r="G92" s="235">
        <f>'Funding Model'!D7</f>
        <v>11692.020638096787</v>
      </c>
      <c r="H92" s="281"/>
      <c r="I92" s="281"/>
      <c r="J92" s="281"/>
      <c r="K92" s="281"/>
      <c r="L92" s="281"/>
      <c r="M92" s="281"/>
      <c r="N92" s="281"/>
      <c r="O92" s="281"/>
      <c r="P92" s="281"/>
      <c r="Q92" s="281"/>
      <c r="R92" s="36"/>
      <c r="S92" s="36"/>
    </row>
    <row r="93" spans="1:19" x14ac:dyDescent="0.25">
      <c r="A93" s="36"/>
      <c r="B93" s="36"/>
      <c r="C93" s="36"/>
      <c r="D93" s="36"/>
      <c r="E93" s="36"/>
      <c r="F93" s="36"/>
      <c r="G93" s="235"/>
      <c r="H93" s="281"/>
      <c r="I93" s="281"/>
      <c r="J93" s="281"/>
      <c r="K93" s="281"/>
      <c r="L93" s="281"/>
      <c r="M93" s="281"/>
      <c r="N93" s="281"/>
      <c r="O93" s="281"/>
      <c r="P93" s="281"/>
      <c r="Q93" s="281"/>
      <c r="R93" s="36"/>
      <c r="S93" s="36"/>
    </row>
    <row r="94" spans="1:19" x14ac:dyDescent="0.25">
      <c r="A94" s="36"/>
      <c r="B94" s="36"/>
      <c r="C94" s="35"/>
      <c r="D94" s="36"/>
      <c r="E94" s="36" t="s">
        <v>42</v>
      </c>
      <c r="F94" s="36"/>
      <c r="G94" s="235">
        <f>'Funding Model'!D9</f>
        <v>7350.1419469065795</v>
      </c>
      <c r="H94" s="281"/>
      <c r="I94" s="281"/>
      <c r="J94" s="281"/>
      <c r="K94" s="281"/>
      <c r="L94" s="281"/>
      <c r="M94" s="281"/>
      <c r="N94" s="281"/>
      <c r="O94" s="281"/>
      <c r="P94" s="281"/>
      <c r="Q94" s="281"/>
      <c r="R94" s="36"/>
      <c r="S94" s="36"/>
    </row>
    <row r="95" spans="1:19" x14ac:dyDescent="0.25">
      <c r="A95" s="36"/>
      <c r="B95" s="36"/>
      <c r="C95" s="36"/>
      <c r="D95" s="36"/>
      <c r="E95" s="36"/>
      <c r="F95" s="36"/>
      <c r="G95" s="235"/>
      <c r="H95" s="281"/>
      <c r="I95" s="281"/>
      <c r="J95" s="281"/>
      <c r="K95" s="281"/>
      <c r="L95" s="281"/>
      <c r="M95" s="281"/>
      <c r="N95" s="281"/>
      <c r="O95" s="281"/>
      <c r="P95" s="281"/>
      <c r="Q95" s="281"/>
      <c r="R95" s="36"/>
      <c r="S95" s="36"/>
    </row>
    <row r="96" spans="1:19" x14ac:dyDescent="0.25">
      <c r="A96" s="36"/>
      <c r="B96" s="36"/>
      <c r="C96" s="35"/>
      <c r="D96" s="36"/>
      <c r="E96" s="36" t="s">
        <v>45</v>
      </c>
      <c r="F96" s="36"/>
      <c r="G96" s="235">
        <f>'Funding Model'!D11</f>
        <v>6243.7244928897762</v>
      </c>
      <c r="H96" s="281"/>
      <c r="I96" s="281"/>
      <c r="J96" s="281"/>
      <c r="K96" s="281"/>
      <c r="L96" s="281"/>
      <c r="M96" s="281"/>
      <c r="N96" s="281"/>
      <c r="O96" s="281"/>
      <c r="P96" s="281"/>
      <c r="Q96" s="281"/>
      <c r="R96" s="36"/>
      <c r="S96" s="36"/>
    </row>
    <row r="97" spans="1:43" x14ac:dyDescent="0.25">
      <c r="A97" s="36"/>
      <c r="B97" s="36"/>
      <c r="C97" s="36"/>
      <c r="D97" s="36"/>
      <c r="E97" s="36"/>
      <c r="F97" s="36"/>
      <c r="G97" s="235"/>
      <c r="H97" s="281"/>
      <c r="I97" s="281"/>
      <c r="J97" s="281"/>
      <c r="K97" s="281"/>
      <c r="L97" s="281"/>
      <c r="M97" s="281"/>
      <c r="N97" s="281"/>
      <c r="O97" s="281"/>
      <c r="P97" s="281"/>
      <c r="Q97" s="281"/>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row>
    <row r="98" spans="1:43" x14ac:dyDescent="0.25">
      <c r="A98" s="36"/>
      <c r="B98" s="36"/>
      <c r="C98" s="35"/>
      <c r="D98" s="36"/>
      <c r="E98" s="36" t="s">
        <v>48</v>
      </c>
      <c r="F98" s="36"/>
      <c r="G98" s="235">
        <f>'Funding Model'!D13</f>
        <v>11692.020638096787</v>
      </c>
      <c r="H98" s="281"/>
      <c r="I98" s="281"/>
      <c r="J98" s="281"/>
      <c r="K98" s="281"/>
      <c r="L98" s="281"/>
      <c r="M98" s="281"/>
      <c r="N98" s="281"/>
      <c r="O98" s="281"/>
      <c r="P98" s="281"/>
      <c r="Q98" s="281"/>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row>
    <row r="99" spans="1:43" x14ac:dyDescent="0.25">
      <c r="A99" s="36"/>
      <c r="B99" s="36"/>
      <c r="C99" s="36"/>
      <c r="D99" s="36"/>
      <c r="E99" s="36"/>
      <c r="F99" s="36"/>
      <c r="G99" s="235"/>
      <c r="H99" s="281"/>
      <c r="I99" s="281"/>
      <c r="J99" s="281"/>
      <c r="K99" s="281"/>
      <c r="L99" s="281"/>
      <c r="M99" s="281"/>
      <c r="N99" s="281"/>
      <c r="O99" s="281"/>
      <c r="P99" s="281"/>
      <c r="Q99" s="281"/>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row>
    <row r="100" spans="1:43" x14ac:dyDescent="0.25">
      <c r="A100" s="36"/>
      <c r="B100" s="36"/>
      <c r="C100" s="36"/>
      <c r="D100" s="36"/>
      <c r="E100" s="36" t="s">
        <v>668</v>
      </c>
      <c r="F100" s="36"/>
      <c r="G100" s="235">
        <v>22143</v>
      </c>
      <c r="H100" s="281"/>
      <c r="I100" s="281"/>
      <c r="J100" s="281"/>
      <c r="K100" s="281"/>
      <c r="L100" s="281"/>
      <c r="M100" s="281"/>
      <c r="N100" s="281"/>
      <c r="O100" s="281"/>
      <c r="P100" s="281"/>
      <c r="Q100" s="281"/>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row>
    <row r="101" spans="1:43" x14ac:dyDescent="0.25">
      <c r="A101" s="36"/>
      <c r="B101" s="36"/>
      <c r="C101" s="36"/>
      <c r="D101" s="36"/>
      <c r="E101" s="36"/>
      <c r="F101" s="36"/>
      <c r="G101" s="235"/>
      <c r="H101" s="281"/>
      <c r="I101" s="281"/>
      <c r="J101" s="281"/>
      <c r="K101" s="281"/>
      <c r="L101" s="281"/>
      <c r="M101" s="281"/>
      <c r="N101" s="281"/>
      <c r="O101" s="281"/>
      <c r="P101" s="281"/>
      <c r="Q101" s="281"/>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row>
    <row r="102" spans="1:43" x14ac:dyDescent="0.25">
      <c r="A102" s="36"/>
      <c r="B102" s="36"/>
      <c r="C102" s="35"/>
      <c r="D102" s="36"/>
      <c r="E102" s="36" t="s">
        <v>51</v>
      </c>
      <c r="F102" s="36"/>
      <c r="G102" s="235">
        <f>'Funding Model'!D15</f>
        <v>11692.020638096787</v>
      </c>
      <c r="H102" s="281"/>
      <c r="I102" s="281"/>
      <c r="J102" s="281"/>
      <c r="K102" s="281"/>
      <c r="L102" s="281"/>
      <c r="M102" s="281"/>
      <c r="N102" s="281"/>
      <c r="O102" s="281"/>
      <c r="P102" s="281"/>
      <c r="Q102" s="281"/>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row>
    <row r="103" spans="1:43" ht="14" x14ac:dyDescent="0.3">
      <c r="A103" s="36"/>
      <c r="B103" s="37"/>
      <c r="C103" s="38"/>
      <c r="D103" s="39"/>
      <c r="E103" s="281"/>
      <c r="F103" s="36"/>
      <c r="G103" s="36"/>
      <c r="H103" s="282"/>
      <c r="I103" s="281"/>
      <c r="J103" s="281"/>
      <c r="K103" s="282"/>
      <c r="L103" s="282"/>
      <c r="M103" s="282"/>
      <c r="N103" s="282"/>
      <c r="O103" s="282"/>
      <c r="P103" s="282"/>
      <c r="Q103" s="282"/>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row>
    <row r="104" spans="1:43" ht="14" x14ac:dyDescent="0.3">
      <c r="A104" s="36"/>
      <c r="B104" s="40"/>
      <c r="C104" s="41"/>
      <c r="D104" s="36"/>
      <c r="E104" s="36" t="s">
        <v>283</v>
      </c>
      <c r="F104" s="36"/>
      <c r="G104" s="235">
        <f>'Funding Model'!D17</f>
        <v>2635.0478891670464</v>
      </c>
      <c r="H104" s="281"/>
      <c r="I104" s="281"/>
      <c r="J104" s="281"/>
      <c r="K104" s="281"/>
      <c r="L104" s="281"/>
      <c r="M104" s="281"/>
      <c r="N104" s="281"/>
      <c r="O104" s="281"/>
      <c r="P104" s="281"/>
      <c r="Q104" s="281"/>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row>
    <row r="107" spans="1:43" ht="12.75" customHeight="1" x14ac:dyDescent="0.25">
      <c r="A107" s="36"/>
      <c r="B107" s="36"/>
      <c r="C107" s="36"/>
      <c r="D107" s="36"/>
      <c r="E107" s="36"/>
      <c r="F107" s="36"/>
      <c r="G107" s="36"/>
      <c r="H107" s="36"/>
      <c r="I107" s="234"/>
      <c r="J107" s="234"/>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1490" t="s">
        <v>787</v>
      </c>
      <c r="AQ107" s="1490"/>
    </row>
    <row r="108" spans="1:43" ht="13" x14ac:dyDescent="0.3">
      <c r="A108" s="36"/>
      <c r="B108" s="36"/>
      <c r="C108" s="36"/>
      <c r="D108" s="1448" t="s">
        <v>284</v>
      </c>
      <c r="E108" s="1449"/>
      <c r="F108" s="1450"/>
      <c r="G108" s="1448" t="s">
        <v>284</v>
      </c>
      <c r="H108" s="1449"/>
      <c r="I108" s="1450"/>
      <c r="J108" s="1448" t="s">
        <v>264</v>
      </c>
      <c r="K108" s="1449"/>
      <c r="L108" s="1450"/>
      <c r="M108" s="170" t="s">
        <v>285</v>
      </c>
      <c r="N108" s="1448" t="s">
        <v>284</v>
      </c>
      <c r="O108" s="1449"/>
      <c r="P108" s="1450"/>
      <c r="Q108" s="1448" t="s">
        <v>264</v>
      </c>
      <c r="R108" s="1449"/>
      <c r="S108" s="1450"/>
      <c r="T108" s="170" t="s">
        <v>285</v>
      </c>
      <c r="U108" s="171" t="s">
        <v>285</v>
      </c>
      <c r="V108" s="172"/>
      <c r="W108" s="173"/>
      <c r="X108" s="36"/>
      <c r="Y108" s="36"/>
      <c r="Z108" s="36"/>
      <c r="AA108" s="36"/>
      <c r="AB108" s="36"/>
      <c r="AC108" s="36"/>
      <c r="AD108" s="36"/>
      <c r="AE108" s="36"/>
      <c r="AF108" s="36"/>
      <c r="AG108" s="36"/>
      <c r="AH108" s="36"/>
      <c r="AI108" s="36"/>
      <c r="AJ108" s="36"/>
      <c r="AK108" s="36"/>
      <c r="AL108" s="1443" t="s">
        <v>286</v>
      </c>
      <c r="AM108" s="36"/>
      <c r="AN108" s="36"/>
      <c r="AO108" s="36"/>
      <c r="AP108" s="1488" t="s">
        <v>788</v>
      </c>
      <c r="AQ108" s="36"/>
    </row>
    <row r="109" spans="1:43" ht="41.25" customHeight="1" x14ac:dyDescent="0.3">
      <c r="A109" s="283" t="s">
        <v>182</v>
      </c>
      <c r="B109" s="284" t="s">
        <v>183</v>
      </c>
      <c r="C109" s="238" t="s">
        <v>184</v>
      </c>
      <c r="D109" s="242" t="str">
        <f t="shared" ref="D109:D127" si="20">M5</f>
        <v>Assessment Funding (Apr-Aug)</v>
      </c>
      <c r="E109" s="241" t="str">
        <f t="shared" ref="E109:E127" si="21">M49</f>
        <v>Assessment Funding (Sept-Mar)</v>
      </c>
      <c r="F109" s="96" t="s">
        <v>287</v>
      </c>
      <c r="G109" s="241" t="str">
        <f t="shared" ref="G109:G127" si="22">N5</f>
        <v>Pre-16 Funding (Apr-Aug)</v>
      </c>
      <c r="H109" s="242" t="str">
        <f t="shared" ref="H109:H127" si="23">N49</f>
        <v>Pre-16 Funding (Sept-Mar)</v>
      </c>
      <c r="I109" s="96" t="s">
        <v>288</v>
      </c>
      <c r="J109" s="242" t="str">
        <f t="shared" ref="J109:J127" si="24">K27</f>
        <v>Post-16 Funding (Apr-Jul)</v>
      </c>
      <c r="K109" s="241" t="str">
        <f t="shared" ref="K109:K127" si="25">K71</f>
        <v>Post-16 Funding (Aug-Mar)</v>
      </c>
      <c r="L109" s="96" t="s">
        <v>289</v>
      </c>
      <c r="M109" s="96" t="s">
        <v>290</v>
      </c>
      <c r="N109" s="241" t="str">
        <f t="shared" ref="N109:N127" si="26">O5</f>
        <v>Additionality Funding (Apr-Aug)</v>
      </c>
      <c r="O109" s="241" t="str">
        <f t="shared" ref="O109:O127" si="27">O49</f>
        <v>Additionality Funding (Sept-Mar)</v>
      </c>
      <c r="P109" s="96" t="s">
        <v>291</v>
      </c>
      <c r="Q109" s="241" t="str">
        <f t="shared" ref="Q109:Q127" si="28">L27</f>
        <v>Additionality Funding (Apr-Jul)</v>
      </c>
      <c r="R109" s="242" t="str">
        <f t="shared" ref="R109:R127" si="29">L71</f>
        <v>Additionality Funding (Aug-Mar)</v>
      </c>
      <c r="S109" s="96" t="s">
        <v>291</v>
      </c>
      <c r="T109" s="96" t="s">
        <v>292</v>
      </c>
      <c r="U109" s="96" t="s">
        <v>189</v>
      </c>
      <c r="V109" s="241" t="s">
        <v>293</v>
      </c>
      <c r="W109" s="285" t="s">
        <v>294</v>
      </c>
      <c r="X109" s="237"/>
      <c r="Y109" s="241" t="s">
        <v>295</v>
      </c>
      <c r="Z109" s="241" t="s">
        <v>267</v>
      </c>
      <c r="AA109" s="96" t="s">
        <v>296</v>
      </c>
      <c r="AB109" s="323" t="s">
        <v>189</v>
      </c>
      <c r="AC109" s="241" t="s">
        <v>194</v>
      </c>
      <c r="AD109" s="241" t="s">
        <v>297</v>
      </c>
      <c r="AE109" s="241" t="s">
        <v>298</v>
      </c>
      <c r="AF109" s="96" t="s">
        <v>299</v>
      </c>
      <c r="AG109" s="241" t="s">
        <v>300</v>
      </c>
      <c r="AH109" s="241" t="s">
        <v>301</v>
      </c>
      <c r="AI109" s="96" t="s">
        <v>302</v>
      </c>
      <c r="AJ109" s="96" t="s">
        <v>303</v>
      </c>
      <c r="AK109" s="284"/>
      <c r="AL109" s="1444"/>
      <c r="AM109" s="36"/>
      <c r="AN109" s="36"/>
      <c r="AO109" s="36"/>
      <c r="AP109" s="1488"/>
      <c r="AQ109" s="36" t="s">
        <v>19</v>
      </c>
    </row>
    <row r="110" spans="1:43" ht="13" x14ac:dyDescent="0.3">
      <c r="A110" s="244">
        <v>9257010</v>
      </c>
      <c r="B110" s="237" t="s">
        <v>205</v>
      </c>
      <c r="C110" s="273">
        <v>4</v>
      </c>
      <c r="D110" s="245">
        <f t="shared" si="20"/>
        <v>0</v>
      </c>
      <c r="E110" s="245">
        <f t="shared" si="21"/>
        <v>0</v>
      </c>
      <c r="F110" s="68">
        <f>SUM(D110:E110)</f>
        <v>0</v>
      </c>
      <c r="G110" s="245">
        <f>N6</f>
        <v>186289.34996295019</v>
      </c>
      <c r="H110" s="245">
        <f>N50</f>
        <v>314303.56993749033</v>
      </c>
      <c r="I110" s="68">
        <f t="shared" ref="I110:I127" si="30">SUM(G110:H110)</f>
        <v>500592.91990044049</v>
      </c>
      <c r="J110" s="245">
        <f>K28</f>
        <v>38213.199992400027</v>
      </c>
      <c r="K110" s="245">
        <f>K72</f>
        <v>38213.199992400027</v>
      </c>
      <c r="L110" s="68">
        <f>SUM(J110:K110)</f>
        <v>76426.399984800053</v>
      </c>
      <c r="M110" s="68">
        <f>I110+L110</f>
        <v>577019.31988524052</v>
      </c>
      <c r="N110" s="245">
        <f>O6</f>
        <v>3058.5377284974647</v>
      </c>
      <c r="O110" s="245">
        <f>O50</f>
        <v>5160.3021162854657</v>
      </c>
      <c r="P110" s="68">
        <f>SUM(N110:O110)</f>
        <v>8218.8398447829313</v>
      </c>
      <c r="Q110" s="245">
        <f>L28</f>
        <v>627.39235456358233</v>
      </c>
      <c r="R110" s="245">
        <f>L72</f>
        <v>627.39235456358233</v>
      </c>
      <c r="S110" s="68">
        <f>SUM(Q110:R110)</f>
        <v>1254.7847091271647</v>
      </c>
      <c r="T110" s="68">
        <f>P110+S110</f>
        <v>9473.6245539100964</v>
      </c>
      <c r="U110" s="68">
        <f>F110+I110+L110+P110+S110</f>
        <v>586492.94443915063</v>
      </c>
      <c r="V110" s="286">
        <f>(L6*(5/12))+(L50*(7/12))+(J28*(4/12))+(J72*(8/12))</f>
        <v>50.333333333333343</v>
      </c>
      <c r="W110" s="1247">
        <f>U110/V110</f>
        <v>11652.177704089083</v>
      </c>
      <c r="X110" s="237"/>
      <c r="Y110" s="245">
        <f>Q6+Q50</f>
        <v>436666.66666666669</v>
      </c>
      <c r="Z110" s="245">
        <f t="shared" ref="Z110:Z127" si="31">N28+N72</f>
        <v>66666.666666666657</v>
      </c>
      <c r="AA110" s="245">
        <f>Y110+Z110</f>
        <v>503333.33333333337</v>
      </c>
      <c r="AB110" s="245">
        <f>VLOOKUP(A110,'Funding Detail - Rebase'!$A$4:$AK$23,32,FALSE)</f>
        <v>1088808.2306581058</v>
      </c>
      <c r="AC110" s="245">
        <f>AB110-AA110</f>
        <v>585474.89732477244</v>
      </c>
      <c r="AD110" s="245">
        <f t="shared" ref="AD110:AD127" si="32">R6</f>
        <v>189019.21354028239</v>
      </c>
      <c r="AE110" s="245">
        <f t="shared" ref="AE110:AE127" si="33">R50</f>
        <v>318909.33976796368</v>
      </c>
      <c r="AF110" s="245">
        <f>AD110+AE110</f>
        <v>507928.55330824608</v>
      </c>
      <c r="AG110" s="245">
        <f t="shared" ref="AG110:AG127" si="34">O28</f>
        <v>38773.172008263056</v>
      </c>
      <c r="AH110" s="245">
        <f t="shared" ref="AH110:AH127" si="35">O72</f>
        <v>38773.172008263056</v>
      </c>
      <c r="AI110" s="245">
        <f>AG110+AH110</f>
        <v>77546.344016526113</v>
      </c>
      <c r="AJ110" s="245">
        <f>AF110+AI110</f>
        <v>585474.8973247722</v>
      </c>
      <c r="AK110" s="287"/>
      <c r="AL110" s="1029">
        <f>AA110+AF110+AI110</f>
        <v>1088808.2306581056</v>
      </c>
      <c r="AM110" s="247" t="s">
        <v>207</v>
      </c>
      <c r="AN110" s="298" t="s">
        <v>207</v>
      </c>
      <c r="AO110" s="247"/>
      <c r="AP110" s="235">
        <v>9991.0948916011566</v>
      </c>
      <c r="AQ110" s="235">
        <f>W110-AP110</f>
        <v>1661.0828124879263</v>
      </c>
    </row>
    <row r="111" spans="1:43" ht="13" x14ac:dyDescent="0.3">
      <c r="A111" s="244">
        <v>9257005</v>
      </c>
      <c r="B111" s="237" t="s">
        <v>208</v>
      </c>
      <c r="C111" s="267">
        <v>4</v>
      </c>
      <c r="D111" s="245">
        <f t="shared" si="20"/>
        <v>0</v>
      </c>
      <c r="E111" s="245">
        <f t="shared" si="21"/>
        <v>0</v>
      </c>
      <c r="F111" s="68">
        <f t="shared" ref="F111:F127" si="36">SUM(D111:E111)</f>
        <v>0</v>
      </c>
      <c r="G111" s="245">
        <f t="shared" si="22"/>
        <v>191200.21921852537</v>
      </c>
      <c r="H111" s="245">
        <f t="shared" si="23"/>
        <v>267680.30690593552</v>
      </c>
      <c r="I111" s="68">
        <f t="shared" si="30"/>
        <v>458880.52612446086</v>
      </c>
      <c r="J111" s="245">
        <f t="shared" si="24"/>
        <v>98574.335241550842</v>
      </c>
      <c r="K111" s="245">
        <f t="shared" si="25"/>
        <v>203946.90049976041</v>
      </c>
      <c r="L111" s="68">
        <f t="shared" ref="L111:L127" si="37">SUM(J111:K111)</f>
        <v>302521.23574131122</v>
      </c>
      <c r="M111" s="68">
        <f t="shared" ref="M111:M126" si="38">I111+L111</f>
        <v>761401.76186577207</v>
      </c>
      <c r="N111" s="245">
        <f t="shared" si="26"/>
        <v>9751.4107740556829</v>
      </c>
      <c r="O111" s="245">
        <f t="shared" si="27"/>
        <v>13651.975083677955</v>
      </c>
      <c r="P111" s="68">
        <f t="shared" ref="P111:P127" si="39">SUM(N111:O111)</f>
        <v>23403.385857733636</v>
      </c>
      <c r="Q111" s="245">
        <f t="shared" si="28"/>
        <v>5027.3939990687068</v>
      </c>
      <c r="R111" s="245">
        <f t="shared" si="29"/>
        <v>10401.504825659395</v>
      </c>
      <c r="S111" s="68">
        <f t="shared" ref="S111:S127" si="40">SUM(Q111:R111)</f>
        <v>15428.898824728101</v>
      </c>
      <c r="T111" s="68">
        <f t="shared" ref="T111:T127" si="41">P111+S111</f>
        <v>38832.284682461737</v>
      </c>
      <c r="U111" s="68">
        <f t="shared" ref="U111:U127" si="42">F111+I111+L111+P111+S111</f>
        <v>800234.04654823383</v>
      </c>
      <c r="V111" s="286">
        <f t="shared" ref="V111:V127" si="43">(L7*(5/12))+(L51*(7/12))+(J29*(4/12))+(J73*(8/12))</f>
        <v>74.666666666666657</v>
      </c>
      <c r="W111" s="245">
        <f t="shared" ref="W111:W127" si="44">U111/V111</f>
        <v>10717.42026627099</v>
      </c>
      <c r="X111" s="237"/>
      <c r="Y111" s="245">
        <f t="shared" ref="Y111:Y127" si="45">Q7+Q51</f>
        <v>450000</v>
      </c>
      <c r="Z111" s="245">
        <f t="shared" si="31"/>
        <v>296666.66666666663</v>
      </c>
      <c r="AA111" s="245">
        <f t="shared" ref="AA111:AA127" si="46">Y111+Z111</f>
        <v>746666.66666666663</v>
      </c>
      <c r="AB111" s="245">
        <f>VLOOKUP(A111,'Funding Detail - Rebase'!$A$4:$AK$23,32,FALSE)</f>
        <v>1303054.7993919018</v>
      </c>
      <c r="AC111" s="245">
        <f t="shared" ref="AC111:AC127" si="47">AB111-AA111</f>
        <v>556388.13272523519</v>
      </c>
      <c r="AD111" s="245">
        <f t="shared" si="32"/>
        <v>139718.00207943967</v>
      </c>
      <c r="AE111" s="245">
        <f t="shared" si="33"/>
        <v>195605.20291121554</v>
      </c>
      <c r="AF111" s="245">
        <f t="shared" ref="AF111:AF127" si="48">AD111+AE111</f>
        <v>335323.20499065518</v>
      </c>
      <c r="AG111" s="245">
        <f t="shared" si="34"/>
        <v>72032.392183177784</v>
      </c>
      <c r="AH111" s="245">
        <f t="shared" si="35"/>
        <v>149032.53555140231</v>
      </c>
      <c r="AI111" s="245">
        <f t="shared" ref="AI111:AI127" si="49">AG111+AH111</f>
        <v>221064.92773458009</v>
      </c>
      <c r="AJ111" s="245">
        <f t="shared" ref="AJ111:AJ127" si="50">AF111+AI111</f>
        <v>556388.13272523531</v>
      </c>
      <c r="AK111" s="287"/>
      <c r="AL111" s="1029">
        <f t="shared" ref="AL111:AL127" si="51">AA111+AF111+AI111</f>
        <v>1303054.7993919018</v>
      </c>
      <c r="AM111" s="247" t="s">
        <v>207</v>
      </c>
      <c r="AN111" s="298" t="s">
        <v>207</v>
      </c>
      <c r="AO111" s="247"/>
      <c r="AP111" s="235">
        <v>9737.6409510925641</v>
      </c>
      <c r="AQ111" s="235">
        <f t="shared" ref="AQ111:AQ127" si="52">W111-AP111</f>
        <v>979.77931517842626</v>
      </c>
    </row>
    <row r="112" spans="1:43" ht="13" x14ac:dyDescent="0.3">
      <c r="A112" s="244">
        <v>9257025</v>
      </c>
      <c r="B112" s="237" t="s">
        <v>209</v>
      </c>
      <c r="C112" s="271">
        <v>4</v>
      </c>
      <c r="D112" s="245">
        <f t="shared" si="20"/>
        <v>0</v>
      </c>
      <c r="E112" s="245">
        <f t="shared" si="21"/>
        <v>0</v>
      </c>
      <c r="F112" s="68">
        <f>SUM(D112:E112)</f>
        <v>0</v>
      </c>
      <c r="G112" s="245">
        <f t="shared" si="22"/>
        <v>215994.22036728152</v>
      </c>
      <c r="H112" s="245">
        <f t="shared" si="23"/>
        <v>290049.38163606374</v>
      </c>
      <c r="I112" s="68">
        <f t="shared" si="30"/>
        <v>506043.60200334527</v>
      </c>
      <c r="J112" s="245">
        <f t="shared" si="24"/>
        <v>45843.671261627089</v>
      </c>
      <c r="K112" s="245">
        <f t="shared" si="25"/>
        <v>112845.96002862052</v>
      </c>
      <c r="L112" s="68">
        <f t="shared" si="37"/>
        <v>158689.63129024761</v>
      </c>
      <c r="M112" s="68">
        <f t="shared" si="38"/>
        <v>664733.23329359293</v>
      </c>
      <c r="N112" s="245">
        <f t="shared" si="26"/>
        <v>11165.808272492439</v>
      </c>
      <c r="O112" s="245">
        <f t="shared" si="27"/>
        <v>14994.085394489844</v>
      </c>
      <c r="P112" s="68">
        <f t="shared" si="39"/>
        <v>26159.893666982283</v>
      </c>
      <c r="Q112" s="245">
        <f t="shared" si="28"/>
        <v>2369.8858374269662</v>
      </c>
      <c r="R112" s="245">
        <f t="shared" si="29"/>
        <v>5833.5651382817632</v>
      </c>
      <c r="S112" s="68">
        <f t="shared" si="40"/>
        <v>8203.4509757087289</v>
      </c>
      <c r="T112" s="68">
        <f t="shared" si="41"/>
        <v>34363.344642691009</v>
      </c>
      <c r="U112" s="68">
        <f t="shared" si="42"/>
        <v>699096.57793628401</v>
      </c>
      <c r="V112" s="286">
        <f t="shared" si="43"/>
        <v>62.833333333333336</v>
      </c>
      <c r="W112" s="245">
        <f t="shared" si="44"/>
        <v>11126.205484397093</v>
      </c>
      <c r="X112" s="237"/>
      <c r="Y112" s="245">
        <f t="shared" si="45"/>
        <v>478333.33333333337</v>
      </c>
      <c r="Z112" s="245">
        <f t="shared" si="31"/>
        <v>150000</v>
      </c>
      <c r="AA112" s="245">
        <f t="shared" si="46"/>
        <v>628333.33333333337</v>
      </c>
      <c r="AB112" s="245">
        <f>VLOOKUP(A112,'Funding Detail - Rebase'!$A$4:$AK$23,32,FALSE)</f>
        <v>1203227.3474675957</v>
      </c>
      <c r="AC112" s="245">
        <f t="shared" si="47"/>
        <v>574894.01413426234</v>
      </c>
      <c r="AD112" s="245">
        <f t="shared" si="32"/>
        <v>186802.43164840087</v>
      </c>
      <c r="AE112" s="245">
        <f t="shared" si="33"/>
        <v>250848.97964213835</v>
      </c>
      <c r="AF112" s="245">
        <f t="shared" si="48"/>
        <v>437651.4112905392</v>
      </c>
      <c r="AG112" s="245">
        <f t="shared" si="34"/>
        <v>39647.863043742233</v>
      </c>
      <c r="AH112" s="245">
        <f t="shared" si="35"/>
        <v>97594.739799980875</v>
      </c>
      <c r="AI112" s="245">
        <f t="shared" si="49"/>
        <v>137242.60284372311</v>
      </c>
      <c r="AJ112" s="245">
        <f t="shared" si="50"/>
        <v>574894.01413426234</v>
      </c>
      <c r="AK112" s="287"/>
      <c r="AL112" s="1029">
        <f t="shared" si="51"/>
        <v>1203227.3474675955</v>
      </c>
      <c r="AM112" s="247" t="s">
        <v>207</v>
      </c>
      <c r="AN112" s="298" t="s">
        <v>207</v>
      </c>
      <c r="AO112" s="247"/>
      <c r="AP112" s="235">
        <v>10128.233980342673</v>
      </c>
      <c r="AQ112" s="235">
        <f t="shared" si="52"/>
        <v>997.97150405441971</v>
      </c>
    </row>
    <row r="113" spans="1:43" ht="13" x14ac:dyDescent="0.3">
      <c r="A113" s="244">
        <v>9257011</v>
      </c>
      <c r="B113" s="237" t="s">
        <v>210</v>
      </c>
      <c r="C113" s="267">
        <v>4</v>
      </c>
      <c r="D113" s="245">
        <f t="shared" si="20"/>
        <v>0</v>
      </c>
      <c r="E113" s="245">
        <f t="shared" si="21"/>
        <v>0</v>
      </c>
      <c r="F113" s="68">
        <f t="shared" si="36"/>
        <v>0</v>
      </c>
      <c r="G113" s="245">
        <f t="shared" si="22"/>
        <v>215878.79427874461</v>
      </c>
      <c r="H113" s="245">
        <f t="shared" si="23"/>
        <v>263647.71897021157</v>
      </c>
      <c r="I113" s="68">
        <f t="shared" si="30"/>
        <v>479526.51324895618</v>
      </c>
      <c r="J113" s="245">
        <f t="shared" si="24"/>
        <v>11023.59800572313</v>
      </c>
      <c r="K113" s="245">
        <f t="shared" si="25"/>
        <v>102886.91472008255</v>
      </c>
      <c r="L113" s="68">
        <f t="shared" si="37"/>
        <v>113910.51272580569</v>
      </c>
      <c r="M113" s="68">
        <f t="shared" si="38"/>
        <v>593437.02597476193</v>
      </c>
      <c r="N113" s="245">
        <f t="shared" si="26"/>
        <v>8027.1366253329461</v>
      </c>
      <c r="O113" s="245">
        <f t="shared" si="27"/>
        <v>9803.3540913640682</v>
      </c>
      <c r="P113" s="68">
        <f t="shared" si="39"/>
        <v>17830.490716697015</v>
      </c>
      <c r="Q113" s="245">
        <f t="shared" si="28"/>
        <v>409.8963383148739</v>
      </c>
      <c r="R113" s="245">
        <f t="shared" si="29"/>
        <v>3825.6991576054897</v>
      </c>
      <c r="S113" s="68">
        <f t="shared" si="40"/>
        <v>4235.5954959203636</v>
      </c>
      <c r="T113" s="68">
        <f t="shared" si="41"/>
        <v>22066.086212617378</v>
      </c>
      <c r="U113" s="68">
        <f t="shared" si="42"/>
        <v>615503.11218737939</v>
      </c>
      <c r="V113" s="286">
        <f t="shared" si="43"/>
        <v>53.833333333333329</v>
      </c>
      <c r="W113" s="245">
        <f t="shared" si="44"/>
        <v>11433.494344038008</v>
      </c>
      <c r="X113" s="237"/>
      <c r="Y113" s="245">
        <f t="shared" si="45"/>
        <v>435000</v>
      </c>
      <c r="Z113" s="245">
        <f t="shared" si="31"/>
        <v>103333.33333333333</v>
      </c>
      <c r="AA113" s="245">
        <f t="shared" si="46"/>
        <v>538333.33333333337</v>
      </c>
      <c r="AB113" s="245">
        <f>VLOOKUP(A113,'Funding Detail - Rebase'!$A$4:$AK$23,32,FALSE)</f>
        <v>1117366.0017438636</v>
      </c>
      <c r="AC113" s="245">
        <f t="shared" si="47"/>
        <v>579032.6684105302</v>
      </c>
      <c r="AD113" s="245">
        <f t="shared" si="32"/>
        <v>210638.81900383069</v>
      </c>
      <c r="AE113" s="245">
        <f t="shared" si="33"/>
        <v>257248.25980467832</v>
      </c>
      <c r="AF113" s="245">
        <f t="shared" si="48"/>
        <v>467887.07880850905</v>
      </c>
      <c r="AG113" s="245">
        <f t="shared" si="34"/>
        <v>10756.02480019561</v>
      </c>
      <c r="AH113" s="245">
        <f t="shared" si="35"/>
        <v>100389.56480182569</v>
      </c>
      <c r="AI113" s="245">
        <f t="shared" si="49"/>
        <v>111145.5896020213</v>
      </c>
      <c r="AJ113" s="245">
        <f t="shared" si="50"/>
        <v>579032.66841053031</v>
      </c>
      <c r="AK113" s="287"/>
      <c r="AL113" s="1029">
        <f t="shared" si="51"/>
        <v>1117366.0017438638</v>
      </c>
      <c r="AM113" s="247" t="s">
        <v>207</v>
      </c>
      <c r="AN113" s="298" t="s">
        <v>207</v>
      </c>
      <c r="AO113" s="247"/>
      <c r="AP113" s="235">
        <v>10268.67930679802</v>
      </c>
      <c r="AQ113" s="235">
        <f t="shared" si="52"/>
        <v>1164.8150372399887</v>
      </c>
    </row>
    <row r="114" spans="1:43" ht="13" x14ac:dyDescent="0.3">
      <c r="A114" s="244">
        <v>9257024</v>
      </c>
      <c r="B114" s="237" t="s">
        <v>211</v>
      </c>
      <c r="C114" s="267">
        <v>3</v>
      </c>
      <c r="D114" s="245">
        <f t="shared" si="20"/>
        <v>0</v>
      </c>
      <c r="E114" s="245">
        <f t="shared" si="21"/>
        <v>0</v>
      </c>
      <c r="F114" s="68">
        <f t="shared" si="36"/>
        <v>0</v>
      </c>
      <c r="G114" s="245">
        <f t="shared" si="22"/>
        <v>198931.32014596194</v>
      </c>
      <c r="H114" s="245">
        <f t="shared" si="23"/>
        <v>358960.51546338026</v>
      </c>
      <c r="I114" s="68">
        <f t="shared" si="30"/>
        <v>557891.8356093422</v>
      </c>
      <c r="J114" s="245">
        <f t="shared" si="24"/>
        <v>45975.238433733437</v>
      </c>
      <c r="K114" s="245">
        <f t="shared" si="25"/>
        <v>77804.249657087334</v>
      </c>
      <c r="L114" s="68">
        <f t="shared" si="37"/>
        <v>123779.48809082077</v>
      </c>
      <c r="M114" s="68">
        <f t="shared" si="38"/>
        <v>681671.32370016293</v>
      </c>
      <c r="N114" s="245">
        <f t="shared" si="26"/>
        <v>2694.9353411935704</v>
      </c>
      <c r="O114" s="245">
        <f t="shared" si="27"/>
        <v>4862.8611045537318</v>
      </c>
      <c r="P114" s="68">
        <f t="shared" si="39"/>
        <v>7557.7964457473026</v>
      </c>
      <c r="Q114" s="245">
        <f t="shared" si="28"/>
        <v>622.82950107584725</v>
      </c>
      <c r="R114" s="245">
        <f t="shared" si="29"/>
        <v>1054.0191556668185</v>
      </c>
      <c r="S114" s="68">
        <f t="shared" si="40"/>
        <v>1676.8486567426658</v>
      </c>
      <c r="T114" s="68">
        <f t="shared" si="41"/>
        <v>9234.6451024899688</v>
      </c>
      <c r="U114" s="68">
        <f t="shared" si="42"/>
        <v>690905.9688026529</v>
      </c>
      <c r="V114" s="286">
        <f t="shared" si="43"/>
        <v>64.25</v>
      </c>
      <c r="W114" s="245">
        <f t="shared" si="44"/>
        <v>10753.400292648294</v>
      </c>
      <c r="X114" s="237"/>
      <c r="Y114" s="245">
        <f t="shared" si="45"/>
        <v>525833.33333333337</v>
      </c>
      <c r="Z114" s="245">
        <f t="shared" si="31"/>
        <v>116666.66666666666</v>
      </c>
      <c r="AA114" s="245">
        <f t="shared" si="46"/>
        <v>642500</v>
      </c>
      <c r="AB114" s="245">
        <f>VLOOKUP(A114,'Funding Detail - Rebase'!$A$4:$AK$23,32,FALSE)</f>
        <v>1084799.2387848999</v>
      </c>
      <c r="AC114" s="245">
        <f t="shared" si="47"/>
        <v>442299.23878489994</v>
      </c>
      <c r="AD114" s="245">
        <f t="shared" si="32"/>
        <v>129075.65334189688</v>
      </c>
      <c r="AE114" s="245">
        <f t="shared" si="33"/>
        <v>232909.8455858228</v>
      </c>
      <c r="AF114" s="245">
        <f t="shared" si="48"/>
        <v>361985.49892771966</v>
      </c>
      <c r="AG114" s="245">
        <f t="shared" si="34"/>
        <v>29830.81766123839</v>
      </c>
      <c r="AH114" s="245">
        <f t="shared" si="35"/>
        <v>50482.922195941886</v>
      </c>
      <c r="AI114" s="245">
        <f t="shared" si="49"/>
        <v>80313.739857180277</v>
      </c>
      <c r="AJ114" s="245">
        <f t="shared" si="50"/>
        <v>442299.23878489994</v>
      </c>
      <c r="AK114" s="287"/>
      <c r="AL114" s="1029">
        <f t="shared" si="51"/>
        <v>1084799.2387848999</v>
      </c>
      <c r="AM114" s="247" t="s">
        <v>207</v>
      </c>
      <c r="AN114" s="298" t="s">
        <v>207</v>
      </c>
      <c r="AO114" s="247"/>
      <c r="AP114" s="235">
        <v>9289.4498761949271</v>
      </c>
      <c r="AQ114" s="235">
        <f t="shared" si="52"/>
        <v>1463.9504164533664</v>
      </c>
    </row>
    <row r="115" spans="1:43" ht="13" x14ac:dyDescent="0.3">
      <c r="A115" s="244">
        <v>9257031</v>
      </c>
      <c r="B115" s="237" t="s">
        <v>257</v>
      </c>
      <c r="C115" s="267">
        <v>4</v>
      </c>
      <c r="D115" s="245">
        <f t="shared" si="20"/>
        <v>0</v>
      </c>
      <c r="E115" s="245">
        <f t="shared" si="21"/>
        <v>0</v>
      </c>
      <c r="F115" s="68">
        <f t="shared" si="36"/>
        <v>0</v>
      </c>
      <c r="G115" s="245">
        <f t="shared" si="22"/>
        <v>331273.91807940899</v>
      </c>
      <c r="H115" s="245">
        <f t="shared" si="23"/>
        <v>477424.17605561879</v>
      </c>
      <c r="I115" s="68">
        <f t="shared" si="30"/>
        <v>808698.09413502784</v>
      </c>
      <c r="J115" s="245">
        <f t="shared" si="24"/>
        <v>0</v>
      </c>
      <c r="K115" s="245">
        <f t="shared" si="25"/>
        <v>0</v>
      </c>
      <c r="L115" s="68">
        <f t="shared" si="37"/>
        <v>0</v>
      </c>
      <c r="M115" s="68">
        <f t="shared" si="38"/>
        <v>808698.09413502784</v>
      </c>
      <c r="N115" s="245">
        <f t="shared" si="26"/>
        <v>74659.69019306633</v>
      </c>
      <c r="O115" s="245">
        <f t="shared" si="27"/>
        <v>107597.78880765439</v>
      </c>
      <c r="P115" s="68">
        <f t="shared" si="39"/>
        <v>182257.47900072072</v>
      </c>
      <c r="Q115" s="245">
        <f t="shared" si="28"/>
        <v>0</v>
      </c>
      <c r="R115" s="245">
        <f t="shared" si="29"/>
        <v>0</v>
      </c>
      <c r="S115" s="68">
        <f t="shared" si="40"/>
        <v>0</v>
      </c>
      <c r="T115" s="68">
        <f t="shared" si="41"/>
        <v>182257.47900072072</v>
      </c>
      <c r="U115" s="68">
        <f t="shared" si="42"/>
        <v>990955.57313574851</v>
      </c>
      <c r="V115" s="286">
        <f t="shared" si="43"/>
        <v>69.166666666666671</v>
      </c>
      <c r="W115" s="245">
        <f t="shared" si="44"/>
        <v>14327.068527263833</v>
      </c>
      <c r="X115" s="237"/>
      <c r="Y115" s="245">
        <f t="shared" si="45"/>
        <v>691666.66666666674</v>
      </c>
      <c r="Z115" s="245">
        <f t="shared" si="31"/>
        <v>0</v>
      </c>
      <c r="AA115" s="245">
        <f t="shared" si="46"/>
        <v>691666.66666666674</v>
      </c>
      <c r="AB115" s="245">
        <f>VLOOKUP(A115,'Funding Detail - Rebase'!$A$4:$AK$23,32,FALSE)</f>
        <v>1417327.3026095496</v>
      </c>
      <c r="AC115" s="245">
        <f t="shared" si="47"/>
        <v>725660.63594288286</v>
      </c>
      <c r="AD115" s="245">
        <f t="shared" si="32"/>
        <v>297258.57375973515</v>
      </c>
      <c r="AE115" s="245">
        <f t="shared" si="33"/>
        <v>428402.06218314765</v>
      </c>
      <c r="AF115" s="245">
        <f t="shared" si="48"/>
        <v>725660.63594288286</v>
      </c>
      <c r="AG115" s="245">
        <f t="shared" si="34"/>
        <v>0</v>
      </c>
      <c r="AH115" s="245">
        <f t="shared" si="35"/>
        <v>0</v>
      </c>
      <c r="AI115" s="245">
        <f t="shared" si="49"/>
        <v>0</v>
      </c>
      <c r="AJ115" s="245">
        <f t="shared" si="50"/>
        <v>725660.63594288286</v>
      </c>
      <c r="AK115" s="287"/>
      <c r="AL115" s="1029">
        <f t="shared" si="51"/>
        <v>1417327.3026095496</v>
      </c>
      <c r="AM115" s="247" t="s">
        <v>207</v>
      </c>
      <c r="AN115" s="298" t="s">
        <v>207</v>
      </c>
      <c r="AO115" s="247"/>
      <c r="AP115" s="235">
        <v>14327.068527263833</v>
      </c>
      <c r="AQ115" s="235">
        <f t="shared" si="52"/>
        <v>0</v>
      </c>
    </row>
    <row r="116" spans="1:43" ht="13" x14ac:dyDescent="0.3">
      <c r="A116" s="244">
        <v>9257033</v>
      </c>
      <c r="B116" s="237" t="s">
        <v>220</v>
      </c>
      <c r="C116" s="267">
        <v>3</v>
      </c>
      <c r="D116" s="245">
        <f t="shared" si="20"/>
        <v>0</v>
      </c>
      <c r="E116" s="245">
        <f t="shared" si="21"/>
        <v>0</v>
      </c>
      <c r="F116" s="68">
        <f t="shared" si="36"/>
        <v>0</v>
      </c>
      <c r="G116" s="245">
        <f t="shared" si="22"/>
        <v>212396.95552966642</v>
      </c>
      <c r="H116" s="245">
        <f t="shared" si="23"/>
        <v>443425.22294790001</v>
      </c>
      <c r="I116" s="68">
        <f t="shared" si="30"/>
        <v>655822.17847756646</v>
      </c>
      <c r="J116" s="245">
        <f t="shared" si="24"/>
        <v>0</v>
      </c>
      <c r="K116" s="245">
        <f t="shared" si="25"/>
        <v>0</v>
      </c>
      <c r="L116" s="68">
        <f t="shared" si="37"/>
        <v>0</v>
      </c>
      <c r="M116" s="68">
        <f t="shared" si="38"/>
        <v>655822.17847756646</v>
      </c>
      <c r="N116" s="245">
        <f t="shared" si="26"/>
        <v>21619.370181575086</v>
      </c>
      <c r="O116" s="245">
        <f t="shared" si="27"/>
        <v>45135.17634399009</v>
      </c>
      <c r="P116" s="68">
        <f t="shared" si="39"/>
        <v>66754.54652556518</v>
      </c>
      <c r="Q116" s="245">
        <f t="shared" si="28"/>
        <v>0</v>
      </c>
      <c r="R116" s="245">
        <f t="shared" si="29"/>
        <v>0</v>
      </c>
      <c r="S116" s="68">
        <f t="shared" si="40"/>
        <v>0</v>
      </c>
      <c r="T116" s="68">
        <f t="shared" si="41"/>
        <v>66754.54652556518</v>
      </c>
      <c r="U116" s="68">
        <f t="shared" si="42"/>
        <v>722576.72500313167</v>
      </c>
      <c r="V116" s="286">
        <f t="shared" si="43"/>
        <v>73.333333333333343</v>
      </c>
      <c r="W116" s="245">
        <f t="shared" si="44"/>
        <v>9853.3189773154299</v>
      </c>
      <c r="X116" s="237"/>
      <c r="Y116" s="245">
        <f t="shared" si="45"/>
        <v>733333.33333333337</v>
      </c>
      <c r="Z116" s="245">
        <f t="shared" si="31"/>
        <v>0</v>
      </c>
      <c r="AA116" s="245">
        <f t="shared" si="46"/>
        <v>733333.33333333337</v>
      </c>
      <c r="AB116" s="245">
        <f>VLOOKUP(A116,'Funding Detail - Rebase'!$A$4:$AK$23,32,FALSE)</f>
        <v>1121419.8232914417</v>
      </c>
      <c r="AC116" s="245">
        <f t="shared" si="47"/>
        <v>388086.48995810829</v>
      </c>
      <c r="AD116" s="245">
        <f t="shared" si="32"/>
        <v>125687.10186143278</v>
      </c>
      <c r="AE116" s="245">
        <f t="shared" si="33"/>
        <v>262399.38809667545</v>
      </c>
      <c r="AF116" s="245">
        <f t="shared" si="48"/>
        <v>388086.48995810823</v>
      </c>
      <c r="AG116" s="245">
        <f t="shared" si="34"/>
        <v>0</v>
      </c>
      <c r="AH116" s="245">
        <f t="shared" si="35"/>
        <v>0</v>
      </c>
      <c r="AI116" s="245">
        <f t="shared" si="49"/>
        <v>0</v>
      </c>
      <c r="AJ116" s="245">
        <f t="shared" si="50"/>
        <v>388086.48995810823</v>
      </c>
      <c r="AK116" s="287"/>
      <c r="AL116" s="1029">
        <f t="shared" si="51"/>
        <v>1121419.8232914417</v>
      </c>
      <c r="AM116" s="247" t="s">
        <v>207</v>
      </c>
      <c r="AN116" s="298" t="s">
        <v>207</v>
      </c>
      <c r="AO116" s="247"/>
      <c r="AP116" s="235">
        <v>9853.3189773154299</v>
      </c>
      <c r="AQ116" s="235">
        <f t="shared" si="52"/>
        <v>0</v>
      </c>
    </row>
    <row r="117" spans="1:43" ht="13" x14ac:dyDescent="0.3">
      <c r="A117" s="244">
        <v>9257008</v>
      </c>
      <c r="B117" s="237" t="s">
        <v>212</v>
      </c>
      <c r="C117" s="271">
        <v>4</v>
      </c>
      <c r="D117" s="245">
        <f t="shared" si="20"/>
        <v>0</v>
      </c>
      <c r="E117" s="245">
        <f t="shared" si="21"/>
        <v>0</v>
      </c>
      <c r="F117" s="68">
        <f t="shared" si="36"/>
        <v>0</v>
      </c>
      <c r="G117" s="245">
        <f t="shared" si="22"/>
        <v>300051.70758049889</v>
      </c>
      <c r="H117" s="245">
        <f t="shared" si="23"/>
        <v>420072.39061269845</v>
      </c>
      <c r="I117" s="68">
        <f t="shared" si="30"/>
        <v>720124.09819319728</v>
      </c>
      <c r="J117" s="245">
        <f t="shared" si="24"/>
        <v>0</v>
      </c>
      <c r="K117" s="245">
        <f t="shared" si="25"/>
        <v>0</v>
      </c>
      <c r="L117" s="68">
        <f t="shared" si="37"/>
        <v>0</v>
      </c>
      <c r="M117" s="68">
        <f t="shared" si="38"/>
        <v>720124.09819319728</v>
      </c>
      <c r="N117" s="245">
        <f t="shared" si="26"/>
        <v>27900.507061768727</v>
      </c>
      <c r="O117" s="245">
        <f t="shared" si="27"/>
        <v>39060.709886476216</v>
      </c>
      <c r="P117" s="68">
        <f t="shared" si="39"/>
        <v>66961.216948244939</v>
      </c>
      <c r="Q117" s="245">
        <f t="shared" si="28"/>
        <v>0</v>
      </c>
      <c r="R117" s="245">
        <f t="shared" si="29"/>
        <v>0</v>
      </c>
      <c r="S117" s="68">
        <f t="shared" si="40"/>
        <v>0</v>
      </c>
      <c r="T117" s="68">
        <f t="shared" si="41"/>
        <v>66961.216948244939</v>
      </c>
      <c r="U117" s="68">
        <f t="shared" si="42"/>
        <v>787085.31514144223</v>
      </c>
      <c r="V117" s="286">
        <f t="shared" si="43"/>
        <v>90</v>
      </c>
      <c r="W117" s="245">
        <f t="shared" si="44"/>
        <v>8745.392390460469</v>
      </c>
      <c r="X117" s="237"/>
      <c r="Y117" s="245">
        <f t="shared" si="45"/>
        <v>900000</v>
      </c>
      <c r="Z117" s="245">
        <f t="shared" si="31"/>
        <v>0</v>
      </c>
      <c r="AA117" s="245">
        <f t="shared" si="46"/>
        <v>900000</v>
      </c>
      <c r="AB117" s="245">
        <f>VLOOKUP(A117,'Funding Detail - Rebase'!$A$4:$AK$23,32,FALSE)</f>
        <v>1293986.4829410582</v>
      </c>
      <c r="AC117" s="245">
        <f t="shared" si="47"/>
        <v>393986.48294105823</v>
      </c>
      <c r="AD117" s="245">
        <f t="shared" si="32"/>
        <v>164161.03455877426</v>
      </c>
      <c r="AE117" s="245">
        <f t="shared" si="33"/>
        <v>229825.448382284</v>
      </c>
      <c r="AF117" s="245">
        <f t="shared" si="48"/>
        <v>393986.48294105823</v>
      </c>
      <c r="AG117" s="245">
        <f t="shared" si="34"/>
        <v>0</v>
      </c>
      <c r="AH117" s="245">
        <f t="shared" si="35"/>
        <v>0</v>
      </c>
      <c r="AI117" s="245">
        <f t="shared" si="49"/>
        <v>0</v>
      </c>
      <c r="AJ117" s="245">
        <f t="shared" si="50"/>
        <v>393986.48294105823</v>
      </c>
      <c r="AK117" s="287"/>
      <c r="AL117" s="1029">
        <f t="shared" si="51"/>
        <v>1293986.4829410582</v>
      </c>
      <c r="AM117" s="247" t="s">
        <v>207</v>
      </c>
      <c r="AN117" s="298" t="s">
        <v>207</v>
      </c>
      <c r="AO117" s="247"/>
      <c r="AP117" s="235">
        <v>8745.392390460469</v>
      </c>
      <c r="AQ117" s="235">
        <f t="shared" si="52"/>
        <v>0</v>
      </c>
    </row>
    <row r="118" spans="1:43" ht="13" x14ac:dyDescent="0.3">
      <c r="A118" s="244">
        <v>9257034</v>
      </c>
      <c r="B118" s="237" t="s">
        <v>221</v>
      </c>
      <c r="C118" s="267">
        <v>5</v>
      </c>
      <c r="D118" s="245">
        <f t="shared" si="20"/>
        <v>0</v>
      </c>
      <c r="E118" s="245">
        <f t="shared" si="21"/>
        <v>0</v>
      </c>
      <c r="F118" s="68">
        <f t="shared" si="36"/>
        <v>0</v>
      </c>
      <c r="G118" s="245">
        <f t="shared" si="22"/>
        <v>311734.69657724886</v>
      </c>
      <c r="H118" s="245">
        <f t="shared" si="23"/>
        <v>402102.73221424909</v>
      </c>
      <c r="I118" s="68">
        <f t="shared" si="30"/>
        <v>713837.42879149795</v>
      </c>
      <c r="J118" s="245">
        <f t="shared" si="24"/>
        <v>89667.508228961451</v>
      </c>
      <c r="K118" s="245">
        <f t="shared" si="25"/>
        <v>196147.67425085325</v>
      </c>
      <c r="L118" s="68">
        <f t="shared" si="37"/>
        <v>285815.18247981468</v>
      </c>
      <c r="M118" s="68">
        <f t="shared" si="38"/>
        <v>999652.61127131269</v>
      </c>
      <c r="N118" s="245">
        <f t="shared" si="26"/>
        <v>20004.923935474231</v>
      </c>
      <c r="O118" s="245">
        <f t="shared" si="27"/>
        <v>25804.104132499346</v>
      </c>
      <c r="P118" s="68">
        <f t="shared" si="39"/>
        <v>45809.028067973573</v>
      </c>
      <c r="Q118" s="245">
        <f t="shared" si="28"/>
        <v>5754.2253117768569</v>
      </c>
      <c r="R118" s="245">
        <f t="shared" si="29"/>
        <v>12587.367869511874</v>
      </c>
      <c r="S118" s="68">
        <f t="shared" si="40"/>
        <v>18341.593181288732</v>
      </c>
      <c r="T118" s="68">
        <f t="shared" si="41"/>
        <v>64150.621249262302</v>
      </c>
      <c r="U118" s="68">
        <f t="shared" si="42"/>
        <v>1063803.2325205749</v>
      </c>
      <c r="V118" s="286">
        <f t="shared" si="43"/>
        <v>118.91666666666667</v>
      </c>
      <c r="W118" s="245">
        <f t="shared" si="44"/>
        <v>8945.7875194442186</v>
      </c>
      <c r="X118" s="237"/>
      <c r="Y118" s="245">
        <f t="shared" si="45"/>
        <v>849166.66666666674</v>
      </c>
      <c r="Z118" s="245">
        <f t="shared" si="31"/>
        <v>340000</v>
      </c>
      <c r="AA118" s="245">
        <f t="shared" si="46"/>
        <v>1189166.6666666667</v>
      </c>
      <c r="AB118" s="245">
        <f>VLOOKUP(A118,'Funding Detail - Rebase'!$A$4:$AK$23,32,FALSE)</f>
        <v>1617778.6789864481</v>
      </c>
      <c r="AC118" s="245">
        <f t="shared" si="47"/>
        <v>428612.01231978135</v>
      </c>
      <c r="AD118" s="245">
        <f t="shared" si="32"/>
        <v>133659.66747183088</v>
      </c>
      <c r="AE118" s="245">
        <f t="shared" si="33"/>
        <v>172405.95309849648</v>
      </c>
      <c r="AF118" s="245">
        <f t="shared" si="48"/>
        <v>306065.62057032739</v>
      </c>
      <c r="AG118" s="245">
        <f t="shared" si="34"/>
        <v>38445.926823358102</v>
      </c>
      <c r="AH118" s="245">
        <f t="shared" si="35"/>
        <v>84100.464926095854</v>
      </c>
      <c r="AI118" s="245">
        <f t="shared" si="49"/>
        <v>122546.39174945396</v>
      </c>
      <c r="AJ118" s="245">
        <f t="shared" si="50"/>
        <v>428612.01231978135</v>
      </c>
      <c r="AK118" s="287"/>
      <c r="AL118" s="1029">
        <f t="shared" si="51"/>
        <v>1617778.6789864481</v>
      </c>
      <c r="AM118" s="247" t="s">
        <v>207</v>
      </c>
      <c r="AN118" s="298" t="s">
        <v>207</v>
      </c>
      <c r="AO118" s="247"/>
      <c r="AP118" s="235">
        <v>8682.1328193541576</v>
      </c>
      <c r="AQ118" s="235">
        <f t="shared" si="52"/>
        <v>263.65470009006094</v>
      </c>
    </row>
    <row r="119" spans="1:43" ht="13" x14ac:dyDescent="0.3">
      <c r="A119" s="244">
        <v>9257002</v>
      </c>
      <c r="B119" s="237" t="s">
        <v>213</v>
      </c>
      <c r="C119" s="267">
        <v>5</v>
      </c>
      <c r="D119" s="245">
        <f t="shared" si="20"/>
        <v>0</v>
      </c>
      <c r="E119" s="245">
        <f t="shared" si="21"/>
        <v>0</v>
      </c>
      <c r="F119" s="68">
        <f t="shared" si="36"/>
        <v>0</v>
      </c>
      <c r="G119" s="245">
        <f t="shared" si="22"/>
        <v>380977.53314531496</v>
      </c>
      <c r="H119" s="245">
        <f t="shared" si="23"/>
        <v>605906.66871430899</v>
      </c>
      <c r="I119" s="68">
        <f t="shared" si="30"/>
        <v>986884.20185962389</v>
      </c>
      <c r="J119" s="245">
        <f t="shared" si="24"/>
        <v>0</v>
      </c>
      <c r="K119" s="245">
        <f t="shared" si="25"/>
        <v>0</v>
      </c>
      <c r="L119" s="68">
        <f t="shared" si="37"/>
        <v>0</v>
      </c>
      <c r="M119" s="68">
        <f t="shared" si="38"/>
        <v>986884.20185962389</v>
      </c>
      <c r="N119" s="245">
        <f t="shared" si="26"/>
        <v>12686.242463601851</v>
      </c>
      <c r="O119" s="245">
        <f t="shared" si="27"/>
        <v>20176.20001411239</v>
      </c>
      <c r="P119" s="68">
        <f t="shared" si="39"/>
        <v>32862.442477714241</v>
      </c>
      <c r="Q119" s="245">
        <f t="shared" si="28"/>
        <v>0</v>
      </c>
      <c r="R119" s="245">
        <f t="shared" si="29"/>
        <v>0</v>
      </c>
      <c r="S119" s="68">
        <f t="shared" si="40"/>
        <v>0</v>
      </c>
      <c r="T119" s="68">
        <f t="shared" si="41"/>
        <v>32862.442477714241</v>
      </c>
      <c r="U119" s="68">
        <f t="shared" si="42"/>
        <v>1019746.6443373382</v>
      </c>
      <c r="V119" s="286">
        <f t="shared" si="43"/>
        <v>134.91666666666669</v>
      </c>
      <c r="W119" s="245">
        <f t="shared" si="44"/>
        <v>7558.3444916912022</v>
      </c>
      <c r="X119" s="237"/>
      <c r="Y119" s="245">
        <f t="shared" si="45"/>
        <v>1349166.6666666667</v>
      </c>
      <c r="Z119" s="245">
        <f t="shared" si="31"/>
        <v>0</v>
      </c>
      <c r="AA119" s="245">
        <f t="shared" si="46"/>
        <v>1349166.6666666667</v>
      </c>
      <c r="AB119" s="245">
        <f>VLOOKUP(A119,'Funding Detail - Rebase'!$A$4:$AK$23,32,FALSE)</f>
        <v>1579142.0057591593</v>
      </c>
      <c r="AC119" s="245">
        <f t="shared" si="47"/>
        <v>229975.33909249259</v>
      </c>
      <c r="AD119" s="245">
        <f t="shared" si="32"/>
        <v>88779.856042500207</v>
      </c>
      <c r="AE119" s="245">
        <f t="shared" si="33"/>
        <v>141195.48304999233</v>
      </c>
      <c r="AF119" s="245">
        <f t="shared" si="48"/>
        <v>229975.33909249253</v>
      </c>
      <c r="AG119" s="245">
        <f t="shared" si="34"/>
        <v>0</v>
      </c>
      <c r="AH119" s="245">
        <f t="shared" si="35"/>
        <v>0</v>
      </c>
      <c r="AI119" s="245">
        <f t="shared" si="49"/>
        <v>0</v>
      </c>
      <c r="AJ119" s="245">
        <f t="shared" si="50"/>
        <v>229975.33909249253</v>
      </c>
      <c r="AK119" s="287"/>
      <c r="AL119" s="1029">
        <f t="shared" si="51"/>
        <v>1579142.0057591593</v>
      </c>
      <c r="AM119" s="247" t="s">
        <v>207</v>
      </c>
      <c r="AN119" s="298" t="s">
        <v>207</v>
      </c>
      <c r="AO119" s="247"/>
      <c r="AP119" s="235">
        <v>7480.8820134065591</v>
      </c>
      <c r="AQ119" s="235">
        <f t="shared" si="52"/>
        <v>77.462478284643112</v>
      </c>
    </row>
    <row r="120" spans="1:43" ht="13" x14ac:dyDescent="0.3">
      <c r="A120" s="244">
        <v>9257009</v>
      </c>
      <c r="B120" s="237" t="s">
        <v>214</v>
      </c>
      <c r="C120" s="267">
        <v>4</v>
      </c>
      <c r="D120" s="245">
        <f t="shared" si="20"/>
        <v>0</v>
      </c>
      <c r="E120" s="245">
        <f t="shared" si="21"/>
        <v>0</v>
      </c>
      <c r="F120" s="68">
        <f t="shared" si="36"/>
        <v>0</v>
      </c>
      <c r="G120" s="245">
        <f t="shared" si="22"/>
        <v>386326.99019738677</v>
      </c>
      <c r="H120" s="245">
        <f t="shared" si="23"/>
        <v>545083.23773162556</v>
      </c>
      <c r="I120" s="68">
        <f t="shared" si="30"/>
        <v>931410.22792901238</v>
      </c>
      <c r="J120" s="245">
        <f t="shared" si="24"/>
        <v>0</v>
      </c>
      <c r="K120" s="245">
        <f t="shared" si="25"/>
        <v>0</v>
      </c>
      <c r="L120" s="68">
        <f t="shared" si="37"/>
        <v>0</v>
      </c>
      <c r="M120" s="68">
        <f t="shared" si="38"/>
        <v>931410.22792901238</v>
      </c>
      <c r="N120" s="245">
        <f t="shared" si="26"/>
        <v>19458.815181541268</v>
      </c>
      <c r="O120" s="245">
        <f t="shared" si="27"/>
        <v>27455.17204520588</v>
      </c>
      <c r="P120" s="68">
        <f t="shared" si="39"/>
        <v>46913.987226747151</v>
      </c>
      <c r="Q120" s="245">
        <f t="shared" si="28"/>
        <v>0</v>
      </c>
      <c r="R120" s="245">
        <f t="shared" si="29"/>
        <v>0</v>
      </c>
      <c r="S120" s="68">
        <f t="shared" si="40"/>
        <v>0</v>
      </c>
      <c r="T120" s="68">
        <f t="shared" si="41"/>
        <v>46913.987226747151</v>
      </c>
      <c r="U120" s="68">
        <f t="shared" si="42"/>
        <v>978324.21515575959</v>
      </c>
      <c r="V120" s="286">
        <f t="shared" si="43"/>
        <v>128.58333333333334</v>
      </c>
      <c r="W120" s="245">
        <f t="shared" si="44"/>
        <v>7608.4838508549019</v>
      </c>
      <c r="X120" s="237"/>
      <c r="Y120" s="245">
        <f t="shared" si="45"/>
        <v>1285833.3333333335</v>
      </c>
      <c r="Z120" s="245">
        <f t="shared" si="31"/>
        <v>0</v>
      </c>
      <c r="AA120" s="245">
        <f t="shared" si="46"/>
        <v>1285833.3333333335</v>
      </c>
      <c r="AB120" s="245">
        <f>VLOOKUP(A120,'Funding Detail - Rebase'!$A$4:$AK$23,32,FALSE)</f>
        <v>1485363.95452345</v>
      </c>
      <c r="AC120" s="245">
        <f t="shared" si="47"/>
        <v>199530.62119011651</v>
      </c>
      <c r="AD120" s="245">
        <f t="shared" si="32"/>
        <v>82760.594660838993</v>
      </c>
      <c r="AE120" s="245">
        <f t="shared" si="33"/>
        <v>116770.02652927751</v>
      </c>
      <c r="AF120" s="245">
        <f t="shared" si="48"/>
        <v>199530.62119011651</v>
      </c>
      <c r="AG120" s="245">
        <f t="shared" si="34"/>
        <v>0</v>
      </c>
      <c r="AH120" s="245">
        <f t="shared" si="35"/>
        <v>0</v>
      </c>
      <c r="AI120" s="245">
        <f t="shared" si="49"/>
        <v>0</v>
      </c>
      <c r="AJ120" s="245">
        <f t="shared" si="50"/>
        <v>199530.62119011651</v>
      </c>
      <c r="AK120" s="287"/>
      <c r="AL120" s="1029">
        <f t="shared" si="51"/>
        <v>1485363.95452345</v>
      </c>
      <c r="AM120" s="247" t="s">
        <v>207</v>
      </c>
      <c r="AN120" s="298" t="s">
        <v>207</v>
      </c>
      <c r="AO120" s="247"/>
      <c r="AP120" s="235">
        <v>7608.4838508549019</v>
      </c>
      <c r="AQ120" s="235">
        <f t="shared" si="52"/>
        <v>0</v>
      </c>
    </row>
    <row r="121" spans="1:43" ht="13" x14ac:dyDescent="0.3">
      <c r="A121" s="244">
        <v>9257029</v>
      </c>
      <c r="B121" s="237" t="s">
        <v>259</v>
      </c>
      <c r="C121" s="271">
        <v>3</v>
      </c>
      <c r="D121" s="245">
        <f t="shared" si="20"/>
        <v>0</v>
      </c>
      <c r="E121" s="245">
        <f t="shared" si="21"/>
        <v>0</v>
      </c>
      <c r="F121" s="68">
        <f t="shared" si="36"/>
        <v>0</v>
      </c>
      <c r="G121" s="245">
        <f t="shared" si="22"/>
        <v>214353.7116984411</v>
      </c>
      <c r="H121" s="245">
        <f t="shared" si="23"/>
        <v>293274.85100559442</v>
      </c>
      <c r="I121" s="68">
        <f t="shared" si="30"/>
        <v>507628.56270403555</v>
      </c>
      <c r="J121" s="245">
        <f t="shared" si="24"/>
        <v>0</v>
      </c>
      <c r="K121" s="245">
        <f t="shared" si="25"/>
        <v>0</v>
      </c>
      <c r="L121" s="68">
        <f t="shared" si="37"/>
        <v>0</v>
      </c>
      <c r="M121" s="68">
        <f t="shared" si="38"/>
        <v>507628.56270403555</v>
      </c>
      <c r="N121" s="245">
        <f t="shared" si="26"/>
        <v>48309.211301395851</v>
      </c>
      <c r="O121" s="245">
        <f t="shared" si="27"/>
        <v>66095.784553273421</v>
      </c>
      <c r="P121" s="68">
        <f t="shared" si="39"/>
        <v>114404.99585466928</v>
      </c>
      <c r="Q121" s="245">
        <f t="shared" si="28"/>
        <v>0</v>
      </c>
      <c r="R121" s="245">
        <f t="shared" si="29"/>
        <v>0</v>
      </c>
      <c r="S121" s="68">
        <f t="shared" si="40"/>
        <v>0</v>
      </c>
      <c r="T121" s="68">
        <f t="shared" si="41"/>
        <v>114404.99585466928</v>
      </c>
      <c r="U121" s="68">
        <f t="shared" si="42"/>
        <v>622033.5585587048</v>
      </c>
      <c r="V121" s="286">
        <f t="shared" si="43"/>
        <v>43.416666666666671</v>
      </c>
      <c r="W121" s="245">
        <f t="shared" si="44"/>
        <v>14327.068527263833</v>
      </c>
      <c r="X121" s="237"/>
      <c r="Y121" s="245">
        <f t="shared" si="45"/>
        <v>434166.66666666669</v>
      </c>
      <c r="Z121" s="245">
        <f t="shared" si="31"/>
        <v>0</v>
      </c>
      <c r="AA121" s="245">
        <f t="shared" si="46"/>
        <v>434166.66666666669</v>
      </c>
      <c r="AB121" s="245">
        <f>VLOOKUP(A121,'Funding Detail - Rebase'!$A$4:$AK$23,32,FALSE)</f>
        <v>967550.07971252012</v>
      </c>
      <c r="AC121" s="245">
        <f t="shared" si="47"/>
        <v>533383.41304585338</v>
      </c>
      <c r="AD121" s="245">
        <f t="shared" si="32"/>
        <v>225229.08036485172</v>
      </c>
      <c r="AE121" s="245">
        <f t="shared" si="33"/>
        <v>308154.33268100163</v>
      </c>
      <c r="AF121" s="245">
        <f t="shared" si="48"/>
        <v>533383.41304585338</v>
      </c>
      <c r="AG121" s="245">
        <f t="shared" si="34"/>
        <v>0</v>
      </c>
      <c r="AH121" s="245">
        <f t="shared" si="35"/>
        <v>0</v>
      </c>
      <c r="AI121" s="245">
        <f t="shared" si="49"/>
        <v>0</v>
      </c>
      <c r="AJ121" s="245">
        <f t="shared" si="50"/>
        <v>533383.41304585338</v>
      </c>
      <c r="AK121" s="287"/>
      <c r="AL121" s="1029">
        <f t="shared" si="51"/>
        <v>967550.07971252012</v>
      </c>
      <c r="AM121" s="247" t="s">
        <v>207</v>
      </c>
      <c r="AN121" s="298" t="s">
        <v>207</v>
      </c>
      <c r="AO121" s="247"/>
      <c r="AP121" s="235">
        <v>14327.068527263833</v>
      </c>
      <c r="AQ121" s="235">
        <f t="shared" si="52"/>
        <v>0</v>
      </c>
    </row>
    <row r="122" spans="1:43" ht="13" x14ac:dyDescent="0.3">
      <c r="A122" s="244">
        <v>9257032</v>
      </c>
      <c r="B122" s="237" t="s">
        <v>261</v>
      </c>
      <c r="C122" s="267">
        <v>4</v>
      </c>
      <c r="D122" s="245">
        <f t="shared" si="20"/>
        <v>0</v>
      </c>
      <c r="E122" s="245">
        <f t="shared" si="21"/>
        <v>0</v>
      </c>
      <c r="F122" s="68">
        <f t="shared" si="36"/>
        <v>0</v>
      </c>
      <c r="G122" s="245">
        <f t="shared" si="22"/>
        <v>292300.51595241966</v>
      </c>
      <c r="H122" s="245">
        <f t="shared" si="23"/>
        <v>409220.72233338753</v>
      </c>
      <c r="I122" s="68">
        <f t="shared" si="30"/>
        <v>701521.23828580719</v>
      </c>
      <c r="J122" s="245">
        <f t="shared" si="24"/>
        <v>0</v>
      </c>
      <c r="K122" s="245">
        <f t="shared" si="25"/>
        <v>0</v>
      </c>
      <c r="L122" s="68">
        <f t="shared" si="37"/>
        <v>0</v>
      </c>
      <c r="M122" s="68">
        <f t="shared" si="38"/>
        <v>701521.23828580719</v>
      </c>
      <c r="N122" s="245">
        <f t="shared" si="26"/>
        <v>65876.197229176163</v>
      </c>
      <c r="O122" s="245">
        <f t="shared" si="27"/>
        <v>92226.67612084662</v>
      </c>
      <c r="P122" s="68">
        <f t="shared" si="39"/>
        <v>158102.87335002277</v>
      </c>
      <c r="Q122" s="245">
        <f t="shared" si="28"/>
        <v>0</v>
      </c>
      <c r="R122" s="245">
        <f t="shared" si="29"/>
        <v>0</v>
      </c>
      <c r="S122" s="68">
        <f t="shared" si="40"/>
        <v>0</v>
      </c>
      <c r="T122" s="68">
        <f t="shared" si="41"/>
        <v>158102.87335002277</v>
      </c>
      <c r="U122" s="68">
        <f t="shared" si="42"/>
        <v>859624.11163583002</v>
      </c>
      <c r="V122" s="286">
        <f t="shared" si="43"/>
        <v>60</v>
      </c>
      <c r="W122" s="245">
        <f t="shared" si="44"/>
        <v>14327.068527263833</v>
      </c>
      <c r="X122" s="237"/>
      <c r="Y122" s="245">
        <f t="shared" si="45"/>
        <v>600000</v>
      </c>
      <c r="Z122" s="245">
        <f t="shared" si="31"/>
        <v>0</v>
      </c>
      <c r="AA122" s="245">
        <f t="shared" si="46"/>
        <v>600000</v>
      </c>
      <c r="AB122" s="245">
        <f>VLOOKUP(A122,'Funding Detail - Rebase'!$A$4:$AK$23,32,FALSE)</f>
        <v>1283310.94444716</v>
      </c>
      <c r="AC122" s="245">
        <f t="shared" si="47"/>
        <v>683310.94444716</v>
      </c>
      <c r="AD122" s="245">
        <f t="shared" si="32"/>
        <v>284712.89351965004</v>
      </c>
      <c r="AE122" s="245">
        <f t="shared" si="33"/>
        <v>398598.05092751002</v>
      </c>
      <c r="AF122" s="245">
        <f t="shared" si="48"/>
        <v>683310.94444716</v>
      </c>
      <c r="AG122" s="245">
        <f t="shared" si="34"/>
        <v>0</v>
      </c>
      <c r="AH122" s="245">
        <f t="shared" si="35"/>
        <v>0</v>
      </c>
      <c r="AI122" s="245">
        <f t="shared" si="49"/>
        <v>0</v>
      </c>
      <c r="AJ122" s="245">
        <f t="shared" si="50"/>
        <v>683310.94444716</v>
      </c>
      <c r="AK122" s="287"/>
      <c r="AL122" s="1029">
        <f t="shared" si="51"/>
        <v>1283310.94444716</v>
      </c>
      <c r="AM122" s="247" t="s">
        <v>207</v>
      </c>
      <c r="AN122" s="298" t="s">
        <v>207</v>
      </c>
      <c r="AO122" s="247"/>
      <c r="AP122" s="235">
        <v>14327.068527263833</v>
      </c>
      <c r="AQ122" s="235">
        <f t="shared" si="52"/>
        <v>0</v>
      </c>
    </row>
    <row r="123" spans="1:43" ht="13" x14ac:dyDescent="0.3">
      <c r="A123" s="244">
        <v>9257030</v>
      </c>
      <c r="B123" s="237" t="s">
        <v>262</v>
      </c>
      <c r="C123" s="271">
        <v>4</v>
      </c>
      <c r="D123" s="245">
        <f t="shared" si="20"/>
        <v>0</v>
      </c>
      <c r="E123" s="245">
        <f t="shared" si="21"/>
        <v>0</v>
      </c>
      <c r="F123" s="68">
        <f t="shared" si="36"/>
        <v>0</v>
      </c>
      <c r="G123" s="245">
        <f t="shared" si="22"/>
        <v>316658.89228178799</v>
      </c>
      <c r="H123" s="245">
        <f t="shared" si="23"/>
        <v>477424.17605561879</v>
      </c>
      <c r="I123" s="68">
        <f t="shared" si="30"/>
        <v>794083.06833740673</v>
      </c>
      <c r="J123" s="245">
        <f t="shared" si="24"/>
        <v>0</v>
      </c>
      <c r="K123" s="245">
        <f t="shared" si="25"/>
        <v>0</v>
      </c>
      <c r="L123" s="68">
        <f t="shared" si="37"/>
        <v>0</v>
      </c>
      <c r="M123" s="68">
        <f t="shared" si="38"/>
        <v>794083.06833740673</v>
      </c>
      <c r="N123" s="245">
        <f t="shared" si="26"/>
        <v>71365.880331607506</v>
      </c>
      <c r="O123" s="245">
        <f t="shared" si="27"/>
        <v>107597.78880765439</v>
      </c>
      <c r="P123" s="68">
        <f t="shared" si="39"/>
        <v>178963.66913926188</v>
      </c>
      <c r="Q123" s="245">
        <f t="shared" si="28"/>
        <v>0</v>
      </c>
      <c r="R123" s="245">
        <f t="shared" si="29"/>
        <v>0</v>
      </c>
      <c r="S123" s="68">
        <f t="shared" si="40"/>
        <v>0</v>
      </c>
      <c r="T123" s="68">
        <f t="shared" si="41"/>
        <v>178963.66913926188</v>
      </c>
      <c r="U123" s="68">
        <f t="shared" si="42"/>
        <v>973046.73747666855</v>
      </c>
      <c r="V123" s="286">
        <f t="shared" si="43"/>
        <v>67.916666666666671</v>
      </c>
      <c r="W123" s="245">
        <f t="shared" si="44"/>
        <v>14327.068527263831</v>
      </c>
      <c r="X123" s="237"/>
      <c r="Y123" s="245">
        <f t="shared" si="45"/>
        <v>679166.66666666674</v>
      </c>
      <c r="Z123" s="245">
        <f t="shared" si="31"/>
        <v>0</v>
      </c>
      <c r="AA123" s="245">
        <f t="shared" si="46"/>
        <v>679166.66666666674</v>
      </c>
      <c r="AB123" s="245">
        <f>VLOOKUP(A123,'Funding Detail - Rebase'!$A$4:$AK$23,32,FALSE)</f>
        <v>1408754.2776712559</v>
      </c>
      <c r="AC123" s="245">
        <f t="shared" si="47"/>
        <v>729587.61100458913</v>
      </c>
      <c r="AD123" s="245">
        <f t="shared" si="32"/>
        <v>290939.8448791306</v>
      </c>
      <c r="AE123" s="245">
        <f t="shared" si="33"/>
        <v>438647.76612545847</v>
      </c>
      <c r="AF123" s="245">
        <f t="shared" si="48"/>
        <v>729587.61100458913</v>
      </c>
      <c r="AG123" s="245">
        <f t="shared" si="34"/>
        <v>0</v>
      </c>
      <c r="AH123" s="245">
        <f t="shared" si="35"/>
        <v>0</v>
      </c>
      <c r="AI123" s="245">
        <f t="shared" si="49"/>
        <v>0</v>
      </c>
      <c r="AJ123" s="245">
        <f t="shared" si="50"/>
        <v>729587.61100458913</v>
      </c>
      <c r="AK123" s="287"/>
      <c r="AL123" s="1029">
        <f t="shared" si="51"/>
        <v>1408754.2776712559</v>
      </c>
      <c r="AM123" s="247" t="s">
        <v>207</v>
      </c>
      <c r="AN123" s="298" t="s">
        <v>207</v>
      </c>
      <c r="AO123" s="247"/>
      <c r="AP123" s="235">
        <v>14327.068527263831</v>
      </c>
      <c r="AQ123" s="235">
        <f t="shared" si="52"/>
        <v>0</v>
      </c>
    </row>
    <row r="124" spans="1:43" ht="13" x14ac:dyDescent="0.3">
      <c r="A124" s="244">
        <v>9257028</v>
      </c>
      <c r="B124" s="237" t="s">
        <v>215</v>
      </c>
      <c r="C124" s="267">
        <v>5</v>
      </c>
      <c r="D124" s="245">
        <f t="shared" si="20"/>
        <v>0</v>
      </c>
      <c r="E124" s="245">
        <f t="shared" si="21"/>
        <v>0</v>
      </c>
      <c r="F124" s="68">
        <f t="shared" si="36"/>
        <v>0</v>
      </c>
      <c r="G124" s="245">
        <f t="shared" si="22"/>
        <v>271946.07414162339</v>
      </c>
      <c r="H124" s="245">
        <f t="shared" si="23"/>
        <v>438192.3534282007</v>
      </c>
      <c r="I124" s="68">
        <f t="shared" si="30"/>
        <v>710138.42756982404</v>
      </c>
      <c r="J124" s="245">
        <f t="shared" si="24"/>
        <v>65677.54243420338</v>
      </c>
      <c r="K124" s="245">
        <f t="shared" si="25"/>
        <v>147774.47047695759</v>
      </c>
      <c r="L124" s="68">
        <f t="shared" si="37"/>
        <v>213452.01291116097</v>
      </c>
      <c r="M124" s="68">
        <f t="shared" si="38"/>
        <v>923590.44048098498</v>
      </c>
      <c r="N124" s="245">
        <f t="shared" si="26"/>
        <v>13932.970352931392</v>
      </c>
      <c r="O124" s="245">
        <f t="shared" si="27"/>
        <v>22450.48430453473</v>
      </c>
      <c r="P124" s="68">
        <f t="shared" si="39"/>
        <v>36383.454657466122</v>
      </c>
      <c r="Q124" s="245">
        <f t="shared" si="28"/>
        <v>3364.9437833494676</v>
      </c>
      <c r="R124" s="245">
        <f t="shared" si="29"/>
        <v>7571.1235125363028</v>
      </c>
      <c r="S124" s="68">
        <f t="shared" si="40"/>
        <v>10936.06729588577</v>
      </c>
      <c r="T124" s="68">
        <f t="shared" si="41"/>
        <v>47319.52195335189</v>
      </c>
      <c r="U124" s="68">
        <f t="shared" si="42"/>
        <v>970909.96243433689</v>
      </c>
      <c r="V124" s="286">
        <f t="shared" si="43"/>
        <v>75</v>
      </c>
      <c r="W124" s="245">
        <f t="shared" si="44"/>
        <v>12945.466165791158</v>
      </c>
      <c r="X124" s="237"/>
      <c r="Y124" s="245">
        <f t="shared" si="45"/>
        <v>576666.66666666674</v>
      </c>
      <c r="Z124" s="245">
        <f t="shared" si="31"/>
        <v>173333.33333333331</v>
      </c>
      <c r="AA124" s="245">
        <f t="shared" si="46"/>
        <v>750000</v>
      </c>
      <c r="AB124" s="245">
        <f>VLOOKUP(A124,'Funding Detail - Rebase'!$A$4:$AK$23,32,FALSE)</f>
        <v>1514063.2689757275</v>
      </c>
      <c r="AC124" s="245">
        <f t="shared" si="47"/>
        <v>764063.26897572749</v>
      </c>
      <c r="AD124" s="245">
        <f t="shared" si="32"/>
        <v>224974.18475396419</v>
      </c>
      <c r="AE124" s="245">
        <f t="shared" si="33"/>
        <v>362505.5731695951</v>
      </c>
      <c r="AF124" s="245">
        <f t="shared" si="48"/>
        <v>587479.75792355929</v>
      </c>
      <c r="AG124" s="245">
        <f t="shared" si="34"/>
        <v>54333.388016051729</v>
      </c>
      <c r="AH124" s="245">
        <f t="shared" si="35"/>
        <v>122250.12303611639</v>
      </c>
      <c r="AI124" s="245">
        <f t="shared" si="49"/>
        <v>176583.51105216812</v>
      </c>
      <c r="AJ124" s="245">
        <f t="shared" si="50"/>
        <v>764063.26897572738</v>
      </c>
      <c r="AK124" s="287"/>
      <c r="AL124" s="1029">
        <f t="shared" si="51"/>
        <v>1514063.2689757275</v>
      </c>
      <c r="AM124" s="247" t="s">
        <v>207</v>
      </c>
      <c r="AN124" s="298" t="s">
        <v>207</v>
      </c>
      <c r="AO124" s="247"/>
      <c r="AP124" s="235">
        <v>10855.270293410516</v>
      </c>
      <c r="AQ124" s="235">
        <f t="shared" si="52"/>
        <v>2090.195872380642</v>
      </c>
    </row>
    <row r="125" spans="1:43" ht="13" x14ac:dyDescent="0.3">
      <c r="A125" s="244">
        <v>9257021</v>
      </c>
      <c r="B125" s="237" t="s">
        <v>216</v>
      </c>
      <c r="C125" s="271">
        <v>5</v>
      </c>
      <c r="D125" s="245">
        <f t="shared" si="20"/>
        <v>0</v>
      </c>
      <c r="E125" s="245">
        <f t="shared" si="21"/>
        <v>0</v>
      </c>
      <c r="F125" s="68">
        <f t="shared" si="36"/>
        <v>0</v>
      </c>
      <c r="G125" s="245">
        <f t="shared" si="22"/>
        <v>480251.68099481857</v>
      </c>
      <c r="H125" s="245">
        <f t="shared" si="23"/>
        <v>676718.2777654262</v>
      </c>
      <c r="I125" s="68">
        <f t="shared" si="30"/>
        <v>1156969.9587602448</v>
      </c>
      <c r="J125" s="245">
        <f t="shared" si="24"/>
        <v>0</v>
      </c>
      <c r="K125" s="245">
        <f t="shared" si="25"/>
        <v>9979.2557089832408</v>
      </c>
      <c r="L125" s="68">
        <f t="shared" si="37"/>
        <v>9979.2557089832408</v>
      </c>
      <c r="M125" s="68">
        <f t="shared" si="38"/>
        <v>1166949.2144692279</v>
      </c>
      <c r="N125" s="245">
        <f t="shared" si="26"/>
        <v>23814.399937307815</v>
      </c>
      <c r="O125" s="245">
        <f t="shared" si="27"/>
        <v>33556.654457115561</v>
      </c>
      <c r="P125" s="68">
        <f t="shared" si="39"/>
        <v>57371.05439442338</v>
      </c>
      <c r="Q125" s="245">
        <f t="shared" si="28"/>
        <v>0</v>
      </c>
      <c r="R125" s="245">
        <f t="shared" si="29"/>
        <v>494.8446740219805</v>
      </c>
      <c r="S125" s="68">
        <f t="shared" si="40"/>
        <v>494.8446740219805</v>
      </c>
      <c r="T125" s="68">
        <f t="shared" si="41"/>
        <v>57865.89906844536</v>
      </c>
      <c r="U125" s="68">
        <f t="shared" si="42"/>
        <v>1224815.1135376734</v>
      </c>
      <c r="V125" s="286">
        <f t="shared" si="43"/>
        <v>155.91666666666669</v>
      </c>
      <c r="W125" s="245">
        <f t="shared" si="44"/>
        <v>7855.5752872539169</v>
      </c>
      <c r="X125" s="237"/>
      <c r="Y125" s="245">
        <f t="shared" si="45"/>
        <v>1545833.3333333335</v>
      </c>
      <c r="Z125" s="245">
        <f t="shared" si="31"/>
        <v>13333.333333333332</v>
      </c>
      <c r="AA125" s="245">
        <f t="shared" si="46"/>
        <v>1559166.6666666667</v>
      </c>
      <c r="AB125" s="245">
        <f>VLOOKUP(A125,'Funding Detail - Rebase'!$A$4:$AK$23,32,FALSE)</f>
        <v>1791389.8549343217</v>
      </c>
      <c r="AC125" s="245">
        <f t="shared" si="47"/>
        <v>232223.18826765497</v>
      </c>
      <c r="AD125" s="245">
        <f t="shared" si="32"/>
        <v>95570.205754192561</v>
      </c>
      <c r="AE125" s="245">
        <f t="shared" si="33"/>
        <v>134667.10810818043</v>
      </c>
      <c r="AF125" s="245">
        <f t="shared" si="48"/>
        <v>230237.313862373</v>
      </c>
      <c r="AG125" s="245">
        <f t="shared" si="34"/>
        <v>0</v>
      </c>
      <c r="AH125" s="245">
        <f t="shared" si="35"/>
        <v>1985.8744052819236</v>
      </c>
      <c r="AI125" s="245">
        <f t="shared" si="49"/>
        <v>1985.8744052819236</v>
      </c>
      <c r="AJ125" s="245">
        <f t="shared" si="50"/>
        <v>232223.18826765491</v>
      </c>
      <c r="AK125" s="287"/>
      <c r="AL125" s="1029">
        <f t="shared" si="51"/>
        <v>1791389.8549343215</v>
      </c>
      <c r="AM125" s="247" t="s">
        <v>207</v>
      </c>
      <c r="AN125" s="298" t="s">
        <v>207</v>
      </c>
      <c r="AO125" s="247"/>
      <c r="AP125" s="235">
        <v>7721.5167598965245</v>
      </c>
      <c r="AQ125" s="235">
        <f t="shared" si="52"/>
        <v>134.05852735739245</v>
      </c>
    </row>
    <row r="126" spans="1:43" ht="13" x14ac:dyDescent="0.3">
      <c r="A126" s="244">
        <v>9257015</v>
      </c>
      <c r="B126" s="237" t="s">
        <v>217</v>
      </c>
      <c r="C126" s="267">
        <v>6</v>
      </c>
      <c r="D126" s="245">
        <f t="shared" si="20"/>
        <v>0</v>
      </c>
      <c r="E126" s="245">
        <f t="shared" si="21"/>
        <v>0</v>
      </c>
      <c r="F126" s="68">
        <f t="shared" si="36"/>
        <v>0</v>
      </c>
      <c r="G126" s="245">
        <f t="shared" si="22"/>
        <v>806896.63120506029</v>
      </c>
      <c r="H126" s="245">
        <f t="shared" si="23"/>
        <v>1000797.2665364664</v>
      </c>
      <c r="I126" s="68">
        <f t="shared" si="30"/>
        <v>1807693.8977415268</v>
      </c>
      <c r="J126" s="245">
        <f t="shared" si="24"/>
        <v>46634.330016414126</v>
      </c>
      <c r="K126" s="245">
        <f t="shared" si="25"/>
        <v>137448.55162732583</v>
      </c>
      <c r="L126" s="68">
        <f t="shared" si="37"/>
        <v>184082.88164373994</v>
      </c>
      <c r="M126" s="68">
        <f t="shared" si="38"/>
        <v>1991776.7793852668</v>
      </c>
      <c r="N126" s="245">
        <f t="shared" si="26"/>
        <v>18629.505237928312</v>
      </c>
      <c r="O126" s="245">
        <f t="shared" si="27"/>
        <v>23106.253264685231</v>
      </c>
      <c r="P126" s="68">
        <f t="shared" si="39"/>
        <v>41735.758502613542</v>
      </c>
      <c r="Q126" s="245">
        <f t="shared" si="28"/>
        <v>1076.6862342833092</v>
      </c>
      <c r="R126" s="245">
        <f t="shared" si="29"/>
        <v>3173.391006308701</v>
      </c>
      <c r="S126" s="68">
        <f t="shared" si="40"/>
        <v>4250.0772405920106</v>
      </c>
      <c r="T126" s="68">
        <f t="shared" si="41"/>
        <v>45985.835743205549</v>
      </c>
      <c r="U126" s="68">
        <f t="shared" si="42"/>
        <v>2037762.6151284724</v>
      </c>
      <c r="V126" s="286">
        <f t="shared" si="43"/>
        <v>270.50000000000006</v>
      </c>
      <c r="W126" s="245">
        <f t="shared" si="44"/>
        <v>7533.3183553732788</v>
      </c>
      <c r="X126" s="237"/>
      <c r="Y126" s="245">
        <f t="shared" si="45"/>
        <v>2455000</v>
      </c>
      <c r="Z126" s="245">
        <f t="shared" si="31"/>
        <v>250000</v>
      </c>
      <c r="AA126" s="245">
        <f t="shared" si="46"/>
        <v>2705000</v>
      </c>
      <c r="AB126" s="245">
        <f>VLOOKUP(A126,'Funding Detail - Rebase'!$A$4:$AK$23,32,FALSE)</f>
        <v>2705000.0000000005</v>
      </c>
      <c r="AC126" s="245">
        <f t="shared" si="47"/>
        <v>0</v>
      </c>
      <c r="AD126" s="245">
        <f t="shared" si="32"/>
        <v>0</v>
      </c>
      <c r="AE126" s="245">
        <f t="shared" si="33"/>
        <v>0</v>
      </c>
      <c r="AF126" s="245">
        <f t="shared" si="48"/>
        <v>0</v>
      </c>
      <c r="AG126" s="245">
        <f t="shared" si="34"/>
        <v>0</v>
      </c>
      <c r="AH126" s="245">
        <f t="shared" si="35"/>
        <v>0</v>
      </c>
      <c r="AI126" s="245">
        <f t="shared" si="49"/>
        <v>0</v>
      </c>
      <c r="AJ126" s="245">
        <f t="shared" si="50"/>
        <v>0</v>
      </c>
      <c r="AK126" s="287"/>
      <c r="AL126" s="1029">
        <f t="shared" si="51"/>
        <v>2705000</v>
      </c>
      <c r="AM126" s="247" t="s">
        <v>207</v>
      </c>
      <c r="AN126" s="298" t="s">
        <v>207</v>
      </c>
      <c r="AO126" s="247"/>
      <c r="AP126" s="235">
        <v>7340.1394392567681</v>
      </c>
      <c r="AQ126" s="235">
        <f t="shared" si="52"/>
        <v>193.17891611651066</v>
      </c>
    </row>
    <row r="127" spans="1:43" ht="13" x14ac:dyDescent="0.3">
      <c r="A127" s="244">
        <v>9257016</v>
      </c>
      <c r="B127" s="237" t="s">
        <v>219</v>
      </c>
      <c r="C127" s="267">
        <v>6</v>
      </c>
      <c r="D127" s="245">
        <f t="shared" si="20"/>
        <v>0</v>
      </c>
      <c r="E127" s="245">
        <f t="shared" si="21"/>
        <v>0</v>
      </c>
      <c r="F127" s="68">
        <f t="shared" si="36"/>
        <v>0</v>
      </c>
      <c r="G127" s="245">
        <f t="shared" si="22"/>
        <v>517147.33432853973</v>
      </c>
      <c r="H127" s="245">
        <f t="shared" si="23"/>
        <v>664294.41090037173</v>
      </c>
      <c r="I127" s="68">
        <f t="shared" si="30"/>
        <v>1181441.7452289115</v>
      </c>
      <c r="J127" s="245">
        <f t="shared" si="24"/>
        <v>230317.16332982387</v>
      </c>
      <c r="K127" s="245">
        <f t="shared" si="25"/>
        <v>486225.12258518377</v>
      </c>
      <c r="L127" s="68">
        <f t="shared" si="37"/>
        <v>716542.28591500758</v>
      </c>
      <c r="M127" s="68">
        <f>I127+L127</f>
        <v>1897984.0311439191</v>
      </c>
      <c r="N127" s="245">
        <f t="shared" si="26"/>
        <v>0</v>
      </c>
      <c r="O127" s="245">
        <f t="shared" si="27"/>
        <v>0</v>
      </c>
      <c r="P127" s="68">
        <f t="shared" si="39"/>
        <v>0</v>
      </c>
      <c r="Q127" s="245">
        <f t="shared" si="28"/>
        <v>0</v>
      </c>
      <c r="R127" s="245">
        <f t="shared" si="29"/>
        <v>0</v>
      </c>
      <c r="S127" s="68">
        <f t="shared" si="40"/>
        <v>0</v>
      </c>
      <c r="T127" s="68">
        <f t="shared" si="41"/>
        <v>0</v>
      </c>
      <c r="U127" s="68">
        <f t="shared" si="42"/>
        <v>1897984.0311439191</v>
      </c>
      <c r="V127" s="286">
        <f t="shared" si="43"/>
        <v>148.33333333333334</v>
      </c>
      <c r="W127" s="245">
        <f t="shared" si="44"/>
        <v>12795.397962767993</v>
      </c>
      <c r="X127" s="237"/>
      <c r="Y127" s="245">
        <f t="shared" si="45"/>
        <v>923333.33333333337</v>
      </c>
      <c r="Z127" s="245">
        <f t="shared" si="31"/>
        <v>560000</v>
      </c>
      <c r="AA127" s="245">
        <f t="shared" si="46"/>
        <v>1483333.3333333335</v>
      </c>
      <c r="AB127" s="245">
        <f>VLOOKUP(A127,'Funding Detail - Rebase'!$A$4:$AK$23,32,FALSE)</f>
        <v>2537246.4388952428</v>
      </c>
      <c r="AC127" s="245">
        <f t="shared" si="47"/>
        <v>1053913.1055619093</v>
      </c>
      <c r="AD127" s="245">
        <f t="shared" si="32"/>
        <v>287161.71696490218</v>
      </c>
      <c r="AE127" s="245">
        <f t="shared" si="33"/>
        <v>368869.58694666822</v>
      </c>
      <c r="AF127" s="245">
        <f t="shared" si="48"/>
        <v>656031.30391157046</v>
      </c>
      <c r="AG127" s="245">
        <f t="shared" si="34"/>
        <v>127890.5791018946</v>
      </c>
      <c r="AH127" s="245">
        <f t="shared" si="35"/>
        <v>269991.22254844417</v>
      </c>
      <c r="AI127" s="245">
        <f t="shared" si="49"/>
        <v>397881.80165033881</v>
      </c>
      <c r="AJ127" s="245">
        <f t="shared" si="50"/>
        <v>1053913.1055619093</v>
      </c>
      <c r="AK127" s="287"/>
      <c r="AL127" s="1029">
        <f t="shared" si="51"/>
        <v>2537246.4388952428</v>
      </c>
      <c r="AM127" s="247" t="s">
        <v>207</v>
      </c>
      <c r="AN127" s="298" t="s">
        <v>207</v>
      </c>
      <c r="AO127" s="247"/>
      <c r="AP127" s="235">
        <v>10118.068418370316</v>
      </c>
      <c r="AQ127" s="235">
        <f t="shared" si="52"/>
        <v>2677.3295443976767</v>
      </c>
    </row>
    <row r="128" spans="1:43" x14ac:dyDescent="0.25">
      <c r="A128" s="36"/>
      <c r="B128" s="36"/>
      <c r="C128" s="36"/>
      <c r="D128" s="36"/>
      <c r="E128" s="36"/>
      <c r="F128" s="36"/>
      <c r="G128" s="36"/>
      <c r="H128" s="36"/>
      <c r="I128" s="234"/>
      <c r="J128" s="234"/>
      <c r="K128" s="36"/>
      <c r="L128" s="36"/>
      <c r="M128" s="36"/>
      <c r="N128" s="36"/>
      <c r="O128" s="36"/>
      <c r="P128" s="36"/>
      <c r="Q128" s="36"/>
      <c r="R128" s="36"/>
      <c r="S128" s="36"/>
      <c r="T128" s="36"/>
      <c r="U128" s="36"/>
      <c r="V128" s="288"/>
      <c r="W128" s="36"/>
      <c r="X128" s="36"/>
      <c r="Y128" s="36"/>
      <c r="Z128" s="36"/>
      <c r="AA128" s="36"/>
      <c r="AB128" s="36"/>
      <c r="AC128" s="36"/>
      <c r="AD128" s="36"/>
      <c r="AE128" s="36"/>
      <c r="AF128" s="36"/>
      <c r="AG128" s="36"/>
      <c r="AH128" s="36"/>
      <c r="AI128" s="36"/>
      <c r="AJ128" s="36"/>
      <c r="AK128" s="36"/>
      <c r="AL128" s="36"/>
      <c r="AM128" s="36"/>
      <c r="AN128" s="36"/>
      <c r="AO128" s="36"/>
      <c r="AP128" s="36"/>
      <c r="AQ128" s="36"/>
    </row>
    <row r="129" spans="4:38" ht="13" thickBot="1" x14ac:dyDescent="0.3">
      <c r="D129" s="250">
        <f>SUM(D110:D127)</f>
        <v>0</v>
      </c>
      <c r="E129" s="250">
        <f t="shared" ref="E129:S129" si="53">SUM(E110:E127)</f>
        <v>0</v>
      </c>
      <c r="F129" s="250">
        <f t="shared" si="53"/>
        <v>0</v>
      </c>
      <c r="G129" s="250">
        <f t="shared" si="53"/>
        <v>5830610.5456856797</v>
      </c>
      <c r="H129" s="250">
        <f t="shared" si="53"/>
        <v>8348577.9792145481</v>
      </c>
      <c r="I129" s="250">
        <f t="shared" si="53"/>
        <v>14179188.524900228</v>
      </c>
      <c r="J129" s="250">
        <f t="shared" si="53"/>
        <v>671926.58694443735</v>
      </c>
      <c r="K129" s="250">
        <f t="shared" si="53"/>
        <v>1513272.2995472546</v>
      </c>
      <c r="L129" s="250">
        <f t="shared" si="53"/>
        <v>2185198.8864916917</v>
      </c>
      <c r="M129" s="250">
        <f>SUM(M110:M127)</f>
        <v>16364387.411391921</v>
      </c>
      <c r="N129" s="250">
        <f t="shared" si="53"/>
        <v>452955.54214894661</v>
      </c>
      <c r="O129" s="250">
        <f t="shared" si="53"/>
        <v>658735.37052841939</v>
      </c>
      <c r="P129" s="250">
        <f t="shared" si="53"/>
        <v>1111690.9126773661</v>
      </c>
      <c r="Q129" s="250">
        <f t="shared" si="53"/>
        <v>19253.253359859609</v>
      </c>
      <c r="R129" s="250">
        <f t="shared" si="53"/>
        <v>45568.907694155903</v>
      </c>
      <c r="S129" s="250">
        <f t="shared" si="53"/>
        <v>64822.161054015509</v>
      </c>
      <c r="T129" s="250">
        <f>SUM(T110:T127)</f>
        <v>1176513.0737313814</v>
      </c>
      <c r="U129" s="250">
        <f>SUM(U110:U127)</f>
        <v>17540900.485123299</v>
      </c>
      <c r="V129" s="251">
        <f>SUM(V110:V127)</f>
        <v>1741.9166666666667</v>
      </c>
      <c r="W129" s="250">
        <f>AVERAGE(W110:W127)</f>
        <v>10935.114288969518</v>
      </c>
      <c r="X129" s="36"/>
      <c r="Y129" s="1032">
        <f>SUM(Y110:Y127)</f>
        <v>15349166.666666668</v>
      </c>
      <c r="Z129" s="1032">
        <f t="shared" ref="Z129:AL129" si="54">SUM(Z110:Z127)</f>
        <v>2069999.9999999998</v>
      </c>
      <c r="AA129" s="1033">
        <f t="shared" si="54"/>
        <v>17419166.666666664</v>
      </c>
      <c r="AB129" s="1033">
        <f t="shared" si="54"/>
        <v>26519588.730793703</v>
      </c>
      <c r="AC129" s="1033">
        <f t="shared" si="54"/>
        <v>9100422.0641270354</v>
      </c>
      <c r="AD129" s="1033">
        <f t="shared" si="54"/>
        <v>3156148.874205654</v>
      </c>
      <c r="AE129" s="1033">
        <f t="shared" si="54"/>
        <v>4617962.4070101054</v>
      </c>
      <c r="AF129" s="1033">
        <f t="shared" si="54"/>
        <v>7774111.2812157599</v>
      </c>
      <c r="AG129" s="1033">
        <f t="shared" si="54"/>
        <v>411710.16363792156</v>
      </c>
      <c r="AH129" s="1033">
        <f t="shared" si="54"/>
        <v>914600.6192733522</v>
      </c>
      <c r="AI129" s="1033">
        <f t="shared" si="54"/>
        <v>1326310.7829112737</v>
      </c>
      <c r="AJ129" s="1033">
        <f t="shared" si="54"/>
        <v>9100422.0641270336</v>
      </c>
      <c r="AK129" s="1034"/>
      <c r="AL129" s="1033">
        <f t="shared" si="54"/>
        <v>26519588.7307937</v>
      </c>
    </row>
    <row r="131" spans="4:38" x14ac:dyDescent="0.25">
      <c r="D131" s="298" t="s">
        <v>207</v>
      </c>
      <c r="E131" s="298" t="s">
        <v>207</v>
      </c>
      <c r="F131" s="298" t="s">
        <v>207</v>
      </c>
      <c r="G131" s="298" t="s">
        <v>207</v>
      </c>
      <c r="H131" s="298" t="s">
        <v>207</v>
      </c>
      <c r="I131" s="298" t="s">
        <v>207</v>
      </c>
      <c r="J131" s="298" t="s">
        <v>207</v>
      </c>
      <c r="K131" s="298" t="s">
        <v>207</v>
      </c>
      <c r="L131" s="298" t="s">
        <v>207</v>
      </c>
      <c r="M131" s="298" t="s">
        <v>207</v>
      </c>
      <c r="N131" s="298" t="s">
        <v>207</v>
      </c>
      <c r="O131" s="298" t="s">
        <v>207</v>
      </c>
      <c r="P131" s="298" t="s">
        <v>207</v>
      </c>
      <c r="Q131" s="298" t="s">
        <v>207</v>
      </c>
      <c r="R131" s="298" t="s">
        <v>207</v>
      </c>
      <c r="S131" s="298" t="s">
        <v>207</v>
      </c>
      <c r="T131" s="298" t="s">
        <v>207</v>
      </c>
      <c r="U131" s="298" t="s">
        <v>207</v>
      </c>
      <c r="V131" s="298" t="s">
        <v>207</v>
      </c>
      <c r="W131" s="298" t="s">
        <v>207</v>
      </c>
      <c r="X131" s="36"/>
      <c r="Y131" s="298" t="s">
        <v>207</v>
      </c>
      <c r="Z131" s="298" t="s">
        <v>207</v>
      </c>
      <c r="AA131" s="298" t="s">
        <v>207</v>
      </c>
      <c r="AB131" s="298" t="s">
        <v>207</v>
      </c>
      <c r="AC131" s="298" t="s">
        <v>207</v>
      </c>
      <c r="AD131" s="298" t="s">
        <v>207</v>
      </c>
      <c r="AE131" s="298" t="s">
        <v>207</v>
      </c>
      <c r="AF131" s="298" t="s">
        <v>207</v>
      </c>
      <c r="AG131" s="298" t="s">
        <v>207</v>
      </c>
      <c r="AH131" s="298" t="s">
        <v>207</v>
      </c>
      <c r="AI131" s="298" t="s">
        <v>207</v>
      </c>
      <c r="AJ131" s="298" t="s">
        <v>207</v>
      </c>
      <c r="AK131" s="298"/>
      <c r="AL131" s="298" t="s">
        <v>207</v>
      </c>
    </row>
  </sheetData>
  <mergeCells count="19">
    <mergeCell ref="P4:Q4"/>
    <mergeCell ref="U4:W4"/>
    <mergeCell ref="D108:F108"/>
    <mergeCell ref="G108:I108"/>
    <mergeCell ref="J108:L108"/>
    <mergeCell ref="N108:P108"/>
    <mergeCell ref="Q108:S108"/>
    <mergeCell ref="V8:AB10"/>
    <mergeCell ref="V11:AB16"/>
    <mergeCell ref="M26:N26"/>
    <mergeCell ref="P48:Q48"/>
    <mergeCell ref="M70:N70"/>
    <mergeCell ref="AP108:AP109"/>
    <mergeCell ref="AP107:AQ107"/>
    <mergeCell ref="S1:S4"/>
    <mergeCell ref="U1:W1"/>
    <mergeCell ref="U2:W2"/>
    <mergeCell ref="U3:W3"/>
    <mergeCell ref="AL108:AL109"/>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W134"/>
  <sheetViews>
    <sheetView topLeftCell="A91" workbookViewId="0">
      <selection activeCell="Q125" sqref="Q125"/>
    </sheetView>
  </sheetViews>
  <sheetFormatPr defaultColWidth="9.1796875" defaultRowHeight="12.5" x14ac:dyDescent="0.25"/>
  <cols>
    <col min="1" max="1" width="9.1796875" style="6"/>
    <col min="2" max="2" width="33.81640625" style="6" customWidth="1"/>
    <col min="3" max="3" width="9.1796875" style="6" customWidth="1"/>
    <col min="4" max="4" width="9.1796875" style="6"/>
    <col min="5" max="5" width="9.1796875" style="34"/>
    <col min="6" max="11" width="9.54296875" style="34" bestFit="1" customWidth="1"/>
    <col min="12" max="15" width="9.1796875" style="34"/>
    <col min="16" max="18" width="9.1796875" style="6"/>
    <col min="19" max="19" width="10" style="6" customWidth="1"/>
    <col min="20" max="22" width="9.1796875" style="6"/>
    <col min="23" max="23" width="10.453125" style="6" customWidth="1"/>
    <col min="24" max="16384" width="9.1796875" style="6"/>
  </cols>
  <sheetData>
    <row r="2" spans="2:17" x14ac:dyDescent="0.25">
      <c r="B2" s="1" t="s">
        <v>507</v>
      </c>
      <c r="C2" s="289"/>
      <c r="D2" s="289"/>
      <c r="E2" s="316"/>
      <c r="F2" s="316"/>
      <c r="G2" s="316"/>
      <c r="H2" s="316"/>
      <c r="I2" s="316"/>
      <c r="J2" s="316"/>
      <c r="K2" s="316"/>
      <c r="L2" s="316"/>
      <c r="M2" s="316"/>
      <c r="N2" s="316"/>
      <c r="O2" s="316"/>
      <c r="P2" s="289"/>
      <c r="Q2" s="289"/>
    </row>
    <row r="4" spans="2:17" ht="39" x14ac:dyDescent="0.25">
      <c r="B4" s="47" t="s">
        <v>183</v>
      </c>
      <c r="C4" s="47" t="s">
        <v>508</v>
      </c>
      <c r="D4" s="48" t="s">
        <v>184</v>
      </c>
      <c r="E4" s="49" t="s">
        <v>509</v>
      </c>
      <c r="F4" s="50" t="s">
        <v>510</v>
      </c>
      <c r="G4" s="51" t="s">
        <v>511</v>
      </c>
      <c r="H4" s="50" t="s">
        <v>512</v>
      </c>
      <c r="I4" s="51" t="s">
        <v>513</v>
      </c>
      <c r="J4" s="50" t="s">
        <v>514</v>
      </c>
      <c r="K4" s="51" t="s">
        <v>515</v>
      </c>
      <c r="L4" s="50" t="s">
        <v>516</v>
      </c>
      <c r="M4" s="51" t="s">
        <v>517</v>
      </c>
      <c r="N4" s="52" t="s">
        <v>518</v>
      </c>
      <c r="O4" s="53" t="s">
        <v>519</v>
      </c>
      <c r="P4" s="289"/>
      <c r="Q4" s="822" t="s">
        <v>294</v>
      </c>
    </row>
    <row r="5" spans="2:17" ht="12.75" customHeight="1" x14ac:dyDescent="0.25">
      <c r="B5" s="375" t="s">
        <v>205</v>
      </c>
      <c r="C5" s="1221" t="s">
        <v>520</v>
      </c>
      <c r="D5" s="1222">
        <v>3</v>
      </c>
      <c r="E5" s="1223">
        <f t="shared" ref="E5:E23" si="0">F5+H5+J5+L5+N5</f>
        <v>42</v>
      </c>
      <c r="F5" s="1224">
        <v>13</v>
      </c>
      <c r="G5" s="1225">
        <f>F5/E5</f>
        <v>0.30952380952380953</v>
      </c>
      <c r="H5" s="1226">
        <v>21</v>
      </c>
      <c r="I5" s="1225">
        <f t="shared" ref="I5:I23" si="1">H5/E5</f>
        <v>0.5</v>
      </c>
      <c r="J5" s="1226">
        <v>0</v>
      </c>
      <c r="K5" s="1225">
        <f t="shared" ref="K5:K23" si="2">J5/E5</f>
        <v>0</v>
      </c>
      <c r="L5" s="1226">
        <v>2</v>
      </c>
      <c r="M5" s="1225">
        <f t="shared" ref="M5:M23" si="3">L5/E5</f>
        <v>4.7619047619047616E-2</v>
      </c>
      <c r="N5" s="54">
        <v>6</v>
      </c>
      <c r="O5" s="55">
        <f t="shared" ref="O5:O23" si="4">N5/E5</f>
        <v>0.14285714285714285</v>
      </c>
      <c r="P5" s="289"/>
      <c r="Q5" s="315">
        <f t="shared" ref="Q5:Q23" si="5">(G5*$F$54)+(I5*$H$54)+(K5*$J$54)+(M5*$L$54)+(O5*$P$54)+(O5*$P$56)</f>
        <v>9897.5167052398338</v>
      </c>
    </row>
    <row r="6" spans="2:17" ht="12.75" customHeight="1" x14ac:dyDescent="0.25">
      <c r="B6" s="375" t="s">
        <v>208</v>
      </c>
      <c r="C6" s="1221" t="s">
        <v>521</v>
      </c>
      <c r="D6" s="1222">
        <v>3</v>
      </c>
      <c r="E6" s="1223">
        <f t="shared" si="0"/>
        <v>58</v>
      </c>
      <c r="F6" s="1224">
        <v>7</v>
      </c>
      <c r="G6" s="1225">
        <f t="shared" ref="G6:G23" si="6">F6/E6</f>
        <v>0.1206896551724138</v>
      </c>
      <c r="H6" s="1226">
        <v>23</v>
      </c>
      <c r="I6" s="1225">
        <f t="shared" si="1"/>
        <v>0.39655172413793105</v>
      </c>
      <c r="J6" s="1226">
        <v>16</v>
      </c>
      <c r="K6" s="1225">
        <f t="shared" si="2"/>
        <v>0.27586206896551724</v>
      </c>
      <c r="L6" s="1226">
        <v>5</v>
      </c>
      <c r="M6" s="1225">
        <f t="shared" si="3"/>
        <v>8.6206896551724144E-2</v>
      </c>
      <c r="N6" s="54">
        <v>7</v>
      </c>
      <c r="O6" s="55">
        <f t="shared" si="4"/>
        <v>0.1206896551724138</v>
      </c>
      <c r="P6" s="289"/>
      <c r="Q6" s="315">
        <f t="shared" si="5"/>
        <v>8785.2859312602777</v>
      </c>
    </row>
    <row r="7" spans="2:17" ht="12.75" customHeight="1" x14ac:dyDescent="0.25">
      <c r="B7" s="375" t="s">
        <v>209</v>
      </c>
      <c r="C7" s="1221" t="s">
        <v>522</v>
      </c>
      <c r="D7" s="1222">
        <v>3</v>
      </c>
      <c r="E7" s="1223">
        <f t="shared" si="0"/>
        <v>46</v>
      </c>
      <c r="F7" s="1224">
        <v>15</v>
      </c>
      <c r="G7" s="1225">
        <f t="shared" si="6"/>
        <v>0.32608695652173914</v>
      </c>
      <c r="H7" s="1226">
        <v>16</v>
      </c>
      <c r="I7" s="1225">
        <f t="shared" si="1"/>
        <v>0.34782608695652173</v>
      </c>
      <c r="J7" s="1226">
        <v>0</v>
      </c>
      <c r="K7" s="1225">
        <f t="shared" si="2"/>
        <v>0</v>
      </c>
      <c r="L7" s="1226">
        <v>2</v>
      </c>
      <c r="M7" s="1225">
        <f t="shared" si="3"/>
        <v>4.3478260869565216E-2</v>
      </c>
      <c r="N7" s="54">
        <v>13</v>
      </c>
      <c r="O7" s="55">
        <f t="shared" si="4"/>
        <v>0.28260869565217389</v>
      </c>
      <c r="P7" s="289"/>
      <c r="Q7" s="315">
        <f t="shared" si="5"/>
        <v>10926.489409838705</v>
      </c>
    </row>
    <row r="8" spans="2:17" ht="12.75" customHeight="1" x14ac:dyDescent="0.25">
      <c r="B8" s="375" t="s">
        <v>210</v>
      </c>
      <c r="C8" s="1221" t="s">
        <v>520</v>
      </c>
      <c r="D8" s="1222">
        <v>3</v>
      </c>
      <c r="E8" s="1223">
        <f t="shared" si="0"/>
        <v>40</v>
      </c>
      <c r="F8" s="1224">
        <v>14</v>
      </c>
      <c r="G8" s="1225">
        <f t="shared" si="6"/>
        <v>0.35</v>
      </c>
      <c r="H8" s="1226">
        <v>15</v>
      </c>
      <c r="I8" s="1225">
        <f t="shared" si="1"/>
        <v>0.375</v>
      </c>
      <c r="J8" s="1226">
        <v>1</v>
      </c>
      <c r="K8" s="1225">
        <f t="shared" si="2"/>
        <v>2.5000000000000001E-2</v>
      </c>
      <c r="L8" s="1226">
        <v>1</v>
      </c>
      <c r="M8" s="1225">
        <f t="shared" si="3"/>
        <v>2.5000000000000001E-2</v>
      </c>
      <c r="N8" s="54">
        <v>9</v>
      </c>
      <c r="O8" s="55">
        <f t="shared" si="4"/>
        <v>0.22500000000000001</v>
      </c>
      <c r="P8" s="289"/>
      <c r="Q8" s="315">
        <f t="shared" si="5"/>
        <v>10520.494500332868</v>
      </c>
    </row>
    <row r="9" spans="2:17" ht="12.75" customHeight="1" x14ac:dyDescent="0.25">
      <c r="B9" s="375" t="s">
        <v>211</v>
      </c>
      <c r="C9" s="1221" t="s">
        <v>522</v>
      </c>
      <c r="D9" s="1222">
        <v>3</v>
      </c>
      <c r="E9" s="1223">
        <f t="shared" si="0"/>
        <v>46</v>
      </c>
      <c r="F9" s="1226">
        <v>7</v>
      </c>
      <c r="G9" s="1225">
        <f t="shared" si="6"/>
        <v>0.15217391304347827</v>
      </c>
      <c r="H9" s="1226">
        <v>30</v>
      </c>
      <c r="I9" s="1225">
        <f t="shared" si="1"/>
        <v>0.65217391304347827</v>
      </c>
      <c r="J9" s="1226">
        <v>1</v>
      </c>
      <c r="K9" s="1225">
        <f t="shared" si="2"/>
        <v>2.1739130434782608E-2</v>
      </c>
      <c r="L9" s="1226">
        <v>7</v>
      </c>
      <c r="M9" s="1225">
        <f t="shared" si="3"/>
        <v>0.15217391304347827</v>
      </c>
      <c r="N9" s="54">
        <v>1</v>
      </c>
      <c r="O9" s="55">
        <f t="shared" si="4"/>
        <v>2.1739130434782608E-2</v>
      </c>
      <c r="P9" s="289"/>
      <c r="Q9" s="315">
        <f t="shared" si="5"/>
        <v>8799.2030513196951</v>
      </c>
    </row>
    <row r="10" spans="2:17" ht="12.75" customHeight="1" x14ac:dyDescent="0.25">
      <c r="B10" s="375" t="s">
        <v>257</v>
      </c>
      <c r="C10" s="1221" t="s">
        <v>523</v>
      </c>
      <c r="D10" s="1222">
        <v>3</v>
      </c>
      <c r="E10" s="1223">
        <f t="shared" si="0"/>
        <v>53</v>
      </c>
      <c r="F10" s="1226">
        <v>0</v>
      </c>
      <c r="G10" s="1225">
        <f t="shared" si="6"/>
        <v>0</v>
      </c>
      <c r="H10" s="1226">
        <v>0</v>
      </c>
      <c r="I10" s="1225">
        <f t="shared" si="1"/>
        <v>0</v>
      </c>
      <c r="J10" s="1226">
        <v>0</v>
      </c>
      <c r="K10" s="1225">
        <f t="shared" si="2"/>
        <v>0</v>
      </c>
      <c r="L10" s="1226">
        <v>0</v>
      </c>
      <c r="M10" s="1225">
        <f t="shared" si="3"/>
        <v>0</v>
      </c>
      <c r="N10" s="54">
        <v>53</v>
      </c>
      <c r="O10" s="55">
        <f t="shared" si="4"/>
        <v>1</v>
      </c>
      <c r="P10" s="289"/>
      <c r="Q10" s="315">
        <f t="shared" si="5"/>
        <v>14327.068527263833</v>
      </c>
    </row>
    <row r="11" spans="2:17" ht="12.75" customHeight="1" x14ac:dyDescent="0.25">
      <c r="B11" s="375" t="s">
        <v>220</v>
      </c>
      <c r="C11" s="1221" t="s">
        <v>521</v>
      </c>
      <c r="D11" s="1222">
        <v>3</v>
      </c>
      <c r="E11" s="1223">
        <f t="shared" si="0"/>
        <v>46</v>
      </c>
      <c r="F11" s="1226">
        <v>4</v>
      </c>
      <c r="G11" s="1225">
        <f t="shared" si="6"/>
        <v>8.6956521739130432E-2</v>
      </c>
      <c r="H11" s="1226">
        <v>10</v>
      </c>
      <c r="I11" s="1225">
        <f t="shared" si="1"/>
        <v>0.21739130434782608</v>
      </c>
      <c r="J11" s="1226">
        <v>23</v>
      </c>
      <c r="K11" s="1225">
        <f t="shared" si="2"/>
        <v>0.5</v>
      </c>
      <c r="L11" s="1227">
        <v>2</v>
      </c>
      <c r="M11" s="1225">
        <f t="shared" si="3"/>
        <v>4.3478260869565216E-2</v>
      </c>
      <c r="N11" s="54">
        <v>7</v>
      </c>
      <c r="O11" s="55">
        <f t="shared" si="4"/>
        <v>0.15217391304347827</v>
      </c>
      <c r="P11" s="289"/>
      <c r="Q11" s="315">
        <f t="shared" si="5"/>
        <v>8424.9714418469157</v>
      </c>
    </row>
    <row r="12" spans="2:17" ht="12.75" customHeight="1" x14ac:dyDescent="0.25">
      <c r="B12" s="375" t="s">
        <v>212</v>
      </c>
      <c r="C12" s="1221" t="s">
        <v>522</v>
      </c>
      <c r="D12" s="1222">
        <v>3</v>
      </c>
      <c r="E12" s="1223">
        <f t="shared" si="0"/>
        <v>76</v>
      </c>
      <c r="F12" s="1226">
        <v>0</v>
      </c>
      <c r="G12" s="1225">
        <f t="shared" si="6"/>
        <v>0</v>
      </c>
      <c r="H12" s="1226">
        <v>8</v>
      </c>
      <c r="I12" s="1225">
        <f t="shared" si="1"/>
        <v>0.10526315789473684</v>
      </c>
      <c r="J12" s="1226">
        <v>42</v>
      </c>
      <c r="K12" s="1225">
        <f t="shared" si="2"/>
        <v>0.55263157894736847</v>
      </c>
      <c r="L12" s="1226">
        <v>1</v>
      </c>
      <c r="M12" s="1225">
        <f t="shared" si="3"/>
        <v>1.3157894736842105E-2</v>
      </c>
      <c r="N12" s="1228">
        <v>25</v>
      </c>
      <c r="O12" s="55">
        <f t="shared" si="4"/>
        <v>0.32894736842105265</v>
      </c>
      <c r="P12" s="289"/>
      <c r="Q12" s="315">
        <f t="shared" si="5"/>
        <v>9090.8723433725772</v>
      </c>
    </row>
    <row r="13" spans="2:17" ht="12.75" customHeight="1" x14ac:dyDescent="0.25">
      <c r="B13" s="375" t="s">
        <v>221</v>
      </c>
      <c r="C13" s="1221" t="s">
        <v>521</v>
      </c>
      <c r="D13" s="1222">
        <v>4</v>
      </c>
      <c r="E13" s="1223">
        <f t="shared" si="0"/>
        <v>112</v>
      </c>
      <c r="F13" s="1226">
        <v>6</v>
      </c>
      <c r="G13" s="1225">
        <f t="shared" si="6"/>
        <v>5.3571428571428568E-2</v>
      </c>
      <c r="H13" s="1226">
        <v>8</v>
      </c>
      <c r="I13" s="1225">
        <f t="shared" si="1"/>
        <v>7.1428571428571425E-2</v>
      </c>
      <c r="J13" s="1226">
        <v>75</v>
      </c>
      <c r="K13" s="1225">
        <f t="shared" si="2"/>
        <v>0.6696428571428571</v>
      </c>
      <c r="L13" s="1226">
        <v>3</v>
      </c>
      <c r="M13" s="1225">
        <f t="shared" si="3"/>
        <v>2.6785714285714284E-2</v>
      </c>
      <c r="N13" s="54">
        <v>20</v>
      </c>
      <c r="O13" s="55">
        <f t="shared" si="4"/>
        <v>0.17857142857142858</v>
      </c>
      <c r="P13" s="289"/>
      <c r="Q13" s="315">
        <f t="shared" si="5"/>
        <v>8204.0181145547631</v>
      </c>
    </row>
    <row r="14" spans="2:17" ht="12.75" customHeight="1" x14ac:dyDescent="0.25">
      <c r="B14" s="375" t="s">
        <v>213</v>
      </c>
      <c r="C14" s="1221" t="s">
        <v>521</v>
      </c>
      <c r="D14" s="1222">
        <v>4</v>
      </c>
      <c r="E14" s="1223">
        <f t="shared" si="0"/>
        <v>123</v>
      </c>
      <c r="F14" s="1226">
        <v>2</v>
      </c>
      <c r="G14" s="1225">
        <f t="shared" si="6"/>
        <v>1.6260162601626018E-2</v>
      </c>
      <c r="H14" s="1226">
        <v>31</v>
      </c>
      <c r="I14" s="1225">
        <f t="shared" si="1"/>
        <v>0.25203252032520324</v>
      </c>
      <c r="J14" s="1226">
        <v>79</v>
      </c>
      <c r="K14" s="1225">
        <f t="shared" si="2"/>
        <v>0.64227642276422769</v>
      </c>
      <c r="L14" s="1226">
        <v>0</v>
      </c>
      <c r="M14" s="1225">
        <f t="shared" si="3"/>
        <v>0</v>
      </c>
      <c r="N14" s="54">
        <v>11</v>
      </c>
      <c r="O14" s="55">
        <f t="shared" si="4"/>
        <v>8.943089430894309E-2</v>
      </c>
      <c r="P14" s="289"/>
      <c r="Q14" s="315">
        <f t="shared" si="5"/>
        <v>7334.0685395812361</v>
      </c>
    </row>
    <row r="15" spans="2:17" ht="12.75" customHeight="1" x14ac:dyDescent="0.25">
      <c r="B15" s="375" t="s">
        <v>214</v>
      </c>
      <c r="C15" s="1221" t="s">
        <v>520</v>
      </c>
      <c r="D15" s="1222">
        <v>4</v>
      </c>
      <c r="E15" s="1223">
        <f t="shared" si="0"/>
        <v>125</v>
      </c>
      <c r="F15" s="1226">
        <v>0</v>
      </c>
      <c r="G15" s="1225">
        <f t="shared" si="6"/>
        <v>0</v>
      </c>
      <c r="H15" s="1226">
        <v>24</v>
      </c>
      <c r="I15" s="1225">
        <f t="shared" si="1"/>
        <v>0.192</v>
      </c>
      <c r="J15" s="1226">
        <v>83</v>
      </c>
      <c r="K15" s="1225">
        <f t="shared" si="2"/>
        <v>0.66400000000000003</v>
      </c>
      <c r="L15" s="1226">
        <v>0</v>
      </c>
      <c r="M15" s="1225">
        <f t="shared" si="3"/>
        <v>0</v>
      </c>
      <c r="N15" s="54">
        <v>18</v>
      </c>
      <c r="O15" s="55">
        <f t="shared" si="4"/>
        <v>0.14399999999999999</v>
      </c>
      <c r="P15" s="289"/>
      <c r="Q15" s="315">
        <f t="shared" si="5"/>
        <v>7620.1581850108669</v>
      </c>
    </row>
    <row r="16" spans="2:17" ht="12.75" customHeight="1" x14ac:dyDescent="0.25">
      <c r="B16" s="375" t="s">
        <v>259</v>
      </c>
      <c r="C16" s="1221" t="s">
        <v>523</v>
      </c>
      <c r="D16" s="1222">
        <v>4</v>
      </c>
      <c r="E16" s="1223">
        <f t="shared" si="0"/>
        <v>58</v>
      </c>
      <c r="F16" s="1226">
        <v>0</v>
      </c>
      <c r="G16" s="1225">
        <f t="shared" si="6"/>
        <v>0</v>
      </c>
      <c r="H16" s="1226">
        <v>0</v>
      </c>
      <c r="I16" s="1225">
        <f t="shared" si="1"/>
        <v>0</v>
      </c>
      <c r="J16" s="1226">
        <v>0</v>
      </c>
      <c r="K16" s="1225">
        <f t="shared" si="2"/>
        <v>0</v>
      </c>
      <c r="L16" s="1226">
        <v>0</v>
      </c>
      <c r="M16" s="1225">
        <f t="shared" si="3"/>
        <v>0</v>
      </c>
      <c r="N16" s="54">
        <v>58</v>
      </c>
      <c r="O16" s="55">
        <f t="shared" si="4"/>
        <v>1</v>
      </c>
      <c r="P16" s="289"/>
      <c r="Q16" s="315">
        <f t="shared" si="5"/>
        <v>14327.068527263833</v>
      </c>
    </row>
    <row r="17" spans="1:23" ht="12.75" customHeight="1" x14ac:dyDescent="0.25">
      <c r="A17" s="289"/>
      <c r="B17" s="375" t="s">
        <v>261</v>
      </c>
      <c r="C17" s="1221" t="s">
        <v>523</v>
      </c>
      <c r="D17" s="1222">
        <v>4</v>
      </c>
      <c r="E17" s="1223">
        <f t="shared" si="0"/>
        <v>67</v>
      </c>
      <c r="F17" s="1226">
        <v>0</v>
      </c>
      <c r="G17" s="1225">
        <f t="shared" si="6"/>
        <v>0</v>
      </c>
      <c r="H17" s="1226">
        <v>0</v>
      </c>
      <c r="I17" s="1225">
        <f t="shared" si="1"/>
        <v>0</v>
      </c>
      <c r="J17" s="1226">
        <v>0</v>
      </c>
      <c r="K17" s="1225">
        <f t="shared" si="2"/>
        <v>0</v>
      </c>
      <c r="L17" s="1226">
        <v>0</v>
      </c>
      <c r="M17" s="1225">
        <f t="shared" si="3"/>
        <v>0</v>
      </c>
      <c r="N17" s="54">
        <v>67</v>
      </c>
      <c r="O17" s="55">
        <f t="shared" si="4"/>
        <v>1</v>
      </c>
      <c r="P17" s="289"/>
      <c r="Q17" s="315">
        <f t="shared" si="5"/>
        <v>14327.068527263833</v>
      </c>
      <c r="R17" s="289"/>
      <c r="S17" s="289"/>
      <c r="T17" s="289"/>
      <c r="U17" s="289"/>
      <c r="V17" s="289"/>
      <c r="W17" s="289"/>
    </row>
    <row r="18" spans="1:23" ht="12.75" customHeight="1" x14ac:dyDescent="0.25">
      <c r="A18" s="289"/>
      <c r="B18" s="375" t="s">
        <v>262</v>
      </c>
      <c r="C18" s="1221" t="s">
        <v>523</v>
      </c>
      <c r="D18" s="1222">
        <v>4</v>
      </c>
      <c r="E18" s="1223">
        <f t="shared" si="0"/>
        <v>61</v>
      </c>
      <c r="F18" s="1224">
        <v>0</v>
      </c>
      <c r="G18" s="1225">
        <f t="shared" si="6"/>
        <v>0</v>
      </c>
      <c r="H18" s="1226">
        <v>0</v>
      </c>
      <c r="I18" s="1225">
        <f t="shared" si="1"/>
        <v>0</v>
      </c>
      <c r="J18" s="1229">
        <v>0</v>
      </c>
      <c r="K18" s="1225">
        <f t="shared" si="2"/>
        <v>0</v>
      </c>
      <c r="L18" s="1229">
        <v>0</v>
      </c>
      <c r="M18" s="1225">
        <f t="shared" si="3"/>
        <v>0</v>
      </c>
      <c r="N18" s="54">
        <v>61</v>
      </c>
      <c r="O18" s="55">
        <f t="shared" si="4"/>
        <v>1</v>
      </c>
      <c r="P18" s="289"/>
      <c r="Q18" s="315">
        <f t="shared" si="5"/>
        <v>14327.068527263833</v>
      </c>
      <c r="R18" s="289"/>
      <c r="S18" s="289"/>
      <c r="T18" s="289"/>
      <c r="U18" s="289"/>
      <c r="V18" s="289"/>
      <c r="W18" s="289"/>
    </row>
    <row r="19" spans="1:23" ht="12.75" customHeight="1" x14ac:dyDescent="0.25">
      <c r="A19" s="289"/>
      <c r="B19" s="375" t="s">
        <v>215</v>
      </c>
      <c r="C19" s="1221" t="s">
        <v>520</v>
      </c>
      <c r="D19" s="1222">
        <v>4</v>
      </c>
      <c r="E19" s="1223">
        <f t="shared" si="0"/>
        <v>70</v>
      </c>
      <c r="F19" s="1226">
        <v>18</v>
      </c>
      <c r="G19" s="1225">
        <f t="shared" si="6"/>
        <v>0.25714285714285712</v>
      </c>
      <c r="H19" s="1224">
        <v>22</v>
      </c>
      <c r="I19" s="1225">
        <f t="shared" si="1"/>
        <v>0.31428571428571428</v>
      </c>
      <c r="J19" s="1224">
        <v>4</v>
      </c>
      <c r="K19" s="1225">
        <f t="shared" si="2"/>
        <v>5.7142857142857141E-2</v>
      </c>
      <c r="L19" s="1224">
        <v>11</v>
      </c>
      <c r="M19" s="1225">
        <f t="shared" si="3"/>
        <v>0.15714285714285714</v>
      </c>
      <c r="N19" s="54">
        <v>15</v>
      </c>
      <c r="O19" s="55">
        <f t="shared" si="4"/>
        <v>0.21428571428571427</v>
      </c>
      <c r="P19" s="289"/>
      <c r="Q19" s="315">
        <f t="shared" si="5"/>
        <v>10580.75210310383</v>
      </c>
      <c r="R19" s="289"/>
      <c r="S19" s="289"/>
      <c r="T19" s="289"/>
      <c r="U19" s="289"/>
      <c r="V19" s="289"/>
      <c r="W19" s="289"/>
    </row>
    <row r="20" spans="1:23" ht="12.75" customHeight="1" x14ac:dyDescent="0.25">
      <c r="A20" s="289"/>
      <c r="B20" s="375" t="s">
        <v>216</v>
      </c>
      <c r="C20" s="1221" t="s">
        <v>522</v>
      </c>
      <c r="D20" s="1222">
        <v>5</v>
      </c>
      <c r="E20" s="1223">
        <f t="shared" si="0"/>
        <v>137</v>
      </c>
      <c r="F20" s="1226">
        <v>2</v>
      </c>
      <c r="G20" s="1225">
        <f t="shared" si="6"/>
        <v>1.4598540145985401E-2</v>
      </c>
      <c r="H20" s="1226">
        <v>15</v>
      </c>
      <c r="I20" s="1225">
        <f t="shared" si="1"/>
        <v>0.10948905109489052</v>
      </c>
      <c r="J20" s="1226">
        <v>102</v>
      </c>
      <c r="K20" s="1225">
        <f t="shared" si="2"/>
        <v>0.74452554744525545</v>
      </c>
      <c r="L20" s="1226">
        <v>3</v>
      </c>
      <c r="M20" s="1225">
        <f t="shared" si="3"/>
        <v>2.1897810218978103E-2</v>
      </c>
      <c r="N20" s="54">
        <v>15</v>
      </c>
      <c r="O20" s="55">
        <f t="shared" si="4"/>
        <v>0.10948905109489052</v>
      </c>
      <c r="P20" s="289"/>
      <c r="Q20" s="315">
        <f t="shared" si="5"/>
        <v>7448.7456830496158</v>
      </c>
      <c r="R20" s="289"/>
      <c r="S20" s="289"/>
      <c r="T20" s="289"/>
      <c r="U20" s="289"/>
      <c r="V20" s="289"/>
      <c r="W20" s="289"/>
    </row>
    <row r="21" spans="1:23" ht="12.75" customHeight="1" x14ac:dyDescent="0.25">
      <c r="A21" s="289"/>
      <c r="B21" s="375" t="s">
        <v>217</v>
      </c>
      <c r="C21" s="1221" t="s">
        <v>522</v>
      </c>
      <c r="D21" s="1222">
        <v>5</v>
      </c>
      <c r="E21" s="1223">
        <f t="shared" si="0"/>
        <v>181</v>
      </c>
      <c r="F21" s="1226">
        <v>9</v>
      </c>
      <c r="G21" s="1225">
        <f t="shared" si="6"/>
        <v>4.9723756906077346E-2</v>
      </c>
      <c r="H21" s="1226">
        <v>25</v>
      </c>
      <c r="I21" s="1225">
        <f t="shared" si="1"/>
        <v>0.13812154696132597</v>
      </c>
      <c r="J21" s="1226">
        <v>130</v>
      </c>
      <c r="K21" s="1225">
        <f t="shared" si="2"/>
        <v>0.71823204419889508</v>
      </c>
      <c r="L21" s="1226">
        <v>2</v>
      </c>
      <c r="M21" s="1225">
        <f t="shared" si="3"/>
        <v>1.1049723756906077E-2</v>
      </c>
      <c r="N21" s="54">
        <v>15</v>
      </c>
      <c r="O21" s="55">
        <f t="shared" si="4"/>
        <v>8.2872928176795577E-2</v>
      </c>
      <c r="P21" s="289"/>
      <c r="Q21" s="315">
        <f t="shared" si="5"/>
        <v>7397.5468932395452</v>
      </c>
      <c r="R21" s="289"/>
      <c r="S21" s="289"/>
      <c r="T21" s="289"/>
      <c r="U21" s="289"/>
      <c r="V21" s="289"/>
      <c r="W21" s="289"/>
    </row>
    <row r="22" spans="1:23" ht="12.75" customHeight="1" x14ac:dyDescent="0.25">
      <c r="A22" s="289"/>
      <c r="B22" s="375" t="s">
        <v>451</v>
      </c>
      <c r="C22" s="1221" t="s">
        <v>524</v>
      </c>
      <c r="D22" s="1222">
        <v>5</v>
      </c>
      <c r="E22" s="1223">
        <f t="shared" si="0"/>
        <v>81</v>
      </c>
      <c r="F22" s="1226">
        <v>25</v>
      </c>
      <c r="G22" s="1225">
        <f t="shared" si="6"/>
        <v>0.30864197530864196</v>
      </c>
      <c r="H22" s="1226">
        <v>46</v>
      </c>
      <c r="I22" s="1225">
        <f t="shared" si="1"/>
        <v>0.5679012345679012</v>
      </c>
      <c r="J22" s="1226">
        <v>0</v>
      </c>
      <c r="K22" s="1225">
        <f t="shared" si="2"/>
        <v>0</v>
      </c>
      <c r="L22" s="1226">
        <v>0</v>
      </c>
      <c r="M22" s="1225">
        <f t="shared" si="3"/>
        <v>0</v>
      </c>
      <c r="N22" s="54">
        <v>10</v>
      </c>
      <c r="O22" s="55">
        <f t="shared" si="4"/>
        <v>0.12345679012345678</v>
      </c>
      <c r="P22" s="289"/>
      <c r="Q22" s="315">
        <f t="shared" si="5"/>
        <v>9551.5769232439579</v>
      </c>
      <c r="R22" s="289"/>
      <c r="S22" s="289"/>
      <c r="T22" s="289"/>
      <c r="U22" s="289"/>
      <c r="V22" s="289"/>
      <c r="W22" s="289"/>
    </row>
    <row r="23" spans="1:23" ht="12.75" customHeight="1" x14ac:dyDescent="0.25">
      <c r="A23" s="289"/>
      <c r="B23" s="375" t="s">
        <v>219</v>
      </c>
      <c r="C23" s="1221" t="s">
        <v>521</v>
      </c>
      <c r="D23" s="1222">
        <v>6</v>
      </c>
      <c r="E23" s="1223">
        <f t="shared" si="0"/>
        <v>104</v>
      </c>
      <c r="F23" s="1226">
        <v>44</v>
      </c>
      <c r="G23" s="1225">
        <f t="shared" si="6"/>
        <v>0.42307692307692307</v>
      </c>
      <c r="H23" s="1226">
        <v>0</v>
      </c>
      <c r="I23" s="1225">
        <f t="shared" si="1"/>
        <v>0</v>
      </c>
      <c r="J23" s="1226">
        <v>13</v>
      </c>
      <c r="K23" s="1225">
        <f t="shared" si="2"/>
        <v>0.125</v>
      </c>
      <c r="L23" s="1226">
        <v>38</v>
      </c>
      <c r="M23" s="1225">
        <f t="shared" si="3"/>
        <v>0.36538461538461536</v>
      </c>
      <c r="N23" s="54">
        <v>9</v>
      </c>
      <c r="O23" s="55">
        <f t="shared" si="4"/>
        <v>8.6538461538461536E-2</v>
      </c>
      <c r="P23" s="289"/>
      <c r="Q23" s="315">
        <f t="shared" si="5"/>
        <v>11239.016610354596</v>
      </c>
      <c r="R23" s="289"/>
      <c r="S23" s="289"/>
      <c r="T23" s="289"/>
      <c r="U23" s="289"/>
      <c r="V23" s="289"/>
      <c r="W23" s="289"/>
    </row>
    <row r="24" spans="1:23" ht="12.75" customHeight="1" x14ac:dyDescent="0.3">
      <c r="A24" s="289"/>
      <c r="B24" s="1230" t="s">
        <v>357</v>
      </c>
      <c r="C24" s="1230"/>
      <c r="D24" s="1230"/>
      <c r="E24" s="56">
        <f>SUM(E5:E23)</f>
        <v>1526</v>
      </c>
      <c r="F24" s="57">
        <f>SUM(F5:F23)</f>
        <v>166</v>
      </c>
      <c r="G24" s="1231">
        <f>AVERAGE(G5:G23)</f>
        <v>0.1299182368291637</v>
      </c>
      <c r="H24" s="57">
        <f>SUM(H5:H23)</f>
        <v>294</v>
      </c>
      <c r="I24" s="1231">
        <f>AVERAGE(I5:I23)</f>
        <v>0.22312972763390007</v>
      </c>
      <c r="J24" s="57">
        <f>SUM(J5:J23)</f>
        <v>569</v>
      </c>
      <c r="K24" s="1231">
        <f>AVERAGE(K5:K23)</f>
        <v>0.26295013194956635</v>
      </c>
      <c r="L24" s="57">
        <f>SUM(L5:L23)</f>
        <v>77</v>
      </c>
      <c r="M24" s="1231">
        <f>AVERAGE(M5:M23)</f>
        <v>5.2282894446278594E-2</v>
      </c>
      <c r="N24" s="58">
        <f>SUM(N5:N23)</f>
        <v>420</v>
      </c>
      <c r="O24" s="1231">
        <f>AVERAGE(O5:O23)</f>
        <v>0.33171900914109131</v>
      </c>
      <c r="P24" s="289"/>
      <c r="Q24" s="316"/>
      <c r="R24" s="289"/>
      <c r="S24" s="289"/>
      <c r="T24" s="289"/>
      <c r="U24" s="289"/>
      <c r="V24" s="289"/>
      <c r="W24" s="289"/>
    </row>
    <row r="25" spans="1:23" ht="12.75" customHeight="1" x14ac:dyDescent="0.25">
      <c r="A25" s="289"/>
      <c r="B25" s="1230" t="s">
        <v>525</v>
      </c>
      <c r="C25" s="1230"/>
      <c r="D25" s="1230"/>
      <c r="E25" s="1232"/>
      <c r="F25" s="1233">
        <f>F24/E24</f>
        <v>0.10878112712975098</v>
      </c>
      <c r="G25" s="1225"/>
      <c r="H25" s="1233">
        <f>H24/E24</f>
        <v>0.19266055045871561</v>
      </c>
      <c r="I25" s="1225"/>
      <c r="J25" s="1233">
        <f>J24/E24</f>
        <v>0.37287024901703802</v>
      </c>
      <c r="K25" s="1225"/>
      <c r="L25" s="1233">
        <f>L24/E24</f>
        <v>5.0458715596330278E-2</v>
      </c>
      <c r="M25" s="1225"/>
      <c r="N25" s="60">
        <f>N24/E24</f>
        <v>0.27522935779816515</v>
      </c>
      <c r="O25" s="59"/>
      <c r="P25" s="289"/>
      <c r="Q25" s="316"/>
      <c r="R25" s="289"/>
      <c r="S25" s="289"/>
      <c r="T25" s="289"/>
      <c r="U25" s="289"/>
      <c r="V25" s="289"/>
      <c r="W25" s="289"/>
    </row>
    <row r="26" spans="1:23" ht="12.75" customHeight="1" x14ac:dyDescent="0.25">
      <c r="A26" s="289"/>
      <c r="B26" s="289"/>
      <c r="C26" s="289"/>
      <c r="D26" s="289"/>
      <c r="E26" s="316"/>
      <c r="F26" s="316"/>
      <c r="G26" s="316"/>
      <c r="H26" s="316"/>
      <c r="I26" s="316"/>
      <c r="J26" s="316"/>
      <c r="K26" s="316"/>
      <c r="L26" s="316"/>
      <c r="M26" s="316"/>
      <c r="N26" s="316"/>
      <c r="O26" s="316"/>
      <c r="P26" s="289"/>
      <c r="Q26" s="316"/>
      <c r="R26" s="289"/>
      <c r="S26" s="289"/>
      <c r="T26" s="289"/>
      <c r="U26" s="289"/>
      <c r="V26" s="289"/>
      <c r="W26" s="289"/>
    </row>
    <row r="27" spans="1:23" ht="12.75" customHeight="1" x14ac:dyDescent="0.25">
      <c r="A27" s="289"/>
      <c r="B27" s="1" t="s">
        <v>526</v>
      </c>
      <c r="C27" s="289"/>
      <c r="D27" s="289"/>
      <c r="E27" s="316"/>
      <c r="F27" s="316"/>
      <c r="G27" s="316"/>
      <c r="H27" s="316"/>
      <c r="I27" s="316"/>
      <c r="J27" s="316"/>
      <c r="K27" s="316"/>
      <c r="L27" s="316"/>
      <c r="M27" s="316"/>
      <c r="N27" s="316"/>
      <c r="O27" s="316"/>
      <c r="P27" s="289"/>
      <c r="Q27" s="316"/>
      <c r="R27" s="289"/>
      <c r="S27" s="289"/>
      <c r="T27" s="289"/>
      <c r="U27" s="289"/>
      <c r="V27" s="289"/>
      <c r="W27" s="289"/>
    </row>
    <row r="28" spans="1:23" x14ac:dyDescent="0.25">
      <c r="A28" s="289"/>
      <c r="B28" s="289"/>
      <c r="C28" s="289"/>
      <c r="D28" s="289"/>
      <c r="E28" s="316"/>
      <c r="F28" s="316"/>
      <c r="G28" s="316"/>
      <c r="H28" s="316"/>
      <c r="I28" s="316"/>
      <c r="J28" s="316"/>
      <c r="K28" s="316"/>
      <c r="L28" s="316"/>
      <c r="M28" s="316"/>
      <c r="N28" s="316"/>
      <c r="O28" s="316"/>
      <c r="P28" s="289"/>
      <c r="Q28" s="316"/>
      <c r="R28" s="289"/>
      <c r="S28" s="289"/>
      <c r="T28" s="289"/>
      <c r="U28" s="289"/>
      <c r="V28" s="289"/>
      <c r="W28" s="289"/>
    </row>
    <row r="29" spans="1:23" ht="39" x14ac:dyDescent="0.25">
      <c r="A29" s="289"/>
      <c r="B29" s="47" t="s">
        <v>183</v>
      </c>
      <c r="C29" s="47" t="s">
        <v>508</v>
      </c>
      <c r="D29" s="48" t="s">
        <v>184</v>
      </c>
      <c r="E29" s="49" t="s">
        <v>527</v>
      </c>
      <c r="F29" s="50" t="s">
        <v>528</v>
      </c>
      <c r="G29" s="51" t="s">
        <v>529</v>
      </c>
      <c r="H29" s="50" t="s">
        <v>530</v>
      </c>
      <c r="I29" s="51" t="s">
        <v>241</v>
      </c>
      <c r="J29" s="50" t="s">
        <v>531</v>
      </c>
      <c r="K29" s="51" t="s">
        <v>532</v>
      </c>
      <c r="L29" s="50" t="s">
        <v>533</v>
      </c>
      <c r="M29" s="51" t="s">
        <v>534</v>
      </c>
      <c r="N29" s="352" t="s">
        <v>668</v>
      </c>
      <c r="O29" s="51" t="s">
        <v>789</v>
      </c>
      <c r="P29" s="52" t="s">
        <v>535</v>
      </c>
      <c r="Q29" s="53" t="s">
        <v>536</v>
      </c>
      <c r="R29" s="289"/>
      <c r="S29" s="822" t="s">
        <v>294</v>
      </c>
      <c r="T29" s="289"/>
      <c r="U29" s="1234" t="s">
        <v>19</v>
      </c>
      <c r="V29" s="1132" t="s">
        <v>537</v>
      </c>
      <c r="W29" s="1235" t="s">
        <v>538</v>
      </c>
    </row>
    <row r="30" spans="1:23" x14ac:dyDescent="0.25">
      <c r="A30" s="244">
        <v>9257010</v>
      </c>
      <c r="B30" s="375" t="s">
        <v>205</v>
      </c>
      <c r="C30" s="1221" t="s">
        <v>520</v>
      </c>
      <c r="D30" s="1236">
        <v>3</v>
      </c>
      <c r="E30" s="1223">
        <f>F30+H30+J30+L30+P30+N30</f>
        <v>42</v>
      </c>
      <c r="F30" s="1224">
        <v>14</v>
      </c>
      <c r="G30" s="1225">
        <f>F30/E30</f>
        <v>0.33333333333333331</v>
      </c>
      <c r="H30" s="1226">
        <v>12</v>
      </c>
      <c r="I30" s="1225">
        <f t="shared" ref="I30:I47" si="7">H30/E30</f>
        <v>0.2857142857142857</v>
      </c>
      <c r="J30" s="1226">
        <v>5</v>
      </c>
      <c r="K30" s="1225">
        <f t="shared" ref="K30:K47" si="8">J30/E30</f>
        <v>0.11904761904761904</v>
      </c>
      <c r="L30" s="1226">
        <v>0</v>
      </c>
      <c r="M30" s="1225">
        <f t="shared" ref="M30:M47" si="9">L30/E30</f>
        <v>0</v>
      </c>
      <c r="N30" s="1248">
        <v>8</v>
      </c>
      <c r="O30" s="1225">
        <f>N30/E30</f>
        <v>0.19047619047619047</v>
      </c>
      <c r="P30" s="54">
        <v>3</v>
      </c>
      <c r="Q30" s="55">
        <f t="shared" ref="Q30:Q47" si="10">P30/E30</f>
        <v>7.1428571428571425E-2</v>
      </c>
      <c r="R30" s="289"/>
      <c r="S30" s="315">
        <f>(G30*$F$54)+(I30*$H$54)+(K30*$J$54)+(M30*$L$54)+(O30*$N$54)+(Q30*$P$54)+(Q30*$P$56)</f>
        <v>11981.75762720177</v>
      </c>
      <c r="T30" s="289"/>
      <c r="U30" s="315">
        <f>S30-Q5</f>
        <v>2084.2409219619367</v>
      </c>
      <c r="V30" s="804">
        <f>'Band Calculations'!Z5</f>
        <v>43</v>
      </c>
      <c r="W30" s="315">
        <f>U30*V30</f>
        <v>89622.359644363285</v>
      </c>
    </row>
    <row r="31" spans="1:23" x14ac:dyDescent="0.25">
      <c r="A31" s="244">
        <v>9257005</v>
      </c>
      <c r="B31" s="375" t="s">
        <v>208</v>
      </c>
      <c r="C31" s="1221" t="s">
        <v>521</v>
      </c>
      <c r="D31" s="1236">
        <v>3</v>
      </c>
      <c r="E31" s="1223">
        <f t="shared" ref="E31:E47" si="11">F31+H31+J31+L31+P31+N31</f>
        <v>76</v>
      </c>
      <c r="F31" s="1224">
        <v>10</v>
      </c>
      <c r="G31" s="1225">
        <f t="shared" ref="G31:G47" si="12">F31/E31</f>
        <v>0.13157894736842105</v>
      </c>
      <c r="H31" s="1226">
        <v>27</v>
      </c>
      <c r="I31" s="1225">
        <f t="shared" si="7"/>
        <v>0.35526315789473684</v>
      </c>
      <c r="J31" s="1226">
        <v>13</v>
      </c>
      <c r="K31" s="1225">
        <f t="shared" si="8"/>
        <v>0.17105263157894737</v>
      </c>
      <c r="L31" s="1226">
        <v>4</v>
      </c>
      <c r="M31" s="1225">
        <f t="shared" si="9"/>
        <v>5.2631578947368418E-2</v>
      </c>
      <c r="N31" s="1248">
        <v>7</v>
      </c>
      <c r="O31" s="1225">
        <f t="shared" ref="O31:O47" si="13">N31/E31</f>
        <v>9.2105263157894732E-2</v>
      </c>
      <c r="P31" s="54">
        <v>15</v>
      </c>
      <c r="Q31" s="55">
        <f t="shared" si="10"/>
        <v>0.19736842105263158</v>
      </c>
      <c r="R31" s="289"/>
      <c r="S31" s="315">
        <f t="shared" ref="S31:S47" si="14">(G31*$F$54)+(I31*$H$54)+(K31*$J$54)+(M31*$L$54)+(O31*$N$54)+(Q31*$P$54)+(Q31*$P$56)</f>
        <v>10700.231155478385</v>
      </c>
      <c r="T31" s="289"/>
      <c r="U31" s="315">
        <f t="shared" ref="U31:U46" si="15">S31-Q6</f>
        <v>1914.9452242181069</v>
      </c>
      <c r="V31" s="804">
        <f>'Band Calculations'!Z6</f>
        <v>63</v>
      </c>
      <c r="W31" s="315">
        <f t="shared" ref="W31:W47" si="16">U31*V31</f>
        <v>120641.54912574074</v>
      </c>
    </row>
    <row r="32" spans="1:23" x14ac:dyDescent="0.25">
      <c r="A32" s="244">
        <v>9257025</v>
      </c>
      <c r="B32" s="375" t="s">
        <v>209</v>
      </c>
      <c r="C32" s="1221" t="s">
        <v>522</v>
      </c>
      <c r="D32" s="1236">
        <v>3</v>
      </c>
      <c r="E32" s="1223">
        <f t="shared" si="11"/>
        <v>53</v>
      </c>
      <c r="F32" s="1224">
        <v>11</v>
      </c>
      <c r="G32" s="1225">
        <f t="shared" si="12"/>
        <v>0.20754716981132076</v>
      </c>
      <c r="H32" s="1226">
        <v>22</v>
      </c>
      <c r="I32" s="1225">
        <f t="shared" si="7"/>
        <v>0.41509433962264153</v>
      </c>
      <c r="J32" s="1226">
        <v>3</v>
      </c>
      <c r="K32" s="1225">
        <f t="shared" si="8"/>
        <v>5.6603773584905662E-2</v>
      </c>
      <c r="L32" s="1226">
        <v>0</v>
      </c>
      <c r="M32" s="1225">
        <f t="shared" si="9"/>
        <v>0</v>
      </c>
      <c r="N32" s="1248">
        <v>6</v>
      </c>
      <c r="O32" s="1225">
        <f t="shared" si="13"/>
        <v>0.11320754716981132</v>
      </c>
      <c r="P32" s="54">
        <v>11</v>
      </c>
      <c r="Q32" s="55">
        <f t="shared" si="10"/>
        <v>0.20754716981132076</v>
      </c>
      <c r="R32" s="289"/>
      <c r="S32" s="315">
        <f t="shared" si="14"/>
        <v>11311.363719426055</v>
      </c>
      <c r="T32" s="289"/>
      <c r="U32" s="315">
        <f t="shared" si="15"/>
        <v>384.87430958735058</v>
      </c>
      <c r="V32" s="804">
        <f>'Band Calculations'!Z7</f>
        <v>63</v>
      </c>
      <c r="W32" s="315">
        <f t="shared" si="16"/>
        <v>24247.081504003087</v>
      </c>
    </row>
    <row r="33" spans="1:23" x14ac:dyDescent="0.25">
      <c r="A33" s="244">
        <v>9257011</v>
      </c>
      <c r="B33" s="375" t="s">
        <v>210</v>
      </c>
      <c r="C33" s="1221" t="s">
        <v>520</v>
      </c>
      <c r="D33" s="1236">
        <v>3</v>
      </c>
      <c r="E33" s="1223">
        <f t="shared" si="11"/>
        <v>45</v>
      </c>
      <c r="F33" s="1224">
        <v>13</v>
      </c>
      <c r="G33" s="1225">
        <f t="shared" si="12"/>
        <v>0.28888888888888886</v>
      </c>
      <c r="H33" s="1226">
        <v>19</v>
      </c>
      <c r="I33" s="1225">
        <f t="shared" si="7"/>
        <v>0.42222222222222222</v>
      </c>
      <c r="J33" s="1226">
        <v>0</v>
      </c>
      <c r="K33" s="1225">
        <f t="shared" si="8"/>
        <v>0</v>
      </c>
      <c r="L33" s="1226">
        <v>0</v>
      </c>
      <c r="M33" s="1225">
        <f t="shared" si="9"/>
        <v>0</v>
      </c>
      <c r="N33" s="1248">
        <v>6</v>
      </c>
      <c r="O33" s="1225">
        <f t="shared" si="13"/>
        <v>0.13333333333333333</v>
      </c>
      <c r="P33" s="54">
        <v>7</v>
      </c>
      <c r="Q33" s="55">
        <f t="shared" si="10"/>
        <v>0.15555555555555556</v>
      </c>
      <c r="R33" s="289"/>
      <c r="S33" s="315">
        <f t="shared" si="14"/>
        <v>11662.143221718445</v>
      </c>
      <c r="T33" s="289"/>
      <c r="U33" s="315">
        <f t="shared" si="15"/>
        <v>1141.6487213855762</v>
      </c>
      <c r="V33" s="804">
        <f>'Band Calculations'!Z8</f>
        <v>41</v>
      </c>
      <c r="W33" s="315">
        <f t="shared" si="16"/>
        <v>46807.597576808621</v>
      </c>
    </row>
    <row r="34" spans="1:23" x14ac:dyDescent="0.25">
      <c r="A34" s="244">
        <v>9257024</v>
      </c>
      <c r="B34" s="375" t="s">
        <v>211</v>
      </c>
      <c r="C34" s="1221" t="s">
        <v>522</v>
      </c>
      <c r="D34" s="1236">
        <v>3</v>
      </c>
      <c r="E34" s="1223">
        <f t="shared" si="11"/>
        <v>55</v>
      </c>
      <c r="F34" s="1226">
        <v>11</v>
      </c>
      <c r="G34" s="1225">
        <f t="shared" si="12"/>
        <v>0.2</v>
      </c>
      <c r="H34" s="1226">
        <v>31</v>
      </c>
      <c r="I34" s="1225">
        <f t="shared" si="7"/>
        <v>0.5636363636363636</v>
      </c>
      <c r="J34" s="1226">
        <v>1</v>
      </c>
      <c r="K34" s="1225">
        <f t="shared" si="8"/>
        <v>1.8181818181818181E-2</v>
      </c>
      <c r="L34" s="1226">
        <v>0</v>
      </c>
      <c r="M34" s="1225">
        <f t="shared" si="9"/>
        <v>0</v>
      </c>
      <c r="N34" s="1248">
        <v>9</v>
      </c>
      <c r="O34" s="1225">
        <f t="shared" si="13"/>
        <v>0.16363636363636364</v>
      </c>
      <c r="P34" s="54">
        <v>3</v>
      </c>
      <c r="Q34" s="55">
        <f t="shared" si="10"/>
        <v>5.4545454545454543E-2</v>
      </c>
      <c r="R34" s="289"/>
      <c r="S34" s="315">
        <f t="shared" si="14"/>
        <v>10999.610135415453</v>
      </c>
      <c r="T34" s="289"/>
      <c r="U34" s="315">
        <f t="shared" si="15"/>
        <v>2200.4070840957575</v>
      </c>
      <c r="V34" s="804">
        <f>'Band Calculations'!Z9</f>
        <v>47</v>
      </c>
      <c r="W34" s="315">
        <f t="shared" si="16"/>
        <v>103419.1329525006</v>
      </c>
    </row>
    <row r="35" spans="1:23" ht="12" customHeight="1" x14ac:dyDescent="0.25">
      <c r="A35" s="244">
        <v>9257031</v>
      </c>
      <c r="B35" s="375" t="s">
        <v>257</v>
      </c>
      <c r="C35" s="1221" t="s">
        <v>523</v>
      </c>
      <c r="D35" s="1236">
        <v>3</v>
      </c>
      <c r="E35" s="1223">
        <f t="shared" si="11"/>
        <v>61</v>
      </c>
      <c r="F35" s="1226">
        <v>0</v>
      </c>
      <c r="G35" s="1225">
        <f t="shared" si="12"/>
        <v>0</v>
      </c>
      <c r="H35" s="1226">
        <v>0</v>
      </c>
      <c r="I35" s="1225">
        <f t="shared" si="7"/>
        <v>0</v>
      </c>
      <c r="J35" s="1226">
        <v>0</v>
      </c>
      <c r="K35" s="1225">
        <f t="shared" si="8"/>
        <v>0</v>
      </c>
      <c r="L35" s="1226">
        <v>0</v>
      </c>
      <c r="M35" s="1225">
        <f t="shared" si="9"/>
        <v>0</v>
      </c>
      <c r="N35" s="1248">
        <v>0</v>
      </c>
      <c r="O35" s="1225">
        <f t="shared" si="13"/>
        <v>0</v>
      </c>
      <c r="P35" s="54">
        <v>61</v>
      </c>
      <c r="Q35" s="55">
        <f t="shared" si="10"/>
        <v>1</v>
      </c>
      <c r="R35" s="289"/>
      <c r="S35" s="315">
        <f t="shared" si="14"/>
        <v>14327.068527263833</v>
      </c>
      <c r="T35" s="289"/>
      <c r="U35" s="315">
        <f t="shared" si="15"/>
        <v>0</v>
      </c>
      <c r="V35" s="804">
        <f>'Band Calculations'!Z10</f>
        <v>61</v>
      </c>
      <c r="W35" s="315">
        <f t="shared" si="16"/>
        <v>0</v>
      </c>
    </row>
    <row r="36" spans="1:23" x14ac:dyDescent="0.25">
      <c r="A36" s="244">
        <v>9257033</v>
      </c>
      <c r="B36" s="375" t="s">
        <v>220</v>
      </c>
      <c r="C36" s="1221" t="s">
        <v>521</v>
      </c>
      <c r="D36" s="1236">
        <v>3</v>
      </c>
      <c r="E36" s="1223">
        <f t="shared" si="11"/>
        <v>55</v>
      </c>
      <c r="F36" s="1226">
        <v>2</v>
      </c>
      <c r="G36" s="1225">
        <f t="shared" si="12"/>
        <v>3.6363636363636362E-2</v>
      </c>
      <c r="H36" s="1226">
        <v>16</v>
      </c>
      <c r="I36" s="1225">
        <f t="shared" si="7"/>
        <v>0.29090909090909089</v>
      </c>
      <c r="J36" s="1226">
        <v>15</v>
      </c>
      <c r="K36" s="1225">
        <f t="shared" si="8"/>
        <v>0.27272727272727271</v>
      </c>
      <c r="L36" s="1227">
        <v>3</v>
      </c>
      <c r="M36" s="1225">
        <f t="shared" si="9"/>
        <v>5.4545454545454543E-2</v>
      </c>
      <c r="N36" s="1248">
        <v>0</v>
      </c>
      <c r="O36" s="1225">
        <f t="shared" si="13"/>
        <v>0</v>
      </c>
      <c r="P36" s="54">
        <v>19</v>
      </c>
      <c r="Q36" s="55">
        <f t="shared" si="10"/>
        <v>0.34545454545454546</v>
      </c>
      <c r="R36" s="289"/>
      <c r="S36" s="315">
        <f t="shared" si="14"/>
        <v>9853.3189773154299</v>
      </c>
      <c r="T36" s="289"/>
      <c r="U36" s="315">
        <f t="shared" si="15"/>
        <v>1428.3475354685143</v>
      </c>
      <c r="V36" s="804">
        <f>'Band Calculations'!Z11</f>
        <v>60</v>
      </c>
      <c r="W36" s="315">
        <f t="shared" si="16"/>
        <v>85700.852128110855</v>
      </c>
    </row>
    <row r="37" spans="1:23" x14ac:dyDescent="0.25">
      <c r="A37" s="244">
        <v>9257008</v>
      </c>
      <c r="B37" s="375" t="s">
        <v>212</v>
      </c>
      <c r="C37" s="1221" t="s">
        <v>522</v>
      </c>
      <c r="D37" s="1236">
        <v>3</v>
      </c>
      <c r="E37" s="1223">
        <f t="shared" si="11"/>
        <v>85</v>
      </c>
      <c r="F37" s="1226">
        <v>0</v>
      </c>
      <c r="G37" s="1225">
        <f t="shared" si="12"/>
        <v>0</v>
      </c>
      <c r="H37" s="1226">
        <v>7</v>
      </c>
      <c r="I37" s="1225">
        <f t="shared" si="7"/>
        <v>8.2352941176470587E-2</v>
      </c>
      <c r="J37" s="1226">
        <v>52</v>
      </c>
      <c r="K37" s="1225">
        <f t="shared" si="8"/>
        <v>0.61176470588235299</v>
      </c>
      <c r="L37" s="1226">
        <v>2</v>
      </c>
      <c r="M37" s="1225">
        <f t="shared" si="9"/>
        <v>2.3529411764705882E-2</v>
      </c>
      <c r="N37" s="1248">
        <v>0</v>
      </c>
      <c r="O37" s="1225">
        <f t="shared" si="13"/>
        <v>0</v>
      </c>
      <c r="P37" s="1228">
        <v>24</v>
      </c>
      <c r="Q37" s="55">
        <f t="shared" si="10"/>
        <v>0.28235294117647058</v>
      </c>
      <c r="R37" s="289"/>
      <c r="S37" s="315">
        <f t="shared" si="14"/>
        <v>8745.3923904604708</v>
      </c>
      <c r="T37" s="289"/>
      <c r="U37" s="315">
        <f t="shared" si="15"/>
        <v>-345.47995291210646</v>
      </c>
      <c r="V37" s="804">
        <f>'Band Calculations'!Z12</f>
        <v>84</v>
      </c>
      <c r="W37" s="315">
        <f t="shared" si="16"/>
        <v>-29020.316044616942</v>
      </c>
    </row>
    <row r="38" spans="1:23" x14ac:dyDescent="0.25">
      <c r="A38" s="244">
        <v>9257034</v>
      </c>
      <c r="B38" s="375" t="s">
        <v>221</v>
      </c>
      <c r="C38" s="1221" t="s">
        <v>521</v>
      </c>
      <c r="D38" s="1236">
        <v>4</v>
      </c>
      <c r="E38" s="1223">
        <f t="shared" si="11"/>
        <v>127</v>
      </c>
      <c r="F38" s="1226">
        <v>9</v>
      </c>
      <c r="G38" s="1225">
        <f t="shared" si="12"/>
        <v>7.0866141732283464E-2</v>
      </c>
      <c r="H38" s="1226">
        <v>21</v>
      </c>
      <c r="I38" s="1225">
        <f t="shared" si="7"/>
        <v>0.16535433070866143</v>
      </c>
      <c r="J38" s="1226">
        <v>66</v>
      </c>
      <c r="K38" s="1225">
        <f t="shared" si="8"/>
        <v>0.51968503937007871</v>
      </c>
      <c r="L38" s="1226">
        <v>2</v>
      </c>
      <c r="M38" s="1225">
        <f t="shared" si="9"/>
        <v>1.5748031496062992E-2</v>
      </c>
      <c r="N38" s="1248">
        <v>3</v>
      </c>
      <c r="O38" s="1225">
        <f t="shared" si="13"/>
        <v>2.3622047244094488E-2</v>
      </c>
      <c r="P38" s="54">
        <v>26</v>
      </c>
      <c r="Q38" s="55">
        <f t="shared" si="10"/>
        <v>0.20472440944881889</v>
      </c>
      <c r="R38" s="289"/>
      <c r="S38" s="315">
        <f t="shared" si="14"/>
        <v>8929.0063475880906</v>
      </c>
      <c r="T38" s="289"/>
      <c r="U38" s="315">
        <f t="shared" si="15"/>
        <v>724.98823303332756</v>
      </c>
      <c r="V38" s="804">
        <f>'Band Calculations'!Z13</f>
        <v>109</v>
      </c>
      <c r="W38" s="315">
        <f t="shared" si="16"/>
        <v>79023.717400632711</v>
      </c>
    </row>
    <row r="39" spans="1:23" x14ac:dyDescent="0.25">
      <c r="A39" s="244">
        <v>9257002</v>
      </c>
      <c r="B39" s="375" t="s">
        <v>213</v>
      </c>
      <c r="C39" s="1221" t="s">
        <v>521</v>
      </c>
      <c r="D39" s="1236">
        <v>4</v>
      </c>
      <c r="E39" s="1223">
        <f t="shared" si="11"/>
        <v>119</v>
      </c>
      <c r="F39" s="1226">
        <v>1</v>
      </c>
      <c r="G39" s="1225">
        <f t="shared" si="12"/>
        <v>8.4033613445378148E-3</v>
      </c>
      <c r="H39" s="1226">
        <v>33</v>
      </c>
      <c r="I39" s="1225">
        <f t="shared" si="7"/>
        <v>0.27731092436974791</v>
      </c>
      <c r="J39" s="1226">
        <v>71</v>
      </c>
      <c r="K39" s="1225">
        <f t="shared" si="8"/>
        <v>0.59663865546218486</v>
      </c>
      <c r="L39" s="1226">
        <v>2</v>
      </c>
      <c r="M39" s="1225">
        <f t="shared" si="9"/>
        <v>1.680672268907563E-2</v>
      </c>
      <c r="N39" s="1248">
        <v>1</v>
      </c>
      <c r="O39" s="1225">
        <f t="shared" si="13"/>
        <v>8.4033613445378148E-3</v>
      </c>
      <c r="P39" s="54">
        <v>11</v>
      </c>
      <c r="Q39" s="55">
        <f t="shared" si="10"/>
        <v>9.2436974789915971E-2</v>
      </c>
      <c r="R39" s="289"/>
      <c r="S39" s="315">
        <f t="shared" si="14"/>
        <v>7568.7053693889393</v>
      </c>
      <c r="T39" s="289"/>
      <c r="U39" s="315">
        <f t="shared" si="15"/>
        <v>234.63682980770318</v>
      </c>
      <c r="V39" s="804">
        <f>'Band Calculations'!Z14</f>
        <v>130</v>
      </c>
      <c r="W39" s="315">
        <f t="shared" si="16"/>
        <v>30502.787875001413</v>
      </c>
    </row>
    <row r="40" spans="1:23" x14ac:dyDescent="0.25">
      <c r="A40" s="244">
        <v>9257009</v>
      </c>
      <c r="B40" s="375" t="s">
        <v>214</v>
      </c>
      <c r="C40" s="1221" t="s">
        <v>520</v>
      </c>
      <c r="D40" s="1236">
        <v>4</v>
      </c>
      <c r="E40" s="1223">
        <f t="shared" si="11"/>
        <v>130</v>
      </c>
      <c r="F40" s="1226">
        <v>0</v>
      </c>
      <c r="G40" s="1225">
        <f t="shared" si="12"/>
        <v>0</v>
      </c>
      <c r="H40" s="1226">
        <v>19</v>
      </c>
      <c r="I40" s="1225">
        <f t="shared" si="7"/>
        <v>0.14615384615384616</v>
      </c>
      <c r="J40" s="1226">
        <v>91</v>
      </c>
      <c r="K40" s="1225">
        <f t="shared" si="8"/>
        <v>0.7</v>
      </c>
      <c r="L40" s="1226">
        <v>2</v>
      </c>
      <c r="M40" s="1225">
        <f t="shared" si="9"/>
        <v>1.5384615384615385E-2</v>
      </c>
      <c r="N40" s="1248">
        <v>0</v>
      </c>
      <c r="O40" s="1225">
        <f t="shared" si="13"/>
        <v>0</v>
      </c>
      <c r="P40" s="54">
        <v>18</v>
      </c>
      <c r="Q40" s="55">
        <f t="shared" si="10"/>
        <v>0.13846153846153847</v>
      </c>
      <c r="R40" s="289"/>
      <c r="S40" s="315">
        <f t="shared" si="14"/>
        <v>7608.483850854901</v>
      </c>
      <c r="T40" s="289"/>
      <c r="U40" s="315">
        <f t="shared" si="15"/>
        <v>-11.67433415596588</v>
      </c>
      <c r="V40" s="804">
        <f>'Band Calculations'!Z15</f>
        <v>131</v>
      </c>
      <c r="W40" s="315">
        <f t="shared" si="16"/>
        <v>-1529.3377744315303</v>
      </c>
    </row>
    <row r="41" spans="1:23" ht="12" customHeight="1" x14ac:dyDescent="0.25">
      <c r="A41" s="244">
        <v>9257029</v>
      </c>
      <c r="B41" s="375" t="s">
        <v>259</v>
      </c>
      <c r="C41" s="1221" t="s">
        <v>523</v>
      </c>
      <c r="D41" s="1236">
        <v>4</v>
      </c>
      <c r="E41" s="1223">
        <f t="shared" si="11"/>
        <v>57</v>
      </c>
      <c r="F41" s="1226">
        <v>0</v>
      </c>
      <c r="G41" s="1225">
        <f t="shared" si="12"/>
        <v>0</v>
      </c>
      <c r="H41" s="1226">
        <v>0</v>
      </c>
      <c r="I41" s="1225">
        <f t="shared" si="7"/>
        <v>0</v>
      </c>
      <c r="J41" s="1226">
        <v>0</v>
      </c>
      <c r="K41" s="1225">
        <f t="shared" si="8"/>
        <v>0</v>
      </c>
      <c r="L41" s="1226">
        <v>0</v>
      </c>
      <c r="M41" s="1225">
        <f t="shared" si="9"/>
        <v>0</v>
      </c>
      <c r="N41" s="1248">
        <v>0</v>
      </c>
      <c r="O41" s="1225">
        <f t="shared" si="13"/>
        <v>0</v>
      </c>
      <c r="P41" s="54">
        <v>57</v>
      </c>
      <c r="Q41" s="55">
        <f t="shared" si="10"/>
        <v>1</v>
      </c>
      <c r="R41" s="289"/>
      <c r="S41" s="315">
        <f t="shared" si="14"/>
        <v>14327.068527263833</v>
      </c>
      <c r="T41" s="289"/>
      <c r="U41" s="315">
        <f t="shared" si="15"/>
        <v>0</v>
      </c>
      <c r="V41" s="804">
        <f>'Band Calculations'!Z16</f>
        <v>62.000000000000007</v>
      </c>
      <c r="W41" s="315">
        <f t="shared" si="16"/>
        <v>0</v>
      </c>
    </row>
    <row r="42" spans="1:23" ht="12" customHeight="1" x14ac:dyDescent="0.25">
      <c r="A42" s="244">
        <v>9257032</v>
      </c>
      <c r="B42" s="375" t="s">
        <v>261</v>
      </c>
      <c r="C42" s="1221" t="s">
        <v>523</v>
      </c>
      <c r="D42" s="1236">
        <v>4</v>
      </c>
      <c r="E42" s="1223">
        <f t="shared" si="11"/>
        <v>57</v>
      </c>
      <c r="F42" s="1226">
        <v>0</v>
      </c>
      <c r="G42" s="1225">
        <f t="shared" si="12"/>
        <v>0</v>
      </c>
      <c r="H42" s="1226">
        <v>0</v>
      </c>
      <c r="I42" s="1225">
        <f t="shared" si="7"/>
        <v>0</v>
      </c>
      <c r="J42" s="1226">
        <v>0</v>
      </c>
      <c r="K42" s="1225">
        <f t="shared" si="8"/>
        <v>0</v>
      </c>
      <c r="L42" s="1226">
        <v>0</v>
      </c>
      <c r="M42" s="1225">
        <f t="shared" si="9"/>
        <v>0</v>
      </c>
      <c r="N42" s="1248">
        <v>0</v>
      </c>
      <c r="O42" s="1225">
        <f t="shared" si="13"/>
        <v>0</v>
      </c>
      <c r="P42" s="54">
        <v>57</v>
      </c>
      <c r="Q42" s="55">
        <f t="shared" si="10"/>
        <v>1</v>
      </c>
      <c r="R42" s="289"/>
      <c r="S42" s="315">
        <f t="shared" si="14"/>
        <v>14327.068527263833</v>
      </c>
      <c r="T42" s="289"/>
      <c r="U42" s="315">
        <f t="shared" si="15"/>
        <v>0</v>
      </c>
      <c r="V42" s="804">
        <f>'Band Calculations'!Z17</f>
        <v>59.000000000000007</v>
      </c>
      <c r="W42" s="315">
        <f t="shared" si="16"/>
        <v>0</v>
      </c>
    </row>
    <row r="43" spans="1:23" ht="12" customHeight="1" x14ac:dyDescent="0.25">
      <c r="A43" s="244">
        <v>9257030</v>
      </c>
      <c r="B43" s="375" t="s">
        <v>262</v>
      </c>
      <c r="C43" s="1221" t="s">
        <v>523</v>
      </c>
      <c r="D43" s="1236">
        <v>4</v>
      </c>
      <c r="E43" s="1223">
        <f t="shared" si="11"/>
        <v>49</v>
      </c>
      <c r="F43" s="1224">
        <v>0</v>
      </c>
      <c r="G43" s="1225">
        <f t="shared" si="12"/>
        <v>0</v>
      </c>
      <c r="H43" s="1226">
        <v>0</v>
      </c>
      <c r="I43" s="1225">
        <f t="shared" si="7"/>
        <v>0</v>
      </c>
      <c r="J43" s="1226">
        <v>0</v>
      </c>
      <c r="K43" s="1225">
        <f t="shared" si="8"/>
        <v>0</v>
      </c>
      <c r="L43" s="1226">
        <v>0</v>
      </c>
      <c r="M43" s="1225">
        <f t="shared" si="9"/>
        <v>0</v>
      </c>
      <c r="N43" s="1248">
        <v>0</v>
      </c>
      <c r="O43" s="1225">
        <f t="shared" si="13"/>
        <v>0</v>
      </c>
      <c r="P43" s="54">
        <v>49</v>
      </c>
      <c r="Q43" s="55">
        <f t="shared" si="10"/>
        <v>1</v>
      </c>
      <c r="R43" s="289"/>
      <c r="S43" s="315">
        <f t="shared" si="14"/>
        <v>14327.068527263833</v>
      </c>
      <c r="T43" s="289"/>
      <c r="U43" s="315">
        <f t="shared" si="15"/>
        <v>0</v>
      </c>
      <c r="V43" s="804">
        <f>'Band Calculations'!Z18</f>
        <v>55</v>
      </c>
      <c r="W43" s="315">
        <f t="shared" si="16"/>
        <v>0</v>
      </c>
    </row>
    <row r="44" spans="1:23" x14ac:dyDescent="0.25">
      <c r="A44" s="244">
        <v>9257028</v>
      </c>
      <c r="B44" s="375" t="s">
        <v>215</v>
      </c>
      <c r="C44" s="1221" t="s">
        <v>520</v>
      </c>
      <c r="D44" s="1236">
        <v>4</v>
      </c>
      <c r="E44" s="1223">
        <f t="shared" si="11"/>
        <v>71</v>
      </c>
      <c r="F44" s="1226">
        <v>15</v>
      </c>
      <c r="G44" s="1225">
        <f t="shared" si="12"/>
        <v>0.21126760563380281</v>
      </c>
      <c r="H44" s="1224">
        <v>24</v>
      </c>
      <c r="I44" s="1225">
        <f t="shared" si="7"/>
        <v>0.3380281690140845</v>
      </c>
      <c r="J44" s="1224">
        <v>0</v>
      </c>
      <c r="K44" s="1225">
        <f t="shared" si="8"/>
        <v>0</v>
      </c>
      <c r="L44" s="1224">
        <v>0</v>
      </c>
      <c r="M44" s="1225">
        <f t="shared" si="9"/>
        <v>0</v>
      </c>
      <c r="N44" s="1248">
        <v>15</v>
      </c>
      <c r="O44" s="1225">
        <f t="shared" si="13"/>
        <v>0.21126760563380281</v>
      </c>
      <c r="P44" s="54">
        <v>17</v>
      </c>
      <c r="Q44" s="55">
        <f t="shared" si="10"/>
        <v>0.23943661971830985</v>
      </c>
      <c r="R44" s="289"/>
      <c r="S44" s="315">
        <f t="shared" si="14"/>
        <v>13063.223679728097</v>
      </c>
      <c r="T44" s="289"/>
      <c r="U44" s="315">
        <f t="shared" si="15"/>
        <v>2482.4715766242662</v>
      </c>
      <c r="V44" s="804">
        <f>'Band Calculations'!Z19</f>
        <v>73</v>
      </c>
      <c r="W44" s="315">
        <f t="shared" si="16"/>
        <v>181220.42509357142</v>
      </c>
    </row>
    <row r="45" spans="1:23" x14ac:dyDescent="0.25">
      <c r="A45" s="244">
        <v>9257021</v>
      </c>
      <c r="B45" s="375" t="s">
        <v>216</v>
      </c>
      <c r="C45" s="1221" t="s">
        <v>522</v>
      </c>
      <c r="D45" s="1236">
        <v>5</v>
      </c>
      <c r="E45" s="1223">
        <f t="shared" si="11"/>
        <v>142</v>
      </c>
      <c r="F45" s="1226">
        <v>0</v>
      </c>
      <c r="G45" s="1225">
        <f t="shared" si="12"/>
        <v>0</v>
      </c>
      <c r="H45" s="1226">
        <v>14</v>
      </c>
      <c r="I45" s="1225">
        <f t="shared" si="7"/>
        <v>9.8591549295774641E-2</v>
      </c>
      <c r="J45" s="1226">
        <v>102</v>
      </c>
      <c r="K45" s="1225">
        <f t="shared" si="8"/>
        <v>0.71830985915492962</v>
      </c>
      <c r="L45" s="1226">
        <v>4</v>
      </c>
      <c r="M45" s="1225">
        <f t="shared" si="9"/>
        <v>2.8169014084507043E-2</v>
      </c>
      <c r="N45" s="1248">
        <v>2</v>
      </c>
      <c r="O45" s="1225">
        <f t="shared" si="13"/>
        <v>1.4084507042253521E-2</v>
      </c>
      <c r="P45" s="54">
        <v>20</v>
      </c>
      <c r="Q45" s="55">
        <f t="shared" si="10"/>
        <v>0.14084507042253522</v>
      </c>
      <c r="R45" s="289"/>
      <c r="S45" s="315">
        <f t="shared" si="14"/>
        <v>7868.7136523176978</v>
      </c>
      <c r="T45" s="289"/>
      <c r="U45" s="315">
        <f t="shared" si="15"/>
        <v>419.96796926808202</v>
      </c>
      <c r="V45" s="804">
        <f>'Band Calculations'!Z20</f>
        <v>142</v>
      </c>
      <c r="W45" s="315">
        <f t="shared" si="16"/>
        <v>59635.45163606765</v>
      </c>
    </row>
    <row r="46" spans="1:23" x14ac:dyDescent="0.25">
      <c r="A46" s="244">
        <v>9257015</v>
      </c>
      <c r="B46" s="375" t="s">
        <v>217</v>
      </c>
      <c r="C46" s="1221" t="s">
        <v>522</v>
      </c>
      <c r="D46" s="1236">
        <v>5</v>
      </c>
      <c r="E46" s="1223">
        <f t="shared" si="11"/>
        <v>248</v>
      </c>
      <c r="F46" s="1226">
        <v>10</v>
      </c>
      <c r="G46" s="1225">
        <f t="shared" si="12"/>
        <v>4.0322580645161289E-2</v>
      </c>
      <c r="H46" s="1226">
        <v>55</v>
      </c>
      <c r="I46" s="1225">
        <f t="shared" si="7"/>
        <v>0.22177419354838709</v>
      </c>
      <c r="J46" s="1226">
        <v>162</v>
      </c>
      <c r="K46" s="1225">
        <f t="shared" si="8"/>
        <v>0.65322580645161288</v>
      </c>
      <c r="L46" s="1226">
        <v>0</v>
      </c>
      <c r="M46" s="1225">
        <f t="shared" si="9"/>
        <v>0</v>
      </c>
      <c r="N46" s="1248">
        <v>5</v>
      </c>
      <c r="O46" s="1225">
        <f t="shared" si="13"/>
        <v>2.0161290322580645E-2</v>
      </c>
      <c r="P46" s="54">
        <v>16</v>
      </c>
      <c r="Q46" s="55">
        <f t="shared" si="10"/>
        <v>6.4516129032258063E-2</v>
      </c>
      <c r="R46" s="289"/>
      <c r="S46" s="315">
        <f t="shared" si="14"/>
        <v>7550.8446683273978</v>
      </c>
      <c r="T46" s="289"/>
      <c r="U46" s="315">
        <f t="shared" si="15"/>
        <v>153.29777508785264</v>
      </c>
      <c r="V46" s="804">
        <f>'Band Calculations'!Z21</f>
        <v>230.83333333333337</v>
      </c>
      <c r="W46" s="315">
        <f t="shared" si="16"/>
        <v>35386.236416112661</v>
      </c>
    </row>
    <row r="47" spans="1:23" x14ac:dyDescent="0.25">
      <c r="A47" s="244">
        <v>9257016</v>
      </c>
      <c r="B47" s="375" t="s">
        <v>219</v>
      </c>
      <c r="C47" s="1221" t="s">
        <v>521</v>
      </c>
      <c r="D47" s="1236">
        <v>6</v>
      </c>
      <c r="E47" s="1223">
        <f t="shared" si="11"/>
        <v>135</v>
      </c>
      <c r="F47" s="1226">
        <v>58</v>
      </c>
      <c r="G47" s="1225">
        <f t="shared" si="12"/>
        <v>0.42962962962962964</v>
      </c>
      <c r="H47" s="1226">
        <v>0</v>
      </c>
      <c r="I47" s="1225">
        <f t="shared" si="7"/>
        <v>0</v>
      </c>
      <c r="J47" s="1226">
        <v>39</v>
      </c>
      <c r="K47" s="1225">
        <f t="shared" si="8"/>
        <v>0.28888888888888886</v>
      </c>
      <c r="L47" s="1226">
        <v>0</v>
      </c>
      <c r="M47" s="1225">
        <f t="shared" si="9"/>
        <v>0</v>
      </c>
      <c r="N47" s="1248">
        <v>38</v>
      </c>
      <c r="O47" s="1225">
        <f t="shared" si="13"/>
        <v>0.2814814814814815</v>
      </c>
      <c r="P47" s="54">
        <v>0</v>
      </c>
      <c r="Q47" s="55">
        <f t="shared" si="10"/>
        <v>0</v>
      </c>
      <c r="R47" s="289"/>
      <c r="S47" s="315">
        <f t="shared" si="14"/>
        <v>13059.825572091222</v>
      </c>
      <c r="T47" s="289"/>
      <c r="U47" s="315">
        <f>S47-Q23</f>
        <v>1820.8089617366259</v>
      </c>
      <c r="V47" s="804">
        <f>'Band Calculations'!Z23</f>
        <v>129</v>
      </c>
      <c r="W47" s="315">
        <f t="shared" si="16"/>
        <v>234884.35606402473</v>
      </c>
    </row>
    <row r="48" spans="1:23" ht="13" x14ac:dyDescent="0.3">
      <c r="A48" s="289"/>
      <c r="B48" s="1230" t="s">
        <v>357</v>
      </c>
      <c r="C48" s="1230"/>
      <c r="D48" s="1230"/>
      <c r="E48" s="56">
        <f>SUM(E30:E47)</f>
        <v>1607</v>
      </c>
      <c r="F48" s="57">
        <f>SUM(F30:F47)</f>
        <v>154</v>
      </c>
      <c r="G48" s="1237"/>
      <c r="H48" s="57">
        <f>SUM(H30:H47)</f>
        <v>300</v>
      </c>
      <c r="I48" s="1238"/>
      <c r="J48" s="57">
        <f>SUM(J30:J47)</f>
        <v>620</v>
      </c>
      <c r="K48" s="1238"/>
      <c r="L48" s="57">
        <f>SUM(L30:L47)</f>
        <v>19</v>
      </c>
      <c r="M48" s="1238"/>
      <c r="N48" s="353">
        <f>SUM(N30:N47)</f>
        <v>100</v>
      </c>
      <c r="O48" s="1238"/>
      <c r="P48" s="58">
        <f>SUM(P30:P47)</f>
        <v>414</v>
      </c>
      <c r="Q48" s="59"/>
      <c r="R48" s="289"/>
      <c r="S48" s="289"/>
      <c r="T48" s="289"/>
      <c r="U48" s="289"/>
      <c r="V48" s="569"/>
      <c r="W48" s="289"/>
    </row>
    <row r="49" spans="2:23" ht="13" thickBot="1" x14ac:dyDescent="0.3">
      <c r="B49" s="1230" t="s">
        <v>525</v>
      </c>
      <c r="C49" s="1230"/>
      <c r="D49" s="1230"/>
      <c r="E49" s="1232"/>
      <c r="F49" s="1233">
        <f>F48/E48</f>
        <v>9.5830740510267576E-2</v>
      </c>
      <c r="G49" s="1225"/>
      <c r="H49" s="1233">
        <f>H48/E48</f>
        <v>0.18668326073428748</v>
      </c>
      <c r="I49" s="1225"/>
      <c r="J49" s="1233">
        <f>J48/E48</f>
        <v>0.38581207218419417</v>
      </c>
      <c r="K49" s="1225"/>
      <c r="L49" s="1233">
        <f>L48/E48</f>
        <v>1.1823273179838207E-2</v>
      </c>
      <c r="M49" s="1225"/>
      <c r="N49" s="1233">
        <f>N48/E48</f>
        <v>6.2227753578095832E-2</v>
      </c>
      <c r="O49" s="1225"/>
      <c r="P49" s="60">
        <f>P48/E48</f>
        <v>0.25762289981331676</v>
      </c>
      <c r="Q49" s="59"/>
      <c r="R49" s="289"/>
      <c r="S49" s="289"/>
      <c r="T49" s="289"/>
      <c r="U49" s="289"/>
      <c r="V49" s="289"/>
      <c r="W49" s="1239">
        <f>SUM(W30:W47)</f>
        <v>1060541.8935978892</v>
      </c>
    </row>
    <row r="52" spans="2:23" x14ac:dyDescent="0.25">
      <c r="B52" s="1504" t="s">
        <v>539</v>
      </c>
      <c r="C52" s="1504"/>
      <c r="D52" s="1504"/>
      <c r="E52" s="1504"/>
      <c r="F52" s="379">
        <f>F49-F25</f>
        <v>-1.2950386619483403E-2</v>
      </c>
      <c r="G52" s="379"/>
      <c r="H52" s="379">
        <f>H49-H25</f>
        <v>-5.9772897244281253E-3</v>
      </c>
      <c r="I52" s="379"/>
      <c r="J52" s="379">
        <f>J49-J25</f>
        <v>1.2941823167156141E-2</v>
      </c>
      <c r="K52" s="379"/>
      <c r="L52" s="379">
        <f>L49-L25</f>
        <v>-3.8635442416492069E-2</v>
      </c>
      <c r="M52" s="379"/>
      <c r="N52" s="379">
        <f>N49</f>
        <v>6.2227753578095832E-2</v>
      </c>
      <c r="O52" s="316"/>
      <c r="P52" s="379">
        <f>P49-N25</f>
        <v>-1.7606457984848389E-2</v>
      </c>
      <c r="Q52" s="289"/>
      <c r="R52" s="289"/>
      <c r="S52" s="289"/>
      <c r="T52" s="289"/>
      <c r="U52" s="289"/>
      <c r="V52" s="289"/>
      <c r="W52" s="289"/>
    </row>
    <row r="53" spans="2:23" x14ac:dyDescent="0.25">
      <c r="B53" s="289"/>
      <c r="C53" s="289"/>
      <c r="D53" s="289"/>
      <c r="E53" s="316"/>
      <c r="F53" s="316"/>
      <c r="G53" s="316"/>
      <c r="H53" s="316"/>
      <c r="I53" s="316"/>
      <c r="J53" s="316"/>
      <c r="K53" s="316"/>
      <c r="L53" s="316"/>
      <c r="M53" s="316"/>
      <c r="N53" s="316"/>
      <c r="O53" s="316"/>
      <c r="P53" s="316"/>
      <c r="Q53" s="289"/>
      <c r="R53" s="289"/>
      <c r="S53" s="289"/>
      <c r="T53" s="289"/>
      <c r="U53" s="289"/>
      <c r="V53" s="289"/>
      <c r="W53" s="289"/>
    </row>
    <row r="54" spans="2:23" x14ac:dyDescent="0.25">
      <c r="B54" s="289"/>
      <c r="C54" s="289"/>
      <c r="D54" s="289"/>
      <c r="E54" s="316"/>
      <c r="F54" s="92">
        <v>11692.020638096787</v>
      </c>
      <c r="G54" s="316"/>
      <c r="H54" s="92">
        <v>7350.1419469065795</v>
      </c>
      <c r="I54" s="316"/>
      <c r="J54" s="92">
        <v>6243.7244928897762</v>
      </c>
      <c r="K54" s="316"/>
      <c r="L54" s="92">
        <v>11692.020638096787</v>
      </c>
      <c r="M54" s="316"/>
      <c r="N54" s="235">
        <v>22143</v>
      </c>
      <c r="O54" s="316"/>
      <c r="P54" s="92">
        <v>11692.020638096787</v>
      </c>
      <c r="Q54" s="289"/>
      <c r="R54" s="289"/>
      <c r="S54" s="289"/>
      <c r="T54" s="289"/>
      <c r="U54" s="289"/>
      <c r="V54" s="289"/>
      <c r="W54" s="289"/>
    </row>
    <row r="55" spans="2:23" x14ac:dyDescent="0.25">
      <c r="B55" s="289"/>
      <c r="C55" s="289"/>
      <c r="D55" s="289"/>
      <c r="E55" s="316"/>
      <c r="F55" s="316"/>
      <c r="G55" s="316"/>
      <c r="H55" s="316"/>
      <c r="I55" s="316"/>
      <c r="J55" s="316"/>
      <c r="K55" s="316"/>
      <c r="L55" s="316"/>
      <c r="M55" s="316"/>
      <c r="N55" s="316"/>
      <c r="O55" s="316"/>
      <c r="P55" s="316"/>
      <c r="Q55" s="289"/>
      <c r="R55" s="289"/>
      <c r="S55" s="289"/>
      <c r="T55" s="289"/>
      <c r="U55" s="289"/>
      <c r="V55" s="289"/>
      <c r="W55" s="289"/>
    </row>
    <row r="56" spans="2:23" x14ac:dyDescent="0.25">
      <c r="B56" s="289"/>
      <c r="C56" s="289"/>
      <c r="D56" s="289"/>
      <c r="E56" s="316"/>
      <c r="F56" s="316"/>
      <c r="G56" s="316"/>
      <c r="H56" s="316"/>
      <c r="I56" s="316"/>
      <c r="J56" s="316"/>
      <c r="K56" s="316"/>
      <c r="L56" s="316"/>
      <c r="M56" s="316"/>
      <c r="N56" s="316"/>
      <c r="O56" s="316"/>
      <c r="P56" s="235">
        <v>2635.0478891670464</v>
      </c>
      <c r="Q56" s="289"/>
      <c r="R56" s="289"/>
      <c r="S56" s="289"/>
      <c r="T56" s="289"/>
      <c r="U56" s="289"/>
      <c r="V56" s="289"/>
      <c r="W56" s="289"/>
    </row>
    <row r="58" spans="2:23" x14ac:dyDescent="0.25">
      <c r="B58" s="1"/>
      <c r="C58" s="289"/>
      <c r="D58" s="289"/>
      <c r="E58" s="316"/>
      <c r="F58" s="316" t="s">
        <v>39</v>
      </c>
      <c r="G58" s="316" t="s">
        <v>42</v>
      </c>
      <c r="H58" s="316" t="s">
        <v>45</v>
      </c>
      <c r="I58" s="316" t="s">
        <v>48</v>
      </c>
      <c r="J58" s="316" t="s">
        <v>51</v>
      </c>
      <c r="K58" s="316" t="s">
        <v>668</v>
      </c>
      <c r="L58" s="316"/>
      <c r="M58" s="316"/>
      <c r="N58" s="316"/>
      <c r="O58" s="316"/>
      <c r="P58" s="289"/>
      <c r="Q58" s="289"/>
      <c r="R58" s="289"/>
      <c r="S58" s="289"/>
      <c r="T58" s="289"/>
      <c r="U58" s="289"/>
      <c r="V58" s="289"/>
      <c r="W58" s="289"/>
    </row>
    <row r="59" spans="2:23" x14ac:dyDescent="0.25">
      <c r="B59" s="98"/>
      <c r="C59" s="289"/>
      <c r="D59" s="289"/>
      <c r="E59" s="316"/>
      <c r="F59" s="374">
        <f>'Band Calculations 1718'!D6</f>
        <v>0.40476190476190477</v>
      </c>
      <c r="G59" s="374">
        <f>'Band Calculations 1718'!E6</f>
        <v>0.2857142857142857</v>
      </c>
      <c r="H59" s="374">
        <f>'Band Calculations 1718'!F6</f>
        <v>0.11904761904761904</v>
      </c>
      <c r="I59" s="374">
        <f>'Band Calculations 1718'!G6</f>
        <v>0.11904761904761904</v>
      </c>
      <c r="J59" s="374">
        <f>'Band Calculations 1718'!H6</f>
        <v>7.1428571428571425E-2</v>
      </c>
      <c r="K59" s="374">
        <f>'Band Calculations 1718'!I6</f>
        <v>0</v>
      </c>
      <c r="L59" s="374"/>
      <c r="M59" s="316"/>
      <c r="N59" s="316"/>
      <c r="O59" s="316"/>
      <c r="P59" s="289"/>
      <c r="Q59" s="289"/>
      <c r="R59" s="289"/>
      <c r="S59" s="289"/>
      <c r="T59" s="289"/>
      <c r="U59" s="289"/>
      <c r="V59" s="289"/>
      <c r="W59" s="289"/>
    </row>
    <row r="60" spans="2:23" x14ac:dyDescent="0.25">
      <c r="B60" s="1249" t="s">
        <v>205</v>
      </c>
      <c r="C60" s="289"/>
      <c r="D60" s="289" t="s">
        <v>790</v>
      </c>
      <c r="E60" s="376">
        <f>'Band Calculations - Rebase'!V110</f>
        <v>50.333333333333343</v>
      </c>
      <c r="F60" s="377">
        <f t="shared" ref="F60:K60" si="17">$E$60*F59</f>
        <v>20.373015873015877</v>
      </c>
      <c r="G60" s="377">
        <f t="shared" si="17"/>
        <v>14.380952380952383</v>
      </c>
      <c r="H60" s="377">
        <f t="shared" si="17"/>
        <v>5.992063492063493</v>
      </c>
      <c r="I60" s="377">
        <f t="shared" si="17"/>
        <v>5.992063492063493</v>
      </c>
      <c r="J60" s="377">
        <f t="shared" si="17"/>
        <v>3.5952380952380958</v>
      </c>
      <c r="K60" s="377">
        <f t="shared" si="17"/>
        <v>0</v>
      </c>
      <c r="L60" s="376"/>
      <c r="M60" s="1250"/>
      <c r="N60" s="316"/>
      <c r="O60" s="316"/>
      <c r="P60" s="289"/>
      <c r="Q60" s="289"/>
      <c r="R60" s="289"/>
      <c r="S60" s="289"/>
      <c r="T60" s="289"/>
      <c r="U60" s="289"/>
      <c r="V60" s="289"/>
      <c r="W60" s="289"/>
    </row>
    <row r="61" spans="2:23" x14ac:dyDescent="0.25">
      <c r="B61" s="289"/>
      <c r="C61" s="289"/>
      <c r="D61" s="289" t="s">
        <v>791</v>
      </c>
      <c r="E61" s="376">
        <f>E60</f>
        <v>50.333333333333343</v>
      </c>
      <c r="F61" s="377">
        <f>F60-(K61-I60)</f>
        <v>18.365079365079371</v>
      </c>
      <c r="G61" s="377">
        <f>G60</f>
        <v>14.380952380952383</v>
      </c>
      <c r="H61" s="377">
        <f>H60</f>
        <v>5.992063492063493</v>
      </c>
      <c r="I61" s="316">
        <v>0</v>
      </c>
      <c r="J61" s="377">
        <f>J60</f>
        <v>3.5952380952380958</v>
      </c>
      <c r="K61" s="316">
        <v>8</v>
      </c>
      <c r="L61" s="376"/>
      <c r="M61" s="1250"/>
      <c r="N61" s="316"/>
      <c r="O61" s="316"/>
      <c r="P61" s="289"/>
      <c r="Q61" s="289"/>
      <c r="R61" s="289"/>
      <c r="S61" s="289"/>
      <c r="T61" s="289"/>
      <c r="U61" s="289"/>
      <c r="V61" s="289"/>
      <c r="W61" s="289"/>
    </row>
    <row r="62" spans="2:23" x14ac:dyDescent="0.25">
      <c r="B62" s="289"/>
      <c r="C62" s="289"/>
      <c r="D62" s="289"/>
      <c r="E62" s="316"/>
      <c r="F62" s="379">
        <f t="shared" ref="F62:K62" si="18">F61/$E$61</f>
        <v>0.36486912645853048</v>
      </c>
      <c r="G62" s="379">
        <f t="shared" si="18"/>
        <v>0.2857142857142857</v>
      </c>
      <c r="H62" s="379">
        <f t="shared" si="18"/>
        <v>0.11904761904761904</v>
      </c>
      <c r="I62" s="379">
        <f t="shared" si="18"/>
        <v>0</v>
      </c>
      <c r="J62" s="379">
        <f t="shared" si="18"/>
        <v>7.1428571428571425E-2</v>
      </c>
      <c r="K62" s="379">
        <f t="shared" si="18"/>
        <v>0.15894039735099336</v>
      </c>
      <c r="L62" s="316"/>
      <c r="M62" s="379">
        <f>SUM(F62:K62)</f>
        <v>1</v>
      </c>
      <c r="N62" s="316"/>
      <c r="O62" s="316"/>
      <c r="P62" s="289"/>
      <c r="Q62" s="289"/>
      <c r="R62" s="289"/>
      <c r="S62" s="289"/>
      <c r="T62" s="289"/>
      <c r="U62" s="289"/>
      <c r="V62" s="289"/>
      <c r="W62" s="289"/>
    </row>
    <row r="64" spans="2:23" x14ac:dyDescent="0.25">
      <c r="B64" s="289"/>
      <c r="C64" s="289"/>
      <c r="D64" s="289"/>
      <c r="E64" s="316"/>
      <c r="F64" s="374">
        <f>'Band Calculations 1718'!D7</f>
        <v>0.13157894736842105</v>
      </c>
      <c r="G64" s="374">
        <f>'Band Calculations 1718'!E7</f>
        <v>0.35526315789473684</v>
      </c>
      <c r="H64" s="374">
        <f>'Band Calculations 1718'!F7</f>
        <v>0.17105263157894737</v>
      </c>
      <c r="I64" s="374">
        <f>'Band Calculations 1718'!G7</f>
        <v>0.14473684210526316</v>
      </c>
      <c r="J64" s="374">
        <f>'Band Calculations 1718'!H7</f>
        <v>0.19736842105263158</v>
      </c>
      <c r="K64" s="374">
        <f>'Band Calculations 1718'!I7</f>
        <v>0</v>
      </c>
      <c r="L64" s="316"/>
      <c r="M64" s="316"/>
      <c r="N64" s="316"/>
      <c r="O64" s="316"/>
      <c r="P64" s="289"/>
      <c r="Q64" s="289"/>
      <c r="R64" s="289"/>
      <c r="S64" s="289"/>
      <c r="T64" s="289"/>
      <c r="U64" s="289"/>
      <c r="V64" s="289"/>
      <c r="W64" s="289"/>
    </row>
    <row r="65" spans="2:13" s="6" customFormat="1" x14ac:dyDescent="0.25">
      <c r="B65" s="375" t="s">
        <v>208</v>
      </c>
      <c r="C65" s="289"/>
      <c r="D65" s="289" t="s">
        <v>790</v>
      </c>
      <c r="E65" s="376">
        <f>SUM('Band Calculations - Rebase'!V111)</f>
        <v>74.666666666666657</v>
      </c>
      <c r="F65" s="377">
        <f t="shared" ref="F65:K65" si="19">$E$65*F64</f>
        <v>9.8245614035087705</v>
      </c>
      <c r="G65" s="377">
        <f t="shared" si="19"/>
        <v>26.526315789473681</v>
      </c>
      <c r="H65" s="377">
        <f t="shared" si="19"/>
        <v>12.771929824561402</v>
      </c>
      <c r="I65" s="377">
        <f t="shared" si="19"/>
        <v>10.807017543859649</v>
      </c>
      <c r="J65" s="377">
        <f t="shared" si="19"/>
        <v>14.736842105263156</v>
      </c>
      <c r="K65" s="377">
        <f t="shared" si="19"/>
        <v>0</v>
      </c>
      <c r="L65" s="316"/>
      <c r="M65" s="316"/>
    </row>
    <row r="66" spans="2:13" s="6" customFormat="1" x14ac:dyDescent="0.25">
      <c r="B66" s="289"/>
      <c r="C66" s="289"/>
      <c r="D66" s="289" t="s">
        <v>791</v>
      </c>
      <c r="E66" s="376">
        <f>E65</f>
        <v>74.666666666666657</v>
      </c>
      <c r="F66" s="377">
        <f>F65</f>
        <v>9.8245614035087705</v>
      </c>
      <c r="G66" s="377">
        <f>G65</f>
        <v>26.526315789473681</v>
      </c>
      <c r="H66" s="377">
        <f>H65</f>
        <v>12.771929824561402</v>
      </c>
      <c r="I66" s="377">
        <f>I65-K66</f>
        <v>3.807017543859649</v>
      </c>
      <c r="J66" s="377">
        <f>J65</f>
        <v>14.736842105263156</v>
      </c>
      <c r="K66" s="376">
        <f>N31</f>
        <v>7</v>
      </c>
      <c r="L66" s="316"/>
      <c r="M66" s="316"/>
    </row>
    <row r="67" spans="2:13" s="6" customFormat="1" x14ac:dyDescent="0.25">
      <c r="B67" s="289"/>
      <c r="C67" s="289"/>
      <c r="D67" s="289"/>
      <c r="E67" s="376"/>
      <c r="F67" s="379">
        <f t="shared" ref="F67:K67" si="20">F66/$E$66</f>
        <v>0.13157894736842105</v>
      </c>
      <c r="G67" s="379">
        <f t="shared" si="20"/>
        <v>0.35526315789473684</v>
      </c>
      <c r="H67" s="379">
        <f t="shared" si="20"/>
        <v>0.17105263157894737</v>
      </c>
      <c r="I67" s="379">
        <f t="shared" si="20"/>
        <v>5.0986842105263164E-2</v>
      </c>
      <c r="J67" s="379">
        <f t="shared" si="20"/>
        <v>0.19736842105263158</v>
      </c>
      <c r="K67" s="379">
        <f t="shared" si="20"/>
        <v>9.3750000000000014E-2</v>
      </c>
      <c r="L67" s="316"/>
      <c r="M67" s="379">
        <f>SUM(F67:K67)</f>
        <v>1</v>
      </c>
    </row>
    <row r="69" spans="2:13" s="6" customFormat="1" x14ac:dyDescent="0.25">
      <c r="B69" s="289"/>
      <c r="C69" s="289"/>
      <c r="D69" s="289"/>
      <c r="E69" s="316"/>
      <c r="F69" s="374">
        <f>'Band Calculations 1718'!D8</f>
        <v>0.26415094339622641</v>
      </c>
      <c r="G69" s="374">
        <f>'Band Calculations 1718'!E8</f>
        <v>0.41509433962264153</v>
      </c>
      <c r="H69" s="374">
        <f>'Band Calculations 1718'!F8</f>
        <v>5.6603773584905662E-2</v>
      </c>
      <c r="I69" s="374">
        <f>'Band Calculations 1718'!G8</f>
        <v>5.6603773584905662E-2</v>
      </c>
      <c r="J69" s="374">
        <f>'Band Calculations 1718'!H8</f>
        <v>0.20754716981132076</v>
      </c>
      <c r="K69" s="374">
        <f>'Band Calculations 1718'!I8</f>
        <v>0</v>
      </c>
      <c r="L69" s="316"/>
      <c r="M69" s="316"/>
    </row>
    <row r="70" spans="2:13" s="6" customFormat="1" x14ac:dyDescent="0.25">
      <c r="B70" s="375" t="s">
        <v>209</v>
      </c>
      <c r="C70" s="289"/>
      <c r="D70" s="289" t="s">
        <v>790</v>
      </c>
      <c r="E70" s="376">
        <f>SUM('Band Calculations - Rebase'!V112)</f>
        <v>62.833333333333336</v>
      </c>
      <c r="F70" s="377">
        <f t="shared" ref="F70:K70" si="21">$E$70*F69</f>
        <v>16.59748427672956</v>
      </c>
      <c r="G70" s="377">
        <f t="shared" si="21"/>
        <v>26.081761006289309</v>
      </c>
      <c r="H70" s="377">
        <f t="shared" si="21"/>
        <v>3.5566037735849059</v>
      </c>
      <c r="I70" s="377">
        <f t="shared" si="21"/>
        <v>3.5566037735849059</v>
      </c>
      <c r="J70" s="377">
        <f t="shared" si="21"/>
        <v>13.040880503144654</v>
      </c>
      <c r="K70" s="377">
        <f t="shared" si="21"/>
        <v>0</v>
      </c>
      <c r="L70" s="316"/>
      <c r="M70" s="316"/>
    </row>
    <row r="71" spans="2:13" s="6" customFormat="1" x14ac:dyDescent="0.25">
      <c r="B71" s="289"/>
      <c r="C71" s="289"/>
      <c r="D71" s="289" t="s">
        <v>791</v>
      </c>
      <c r="E71" s="376">
        <f>E70</f>
        <v>62.833333333333336</v>
      </c>
      <c r="F71" s="377">
        <f>F70-(K71-I70)</f>
        <v>14.154088050314465</v>
      </c>
      <c r="G71" s="377">
        <f>G70</f>
        <v>26.081761006289309</v>
      </c>
      <c r="H71" s="377">
        <f>H70</f>
        <v>3.5566037735849059</v>
      </c>
      <c r="I71" s="377">
        <v>0</v>
      </c>
      <c r="J71" s="377">
        <f>J70</f>
        <v>13.040880503144654</v>
      </c>
      <c r="K71" s="377">
        <f>N32</f>
        <v>6</v>
      </c>
      <c r="L71" s="316"/>
      <c r="M71" s="316"/>
    </row>
    <row r="72" spans="2:13" s="6" customFormat="1" x14ac:dyDescent="0.25">
      <c r="B72" s="289"/>
      <c r="C72" s="289"/>
      <c r="D72" s="289"/>
      <c r="E72" s="316"/>
      <c r="F72" s="379">
        <f t="shared" ref="F72:K72" si="22">F71/$E$71</f>
        <v>0.2252640008007607</v>
      </c>
      <c r="G72" s="379">
        <f t="shared" si="22"/>
        <v>0.41509433962264153</v>
      </c>
      <c r="H72" s="379">
        <f t="shared" si="22"/>
        <v>5.6603773584905662E-2</v>
      </c>
      <c r="I72" s="379">
        <f t="shared" si="22"/>
        <v>0</v>
      </c>
      <c r="J72" s="379">
        <f t="shared" si="22"/>
        <v>0.20754716981132076</v>
      </c>
      <c r="K72" s="379">
        <f t="shared" si="22"/>
        <v>9.5490716180371346E-2</v>
      </c>
      <c r="L72" s="316"/>
      <c r="M72" s="379">
        <f>SUM(F72:K72)</f>
        <v>1</v>
      </c>
    </row>
    <row r="74" spans="2:13" s="6" customFormat="1" x14ac:dyDescent="0.25">
      <c r="B74" s="289"/>
      <c r="C74" s="289"/>
      <c r="D74" s="289"/>
      <c r="E74" s="316"/>
      <c r="F74" s="374">
        <f>'Band Calculations 1718'!D9</f>
        <v>0.4</v>
      </c>
      <c r="G74" s="374">
        <f>'Band Calculations 1718'!E9</f>
        <v>0.42222222222222222</v>
      </c>
      <c r="H74" s="374">
        <f>'Band Calculations 1718'!F9</f>
        <v>0</v>
      </c>
      <c r="I74" s="374">
        <f>'Band Calculations 1718'!G9</f>
        <v>2.2222222222222223E-2</v>
      </c>
      <c r="J74" s="374">
        <f>'Band Calculations 1718'!H9</f>
        <v>0.15555555555555556</v>
      </c>
      <c r="K74" s="374">
        <f>'Band Calculations 1718'!I9</f>
        <v>0</v>
      </c>
      <c r="L74" s="316"/>
      <c r="M74" s="316"/>
    </row>
    <row r="75" spans="2:13" s="6" customFormat="1" x14ac:dyDescent="0.25">
      <c r="B75" s="375" t="s">
        <v>210</v>
      </c>
      <c r="C75" s="289"/>
      <c r="D75" s="289" t="s">
        <v>790</v>
      </c>
      <c r="E75" s="376">
        <f>SUM('Band Calculations - Rebase'!V113)</f>
        <v>53.833333333333329</v>
      </c>
      <c r="F75" s="377">
        <f t="shared" ref="F75:K75" si="23">$E$75*F74</f>
        <v>21.533333333333331</v>
      </c>
      <c r="G75" s="377">
        <f t="shared" si="23"/>
        <v>22.729629629629628</v>
      </c>
      <c r="H75" s="377">
        <f t="shared" si="23"/>
        <v>0</v>
      </c>
      <c r="I75" s="377">
        <f t="shared" si="23"/>
        <v>1.1962962962962962</v>
      </c>
      <c r="J75" s="377">
        <f t="shared" si="23"/>
        <v>8.3740740740740733</v>
      </c>
      <c r="K75" s="377">
        <f t="shared" si="23"/>
        <v>0</v>
      </c>
      <c r="L75" s="316"/>
      <c r="M75" s="316"/>
    </row>
    <row r="76" spans="2:13" s="6" customFormat="1" x14ac:dyDescent="0.25">
      <c r="B76" s="289"/>
      <c r="C76" s="289"/>
      <c r="D76" s="289" t="s">
        <v>791</v>
      </c>
      <c r="E76" s="376">
        <f>E75</f>
        <v>53.833333333333329</v>
      </c>
      <c r="F76" s="377">
        <f>F75-(K76-I75)</f>
        <v>16.729629629629628</v>
      </c>
      <c r="G76" s="377">
        <f>G75</f>
        <v>22.729629629629628</v>
      </c>
      <c r="H76" s="377">
        <f>H75</f>
        <v>0</v>
      </c>
      <c r="I76" s="377">
        <v>0</v>
      </c>
      <c r="J76" s="377">
        <f>J75</f>
        <v>8.3740740740740733</v>
      </c>
      <c r="K76" s="376">
        <f>N33</f>
        <v>6</v>
      </c>
      <c r="L76" s="316"/>
      <c r="M76" s="316"/>
    </row>
    <row r="77" spans="2:13" s="6" customFormat="1" x14ac:dyDescent="0.25">
      <c r="B77" s="289"/>
      <c r="C77" s="289"/>
      <c r="D77" s="289"/>
      <c r="E77" s="316"/>
      <c r="F77" s="379">
        <f t="shared" ref="F77:K77" si="24">F76/$E$76</f>
        <v>0.31076711386308908</v>
      </c>
      <c r="G77" s="379">
        <f t="shared" si="24"/>
        <v>0.42222222222222222</v>
      </c>
      <c r="H77" s="379">
        <f t="shared" si="24"/>
        <v>0</v>
      </c>
      <c r="I77" s="379">
        <f t="shared" si="24"/>
        <v>0</v>
      </c>
      <c r="J77" s="379">
        <f t="shared" si="24"/>
        <v>0.15555555555555556</v>
      </c>
      <c r="K77" s="379">
        <f t="shared" si="24"/>
        <v>0.11145510835913314</v>
      </c>
      <c r="L77" s="316"/>
      <c r="M77" s="379">
        <f>SUM(F77:K77)</f>
        <v>1</v>
      </c>
    </row>
    <row r="79" spans="2:13" s="6" customFormat="1" x14ac:dyDescent="0.25">
      <c r="B79" s="289"/>
      <c r="C79" s="289"/>
      <c r="D79" s="289"/>
      <c r="E79" s="316"/>
      <c r="F79" s="374">
        <f>SUM('Band Calculations 1718'!D10)</f>
        <v>0.2</v>
      </c>
      <c r="G79" s="374">
        <f>SUM('Band Calculations 1718'!E10)</f>
        <v>0.5636363636363636</v>
      </c>
      <c r="H79" s="374">
        <f>SUM('Band Calculations 1718'!F10)</f>
        <v>1.8181818181818181E-2</v>
      </c>
      <c r="I79" s="374">
        <f>SUM('Band Calculations 1718'!G10)</f>
        <v>0.16363636363636364</v>
      </c>
      <c r="J79" s="374">
        <f>SUM('Band Calculations 1718'!H10)</f>
        <v>5.4545454545454543E-2</v>
      </c>
      <c r="K79" s="374">
        <f>SUM('Band Calculations 1718'!I10)</f>
        <v>0</v>
      </c>
      <c r="L79" s="316"/>
      <c r="M79" s="316"/>
    </row>
    <row r="80" spans="2:13" s="6" customFormat="1" x14ac:dyDescent="0.25">
      <c r="B80" s="375" t="s">
        <v>211</v>
      </c>
      <c r="C80" s="289"/>
      <c r="D80" s="289" t="s">
        <v>790</v>
      </c>
      <c r="E80" s="376">
        <f>SUM('Band Calculations - Rebase'!V114)</f>
        <v>64.25</v>
      </c>
      <c r="F80" s="377">
        <f t="shared" ref="F80:K80" si="25">$E$80*F79</f>
        <v>12.850000000000001</v>
      </c>
      <c r="G80" s="377">
        <f t="shared" si="25"/>
        <v>36.213636363636361</v>
      </c>
      <c r="H80" s="377">
        <f t="shared" si="25"/>
        <v>1.1681818181818182</v>
      </c>
      <c r="I80" s="377">
        <f t="shared" si="25"/>
        <v>10.513636363636364</v>
      </c>
      <c r="J80" s="377">
        <f t="shared" si="25"/>
        <v>3.5045454545454544</v>
      </c>
      <c r="K80" s="377">
        <f t="shared" si="25"/>
        <v>0</v>
      </c>
      <c r="L80" s="316"/>
      <c r="M80" s="316"/>
    </row>
    <row r="81" spans="2:13" s="6" customFormat="1" x14ac:dyDescent="0.25">
      <c r="B81" s="289"/>
      <c r="C81" s="289"/>
      <c r="D81" s="289" t="s">
        <v>791</v>
      </c>
      <c r="E81" s="376">
        <f>E80</f>
        <v>64.25</v>
      </c>
      <c r="F81" s="377">
        <f>F80</f>
        <v>12.850000000000001</v>
      </c>
      <c r="G81" s="377">
        <f>G80</f>
        <v>36.213636363636361</v>
      </c>
      <c r="H81" s="377">
        <f>H80</f>
        <v>1.1681818181818182</v>
      </c>
      <c r="I81" s="377">
        <f>I80-K81</f>
        <v>1.5136363636363637</v>
      </c>
      <c r="J81" s="377">
        <f>J80</f>
        <v>3.5045454545454544</v>
      </c>
      <c r="K81" s="376">
        <f>N34</f>
        <v>9</v>
      </c>
      <c r="L81" s="316"/>
      <c r="M81" s="316"/>
    </row>
    <row r="82" spans="2:13" s="6" customFormat="1" x14ac:dyDescent="0.25">
      <c r="B82" s="289"/>
      <c r="C82" s="289"/>
      <c r="D82" s="289"/>
      <c r="E82" s="316"/>
      <c r="F82" s="379">
        <f t="shared" ref="F82:K82" si="26">F81/$E$81</f>
        <v>0.2</v>
      </c>
      <c r="G82" s="379">
        <f t="shared" si="26"/>
        <v>0.5636363636363636</v>
      </c>
      <c r="H82" s="379">
        <f t="shared" si="26"/>
        <v>1.8181818181818181E-2</v>
      </c>
      <c r="I82" s="379">
        <f t="shared" si="26"/>
        <v>2.3558542624690485E-2</v>
      </c>
      <c r="J82" s="379">
        <f t="shared" si="26"/>
        <v>5.4545454545454543E-2</v>
      </c>
      <c r="K82" s="379">
        <f t="shared" si="26"/>
        <v>0.14007782101167315</v>
      </c>
      <c r="L82" s="316"/>
      <c r="M82" s="379">
        <f>SUM(F82:K82)</f>
        <v>1</v>
      </c>
    </row>
    <row r="84" spans="2:13" s="6" customFormat="1" x14ac:dyDescent="0.25">
      <c r="B84" s="289"/>
      <c r="C84" s="289"/>
      <c r="D84" s="289"/>
      <c r="E84" s="316"/>
      <c r="F84" s="374">
        <f>'Band Calculations 1718'!D15</f>
        <v>8.4033613445378148E-3</v>
      </c>
      <c r="G84" s="374">
        <f>'Band Calculations 1718'!E15</f>
        <v>0.27731092436974791</v>
      </c>
      <c r="H84" s="374">
        <f>'Band Calculations 1718'!F15</f>
        <v>0.59663865546218486</v>
      </c>
      <c r="I84" s="374">
        <f>'Band Calculations 1718'!G15</f>
        <v>2.5210084033613446E-2</v>
      </c>
      <c r="J84" s="374">
        <f>'Band Calculations 1718'!H15</f>
        <v>9.2436974789915971E-2</v>
      </c>
      <c r="K84" s="374">
        <f>'Band Calculations 1718'!I15</f>
        <v>0</v>
      </c>
      <c r="L84" s="316"/>
      <c r="M84" s="316"/>
    </row>
    <row r="85" spans="2:13" s="6" customFormat="1" x14ac:dyDescent="0.25">
      <c r="B85" s="375" t="s">
        <v>213</v>
      </c>
      <c r="C85" s="289"/>
      <c r="D85" s="289" t="s">
        <v>790</v>
      </c>
      <c r="E85" s="376">
        <f>'Band Calculations - Rebase'!V119</f>
        <v>134.91666666666669</v>
      </c>
      <c r="F85" s="377">
        <f t="shared" ref="F85:K85" si="27">$E$85*F84</f>
        <v>1.1337535014005604</v>
      </c>
      <c r="G85" s="377">
        <f t="shared" si="27"/>
        <v>37.413865546218496</v>
      </c>
      <c r="H85" s="377">
        <f t="shared" si="27"/>
        <v>80.496498599439789</v>
      </c>
      <c r="I85" s="377">
        <f t="shared" si="27"/>
        <v>3.401260504201681</v>
      </c>
      <c r="J85" s="377">
        <f t="shared" si="27"/>
        <v>12.471288515406165</v>
      </c>
      <c r="K85" s="377">
        <f t="shared" si="27"/>
        <v>0</v>
      </c>
      <c r="L85" s="316"/>
      <c r="M85" s="316"/>
    </row>
    <row r="86" spans="2:13" s="6" customFormat="1" x14ac:dyDescent="0.25">
      <c r="B86" s="289"/>
      <c r="C86" s="289"/>
      <c r="D86" s="289" t="s">
        <v>791</v>
      </c>
      <c r="E86" s="376">
        <f>E85</f>
        <v>134.91666666666669</v>
      </c>
      <c r="F86" s="377">
        <f>F85</f>
        <v>1.1337535014005604</v>
      </c>
      <c r="G86" s="377">
        <f>G85</f>
        <v>37.413865546218496</v>
      </c>
      <c r="H86" s="377">
        <f>H85</f>
        <v>80.496498599439789</v>
      </c>
      <c r="I86" s="377">
        <f>I85-K86</f>
        <v>2.401260504201681</v>
      </c>
      <c r="J86" s="377">
        <f>J85</f>
        <v>12.471288515406165</v>
      </c>
      <c r="K86" s="376">
        <f>N39</f>
        <v>1</v>
      </c>
      <c r="L86" s="316"/>
      <c r="M86" s="316"/>
    </row>
    <row r="87" spans="2:13" s="6" customFormat="1" x14ac:dyDescent="0.25">
      <c r="B87" s="289"/>
      <c r="C87" s="289"/>
      <c r="D87" s="289"/>
      <c r="E87" s="316"/>
      <c r="F87" s="379">
        <f t="shared" ref="F87:K87" si="28">F86/$E$86</f>
        <v>8.4033613445378148E-3</v>
      </c>
      <c r="G87" s="379">
        <f t="shared" si="28"/>
        <v>0.27731092436974791</v>
      </c>
      <c r="H87" s="379">
        <f t="shared" si="28"/>
        <v>0.59663865546218486</v>
      </c>
      <c r="I87" s="379">
        <f t="shared" si="28"/>
        <v>1.7798101328239758E-2</v>
      </c>
      <c r="J87" s="379">
        <f t="shared" si="28"/>
        <v>9.2436974789915971E-2</v>
      </c>
      <c r="K87" s="379">
        <f t="shared" si="28"/>
        <v>7.4119827053736867E-3</v>
      </c>
      <c r="L87" s="316"/>
      <c r="M87" s="379">
        <f>SUM(F87:K87)</f>
        <v>1</v>
      </c>
    </row>
    <row r="89" spans="2:13" s="6" customFormat="1" x14ac:dyDescent="0.25">
      <c r="B89" s="289"/>
      <c r="C89" s="289"/>
      <c r="D89" s="289"/>
      <c r="E89" s="316"/>
      <c r="F89" s="374">
        <f>'Band Calculations 1718'!D20</f>
        <v>0.23943661971830985</v>
      </c>
      <c r="G89" s="374">
        <f>'Band Calculations 1718'!E20</f>
        <v>0.3380281690140845</v>
      </c>
      <c r="H89" s="374">
        <f>'Band Calculations 1718'!F20</f>
        <v>0</v>
      </c>
      <c r="I89" s="374">
        <f>'Band Calculations 1718'!G20</f>
        <v>0.18309859154929578</v>
      </c>
      <c r="J89" s="374">
        <f>'Band Calculations 1718'!H20</f>
        <v>0.23943661971830985</v>
      </c>
      <c r="K89" s="374">
        <f>'Band Calculations 1718'!I20</f>
        <v>0</v>
      </c>
      <c r="L89" s="316"/>
      <c r="M89" s="316"/>
    </row>
    <row r="90" spans="2:13" s="6" customFormat="1" x14ac:dyDescent="0.25">
      <c r="B90" s="375" t="s">
        <v>215</v>
      </c>
      <c r="C90" s="289"/>
      <c r="D90" s="289" t="s">
        <v>790</v>
      </c>
      <c r="E90" s="376">
        <f>'Band Calculations - Rebase'!V124</f>
        <v>75</v>
      </c>
      <c r="F90" s="377">
        <f t="shared" ref="F90:K90" si="29">$E$90*F89</f>
        <v>17.95774647887324</v>
      </c>
      <c r="G90" s="377">
        <f t="shared" si="29"/>
        <v>25.352112676056336</v>
      </c>
      <c r="H90" s="377">
        <f t="shared" si="29"/>
        <v>0</v>
      </c>
      <c r="I90" s="377">
        <f t="shared" si="29"/>
        <v>13.732394366197184</v>
      </c>
      <c r="J90" s="377">
        <f t="shared" si="29"/>
        <v>17.95774647887324</v>
      </c>
      <c r="K90" s="377">
        <f t="shared" si="29"/>
        <v>0</v>
      </c>
      <c r="L90" s="316"/>
      <c r="M90" s="316"/>
    </row>
    <row r="91" spans="2:13" s="6" customFormat="1" x14ac:dyDescent="0.25">
      <c r="B91" s="289"/>
      <c r="C91" s="289"/>
      <c r="D91" s="289" t="s">
        <v>791</v>
      </c>
      <c r="E91" s="376">
        <f>E90</f>
        <v>75</v>
      </c>
      <c r="F91" s="377">
        <f>F90-(K91-I90)</f>
        <v>16.690140845070424</v>
      </c>
      <c r="G91" s="377">
        <f>G90</f>
        <v>25.352112676056336</v>
      </c>
      <c r="H91" s="377">
        <f>H90</f>
        <v>0</v>
      </c>
      <c r="I91" s="377">
        <v>0</v>
      </c>
      <c r="J91" s="377">
        <f>J90</f>
        <v>17.95774647887324</v>
      </c>
      <c r="K91" s="376">
        <f>N44</f>
        <v>15</v>
      </c>
      <c r="L91" s="316"/>
      <c r="M91" s="316"/>
    </row>
    <row r="92" spans="2:13" s="6" customFormat="1" x14ac:dyDescent="0.25">
      <c r="B92" s="289"/>
      <c r="C92" s="289"/>
      <c r="D92" s="289"/>
      <c r="E92" s="316"/>
      <c r="F92" s="379">
        <f t="shared" ref="F92:K92" si="30">F91/$E$91</f>
        <v>0.22253521126760564</v>
      </c>
      <c r="G92" s="379">
        <f t="shared" si="30"/>
        <v>0.3380281690140845</v>
      </c>
      <c r="H92" s="379">
        <f t="shared" si="30"/>
        <v>0</v>
      </c>
      <c r="I92" s="379">
        <f t="shared" si="30"/>
        <v>0</v>
      </c>
      <c r="J92" s="379">
        <f t="shared" si="30"/>
        <v>0.23943661971830987</v>
      </c>
      <c r="K92" s="379">
        <f t="shared" si="30"/>
        <v>0.2</v>
      </c>
      <c r="L92" s="316"/>
      <c r="M92" s="379">
        <f>SUM(F92:K92)</f>
        <v>1</v>
      </c>
    </row>
    <row r="94" spans="2:13" s="6" customFormat="1" x14ac:dyDescent="0.25">
      <c r="B94" s="289"/>
      <c r="C94" s="289"/>
      <c r="D94" s="289"/>
      <c r="E94" s="316"/>
      <c r="F94" s="374">
        <f>'Band Calculations 1718'!D21</f>
        <v>0</v>
      </c>
      <c r="G94" s="374">
        <f>'Band Calculations 1718'!E21</f>
        <v>9.8591549295774641E-2</v>
      </c>
      <c r="H94" s="374">
        <f>'Band Calculations 1718'!F21</f>
        <v>0.71830985915492962</v>
      </c>
      <c r="I94" s="374">
        <f>'Band Calculations 1718'!G21</f>
        <v>4.2253521126760563E-2</v>
      </c>
      <c r="J94" s="374">
        <f>'Band Calculations 1718'!H21</f>
        <v>0.14084507042253522</v>
      </c>
      <c r="K94" s="374">
        <f>'Band Calculations 1718'!I21</f>
        <v>0</v>
      </c>
      <c r="L94" s="316"/>
      <c r="M94" s="316"/>
    </row>
    <row r="95" spans="2:13" s="6" customFormat="1" x14ac:dyDescent="0.25">
      <c r="B95" s="375" t="s">
        <v>216</v>
      </c>
      <c r="C95" s="289"/>
      <c r="D95" s="289" t="s">
        <v>790</v>
      </c>
      <c r="E95" s="376">
        <f>'Band Calculations - Rebase'!V125</f>
        <v>155.91666666666669</v>
      </c>
      <c r="F95" s="377">
        <f t="shared" ref="F95:K95" si="31">$E$95*F94</f>
        <v>0</v>
      </c>
      <c r="G95" s="377">
        <f t="shared" si="31"/>
        <v>15.372065727699532</v>
      </c>
      <c r="H95" s="377">
        <f t="shared" si="31"/>
        <v>111.99647887323945</v>
      </c>
      <c r="I95" s="377">
        <f t="shared" si="31"/>
        <v>6.5880281690140849</v>
      </c>
      <c r="J95" s="377">
        <f t="shared" si="31"/>
        <v>21.960093896713619</v>
      </c>
      <c r="K95" s="377">
        <f t="shared" si="31"/>
        <v>0</v>
      </c>
      <c r="L95" s="316"/>
      <c r="M95" s="316"/>
    </row>
    <row r="96" spans="2:13" s="6" customFormat="1" x14ac:dyDescent="0.25">
      <c r="B96" s="378"/>
      <c r="C96" s="289"/>
      <c r="D96" s="289" t="s">
        <v>791</v>
      </c>
      <c r="E96" s="376">
        <f>E95</f>
        <v>155.91666666666669</v>
      </c>
      <c r="F96" s="377">
        <f>F95</f>
        <v>0</v>
      </c>
      <c r="G96" s="377">
        <f>G95</f>
        <v>15.372065727699532</v>
      </c>
      <c r="H96" s="377">
        <f>H95</f>
        <v>111.99647887323945</v>
      </c>
      <c r="I96" s="377">
        <f>I95-K96</f>
        <v>4.5880281690140849</v>
      </c>
      <c r="J96" s="377">
        <f>J95</f>
        <v>21.960093896713619</v>
      </c>
      <c r="K96" s="376">
        <f>N45</f>
        <v>2</v>
      </c>
      <c r="L96" s="316"/>
      <c r="M96" s="316"/>
    </row>
    <row r="97" spans="2:13" x14ac:dyDescent="0.25">
      <c r="B97" s="289"/>
      <c r="C97" s="289"/>
      <c r="D97" s="289"/>
      <c r="E97" s="316"/>
      <c r="F97" s="379">
        <f t="shared" ref="F97:K97" si="32">F96/$E$96</f>
        <v>0</v>
      </c>
      <c r="G97" s="379">
        <f t="shared" si="32"/>
        <v>9.8591549295774641E-2</v>
      </c>
      <c r="H97" s="379">
        <f t="shared" si="32"/>
        <v>0.71830985915492962</v>
      </c>
      <c r="I97" s="379">
        <f t="shared" si="32"/>
        <v>2.9426156081330312E-2</v>
      </c>
      <c r="J97" s="379">
        <f t="shared" si="32"/>
        <v>0.14084507042253522</v>
      </c>
      <c r="K97" s="379">
        <f t="shared" si="32"/>
        <v>1.282736504543025E-2</v>
      </c>
      <c r="L97" s="316"/>
      <c r="M97" s="379">
        <f>SUM(F97:K97)</f>
        <v>1</v>
      </c>
    </row>
    <row r="99" spans="2:13" x14ac:dyDescent="0.25">
      <c r="B99" s="289"/>
      <c r="C99" s="289"/>
      <c r="D99" s="289"/>
      <c r="E99" s="316"/>
      <c r="F99" s="374">
        <f>'Band Calculations 1718'!D22</f>
        <v>6.0483870967741937E-2</v>
      </c>
      <c r="G99" s="374">
        <f>'Band Calculations 1718'!E22</f>
        <v>0.22177419354838709</v>
      </c>
      <c r="H99" s="374">
        <f>'Band Calculations 1718'!F22</f>
        <v>0.65322580645161288</v>
      </c>
      <c r="I99" s="374">
        <f>'Band Calculations 1718'!G22</f>
        <v>0</v>
      </c>
      <c r="J99" s="374">
        <f>'Band Calculations 1718'!H22</f>
        <v>6.4516129032258063E-2</v>
      </c>
      <c r="K99" s="374">
        <f>'Band Calculations 1718'!I22</f>
        <v>0</v>
      </c>
      <c r="L99" s="316"/>
      <c r="M99" s="316"/>
    </row>
    <row r="100" spans="2:13" x14ac:dyDescent="0.25">
      <c r="B100" s="375" t="s">
        <v>217</v>
      </c>
      <c r="C100" s="289"/>
      <c r="D100" s="289" t="s">
        <v>790</v>
      </c>
      <c r="E100" s="376">
        <f>'Band Calculations - Rebase'!V126</f>
        <v>270.50000000000006</v>
      </c>
      <c r="F100" s="377">
        <f t="shared" ref="F100:K100" si="33">$E$100*F99</f>
        <v>16.360887096774196</v>
      </c>
      <c r="G100" s="377">
        <f t="shared" si="33"/>
        <v>59.989919354838719</v>
      </c>
      <c r="H100" s="377">
        <f t="shared" si="33"/>
        <v>176.69758064516131</v>
      </c>
      <c r="I100" s="377">
        <f t="shared" si="33"/>
        <v>0</v>
      </c>
      <c r="J100" s="377">
        <f t="shared" si="33"/>
        <v>17.451612903225811</v>
      </c>
      <c r="K100" s="377">
        <f t="shared" si="33"/>
        <v>0</v>
      </c>
      <c r="L100" s="316"/>
      <c r="M100" s="316"/>
    </row>
    <row r="101" spans="2:13" x14ac:dyDescent="0.25">
      <c r="B101" s="289"/>
      <c r="C101" s="289"/>
      <c r="D101" s="289" t="s">
        <v>791</v>
      </c>
      <c r="E101" s="376">
        <f>E100</f>
        <v>270.50000000000006</v>
      </c>
      <c r="F101" s="377">
        <f>F100-(K101-I100)</f>
        <v>11.360887096774196</v>
      </c>
      <c r="G101" s="377">
        <f>G100</f>
        <v>59.989919354838719</v>
      </c>
      <c r="H101" s="377">
        <f>H100</f>
        <v>176.69758064516131</v>
      </c>
      <c r="I101" s="377">
        <f>I100-(N101-L100)</f>
        <v>0</v>
      </c>
      <c r="J101" s="377">
        <f>J100</f>
        <v>17.451612903225811</v>
      </c>
      <c r="K101" s="376">
        <f>N46</f>
        <v>5</v>
      </c>
      <c r="L101" s="316"/>
      <c r="M101" s="316"/>
    </row>
    <row r="102" spans="2:13" x14ac:dyDescent="0.25">
      <c r="B102" s="289"/>
      <c r="C102" s="289"/>
      <c r="D102" s="289"/>
      <c r="E102" s="316"/>
      <c r="F102" s="379">
        <f t="shared" ref="F102:K102" si="34">F101/$E$101</f>
        <v>4.1999582612843596E-2</v>
      </c>
      <c r="G102" s="379">
        <f t="shared" si="34"/>
        <v>0.22177419354838709</v>
      </c>
      <c r="H102" s="379">
        <f t="shared" si="34"/>
        <v>0.65322580645161288</v>
      </c>
      <c r="I102" s="379">
        <f t="shared" si="34"/>
        <v>0</v>
      </c>
      <c r="J102" s="379">
        <f t="shared" si="34"/>
        <v>6.4516129032258063E-2</v>
      </c>
      <c r="K102" s="379">
        <f t="shared" si="34"/>
        <v>1.8484288354898331E-2</v>
      </c>
      <c r="L102" s="316"/>
      <c r="M102" s="379">
        <f>SUM(F102:K102)</f>
        <v>1</v>
      </c>
    </row>
    <row r="104" spans="2:13" x14ac:dyDescent="0.25">
      <c r="B104" s="289"/>
      <c r="C104" s="289"/>
      <c r="D104" s="289"/>
      <c r="E104" s="316"/>
      <c r="F104" s="374">
        <f>'Band Calculations 1718'!D23</f>
        <v>0.50370370370370365</v>
      </c>
      <c r="G104" s="374">
        <f>'Band Calculations 1718'!E23</f>
        <v>0</v>
      </c>
      <c r="H104" s="374">
        <f>'Band Calculations 1718'!F23</f>
        <v>0.28888888888888886</v>
      </c>
      <c r="I104" s="374">
        <f>'Band Calculations 1718'!G23</f>
        <v>0.2074074074074074</v>
      </c>
      <c r="J104" s="374">
        <f>'Band Calculations 1718'!H23</f>
        <v>0</v>
      </c>
      <c r="K104" s="374">
        <f>'Band Calculations 1718'!I23</f>
        <v>0</v>
      </c>
      <c r="L104" s="316"/>
      <c r="M104" s="316"/>
    </row>
    <row r="105" spans="2:13" x14ac:dyDescent="0.25">
      <c r="B105" s="375" t="s">
        <v>219</v>
      </c>
      <c r="C105" s="289"/>
      <c r="D105" s="289" t="s">
        <v>790</v>
      </c>
      <c r="E105" s="376">
        <f>'Band Calculations - Rebase'!V127</f>
        <v>148.33333333333334</v>
      </c>
      <c r="F105" s="377">
        <f t="shared" ref="F105:K105" si="35">$E$105*F104</f>
        <v>74.716049382716051</v>
      </c>
      <c r="G105" s="377">
        <f t="shared" si="35"/>
        <v>0</v>
      </c>
      <c r="H105" s="377">
        <f t="shared" si="35"/>
        <v>42.851851851851848</v>
      </c>
      <c r="I105" s="377">
        <f t="shared" si="35"/>
        <v>30.765432098765434</v>
      </c>
      <c r="J105" s="377">
        <f t="shared" si="35"/>
        <v>0</v>
      </c>
      <c r="K105" s="377">
        <f t="shared" si="35"/>
        <v>0</v>
      </c>
      <c r="L105" s="316"/>
      <c r="M105" s="316"/>
    </row>
    <row r="106" spans="2:13" x14ac:dyDescent="0.25">
      <c r="B106" s="289"/>
      <c r="C106" s="289"/>
      <c r="D106" s="289" t="s">
        <v>791</v>
      </c>
      <c r="E106" s="376">
        <f>E105</f>
        <v>148.33333333333334</v>
      </c>
      <c r="F106" s="377">
        <f>F105-(K106-I105)</f>
        <v>67.481481481481481</v>
      </c>
      <c r="G106" s="377">
        <f>G105</f>
        <v>0</v>
      </c>
      <c r="H106" s="377">
        <f>H105</f>
        <v>42.851851851851848</v>
      </c>
      <c r="I106" s="377">
        <v>0</v>
      </c>
      <c r="J106" s="377">
        <f>J105</f>
        <v>0</v>
      </c>
      <c r="K106" s="376">
        <f>N47</f>
        <v>38</v>
      </c>
      <c r="L106" s="316"/>
      <c r="M106" s="316"/>
    </row>
    <row r="107" spans="2:13" x14ac:dyDescent="0.25">
      <c r="B107" s="289"/>
      <c r="C107" s="289"/>
      <c r="D107" s="289"/>
      <c r="E107" s="316"/>
      <c r="F107" s="379">
        <f t="shared" ref="F107:K107" si="36">F106/$E$106</f>
        <v>0.45493133583021222</v>
      </c>
      <c r="G107" s="379">
        <f t="shared" si="36"/>
        <v>0</v>
      </c>
      <c r="H107" s="379">
        <f t="shared" si="36"/>
        <v>0.28888888888888886</v>
      </c>
      <c r="I107" s="379">
        <f t="shared" si="36"/>
        <v>0</v>
      </c>
      <c r="J107" s="379">
        <f t="shared" si="36"/>
        <v>0</v>
      </c>
      <c r="K107" s="379">
        <f t="shared" si="36"/>
        <v>0.25617977528089886</v>
      </c>
      <c r="L107" s="316"/>
      <c r="M107" s="379">
        <f>SUM(F107:K107)</f>
        <v>0.99999999999999989</v>
      </c>
    </row>
    <row r="108" spans="2:13" x14ac:dyDescent="0.25">
      <c r="B108" s="289"/>
      <c r="C108" s="289"/>
      <c r="D108" s="289"/>
      <c r="E108" s="316"/>
      <c r="F108" s="379"/>
      <c r="G108" s="379"/>
      <c r="H108" s="379"/>
      <c r="I108" s="379"/>
      <c r="J108" s="379"/>
      <c r="K108" s="379"/>
      <c r="L108" s="316"/>
      <c r="M108" s="379"/>
    </row>
    <row r="109" spans="2:13" x14ac:dyDescent="0.25">
      <c r="B109" s="289"/>
      <c r="C109" s="289"/>
      <c r="D109" s="289"/>
      <c r="E109" s="316"/>
      <c r="F109" s="374">
        <f>'Band Calculations 1718'!D14</f>
        <v>7.0866141732283464E-2</v>
      </c>
      <c r="G109" s="374">
        <f>'Band Calculations 1718'!E14</f>
        <v>0.16535433070866143</v>
      </c>
      <c r="H109" s="374">
        <f>'Band Calculations 1718'!F14</f>
        <v>0.51968503937007871</v>
      </c>
      <c r="I109" s="374">
        <f>'Band Calculations 1718'!G14</f>
        <v>3.937007874015748E-2</v>
      </c>
      <c r="J109" s="374">
        <f>'Band Calculations 1718'!H14</f>
        <v>0.20472440944881889</v>
      </c>
      <c r="K109" s="374">
        <f>'Band Calculations 1718'!I14</f>
        <v>0</v>
      </c>
      <c r="L109" s="316"/>
      <c r="M109" s="316"/>
    </row>
    <row r="110" spans="2:13" x14ac:dyDescent="0.25">
      <c r="B110" s="375" t="s">
        <v>221</v>
      </c>
      <c r="C110" s="289"/>
      <c r="D110" s="289" t="s">
        <v>790</v>
      </c>
      <c r="E110" s="376">
        <f>'[15]Band Calculations - Rebase'!V118</f>
        <v>118.91666666666667</v>
      </c>
      <c r="F110" s="377">
        <f t="shared" ref="F110:K110" si="37">$E$110*F109</f>
        <v>8.4271653543307092</v>
      </c>
      <c r="G110" s="377">
        <f t="shared" si="37"/>
        <v>19.663385826771655</v>
      </c>
      <c r="H110" s="377">
        <f t="shared" si="37"/>
        <v>61.799212598425193</v>
      </c>
      <c r="I110" s="377">
        <f t="shared" si="37"/>
        <v>4.6817585301837275</v>
      </c>
      <c r="J110" s="377">
        <f t="shared" si="37"/>
        <v>24.34514435695538</v>
      </c>
      <c r="K110" s="377">
        <f t="shared" si="37"/>
        <v>0</v>
      </c>
      <c r="L110" s="316"/>
      <c r="M110" s="316"/>
    </row>
    <row r="111" spans="2:13" x14ac:dyDescent="0.25">
      <c r="B111" s="378"/>
      <c r="C111" s="289"/>
      <c r="D111" s="289" t="s">
        <v>791</v>
      </c>
      <c r="E111" s="376">
        <f>E110</f>
        <v>118.91666666666667</v>
      </c>
      <c r="F111" s="377">
        <f>F110</f>
        <v>8.4271653543307092</v>
      </c>
      <c r="G111" s="377">
        <f>G110</f>
        <v>19.663385826771655</v>
      </c>
      <c r="H111" s="377">
        <f>H110</f>
        <v>61.799212598425193</v>
      </c>
      <c r="I111" s="377">
        <f>I110-K111</f>
        <v>1.6817585301837275</v>
      </c>
      <c r="J111" s="377">
        <f>J110</f>
        <v>24.34514435695538</v>
      </c>
      <c r="K111" s="376">
        <f>N38</f>
        <v>3</v>
      </c>
      <c r="L111" s="316"/>
      <c r="M111" s="316"/>
    </row>
    <row r="112" spans="2:13" x14ac:dyDescent="0.25">
      <c r="B112" s="289"/>
      <c r="C112" s="289"/>
      <c r="D112" s="289"/>
      <c r="E112" s="316"/>
      <c r="F112" s="379">
        <f t="shared" ref="F112:K112" si="38">F111/$E$111</f>
        <v>7.0866141732283464E-2</v>
      </c>
      <c r="G112" s="379">
        <f t="shared" si="38"/>
        <v>0.16535433070866143</v>
      </c>
      <c r="H112" s="379">
        <f t="shared" si="38"/>
        <v>0.51968503937007871</v>
      </c>
      <c r="I112" s="379">
        <f t="shared" si="38"/>
        <v>1.4142328214579346E-2</v>
      </c>
      <c r="J112" s="379">
        <f t="shared" si="38"/>
        <v>0.20472440944881889</v>
      </c>
      <c r="K112" s="379">
        <f t="shared" si="38"/>
        <v>2.5227750525578133E-2</v>
      </c>
      <c r="L112" s="316"/>
      <c r="M112" s="379">
        <f>SUM(F112:K112)</f>
        <v>1</v>
      </c>
    </row>
    <row r="114" spans="2:18" x14ac:dyDescent="0.25">
      <c r="B114" s="354">
        <v>43191</v>
      </c>
      <c r="C114" s="355"/>
      <c r="D114" s="355"/>
      <c r="E114" s="355"/>
      <c r="F114" s="356"/>
      <c r="G114" s="356"/>
      <c r="H114" s="356"/>
      <c r="I114" s="356"/>
      <c r="J114" s="356"/>
      <c r="K114" s="356"/>
      <c r="L114" s="356"/>
      <c r="M114" s="356"/>
      <c r="N114" s="356"/>
      <c r="O114" s="356"/>
      <c r="P114" s="356"/>
      <c r="Q114" s="356"/>
      <c r="R114" s="356"/>
    </row>
    <row r="115" spans="2:18" x14ac:dyDescent="0.25">
      <c r="B115" s="356"/>
      <c r="C115" s="356"/>
      <c r="D115" s="356"/>
      <c r="E115" s="356"/>
      <c r="F115" s="356"/>
      <c r="G115" s="356"/>
      <c r="H115" s="356"/>
      <c r="I115" s="356"/>
      <c r="J115" s="356"/>
      <c r="K115" s="356"/>
      <c r="L115" s="356"/>
      <c r="M115" s="356"/>
      <c r="N115" s="356"/>
      <c r="O115" s="356"/>
      <c r="P115" s="356"/>
      <c r="Q115" s="356"/>
      <c r="R115" s="356"/>
    </row>
    <row r="116" spans="2:18" ht="31.5" x14ac:dyDescent="0.25">
      <c r="B116" s="357" t="s">
        <v>183</v>
      </c>
      <c r="C116" s="358" t="s">
        <v>184</v>
      </c>
      <c r="D116" s="359" t="s">
        <v>792</v>
      </c>
      <c r="E116" s="360" t="s">
        <v>528</v>
      </c>
      <c r="F116" s="361" t="s">
        <v>529</v>
      </c>
      <c r="G116" s="360" t="s">
        <v>530</v>
      </c>
      <c r="H116" s="361" t="s">
        <v>241</v>
      </c>
      <c r="I116" s="360" t="s">
        <v>531</v>
      </c>
      <c r="J116" s="361" t="s">
        <v>532</v>
      </c>
      <c r="K116" s="360" t="s">
        <v>533</v>
      </c>
      <c r="L116" s="361" t="s">
        <v>534</v>
      </c>
      <c r="M116" s="362" t="s">
        <v>535</v>
      </c>
      <c r="N116" s="363" t="s">
        <v>536</v>
      </c>
      <c r="O116" s="360" t="s">
        <v>793</v>
      </c>
      <c r="P116" s="361" t="s">
        <v>794</v>
      </c>
      <c r="Q116" s="362" t="s">
        <v>668</v>
      </c>
      <c r="R116" s="363" t="s">
        <v>795</v>
      </c>
    </row>
    <row r="117" spans="2:18" x14ac:dyDescent="0.25">
      <c r="B117" s="364" t="s">
        <v>205</v>
      </c>
      <c r="C117" s="365">
        <v>3</v>
      </c>
      <c r="D117" s="366">
        <f t="shared" ref="D117:D125" si="39">E117+G117+I117+K117+M117+O117+Q117</f>
        <v>52</v>
      </c>
      <c r="E117" s="367">
        <v>6</v>
      </c>
      <c r="F117" s="368">
        <f>E117/D117</f>
        <v>0.11538461538461539</v>
      </c>
      <c r="G117" s="369">
        <v>15</v>
      </c>
      <c r="H117" s="368">
        <f>G117/D117</f>
        <v>0.28846153846153844</v>
      </c>
      <c r="I117" s="369">
        <v>3</v>
      </c>
      <c r="J117" s="368">
        <f>I117/D117</f>
        <v>5.7692307692307696E-2</v>
      </c>
      <c r="K117" s="369">
        <v>2</v>
      </c>
      <c r="L117" s="368">
        <f>K117/D117</f>
        <v>3.8461538461538464E-2</v>
      </c>
      <c r="M117" s="370">
        <v>5</v>
      </c>
      <c r="N117" s="371">
        <f>M117/D117</f>
        <v>9.6153846153846159E-2</v>
      </c>
      <c r="O117" s="369">
        <v>13</v>
      </c>
      <c r="P117" s="368">
        <f>O117/D117</f>
        <v>0.25</v>
      </c>
      <c r="Q117" s="370">
        <v>8</v>
      </c>
      <c r="R117" s="371">
        <f>Q117/D117</f>
        <v>0.15384615384615385</v>
      </c>
    </row>
    <row r="118" spans="2:18" x14ac:dyDescent="0.25">
      <c r="B118" s="364" t="s">
        <v>208</v>
      </c>
      <c r="C118" s="365">
        <v>3</v>
      </c>
      <c r="D118" s="366">
        <f t="shared" si="39"/>
        <v>75</v>
      </c>
      <c r="E118" s="367">
        <v>10</v>
      </c>
      <c r="F118" s="368">
        <f t="shared" ref="F118:F134" si="40">E118/D118</f>
        <v>0.13333333333333333</v>
      </c>
      <c r="G118" s="369">
        <v>17</v>
      </c>
      <c r="H118" s="368">
        <f t="shared" ref="H118:H134" si="41">G118/D118</f>
        <v>0.22666666666666666</v>
      </c>
      <c r="I118" s="369">
        <v>7</v>
      </c>
      <c r="J118" s="368">
        <f t="shared" ref="J118:J134" si="42">I118/D118</f>
        <v>9.3333333333333338E-2</v>
      </c>
      <c r="K118" s="369">
        <v>7</v>
      </c>
      <c r="L118" s="368">
        <f t="shared" ref="L118:L134" si="43">K118/D118</f>
        <v>9.3333333333333338E-2</v>
      </c>
      <c r="M118" s="370">
        <v>12</v>
      </c>
      <c r="N118" s="371">
        <f t="shared" ref="N118:N134" si="44">M118/D118</f>
        <v>0.16</v>
      </c>
      <c r="O118" s="369">
        <v>15</v>
      </c>
      <c r="P118" s="368">
        <f t="shared" ref="P118:P134" si="45">O118/D118</f>
        <v>0.2</v>
      </c>
      <c r="Q118" s="370">
        <v>7</v>
      </c>
      <c r="R118" s="371">
        <f t="shared" ref="R118:R134" si="46">Q118/D118</f>
        <v>9.3333333333333338E-2</v>
      </c>
    </row>
    <row r="119" spans="2:18" x14ac:dyDescent="0.25">
      <c r="B119" s="364" t="s">
        <v>209</v>
      </c>
      <c r="C119" s="365">
        <v>3</v>
      </c>
      <c r="D119" s="366">
        <f t="shared" si="39"/>
        <v>67</v>
      </c>
      <c r="E119" s="367">
        <v>3</v>
      </c>
      <c r="F119" s="368">
        <f t="shared" si="40"/>
        <v>4.4776119402985072E-2</v>
      </c>
      <c r="G119" s="369">
        <v>18</v>
      </c>
      <c r="H119" s="368">
        <f t="shared" si="41"/>
        <v>0.26865671641791045</v>
      </c>
      <c r="I119" s="369">
        <v>12</v>
      </c>
      <c r="J119" s="368">
        <f t="shared" si="42"/>
        <v>0.17910447761194029</v>
      </c>
      <c r="K119" s="369">
        <v>10</v>
      </c>
      <c r="L119" s="368">
        <f t="shared" si="43"/>
        <v>0.14925373134328357</v>
      </c>
      <c r="M119" s="370">
        <v>10</v>
      </c>
      <c r="N119" s="371">
        <f t="shared" si="44"/>
        <v>0.14925373134328357</v>
      </c>
      <c r="O119" s="369">
        <v>8</v>
      </c>
      <c r="P119" s="368">
        <f t="shared" si="45"/>
        <v>0.11940298507462686</v>
      </c>
      <c r="Q119" s="370">
        <v>6</v>
      </c>
      <c r="R119" s="371">
        <f t="shared" si="46"/>
        <v>8.9552238805970144E-2</v>
      </c>
    </row>
    <row r="120" spans="2:18" x14ac:dyDescent="0.25">
      <c r="B120" s="364" t="s">
        <v>210</v>
      </c>
      <c r="C120" s="365">
        <v>3</v>
      </c>
      <c r="D120" s="366">
        <f t="shared" si="39"/>
        <v>54</v>
      </c>
      <c r="E120" s="367">
        <v>7</v>
      </c>
      <c r="F120" s="368">
        <f t="shared" si="40"/>
        <v>0.12962962962962962</v>
      </c>
      <c r="G120" s="369">
        <v>17</v>
      </c>
      <c r="H120" s="368">
        <f t="shared" si="41"/>
        <v>0.31481481481481483</v>
      </c>
      <c r="I120" s="369">
        <v>6</v>
      </c>
      <c r="J120" s="368">
        <f t="shared" si="42"/>
        <v>0.1111111111111111</v>
      </c>
      <c r="K120" s="369">
        <v>8</v>
      </c>
      <c r="L120" s="368">
        <f t="shared" si="43"/>
        <v>0.14814814814814814</v>
      </c>
      <c r="M120" s="370">
        <v>3</v>
      </c>
      <c r="N120" s="371">
        <f t="shared" si="44"/>
        <v>5.5555555555555552E-2</v>
      </c>
      <c r="O120" s="369">
        <v>7</v>
      </c>
      <c r="P120" s="368">
        <f t="shared" si="45"/>
        <v>0.12962962962962962</v>
      </c>
      <c r="Q120" s="370">
        <v>6</v>
      </c>
      <c r="R120" s="371">
        <f t="shared" si="46"/>
        <v>0.1111111111111111</v>
      </c>
    </row>
    <row r="121" spans="2:18" x14ac:dyDescent="0.25">
      <c r="B121" s="364" t="s">
        <v>211</v>
      </c>
      <c r="C121" s="365">
        <v>3</v>
      </c>
      <c r="D121" s="366">
        <f t="shared" si="39"/>
        <v>69</v>
      </c>
      <c r="E121" s="369">
        <v>6</v>
      </c>
      <c r="F121" s="368">
        <f t="shared" si="40"/>
        <v>8.6956521739130432E-2</v>
      </c>
      <c r="G121" s="369">
        <v>24</v>
      </c>
      <c r="H121" s="368">
        <f t="shared" si="41"/>
        <v>0.34782608695652173</v>
      </c>
      <c r="I121" s="369">
        <v>8</v>
      </c>
      <c r="J121" s="368">
        <f t="shared" si="42"/>
        <v>0.11594202898550725</v>
      </c>
      <c r="K121" s="369">
        <v>11</v>
      </c>
      <c r="L121" s="368">
        <f t="shared" si="43"/>
        <v>0.15942028985507245</v>
      </c>
      <c r="M121" s="370">
        <v>4</v>
      </c>
      <c r="N121" s="371">
        <f t="shared" si="44"/>
        <v>5.7971014492753624E-2</v>
      </c>
      <c r="O121" s="369">
        <v>7</v>
      </c>
      <c r="P121" s="368">
        <f t="shared" si="45"/>
        <v>0.10144927536231885</v>
      </c>
      <c r="Q121" s="370">
        <v>9</v>
      </c>
      <c r="R121" s="371">
        <f t="shared" si="46"/>
        <v>0.13043478260869565</v>
      </c>
    </row>
    <row r="122" spans="2:18" x14ac:dyDescent="0.25">
      <c r="B122" s="364" t="s">
        <v>257</v>
      </c>
      <c r="C122" s="365">
        <v>3</v>
      </c>
      <c r="D122" s="366">
        <f t="shared" si="39"/>
        <v>0</v>
      </c>
      <c r="E122" s="369">
        <v>0</v>
      </c>
      <c r="F122" s="368">
        <v>0</v>
      </c>
      <c r="G122" s="369">
        <v>0</v>
      </c>
      <c r="H122" s="368">
        <v>0</v>
      </c>
      <c r="I122" s="369">
        <v>0</v>
      </c>
      <c r="J122" s="368">
        <v>0</v>
      </c>
      <c r="K122" s="369">
        <v>0</v>
      </c>
      <c r="L122" s="368">
        <v>0</v>
      </c>
      <c r="M122" s="370">
        <v>0</v>
      </c>
      <c r="N122" s="371">
        <v>1</v>
      </c>
      <c r="O122" s="369">
        <v>0</v>
      </c>
      <c r="P122" s="368">
        <v>0</v>
      </c>
      <c r="Q122" s="370">
        <v>0</v>
      </c>
      <c r="R122" s="371">
        <v>0</v>
      </c>
    </row>
    <row r="123" spans="2:18" x14ac:dyDescent="0.25">
      <c r="B123" s="364" t="s">
        <v>220</v>
      </c>
      <c r="C123" s="365">
        <v>3</v>
      </c>
      <c r="D123" s="366">
        <f t="shared" si="39"/>
        <v>86</v>
      </c>
      <c r="E123" s="369">
        <v>6</v>
      </c>
      <c r="F123" s="368">
        <f t="shared" si="40"/>
        <v>6.9767441860465115E-2</v>
      </c>
      <c r="G123" s="369">
        <v>17</v>
      </c>
      <c r="H123" s="368">
        <f t="shared" si="41"/>
        <v>0.19767441860465115</v>
      </c>
      <c r="I123" s="369">
        <v>27</v>
      </c>
      <c r="J123" s="368">
        <f t="shared" si="42"/>
        <v>0.31395348837209303</v>
      </c>
      <c r="K123" s="372">
        <v>9</v>
      </c>
      <c r="L123" s="368">
        <f t="shared" si="43"/>
        <v>0.10465116279069768</v>
      </c>
      <c r="M123" s="370">
        <v>19</v>
      </c>
      <c r="N123" s="371">
        <f t="shared" si="44"/>
        <v>0.22093023255813954</v>
      </c>
      <c r="O123" s="372">
        <v>8</v>
      </c>
      <c r="P123" s="368">
        <f t="shared" si="45"/>
        <v>9.3023255813953487E-2</v>
      </c>
      <c r="Q123" s="370">
        <v>0</v>
      </c>
      <c r="R123" s="371">
        <f t="shared" si="46"/>
        <v>0</v>
      </c>
    </row>
    <row r="124" spans="2:18" x14ac:dyDescent="0.25">
      <c r="B124" s="364" t="s">
        <v>212</v>
      </c>
      <c r="C124" s="365">
        <v>3</v>
      </c>
      <c r="D124" s="366">
        <f t="shared" si="39"/>
        <v>91</v>
      </c>
      <c r="E124" s="369">
        <v>2</v>
      </c>
      <c r="F124" s="368">
        <f t="shared" si="40"/>
        <v>2.197802197802198E-2</v>
      </c>
      <c r="G124" s="369">
        <v>56</v>
      </c>
      <c r="H124" s="368">
        <f t="shared" si="41"/>
        <v>0.61538461538461542</v>
      </c>
      <c r="I124" s="369">
        <v>4</v>
      </c>
      <c r="J124" s="368">
        <f t="shared" si="42"/>
        <v>4.3956043956043959E-2</v>
      </c>
      <c r="K124" s="369">
        <v>2</v>
      </c>
      <c r="L124" s="368">
        <f t="shared" si="43"/>
        <v>2.197802197802198E-2</v>
      </c>
      <c r="M124" s="373">
        <v>14</v>
      </c>
      <c r="N124" s="371">
        <f t="shared" si="44"/>
        <v>0.15384615384615385</v>
      </c>
      <c r="O124" s="369">
        <v>13</v>
      </c>
      <c r="P124" s="368">
        <f t="shared" si="45"/>
        <v>0.14285714285714285</v>
      </c>
      <c r="Q124" s="373">
        <v>0</v>
      </c>
      <c r="R124" s="371">
        <f t="shared" si="46"/>
        <v>0</v>
      </c>
    </row>
    <row r="125" spans="2:18" x14ac:dyDescent="0.25">
      <c r="B125" s="364" t="s">
        <v>221</v>
      </c>
      <c r="C125" s="365">
        <v>4</v>
      </c>
      <c r="D125" s="366">
        <f t="shared" si="39"/>
        <v>114</v>
      </c>
      <c r="E125" s="369">
        <v>5</v>
      </c>
      <c r="F125" s="368">
        <f t="shared" si="40"/>
        <v>4.3859649122807015E-2</v>
      </c>
      <c r="G125" s="369">
        <v>19</v>
      </c>
      <c r="H125" s="368">
        <f t="shared" si="41"/>
        <v>0.16666666666666666</v>
      </c>
      <c r="I125" s="369">
        <v>48</v>
      </c>
      <c r="J125" s="368">
        <f t="shared" si="42"/>
        <v>0.42105263157894735</v>
      </c>
      <c r="K125" s="369">
        <v>4</v>
      </c>
      <c r="L125" s="368">
        <f t="shared" si="43"/>
        <v>3.5087719298245612E-2</v>
      </c>
      <c r="M125" s="370">
        <v>30</v>
      </c>
      <c r="N125" s="371">
        <f t="shared" si="44"/>
        <v>0.26315789473684209</v>
      </c>
      <c r="O125" s="369">
        <v>5</v>
      </c>
      <c r="P125" s="368">
        <f t="shared" si="45"/>
        <v>4.3859649122807015E-2</v>
      </c>
      <c r="Q125" s="370">
        <v>3</v>
      </c>
      <c r="R125" s="371">
        <f t="shared" si="46"/>
        <v>2.6315789473684209E-2</v>
      </c>
    </row>
    <row r="126" spans="2:18" x14ac:dyDescent="0.25">
      <c r="B126" s="364" t="s">
        <v>213</v>
      </c>
      <c r="C126" s="365">
        <v>4</v>
      </c>
      <c r="D126" s="366">
        <f>E126+G126+I126+K126+M126+O126+Q126</f>
        <v>139</v>
      </c>
      <c r="E126" s="369">
        <v>1</v>
      </c>
      <c r="F126" s="368">
        <f t="shared" si="40"/>
        <v>7.1942446043165471E-3</v>
      </c>
      <c r="G126" s="369">
        <v>18</v>
      </c>
      <c r="H126" s="368">
        <f t="shared" si="41"/>
        <v>0.12949640287769784</v>
      </c>
      <c r="I126" s="369">
        <v>74</v>
      </c>
      <c r="J126" s="368">
        <f t="shared" si="42"/>
        <v>0.53237410071942448</v>
      </c>
      <c r="K126" s="369">
        <v>9</v>
      </c>
      <c r="L126" s="368">
        <f t="shared" si="43"/>
        <v>6.4748201438848921E-2</v>
      </c>
      <c r="M126" s="370">
        <v>26</v>
      </c>
      <c r="N126" s="371">
        <f t="shared" si="44"/>
        <v>0.18705035971223022</v>
      </c>
      <c r="O126" s="369">
        <v>10</v>
      </c>
      <c r="P126" s="368">
        <f t="shared" si="45"/>
        <v>7.1942446043165464E-2</v>
      </c>
      <c r="Q126" s="370">
        <v>1</v>
      </c>
      <c r="R126" s="371">
        <f t="shared" si="46"/>
        <v>7.1942446043165471E-3</v>
      </c>
    </row>
    <row r="127" spans="2:18" x14ac:dyDescent="0.25">
      <c r="B127" s="364" t="s">
        <v>214</v>
      </c>
      <c r="C127" s="365">
        <v>4</v>
      </c>
      <c r="D127" s="366">
        <f t="shared" ref="D127:D134" si="47">E127+G127+I127+K127+M127+O127+Q127</f>
        <v>113</v>
      </c>
      <c r="E127" s="369">
        <v>0</v>
      </c>
      <c r="F127" s="368">
        <f t="shared" si="40"/>
        <v>0</v>
      </c>
      <c r="G127" s="369">
        <v>12</v>
      </c>
      <c r="H127" s="368">
        <f t="shared" si="41"/>
        <v>0.10619469026548672</v>
      </c>
      <c r="I127" s="369">
        <v>83</v>
      </c>
      <c r="J127" s="368">
        <f t="shared" si="42"/>
        <v>0.73451327433628322</v>
      </c>
      <c r="K127" s="369">
        <v>1</v>
      </c>
      <c r="L127" s="368">
        <f t="shared" si="43"/>
        <v>8.8495575221238937E-3</v>
      </c>
      <c r="M127" s="370">
        <v>13</v>
      </c>
      <c r="N127" s="371">
        <f t="shared" si="44"/>
        <v>0.11504424778761062</v>
      </c>
      <c r="O127" s="369">
        <v>4</v>
      </c>
      <c r="P127" s="368">
        <f t="shared" si="45"/>
        <v>3.5398230088495575E-2</v>
      </c>
      <c r="Q127" s="370">
        <v>0</v>
      </c>
      <c r="R127" s="371">
        <f t="shared" si="46"/>
        <v>0</v>
      </c>
    </row>
    <row r="128" spans="2:18" x14ac:dyDescent="0.25">
      <c r="B128" s="364" t="s">
        <v>259</v>
      </c>
      <c r="C128" s="365">
        <v>4</v>
      </c>
      <c r="D128" s="366">
        <f t="shared" si="47"/>
        <v>0</v>
      </c>
      <c r="E128" s="369">
        <v>0</v>
      </c>
      <c r="F128" s="368">
        <v>0</v>
      </c>
      <c r="G128" s="369">
        <v>0</v>
      </c>
      <c r="H128" s="368">
        <v>0</v>
      </c>
      <c r="I128" s="369">
        <v>0</v>
      </c>
      <c r="J128" s="368">
        <v>0</v>
      </c>
      <c r="K128" s="369">
        <v>0</v>
      </c>
      <c r="L128" s="368">
        <v>0</v>
      </c>
      <c r="M128" s="370">
        <v>0</v>
      </c>
      <c r="N128" s="371">
        <v>1</v>
      </c>
      <c r="O128" s="369">
        <v>0</v>
      </c>
      <c r="P128" s="368">
        <v>0</v>
      </c>
      <c r="Q128" s="370">
        <v>0</v>
      </c>
      <c r="R128" s="371">
        <v>0</v>
      </c>
    </row>
    <row r="129" spans="2:18" x14ac:dyDescent="0.25">
      <c r="B129" s="364" t="s">
        <v>261</v>
      </c>
      <c r="C129" s="365">
        <v>4</v>
      </c>
      <c r="D129" s="366">
        <f t="shared" si="47"/>
        <v>0</v>
      </c>
      <c r="E129" s="369">
        <v>0</v>
      </c>
      <c r="F129" s="368">
        <v>0</v>
      </c>
      <c r="G129" s="369">
        <v>0</v>
      </c>
      <c r="H129" s="368">
        <v>0</v>
      </c>
      <c r="I129" s="369">
        <v>0</v>
      </c>
      <c r="J129" s="368">
        <v>0</v>
      </c>
      <c r="K129" s="369">
        <v>0</v>
      </c>
      <c r="L129" s="368">
        <v>0</v>
      </c>
      <c r="M129" s="370">
        <v>0</v>
      </c>
      <c r="N129" s="371">
        <v>1</v>
      </c>
      <c r="O129" s="369">
        <v>0</v>
      </c>
      <c r="P129" s="368">
        <v>0</v>
      </c>
      <c r="Q129" s="370">
        <v>0</v>
      </c>
      <c r="R129" s="371">
        <v>0</v>
      </c>
    </row>
    <row r="130" spans="2:18" x14ac:dyDescent="0.25">
      <c r="B130" s="364" t="s">
        <v>262</v>
      </c>
      <c r="C130" s="365">
        <v>4</v>
      </c>
      <c r="D130" s="366">
        <f t="shared" si="47"/>
        <v>0</v>
      </c>
      <c r="E130" s="367">
        <v>0</v>
      </c>
      <c r="F130" s="368">
        <v>0</v>
      </c>
      <c r="G130" s="369">
        <v>0</v>
      </c>
      <c r="H130" s="368">
        <v>0</v>
      </c>
      <c r="I130" s="369">
        <v>0</v>
      </c>
      <c r="J130" s="368">
        <v>0</v>
      </c>
      <c r="K130" s="369">
        <v>0</v>
      </c>
      <c r="L130" s="368">
        <v>0</v>
      </c>
      <c r="M130" s="370">
        <v>0</v>
      </c>
      <c r="N130" s="371">
        <v>1</v>
      </c>
      <c r="O130" s="369">
        <v>0</v>
      </c>
      <c r="P130" s="368">
        <v>0</v>
      </c>
      <c r="Q130" s="370">
        <v>0</v>
      </c>
      <c r="R130" s="371">
        <v>0</v>
      </c>
    </row>
    <row r="131" spans="2:18" x14ac:dyDescent="0.25">
      <c r="B131" s="364" t="s">
        <v>215</v>
      </c>
      <c r="C131" s="365">
        <v>4</v>
      </c>
      <c r="D131" s="366">
        <f t="shared" si="47"/>
        <v>79</v>
      </c>
      <c r="E131" s="369">
        <v>8</v>
      </c>
      <c r="F131" s="368">
        <f t="shared" si="40"/>
        <v>0.10126582278481013</v>
      </c>
      <c r="G131" s="367">
        <v>23</v>
      </c>
      <c r="H131" s="368">
        <f t="shared" si="41"/>
        <v>0.29113924050632911</v>
      </c>
      <c r="I131" s="367">
        <v>5</v>
      </c>
      <c r="J131" s="368">
        <f t="shared" si="42"/>
        <v>6.3291139240506333E-2</v>
      </c>
      <c r="K131" s="367">
        <v>15</v>
      </c>
      <c r="L131" s="368">
        <f t="shared" si="43"/>
        <v>0.189873417721519</v>
      </c>
      <c r="M131" s="370">
        <v>3</v>
      </c>
      <c r="N131" s="371">
        <f t="shared" si="44"/>
        <v>3.7974683544303799E-2</v>
      </c>
      <c r="O131" s="367">
        <v>10</v>
      </c>
      <c r="P131" s="368">
        <f t="shared" si="45"/>
        <v>0.12658227848101267</v>
      </c>
      <c r="Q131" s="370">
        <v>15</v>
      </c>
      <c r="R131" s="371">
        <f t="shared" si="46"/>
        <v>0.189873417721519</v>
      </c>
    </row>
    <row r="132" spans="2:18" x14ac:dyDescent="0.25">
      <c r="B132" s="364" t="s">
        <v>216</v>
      </c>
      <c r="C132" s="365">
        <v>5</v>
      </c>
      <c r="D132" s="366">
        <f t="shared" si="47"/>
        <v>155</v>
      </c>
      <c r="E132" s="369">
        <v>6</v>
      </c>
      <c r="F132" s="368">
        <f t="shared" si="40"/>
        <v>3.870967741935484E-2</v>
      </c>
      <c r="G132" s="369">
        <v>46</v>
      </c>
      <c r="H132" s="368">
        <f t="shared" si="41"/>
        <v>0.29677419354838708</v>
      </c>
      <c r="I132" s="369">
        <v>46</v>
      </c>
      <c r="J132" s="368">
        <f t="shared" si="42"/>
        <v>0.29677419354838708</v>
      </c>
      <c r="K132" s="369">
        <v>14</v>
      </c>
      <c r="L132" s="368">
        <f t="shared" si="43"/>
        <v>9.0322580645161285E-2</v>
      </c>
      <c r="M132" s="370">
        <v>19</v>
      </c>
      <c r="N132" s="371">
        <f t="shared" si="44"/>
        <v>0.12258064516129032</v>
      </c>
      <c r="O132" s="369">
        <v>22</v>
      </c>
      <c r="P132" s="368">
        <f t="shared" si="45"/>
        <v>0.14193548387096774</v>
      </c>
      <c r="Q132" s="370">
        <v>2</v>
      </c>
      <c r="R132" s="371">
        <f t="shared" si="46"/>
        <v>1.2903225806451613E-2</v>
      </c>
    </row>
    <row r="133" spans="2:18" x14ac:dyDescent="0.25">
      <c r="B133" s="364" t="s">
        <v>217</v>
      </c>
      <c r="C133" s="365">
        <v>5</v>
      </c>
      <c r="D133" s="366">
        <f t="shared" si="47"/>
        <v>261</v>
      </c>
      <c r="E133" s="369">
        <v>10</v>
      </c>
      <c r="F133" s="368">
        <f t="shared" si="40"/>
        <v>3.8314176245210725E-2</v>
      </c>
      <c r="G133" s="369">
        <v>52</v>
      </c>
      <c r="H133" s="368">
        <f t="shared" si="41"/>
        <v>0.19923371647509577</v>
      </c>
      <c r="I133" s="369">
        <v>130</v>
      </c>
      <c r="J133" s="368">
        <f t="shared" si="42"/>
        <v>0.49808429118773945</v>
      </c>
      <c r="K133" s="369">
        <v>17</v>
      </c>
      <c r="L133" s="368">
        <f t="shared" si="43"/>
        <v>6.5134099616858232E-2</v>
      </c>
      <c r="M133" s="370">
        <v>11</v>
      </c>
      <c r="N133" s="371">
        <f t="shared" si="44"/>
        <v>4.2145593869731802E-2</v>
      </c>
      <c r="O133" s="369">
        <v>36</v>
      </c>
      <c r="P133" s="368">
        <f t="shared" si="45"/>
        <v>0.13793103448275862</v>
      </c>
      <c r="Q133" s="370">
        <v>5</v>
      </c>
      <c r="R133" s="371">
        <f t="shared" si="46"/>
        <v>1.9157088122605363E-2</v>
      </c>
    </row>
    <row r="134" spans="2:18" x14ac:dyDescent="0.25">
      <c r="B134" s="364" t="s">
        <v>219</v>
      </c>
      <c r="C134" s="365">
        <v>6</v>
      </c>
      <c r="D134" s="366">
        <f t="shared" si="47"/>
        <v>147</v>
      </c>
      <c r="E134" s="369">
        <v>24</v>
      </c>
      <c r="F134" s="368">
        <f t="shared" si="40"/>
        <v>0.16326530612244897</v>
      </c>
      <c r="G134" s="369">
        <v>10</v>
      </c>
      <c r="H134" s="368">
        <f t="shared" si="41"/>
        <v>6.8027210884353748E-2</v>
      </c>
      <c r="I134" s="369">
        <v>37</v>
      </c>
      <c r="J134" s="368">
        <f t="shared" si="42"/>
        <v>0.25170068027210885</v>
      </c>
      <c r="K134" s="369">
        <v>37</v>
      </c>
      <c r="L134" s="368">
        <f t="shared" si="43"/>
        <v>0.25170068027210885</v>
      </c>
      <c r="M134" s="370">
        <v>0</v>
      </c>
      <c r="N134" s="371">
        <f t="shared" si="44"/>
        <v>0</v>
      </c>
      <c r="O134" s="369">
        <v>1</v>
      </c>
      <c r="P134" s="368">
        <f t="shared" si="45"/>
        <v>6.8027210884353739E-3</v>
      </c>
      <c r="Q134" s="370">
        <v>38</v>
      </c>
      <c r="R134" s="371">
        <f t="shared" si="46"/>
        <v>0.25850340136054423</v>
      </c>
    </row>
  </sheetData>
  <mergeCells count="1">
    <mergeCell ref="B52:E52"/>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F0"/>
    <pageSetUpPr fitToPage="1"/>
  </sheetPr>
  <dimension ref="A1:AZ46"/>
  <sheetViews>
    <sheetView workbookViewId="0">
      <pane xSplit="2" topLeftCell="M1" activePane="topRight" state="frozen"/>
      <selection pane="topRight" activeCell="U39" sqref="U39"/>
    </sheetView>
  </sheetViews>
  <sheetFormatPr defaultColWidth="10.26953125" defaultRowHeight="12.5" x14ac:dyDescent="0.25"/>
  <cols>
    <col min="1" max="1" width="10.26953125" style="29"/>
    <col min="2" max="2" width="31.54296875" style="29" customWidth="1"/>
    <col min="3" max="3" width="26.54296875" style="29" customWidth="1"/>
    <col min="4" max="8" width="15.7265625" style="30" customWidth="1"/>
    <col min="9" max="12" width="15.7265625" style="29" customWidth="1"/>
    <col min="13" max="13" width="15.7265625" style="30" customWidth="1"/>
    <col min="14" max="14" width="17.26953125" style="29" customWidth="1"/>
    <col min="15" max="16" width="10.26953125" style="30" customWidth="1"/>
    <col min="17" max="17" width="12.26953125" style="30" customWidth="1"/>
    <col min="18" max="18" width="10.26953125" style="30" customWidth="1"/>
    <col min="19" max="19" width="3.81640625" style="29" customWidth="1"/>
    <col min="20" max="24" width="10.26953125" style="29" customWidth="1"/>
    <col min="25" max="26" width="11.1796875" style="29" customWidth="1"/>
    <col min="27" max="27" width="10.26953125" style="29" customWidth="1"/>
    <col min="28" max="28" width="10.26953125" style="31" customWidth="1"/>
    <col min="29" max="29" width="11.81640625" style="30" customWidth="1"/>
    <col min="30" max="30" width="10.26953125" style="30" customWidth="1"/>
    <col min="31" max="32" width="10.26953125" style="29" customWidth="1"/>
    <col min="33" max="33" width="9.54296875" style="30" customWidth="1"/>
    <col min="34" max="34" width="10.26953125" style="30" customWidth="1"/>
    <col min="35" max="41" width="10.81640625" style="30" customWidth="1"/>
    <col min="42" max="42" width="10.26953125" style="29" customWidth="1"/>
    <col min="43" max="16384" width="10.26953125" style="29"/>
  </cols>
  <sheetData>
    <row r="1" spans="1:52" ht="17.5" x14ac:dyDescent="0.35">
      <c r="A1" s="36"/>
      <c r="B1" s="33" t="s">
        <v>796</v>
      </c>
      <c r="C1" s="36"/>
      <c r="D1" s="234"/>
      <c r="E1" s="234"/>
      <c r="F1" s="234"/>
      <c r="G1" s="234"/>
      <c r="H1" s="234"/>
      <c r="I1" s="36"/>
      <c r="J1" s="36"/>
      <c r="K1" s="36"/>
      <c r="L1" s="36"/>
      <c r="M1" s="234"/>
      <c r="N1" s="36"/>
      <c r="O1" s="234"/>
      <c r="P1" s="234"/>
      <c r="Q1" s="234"/>
      <c r="R1" s="234"/>
      <c r="S1" s="36"/>
      <c r="T1" s="36"/>
      <c r="U1" s="36"/>
      <c r="V1" s="268">
        <v>0</v>
      </c>
      <c r="W1" s="36"/>
      <c r="X1" s="36"/>
      <c r="Y1" s="36"/>
      <c r="Z1" s="36"/>
      <c r="AA1" s="36"/>
      <c r="AB1" s="235"/>
      <c r="AC1" s="234"/>
      <c r="AD1" s="234"/>
      <c r="AE1" s="36"/>
      <c r="AF1" s="36"/>
      <c r="AG1" s="234"/>
      <c r="AH1" s="234"/>
      <c r="AI1" s="234"/>
      <c r="AJ1" s="234"/>
      <c r="AK1" s="234"/>
      <c r="AL1" s="234"/>
      <c r="AM1" s="234"/>
      <c r="AN1" s="234"/>
      <c r="AO1" s="234"/>
      <c r="AP1" s="36"/>
      <c r="AQ1" s="36"/>
      <c r="AR1" s="94" t="s">
        <v>180</v>
      </c>
      <c r="AS1" s="94"/>
      <c r="AT1" s="94"/>
      <c r="AU1" s="36"/>
      <c r="AV1" s="36"/>
      <c r="AW1" s="36"/>
      <c r="AX1" s="36"/>
      <c r="AY1" s="36"/>
      <c r="AZ1" s="36"/>
    </row>
    <row r="2" spans="1:52" x14ac:dyDescent="0.25">
      <c r="A2" s="36"/>
      <c r="B2" s="36"/>
      <c r="C2" s="36"/>
      <c r="D2" s="234"/>
      <c r="E2" s="234"/>
      <c r="F2" s="234"/>
      <c r="G2" s="234"/>
      <c r="H2" s="234"/>
      <c r="I2" s="36"/>
      <c r="J2" s="36"/>
      <c r="K2" s="36"/>
      <c r="L2" s="36"/>
      <c r="M2" s="234"/>
      <c r="N2" s="36"/>
      <c r="O2" s="234"/>
      <c r="P2" s="234"/>
      <c r="Q2" s="234"/>
      <c r="R2" s="234"/>
      <c r="S2" s="36"/>
      <c r="T2" s="1242"/>
      <c r="U2" s="1242"/>
      <c r="V2" s="1510" t="s">
        <v>181</v>
      </c>
      <c r="W2" s="36"/>
      <c r="X2" s="36"/>
      <c r="Y2" s="36"/>
      <c r="Z2" s="247"/>
      <c r="AA2" s="36"/>
      <c r="AB2" s="235"/>
      <c r="AC2" s="234"/>
      <c r="AD2" s="234"/>
      <c r="AE2" s="36"/>
      <c r="AF2" s="36"/>
      <c r="AG2" s="234"/>
      <c r="AH2" s="234"/>
      <c r="AI2" s="234"/>
      <c r="AJ2" s="234"/>
      <c r="AK2" s="234"/>
      <c r="AL2" s="234"/>
      <c r="AM2" s="234"/>
      <c r="AN2" s="234"/>
      <c r="AO2" s="234"/>
      <c r="AP2" s="234"/>
      <c r="AQ2" s="36"/>
      <c r="AR2" s="234"/>
      <c r="AS2" s="234"/>
      <c r="AT2" s="1441" t="s">
        <v>181</v>
      </c>
      <c r="AU2" s="36"/>
      <c r="AV2" s="36"/>
      <c r="AW2" s="36"/>
      <c r="AX2" s="36"/>
      <c r="AY2" s="36"/>
      <c r="AZ2" s="36"/>
    </row>
    <row r="3" spans="1:52" ht="39" customHeight="1" x14ac:dyDescent="0.25">
      <c r="A3" s="236" t="s">
        <v>182</v>
      </c>
      <c r="B3" s="237" t="s">
        <v>183</v>
      </c>
      <c r="C3" s="238" t="s">
        <v>184</v>
      </c>
      <c r="D3" s="240" t="s">
        <v>797</v>
      </c>
      <c r="E3" s="240" t="s">
        <v>59</v>
      </c>
      <c r="F3" s="238" t="s">
        <v>147</v>
      </c>
      <c r="G3" s="238" t="s">
        <v>185</v>
      </c>
      <c r="H3" s="241" t="s">
        <v>102</v>
      </c>
      <c r="I3" s="241" t="s">
        <v>186</v>
      </c>
      <c r="J3" s="241" t="s">
        <v>104</v>
      </c>
      <c r="K3" s="241" t="s">
        <v>187</v>
      </c>
      <c r="L3" s="241" t="s">
        <v>188</v>
      </c>
      <c r="M3" s="238" t="s">
        <v>189</v>
      </c>
      <c r="N3" s="241" t="s">
        <v>190</v>
      </c>
      <c r="O3" s="241" t="s">
        <v>798</v>
      </c>
      <c r="P3" s="243"/>
      <c r="Q3" s="243" t="s">
        <v>799</v>
      </c>
      <c r="R3" s="243" t="s">
        <v>800</v>
      </c>
      <c r="S3" s="36"/>
      <c r="T3" s="321" t="s">
        <v>203</v>
      </c>
      <c r="U3" s="321" t="s">
        <v>204</v>
      </c>
      <c r="V3" s="1510"/>
      <c r="W3" s="322" t="s">
        <v>19</v>
      </c>
      <c r="X3" s="321" t="s">
        <v>697</v>
      </c>
      <c r="Y3" s="321" t="s">
        <v>698</v>
      </c>
      <c r="Z3" s="321" t="s">
        <v>699</v>
      </c>
      <c r="AA3" s="321" t="s">
        <v>700</v>
      </c>
      <c r="AB3" s="241" t="s">
        <v>192</v>
      </c>
      <c r="AC3" s="242" t="s">
        <v>193</v>
      </c>
      <c r="AD3" s="242" t="s">
        <v>194</v>
      </c>
      <c r="AE3" s="242" t="s">
        <v>195</v>
      </c>
      <c r="AF3" s="242" t="s">
        <v>196</v>
      </c>
      <c r="AG3" s="241" t="s">
        <v>197</v>
      </c>
      <c r="AH3" s="1243" t="s">
        <v>198</v>
      </c>
      <c r="AI3" s="324" t="s">
        <v>199</v>
      </c>
      <c r="AJ3" s="326" t="s">
        <v>701</v>
      </c>
      <c r="AK3" s="326" t="s">
        <v>3</v>
      </c>
      <c r="AL3" s="325" t="s">
        <v>296</v>
      </c>
      <c r="AM3" s="325" t="s">
        <v>702</v>
      </c>
      <c r="AN3" s="325" t="s">
        <v>703</v>
      </c>
      <c r="AO3" s="325" t="s">
        <v>704</v>
      </c>
      <c r="AP3" s="243"/>
      <c r="AQ3" s="36"/>
      <c r="AR3" s="320" t="s">
        <v>203</v>
      </c>
      <c r="AS3" s="320" t="s">
        <v>204</v>
      </c>
      <c r="AT3" s="1441"/>
      <c r="AU3" s="243"/>
      <c r="AV3" s="243" t="s">
        <v>801</v>
      </c>
      <c r="AW3" s="243" t="s">
        <v>802</v>
      </c>
      <c r="AX3" s="272" t="s">
        <v>803</v>
      </c>
      <c r="AY3" s="36"/>
      <c r="AZ3" s="36"/>
    </row>
    <row r="4" spans="1:52" ht="13" x14ac:dyDescent="0.3">
      <c r="A4" s="244">
        <v>9257010</v>
      </c>
      <c r="B4" s="237" t="s">
        <v>804</v>
      </c>
      <c r="C4" s="1038" t="s">
        <v>758</v>
      </c>
      <c r="D4" s="245">
        <v>340000</v>
      </c>
      <c r="E4" s="245">
        <v>105000</v>
      </c>
      <c r="F4" s="245"/>
      <c r="G4" s="245"/>
      <c r="H4" s="245">
        <f>VLOOKUP(A4,'Band Calculations 1718'!$A$107:$W$125,6,FALSE)</f>
        <v>0</v>
      </c>
      <c r="I4" s="248">
        <f>VLOOKUP(A4,'1819 Band Calculations'!$A$112:$W$129,13,FALSE)</f>
        <v>712398.58074547083</v>
      </c>
      <c r="J4" s="248">
        <f>VLOOKUP(A4,'1819 Band Calculations'!$A$112:$W$129,20,FALSE)</f>
        <v>14188.461538461539</v>
      </c>
      <c r="K4" s="245">
        <f>VLOOKUP(A4,'FSM Calculation 1819'!$A$4:$D$21,4,FALSE)</f>
        <v>6732.75</v>
      </c>
      <c r="L4" s="245"/>
      <c r="M4" s="245">
        <f>SUM(D4:L4)</f>
        <v>1178319.7922839322</v>
      </c>
      <c r="N4" s="248">
        <f>M4-F4</f>
        <v>1178319.7922839322</v>
      </c>
      <c r="O4" s="1036">
        <f>VLOOKUP(A4,'1819 Band Calculations'!$A$112:$W$129,22,FALSE)</f>
        <v>56</v>
      </c>
      <c r="P4" s="253"/>
      <c r="Q4" s="253">
        <f>O4-(O4*'1819 Band Calculations'!J6)</f>
        <v>47.384615384615387</v>
      </c>
      <c r="R4" s="235">
        <f>'1920 Band Calculations'!AW112</f>
        <v>193956.00651145968</v>
      </c>
      <c r="S4" s="36"/>
      <c r="T4" s="1026">
        <f>N4-D4-E4-L4</f>
        <v>733319.79228393221</v>
      </c>
      <c r="U4" s="1251">
        <f>T4/O4</f>
        <v>13094.996290784504</v>
      </c>
      <c r="V4" s="1026">
        <f>VLOOKUP(A4,'2017-18 Funding Detail'!$A$4:$AQ$23,42,(FALSE))</f>
        <v>11175.152757871787</v>
      </c>
      <c r="W4" s="235">
        <f>U4-V4</f>
        <v>1919.8435329127169</v>
      </c>
      <c r="X4" s="1026">
        <f>IF(W4&lt;0,((W4*O4)*-1),(0))</f>
        <v>0</v>
      </c>
      <c r="Y4" s="1026">
        <f>N4+X4</f>
        <v>1178319.7922839322</v>
      </c>
      <c r="Z4" s="235">
        <f>O4*10000</f>
        <v>560000</v>
      </c>
      <c r="AA4" s="235">
        <f>IF(Z4&gt;Y4,(Z4-Y4),(0))</f>
        <v>0</v>
      </c>
      <c r="AB4" s="242">
        <f>N4/O4</f>
        <v>21041.424862213076</v>
      </c>
      <c r="AC4" s="242">
        <f t="shared" ref="AC4:AC15" si="0">O4*10000</f>
        <v>560000</v>
      </c>
      <c r="AD4" s="242">
        <f t="shared" ref="AD4:AD15" si="1">AB4-10000</f>
        <v>11041.424862213076</v>
      </c>
      <c r="AE4" s="1244">
        <f>VLOOKUP(A4,'2017-18 Funding Detail'!$A$4:$AH$23,27,FALSE)</f>
        <v>9970.8687899910001</v>
      </c>
      <c r="AF4" s="245">
        <f>IF(AD4&gt;AE4,(AD4),(AE4))</f>
        <v>11041.424862213076</v>
      </c>
      <c r="AG4" s="245">
        <f>10000+AF4</f>
        <v>21041.424862213076</v>
      </c>
      <c r="AH4" s="1029">
        <f t="shared" ref="AH4:AH15" si="2">X4+AA4</f>
        <v>0</v>
      </c>
      <c r="AI4" s="346">
        <f t="shared" ref="AI4:AI15" si="3">N4+AH4</f>
        <v>1178319.7922839322</v>
      </c>
      <c r="AJ4" s="235">
        <f>VLOOKUP(A4,'2017-18 Funding Detail'!$A$4:$AG$23,32,(FALSE))</f>
        <v>1007482.6888128801</v>
      </c>
      <c r="AK4" s="235">
        <f>AI4-AJ4</f>
        <v>170837.10347105213</v>
      </c>
      <c r="AL4" s="42">
        <f>O4*10000</f>
        <v>560000</v>
      </c>
      <c r="AM4" s="42">
        <f>AI4-AL4</f>
        <v>618319.79228393221</v>
      </c>
      <c r="AN4" s="327">
        <f>AM4/O4</f>
        <v>11041.424862213074</v>
      </c>
      <c r="AO4" s="327">
        <f t="shared" ref="AO4:AO15" si="4">AI4/O4</f>
        <v>21041.424862213076</v>
      </c>
      <c r="AP4" s="235" t="s">
        <v>206</v>
      </c>
      <c r="AQ4" s="36"/>
      <c r="AR4" s="1251">
        <f>SUM(AI4-'1920 Funding Detail'!D4-'1920 Funding Detail'!E4-R4)</f>
        <v>539363.7857724725</v>
      </c>
      <c r="AS4" s="1026">
        <f>AR4/Q4</f>
        <v>11382.677297146334</v>
      </c>
      <c r="AT4" s="1026">
        <f>AS4*98.5%</f>
        <v>11211.937137689139</v>
      </c>
      <c r="AU4" s="235"/>
      <c r="AV4" s="387">
        <f>(U4-V4)/V4</f>
        <v>0.17179573062751893</v>
      </c>
      <c r="AW4" s="387">
        <f>IF(AV4&gt;=0,(AV4),(AV4*-1))</f>
        <v>0.17179573062751893</v>
      </c>
      <c r="AX4" s="387">
        <f>IF(AV4&lt;0,(AV4+AW4),(AV4))</f>
        <v>0.17179573062751893</v>
      </c>
      <c r="AY4" s="1037"/>
      <c r="AZ4" s="247"/>
    </row>
    <row r="5" spans="1:52" ht="13" x14ac:dyDescent="0.3">
      <c r="A5" s="244">
        <v>9257005</v>
      </c>
      <c r="B5" s="237" t="s">
        <v>805</v>
      </c>
      <c r="C5" s="1038" t="s">
        <v>758</v>
      </c>
      <c r="D5" s="245">
        <v>340000</v>
      </c>
      <c r="E5" s="245">
        <v>105000</v>
      </c>
      <c r="F5" s="245"/>
      <c r="G5" s="245"/>
      <c r="H5" s="245">
        <f>VLOOKUP(A5,'Band Calculations 1718'!$A$107:$W$125,6,FALSE)</f>
        <v>0</v>
      </c>
      <c r="I5" s="248">
        <f>VLOOKUP(A5,'1819 Band Calculations'!$A$112:$W$129,13,FALSE)</f>
        <v>888007.32749666716</v>
      </c>
      <c r="J5" s="248">
        <f>VLOOKUP(A5,'1819 Band Calculations'!$A$112:$W$129,20,FALSE)</f>
        <v>30847.066666666666</v>
      </c>
      <c r="K5" s="245">
        <f>VLOOKUP(A5,'FSM Calculation 1819'!$A$4:$D$21,4,FALSE)</f>
        <v>6283.9000000000005</v>
      </c>
      <c r="L5" s="245"/>
      <c r="M5" s="245">
        <f t="shared" ref="M5:M15" si="5">SUM(D5:L5)</f>
        <v>1370138.2941633337</v>
      </c>
      <c r="N5" s="248">
        <f t="shared" ref="N5:N15" si="6">M5-F5</f>
        <v>1370138.2941633337</v>
      </c>
      <c r="O5" s="1036">
        <f>VLOOKUP(A5,'1819 Band Calculations'!$A$112:$W$129,22,FALSE)</f>
        <v>73.166666666666671</v>
      </c>
      <c r="P5" s="253"/>
      <c r="Q5" s="253">
        <f>O5-(O5*'1819 Band Calculations'!J7)</f>
        <v>66.337777777777788</v>
      </c>
      <c r="R5" s="235">
        <f>'1920 Band Calculations'!AW113</f>
        <v>153737.07349456951</v>
      </c>
      <c r="S5" s="36"/>
      <c r="T5" s="1026">
        <f t="shared" ref="T5:T23" si="7">N5-D5-E5-L5</f>
        <v>925138.29416333372</v>
      </c>
      <c r="U5" s="1251">
        <f t="shared" ref="U5:U15" si="8">T5/O5</f>
        <v>12644.259145740323</v>
      </c>
      <c r="V5" s="1026">
        <f>VLOOKUP(A5,'2017-18 Funding Detail'!$A$4:$AQ$23,42,(FALSE))</f>
        <v>10512.026033820259</v>
      </c>
      <c r="W5" s="235">
        <f t="shared" ref="W5:W23" si="9">U5-V5</f>
        <v>2132.2331119200644</v>
      </c>
      <c r="X5" s="1026">
        <f>IF(W5&lt;0,((W5*O5)*-1),(0))</f>
        <v>0</v>
      </c>
      <c r="Y5" s="1026">
        <f t="shared" ref="Y5:Y23" si="10">N5+X5</f>
        <v>1370138.2941633337</v>
      </c>
      <c r="Z5" s="235">
        <f t="shared" ref="Z5:Z23" si="11">O5*10000</f>
        <v>731666.66666666674</v>
      </c>
      <c r="AA5" s="235">
        <f t="shared" ref="AA5:AA23" si="12">IF(Z5&gt;Y5,(Z5-Y5),(0))</f>
        <v>0</v>
      </c>
      <c r="AB5" s="242">
        <f t="shared" ref="AB5:AB23" si="13">N5/O5</f>
        <v>18726.263701548978</v>
      </c>
      <c r="AC5" s="242">
        <f t="shared" si="0"/>
        <v>731666.66666666674</v>
      </c>
      <c r="AD5" s="242">
        <f t="shared" si="1"/>
        <v>8726.2637015489781</v>
      </c>
      <c r="AE5" s="1244">
        <f>VLOOKUP(A5,'2017-18 Funding Detail'!$A$4:$AH$23,27,FALSE)</f>
        <v>6471.8474623916882</v>
      </c>
      <c r="AF5" s="245">
        <f>IF(AD5&gt;AE5,(AD5),(AE5))</f>
        <v>8726.2637015489781</v>
      </c>
      <c r="AG5" s="245">
        <f t="shared" ref="AG5:AG23" si="14">10000+AF5</f>
        <v>18726.263701548978</v>
      </c>
      <c r="AH5" s="1029">
        <f t="shared" si="2"/>
        <v>0</v>
      </c>
      <c r="AI5" s="346">
        <f t="shared" si="3"/>
        <v>1370138.2941633337</v>
      </c>
      <c r="AJ5" s="235">
        <f>VLOOKUP(A5,'2017-18 Funding Detail'!$A$4:$AG$23,32,(FALSE))</f>
        <v>1229897.9438585793</v>
      </c>
      <c r="AK5" s="235">
        <f>AI5-AJ5</f>
        <v>140240.35030475445</v>
      </c>
      <c r="AL5" s="42">
        <f t="shared" ref="AL5:AL15" si="15">O5*10000</f>
        <v>731666.66666666674</v>
      </c>
      <c r="AM5" s="42">
        <f t="shared" ref="AM5:AM15" si="16">AI5-AL5</f>
        <v>638471.62749666697</v>
      </c>
      <c r="AN5" s="42">
        <f t="shared" ref="AN5:AN15" si="17">AM5/O5</f>
        <v>8726.2637015489781</v>
      </c>
      <c r="AO5" s="327">
        <f t="shared" si="4"/>
        <v>18726.263701548978</v>
      </c>
      <c r="AP5" s="235" t="s">
        <v>206</v>
      </c>
      <c r="AQ5" s="36"/>
      <c r="AR5" s="1251">
        <f>SUM(AI5-'1920 Funding Detail'!D5-'1920 Funding Detail'!E5-R5)</f>
        <v>771401.2206687642</v>
      </c>
      <c r="AS5" s="1026">
        <f t="shared" ref="AS5:AS23" si="18">AR5/Q5</f>
        <v>11628.385009411224</v>
      </c>
      <c r="AT5" s="1026">
        <f t="shared" ref="AT5:AT23" si="19">AS5*98.5%</f>
        <v>11453.959234270056</v>
      </c>
      <c r="AU5" s="235"/>
      <c r="AV5" s="387">
        <f t="shared" ref="AV5:AV23" si="20">(U5-V5)/V5</f>
        <v>0.20283750297611969</v>
      </c>
      <c r="AW5" s="387">
        <f t="shared" ref="AW5:AW23" si="21">IF(AV5&gt;=0,(AV5),(AV5*-1))</f>
        <v>0.20283750297611969</v>
      </c>
      <c r="AX5" s="387">
        <f t="shared" ref="AX5:AX23" si="22">IF(AV5&lt;0,(AV5+AW5),(AV5))</f>
        <v>0.20283750297611969</v>
      </c>
      <c r="AY5" s="1037"/>
      <c r="AZ5" s="36"/>
    </row>
    <row r="6" spans="1:52" ht="13" x14ac:dyDescent="0.3">
      <c r="A6" s="244">
        <v>9257025</v>
      </c>
      <c r="B6" s="237" t="s">
        <v>806</v>
      </c>
      <c r="C6" s="1038" t="s">
        <v>758</v>
      </c>
      <c r="D6" s="245">
        <v>340000</v>
      </c>
      <c r="E6" s="245">
        <v>105000</v>
      </c>
      <c r="F6" s="245"/>
      <c r="G6" s="245"/>
      <c r="H6" s="245">
        <f>VLOOKUP(A6,'Band Calculations 1718'!$A$107:$W$125,6,FALSE)</f>
        <v>0</v>
      </c>
      <c r="I6" s="248">
        <f>VLOOKUP(A6,'1819 Band Calculations'!$A$112:$W$129,13,FALSE)</f>
        <v>731384.85274760542</v>
      </c>
      <c r="J6" s="248">
        <f>VLOOKUP(A6,'1819 Band Calculations'!$A$112:$W$129,20,FALSE)</f>
        <v>26022.263681592041</v>
      </c>
      <c r="K6" s="245">
        <f>VLOOKUP(A6,'FSM Calculation 1819'!$A$4:$D$21,4,FALSE)</f>
        <v>8977</v>
      </c>
      <c r="L6" s="245"/>
      <c r="M6" s="245">
        <f t="shared" si="5"/>
        <v>1211384.1164291974</v>
      </c>
      <c r="N6" s="248">
        <f t="shared" si="6"/>
        <v>1211384.1164291974</v>
      </c>
      <c r="O6" s="1036">
        <f>VLOOKUP(A6,'1819 Band Calculations'!$A$112:$W$129,22,FALSE)</f>
        <v>66.166666666666671</v>
      </c>
      <c r="P6" s="253"/>
      <c r="Q6" s="253">
        <f>O6-(O6*'1819 Band Calculations'!J8)</f>
        <v>60.241293532338311</v>
      </c>
      <c r="R6" s="235">
        <f>'1920 Band Calculations'!AW114</f>
        <v>133396.44850821473</v>
      </c>
      <c r="S6" s="36"/>
      <c r="T6" s="1026">
        <f t="shared" si="7"/>
        <v>766384.11642919737</v>
      </c>
      <c r="U6" s="1251">
        <f t="shared" si="8"/>
        <v>11582.631482557139</v>
      </c>
      <c r="V6" s="1026">
        <f>VLOOKUP(A6,'2017-18 Funding Detail'!$A$4:$AQ$23,42,(FALSE))</f>
        <v>11069.307235482911</v>
      </c>
      <c r="W6" s="235">
        <f t="shared" si="9"/>
        <v>513.32424707422797</v>
      </c>
      <c r="X6" s="1026">
        <f t="shared" ref="X6:X23" si="23">IF(W6&lt;0,((W6*O6)*-1),(0))</f>
        <v>0</v>
      </c>
      <c r="Y6" s="1026">
        <f t="shared" si="10"/>
        <v>1211384.1164291974</v>
      </c>
      <c r="Z6" s="235">
        <f t="shared" si="11"/>
        <v>661666.66666666674</v>
      </c>
      <c r="AA6" s="235">
        <f t="shared" si="12"/>
        <v>0</v>
      </c>
      <c r="AB6" s="242">
        <f t="shared" si="13"/>
        <v>18308.072288602478</v>
      </c>
      <c r="AC6" s="242">
        <f t="shared" si="0"/>
        <v>661666.66666666674</v>
      </c>
      <c r="AD6" s="242">
        <f t="shared" si="1"/>
        <v>8308.0722886024778</v>
      </c>
      <c r="AE6" s="1244">
        <f>VLOOKUP(A6,'2017-18 Funding Detail'!$A$4:$AH$23,27,FALSE)</f>
        <v>8151.5353521937868</v>
      </c>
      <c r="AF6" s="245">
        <f t="shared" ref="AF6:AF23" si="24">IF(AD6&gt;AE6,(AD6),(AE6))</f>
        <v>8308.0722886024778</v>
      </c>
      <c r="AG6" s="245">
        <f t="shared" si="14"/>
        <v>18308.072288602478</v>
      </c>
      <c r="AH6" s="1029">
        <f t="shared" si="2"/>
        <v>0</v>
      </c>
      <c r="AI6" s="346">
        <f t="shared" si="3"/>
        <v>1211384.1164291974</v>
      </c>
      <c r="AJ6" s="235">
        <f>VLOOKUP(A6,'2017-18 Funding Detail'!$A$4:$AG$23,32,(FALSE))</f>
        <v>1140521.4712961763</v>
      </c>
      <c r="AK6" s="235">
        <f t="shared" ref="AK6:AK23" si="25">AI6-AJ6</f>
        <v>70862.645133021055</v>
      </c>
      <c r="AL6" s="42">
        <f t="shared" si="15"/>
        <v>661666.66666666674</v>
      </c>
      <c r="AM6" s="42">
        <f t="shared" si="16"/>
        <v>549717.44976253062</v>
      </c>
      <c r="AN6" s="42">
        <f t="shared" si="17"/>
        <v>8308.0722886024778</v>
      </c>
      <c r="AO6" s="327">
        <f t="shared" si="4"/>
        <v>18308.072288602478</v>
      </c>
      <c r="AP6" s="235" t="s">
        <v>206</v>
      </c>
      <c r="AQ6" s="36"/>
      <c r="AR6" s="1251">
        <f>SUM(AI6-'1920 Funding Detail'!D6-'1920 Funding Detail'!E6-R6)</f>
        <v>632987.6679209827</v>
      </c>
      <c r="AS6" s="1026">
        <f t="shared" si="18"/>
        <v>10507.537783550193</v>
      </c>
      <c r="AT6" s="1026">
        <f t="shared" si="19"/>
        <v>10349.924716796941</v>
      </c>
      <c r="AU6" s="235"/>
      <c r="AV6" s="387">
        <f t="shared" si="20"/>
        <v>4.637365610638719E-2</v>
      </c>
      <c r="AW6" s="387">
        <f t="shared" si="21"/>
        <v>4.637365610638719E-2</v>
      </c>
      <c r="AX6" s="387">
        <f t="shared" si="22"/>
        <v>4.637365610638719E-2</v>
      </c>
      <c r="AY6" s="1037"/>
      <c r="AZ6" s="36"/>
    </row>
    <row r="7" spans="1:52" ht="13" x14ac:dyDescent="0.3">
      <c r="A7" s="244">
        <v>9257011</v>
      </c>
      <c r="B7" s="237" t="s">
        <v>210</v>
      </c>
      <c r="C7" s="1038" t="s">
        <v>757</v>
      </c>
      <c r="D7" s="245">
        <v>317500</v>
      </c>
      <c r="E7" s="245">
        <v>100000</v>
      </c>
      <c r="F7" s="245"/>
      <c r="G7" s="245"/>
      <c r="H7" s="245">
        <f>VLOOKUP(A7,'Band Calculations 1718'!$A$107:$W$125,6,FALSE)</f>
        <v>0</v>
      </c>
      <c r="I7" s="248">
        <f>VLOOKUP(A7,'1819 Band Calculations'!$A$112:$W$129,13,FALSE)</f>
        <v>673698.69273188594</v>
      </c>
      <c r="J7" s="248">
        <f>VLOOKUP(A7,'1819 Band Calculations'!$A$112:$W$129,20,FALSE)</f>
        <v>8405.1620370370365</v>
      </c>
      <c r="K7" s="245">
        <f>VLOOKUP(A7,'FSM Calculation 1819'!$A$4:$D$21,4,FALSE)</f>
        <v>12118.95</v>
      </c>
      <c r="L7" s="245"/>
      <c r="M7" s="245">
        <f t="shared" si="5"/>
        <v>1111722.804768923</v>
      </c>
      <c r="N7" s="248">
        <f t="shared" si="6"/>
        <v>1111722.804768923</v>
      </c>
      <c r="O7" s="1036">
        <f>VLOOKUP(A7,'1819 Band Calculations'!$A$112:$W$129,22,FALSE)</f>
        <v>57.416666666666664</v>
      </c>
      <c r="P7" s="253"/>
      <c r="Q7" s="253">
        <f>O7-(O7*'1819 Band Calculations'!J9)</f>
        <v>51.037037037037038</v>
      </c>
      <c r="R7" s="235">
        <f>'1920 Band Calculations'!AW115</f>
        <v>143623.01176613296</v>
      </c>
      <c r="S7" s="36"/>
      <c r="T7" s="1026">
        <f t="shared" si="7"/>
        <v>694222.80476892297</v>
      </c>
      <c r="U7" s="1251">
        <f t="shared" si="8"/>
        <v>12090.963218036395</v>
      </c>
      <c r="V7" s="1026">
        <f>VLOOKUP(A7,'2017-18 Funding Detail'!$A$4:$AQ$23,42,(FALSE))</f>
        <v>11835.791806299274</v>
      </c>
      <c r="W7" s="235">
        <f t="shared" si="9"/>
        <v>255.17141173712116</v>
      </c>
      <c r="X7" s="1026">
        <f t="shared" si="23"/>
        <v>0</v>
      </c>
      <c r="Y7" s="1026">
        <f t="shared" si="10"/>
        <v>1111722.804768923</v>
      </c>
      <c r="Z7" s="235">
        <f t="shared" si="11"/>
        <v>574166.66666666663</v>
      </c>
      <c r="AA7" s="235">
        <f t="shared" si="12"/>
        <v>0</v>
      </c>
      <c r="AB7" s="242">
        <f>N7/O7</f>
        <v>19362.37105548197</v>
      </c>
      <c r="AC7" s="242">
        <f t="shared" si="0"/>
        <v>574166.66666666663</v>
      </c>
      <c r="AD7" s="242">
        <f t="shared" si="1"/>
        <v>9362.37105548197</v>
      </c>
      <c r="AE7" s="1244">
        <f>VLOOKUP(A7,'2017-18 Funding Detail'!$A$4:$AH$23,27,FALSE)</f>
        <v>9591.2097629556192</v>
      </c>
      <c r="AF7" s="245">
        <f t="shared" si="24"/>
        <v>9591.2097629556192</v>
      </c>
      <c r="AG7" s="245">
        <f t="shared" si="14"/>
        <v>19591.209762955619</v>
      </c>
      <c r="AH7" s="1029">
        <f t="shared" si="2"/>
        <v>0</v>
      </c>
      <c r="AI7" s="346">
        <f t="shared" si="3"/>
        <v>1111722.804768923</v>
      </c>
      <c r="AJ7" s="235">
        <f>VLOOKUP(A7,'2017-18 Funding Detail'!$A$4:$AG$23,32,(FALSE))</f>
        <v>1054660.1255724442</v>
      </c>
      <c r="AK7" s="235">
        <f t="shared" si="25"/>
        <v>57062.679196478799</v>
      </c>
      <c r="AL7" s="42">
        <f t="shared" si="15"/>
        <v>574166.66666666663</v>
      </c>
      <c r="AM7" s="42">
        <f t="shared" si="16"/>
        <v>537556.13810225634</v>
      </c>
      <c r="AN7" s="42">
        <f t="shared" si="17"/>
        <v>9362.3710554819681</v>
      </c>
      <c r="AO7" s="327">
        <f t="shared" si="4"/>
        <v>19362.37105548197</v>
      </c>
      <c r="AP7" s="235" t="s">
        <v>206</v>
      </c>
      <c r="AQ7" s="36"/>
      <c r="AR7" s="1251">
        <f>SUM(AI7-'1920 Funding Detail'!D7-'1920 Funding Detail'!E7-R7)</f>
        <v>523099.79300279001</v>
      </c>
      <c r="AS7" s="1026">
        <f t="shared" si="18"/>
        <v>10249.415392652634</v>
      </c>
      <c r="AT7" s="1026">
        <f t="shared" si="19"/>
        <v>10095.674161762845</v>
      </c>
      <c r="AU7" s="235"/>
      <c r="AV7" s="387">
        <f t="shared" si="20"/>
        <v>2.1559302150052456E-2</v>
      </c>
      <c r="AW7" s="387">
        <f t="shared" si="21"/>
        <v>2.1559302150052456E-2</v>
      </c>
      <c r="AX7" s="387">
        <f t="shared" si="22"/>
        <v>2.1559302150052456E-2</v>
      </c>
      <c r="AY7" s="1037"/>
      <c r="AZ7" s="36"/>
    </row>
    <row r="8" spans="1:52" ht="13" x14ac:dyDescent="0.3">
      <c r="A8" s="244">
        <v>9257024</v>
      </c>
      <c r="B8" s="237" t="s">
        <v>807</v>
      </c>
      <c r="C8" s="1038" t="s">
        <v>758</v>
      </c>
      <c r="D8" s="245">
        <v>340000</v>
      </c>
      <c r="E8" s="245">
        <v>105000</v>
      </c>
      <c r="F8" s="245"/>
      <c r="G8" s="245"/>
      <c r="H8" s="245">
        <f>VLOOKUP(A8,'Band Calculations 1718'!$A$107:$W$125,6,FALSE)</f>
        <v>0</v>
      </c>
      <c r="I8" s="248">
        <f>VLOOKUP(A8,'1819 Band Calculations'!$A$112:$W$129,13,FALSE)</f>
        <v>867312.67086854717</v>
      </c>
      <c r="J8" s="248">
        <f>VLOOKUP(A8,'1819 Band Calculations'!$A$112:$W$129,20,FALSE)</f>
        <v>11431.062801932369</v>
      </c>
      <c r="K8" s="245">
        <f>VLOOKUP(A8,'FSM Calculation 1819'!$A$4:$D$21,4,FALSE)</f>
        <v>13016.650000000001</v>
      </c>
      <c r="L8" s="245"/>
      <c r="M8" s="245">
        <f t="shared" si="5"/>
        <v>1336760.3836704795</v>
      </c>
      <c r="N8" s="248">
        <f t="shared" si="6"/>
        <v>1336760.3836704795</v>
      </c>
      <c r="O8" s="1036">
        <f>VLOOKUP(A8,'1819 Band Calculations'!$A$112:$W$129,22,FALSE)</f>
        <v>74.833333333333343</v>
      </c>
      <c r="P8" s="253"/>
      <c r="Q8" s="253">
        <f>O8-(O8*'1819 Band Calculations'!J10)</f>
        <v>65.072463768115952</v>
      </c>
      <c r="R8" s="235">
        <f>'1920 Band Calculations'!AW116</f>
        <v>219744.02368155867</v>
      </c>
      <c r="S8" s="36"/>
      <c r="T8" s="1026">
        <f t="shared" si="7"/>
        <v>891760.38367047952</v>
      </c>
      <c r="U8" s="1251">
        <f t="shared" si="8"/>
        <v>11916.619826331573</v>
      </c>
      <c r="V8" s="1026">
        <f>VLOOKUP(A8,'2017-18 Funding Detail'!$A$4:$AQ$23,42,(FALSE))</f>
        <v>8635.4124871368913</v>
      </c>
      <c r="W8" s="235">
        <f t="shared" si="9"/>
        <v>3281.2073391946815</v>
      </c>
      <c r="X8" s="1026">
        <f t="shared" si="23"/>
        <v>0</v>
      </c>
      <c r="Y8" s="1026">
        <f t="shared" si="10"/>
        <v>1336760.3836704795</v>
      </c>
      <c r="Z8" s="235">
        <f t="shared" si="11"/>
        <v>748333.33333333337</v>
      </c>
      <c r="AA8" s="235">
        <f t="shared" si="12"/>
        <v>0</v>
      </c>
      <c r="AB8" s="242">
        <f t="shared" si="13"/>
        <v>17863.167710518654</v>
      </c>
      <c r="AC8" s="242">
        <f t="shared" si="0"/>
        <v>748333.33333333337</v>
      </c>
      <c r="AD8" s="242">
        <f t="shared" si="1"/>
        <v>7863.1677105186536</v>
      </c>
      <c r="AE8" s="1244">
        <f>VLOOKUP(A8,'2017-18 Funding Detail'!$A$4:$AH$23,27,FALSE)</f>
        <v>5420.0844284477953</v>
      </c>
      <c r="AF8" s="245">
        <f t="shared" si="24"/>
        <v>7863.1677105186536</v>
      </c>
      <c r="AG8" s="245">
        <f t="shared" si="14"/>
        <v>17863.167710518654</v>
      </c>
      <c r="AH8" s="1029">
        <f t="shared" si="2"/>
        <v>0</v>
      </c>
      <c r="AI8" s="346">
        <f t="shared" si="3"/>
        <v>1336760.3836704795</v>
      </c>
      <c r="AJ8" s="235">
        <f>VLOOKUP(A8,'2017-18 Funding Detail'!$A$4:$AG$23,32,(FALSE))</f>
        <v>999825.25229854521</v>
      </c>
      <c r="AK8" s="235">
        <f t="shared" si="25"/>
        <v>336935.13137193432</v>
      </c>
      <c r="AL8" s="42">
        <f t="shared" si="15"/>
        <v>748333.33333333337</v>
      </c>
      <c r="AM8" s="42">
        <f t="shared" si="16"/>
        <v>588427.05033714615</v>
      </c>
      <c r="AN8" s="42">
        <f t="shared" si="17"/>
        <v>7863.1677105186554</v>
      </c>
      <c r="AO8" s="327">
        <f t="shared" si="4"/>
        <v>17863.167710518654</v>
      </c>
      <c r="AP8" s="235" t="s">
        <v>206</v>
      </c>
      <c r="AQ8" s="36"/>
      <c r="AR8" s="1251">
        <f>SUM(AI8-'1920 Funding Detail'!D8-'1920 Funding Detail'!E8-R8)</f>
        <v>672016.35998892086</v>
      </c>
      <c r="AS8" s="1026">
        <f t="shared" si="18"/>
        <v>10327.200186912145</v>
      </c>
      <c r="AT8" s="1026">
        <f t="shared" si="19"/>
        <v>10172.292184108463</v>
      </c>
      <c r="AU8" s="235"/>
      <c r="AV8" s="387">
        <f t="shared" si="20"/>
        <v>0.37997111823926089</v>
      </c>
      <c r="AW8" s="387">
        <f t="shared" si="21"/>
        <v>0.37997111823926089</v>
      </c>
      <c r="AX8" s="387">
        <f t="shared" si="22"/>
        <v>0.37997111823926089</v>
      </c>
      <c r="AY8" s="1037"/>
      <c r="AZ8" s="36"/>
    </row>
    <row r="9" spans="1:52" ht="13" x14ac:dyDescent="0.3">
      <c r="A9" s="244">
        <v>9257008</v>
      </c>
      <c r="B9" s="237" t="s">
        <v>340</v>
      </c>
      <c r="C9" s="1038" t="s">
        <v>758</v>
      </c>
      <c r="D9" s="245">
        <v>340000</v>
      </c>
      <c r="E9" s="245">
        <v>105000</v>
      </c>
      <c r="F9" s="245"/>
      <c r="G9" s="245"/>
      <c r="H9" s="245">
        <f>VLOOKUP(A9,'Band Calculations 1718'!$A$107:$W$125,6,FALSE)</f>
        <v>0</v>
      </c>
      <c r="I9" s="248">
        <f>VLOOKUP(A9,'1819 Band Calculations'!$A$112:$W$129,13,FALSE)</f>
        <v>829611.0921033062</v>
      </c>
      <c r="J9" s="248">
        <f>VLOOKUP(A9,'1819 Band Calculations'!$A$112:$W$129,20,FALSE)</f>
        <v>37666.987179487187</v>
      </c>
      <c r="K9" s="245">
        <f>VLOOKUP(A9,'FSM Calculation 1819'!$A$4:$D$21,4,FALSE)</f>
        <v>15260.900000000001</v>
      </c>
      <c r="L9" s="245"/>
      <c r="M9" s="245">
        <f t="shared" si="5"/>
        <v>1327538.9792827934</v>
      </c>
      <c r="N9" s="248">
        <f t="shared" si="6"/>
        <v>1327538.9792827934</v>
      </c>
      <c r="O9" s="1036">
        <f>VLOOKUP(A9,'1819 Band Calculations'!$A$112:$W$129,22,FALSE)</f>
        <v>92.916666666666671</v>
      </c>
      <c r="P9" s="253"/>
      <c r="Q9" s="253">
        <f>O9-(O9*'1819 Band Calculations'!J13)</f>
        <v>92.916666666666671</v>
      </c>
      <c r="R9" s="235">
        <f>'1920 Band Calculations'!AW119</f>
        <v>0</v>
      </c>
      <c r="S9" s="36"/>
      <c r="T9" s="1026">
        <f t="shared" si="7"/>
        <v>882538.97928279336</v>
      </c>
      <c r="U9" s="1251">
        <f t="shared" si="8"/>
        <v>9498.1773555098825</v>
      </c>
      <c r="V9" s="1026">
        <f>VLOOKUP(A9,'2017-18 Funding Detail'!$A$4:$AQ$23,42,(FALSE))</f>
        <v>9433.1831437895362</v>
      </c>
      <c r="W9" s="235">
        <f t="shared" si="9"/>
        <v>64.994211720346357</v>
      </c>
      <c r="X9" s="1026">
        <f t="shared" si="23"/>
        <v>0</v>
      </c>
      <c r="Y9" s="1026">
        <f t="shared" si="10"/>
        <v>1327538.9792827934</v>
      </c>
      <c r="Z9" s="235">
        <f t="shared" si="11"/>
        <v>929166.66666666674</v>
      </c>
      <c r="AA9" s="235">
        <f t="shared" si="12"/>
        <v>0</v>
      </c>
      <c r="AB9" s="242">
        <f t="shared" si="13"/>
        <v>14287.415023671318</v>
      </c>
      <c r="AC9" s="242">
        <f t="shared" si="0"/>
        <v>929166.66666666674</v>
      </c>
      <c r="AD9" s="242">
        <f t="shared" si="1"/>
        <v>4287.4150236713176</v>
      </c>
      <c r="AE9" s="1244">
        <f>VLOOKUP(A9,'2017-18 Funding Detail'!$A$4:$AH$23,27,FALSE)</f>
        <v>4377.6275882339796</v>
      </c>
      <c r="AF9" s="245">
        <f t="shared" si="24"/>
        <v>4377.6275882339796</v>
      </c>
      <c r="AG9" s="245">
        <f t="shared" si="14"/>
        <v>14377.62758823398</v>
      </c>
      <c r="AH9" s="1029">
        <f t="shared" si="2"/>
        <v>0</v>
      </c>
      <c r="AI9" s="346">
        <f t="shared" si="3"/>
        <v>1327538.9792827934</v>
      </c>
      <c r="AJ9" s="235">
        <f>VLOOKUP(A9,'2017-18 Funding Detail'!$A$4:$AG$23,32,(FALSE))</f>
        <v>1293986.4829410582</v>
      </c>
      <c r="AK9" s="235">
        <f t="shared" si="25"/>
        <v>33552.496341735125</v>
      </c>
      <c r="AL9" s="42">
        <f t="shared" si="15"/>
        <v>929166.66666666674</v>
      </c>
      <c r="AM9" s="42">
        <f t="shared" si="16"/>
        <v>398372.31261612661</v>
      </c>
      <c r="AN9" s="42">
        <f t="shared" si="17"/>
        <v>4287.4150236713176</v>
      </c>
      <c r="AO9" s="327">
        <f t="shared" si="4"/>
        <v>14287.415023671318</v>
      </c>
      <c r="AP9" s="235" t="s">
        <v>206</v>
      </c>
      <c r="AQ9" s="36"/>
      <c r="AR9" s="1251">
        <f>SUM(AI9-'1920 Funding Detail'!D9-'1920 Funding Detail'!E9-R9)</f>
        <v>882538.97928279336</v>
      </c>
      <c r="AS9" s="1026">
        <f t="shared" si="18"/>
        <v>9498.1773555098825</v>
      </c>
      <c r="AT9" s="1026">
        <f t="shared" si="19"/>
        <v>9355.7046951772336</v>
      </c>
      <c r="AU9" s="235"/>
      <c r="AV9" s="387">
        <f t="shared" si="20"/>
        <v>6.889955461443169E-3</v>
      </c>
      <c r="AW9" s="387">
        <f t="shared" si="21"/>
        <v>6.889955461443169E-3</v>
      </c>
      <c r="AX9" s="387">
        <f t="shared" si="22"/>
        <v>6.889955461443169E-3</v>
      </c>
      <c r="AY9" s="1037"/>
      <c r="AZ9" s="36"/>
    </row>
    <row r="10" spans="1:52" ht="13" x14ac:dyDescent="0.3">
      <c r="A10" s="244">
        <v>9257002</v>
      </c>
      <c r="B10" s="237" t="s">
        <v>808</v>
      </c>
      <c r="C10" s="1038" t="s">
        <v>760</v>
      </c>
      <c r="D10" s="245">
        <v>385000</v>
      </c>
      <c r="E10" s="245">
        <v>115000</v>
      </c>
      <c r="F10" s="245"/>
      <c r="G10" s="245"/>
      <c r="H10" s="245">
        <f>VLOOKUP(A10,'Band Calculations 1718'!$A$107:$W$125,6,FALSE)</f>
        <v>0</v>
      </c>
      <c r="I10" s="248">
        <f>VLOOKUP(A10,'1819 Band Calculations'!$A$112:$W$129,13,FALSE)</f>
        <v>1186455.6800731951</v>
      </c>
      <c r="J10" s="248">
        <f>VLOOKUP(A10,'1819 Band Calculations'!$A$112:$W$129,20,FALSE)</f>
        <v>70563.657074340532</v>
      </c>
      <c r="K10" s="245">
        <f>VLOOKUP(A10,'FSM Calculation 1819'!$A$4:$D$21,4,FALSE)</f>
        <v>23789.050000000003</v>
      </c>
      <c r="L10" s="245"/>
      <c r="M10" s="245">
        <f t="shared" si="5"/>
        <v>1780808.3871475358</v>
      </c>
      <c r="N10" s="248">
        <f t="shared" si="6"/>
        <v>1780808.3871475358</v>
      </c>
      <c r="O10" s="1036">
        <f>VLOOKUP(A10,'1819 Band Calculations'!$A$112:$W$129,22,FALSE)</f>
        <v>143.16666666666669</v>
      </c>
      <c r="P10" s="253"/>
      <c r="Q10" s="253">
        <f>O10-(O10*'1819 Band Calculations'!J15)</f>
        <v>142.13669064748203</v>
      </c>
      <c r="R10" s="235">
        <f>'1920 Band Calculations'!AW121</f>
        <v>23187.593404349416</v>
      </c>
      <c r="S10" s="36"/>
      <c r="T10" s="1026">
        <f t="shared" si="7"/>
        <v>1280808.3871475358</v>
      </c>
      <c r="U10" s="1251">
        <f t="shared" si="8"/>
        <v>8946.275113952519</v>
      </c>
      <c r="V10" s="1026">
        <f>VLOOKUP(A10,'2017-18 Funding Detail'!$A$4:$AQ$23,42,(FALSE))</f>
        <v>7921.1194050445165</v>
      </c>
      <c r="W10" s="235">
        <f t="shared" si="9"/>
        <v>1025.1557089080025</v>
      </c>
      <c r="X10" s="1026">
        <f t="shared" si="23"/>
        <v>0</v>
      </c>
      <c r="Y10" s="1026">
        <f t="shared" si="10"/>
        <v>1780808.3871475358</v>
      </c>
      <c r="Z10" s="235">
        <f t="shared" si="11"/>
        <v>1431666.6666666667</v>
      </c>
      <c r="AA10" s="235">
        <f t="shared" si="12"/>
        <v>0</v>
      </c>
      <c r="AB10" s="242">
        <f t="shared" si="13"/>
        <v>12438.708175652169</v>
      </c>
      <c r="AC10" s="242">
        <f t="shared" si="0"/>
        <v>1431666.6666666667</v>
      </c>
      <c r="AD10" s="242">
        <f t="shared" si="1"/>
        <v>2438.7081756521693</v>
      </c>
      <c r="AE10" s="1244">
        <f>VLOOKUP(A10,'2017-18 Funding Detail'!$A$4:$AH$23,27,FALSE)</f>
        <v>1627.1107577313596</v>
      </c>
      <c r="AF10" s="245">
        <f t="shared" si="24"/>
        <v>2438.7081756521693</v>
      </c>
      <c r="AG10" s="245">
        <f t="shared" si="14"/>
        <v>12438.708175652169</v>
      </c>
      <c r="AH10" s="1029">
        <f t="shared" si="2"/>
        <v>0</v>
      </c>
      <c r="AI10" s="346">
        <f t="shared" si="3"/>
        <v>1780808.3871475358</v>
      </c>
      <c r="AJ10" s="235">
        <f>VLOOKUP(A10,'2017-18 Funding Detail'!$A$4:$AG$23,32,(FALSE))</f>
        <v>1568691.0263972562</v>
      </c>
      <c r="AK10" s="235">
        <f t="shared" si="25"/>
        <v>212117.36075027962</v>
      </c>
      <c r="AL10" s="42">
        <f t="shared" si="15"/>
        <v>1431666.6666666667</v>
      </c>
      <c r="AM10" s="42">
        <f t="shared" si="16"/>
        <v>349141.72048086906</v>
      </c>
      <c r="AN10" s="42">
        <f t="shared" si="17"/>
        <v>2438.7081756521702</v>
      </c>
      <c r="AO10" s="327">
        <f t="shared" si="4"/>
        <v>12438.708175652169</v>
      </c>
      <c r="AP10" s="235" t="s">
        <v>206</v>
      </c>
      <c r="AQ10" s="36"/>
      <c r="AR10" s="1251">
        <f>SUM(AI10-'1920 Funding Detail'!D10-'1920 Funding Detail'!E10-R10)</f>
        <v>1257620.7937431864</v>
      </c>
      <c r="AS10" s="1026">
        <f t="shared" si="18"/>
        <v>8847.9673194464194</v>
      </c>
      <c r="AT10" s="1026">
        <f t="shared" si="19"/>
        <v>8715.2478096547238</v>
      </c>
      <c r="AU10" s="235"/>
      <c r="AV10" s="387">
        <f t="shared" si="20"/>
        <v>0.12942055995963631</v>
      </c>
      <c r="AW10" s="387">
        <f t="shared" si="21"/>
        <v>0.12942055995963631</v>
      </c>
      <c r="AX10" s="387">
        <f t="shared" si="22"/>
        <v>0.12942055995963631</v>
      </c>
      <c r="AY10" s="1037"/>
      <c r="AZ10" s="36"/>
    </row>
    <row r="11" spans="1:52" ht="13" x14ac:dyDescent="0.3">
      <c r="A11" s="244">
        <v>9257009</v>
      </c>
      <c r="B11" s="237" t="s">
        <v>546</v>
      </c>
      <c r="C11" s="1038" t="s">
        <v>760</v>
      </c>
      <c r="D11" s="245">
        <v>385000</v>
      </c>
      <c r="E11" s="245">
        <v>115000</v>
      </c>
      <c r="F11" s="245"/>
      <c r="G11" s="245"/>
      <c r="H11" s="245">
        <f>VLOOKUP(A11,'Band Calculations 1718'!$A$107:$W$125,6,FALSE)</f>
        <v>0</v>
      </c>
      <c r="I11" s="248">
        <f>VLOOKUP(A11,'1819 Band Calculations'!$A$112:$W$129,13,FALSE)</f>
        <v>1217385.1298724138</v>
      </c>
      <c r="J11" s="248">
        <f>VLOOKUP(A11,'1819 Band Calculations'!$A$112:$W$129,20,FALSE)</f>
        <v>43257.916666666672</v>
      </c>
      <c r="K11" s="245">
        <f>VLOOKUP(A11,'FSM Calculation 1819'!$A$4:$D$21,4,FALSE)</f>
        <v>13914.35</v>
      </c>
      <c r="L11" s="245"/>
      <c r="M11" s="245">
        <f t="shared" si="5"/>
        <v>1774557.3965390807</v>
      </c>
      <c r="N11" s="248">
        <f t="shared" si="6"/>
        <v>1774557.3965390807</v>
      </c>
      <c r="O11" s="1036">
        <f>VLOOKUP(A11,'1819 Band Calculations'!$A$112:$W$129,22,FALSE)</f>
        <v>131.33333333333334</v>
      </c>
      <c r="P11" s="253"/>
      <c r="Q11" s="253">
        <f>O11-(O11*'1819 Band Calculations'!J16)</f>
        <v>131.33333333333334</v>
      </c>
      <c r="R11" s="235">
        <f>'1920 Band Calculations'!AW122</f>
        <v>0</v>
      </c>
      <c r="S11" s="36"/>
      <c r="T11" s="1026">
        <f t="shared" si="7"/>
        <v>1274557.3965390807</v>
      </c>
      <c r="U11" s="1251">
        <f t="shared" si="8"/>
        <v>9704.7517502975679</v>
      </c>
      <c r="V11" s="1026">
        <f>VLOOKUP(A11,'2017-18 Funding Detail'!$A$4:$AQ$23,42,(FALSE))</f>
        <v>7663.2323099685027</v>
      </c>
      <c r="W11" s="235">
        <f t="shared" si="9"/>
        <v>2041.5194403290652</v>
      </c>
      <c r="X11" s="1026">
        <f t="shared" si="23"/>
        <v>0</v>
      </c>
      <c r="Y11" s="1026">
        <f t="shared" si="10"/>
        <v>1774557.3965390807</v>
      </c>
      <c r="Z11" s="235">
        <f t="shared" si="11"/>
        <v>1313333.3333333335</v>
      </c>
      <c r="AA11" s="235">
        <f t="shared" si="12"/>
        <v>0</v>
      </c>
      <c r="AB11" s="242">
        <f t="shared" si="13"/>
        <v>13511.858349282338</v>
      </c>
      <c r="AC11" s="242">
        <f t="shared" si="0"/>
        <v>1313333.3333333335</v>
      </c>
      <c r="AD11" s="242">
        <f t="shared" si="1"/>
        <v>3511.8583492823382</v>
      </c>
      <c r="AE11" s="1244">
        <f>VLOOKUP(A11,'2017-18 Funding Detail'!$A$4:$AH$23,27,FALSE)</f>
        <v>1551.7611498907318</v>
      </c>
      <c r="AF11" s="245">
        <f t="shared" si="24"/>
        <v>3511.8583492823382</v>
      </c>
      <c r="AG11" s="245">
        <f t="shared" si="14"/>
        <v>13511.858349282338</v>
      </c>
      <c r="AH11" s="1029">
        <f t="shared" si="2"/>
        <v>0</v>
      </c>
      <c r="AI11" s="346">
        <f t="shared" si="3"/>
        <v>1774557.3965390807</v>
      </c>
      <c r="AJ11" s="235">
        <f>VLOOKUP(A11,'2017-18 Funding Detail'!$A$4:$AG$23,32,(FALSE))</f>
        <v>1485363.95452345</v>
      </c>
      <c r="AK11" s="235">
        <f>AI11-AJ11</f>
        <v>289193.44201563066</v>
      </c>
      <c r="AL11" s="42">
        <f t="shared" si="15"/>
        <v>1313333.3333333335</v>
      </c>
      <c r="AM11" s="42">
        <f t="shared" si="16"/>
        <v>461224.06320574717</v>
      </c>
      <c r="AN11" s="42">
        <f t="shared" si="17"/>
        <v>3511.8583492823386</v>
      </c>
      <c r="AO11" s="327">
        <f t="shared" si="4"/>
        <v>13511.858349282338</v>
      </c>
      <c r="AP11" s="235" t="s">
        <v>206</v>
      </c>
      <c r="AQ11" s="36"/>
      <c r="AR11" s="1251">
        <f>SUM(AI11-'1920 Funding Detail'!D11-'1920 Funding Detail'!E11-R11)</f>
        <v>1274557.3965390807</v>
      </c>
      <c r="AS11" s="1026">
        <f t="shared" si="18"/>
        <v>9704.7517502975679</v>
      </c>
      <c r="AT11" s="1026">
        <f t="shared" si="19"/>
        <v>9559.1804740431035</v>
      </c>
      <c r="AU11" s="235"/>
      <c r="AV11" s="387">
        <f t="shared" si="20"/>
        <v>0.26640448282814178</v>
      </c>
      <c r="AW11" s="387">
        <f t="shared" si="21"/>
        <v>0.26640448282814178</v>
      </c>
      <c r="AX11" s="387">
        <f t="shared" si="22"/>
        <v>0.26640448282814178</v>
      </c>
      <c r="AY11" s="1037"/>
      <c r="AZ11" s="36"/>
    </row>
    <row r="12" spans="1:52" ht="13" x14ac:dyDescent="0.3">
      <c r="A12" s="244">
        <v>9257028</v>
      </c>
      <c r="B12" s="237" t="s">
        <v>215</v>
      </c>
      <c r="C12" s="1038" t="s">
        <v>759</v>
      </c>
      <c r="D12" s="245">
        <v>362500</v>
      </c>
      <c r="E12" s="245">
        <v>110000</v>
      </c>
      <c r="F12" s="245"/>
      <c r="G12" s="245"/>
      <c r="H12" s="245">
        <f>VLOOKUP(A12,'Band Calculations 1718'!$A$107:$W$125,6,FALSE)</f>
        <v>0</v>
      </c>
      <c r="I12" s="248">
        <f>VLOOKUP(A12,'1819 Band Calculations'!$A$112:$W$129,13,FALSE)</f>
        <v>1031375.9926209812</v>
      </c>
      <c r="J12" s="248">
        <f>VLOOKUP(A12,'1819 Band Calculations'!$A$112:$W$129,20,FALSE)</f>
        <v>7930.0158227848106</v>
      </c>
      <c r="K12" s="245">
        <f>VLOOKUP(A12,'FSM Calculation 1819'!$A$4:$D$21,4,FALSE)</f>
        <v>7630.4500000000007</v>
      </c>
      <c r="L12" s="245"/>
      <c r="M12" s="245">
        <f t="shared" si="5"/>
        <v>1519436.458443766</v>
      </c>
      <c r="N12" s="248">
        <f t="shared" si="6"/>
        <v>1519436.458443766</v>
      </c>
      <c r="O12" s="1036">
        <f>VLOOKUP(A12,'1819 Band Calculations'!$A$112:$W$129,22,FALSE)</f>
        <v>79.25</v>
      </c>
      <c r="P12" s="253"/>
      <c r="Q12" s="253">
        <f>O12-(O12*'1819 Band Calculations'!J20)</f>
        <v>64.202531645569621</v>
      </c>
      <c r="R12" s="235">
        <f>'1920 Band Calculations'!AW126</f>
        <v>338759.90456899529</v>
      </c>
      <c r="S12" s="36"/>
      <c r="T12" s="1026">
        <f t="shared" si="7"/>
        <v>1046936.458443766</v>
      </c>
      <c r="U12" s="1251">
        <f t="shared" si="8"/>
        <v>13210.554680678435</v>
      </c>
      <c r="V12" s="1026">
        <f>VLOOKUP(A12,'2017-18 Funding Detail'!$A$4:$AQ$23,42,(FALSE))</f>
        <v>11797.314380629057</v>
      </c>
      <c r="W12" s="235">
        <f t="shared" si="9"/>
        <v>1413.2403000493778</v>
      </c>
      <c r="X12" s="1026">
        <f t="shared" si="23"/>
        <v>0</v>
      </c>
      <c r="Y12" s="1026">
        <f t="shared" si="10"/>
        <v>1519436.458443766</v>
      </c>
      <c r="Z12" s="235">
        <f t="shared" si="11"/>
        <v>792500</v>
      </c>
      <c r="AA12" s="235">
        <f t="shared" si="12"/>
        <v>0</v>
      </c>
      <c r="AB12" s="242">
        <f t="shared" si="13"/>
        <v>19172.699791088529</v>
      </c>
      <c r="AC12" s="242">
        <f t="shared" si="0"/>
        <v>792500</v>
      </c>
      <c r="AD12" s="242">
        <f t="shared" si="1"/>
        <v>9172.6997910885293</v>
      </c>
      <c r="AE12" s="1244">
        <f>VLOOKUP(A12,'2017-18 Funding Detail'!$A$4:$AH$23,27,FALSE)</f>
        <v>8097.3143806290573</v>
      </c>
      <c r="AF12" s="245">
        <f t="shared" si="24"/>
        <v>9172.6997910885293</v>
      </c>
      <c r="AG12" s="245">
        <f t="shared" si="14"/>
        <v>19172.699791088529</v>
      </c>
      <c r="AH12" s="1029">
        <f t="shared" si="2"/>
        <v>0</v>
      </c>
      <c r="AI12" s="346">
        <f t="shared" si="3"/>
        <v>1519436.458443766</v>
      </c>
      <c r="AJ12" s="235">
        <f>VLOOKUP(A12,'2017-18 Funding Detail'!$A$4:$AG$23,32,(FALSE))</f>
        <v>1357298.5785471792</v>
      </c>
      <c r="AK12" s="235">
        <f t="shared" si="25"/>
        <v>162137.87989658676</v>
      </c>
      <c r="AL12" s="42">
        <f t="shared" si="15"/>
        <v>792500</v>
      </c>
      <c r="AM12" s="42">
        <f t="shared" si="16"/>
        <v>726936.45844376599</v>
      </c>
      <c r="AN12" s="42">
        <f t="shared" si="17"/>
        <v>9172.6997910885293</v>
      </c>
      <c r="AO12" s="327">
        <f t="shared" si="4"/>
        <v>19172.699791088529</v>
      </c>
      <c r="AP12" s="235" t="s">
        <v>206</v>
      </c>
      <c r="AQ12" s="36"/>
      <c r="AR12" s="1251">
        <f>SUM(AI12-'1920 Funding Detail'!D12-'1920 Funding Detail'!E12-R12)</f>
        <v>708176.55387477065</v>
      </c>
      <c r="AS12" s="1026">
        <f t="shared" si="18"/>
        <v>11030.352475573123</v>
      </c>
      <c r="AT12" s="1026">
        <f t="shared" si="19"/>
        <v>10864.897188439527</v>
      </c>
      <c r="AU12" s="235"/>
      <c r="AV12" s="387">
        <f t="shared" si="20"/>
        <v>0.11979339148322508</v>
      </c>
      <c r="AW12" s="387">
        <f t="shared" si="21"/>
        <v>0.11979339148322508</v>
      </c>
      <c r="AX12" s="387">
        <f t="shared" si="22"/>
        <v>0.11979339148322508</v>
      </c>
      <c r="AY12" s="1037"/>
      <c r="AZ12" s="36"/>
    </row>
    <row r="13" spans="1:52" ht="13" x14ac:dyDescent="0.3">
      <c r="A13" s="244">
        <v>9257021</v>
      </c>
      <c r="B13" s="237" t="s">
        <v>809</v>
      </c>
      <c r="C13" s="1038" t="s">
        <v>761</v>
      </c>
      <c r="D13" s="245">
        <v>407500</v>
      </c>
      <c r="E13" s="245">
        <v>120000</v>
      </c>
      <c r="F13" s="245"/>
      <c r="G13" s="245"/>
      <c r="H13" s="245">
        <f>VLOOKUP(A13,'Band Calculations 1718'!$A$107:$W$125,6,FALSE)</f>
        <v>0</v>
      </c>
      <c r="I13" s="248">
        <f>VLOOKUP(A13,'1819 Band Calculations'!$A$112:$W$129,13,FALSE)</f>
        <v>1450842.7311555322</v>
      </c>
      <c r="J13" s="248">
        <f>VLOOKUP(A13,'1819 Band Calculations'!$A$112:$W$129,20,FALSE)</f>
        <v>50280.333333333336</v>
      </c>
      <c r="K13" s="245">
        <f>VLOOKUP(A13,'FSM Calculation 1819'!$A$4:$D$21,4,FALSE)</f>
        <v>26033.300000000003</v>
      </c>
      <c r="L13" s="245"/>
      <c r="M13" s="245">
        <f t="shared" si="5"/>
        <v>2054656.3644888655</v>
      </c>
      <c r="N13" s="248">
        <f t="shared" si="6"/>
        <v>2054656.3644888655</v>
      </c>
      <c r="O13" s="1036">
        <f>VLOOKUP(A13,'1819 Band Calculations'!$A$112:$W$129,22,FALSE)</f>
        <v>155.66666666666666</v>
      </c>
      <c r="P13" s="253"/>
      <c r="Q13" s="253">
        <f>O13-(O13*'1819 Band Calculations'!J21)</f>
        <v>153.65806451612903</v>
      </c>
      <c r="R13" s="235">
        <f>'1920 Band Calculations'!AW127</f>
        <v>45219.159582606444</v>
      </c>
      <c r="S13" s="36"/>
      <c r="T13" s="1026">
        <f t="shared" si="7"/>
        <v>1527156.3644888655</v>
      </c>
      <c r="U13" s="1251">
        <f t="shared" si="8"/>
        <v>9810.4263243396072</v>
      </c>
      <c r="V13" s="1026">
        <f>VLOOKUP(A13,'2017-18 Funding Detail'!$A$4:$AQ$23,42,(FALSE))</f>
        <v>7972.1297458718245</v>
      </c>
      <c r="W13" s="235">
        <f t="shared" si="9"/>
        <v>1838.2965784677826</v>
      </c>
      <c r="X13" s="1026">
        <f t="shared" si="23"/>
        <v>0</v>
      </c>
      <c r="Y13" s="1026">
        <f t="shared" si="10"/>
        <v>2054656.3644888655</v>
      </c>
      <c r="Z13" s="235">
        <f t="shared" si="11"/>
        <v>1556666.6666666665</v>
      </c>
      <c r="AA13" s="235">
        <f t="shared" si="12"/>
        <v>0</v>
      </c>
      <c r="AB13" s="242">
        <f t="shared" si="13"/>
        <v>13199.077287937038</v>
      </c>
      <c r="AC13" s="242">
        <f t="shared" si="0"/>
        <v>1556666.6666666665</v>
      </c>
      <c r="AD13" s="242">
        <f t="shared" si="1"/>
        <v>3199.0772879370379</v>
      </c>
      <c r="AE13" s="1244">
        <f>VLOOKUP(A13,'2017-18 Funding Detail'!$A$4:$AH$23,27,FALSE)</f>
        <v>1355.3472766040522</v>
      </c>
      <c r="AF13" s="245">
        <f t="shared" si="24"/>
        <v>3199.0772879370379</v>
      </c>
      <c r="AG13" s="245">
        <f t="shared" si="14"/>
        <v>13199.077287937038</v>
      </c>
      <c r="AH13" s="1029">
        <f t="shared" si="2"/>
        <v>0</v>
      </c>
      <c r="AI13" s="346">
        <f t="shared" si="3"/>
        <v>2054656.3644888655</v>
      </c>
      <c r="AJ13" s="235">
        <f>VLOOKUP(A13,'2017-18 Funding Detail'!$A$4:$AG$23,32,(FALSE))</f>
        <v>1770487.8962105154</v>
      </c>
      <c r="AK13" s="235">
        <f t="shared" si="25"/>
        <v>284168.46827835008</v>
      </c>
      <c r="AL13" s="42">
        <f t="shared" si="15"/>
        <v>1556666.6666666665</v>
      </c>
      <c r="AM13" s="42">
        <f t="shared" si="16"/>
        <v>497989.69782219897</v>
      </c>
      <c r="AN13" s="42">
        <f t="shared" si="17"/>
        <v>3199.0772879370384</v>
      </c>
      <c r="AO13" s="327">
        <f t="shared" si="4"/>
        <v>13199.077287937038</v>
      </c>
      <c r="AP13" s="235" t="s">
        <v>206</v>
      </c>
      <c r="AQ13" s="36"/>
      <c r="AR13" s="1251">
        <f>SUM(AI13-'1920 Funding Detail'!D13-'1920 Funding Detail'!E13-R13)</f>
        <v>1481937.204906259</v>
      </c>
      <c r="AS13" s="1026">
        <f t="shared" si="18"/>
        <v>9644.3828677192814</v>
      </c>
      <c r="AT13" s="1026">
        <f t="shared" si="19"/>
        <v>9499.7171247034912</v>
      </c>
      <c r="AU13" s="235"/>
      <c r="AV13" s="387">
        <f t="shared" si="20"/>
        <v>0.23059039893570477</v>
      </c>
      <c r="AW13" s="387">
        <f t="shared" si="21"/>
        <v>0.23059039893570477</v>
      </c>
      <c r="AX13" s="387">
        <f t="shared" si="22"/>
        <v>0.23059039893570477</v>
      </c>
      <c r="AY13" s="1037"/>
      <c r="AZ13" s="36"/>
    </row>
    <row r="14" spans="1:52" ht="12.75" customHeight="1" x14ac:dyDescent="0.3">
      <c r="A14" s="244">
        <v>9257015</v>
      </c>
      <c r="B14" s="237" t="s">
        <v>217</v>
      </c>
      <c r="C14" s="1038" t="s">
        <v>763</v>
      </c>
      <c r="D14" s="245">
        <v>452500</v>
      </c>
      <c r="E14" s="245">
        <v>130000</v>
      </c>
      <c r="F14" s="245"/>
      <c r="G14" s="302">
        <v>41787</v>
      </c>
      <c r="H14" s="245">
        <f>VLOOKUP(A14,'Band Calculations 1718'!$A$107:$W$125,6,FALSE)</f>
        <v>0</v>
      </c>
      <c r="I14" s="248">
        <f>VLOOKUP(A14,'1819 Band Calculations'!$A$112:$W$129,13,FALSE)</f>
        <v>2148058.9029261325</v>
      </c>
      <c r="J14" s="248">
        <f>VLOOKUP(A14,'1819 Band Calculations'!$A$112:$W$129,20,FALSE)</f>
        <v>27652.356321839085</v>
      </c>
      <c r="K14" s="245">
        <f>VLOOKUP(A14,'FSM Calculation 1819'!$A$4:$D$21,4,FALSE)</f>
        <v>28277.550000000003</v>
      </c>
      <c r="L14" s="245"/>
      <c r="M14" s="245">
        <f t="shared" si="5"/>
        <v>2828275.8092479715</v>
      </c>
      <c r="N14" s="248">
        <f>M14-F14-G14</f>
        <v>2786488.8092479715</v>
      </c>
      <c r="O14" s="1036">
        <f>VLOOKUP(A14,'1819 Band Calculations'!$A$112:$W$129,22,FALSE)</f>
        <v>249.00000000000003</v>
      </c>
      <c r="P14" s="253"/>
      <c r="Q14" s="253">
        <f>O14-(O14*'1819 Band Calculations'!J22)</f>
        <v>244.22988505747128</v>
      </c>
      <c r="R14" s="235">
        <f>'1920 Band Calculations'!AW128</f>
        <v>107388.40877764007</v>
      </c>
      <c r="S14" s="36"/>
      <c r="T14" s="1026">
        <f t="shared" si="7"/>
        <v>2203988.8092479715</v>
      </c>
      <c r="U14" s="1251">
        <f t="shared" si="8"/>
        <v>8851.3606797107277</v>
      </c>
      <c r="V14" s="1026">
        <f>VLOOKUP(A14,'2017-18 Funding Detail'!$A$4:$AQ$23,42,(FALSE))</f>
        <v>7846.5804066543442</v>
      </c>
      <c r="W14" s="235">
        <f t="shared" si="9"/>
        <v>1004.7802730563835</v>
      </c>
      <c r="X14" s="1026">
        <f t="shared" si="23"/>
        <v>0</v>
      </c>
      <c r="Y14" s="1026">
        <f t="shared" si="10"/>
        <v>2786488.8092479715</v>
      </c>
      <c r="Z14" s="235">
        <f t="shared" si="11"/>
        <v>2490000.0000000005</v>
      </c>
      <c r="AA14" s="235">
        <f t="shared" si="12"/>
        <v>0</v>
      </c>
      <c r="AB14" s="242">
        <f t="shared" si="13"/>
        <v>11190.718109429603</v>
      </c>
      <c r="AC14" s="242">
        <f t="shared" si="0"/>
        <v>2490000.0000000005</v>
      </c>
      <c r="AD14" s="242">
        <f t="shared" si="1"/>
        <v>1190.7181094296029</v>
      </c>
      <c r="AE14" s="1244">
        <f>VLOOKUP(A14,'2017-18 Funding Detail'!$A$4:$AH$23,27,FALSE)</f>
        <v>-218.18965159265645</v>
      </c>
      <c r="AF14" s="302">
        <v>0</v>
      </c>
      <c r="AG14" s="245">
        <f t="shared" si="14"/>
        <v>10000</v>
      </c>
      <c r="AH14" s="1029">
        <f t="shared" si="2"/>
        <v>0</v>
      </c>
      <c r="AI14" s="346">
        <f t="shared" si="3"/>
        <v>2786488.8092479715</v>
      </c>
      <c r="AJ14" s="235">
        <f>VLOOKUP(A14,'2017-18 Funding Detail'!$A$4:$AG$23,32,(FALSE))</f>
        <v>2705000.0000000005</v>
      </c>
      <c r="AK14" s="235">
        <f t="shared" si="25"/>
        <v>81488.809247971047</v>
      </c>
      <c r="AL14" s="42">
        <f t="shared" si="15"/>
        <v>2490000.0000000005</v>
      </c>
      <c r="AM14" s="42">
        <f t="shared" si="16"/>
        <v>296488.80924797105</v>
      </c>
      <c r="AN14" s="42">
        <f t="shared" si="17"/>
        <v>1190.7181094296025</v>
      </c>
      <c r="AO14" s="327">
        <f t="shared" si="4"/>
        <v>11190.718109429603</v>
      </c>
      <c r="AP14" s="235" t="s">
        <v>206</v>
      </c>
      <c r="AQ14" s="36"/>
      <c r="AR14" s="1251">
        <f>SUM(AI14-'1920 Funding Detail'!D14-'1920 Funding Detail'!E14-R14)</f>
        <v>2096600.4004703315</v>
      </c>
      <c r="AS14" s="1026">
        <f t="shared" si="18"/>
        <v>8584.53665478722</v>
      </c>
      <c r="AT14" s="1026">
        <f t="shared" si="19"/>
        <v>8455.7686049654112</v>
      </c>
      <c r="AU14" s="382"/>
      <c r="AV14" s="387">
        <f t="shared" si="20"/>
        <v>0.1280532691928159</v>
      </c>
      <c r="AW14" s="387">
        <f t="shared" si="21"/>
        <v>0.1280532691928159</v>
      </c>
      <c r="AX14" s="387">
        <f t="shared" si="22"/>
        <v>0.1280532691928159</v>
      </c>
      <c r="AY14" s="1037"/>
      <c r="AZ14" s="36"/>
    </row>
    <row r="15" spans="1:52" ht="13" x14ac:dyDescent="0.3">
      <c r="A15" s="244">
        <v>9257016</v>
      </c>
      <c r="B15" s="237" t="s">
        <v>219</v>
      </c>
      <c r="C15" s="1038" t="s">
        <v>762</v>
      </c>
      <c r="D15" s="245">
        <v>430000</v>
      </c>
      <c r="E15" s="245">
        <v>125000</v>
      </c>
      <c r="F15" s="245"/>
      <c r="G15" s="245"/>
      <c r="H15" s="245">
        <f>VLOOKUP(A15,'Band Calculations 1718'!$A$107:$W$125,6,FALSE)</f>
        <v>0</v>
      </c>
      <c r="I15" s="248">
        <f>VLOOKUP(A15,'1819 Band Calculations'!$A$112:$W$129,13,FALSE)</f>
        <v>1943937.3602233136</v>
      </c>
      <c r="J15" s="248">
        <f>VLOOKUP(A15,'1819 Band Calculations'!$A$112:$W$129,20,FALSE)</f>
        <v>0</v>
      </c>
      <c r="K15" s="245">
        <f>VLOOKUP(A15,'FSM Calculation 1819'!$A$4:$D$21,4,FALSE)</f>
        <v>16158.6</v>
      </c>
      <c r="L15" s="245"/>
      <c r="M15" s="245">
        <f t="shared" si="5"/>
        <v>2515095.9602233139</v>
      </c>
      <c r="N15" s="248">
        <f t="shared" si="6"/>
        <v>2515095.9602233139</v>
      </c>
      <c r="O15" s="1036">
        <f>VLOOKUP(A15,'1819 Band Calculations'!$A$112:$W$129,22,FALSE)</f>
        <v>142.5</v>
      </c>
      <c r="P15" s="253"/>
      <c r="Q15" s="253">
        <f>O15-(O15*'1819 Band Calculations'!J23)</f>
        <v>105.66326530612244</v>
      </c>
      <c r="R15" s="235">
        <f>'1920 Band Calculations'!AW129</f>
        <v>829296.22682059056</v>
      </c>
      <c r="S15" s="36"/>
      <c r="T15" s="1026">
        <f t="shared" si="7"/>
        <v>1960095.9602233139</v>
      </c>
      <c r="U15" s="1251">
        <f t="shared" si="8"/>
        <v>13755.059369988168</v>
      </c>
      <c r="V15" s="1026">
        <f>VLOOKUP(A15,'2017-18 Funding Detail'!$A$4:$AQ$23,42,(FALSE))</f>
        <v>12293.288973978968</v>
      </c>
      <c r="W15" s="235">
        <f t="shared" si="9"/>
        <v>1461.7703960092003</v>
      </c>
      <c r="X15" s="1026">
        <f t="shared" si="23"/>
        <v>0</v>
      </c>
      <c r="Y15" s="1026">
        <f t="shared" si="10"/>
        <v>2515095.9602233139</v>
      </c>
      <c r="Z15" s="235">
        <f t="shared" si="11"/>
        <v>1425000</v>
      </c>
      <c r="AA15" s="235">
        <f t="shared" si="12"/>
        <v>0</v>
      </c>
      <c r="AB15" s="242">
        <f t="shared" si="13"/>
        <v>17649.796212093432</v>
      </c>
      <c r="AC15" s="242">
        <f t="shared" si="0"/>
        <v>1425000</v>
      </c>
      <c r="AD15" s="242">
        <f t="shared" si="1"/>
        <v>7649.7962120934317</v>
      </c>
      <c r="AE15" s="1244">
        <f>VLOOKUP(A15,'2017-18 Funding Detail'!$A$4:$AH$23,27,FALSE)</f>
        <v>4427.7026279298007</v>
      </c>
      <c r="AF15" s="245">
        <f t="shared" si="24"/>
        <v>7649.7962120934317</v>
      </c>
      <c r="AG15" s="245">
        <f t="shared" si="14"/>
        <v>17649.796212093432</v>
      </c>
      <c r="AH15" s="1029">
        <f t="shared" si="2"/>
        <v>0</v>
      </c>
      <c r="AI15" s="346">
        <f t="shared" si="3"/>
        <v>2515095.9602233139</v>
      </c>
      <c r="AJ15" s="235">
        <f>VLOOKUP(A15,'2017-18 Funding Detail'!$A$4:$AG$23,32,(FALSE))</f>
        <v>2378504.5311402138</v>
      </c>
      <c r="AK15" s="235">
        <f t="shared" si="25"/>
        <v>136591.42908310005</v>
      </c>
      <c r="AL15" s="42">
        <f t="shared" si="15"/>
        <v>1425000</v>
      </c>
      <c r="AM15" s="42">
        <f t="shared" si="16"/>
        <v>1090095.9602233139</v>
      </c>
      <c r="AN15" s="42">
        <f t="shared" si="17"/>
        <v>7649.7962120934308</v>
      </c>
      <c r="AO15" s="327">
        <f t="shared" si="4"/>
        <v>17649.796212093432</v>
      </c>
      <c r="AP15" s="235" t="s">
        <v>206</v>
      </c>
      <c r="AQ15" s="36"/>
      <c r="AR15" s="1251">
        <f>SUM(AI15-'1920 Funding Detail'!D15-'1920 Funding Detail'!E15-R15)</f>
        <v>1130799.7334027234</v>
      </c>
      <c r="AS15" s="1026">
        <f t="shared" si="18"/>
        <v>10701.919253835529</v>
      </c>
      <c r="AT15" s="1026">
        <f t="shared" si="19"/>
        <v>10541.390465027996</v>
      </c>
      <c r="AU15" s="382"/>
      <c r="AV15" s="387">
        <f t="shared" si="20"/>
        <v>0.11890799924278272</v>
      </c>
      <c r="AW15" s="387">
        <f t="shared" si="21"/>
        <v>0.11890799924278272</v>
      </c>
      <c r="AX15" s="387">
        <f t="shared" si="22"/>
        <v>0.11890799924278272</v>
      </c>
      <c r="AY15" s="1037"/>
      <c r="AZ15" s="36"/>
    </row>
    <row r="16" spans="1:52" ht="13" x14ac:dyDescent="0.3">
      <c r="A16" s="244"/>
      <c r="B16" s="237"/>
      <c r="C16" s="244"/>
      <c r="D16" s="245"/>
      <c r="E16" s="245"/>
      <c r="F16" s="245"/>
      <c r="G16" s="245"/>
      <c r="H16" s="245"/>
      <c r="I16" s="248"/>
      <c r="J16" s="248"/>
      <c r="K16" s="245"/>
      <c r="L16" s="245"/>
      <c r="M16" s="245"/>
      <c r="N16" s="248"/>
      <c r="O16" s="1036"/>
      <c r="P16" s="253"/>
      <c r="Q16" s="253"/>
      <c r="R16" s="235"/>
      <c r="S16" s="36"/>
      <c r="T16" s="235"/>
      <c r="U16" s="1251"/>
      <c r="V16" s="1026"/>
      <c r="W16" s="235"/>
      <c r="X16" s="235"/>
      <c r="Y16" s="235"/>
      <c r="Z16" s="235"/>
      <c r="AA16" s="235"/>
      <c r="AB16" s="242"/>
      <c r="AC16" s="242"/>
      <c r="AD16" s="242"/>
      <c r="AE16" s="245"/>
      <c r="AF16" s="245"/>
      <c r="AG16" s="245"/>
      <c r="AH16" s="245"/>
      <c r="AI16" s="68"/>
      <c r="AJ16" s="235"/>
      <c r="AK16" s="235"/>
      <c r="AL16" s="42"/>
      <c r="AM16" s="42"/>
      <c r="AN16" s="42"/>
      <c r="AO16" s="327"/>
      <c r="AP16" s="234"/>
      <c r="AQ16" s="36"/>
      <c r="AR16" s="1251"/>
      <c r="AS16" s="1026"/>
      <c r="AT16" s="235"/>
      <c r="AU16" s="382"/>
      <c r="AV16" s="387"/>
      <c r="AW16" s="387"/>
      <c r="AX16" s="387"/>
      <c r="AY16" s="1037"/>
      <c r="AZ16" s="36"/>
    </row>
    <row r="17" spans="1:51" ht="13" x14ac:dyDescent="0.3">
      <c r="A17" s="244">
        <v>9257031</v>
      </c>
      <c r="B17" s="32" t="s">
        <v>557</v>
      </c>
      <c r="C17" s="1038" t="s">
        <v>810</v>
      </c>
      <c r="D17" s="245">
        <v>332500</v>
      </c>
      <c r="E17" s="245">
        <v>80000</v>
      </c>
      <c r="F17" s="245">
        <v>174432</v>
      </c>
      <c r="G17" s="245"/>
      <c r="H17" s="245">
        <f>VLOOKUP(A17,'Band Calculations 1718'!$A$107:$W$125,6,FALSE)</f>
        <v>0</v>
      </c>
      <c r="I17" s="248">
        <f>VLOOKUP(A17,'1819 Band Calculations'!$A$112:$W$129,13,FALSE)</f>
        <v>801579.50990629871</v>
      </c>
      <c r="J17" s="248">
        <f>VLOOKUP(A17,'1819 Band Calculations'!$A$112:$W$129,20,FALSE)</f>
        <v>187524.16666666669</v>
      </c>
      <c r="K17" s="245">
        <f>VLOOKUP(A17,'FSM Calculation 1819'!$A$4:$D$21,4,FALSE)</f>
        <v>9425.85</v>
      </c>
      <c r="L17" s="245"/>
      <c r="M17" s="245">
        <f>SUM(D17:L17)</f>
        <v>1585461.5265729656</v>
      </c>
      <c r="N17" s="248">
        <f>M17-F17</f>
        <v>1411029.5265729656</v>
      </c>
      <c r="O17" s="1036">
        <f>VLOOKUP(A17,'1819 Band Calculations'!$A$112:$W$129,22,FALSE)</f>
        <v>71.166666666666671</v>
      </c>
      <c r="P17" s="253"/>
      <c r="Q17" s="253">
        <f>O17-(O17*'1819 Band Calculations'!J11)</f>
        <v>71.166666666666671</v>
      </c>
      <c r="R17" s="235">
        <f>'1920 Band Calculations'!AW117</f>
        <v>0</v>
      </c>
      <c r="S17" s="36"/>
      <c r="T17" s="1026">
        <f t="shared" si="7"/>
        <v>998529.52657296555</v>
      </c>
      <c r="U17" s="1251">
        <f>T17/O17</f>
        <v>14030.859858168133</v>
      </c>
      <c r="V17" s="1026">
        <f>VLOOKUP(A17,'2017-18 Funding Detail'!$A$4:$AQ$23,42,(FALSE))</f>
        <v>14527.623652186257</v>
      </c>
      <c r="W17" s="235">
        <f t="shared" si="9"/>
        <v>-496.76379401812483</v>
      </c>
      <c r="X17" s="1026">
        <f t="shared" si="23"/>
        <v>35353.023340956555</v>
      </c>
      <c r="Y17" s="1026">
        <f t="shared" si="10"/>
        <v>1446382.5499139221</v>
      </c>
      <c r="Z17" s="235">
        <f t="shared" si="11"/>
        <v>711666.66666666674</v>
      </c>
      <c r="AA17" s="235">
        <f t="shared" si="12"/>
        <v>0</v>
      </c>
      <c r="AB17" s="242">
        <f t="shared" si="13"/>
        <v>19827.112785568603</v>
      </c>
      <c r="AC17" s="242">
        <f>O17*10000</f>
        <v>711666.66666666674</v>
      </c>
      <c r="AD17" s="242">
        <f>AB17-10000</f>
        <v>9827.1127855686027</v>
      </c>
      <c r="AE17" s="1244">
        <f>VLOOKUP(A17,'2017-18 Funding Detail'!$A$4:$AH$23,27,FALSE)</f>
        <v>10491.479073873004</v>
      </c>
      <c r="AF17" s="245">
        <f t="shared" si="24"/>
        <v>10491.479073873004</v>
      </c>
      <c r="AG17" s="245">
        <f t="shared" si="14"/>
        <v>20491.479073873004</v>
      </c>
      <c r="AH17" s="1029">
        <f>X17+AA17</f>
        <v>35353.023340956555</v>
      </c>
      <c r="AI17" s="346">
        <f>N17+AH17</f>
        <v>1446382.5499139221</v>
      </c>
      <c r="AJ17" s="235">
        <f>VLOOKUP(A17,'2017-18 Funding Detail'!$A$4:$AG$23,32,(FALSE))</f>
        <v>1417327.3026095496</v>
      </c>
      <c r="AK17" s="235">
        <f>AI17-AJ17</f>
        <v>29055.247304372489</v>
      </c>
      <c r="AL17" s="42">
        <f>O17*10000</f>
        <v>711666.66666666674</v>
      </c>
      <c r="AM17" s="42">
        <f>AI17-AL17</f>
        <v>734715.88324725535</v>
      </c>
      <c r="AN17" s="42">
        <f>AM17/O17</f>
        <v>10323.876579586726</v>
      </c>
      <c r="AO17" s="327">
        <f>AI17/O17</f>
        <v>20323.876579586726</v>
      </c>
      <c r="AP17" s="235" t="s">
        <v>206</v>
      </c>
      <c r="AQ17" s="36"/>
      <c r="AR17" s="1251">
        <f>SUM(AI17-'1920 Funding Detail'!D17-'1920 Funding Detail'!E17-R17)</f>
        <v>1033882.5499139221</v>
      </c>
      <c r="AS17" s="1026">
        <f t="shared" si="18"/>
        <v>14527.623652186257</v>
      </c>
      <c r="AT17" s="1026">
        <f t="shared" si="19"/>
        <v>14309.709297403464</v>
      </c>
      <c r="AU17" s="235"/>
      <c r="AV17" s="387">
        <f t="shared" si="20"/>
        <v>-3.4194428897073408E-2</v>
      </c>
      <c r="AW17" s="387">
        <f t="shared" si="21"/>
        <v>3.4194428897073408E-2</v>
      </c>
      <c r="AX17" s="387">
        <f t="shared" si="22"/>
        <v>0</v>
      </c>
      <c r="AY17" s="1037"/>
    </row>
    <row r="18" spans="1:51" ht="13" x14ac:dyDescent="0.3">
      <c r="A18" s="244">
        <v>9257029</v>
      </c>
      <c r="B18" s="32" t="s">
        <v>811</v>
      </c>
      <c r="C18" s="1038" t="s">
        <v>812</v>
      </c>
      <c r="D18" s="245">
        <v>260000</v>
      </c>
      <c r="E18" s="245">
        <v>80000</v>
      </c>
      <c r="F18" s="245">
        <v>246731</v>
      </c>
      <c r="G18" s="245"/>
      <c r="H18" s="245">
        <f>VLOOKUP(A18,'Band Calculations 1718'!$A$107:$W$125,6,FALSE)</f>
        <v>0</v>
      </c>
      <c r="I18" s="248">
        <f>VLOOKUP(A18,'1819 Band Calculations'!$A$112:$W$129,13,FALSE)</f>
        <v>471186.08193555265</v>
      </c>
      <c r="J18" s="248">
        <f>VLOOKUP(A18,'1819 Band Calculations'!$A$112:$W$129,20,FALSE)</f>
        <v>110230.83333333334</v>
      </c>
      <c r="K18" s="245">
        <f>VLOOKUP(A18,'FSM Calculation 1819'!$A$4:$D$21,4,FALSE)</f>
        <v>6283.9000000000005</v>
      </c>
      <c r="L18" s="245"/>
      <c r="M18" s="245">
        <f>SUM(D18:L18)</f>
        <v>1174431.8152688858</v>
      </c>
      <c r="N18" s="248">
        <f>M18-F18</f>
        <v>927700.81526888581</v>
      </c>
      <c r="O18" s="1036">
        <f>VLOOKUP(A18,'1819 Band Calculations'!$A$112:$W$129,22,FALSE)</f>
        <v>41.833333333333336</v>
      </c>
      <c r="P18" s="253"/>
      <c r="Q18" s="253">
        <f>O18-(O18*'1819 Band Calculations'!J17)</f>
        <v>41.833333333333336</v>
      </c>
      <c r="R18" s="235">
        <f>'1920 Band Calculations'!AW123</f>
        <v>0</v>
      </c>
      <c r="S18" s="36"/>
      <c r="T18" s="1026">
        <f t="shared" si="7"/>
        <v>587700.81526888581</v>
      </c>
      <c r="U18" s="1251">
        <f>T18/O18</f>
        <v>14048.625066188504</v>
      </c>
      <c r="V18" s="1026">
        <f>VLOOKUP(A18,'2017-18 Funding Detail'!$A$4:$AQ$23,42,(FALSE))</f>
        <v>14454.128515451517</v>
      </c>
      <c r="W18" s="235">
        <f t="shared" si="9"/>
        <v>-405.50344926301295</v>
      </c>
      <c r="X18" s="1026">
        <f t="shared" si="23"/>
        <v>16963.560960836043</v>
      </c>
      <c r="Y18" s="1026">
        <f t="shared" si="10"/>
        <v>944664.37622972182</v>
      </c>
      <c r="Z18" s="235">
        <f t="shared" si="11"/>
        <v>418333.33333333337</v>
      </c>
      <c r="AA18" s="235">
        <f t="shared" si="12"/>
        <v>0</v>
      </c>
      <c r="AB18" s="242">
        <f t="shared" si="13"/>
        <v>22176.115106029141</v>
      </c>
      <c r="AC18" s="242">
        <f>O18*10000</f>
        <v>418333.33333333337</v>
      </c>
      <c r="AD18" s="242">
        <f>AB18-10000</f>
        <v>12176.115106029141</v>
      </c>
      <c r="AE18" s="1244">
        <f>VLOOKUP(A18,'2017-18 Funding Detail'!$A$4:$AH$23,27,FALSE)</f>
        <v>12285.222565355547</v>
      </c>
      <c r="AF18" s="245">
        <f t="shared" si="24"/>
        <v>12285.222565355547</v>
      </c>
      <c r="AG18" s="245">
        <f t="shared" si="14"/>
        <v>22285.222565355547</v>
      </c>
      <c r="AH18" s="1029">
        <f>X18+AA18</f>
        <v>16963.560960836043</v>
      </c>
      <c r="AI18" s="346">
        <f>N18+AH18</f>
        <v>944664.37622972182</v>
      </c>
      <c r="AJ18" s="235">
        <f>VLOOKUP(A18,'2017-18 Funding Detail'!$A$4:$AG$23,32,(FALSE))</f>
        <v>967550.07971252012</v>
      </c>
      <c r="AK18" s="235">
        <f t="shared" si="25"/>
        <v>-22885.703482798301</v>
      </c>
      <c r="AL18" s="42">
        <f>O18*10000</f>
        <v>418333.33333333337</v>
      </c>
      <c r="AM18" s="42">
        <f>AI18-AL18</f>
        <v>526331.04289638845</v>
      </c>
      <c r="AN18" s="42">
        <f>AM18/O18</f>
        <v>12581.618555292154</v>
      </c>
      <c r="AO18" s="327">
        <f>AI18/O18</f>
        <v>22581.618555292152</v>
      </c>
      <c r="AP18" s="235" t="s">
        <v>206</v>
      </c>
      <c r="AQ18" s="36"/>
      <c r="AR18" s="1251">
        <f>SUM(AI18-'1920 Funding Detail'!D18-'1920 Funding Detail'!E18-R18)</f>
        <v>539664.37622972182</v>
      </c>
      <c r="AS18" s="1026">
        <f t="shared" si="18"/>
        <v>12900.343654893748</v>
      </c>
      <c r="AT18" s="1026">
        <f t="shared" si="19"/>
        <v>12706.838500070342</v>
      </c>
      <c r="AU18" s="327">
        <f>AH18/'1920 Funding Detail'!O18</f>
        <v>298.91737375922537</v>
      </c>
      <c r="AV18" s="387">
        <f t="shared" si="20"/>
        <v>-2.8054506975604115E-2</v>
      </c>
      <c r="AW18" s="387">
        <f t="shared" si="21"/>
        <v>2.8054506975604115E-2</v>
      </c>
      <c r="AX18" s="387">
        <f t="shared" si="22"/>
        <v>0</v>
      </c>
      <c r="AY18" s="1037"/>
    </row>
    <row r="19" spans="1:51" ht="13" x14ac:dyDescent="0.3">
      <c r="A19" s="244">
        <v>9257032</v>
      </c>
      <c r="B19" s="32" t="s">
        <v>813</v>
      </c>
      <c r="C19" s="1038" t="s">
        <v>814</v>
      </c>
      <c r="D19" s="245">
        <v>325000</v>
      </c>
      <c r="E19" s="245">
        <v>80000</v>
      </c>
      <c r="F19" s="245">
        <v>219019</v>
      </c>
      <c r="G19" s="245"/>
      <c r="H19" s="245">
        <f>VLOOKUP(A19,'Band Calculations 1718'!$A$107:$W$125,6,FALSE)</f>
        <v>0</v>
      </c>
      <c r="I19" s="248">
        <f>VLOOKUP(A19,'1819 Band Calculations'!$A$112:$W$129,13,FALSE)</f>
        <v>754648.62525136315</v>
      </c>
      <c r="J19" s="248">
        <f>VLOOKUP(A19,'1819 Band Calculations'!$A$112:$W$129,20,FALSE)</f>
        <v>176545</v>
      </c>
      <c r="K19" s="245">
        <f>VLOOKUP(A19,'FSM Calculation 1819'!$A$4:$D$21,4,FALSE)</f>
        <v>7630.4500000000007</v>
      </c>
      <c r="L19" s="245"/>
      <c r="M19" s="245">
        <f>SUM(D19:L19)</f>
        <v>1562843.075251363</v>
      </c>
      <c r="N19" s="248">
        <f>M19-F19</f>
        <v>1343824.075251363</v>
      </c>
      <c r="O19" s="1036">
        <f>VLOOKUP(A19,'1819 Band Calculations'!$A$112:$W$129,22,FALSE)</f>
        <v>67</v>
      </c>
      <c r="P19" s="253"/>
      <c r="Q19" s="253">
        <f>O19-(O19*'1819 Band Calculations'!J18)</f>
        <v>67</v>
      </c>
      <c r="R19" s="235">
        <f>'1920 Band Calculations'!AW124</f>
        <v>0</v>
      </c>
      <c r="S19" s="36"/>
      <c r="T19" s="1026">
        <f t="shared" si="7"/>
        <v>938824.07525136299</v>
      </c>
      <c r="U19" s="1251">
        <f>T19/O19</f>
        <v>14012.299630617357</v>
      </c>
      <c r="V19" s="1026">
        <f>VLOOKUP(A19,'2017-18 Funding Detail'!$A$4:$AQ$23,42,(FALSE))</f>
        <v>14638.515740786001</v>
      </c>
      <c r="W19" s="235">
        <f t="shared" si="9"/>
        <v>-626.21611016864335</v>
      </c>
      <c r="X19" s="1026">
        <f t="shared" si="23"/>
        <v>41956.479381299105</v>
      </c>
      <c r="Y19" s="1026">
        <f t="shared" si="10"/>
        <v>1385780.5546326621</v>
      </c>
      <c r="Z19" s="235">
        <f t="shared" si="11"/>
        <v>670000</v>
      </c>
      <c r="AA19" s="235">
        <f t="shared" si="12"/>
        <v>0</v>
      </c>
      <c r="AB19" s="242">
        <f t="shared" si="13"/>
        <v>20057.075750020344</v>
      </c>
      <c r="AC19" s="242">
        <f>O19*10000</f>
        <v>670000</v>
      </c>
      <c r="AD19" s="242">
        <f>AB19-10000</f>
        <v>10057.075750020344</v>
      </c>
      <c r="AE19" s="1244">
        <f>VLOOKUP(A19,'2017-18 Funding Detail'!$A$4:$AH$23,27,FALSE)</f>
        <v>11388.515740785999</v>
      </c>
      <c r="AF19" s="245">
        <f t="shared" si="24"/>
        <v>11388.515740785999</v>
      </c>
      <c r="AG19" s="245">
        <f t="shared" si="14"/>
        <v>21388.515740785999</v>
      </c>
      <c r="AH19" s="1029">
        <f>X19+AA19</f>
        <v>41956.479381299105</v>
      </c>
      <c r="AI19" s="346">
        <f>N19+AH19</f>
        <v>1385780.5546326621</v>
      </c>
      <c r="AJ19" s="235">
        <f>VLOOKUP(A19,'2017-18 Funding Detail'!$A$4:$AG$23,32,(FALSE))</f>
        <v>1283310.94444716</v>
      </c>
      <c r="AK19" s="235">
        <f t="shared" si="25"/>
        <v>102469.6101855021</v>
      </c>
      <c r="AL19" s="42">
        <f>O19*10000</f>
        <v>670000</v>
      </c>
      <c r="AM19" s="42">
        <f>AI19-AL19</f>
        <v>715780.5546326621</v>
      </c>
      <c r="AN19" s="42">
        <f>AM19/O19</f>
        <v>10683.291860188987</v>
      </c>
      <c r="AO19" s="327">
        <f>AI19/O19</f>
        <v>20683.291860188987</v>
      </c>
      <c r="AP19" s="235" t="s">
        <v>206</v>
      </c>
      <c r="AQ19" s="36"/>
      <c r="AR19" s="1251">
        <f>SUM(AI19-'1920 Funding Detail'!D19-'1920 Funding Detail'!E19-R19)</f>
        <v>973280.5546326621</v>
      </c>
      <c r="AS19" s="1026">
        <f>AR19/Q19</f>
        <v>14526.575442278539</v>
      </c>
      <c r="AT19" s="1026">
        <f t="shared" si="19"/>
        <v>14308.676810644361</v>
      </c>
      <c r="AU19" s="327">
        <f>AH19/'1920 Funding Detail'!O19</f>
        <v>587.4886261092056</v>
      </c>
      <c r="AV19" s="387">
        <f t="shared" si="20"/>
        <v>-4.2778661529452255E-2</v>
      </c>
      <c r="AW19" s="387">
        <f t="shared" si="21"/>
        <v>4.2778661529452255E-2</v>
      </c>
      <c r="AX19" s="387">
        <f t="shared" si="22"/>
        <v>0</v>
      </c>
      <c r="AY19" s="1037"/>
    </row>
    <row r="20" spans="1:51" ht="13" x14ac:dyDescent="0.3">
      <c r="A20" s="244">
        <v>9257030</v>
      </c>
      <c r="B20" s="32" t="s">
        <v>815</v>
      </c>
      <c r="C20" s="1038" t="s">
        <v>810</v>
      </c>
      <c r="D20" s="245">
        <v>332500</v>
      </c>
      <c r="E20" s="245">
        <v>80000</v>
      </c>
      <c r="F20" s="245">
        <v>268928</v>
      </c>
      <c r="G20" s="245"/>
      <c r="H20" s="245">
        <f>VLOOKUP(A20,'Band Calculations 1718'!$A$107:$W$125,6,FALSE)</f>
        <v>0</v>
      </c>
      <c r="I20" s="248">
        <f>VLOOKUP(A20,'1819 Band Calculations'!$A$112:$W$129,13,FALSE)</f>
        <v>788438.86220291676</v>
      </c>
      <c r="J20" s="248">
        <f>VLOOKUP(A20,'1819 Band Calculations'!$A$112:$W$129,20,FALSE)</f>
        <v>184450</v>
      </c>
      <c r="K20" s="245">
        <f>VLOOKUP(A20,'FSM Calculation 1819'!$A$4:$D$21,4,FALSE)</f>
        <v>8977</v>
      </c>
      <c r="L20" s="245"/>
      <c r="M20" s="245">
        <f>SUM(D20:L20)</f>
        <v>1663293.8622029168</v>
      </c>
      <c r="N20" s="248">
        <f>M20-F20</f>
        <v>1394365.8622029168</v>
      </c>
      <c r="O20" s="1036">
        <f>VLOOKUP(A20,'1819 Band Calculations'!$A$112:$W$129,22,FALSE)</f>
        <v>70</v>
      </c>
      <c r="P20" s="253"/>
      <c r="Q20" s="253">
        <f>O20-(O20*'1819 Band Calculations'!J19)</f>
        <v>70</v>
      </c>
      <c r="R20" s="235">
        <f>'1920 Band Calculations'!AW125</f>
        <v>0</v>
      </c>
      <c r="S20" s="36"/>
      <c r="T20" s="1026">
        <f t="shared" si="7"/>
        <v>981865.86220291676</v>
      </c>
      <c r="U20" s="1251">
        <f>T20/O20</f>
        <v>14026.655174327383</v>
      </c>
      <c r="V20" s="1026">
        <f>VLOOKUP(A20,'2017-18 Funding Detail'!$A$4:$AQ$23,42,(FALSE))</f>
        <v>14668.774640558368</v>
      </c>
      <c r="W20" s="235">
        <f t="shared" si="9"/>
        <v>-642.11946623098447</v>
      </c>
      <c r="X20" s="1026">
        <f t="shared" si="23"/>
        <v>44948.362636168909</v>
      </c>
      <c r="Y20" s="1026">
        <f t="shared" si="10"/>
        <v>1439314.2248390857</v>
      </c>
      <c r="Z20" s="235">
        <f t="shared" si="11"/>
        <v>700000</v>
      </c>
      <c r="AA20" s="235">
        <f t="shared" si="12"/>
        <v>0</v>
      </c>
      <c r="AB20" s="242">
        <f t="shared" si="13"/>
        <v>19919.512317184526</v>
      </c>
      <c r="AC20" s="242">
        <f>O20*10000</f>
        <v>700000</v>
      </c>
      <c r="AD20" s="242">
        <f>AB20-10000</f>
        <v>9919.5123171845262</v>
      </c>
      <c r="AE20" s="1244">
        <f>VLOOKUP(A20,'2017-18 Funding Detail'!$A$4:$AH$23,27,FALSE)</f>
        <v>10624.396716020456</v>
      </c>
      <c r="AF20" s="245">
        <f t="shared" si="24"/>
        <v>10624.396716020456</v>
      </c>
      <c r="AG20" s="245">
        <f t="shared" si="14"/>
        <v>20624.396716020456</v>
      </c>
      <c r="AH20" s="1029">
        <f>X20+AA20</f>
        <v>44948.362636168909</v>
      </c>
      <c r="AI20" s="346">
        <f>N20+AH20</f>
        <v>1439314.2248390857</v>
      </c>
      <c r="AJ20" s="235">
        <f>VLOOKUP(A20,'2017-18 Funding Detail'!$A$4:$AG$23,32,(FALSE))</f>
        <v>1408754.2776712559</v>
      </c>
      <c r="AK20" s="235">
        <f t="shared" si="25"/>
        <v>30559.947167829843</v>
      </c>
      <c r="AL20" s="42">
        <f>O20*10000</f>
        <v>700000</v>
      </c>
      <c r="AM20" s="42">
        <f>AI20-AL20</f>
        <v>739314.22483908571</v>
      </c>
      <c r="AN20" s="42">
        <f>AM20/O20</f>
        <v>10561.631783415511</v>
      </c>
      <c r="AO20" s="327">
        <f>AI20/O20</f>
        <v>20561.631783415509</v>
      </c>
      <c r="AP20" s="235" t="s">
        <v>206</v>
      </c>
      <c r="AQ20" s="36"/>
      <c r="AR20" s="1251">
        <f>SUM(AI20-'1920 Funding Detail'!D20-'1920 Funding Detail'!E20-R20)</f>
        <v>1026814.2248390857</v>
      </c>
      <c r="AS20" s="1026">
        <f t="shared" si="18"/>
        <v>14668.774640558368</v>
      </c>
      <c r="AT20" s="1026">
        <f t="shared" si="19"/>
        <v>14448.743020949993</v>
      </c>
      <c r="AU20" s="235"/>
      <c r="AV20" s="387">
        <f t="shared" si="20"/>
        <v>-4.3774581174323784E-2</v>
      </c>
      <c r="AW20" s="387">
        <f t="shared" si="21"/>
        <v>4.3774581174323784E-2</v>
      </c>
      <c r="AX20" s="387">
        <f t="shared" si="22"/>
        <v>0</v>
      </c>
      <c r="AY20" s="1037"/>
    </row>
    <row r="21" spans="1:51" ht="13" x14ac:dyDescent="0.3">
      <c r="A21" s="244"/>
      <c r="B21" s="32"/>
      <c r="C21" s="244"/>
      <c r="D21" s="245"/>
      <c r="E21" s="245"/>
      <c r="F21" s="245"/>
      <c r="G21" s="245"/>
      <c r="H21" s="245"/>
      <c r="I21" s="248"/>
      <c r="J21" s="248"/>
      <c r="K21" s="245"/>
      <c r="L21" s="245"/>
      <c r="M21" s="245"/>
      <c r="N21" s="248"/>
      <c r="O21" s="1036"/>
      <c r="P21" s="253"/>
      <c r="Q21" s="253"/>
      <c r="R21" s="235"/>
      <c r="S21" s="36"/>
      <c r="T21" s="235"/>
      <c r="U21" s="1251"/>
      <c r="V21" s="1026"/>
      <c r="W21" s="235"/>
      <c r="X21" s="235"/>
      <c r="Y21" s="235"/>
      <c r="Z21" s="235"/>
      <c r="AA21" s="235"/>
      <c r="AB21" s="242"/>
      <c r="AC21" s="242"/>
      <c r="AD21" s="242"/>
      <c r="AE21" s="245"/>
      <c r="AF21" s="245"/>
      <c r="AG21" s="245"/>
      <c r="AH21" s="245"/>
      <c r="AI21" s="68"/>
      <c r="AJ21" s="235"/>
      <c r="AK21" s="235"/>
      <c r="AL21" s="42"/>
      <c r="AM21" s="42"/>
      <c r="AN21" s="42"/>
      <c r="AO21" s="327"/>
      <c r="AP21" s="234"/>
      <c r="AQ21" s="36"/>
      <c r="AR21" s="1251"/>
      <c r="AS21" s="1026"/>
      <c r="AT21" s="235"/>
      <c r="AU21" s="235"/>
      <c r="AV21" s="387"/>
      <c r="AW21" s="387"/>
      <c r="AX21" s="387"/>
      <c r="AY21" s="1037"/>
    </row>
    <row r="22" spans="1:51" ht="13" x14ac:dyDescent="0.3">
      <c r="A22" s="244">
        <v>9257033</v>
      </c>
      <c r="B22" s="237" t="s">
        <v>816</v>
      </c>
      <c r="C22" s="1038" t="s">
        <v>758</v>
      </c>
      <c r="D22" s="245">
        <v>340000</v>
      </c>
      <c r="E22" s="245">
        <v>105000</v>
      </c>
      <c r="F22" s="245"/>
      <c r="G22" s="245"/>
      <c r="H22" s="245">
        <f>VLOOKUP(A22,'Band Calculations 1718'!$A$107:$W$125,6,FALSE)</f>
        <v>0</v>
      </c>
      <c r="I22" s="248">
        <f>VLOOKUP(A22,'1819 Band Calculations'!$A$112:$W$129,13,FALSE)</f>
        <v>848896.92902584851</v>
      </c>
      <c r="J22" s="248">
        <f>VLOOKUP(A22,'1819 Band Calculations'!$A$112:$W$129,20,FALSE)</f>
        <v>52199.554263565893</v>
      </c>
      <c r="K22" s="245">
        <f>VLOOKUP(A22,'FSM Calculation 1819'!$A$4:$D$21,4,FALSE)</f>
        <v>17954</v>
      </c>
      <c r="L22" s="245"/>
      <c r="M22" s="245">
        <f>SUM(D22:L22)</f>
        <v>1364050.4832894143</v>
      </c>
      <c r="N22" s="248">
        <f>M22-F22</f>
        <v>1364050.4832894143</v>
      </c>
      <c r="O22" s="1036">
        <f>VLOOKUP(A22,'1819 Band Calculations'!$A$112:$W$129,22,FALSE)</f>
        <v>89.666666666666671</v>
      </c>
      <c r="P22" s="253"/>
      <c r="Q22" s="253">
        <f>O22-(O22*'1819 Band Calculations'!J12)</f>
        <v>89.666666666666671</v>
      </c>
      <c r="R22" s="235">
        <f>'1920 Band Calculations'!AW118</f>
        <v>0</v>
      </c>
      <c r="S22" s="36"/>
      <c r="T22" s="1026">
        <f t="shared" si="7"/>
        <v>919050.48328941432</v>
      </c>
      <c r="U22" s="1251">
        <f>T22/O22</f>
        <v>10249.633642632873</v>
      </c>
      <c r="V22" s="1026">
        <f>VLOOKUP(A22,'2017-18 Funding Detail'!$A$4:$AQ$23,42,(FALSE))</f>
        <v>9223.90668124693</v>
      </c>
      <c r="W22" s="235">
        <f t="shared" si="9"/>
        <v>1025.7269613859426</v>
      </c>
      <c r="X22" s="1026">
        <f t="shared" si="23"/>
        <v>0</v>
      </c>
      <c r="Y22" s="1026">
        <f t="shared" si="10"/>
        <v>1364050.4832894143</v>
      </c>
      <c r="Z22" s="235">
        <f t="shared" si="11"/>
        <v>896666.66666666674</v>
      </c>
      <c r="AA22" s="235">
        <f t="shared" si="12"/>
        <v>0</v>
      </c>
      <c r="AB22" s="242">
        <f t="shared" si="13"/>
        <v>15212.458921443282</v>
      </c>
      <c r="AC22" s="242">
        <f>O22*10000</f>
        <v>896666.66666666674</v>
      </c>
      <c r="AD22" s="242">
        <f>AB22-10000</f>
        <v>5212.4589214432817</v>
      </c>
      <c r="AE22" s="1244">
        <f>VLOOKUP(A22,'2017-18 Funding Detail'!$A$4:$AH$23,27,FALSE)</f>
        <v>5292.088499428748</v>
      </c>
      <c r="AF22" s="245">
        <f t="shared" si="24"/>
        <v>5292.088499428748</v>
      </c>
      <c r="AG22" s="245">
        <f t="shared" si="14"/>
        <v>15292.088499428748</v>
      </c>
      <c r="AH22" s="1029">
        <f>X22+AA22</f>
        <v>0</v>
      </c>
      <c r="AI22" s="346">
        <f>N22+AH22</f>
        <v>1364050.4832894143</v>
      </c>
      <c r="AJ22" s="235">
        <f>VLOOKUP(A22,'2017-18 Funding Detail'!$A$4:$AG$23,32,(FALSE))</f>
        <v>1121419.8232914417</v>
      </c>
      <c r="AK22" s="235">
        <f t="shared" si="25"/>
        <v>242630.65999797266</v>
      </c>
      <c r="AL22" s="42">
        <f>O22*10000</f>
        <v>896666.66666666674</v>
      </c>
      <c r="AM22" s="42">
        <f>AI22-AL22</f>
        <v>467383.81662274757</v>
      </c>
      <c r="AN22" s="42">
        <f>AM22/O22</f>
        <v>5212.4589214432808</v>
      </c>
      <c r="AO22" s="327">
        <f>AI22/O22</f>
        <v>15212.458921443282</v>
      </c>
      <c r="AP22" s="235" t="s">
        <v>206</v>
      </c>
      <c r="AQ22" s="36"/>
      <c r="AR22" s="1251">
        <f>SUM(AI22-'1920 Funding Detail'!D22-'1920 Funding Detail'!E22-R22)</f>
        <v>919050.48328941432</v>
      </c>
      <c r="AS22" s="1026">
        <f t="shared" si="18"/>
        <v>10249.633642632873</v>
      </c>
      <c r="AT22" s="1026">
        <f t="shared" si="19"/>
        <v>10095.889137993379</v>
      </c>
      <c r="AU22" s="235"/>
      <c r="AV22" s="387">
        <f t="shared" si="20"/>
        <v>0.11120309396357424</v>
      </c>
      <c r="AW22" s="387">
        <f t="shared" si="21"/>
        <v>0.11120309396357424</v>
      </c>
      <c r="AX22" s="387">
        <f t="shared" si="22"/>
        <v>0.11120309396357424</v>
      </c>
      <c r="AY22" s="1037"/>
    </row>
    <row r="23" spans="1:51" ht="13" x14ac:dyDescent="0.3">
      <c r="A23" s="244">
        <v>9257034</v>
      </c>
      <c r="B23" s="237" t="s">
        <v>817</v>
      </c>
      <c r="C23" s="1038" t="s">
        <v>759</v>
      </c>
      <c r="D23" s="245">
        <v>362500</v>
      </c>
      <c r="E23" s="245">
        <v>110000</v>
      </c>
      <c r="F23" s="245"/>
      <c r="G23" s="245"/>
      <c r="H23" s="245">
        <f>VLOOKUP(A23,'Band Calculations 1718'!$A$107:$W$125,6,FALSE)</f>
        <v>0</v>
      </c>
      <c r="I23" s="248">
        <f>VLOOKUP(A23,'1819 Band Calculations'!$A$112:$W$129,13,FALSE)</f>
        <v>1005267.2286689694</v>
      </c>
      <c r="J23" s="248">
        <f>VLOOKUP(A23,'1819 Band Calculations'!$A$112:$W$129,20,FALSE)</f>
        <v>78587.719298245618</v>
      </c>
      <c r="K23" s="245">
        <f>VLOOKUP(A23,'FSM Calculation 1819'!$A$4:$D$21,4,FALSE)</f>
        <v>20198.25</v>
      </c>
      <c r="L23" s="245"/>
      <c r="M23" s="245">
        <f>SUM(D23:L23)</f>
        <v>1576553.197967215</v>
      </c>
      <c r="N23" s="248">
        <f>M23-F23</f>
        <v>1576553.197967215</v>
      </c>
      <c r="O23" s="1036">
        <f>VLOOKUP(A23,'1819 Band Calculations'!$A$112:$W$129,22,FALSE)</f>
        <v>113.33333333333334</v>
      </c>
      <c r="P23" s="253"/>
      <c r="Q23" s="253">
        <f>O23-(O23*'1819 Band Calculations'!J14)</f>
        <v>110.35087719298247</v>
      </c>
      <c r="R23" s="235">
        <f>'1920 Band Calculations'!AW120</f>
        <v>67143.29172780794</v>
      </c>
      <c r="S23" s="36"/>
      <c r="T23" s="1026">
        <f t="shared" si="7"/>
        <v>1104053.197967215</v>
      </c>
      <c r="U23" s="1251">
        <f>T23/O23</f>
        <v>9741.6458644166014</v>
      </c>
      <c r="V23" s="1026">
        <f>VLOOKUP(A23,'2017-18 Funding Detail'!$A$4:$AQ$23,42,(FALSE))</f>
        <v>9367.2802318212052</v>
      </c>
      <c r="W23" s="235">
        <f t="shared" si="9"/>
        <v>374.36563259539616</v>
      </c>
      <c r="X23" s="1026">
        <f t="shared" si="23"/>
        <v>0</v>
      </c>
      <c r="Y23" s="1026">
        <f t="shared" si="10"/>
        <v>1576553.197967215</v>
      </c>
      <c r="Z23" s="235">
        <f t="shared" si="11"/>
        <v>1133333.3333333335</v>
      </c>
      <c r="AA23" s="235">
        <f t="shared" si="12"/>
        <v>0</v>
      </c>
      <c r="AB23" s="242">
        <f t="shared" si="13"/>
        <v>13910.763511475425</v>
      </c>
      <c r="AC23" s="242">
        <f>O23*10000</f>
        <v>1133333.3333333335</v>
      </c>
      <c r="AD23" s="242">
        <f>AB23-10000</f>
        <v>3910.7635114754248</v>
      </c>
      <c r="AE23" s="1244">
        <f>VLOOKUP(A23,'2017-18 Funding Detail'!$A$4:$AH$23,27,FALSE)</f>
        <v>3340.6509395997618</v>
      </c>
      <c r="AF23" s="245">
        <f t="shared" si="24"/>
        <v>3910.7635114754248</v>
      </c>
      <c r="AG23" s="245">
        <f t="shared" si="14"/>
        <v>13910.763511475425</v>
      </c>
      <c r="AH23" s="1029">
        <f>X23+AA23</f>
        <v>0</v>
      </c>
      <c r="AI23" s="346">
        <f>N23+AH23</f>
        <v>1576553.197967215</v>
      </c>
      <c r="AJ23" s="235">
        <f>VLOOKUP(A23,'2017-18 Funding Detail'!$A$4:$AG$23,32,(FALSE))</f>
        <v>1586425.7409007384</v>
      </c>
      <c r="AK23" s="235">
        <f t="shared" si="25"/>
        <v>-9872.5429335234221</v>
      </c>
      <c r="AL23" s="42">
        <f>O23*10000</f>
        <v>1133333.3333333335</v>
      </c>
      <c r="AM23" s="42">
        <f>AI23-AL23</f>
        <v>443219.86463388149</v>
      </c>
      <c r="AN23" s="42">
        <f>AM23/O23</f>
        <v>3910.7635114754244</v>
      </c>
      <c r="AO23" s="327">
        <f>AI23/O23</f>
        <v>13910.763511475425</v>
      </c>
      <c r="AP23" s="235" t="s">
        <v>206</v>
      </c>
      <c r="AQ23" s="36"/>
      <c r="AR23" s="1251">
        <f>SUM(AI23-'1920 Funding Detail'!D23-'1920 Funding Detail'!E23-R23)</f>
        <v>1036909.906239407</v>
      </c>
      <c r="AS23" s="1026">
        <f t="shared" si="18"/>
        <v>9396.4808673523366</v>
      </c>
      <c r="AT23" s="1026">
        <f t="shared" si="19"/>
        <v>9255.5336543420508</v>
      </c>
      <c r="AU23" s="235"/>
      <c r="AV23" s="387">
        <f t="shared" si="20"/>
        <v>3.9965243200865704E-2</v>
      </c>
      <c r="AW23" s="387">
        <f t="shared" si="21"/>
        <v>3.9965243200865704E-2</v>
      </c>
      <c r="AX23" s="387">
        <f t="shared" si="22"/>
        <v>3.9965243200865704E-2</v>
      </c>
      <c r="AY23" s="1037"/>
    </row>
    <row r="24" spans="1:51" x14ac:dyDescent="0.25">
      <c r="A24" s="249"/>
      <c r="B24" s="36"/>
      <c r="C24" s="234"/>
      <c r="D24" s="235"/>
      <c r="E24" s="235"/>
      <c r="F24" s="235"/>
      <c r="G24" s="235"/>
      <c r="H24" s="235"/>
      <c r="I24" s="235"/>
      <c r="J24" s="235"/>
      <c r="K24" s="235"/>
      <c r="L24" s="235"/>
      <c r="M24" s="234"/>
      <c r="N24" s="36"/>
      <c r="O24" s="234"/>
      <c r="P24" s="234"/>
      <c r="Q24" s="234"/>
      <c r="R24" s="234"/>
      <c r="S24" s="36"/>
      <c r="T24" s="36"/>
      <c r="U24" s="36"/>
      <c r="V24" s="36"/>
      <c r="W24" s="36"/>
      <c r="X24" s="36"/>
      <c r="Y24" s="36"/>
      <c r="Z24" s="36"/>
      <c r="AA24" s="36"/>
      <c r="AB24" s="235"/>
      <c r="AC24" s="234"/>
      <c r="AD24" s="234"/>
      <c r="AE24" s="36"/>
      <c r="AF24" s="36"/>
      <c r="AG24" s="234"/>
      <c r="AH24" s="234"/>
      <c r="AI24" s="234"/>
      <c r="AJ24" s="234"/>
      <c r="AK24" s="234"/>
      <c r="AL24" s="234"/>
      <c r="AM24" s="234"/>
      <c r="AN24" s="234"/>
      <c r="AO24" s="234"/>
      <c r="AP24" s="36"/>
      <c r="AQ24" s="36"/>
      <c r="AR24" s="36"/>
      <c r="AS24" s="36"/>
      <c r="AT24" s="36"/>
      <c r="AU24" s="36"/>
      <c r="AV24" s="36"/>
      <c r="AW24" s="36"/>
      <c r="AX24" s="36"/>
      <c r="AY24" s="36"/>
    </row>
    <row r="25" spans="1:51" ht="13.5" customHeight="1" thickBot="1" x14ac:dyDescent="0.3">
      <c r="A25" s="249"/>
      <c r="B25" s="36"/>
      <c r="C25" s="36"/>
      <c r="D25" s="250">
        <f t="shared" ref="D25:M25" si="26">SUM(D4:D23)</f>
        <v>6392500</v>
      </c>
      <c r="E25" s="250">
        <f t="shared" si="26"/>
        <v>1875000</v>
      </c>
      <c r="F25" s="250">
        <f t="shared" si="26"/>
        <v>909110</v>
      </c>
      <c r="G25" s="250">
        <f t="shared" si="26"/>
        <v>41787</v>
      </c>
      <c r="H25" s="250">
        <f t="shared" si="26"/>
        <v>0</v>
      </c>
      <c r="I25" s="250">
        <f t="shared" si="26"/>
        <v>18350486.250556003</v>
      </c>
      <c r="J25" s="250">
        <f t="shared" si="26"/>
        <v>1117782.5566859529</v>
      </c>
      <c r="K25" s="250">
        <f t="shared" si="26"/>
        <v>248662.90000000005</v>
      </c>
      <c r="L25" s="250">
        <f t="shared" si="26"/>
        <v>0</v>
      </c>
      <c r="M25" s="250">
        <f t="shared" si="26"/>
        <v>28935328.707241952</v>
      </c>
      <c r="N25" s="250">
        <f>SUM(N4:N23)</f>
        <v>27984431.707241952</v>
      </c>
      <c r="O25" s="251">
        <f>SUM(O4:O23)</f>
        <v>1774.4166666666667</v>
      </c>
      <c r="P25" s="253"/>
      <c r="Q25" s="251">
        <f>SUM(Q4:Q23)</f>
        <v>1674.2311685323079</v>
      </c>
      <c r="R25" s="251">
        <f>SUM(R4:R23)</f>
        <v>2255451.148843925</v>
      </c>
      <c r="S25" s="36"/>
      <c r="T25" s="36"/>
      <c r="U25" s="36"/>
      <c r="V25" s="36"/>
      <c r="W25" s="36"/>
      <c r="X25" s="250">
        <f>SUM(X4:X23)</f>
        <v>139221.42631926062</v>
      </c>
      <c r="Y25" s="250">
        <f>SUM(Y4:Y23)</f>
        <v>28123653.133561216</v>
      </c>
      <c r="Z25" s="235"/>
      <c r="AA25" s="36"/>
      <c r="AB25" s="235"/>
      <c r="AC25" s="235"/>
      <c r="AD25" s="249"/>
      <c r="AE25" s="36"/>
      <c r="AF25" s="36"/>
      <c r="AG25" s="234"/>
      <c r="AH25" s="250">
        <f>SUM(AH4:AH23)</f>
        <v>139221.42631926062</v>
      </c>
      <c r="AI25" s="250">
        <f>SUM(AI4:AI23)</f>
        <v>28123653.133561216</v>
      </c>
      <c r="AJ25" s="235"/>
      <c r="AK25" s="235"/>
      <c r="AL25" s="235"/>
      <c r="AM25" s="235"/>
      <c r="AN25" s="235"/>
      <c r="AO25" s="235"/>
      <c r="AP25" s="36"/>
      <c r="AQ25" s="36"/>
      <c r="AR25" s="36"/>
      <c r="AS25" s="36"/>
      <c r="AT25" s="36"/>
      <c r="AU25" s="36"/>
      <c r="AV25" s="36"/>
      <c r="AW25" s="36"/>
      <c r="AX25" s="36"/>
      <c r="AY25" s="36"/>
    </row>
    <row r="26" spans="1:51" x14ac:dyDescent="0.25">
      <c r="A26" s="249"/>
      <c r="B26" s="36"/>
      <c r="C26" s="36"/>
      <c r="D26" s="234"/>
      <c r="E26" s="234"/>
      <c r="F26" s="234"/>
      <c r="G26" s="234"/>
      <c r="H26" s="234"/>
      <c r="I26" s="36"/>
      <c r="J26" s="36"/>
      <c r="K26" s="36"/>
      <c r="L26" s="36"/>
      <c r="M26" s="234"/>
      <c r="N26" s="252"/>
      <c r="O26" s="252"/>
      <c r="P26" s="252"/>
      <c r="Q26" s="252"/>
      <c r="R26" s="252"/>
      <c r="S26" s="36"/>
      <c r="T26" s="36"/>
      <c r="U26" s="36"/>
      <c r="V26" s="36"/>
      <c r="W26" s="36"/>
      <c r="X26" s="36"/>
      <c r="Y26" s="36"/>
      <c r="Z26" s="36"/>
      <c r="AA26" s="36"/>
      <c r="AB26" s="235"/>
      <c r="AC26" s="235"/>
      <c r="AD26" s="249"/>
      <c r="AE26" s="36"/>
      <c r="AF26" s="36"/>
      <c r="AG26" s="234"/>
      <c r="AH26" s="234"/>
      <c r="AI26" s="234"/>
      <c r="AJ26" s="234"/>
      <c r="AK26" s="234"/>
      <c r="AL26" s="234"/>
      <c r="AM26" s="234"/>
      <c r="AN26" s="234"/>
      <c r="AO26" s="234"/>
      <c r="AP26" s="36"/>
      <c r="AQ26" s="36"/>
      <c r="AR26" s="36"/>
      <c r="AS26" s="36"/>
      <c r="AT26" s="36"/>
      <c r="AU26" s="36"/>
      <c r="AV26" s="36"/>
      <c r="AW26" s="36"/>
      <c r="AX26" s="36"/>
      <c r="AY26" s="36"/>
    </row>
    <row r="27" spans="1:51" x14ac:dyDescent="0.25">
      <c r="A27" s="36"/>
      <c r="B27" s="234"/>
      <c r="C27" s="234"/>
      <c r="D27" s="235">
        <v>7154980.4209501101</v>
      </c>
      <c r="E27" s="235">
        <v>1632492.0468683892</v>
      </c>
      <c r="F27" s="235"/>
      <c r="G27" s="235"/>
      <c r="H27" s="235"/>
      <c r="I27" s="235"/>
      <c r="J27" s="235"/>
      <c r="K27" s="235"/>
      <c r="L27" s="235" t="s">
        <v>818</v>
      </c>
      <c r="M27" s="235"/>
      <c r="N27" s="235"/>
      <c r="O27" s="253"/>
      <c r="P27" s="253"/>
      <c r="Q27" s="253"/>
      <c r="R27" s="253"/>
      <c r="S27" s="36"/>
      <c r="T27" s="36"/>
      <c r="U27" s="36"/>
      <c r="V27" s="36"/>
      <c r="W27" s="36"/>
      <c r="X27" s="36"/>
      <c r="Y27" s="36"/>
      <c r="Z27" s="36"/>
      <c r="AA27" s="36"/>
      <c r="AB27" s="235"/>
      <c r="AC27" s="234"/>
      <c r="AD27" s="234"/>
      <c r="AE27" s="234"/>
      <c r="AF27" s="234"/>
      <c r="AG27" s="234"/>
      <c r="AH27" s="235" t="s">
        <v>790</v>
      </c>
      <c r="AI27" s="235">
        <v>25776508.120230969</v>
      </c>
      <c r="AJ27" s="234" t="s">
        <v>819</v>
      </c>
      <c r="AK27" s="234"/>
      <c r="AL27" s="234"/>
      <c r="AM27" s="235"/>
      <c r="AN27" s="234"/>
      <c r="AO27" s="234"/>
      <c r="AP27" s="36"/>
      <c r="AQ27" s="36"/>
      <c r="AR27" s="36"/>
      <c r="AS27" s="36"/>
      <c r="AT27" s="36"/>
      <c r="AU27" s="36"/>
      <c r="AV27" s="36"/>
      <c r="AW27" s="36"/>
      <c r="AX27" s="36"/>
      <c r="AY27" s="36"/>
    </row>
    <row r="28" spans="1:51" x14ac:dyDescent="0.25">
      <c r="A28" s="36"/>
      <c r="B28" s="234"/>
      <c r="C28" s="36"/>
      <c r="D28" s="235">
        <f>SUM(D27:E27)</f>
        <v>8787472.4678184986</v>
      </c>
      <c r="E28" s="234"/>
      <c r="F28" s="234"/>
      <c r="G28" s="234"/>
      <c r="H28" s="234"/>
      <c r="I28" s="36"/>
      <c r="J28" s="36"/>
      <c r="K28" s="36"/>
      <c r="L28" s="36"/>
      <c r="M28" s="234"/>
      <c r="N28" s="36"/>
      <c r="O28" s="253"/>
      <c r="P28" s="253"/>
      <c r="Q28" s="253"/>
      <c r="R28" s="253"/>
      <c r="S28" s="36"/>
      <c r="T28" s="36"/>
      <c r="U28" s="36"/>
      <c r="V28" s="36"/>
      <c r="W28" s="36"/>
      <c r="X28" s="36"/>
      <c r="Y28" s="36"/>
      <c r="Z28" s="36"/>
      <c r="AA28" s="36"/>
      <c r="AB28" s="235"/>
      <c r="AC28" s="234"/>
      <c r="AD28" s="234"/>
      <c r="AE28" s="234"/>
      <c r="AF28" s="36"/>
      <c r="AG28" s="234"/>
      <c r="AH28" s="234"/>
      <c r="AI28" s="235"/>
      <c r="AJ28" s="235"/>
      <c r="AK28" s="234"/>
      <c r="AL28" s="235"/>
      <c r="AM28" s="234"/>
      <c r="AN28" s="234"/>
      <c r="AO28" s="234"/>
      <c r="AP28" s="36"/>
      <c r="AQ28" s="36"/>
      <c r="AR28" s="36"/>
      <c r="AS28" s="36"/>
      <c r="AT28" s="36"/>
      <c r="AU28" s="36"/>
      <c r="AV28" s="36"/>
      <c r="AW28" s="36"/>
      <c r="AX28" s="36"/>
      <c r="AY28" s="36"/>
    </row>
    <row r="29" spans="1:51" x14ac:dyDescent="0.25">
      <c r="A29" s="36"/>
      <c r="B29" s="234"/>
      <c r="C29" s="36"/>
      <c r="D29" s="235"/>
      <c r="E29" s="234"/>
      <c r="F29" s="234"/>
      <c r="G29" s="234"/>
      <c r="H29" s="234"/>
      <c r="I29" s="36"/>
      <c r="J29" s="36"/>
      <c r="K29" s="36"/>
      <c r="L29" s="36"/>
      <c r="M29" s="234"/>
      <c r="N29" s="36"/>
      <c r="O29" s="253"/>
      <c r="P29" s="253"/>
      <c r="Q29" s="253"/>
      <c r="R29" s="253"/>
      <c r="S29" s="36"/>
      <c r="T29" s="36"/>
      <c r="U29" s="36"/>
      <c r="V29" s="36"/>
      <c r="W29" s="36"/>
      <c r="X29" s="36"/>
      <c r="Y29" s="36"/>
      <c r="Z29" s="36"/>
      <c r="AA29" s="36"/>
      <c r="AB29" s="235"/>
      <c r="AC29" s="234"/>
      <c r="AD29" s="234"/>
      <c r="AE29" s="234"/>
      <c r="AF29" s="36"/>
      <c r="AG29" s="234"/>
      <c r="AH29" s="234"/>
      <c r="AI29" s="235">
        <v>27498022.23845711</v>
      </c>
      <c r="AJ29" s="235"/>
      <c r="AK29" s="235">
        <f>AI29-AI27</f>
        <v>1721514.1182261407</v>
      </c>
      <c r="AL29" s="235"/>
      <c r="AM29" s="234"/>
      <c r="AN29" s="234"/>
      <c r="AO29" s="234"/>
      <c r="AP29" s="36"/>
      <c r="AQ29" s="36"/>
      <c r="AR29" s="36"/>
      <c r="AS29" s="36"/>
      <c r="AT29" s="36"/>
      <c r="AU29" s="36"/>
      <c r="AV29" s="36"/>
      <c r="AW29" s="36"/>
      <c r="AX29" s="36"/>
      <c r="AY29" s="36"/>
    </row>
    <row r="30" spans="1:51" x14ac:dyDescent="0.25">
      <c r="A30" s="36"/>
      <c r="B30" s="234"/>
      <c r="C30" s="36"/>
      <c r="D30" s="235">
        <f>D28-D25</f>
        <v>2394972.4678184986</v>
      </c>
      <c r="E30" s="234"/>
      <c r="F30" s="234"/>
      <c r="G30" s="234"/>
      <c r="H30" s="234"/>
      <c r="I30" s="36"/>
      <c r="J30" s="36"/>
      <c r="K30" s="36"/>
      <c r="L30" s="36"/>
      <c r="M30" s="234"/>
      <c r="N30" s="36"/>
      <c r="O30" s="253"/>
      <c r="P30" s="253"/>
      <c r="Q30" s="253"/>
      <c r="R30" s="253"/>
      <c r="S30" s="36"/>
      <c r="T30" s="36"/>
      <c r="U30" s="36"/>
      <c r="V30" s="36"/>
      <c r="W30" s="36"/>
      <c r="X30" s="36"/>
      <c r="Y30" s="36"/>
      <c r="Z30" s="36"/>
      <c r="AA30" s="36"/>
      <c r="AB30" s="235"/>
      <c r="AC30" s="234"/>
      <c r="AD30" s="234"/>
      <c r="AE30" s="234"/>
      <c r="AF30" s="36"/>
      <c r="AG30" s="234"/>
      <c r="AH30" s="234"/>
      <c r="AI30" s="235"/>
      <c r="AJ30" s="235"/>
      <c r="AK30" s="234"/>
      <c r="AL30" s="235"/>
      <c r="AM30" s="234"/>
      <c r="AN30" s="234"/>
      <c r="AO30" s="234"/>
      <c r="AP30" s="36"/>
      <c r="AQ30" s="36"/>
      <c r="AR30" s="36"/>
      <c r="AS30" s="36"/>
      <c r="AT30" s="36"/>
      <c r="AU30" s="36"/>
      <c r="AV30" s="36"/>
      <c r="AW30" s="36"/>
      <c r="AX30" s="36"/>
      <c r="AY30" s="36"/>
    </row>
    <row r="31" spans="1:51" x14ac:dyDescent="0.25">
      <c r="A31" s="36"/>
      <c r="B31" s="234"/>
      <c r="C31" s="36"/>
      <c r="D31" s="235"/>
      <c r="E31" s="235"/>
      <c r="F31" s="235"/>
      <c r="G31" s="235"/>
      <c r="H31" s="235"/>
      <c r="I31" s="235"/>
      <c r="J31" s="235"/>
      <c r="K31" s="235"/>
      <c r="L31" s="235"/>
      <c r="M31" s="235"/>
      <c r="N31" s="235"/>
      <c r="O31" s="253"/>
      <c r="P31" s="253"/>
      <c r="Q31" s="253"/>
      <c r="R31" s="253"/>
      <c r="S31" s="235"/>
      <c r="T31" s="235"/>
      <c r="U31" s="235"/>
      <c r="V31" s="235"/>
      <c r="W31" s="235"/>
      <c r="X31" s="235"/>
      <c r="Y31" s="235"/>
      <c r="Z31" s="235"/>
      <c r="AA31" s="235"/>
      <c r="AB31" s="235"/>
      <c r="AC31" s="234"/>
      <c r="AD31" s="234"/>
      <c r="AE31" s="36"/>
      <c r="AF31" s="36"/>
      <c r="AG31" s="234"/>
      <c r="AH31" s="234"/>
      <c r="AI31" s="235">
        <f>AI25-AI27</f>
        <v>2347145.0133302473</v>
      </c>
      <c r="AJ31" s="235"/>
      <c r="AK31" s="235">
        <f>AI31-AK29</f>
        <v>625630.89510410652</v>
      </c>
      <c r="AL31" s="234"/>
      <c r="AM31" s="234" t="s">
        <v>820</v>
      </c>
      <c r="AN31" s="234"/>
      <c r="AO31" s="234"/>
      <c r="AP31" s="36"/>
      <c r="AQ31" s="36"/>
      <c r="AR31" s="36"/>
      <c r="AS31" s="36"/>
      <c r="AT31" s="36"/>
      <c r="AU31" s="36"/>
      <c r="AV31" s="36"/>
      <c r="AW31" s="36"/>
      <c r="AX31" s="36"/>
      <c r="AY31" s="36"/>
    </row>
    <row r="32" spans="1:51" x14ac:dyDescent="0.25">
      <c r="A32" s="234"/>
      <c r="B32" s="234"/>
      <c r="C32" s="36"/>
      <c r="D32" s="235"/>
      <c r="E32" s="235"/>
      <c r="F32" s="235"/>
      <c r="G32" s="235"/>
      <c r="H32" s="235"/>
      <c r="I32" s="235"/>
      <c r="J32" s="235"/>
      <c r="K32" s="235"/>
      <c r="L32" s="235"/>
      <c r="M32" s="235"/>
      <c r="N32" s="247"/>
      <c r="O32" s="253"/>
      <c r="P32" s="253"/>
      <c r="Q32" s="253"/>
      <c r="R32" s="253"/>
      <c r="S32" s="36"/>
      <c r="T32" s="36"/>
      <c r="U32" s="36"/>
      <c r="V32" s="36"/>
      <c r="W32" s="36"/>
      <c r="X32" s="36"/>
      <c r="Y32" s="36"/>
      <c r="Z32" s="36"/>
      <c r="AA32" s="36"/>
      <c r="AB32" s="235"/>
      <c r="AC32" s="234"/>
      <c r="AD32" s="234"/>
      <c r="AE32" s="36"/>
      <c r="AF32" s="36"/>
      <c r="AG32" s="234"/>
      <c r="AH32" s="406"/>
      <c r="AI32" s="235"/>
      <c r="AJ32" s="405"/>
      <c r="AK32" s="235"/>
      <c r="AL32" s="235"/>
      <c r="AM32" s="235"/>
      <c r="AN32" s="235"/>
      <c r="AO32" s="235"/>
      <c r="AP32" s="36"/>
      <c r="AQ32" s="36"/>
      <c r="AR32" s="36"/>
      <c r="AS32" s="36"/>
      <c r="AT32" s="36"/>
      <c r="AU32" s="36"/>
      <c r="AV32" s="36"/>
      <c r="AW32" s="36"/>
      <c r="AX32" s="36"/>
      <c r="AY32" s="36"/>
    </row>
    <row r="33" spans="2:41" ht="13" x14ac:dyDescent="0.3">
      <c r="B33" s="249" t="s">
        <v>706</v>
      </c>
      <c r="C33" s="36"/>
      <c r="D33" s="245">
        <f>IF(I33+J33&lt;'2122 Group Sizes'!$B$46,'2122 Group Sizes'!$F$46,IF('1819 Funding Detail'!I33+J33&lt;'2122 Group Sizes'!$B$47,'2122 Group Sizes'!$F$47,IF('1819 Funding Detail'!I33+J33&lt;'2122 Group Sizes'!$B$48,'2122 Group Sizes'!$F$48,IF(I33+J33&lt;'2122 Group Sizes'!$B$49,'2122 Group Sizes'!$F$49,IF(I33+J33&lt;'2122 Group Sizes'!$B$50,'2122 Group Sizes'!$F$50,IF(I33+J33&lt;'2122 Group Sizes'!$B$51,'2122 Group Sizes'!$F$51,IF(I33+J33&lt;'2122 Group Sizes'!$B$52,'2122 Group Sizes'!$F$52,IF(I33+J33&lt;'2122 Group Sizes'!$B$53,'2122 Group Sizes'!$F$53,IF(I33+J33&lt;'2122 Group Sizes'!$B$54,'2122 Group Sizes'!$F$54,IF(I33+J33&lt;'2122 Group Sizes'!$B$55,'2122 Group Sizes'!$F$55,IF(I33+J33&lt;'2122 Group Sizes'!$B$56,'2122 Group Sizes'!$F$56)))))))))))</f>
        <v>505000</v>
      </c>
      <c r="E33" s="235"/>
      <c r="F33" s="235"/>
      <c r="G33" s="235"/>
      <c r="H33" s="235"/>
      <c r="I33" s="235">
        <f>70*'1819 Band Calculations'!G100</f>
        <v>980296.51667889929</v>
      </c>
      <c r="J33" s="235">
        <v>0</v>
      </c>
      <c r="K33" s="1026"/>
      <c r="L33" s="235"/>
      <c r="M33" s="245">
        <f>SUM(D33:L33)</f>
        <v>1485296.5166788993</v>
      </c>
      <c r="N33" s="248">
        <f>M33-F33</f>
        <v>1485296.5166788993</v>
      </c>
      <c r="O33" s="1036">
        <v>70</v>
      </c>
      <c r="P33" s="253"/>
      <c r="Q33" s="253"/>
      <c r="R33" s="253"/>
      <c r="S33" s="36"/>
      <c r="T33" s="1026">
        <f>N33-D33-E33-L33</f>
        <v>980296.51667889929</v>
      </c>
      <c r="U33" s="1026">
        <f>T33/O33</f>
        <v>14004.235952555704</v>
      </c>
      <c r="V33" s="1026">
        <f>'2017-18 Funding Detail'!AP31</f>
        <v>11542.785714285714</v>
      </c>
      <c r="W33" s="235">
        <f>U33-V33</f>
        <v>2461.4502382699902</v>
      </c>
      <c r="X33" s="1026">
        <f>IF(W33&lt;0,((W33*O33)*-1),(0))</f>
        <v>0</v>
      </c>
      <c r="Y33" s="1026">
        <f>N33+X33</f>
        <v>1485296.5166788993</v>
      </c>
      <c r="Z33" s="235">
        <f>O33*10000</f>
        <v>700000</v>
      </c>
      <c r="AA33" s="235">
        <f>IF(Z33&gt;Y33,(Z33-Y33),(0))</f>
        <v>0</v>
      </c>
      <c r="AB33" s="242">
        <f>N33/O33</f>
        <v>21218.521666841418</v>
      </c>
      <c r="AC33" s="242">
        <f>O33*10000</f>
        <v>700000</v>
      </c>
      <c r="AD33" s="242">
        <f>AB33-10000</f>
        <v>11218.521666841418</v>
      </c>
      <c r="AE33" s="1244" t="e">
        <f>VLOOKUP(A33,'2017-18 Funding Detail'!$A$4:$AH$23,27,FALSE)</f>
        <v>#N/A</v>
      </c>
      <c r="AF33" s="245" t="e">
        <f>IF(AD33&gt;AE33,(AD33),(AE33))</f>
        <v>#N/A</v>
      </c>
      <c r="AG33" s="245" t="e">
        <f>10000+AF33</f>
        <v>#N/A</v>
      </c>
      <c r="AH33" s="1029">
        <f>X33+AA33</f>
        <v>0</v>
      </c>
      <c r="AI33" s="346">
        <f>N33+AH33</f>
        <v>1485296.5166788993</v>
      </c>
      <c r="AJ33" s="235">
        <v>1312995</v>
      </c>
      <c r="AK33" s="235">
        <f>AI33-AJ33</f>
        <v>172301.51667889929</v>
      </c>
      <c r="AL33" s="234"/>
      <c r="AM33" s="234"/>
      <c r="AN33" s="234"/>
      <c r="AO33" s="234"/>
    </row>
    <row r="34" spans="2:41" x14ac:dyDescent="0.25">
      <c r="B34" s="249" t="s">
        <v>821</v>
      </c>
      <c r="C34" s="36"/>
      <c r="D34" s="235"/>
      <c r="E34" s="235"/>
      <c r="F34" s="235"/>
      <c r="G34" s="235"/>
      <c r="H34" s="235"/>
      <c r="I34" s="235">
        <f>13*'1819 Band Calculations'!G100</f>
        <v>182055.06738322414</v>
      </c>
      <c r="J34" s="235">
        <v>0</v>
      </c>
      <c r="K34" s="1026"/>
      <c r="L34" s="235"/>
      <c r="M34" s="235"/>
      <c r="N34" s="234"/>
      <c r="O34" s="234"/>
      <c r="P34" s="234"/>
      <c r="Q34" s="234"/>
      <c r="R34" s="234"/>
      <c r="S34" s="36"/>
      <c r="T34" s="36"/>
      <c r="U34" s="36"/>
      <c r="V34" s="36"/>
      <c r="W34" s="36"/>
      <c r="X34" s="36"/>
      <c r="Y34" s="36"/>
      <c r="Z34" s="36"/>
      <c r="AA34" s="36"/>
      <c r="AB34" s="235"/>
      <c r="AC34" s="234"/>
      <c r="AD34" s="234"/>
      <c r="AE34" s="36"/>
      <c r="AF34" s="36"/>
      <c r="AG34" s="234"/>
      <c r="AH34" s="235"/>
      <c r="AI34" s="235"/>
      <c r="AJ34" s="405"/>
      <c r="AK34" s="235"/>
      <c r="AL34" s="235"/>
      <c r="AM34" s="235"/>
      <c r="AN34" s="235"/>
      <c r="AO34" s="235"/>
    </row>
    <row r="35" spans="2:41" x14ac:dyDescent="0.25">
      <c r="B35" s="234"/>
      <c r="C35" s="36"/>
      <c r="D35" s="1439"/>
      <c r="E35" s="1439"/>
      <c r="F35" s="234"/>
      <c r="G35" s="234"/>
      <c r="H35" s="234"/>
      <c r="I35" s="36"/>
      <c r="J35" s="243"/>
      <c r="K35" s="36"/>
      <c r="L35" s="234"/>
      <c r="M35" s="234"/>
      <c r="N35" s="36"/>
      <c r="O35" s="234"/>
      <c r="P35" s="234"/>
      <c r="Q35" s="234"/>
      <c r="R35" s="234"/>
      <c r="S35" s="36"/>
      <c r="T35" s="36"/>
      <c r="U35" s="36"/>
      <c r="V35" s="36"/>
      <c r="W35" s="36"/>
      <c r="X35" s="36"/>
      <c r="Y35" s="36"/>
      <c r="Z35" s="36"/>
      <c r="AA35" s="36"/>
      <c r="AB35" s="235"/>
      <c r="AC35" s="234"/>
      <c r="AD35" s="234"/>
      <c r="AE35" s="36"/>
      <c r="AF35" s="36"/>
      <c r="AG35" s="234"/>
      <c r="AH35" s="234"/>
      <c r="AI35" s="235"/>
      <c r="AJ35" s="235"/>
      <c r="AK35" s="234"/>
      <c r="AL35" s="234"/>
      <c r="AM35" s="234"/>
      <c r="AN35" s="234"/>
      <c r="AO35" s="234"/>
    </row>
    <row r="36" spans="2:41" x14ac:dyDescent="0.25">
      <c r="B36" s="234"/>
      <c r="C36" s="36"/>
      <c r="D36" s="298"/>
      <c r="E36" s="298"/>
      <c r="F36" s="298"/>
      <c r="G36" s="298"/>
      <c r="H36" s="298"/>
      <c r="I36" s="298"/>
      <c r="J36" s="298"/>
      <c r="K36" s="298"/>
      <c r="L36" s="298"/>
      <c r="M36" s="298"/>
      <c r="N36" s="298"/>
      <c r="O36" s="298"/>
      <c r="P36" s="298"/>
      <c r="Q36" s="298"/>
      <c r="R36" s="298"/>
      <c r="S36" s="298"/>
      <c r="T36" s="298"/>
      <c r="U36" s="298"/>
      <c r="V36" s="298"/>
      <c r="W36" s="298"/>
      <c r="X36" s="298"/>
      <c r="Y36" s="298"/>
      <c r="Z36" s="298"/>
      <c r="AA36" s="298"/>
      <c r="AB36" s="298"/>
      <c r="AC36" s="298"/>
      <c r="AD36" s="298"/>
      <c r="AE36" s="298"/>
      <c r="AF36" s="298"/>
      <c r="AG36" s="298"/>
      <c r="AH36" s="298"/>
      <c r="AI36" s="235"/>
      <c r="AJ36" s="235"/>
      <c r="AK36" s="298"/>
      <c r="AL36" s="297"/>
      <c r="AM36" s="298"/>
      <c r="AN36" s="298"/>
      <c r="AO36" s="298"/>
    </row>
    <row r="37" spans="2:41" x14ac:dyDescent="0.25">
      <c r="B37" s="36"/>
      <c r="C37" s="36"/>
      <c r="D37" s="234"/>
      <c r="E37" s="234"/>
      <c r="F37" s="234"/>
      <c r="G37" s="234"/>
      <c r="H37" s="234"/>
      <c r="I37" s="36"/>
      <c r="J37" s="36"/>
      <c r="K37" s="36"/>
      <c r="L37" s="36"/>
      <c r="M37" s="234"/>
      <c r="N37" s="36"/>
      <c r="O37" s="234"/>
      <c r="P37" s="234"/>
      <c r="Q37" s="234"/>
      <c r="R37" s="234"/>
      <c r="S37" s="36"/>
      <c r="T37" s="36"/>
      <c r="U37" s="36"/>
      <c r="V37" s="36"/>
      <c r="W37" s="36"/>
      <c r="X37" s="36"/>
      <c r="Y37" s="36"/>
      <c r="Z37" s="36"/>
      <c r="AA37" s="36"/>
      <c r="AB37" s="235"/>
      <c r="AC37" s="234"/>
      <c r="AD37" s="234"/>
      <c r="AE37" s="36"/>
      <c r="AF37" s="36"/>
      <c r="AG37" s="234"/>
      <c r="AH37" s="234"/>
      <c r="AI37" s="235"/>
      <c r="AJ37" s="235"/>
      <c r="AK37" s="234"/>
      <c r="AL37" s="234"/>
      <c r="AM37" s="234"/>
      <c r="AN37" s="234"/>
      <c r="AO37" s="234"/>
    </row>
    <row r="38" spans="2:41" x14ac:dyDescent="0.25">
      <c r="B38" s="36"/>
      <c r="C38" s="36"/>
      <c r="D38" s="234"/>
      <c r="E38" s="234"/>
      <c r="F38" s="234"/>
      <c r="G38" s="234"/>
      <c r="H38" s="234"/>
      <c r="I38" s="36"/>
      <c r="J38" s="36"/>
      <c r="K38" s="36"/>
      <c r="L38" s="36"/>
      <c r="M38" s="234"/>
      <c r="N38" s="36"/>
      <c r="O38" s="234"/>
      <c r="P38" s="234"/>
      <c r="Q38" s="234"/>
      <c r="R38" s="234"/>
      <c r="S38" s="36"/>
      <c r="T38" s="36"/>
      <c r="U38" s="36"/>
      <c r="V38" s="36"/>
      <c r="W38" s="36"/>
      <c r="X38" s="36"/>
      <c r="Y38" s="36"/>
      <c r="Z38" s="36"/>
      <c r="AA38" s="36"/>
      <c r="AB38" s="235"/>
      <c r="AC38" s="234"/>
      <c r="AD38" s="234"/>
      <c r="AE38" s="36"/>
      <c r="AF38" s="36"/>
      <c r="AG38" s="234"/>
      <c r="AH38" s="234"/>
      <c r="AI38" s="235"/>
      <c r="AJ38" s="235"/>
      <c r="AK38" s="234"/>
      <c r="AL38" s="234"/>
      <c r="AM38" s="234"/>
      <c r="AN38" s="234"/>
      <c r="AO38" s="234"/>
    </row>
    <row r="39" spans="2:41" x14ac:dyDescent="0.25">
      <c r="B39" s="36"/>
      <c r="C39" s="36"/>
      <c r="D39" s="234"/>
      <c r="E39" s="234"/>
      <c r="F39" s="234"/>
      <c r="G39" s="234"/>
      <c r="H39" s="234"/>
      <c r="I39" s="36"/>
      <c r="J39" s="36"/>
      <c r="K39" s="36"/>
      <c r="L39" s="36"/>
      <c r="M39" s="234"/>
      <c r="N39" s="36"/>
      <c r="O39" s="234"/>
      <c r="P39" s="234"/>
      <c r="Q39" s="234"/>
      <c r="R39" s="234"/>
      <c r="S39" s="36"/>
      <c r="T39" s="36"/>
      <c r="U39" s="36"/>
      <c r="V39" s="36"/>
      <c r="W39" s="36"/>
      <c r="X39" s="36"/>
      <c r="Y39" s="36"/>
      <c r="Z39" s="36"/>
      <c r="AA39" s="36"/>
      <c r="AB39" s="235"/>
      <c r="AC39" s="234"/>
      <c r="AD39" s="234"/>
      <c r="AE39" s="36"/>
      <c r="AF39" s="36"/>
      <c r="AG39" s="234"/>
      <c r="AH39" s="234"/>
      <c r="AI39" s="235"/>
      <c r="AJ39" s="235"/>
      <c r="AK39" s="234"/>
      <c r="AL39" s="234"/>
      <c r="AM39" s="234"/>
      <c r="AN39" s="234"/>
      <c r="AO39" s="234"/>
    </row>
    <row r="40" spans="2:41" x14ac:dyDescent="0.25">
      <c r="B40" s="36"/>
      <c r="C40" s="36"/>
      <c r="D40" s="234"/>
      <c r="E40" s="234"/>
      <c r="F40" s="234"/>
      <c r="G40" s="234"/>
      <c r="H40" s="304"/>
      <c r="I40" s="297"/>
      <c r="J40" s="296"/>
      <c r="K40" s="36"/>
      <c r="L40" s="36"/>
      <c r="M40" s="234"/>
      <c r="N40" s="36"/>
      <c r="O40" s="234"/>
      <c r="P40" s="234"/>
      <c r="Q40" s="234"/>
      <c r="R40" s="234"/>
      <c r="S40" s="36"/>
      <c r="T40" s="36"/>
      <c r="U40" s="36"/>
      <c r="V40" s="36"/>
      <c r="W40" s="36"/>
      <c r="X40" s="36"/>
      <c r="Y40" s="36"/>
      <c r="Z40" s="36"/>
      <c r="AA40" s="36"/>
      <c r="AB40" s="235"/>
      <c r="AC40" s="234"/>
      <c r="AD40" s="234"/>
      <c r="AE40" s="36"/>
      <c r="AF40" s="36"/>
      <c r="AG40" s="234"/>
      <c r="AH40" s="234"/>
      <c r="AI40" s="235"/>
      <c r="AJ40" s="235"/>
      <c r="AK40" s="234"/>
      <c r="AL40" s="234"/>
      <c r="AM40" s="234"/>
      <c r="AN40" s="234"/>
      <c r="AO40" s="234"/>
    </row>
    <row r="41" spans="2:41" x14ac:dyDescent="0.25">
      <c r="B41" s="36"/>
      <c r="C41" s="36"/>
      <c r="D41" s="234"/>
      <c r="E41" s="234"/>
      <c r="F41" s="234"/>
      <c r="G41" s="234"/>
      <c r="H41" s="304"/>
      <c r="I41" s="296"/>
      <c r="J41" s="296"/>
      <c r="K41" s="36"/>
      <c r="L41" s="36"/>
      <c r="M41" s="234"/>
      <c r="N41" s="36"/>
      <c r="O41" s="234"/>
      <c r="P41" s="234"/>
      <c r="Q41" s="234"/>
      <c r="R41" s="234"/>
      <c r="S41" s="36"/>
      <c r="T41" s="36"/>
      <c r="U41" s="36"/>
      <c r="V41" s="36"/>
      <c r="W41" s="36"/>
      <c r="X41" s="36"/>
      <c r="Y41" s="36"/>
      <c r="Z41" s="36"/>
      <c r="AA41" s="36"/>
      <c r="AB41" s="235"/>
      <c r="AC41" s="234"/>
      <c r="AD41" s="234"/>
      <c r="AE41" s="36"/>
      <c r="AF41" s="36"/>
      <c r="AG41" s="234"/>
      <c r="AH41" s="234"/>
      <c r="AI41" s="234"/>
      <c r="AJ41" s="234"/>
      <c r="AK41" s="234"/>
      <c r="AL41" s="234"/>
      <c r="AM41" s="234"/>
      <c r="AN41" s="234"/>
      <c r="AO41" s="234"/>
    </row>
    <row r="42" spans="2:41" x14ac:dyDescent="0.25">
      <c r="B42" s="36"/>
      <c r="C42" s="36"/>
      <c r="D42" s="234"/>
      <c r="E42" s="234"/>
      <c r="F42" s="234"/>
      <c r="G42" s="234"/>
      <c r="H42" s="304"/>
      <c r="I42" s="305"/>
      <c r="J42" s="296"/>
      <c r="K42" s="36"/>
      <c r="L42" s="36"/>
      <c r="M42" s="234"/>
      <c r="N42" s="36"/>
      <c r="O42" s="234"/>
      <c r="P42" s="234"/>
      <c r="Q42" s="234"/>
      <c r="R42" s="234"/>
      <c r="S42" s="36"/>
      <c r="T42" s="36"/>
      <c r="U42" s="36"/>
      <c r="V42" s="36"/>
      <c r="W42" s="36"/>
      <c r="X42" s="36"/>
      <c r="Y42" s="36"/>
      <c r="Z42" s="36"/>
      <c r="AA42" s="36"/>
      <c r="AB42" s="235"/>
      <c r="AC42" s="234"/>
      <c r="AD42" s="234"/>
      <c r="AE42" s="36"/>
      <c r="AF42" s="36"/>
      <c r="AG42" s="234"/>
      <c r="AH42" s="234"/>
      <c r="AI42" s="234"/>
      <c r="AJ42" s="234"/>
      <c r="AK42" s="234"/>
      <c r="AL42" s="234"/>
      <c r="AM42" s="234"/>
      <c r="AN42" s="234"/>
      <c r="AO42" s="234"/>
    </row>
    <row r="43" spans="2:41" x14ac:dyDescent="0.25">
      <c r="B43" s="36"/>
      <c r="C43" s="36"/>
      <c r="D43" s="234"/>
      <c r="E43" s="234"/>
      <c r="F43" s="234"/>
      <c r="G43" s="234"/>
      <c r="H43" s="298"/>
      <c r="I43" s="296"/>
      <c r="J43" s="296"/>
      <c r="K43" s="36"/>
      <c r="L43" s="36"/>
      <c r="M43" s="234"/>
      <c r="N43" s="36"/>
      <c r="O43" s="234"/>
      <c r="P43" s="234"/>
      <c r="Q43" s="234"/>
      <c r="R43" s="234"/>
      <c r="S43" s="36"/>
      <c r="T43" s="36"/>
      <c r="U43" s="36"/>
      <c r="V43" s="36"/>
      <c r="W43" s="36"/>
      <c r="X43" s="36"/>
      <c r="Y43" s="36"/>
      <c r="Z43" s="36"/>
      <c r="AA43" s="36"/>
      <c r="AB43" s="235"/>
      <c r="AC43" s="234"/>
      <c r="AD43" s="234"/>
      <c r="AE43" s="36"/>
      <c r="AF43" s="36"/>
      <c r="AG43" s="234"/>
      <c r="AH43" s="234"/>
      <c r="AI43" s="234"/>
      <c r="AJ43" s="234"/>
      <c r="AK43" s="234"/>
      <c r="AL43" s="234"/>
      <c r="AM43" s="234"/>
      <c r="AN43" s="234"/>
      <c r="AO43" s="234"/>
    </row>
    <row r="44" spans="2:41" x14ac:dyDescent="0.25">
      <c r="B44" s="36"/>
      <c r="C44" s="36"/>
      <c r="D44" s="234"/>
      <c r="E44" s="234"/>
      <c r="F44" s="234"/>
      <c r="G44" s="234"/>
      <c r="H44" s="304"/>
      <c r="I44" s="297"/>
      <c r="J44" s="296"/>
      <c r="K44" s="36"/>
      <c r="L44" s="36"/>
      <c r="M44" s="234"/>
      <c r="N44" s="36"/>
      <c r="O44" s="234"/>
      <c r="P44" s="234"/>
      <c r="Q44" s="234"/>
      <c r="R44" s="234"/>
      <c r="S44" s="36"/>
      <c r="T44" s="36"/>
      <c r="U44" s="36"/>
      <c r="V44" s="36"/>
      <c r="W44" s="36"/>
      <c r="X44" s="36"/>
      <c r="Y44" s="36"/>
      <c r="Z44" s="36"/>
      <c r="AA44" s="36"/>
      <c r="AB44" s="235"/>
      <c r="AC44" s="234"/>
      <c r="AD44" s="234"/>
      <c r="AE44" s="36"/>
      <c r="AF44" s="36"/>
      <c r="AG44" s="234"/>
      <c r="AH44" s="234"/>
      <c r="AI44" s="234"/>
      <c r="AJ44" s="234"/>
      <c r="AK44" s="234"/>
      <c r="AL44" s="234"/>
      <c r="AM44" s="234"/>
      <c r="AN44" s="234"/>
      <c r="AO44" s="234"/>
    </row>
    <row r="45" spans="2:41" x14ac:dyDescent="0.25">
      <c r="B45" s="36"/>
      <c r="C45" s="36"/>
      <c r="D45" s="234"/>
      <c r="E45" s="234"/>
      <c r="F45" s="234"/>
      <c r="G45" s="234"/>
      <c r="H45" s="298"/>
      <c r="I45" s="296"/>
      <c r="J45" s="296"/>
      <c r="K45" s="36"/>
      <c r="L45" s="36"/>
      <c r="M45" s="234"/>
      <c r="N45" s="36"/>
      <c r="O45" s="234"/>
      <c r="P45" s="234"/>
      <c r="Q45" s="234"/>
      <c r="R45" s="234"/>
      <c r="S45" s="36"/>
      <c r="T45" s="36"/>
      <c r="U45" s="36"/>
      <c r="V45" s="36"/>
      <c r="W45" s="36"/>
      <c r="X45" s="36"/>
      <c r="Y45" s="36"/>
      <c r="Z45" s="36"/>
      <c r="AA45" s="36"/>
      <c r="AB45" s="235"/>
      <c r="AC45" s="234"/>
      <c r="AD45" s="234"/>
      <c r="AE45" s="36"/>
      <c r="AF45" s="36"/>
      <c r="AG45" s="234"/>
      <c r="AH45" s="234"/>
      <c r="AI45" s="234"/>
      <c r="AJ45" s="234"/>
      <c r="AK45" s="234"/>
      <c r="AL45" s="234"/>
      <c r="AM45" s="234"/>
      <c r="AN45" s="234"/>
      <c r="AO45" s="234"/>
    </row>
    <row r="46" spans="2:41" x14ac:dyDescent="0.25">
      <c r="B46" s="36"/>
      <c r="C46" s="36"/>
      <c r="D46" s="234"/>
      <c r="E46" s="234"/>
      <c r="F46" s="234"/>
      <c r="G46" s="234"/>
      <c r="H46" s="234"/>
      <c r="I46" s="36"/>
      <c r="J46" s="36"/>
      <c r="K46" s="36"/>
      <c r="L46" s="36"/>
      <c r="M46" s="234"/>
      <c r="N46" s="36"/>
      <c r="O46" s="234"/>
      <c r="P46" s="234"/>
      <c r="Q46" s="234"/>
      <c r="R46" s="234"/>
      <c r="S46" s="36"/>
      <c r="T46" s="36"/>
      <c r="U46" s="36"/>
      <c r="V46" s="36"/>
      <c r="W46" s="36"/>
      <c r="X46" s="36"/>
      <c r="Y46" s="36"/>
      <c r="Z46" s="36"/>
      <c r="AA46" s="36"/>
      <c r="AB46" s="235"/>
      <c r="AC46" s="234"/>
      <c r="AD46" s="234"/>
      <c r="AE46" s="36"/>
      <c r="AF46" s="36"/>
      <c r="AG46" s="234"/>
      <c r="AH46" s="234"/>
      <c r="AI46" s="234"/>
      <c r="AJ46" s="234"/>
      <c r="AK46" s="234"/>
      <c r="AL46" s="234"/>
      <c r="AM46" s="234"/>
      <c r="AN46" s="234"/>
      <c r="AO46" s="234"/>
    </row>
  </sheetData>
  <mergeCells count="3">
    <mergeCell ref="V2:V3"/>
    <mergeCell ref="D35:E35"/>
    <mergeCell ref="AT2:AT3"/>
  </mergeCells>
  <pageMargins left="0.70866141732283472" right="0.70866141732283472" top="0.74803149606299213" bottom="0.74803149606299213" header="0.31496062992125984" footer="0.31496062992125984"/>
  <pageSetup paperSize="9" scale="26"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B0F0"/>
  </sheetPr>
  <dimension ref="A1:AW133"/>
  <sheetViews>
    <sheetView workbookViewId="0">
      <selection activeCell="AL131" sqref="AL131"/>
    </sheetView>
  </sheetViews>
  <sheetFormatPr defaultColWidth="10.26953125" defaultRowHeight="12.5" x14ac:dyDescent="0.25"/>
  <cols>
    <col min="1" max="1" width="9.1796875" style="29" customWidth="1"/>
    <col min="2" max="2" width="26.7265625" style="29" customWidth="1"/>
    <col min="3" max="3" width="6.26953125" style="29" customWidth="1"/>
    <col min="4" max="4" width="12.1796875" style="29" bestFit="1" customWidth="1"/>
    <col min="5" max="5" width="16.453125" style="29" customWidth="1"/>
    <col min="6" max="6" width="12.7265625" style="29" customWidth="1"/>
    <col min="7" max="7" width="14.54296875" style="29" customWidth="1"/>
    <col min="8" max="8" width="13.26953125" style="29" customWidth="1"/>
    <col min="9" max="9" width="13" style="30" customWidth="1"/>
    <col min="10" max="10" width="12.81640625" style="30" customWidth="1"/>
    <col min="11" max="11" width="12.26953125" style="29" customWidth="1"/>
    <col min="12" max="12" width="11.1796875" style="29" customWidth="1"/>
    <col min="13" max="13" width="11.26953125" style="29" customWidth="1"/>
    <col min="14" max="14" width="11.453125" style="29" customWidth="1"/>
    <col min="15" max="15" width="12.81640625" style="29" customWidth="1"/>
    <col min="16" max="16" width="11.54296875" style="29" customWidth="1"/>
    <col min="17" max="17" width="11" style="29" customWidth="1"/>
    <col min="18" max="18" width="11.54296875" style="29" customWidth="1"/>
    <col min="19" max="19" width="12.453125" style="29" customWidth="1"/>
    <col min="20" max="20" width="12.26953125" style="29" customWidth="1"/>
    <col min="21" max="21" width="11.26953125" style="30" customWidth="1"/>
    <col min="22" max="22" width="11.26953125" style="29" customWidth="1"/>
    <col min="23" max="24" width="10.26953125" style="29" customWidth="1"/>
    <col min="25" max="25" width="11.1796875" style="29" customWidth="1"/>
    <col min="26" max="26" width="11.26953125" style="29" customWidth="1"/>
    <col min="27" max="27" width="11" style="29" customWidth="1"/>
    <col min="28" max="29" width="11.1796875" style="29" customWidth="1"/>
    <col min="30" max="30" width="12.1796875" style="29" customWidth="1"/>
    <col min="31" max="32" width="12.1796875" style="29" bestFit="1" customWidth="1"/>
    <col min="33" max="33" width="10.26953125" style="29" customWidth="1"/>
    <col min="34" max="35" width="11.1796875" style="29" bestFit="1" customWidth="1"/>
    <col min="36" max="36" width="12.1796875" style="29" bestFit="1" customWidth="1"/>
    <col min="37" max="37" width="2" style="29" customWidth="1"/>
    <col min="38" max="38" width="16.1796875" style="29" customWidth="1"/>
    <col min="39" max="42" width="10.26953125" style="29" customWidth="1"/>
    <col min="43" max="16384" width="10.26953125" style="29"/>
  </cols>
  <sheetData>
    <row r="1" spans="1:29" x14ac:dyDescent="0.25">
      <c r="A1" s="94" t="s">
        <v>230</v>
      </c>
      <c r="B1" s="36"/>
      <c r="C1" s="36"/>
      <c r="D1" s="36"/>
      <c r="E1" s="36"/>
      <c r="F1" s="36"/>
      <c r="G1" s="36"/>
      <c r="H1" s="36"/>
      <c r="I1" s="234"/>
      <c r="J1" s="234"/>
      <c r="K1" s="36"/>
      <c r="L1" s="36"/>
      <c r="M1" s="36"/>
      <c r="N1" s="36"/>
      <c r="O1" s="36"/>
      <c r="P1" s="36"/>
      <c r="Q1" s="36"/>
      <c r="R1" s="36"/>
      <c r="S1" s="1242"/>
      <c r="T1" s="36"/>
      <c r="U1" s="234"/>
      <c r="V1" s="36"/>
      <c r="W1" s="36"/>
      <c r="X1" s="36"/>
      <c r="Y1" s="36"/>
      <c r="Z1" s="36"/>
      <c r="AA1" s="36"/>
      <c r="AB1" s="36"/>
      <c r="AC1" s="36"/>
    </row>
    <row r="2" spans="1:29" ht="13" x14ac:dyDescent="0.3">
      <c r="A2" s="94"/>
      <c r="B2" s="36"/>
      <c r="C2" s="36"/>
      <c r="D2" s="36"/>
      <c r="E2" s="139" t="s">
        <v>822</v>
      </c>
      <c r="F2" s="36"/>
      <c r="G2" s="36"/>
      <c r="H2" s="36"/>
      <c r="I2" s="234"/>
      <c r="J2" s="234"/>
      <c r="K2" s="36"/>
      <c r="L2" s="36"/>
      <c r="M2" s="36"/>
      <c r="N2" s="36"/>
      <c r="O2" s="36"/>
      <c r="P2" s="36"/>
      <c r="Q2" s="36"/>
      <c r="R2" s="36"/>
      <c r="S2" s="1242"/>
      <c r="T2" s="36"/>
      <c r="U2" s="234"/>
      <c r="V2" s="36"/>
      <c r="W2" s="36"/>
      <c r="X2" s="36"/>
      <c r="Y2" s="36"/>
      <c r="Z2" s="36"/>
      <c r="AA2" s="36"/>
      <c r="AB2" s="36"/>
      <c r="AC2" s="36"/>
    </row>
    <row r="3" spans="1:29" ht="13" x14ac:dyDescent="0.3">
      <c r="A3" s="93" t="s">
        <v>235</v>
      </c>
      <c r="B3" s="36"/>
      <c r="C3" s="36"/>
      <c r="D3" s="36"/>
      <c r="E3" s="36"/>
      <c r="F3" s="36"/>
      <c r="G3" s="36"/>
      <c r="H3" s="36"/>
      <c r="I3" s="94" t="s">
        <v>709</v>
      </c>
      <c r="J3" s="234"/>
      <c r="K3" s="36"/>
      <c r="L3" s="36"/>
      <c r="M3" s="36"/>
      <c r="N3" s="36"/>
      <c r="O3" s="36"/>
      <c r="P3" s="36"/>
      <c r="Q3" s="36"/>
      <c r="R3" s="36"/>
      <c r="S3" s="1242"/>
      <c r="T3" s="36"/>
      <c r="U3" s="234"/>
      <c r="V3" s="36"/>
      <c r="W3" s="36"/>
      <c r="X3" s="36"/>
      <c r="Y3" s="36"/>
      <c r="Z3" s="36"/>
      <c r="AA3" s="36"/>
      <c r="AB3" s="36"/>
      <c r="AC3" s="36"/>
    </row>
    <row r="4" spans="1:29" x14ac:dyDescent="0.25">
      <c r="A4" s="36"/>
      <c r="B4" s="263"/>
      <c r="C4" s="263"/>
      <c r="D4" s="36"/>
      <c r="E4" s="36"/>
      <c r="F4" s="36"/>
      <c r="G4" s="36"/>
      <c r="H4" s="36"/>
      <c r="I4" s="234"/>
      <c r="J4" s="234"/>
      <c r="K4" s="36"/>
      <c r="L4" s="36"/>
      <c r="M4" s="36"/>
      <c r="N4" s="36"/>
      <c r="O4" s="36"/>
      <c r="P4" s="1445" t="s">
        <v>238</v>
      </c>
      <c r="Q4" s="1446"/>
      <c r="R4" s="36"/>
      <c r="S4" s="1242"/>
      <c r="T4" s="36"/>
      <c r="U4" s="234"/>
      <c r="V4" s="36"/>
      <c r="W4" s="36"/>
      <c r="X4" s="36"/>
      <c r="Y4" s="36"/>
      <c r="Z4" s="36"/>
      <c r="AA4" s="36"/>
      <c r="AB4" s="36"/>
      <c r="AC4" s="36"/>
    </row>
    <row r="5" spans="1:29" ht="37.5" x14ac:dyDescent="0.25">
      <c r="A5" s="265" t="s">
        <v>182</v>
      </c>
      <c r="B5" s="237" t="s">
        <v>183</v>
      </c>
      <c r="C5" s="238" t="s">
        <v>184</v>
      </c>
      <c r="D5" s="234" t="s">
        <v>823</v>
      </c>
      <c r="E5" s="234" t="s">
        <v>824</v>
      </c>
      <c r="F5" s="234" t="s">
        <v>825</v>
      </c>
      <c r="G5" s="234" t="s">
        <v>826</v>
      </c>
      <c r="H5" s="234" t="s">
        <v>827</v>
      </c>
      <c r="I5" s="234" t="s">
        <v>828</v>
      </c>
      <c r="J5" s="234" t="s">
        <v>829</v>
      </c>
      <c r="K5" s="243" t="s">
        <v>245</v>
      </c>
      <c r="L5" s="243" t="s">
        <v>246</v>
      </c>
      <c r="M5" s="243" t="s">
        <v>247</v>
      </c>
      <c r="N5" s="243" t="s">
        <v>248</v>
      </c>
      <c r="O5" s="243" t="s">
        <v>249</v>
      </c>
      <c r="P5" s="243" t="s">
        <v>250</v>
      </c>
      <c r="Q5" s="243" t="s">
        <v>251</v>
      </c>
      <c r="R5" s="266" t="s">
        <v>252</v>
      </c>
      <c r="S5" s="320" t="s">
        <v>253</v>
      </c>
      <c r="T5" s="36"/>
      <c r="U5" s="234"/>
      <c r="V5" s="36"/>
      <c r="W5" s="36"/>
      <c r="X5" s="36"/>
      <c r="Y5" s="36"/>
      <c r="Z5" s="36"/>
      <c r="AA5" s="36"/>
      <c r="AB5" s="36"/>
      <c r="AC5" s="36"/>
    </row>
    <row r="6" spans="1:29" x14ac:dyDescent="0.25">
      <c r="A6" s="244">
        <v>9257010</v>
      </c>
      <c r="B6" s="237" t="s">
        <v>205</v>
      </c>
      <c r="C6" s="238">
        <v>4</v>
      </c>
      <c r="D6" s="1024">
        <f>VLOOKUP(A6,'1819 Revised Bands'!$A$117:$R$134,10,(FALSE))</f>
        <v>5.7692307692307696E-2</v>
      </c>
      <c r="E6" s="1024">
        <f>VLOOKUP(A6,'1819 Revised Bands'!$A$117:$R$134,8,(FALSE))</f>
        <v>0.28846153846153844</v>
      </c>
      <c r="F6" s="1024">
        <f>VLOOKUP(A6,'1819 Revised Bands'!$A$117:$R$134,14,(FALSE))</f>
        <v>9.6153846153846159E-2</v>
      </c>
      <c r="G6" s="1024">
        <f>VLOOKUP(A6,'1819 Revised Bands'!$A$117:$R$134,6,(FALSE))</f>
        <v>0.11538461538461539</v>
      </c>
      <c r="H6" s="1024">
        <f>VLOOKUP(A6,'1819 Revised Bands'!$A$117:$R$134,12,(FALSE))</f>
        <v>3.8461538461538464E-2</v>
      </c>
      <c r="I6" s="1024">
        <f>VLOOKUP(A6,'1819 Revised Bands'!$A$117:$R$134,16,(FALSE))</f>
        <v>0.25</v>
      </c>
      <c r="J6" s="1024">
        <f>VLOOKUP(A6,'1819 Revised Bands'!$A$117:$R$134,18,(FALSE))</f>
        <v>0.15384615384615385</v>
      </c>
      <c r="K6" s="269">
        <v>0</v>
      </c>
      <c r="L6" s="269">
        <v>47</v>
      </c>
      <c r="M6" s="269">
        <f>L6</f>
        <v>47</v>
      </c>
      <c r="N6" s="235">
        <f t="shared" ref="N6:N23" si="0">((((K6*G6)*$G$92)+((K6*E6)*$G$94)+((K6*D6)*$G$98)+((K6*H6)*$G$100)+((K6*F6)*$G$104)))*(5/12)</f>
        <v>0</v>
      </c>
      <c r="O6" s="1025">
        <f>((((L6*D6)*$G$92)+((L6*E6)*$G$94)+((L6*F6)*$G$96)+((L6*G6)*$G$98)+((L6*H6)*$G$100)+((L6*I6)*$G$102)+((L6*J6)*$G$104))*(5/12))</f>
        <v>249127.47987378816</v>
      </c>
      <c r="P6" s="1025">
        <f t="shared" ref="P6:P23" si="1">((M6*F6)*$G$106)*(5/12)</f>
        <v>4961.7387820512822</v>
      </c>
      <c r="Q6" s="1025">
        <f>SUM(N6:P6)</f>
        <v>254089.21865583945</v>
      </c>
      <c r="R6" s="1026">
        <f>(M6*(5/12))*10000</f>
        <v>195833.33333333334</v>
      </c>
      <c r="S6" s="1026">
        <f>(VLOOKUP(A6,'1819 Funding Detail'!$A$4:$AN$23,40,FALSE)*5/12)*M6</f>
        <v>216227.9035516727</v>
      </c>
      <c r="T6" s="235"/>
      <c r="U6" s="235">
        <f>SUM(J6*L6*$G$104)*5/12</f>
        <v>67826.877277072941</v>
      </c>
      <c r="V6" s="235"/>
      <c r="W6" s="295"/>
      <c r="X6" s="36"/>
      <c r="Y6" s="36"/>
      <c r="Z6" s="235"/>
      <c r="AA6" s="36"/>
      <c r="AB6" s="36"/>
      <c r="AC6" s="36"/>
    </row>
    <row r="7" spans="1:29" ht="12.75" customHeight="1" x14ac:dyDescent="0.25">
      <c r="A7" s="244">
        <v>9257005</v>
      </c>
      <c r="B7" s="237" t="s">
        <v>208</v>
      </c>
      <c r="C7" s="238">
        <v>4</v>
      </c>
      <c r="D7" s="1024">
        <f>VLOOKUP(A7,'1819 Revised Bands'!$A$117:$R$134,10,(FALSE))</f>
        <v>9.3333333333333338E-2</v>
      </c>
      <c r="E7" s="1024">
        <f>VLOOKUP(A7,'1819 Revised Bands'!$A$117:$R$134,8,(FALSE))</f>
        <v>0.22666666666666666</v>
      </c>
      <c r="F7" s="1024">
        <f>VLOOKUP(A7,'1819 Revised Bands'!$A$117:$R$134,14,(FALSE))</f>
        <v>0.16</v>
      </c>
      <c r="G7" s="1024">
        <f>VLOOKUP(A7,'1819 Revised Bands'!$A$117:$R$134,6,(FALSE))</f>
        <v>0.13333333333333333</v>
      </c>
      <c r="H7" s="1024">
        <f>VLOOKUP(A7,'1819 Revised Bands'!$A$117:$R$134,12,(FALSE))</f>
        <v>9.3333333333333338E-2</v>
      </c>
      <c r="I7" s="1024">
        <f>VLOOKUP(A7,'1819 Revised Bands'!$A$117:$R$134,16,(FALSE))</f>
        <v>0.2</v>
      </c>
      <c r="J7" s="1024">
        <f>VLOOKUP(A7,'1819 Revised Bands'!$A$117:$R$134,18,(FALSE))</f>
        <v>9.3333333333333338E-2</v>
      </c>
      <c r="K7" s="269">
        <v>0</v>
      </c>
      <c r="L7" s="269">
        <v>45</v>
      </c>
      <c r="M7" s="269">
        <f t="shared" ref="M7:M23" si="2">L7</f>
        <v>45</v>
      </c>
      <c r="N7" s="235">
        <f t="shared" si="0"/>
        <v>0</v>
      </c>
      <c r="O7" s="1025">
        <f t="shared" ref="O7:O23" si="3">((((L7*D7)*$G$92)+((L7*E7)*$G$94)+((L7*F7)*$G$96)+((L7*G7)*$G$98)+((L7*H7)*$G$100)+((L7*I7)*$G$102)+((L7*J7)*$G$104))*(5/12))</f>
        <v>227564.52014436229</v>
      </c>
      <c r="P7" s="1025">
        <f t="shared" si="1"/>
        <v>7905</v>
      </c>
      <c r="Q7" s="1025">
        <f>SUM(N7:P7)</f>
        <v>235469.52014436229</v>
      </c>
      <c r="R7" s="1026">
        <f>(M7*(5/12))*10000</f>
        <v>187500</v>
      </c>
      <c r="S7" s="1026">
        <f>(VLOOKUP(A7,'1819 Funding Detail'!$A$4:$AN$23,40,FALSE)*5/12)*M7</f>
        <v>163617.44440404332</v>
      </c>
      <c r="T7" s="235"/>
      <c r="U7" s="235">
        <f t="shared" ref="U7:U23" si="4">SUM(J7*L7*$G$104)*5/12</f>
        <v>39397.313822640252</v>
      </c>
      <c r="V7" s="297"/>
      <c r="W7" s="296"/>
      <c r="X7" s="36"/>
      <c r="Y7" s="36"/>
      <c r="Z7" s="235"/>
      <c r="AA7" s="234"/>
      <c r="AB7" s="36"/>
      <c r="AC7" s="36"/>
    </row>
    <row r="8" spans="1:29" ht="12.75" customHeight="1" x14ac:dyDescent="0.25">
      <c r="A8" s="244">
        <v>9257025</v>
      </c>
      <c r="B8" s="237" t="s">
        <v>209</v>
      </c>
      <c r="C8" s="238">
        <v>4</v>
      </c>
      <c r="D8" s="1024">
        <f>VLOOKUP(A8,'1819 Revised Bands'!$A$117:$R$134,10,(FALSE))</f>
        <v>0.17910447761194029</v>
      </c>
      <c r="E8" s="1024">
        <f>VLOOKUP(A8,'1819 Revised Bands'!$A$117:$R$134,8,(FALSE))</f>
        <v>0.26865671641791045</v>
      </c>
      <c r="F8" s="1024">
        <f>VLOOKUP(A8,'1819 Revised Bands'!$A$117:$R$134,14,(FALSE))</f>
        <v>0.14925373134328357</v>
      </c>
      <c r="G8" s="1024">
        <f>VLOOKUP(A8,'1819 Revised Bands'!$A$117:$R$134,6,(FALSE))</f>
        <v>4.4776119402985072E-2</v>
      </c>
      <c r="H8" s="1024">
        <f>VLOOKUP(A8,'1819 Revised Bands'!$A$117:$R$134,12,(FALSE))</f>
        <v>0.14925373134328357</v>
      </c>
      <c r="I8" s="1024">
        <f>VLOOKUP(A8,'1819 Revised Bands'!$A$117:$R$134,16,(FALSE))</f>
        <v>0.11940298507462686</v>
      </c>
      <c r="J8" s="1024">
        <f>VLOOKUP(A8,'1819 Revised Bands'!$A$117:$R$134,18,(FALSE))</f>
        <v>8.9552238805970144E-2</v>
      </c>
      <c r="K8" s="269">
        <v>0</v>
      </c>
      <c r="L8" s="269">
        <v>47</v>
      </c>
      <c r="M8" s="269">
        <f t="shared" si="2"/>
        <v>47</v>
      </c>
      <c r="N8" s="235">
        <f t="shared" si="0"/>
        <v>0</v>
      </c>
      <c r="O8" s="1025">
        <f t="shared" si="3"/>
        <v>216467.80906257842</v>
      </c>
      <c r="P8" s="1025">
        <f t="shared" si="1"/>
        <v>7701.8034825870645</v>
      </c>
      <c r="Q8" s="1025">
        <f t="shared" ref="Q8:Q23" si="5">SUM(N8:P8)</f>
        <v>224169.6125451655</v>
      </c>
      <c r="R8" s="1026">
        <f t="shared" ref="R8:R23" si="6">(M8*(5/12))*10000</f>
        <v>195833.33333333334</v>
      </c>
      <c r="S8" s="1026">
        <f>(VLOOKUP(A8,'1819 Funding Detail'!$A$4:$AN$23,40,FALSE)*5/12)*M8</f>
        <v>162699.74898513185</v>
      </c>
      <c r="T8" s="235"/>
      <c r="U8" s="235">
        <f t="shared" si="4"/>
        <v>39481.316623967839</v>
      </c>
      <c r="V8" s="297"/>
      <c r="W8" s="380"/>
      <c r="X8" s="380"/>
      <c r="Y8" s="380"/>
      <c r="Z8" s="380"/>
      <c r="AA8" s="380"/>
      <c r="AB8" s="380"/>
      <c r="AC8" s="380"/>
    </row>
    <row r="9" spans="1:29" x14ac:dyDescent="0.25">
      <c r="A9" s="244">
        <v>9257011</v>
      </c>
      <c r="B9" s="237" t="s">
        <v>210</v>
      </c>
      <c r="C9" s="238">
        <v>4</v>
      </c>
      <c r="D9" s="1024">
        <f>VLOOKUP(A9,'1819 Revised Bands'!$A$117:$R$134,10,(FALSE))</f>
        <v>0.1111111111111111</v>
      </c>
      <c r="E9" s="1024">
        <f>VLOOKUP(A9,'1819 Revised Bands'!$A$117:$R$134,8,(FALSE))</f>
        <v>0.31481481481481483</v>
      </c>
      <c r="F9" s="1024">
        <f>VLOOKUP(A9,'1819 Revised Bands'!$A$117:$R$134,14,(FALSE))</f>
        <v>5.5555555555555552E-2</v>
      </c>
      <c r="G9" s="1024">
        <f>VLOOKUP(A9,'1819 Revised Bands'!$A$117:$R$134,6,(FALSE))</f>
        <v>0.12962962962962962</v>
      </c>
      <c r="H9" s="1024">
        <f>VLOOKUP(A9,'1819 Revised Bands'!$A$117:$R$134,12,(FALSE))</f>
        <v>0.14814814814814814</v>
      </c>
      <c r="I9" s="1024">
        <f>VLOOKUP(A9,'1819 Revised Bands'!$A$117:$R$134,16,(FALSE))</f>
        <v>0.12962962962962962</v>
      </c>
      <c r="J9" s="1024">
        <f>VLOOKUP(A9,'1819 Revised Bands'!$A$117:$R$134,18,(FALSE))</f>
        <v>0.1111111111111111</v>
      </c>
      <c r="K9" s="269">
        <v>0</v>
      </c>
      <c r="L9" s="269">
        <v>41</v>
      </c>
      <c r="M9" s="269">
        <f t="shared" si="2"/>
        <v>41</v>
      </c>
      <c r="N9" s="235">
        <f t="shared" si="0"/>
        <v>0</v>
      </c>
      <c r="O9" s="1025">
        <f t="shared" si="3"/>
        <v>200447.3614078906</v>
      </c>
      <c r="P9" s="1025">
        <f t="shared" si="1"/>
        <v>2500.8101851851852</v>
      </c>
      <c r="Q9" s="1025">
        <f t="shared" si="5"/>
        <v>202948.17159307579</v>
      </c>
      <c r="R9" s="1026">
        <f t="shared" si="6"/>
        <v>170833.33333333334</v>
      </c>
      <c r="S9" s="1026">
        <f>(VLOOKUP(A9,'1819 Funding Detail'!$A$4:$AN$23,40,FALSE)*5/12)*M9</f>
        <v>159940.50553115029</v>
      </c>
      <c r="T9" s="235"/>
      <c r="U9" s="235">
        <f t="shared" si="4"/>
        <v>42732.536156832015</v>
      </c>
      <c r="V9" s="297"/>
      <c r="W9" s="380"/>
      <c r="X9" s="380"/>
      <c r="Y9" s="380"/>
      <c r="Z9" s="380"/>
      <c r="AA9" s="380"/>
      <c r="AB9" s="380"/>
      <c r="AC9" s="380"/>
    </row>
    <row r="10" spans="1:29" x14ac:dyDescent="0.25">
      <c r="A10" s="244">
        <v>9257024</v>
      </c>
      <c r="B10" s="237" t="s">
        <v>211</v>
      </c>
      <c r="C10" s="238">
        <v>3</v>
      </c>
      <c r="D10" s="1024">
        <f>VLOOKUP(A10,'1819 Revised Bands'!$A$117:$R$134,10,(FALSE))</f>
        <v>0.11594202898550725</v>
      </c>
      <c r="E10" s="1024">
        <f>VLOOKUP(A10,'1819 Revised Bands'!$A$117:$R$134,8,(FALSE))</f>
        <v>0.34782608695652173</v>
      </c>
      <c r="F10" s="1024">
        <f>VLOOKUP(A10,'1819 Revised Bands'!$A$117:$R$134,14,(FALSE))</f>
        <v>5.7971014492753624E-2</v>
      </c>
      <c r="G10" s="1024">
        <f>VLOOKUP(A10,'1819 Revised Bands'!$A$117:$R$134,6,(FALSE))</f>
        <v>8.6956521739130432E-2</v>
      </c>
      <c r="H10" s="1024">
        <f>VLOOKUP(A10,'1819 Revised Bands'!$A$117:$R$134,12,(FALSE))</f>
        <v>0.15942028985507245</v>
      </c>
      <c r="I10" s="1024">
        <f>VLOOKUP(A10,'1819 Revised Bands'!$A$117:$R$134,16,(FALSE))</f>
        <v>0.10144927536231885</v>
      </c>
      <c r="J10" s="1024">
        <f>VLOOKUP(A10,'1819 Revised Bands'!$A$117:$R$134,18,(FALSE))</f>
        <v>0.13043478260869565</v>
      </c>
      <c r="K10" s="269">
        <v>0</v>
      </c>
      <c r="L10" s="269">
        <v>58</v>
      </c>
      <c r="M10" s="269">
        <f t="shared" si="2"/>
        <v>58</v>
      </c>
      <c r="N10" s="235">
        <f t="shared" si="0"/>
        <v>0</v>
      </c>
      <c r="O10" s="1025">
        <f t="shared" si="3"/>
        <v>280089.83803104534</v>
      </c>
      <c r="P10" s="1025">
        <f t="shared" si="1"/>
        <v>3691.5458937198068</v>
      </c>
      <c r="Q10" s="1025">
        <f t="shared" si="5"/>
        <v>283781.38392476516</v>
      </c>
      <c r="R10" s="1026">
        <f t="shared" si="6"/>
        <v>241666.66666666669</v>
      </c>
      <c r="S10" s="1026">
        <f>(VLOOKUP(A10,'1819 Funding Detail'!$A$4:$AN$23,40,FALSE)*5/12)*M10</f>
        <v>190026.55300420083</v>
      </c>
      <c r="T10" s="235"/>
      <c r="U10" s="235">
        <f t="shared" si="4"/>
        <v>70964.105643265051</v>
      </c>
      <c r="V10" s="297"/>
      <c r="W10" s="380"/>
      <c r="X10" s="380"/>
      <c r="Y10" s="380"/>
      <c r="Z10" s="380"/>
      <c r="AA10" s="380"/>
      <c r="AB10" s="380"/>
      <c r="AC10" s="380"/>
    </row>
    <row r="11" spans="1:29" ht="12.75" customHeight="1" x14ac:dyDescent="0.25">
      <c r="A11" s="244">
        <v>9257031</v>
      </c>
      <c r="B11" s="237" t="s">
        <v>257</v>
      </c>
      <c r="C11" s="238">
        <v>4</v>
      </c>
      <c r="D11" s="1024">
        <f>VLOOKUP(A11,'1819 Revised Bands'!$A$117:$R$134,10,(FALSE))</f>
        <v>0</v>
      </c>
      <c r="E11" s="1024">
        <f>VLOOKUP(A11,'1819 Revised Bands'!$A$117:$R$134,8,(FALSE))</f>
        <v>0</v>
      </c>
      <c r="F11" s="1024">
        <f>VLOOKUP(A11,'1819 Revised Bands'!$A$117:$R$134,14,(FALSE))</f>
        <v>1</v>
      </c>
      <c r="G11" s="1024">
        <f>VLOOKUP(A11,'1819 Revised Bands'!$A$117:$R$134,6,(FALSE))</f>
        <v>0</v>
      </c>
      <c r="H11" s="1024">
        <f>VLOOKUP(A11,'1819 Revised Bands'!$A$117:$R$134,12,(FALSE))</f>
        <v>0</v>
      </c>
      <c r="I11" s="1024">
        <f>VLOOKUP(A11,'1819 Revised Bands'!$A$117:$R$134,16,(FALSE))</f>
        <v>0</v>
      </c>
      <c r="J11" s="1024">
        <f>VLOOKUP(A11,'1819 Revised Bands'!$A$117:$R$134,18,(FALSE))</f>
        <v>0</v>
      </c>
      <c r="K11" s="269">
        <v>0</v>
      </c>
      <c r="L11" s="269">
        <v>70</v>
      </c>
      <c r="M11" s="269">
        <f t="shared" si="2"/>
        <v>70</v>
      </c>
      <c r="N11" s="235">
        <f t="shared" si="0"/>
        <v>0</v>
      </c>
      <c r="O11" s="1025">
        <f t="shared" si="3"/>
        <v>328516.19258454861</v>
      </c>
      <c r="P11" s="1025">
        <f t="shared" si="1"/>
        <v>76854.166666666672</v>
      </c>
      <c r="Q11" s="1025">
        <f t="shared" si="5"/>
        <v>405370.3592512153</v>
      </c>
      <c r="R11" s="1026">
        <f t="shared" si="6"/>
        <v>291666.66666666669</v>
      </c>
      <c r="S11" s="1026">
        <f>(VLOOKUP(A11,'1819 Funding Detail'!$A$4:$AN$23,40,FALSE)*5/12)*M11</f>
        <v>301113.06690461282</v>
      </c>
      <c r="T11" s="235"/>
      <c r="U11" s="235">
        <f t="shared" si="4"/>
        <v>0</v>
      </c>
      <c r="V11" s="297"/>
      <c r="W11" s="380"/>
      <c r="X11" s="380"/>
      <c r="Y11" s="380"/>
      <c r="Z11" s="380"/>
      <c r="AA11" s="380"/>
      <c r="AB11" s="380"/>
      <c r="AC11" s="380"/>
    </row>
    <row r="12" spans="1:29" x14ac:dyDescent="0.25">
      <c r="A12" s="244">
        <v>9257033</v>
      </c>
      <c r="B12" s="237" t="s">
        <v>220</v>
      </c>
      <c r="C12" s="238">
        <v>3</v>
      </c>
      <c r="D12" s="1024">
        <f>VLOOKUP(A12,'1819 Revised Bands'!$A$117:$R$134,10,(FALSE))</f>
        <v>0.31395348837209303</v>
      </c>
      <c r="E12" s="1024">
        <f>VLOOKUP(A12,'1819 Revised Bands'!$A$117:$R$134,8,(FALSE))</f>
        <v>0.19767441860465115</v>
      </c>
      <c r="F12" s="1024">
        <f>VLOOKUP(A12,'1819 Revised Bands'!$A$117:$R$134,14,(FALSE))</f>
        <v>0.22093023255813954</v>
      </c>
      <c r="G12" s="1024">
        <f>VLOOKUP(A12,'1819 Revised Bands'!$A$117:$R$134,6,(FALSE))</f>
        <v>6.9767441860465115E-2</v>
      </c>
      <c r="H12" s="1024">
        <f>VLOOKUP(A12,'1819 Revised Bands'!$A$117:$R$134,12,(FALSE))</f>
        <v>0.10465116279069768</v>
      </c>
      <c r="I12" s="1024">
        <f>VLOOKUP(A12,'1819 Revised Bands'!$A$117:$R$134,16,(FALSE))</f>
        <v>9.3023255813953487E-2</v>
      </c>
      <c r="J12" s="1024">
        <f>VLOOKUP(A12,'1819 Revised Bands'!$A$117:$R$134,18,(FALSE))</f>
        <v>0</v>
      </c>
      <c r="K12" s="269">
        <v>0</v>
      </c>
      <c r="L12" s="269">
        <v>85</v>
      </c>
      <c r="M12" s="269">
        <f t="shared" si="2"/>
        <v>85</v>
      </c>
      <c r="N12" s="235">
        <f t="shared" si="0"/>
        <v>0</v>
      </c>
      <c r="O12" s="1025">
        <f t="shared" si="3"/>
        <v>335298.50821188255</v>
      </c>
      <c r="P12" s="1025">
        <f t="shared" si="1"/>
        <v>20617.853682170546</v>
      </c>
      <c r="Q12" s="1025">
        <f t="shared" si="5"/>
        <v>355916.36189405312</v>
      </c>
      <c r="R12" s="1026">
        <f t="shared" si="6"/>
        <v>354166.66666666669</v>
      </c>
      <c r="S12" s="1026">
        <f>(VLOOKUP(A12,'1819 Funding Detail'!$A$4:$AN$23,40,FALSE)*5/12)*M12</f>
        <v>184607.92013444955</v>
      </c>
      <c r="T12" s="235"/>
      <c r="U12" s="235">
        <f t="shared" si="4"/>
        <v>0</v>
      </c>
      <c r="V12" s="297"/>
      <c r="W12" s="380"/>
      <c r="X12" s="380"/>
      <c r="Y12" s="380"/>
      <c r="Z12" s="380"/>
      <c r="AA12" s="380"/>
      <c r="AB12" s="380"/>
      <c r="AC12" s="380"/>
    </row>
    <row r="13" spans="1:29" x14ac:dyDescent="0.25">
      <c r="A13" s="244">
        <v>9257008</v>
      </c>
      <c r="B13" s="237" t="s">
        <v>212</v>
      </c>
      <c r="C13" s="238">
        <v>4</v>
      </c>
      <c r="D13" s="1024">
        <f>VLOOKUP(A13,'1819 Revised Bands'!$A$117:$R$134,10,(FALSE))</f>
        <v>4.3956043956043959E-2</v>
      </c>
      <c r="E13" s="1024">
        <f>VLOOKUP(A13,'1819 Revised Bands'!$A$117:$R$134,8,(FALSE))</f>
        <v>0.61538461538461542</v>
      </c>
      <c r="F13" s="1024">
        <f>VLOOKUP(A13,'1819 Revised Bands'!$A$117:$R$134,14,(FALSE))</f>
        <v>0.15384615384615385</v>
      </c>
      <c r="G13" s="1024">
        <f>VLOOKUP(A13,'1819 Revised Bands'!$A$117:$R$134,6,(FALSE))</f>
        <v>2.197802197802198E-2</v>
      </c>
      <c r="H13" s="1024">
        <f>VLOOKUP(A13,'1819 Revised Bands'!$A$117:$R$134,12,(FALSE))</f>
        <v>2.197802197802198E-2</v>
      </c>
      <c r="I13" s="1024">
        <f>VLOOKUP(A13,'1819 Revised Bands'!$A$117:$R$134,16,(FALSE))</f>
        <v>0.14285714285714285</v>
      </c>
      <c r="J13" s="1024">
        <f>VLOOKUP(A13,'1819 Revised Bands'!$A$117:$R$134,18,(FALSE))</f>
        <v>0</v>
      </c>
      <c r="K13" s="269">
        <v>0</v>
      </c>
      <c r="L13" s="269">
        <v>90</v>
      </c>
      <c r="M13" s="269">
        <f t="shared" si="2"/>
        <v>90</v>
      </c>
      <c r="N13" s="235">
        <f t="shared" si="0"/>
        <v>0</v>
      </c>
      <c r="O13" s="1025">
        <f t="shared" si="3"/>
        <v>334820.62013137911</v>
      </c>
      <c r="P13" s="1025">
        <f t="shared" si="1"/>
        <v>15201.923076923076</v>
      </c>
      <c r="Q13" s="1025">
        <f t="shared" si="5"/>
        <v>350022.54320830217</v>
      </c>
      <c r="R13" s="1026">
        <f t="shared" si="6"/>
        <v>375000</v>
      </c>
      <c r="S13" s="1026">
        <f>(VLOOKUP(A13,'1819 Funding Detail'!$A$4:$AN$23,40,FALSE)*5/12)*M13</f>
        <v>160778.0633876744</v>
      </c>
      <c r="T13" s="235"/>
      <c r="U13" s="235">
        <f t="shared" si="4"/>
        <v>0</v>
      </c>
      <c r="V13" s="297"/>
      <c r="W13" s="380"/>
      <c r="X13" s="380"/>
      <c r="Y13" s="380"/>
      <c r="Z13" s="380"/>
      <c r="AA13" s="380"/>
      <c r="AB13" s="380"/>
      <c r="AC13" s="380"/>
    </row>
    <row r="14" spans="1:29" x14ac:dyDescent="0.25">
      <c r="A14" s="244">
        <v>9257034</v>
      </c>
      <c r="B14" s="237" t="s">
        <v>221</v>
      </c>
      <c r="C14" s="238">
        <v>5</v>
      </c>
      <c r="D14" s="1024">
        <f>VLOOKUP(A14,'1819 Revised Bands'!$A$117:$R$134,10,(FALSE))</f>
        <v>0.42105263157894735</v>
      </c>
      <c r="E14" s="1024">
        <f>VLOOKUP(A14,'1819 Revised Bands'!$A$117:$R$134,8,(FALSE))</f>
        <v>0.16666666666666666</v>
      </c>
      <c r="F14" s="1024">
        <f>VLOOKUP(A14,'1819 Revised Bands'!$A$117:$R$134,14,(FALSE))</f>
        <v>0.26315789473684209</v>
      </c>
      <c r="G14" s="1024">
        <f>VLOOKUP(A14,'1819 Revised Bands'!$A$117:$R$134,6,(FALSE))</f>
        <v>4.3859649122807015E-2</v>
      </c>
      <c r="H14" s="1024">
        <f>VLOOKUP(A14,'1819 Revised Bands'!$A$117:$R$134,12,(FALSE))</f>
        <v>3.5087719298245612E-2</v>
      </c>
      <c r="I14" s="1024">
        <f>VLOOKUP(A14,'1819 Revised Bands'!$A$117:$R$134,16,(FALSE))</f>
        <v>4.3859649122807015E-2</v>
      </c>
      <c r="J14" s="1024">
        <f>VLOOKUP(A14,'1819 Revised Bands'!$A$117:$R$134,18,(FALSE))</f>
        <v>2.6315789473684209E-2</v>
      </c>
      <c r="K14" s="269">
        <v>0</v>
      </c>
      <c r="L14" s="269">
        <v>82</v>
      </c>
      <c r="M14" s="269">
        <f t="shared" si="2"/>
        <v>82</v>
      </c>
      <c r="N14" s="235">
        <f t="shared" si="0"/>
        <v>0</v>
      </c>
      <c r="O14" s="1025">
        <f t="shared" si="3"/>
        <v>303058.50276049814</v>
      </c>
      <c r="P14" s="1025">
        <f t="shared" si="1"/>
        <v>23691.885964912282</v>
      </c>
      <c r="Q14" s="1025">
        <f t="shared" si="5"/>
        <v>326750.38872541045</v>
      </c>
      <c r="R14" s="1026">
        <f t="shared" si="6"/>
        <v>341666.66666666669</v>
      </c>
      <c r="S14" s="1026">
        <f>(VLOOKUP(A14,'1819 Funding Detail'!$A$4:$AN$23,40,FALSE)*5/12)*M14</f>
        <v>133617.75330874368</v>
      </c>
      <c r="T14" s="235"/>
      <c r="U14" s="235">
        <f t="shared" si="4"/>
        <v>20241.727653236219</v>
      </c>
      <c r="V14" s="297"/>
      <c r="W14" s="380"/>
      <c r="X14" s="380"/>
      <c r="Y14" s="380"/>
      <c r="Z14" s="380"/>
      <c r="AA14" s="380"/>
      <c r="AB14" s="380"/>
      <c r="AC14" s="380"/>
    </row>
    <row r="15" spans="1:29" x14ac:dyDescent="0.25">
      <c r="A15" s="244">
        <v>9257002</v>
      </c>
      <c r="B15" s="237" t="s">
        <v>213</v>
      </c>
      <c r="C15" s="238">
        <v>5</v>
      </c>
      <c r="D15" s="1024">
        <f>VLOOKUP(A15,'1819 Revised Bands'!$A$117:$R$134,10,(FALSE))</f>
        <v>0.53237410071942448</v>
      </c>
      <c r="E15" s="1024">
        <f>VLOOKUP(A15,'1819 Revised Bands'!$A$117:$R$134,8,(FALSE))</f>
        <v>0.12949640287769784</v>
      </c>
      <c r="F15" s="1024">
        <f>VLOOKUP(A15,'1819 Revised Bands'!$A$117:$R$134,14,(FALSE))</f>
        <v>0.18705035971223022</v>
      </c>
      <c r="G15" s="1024">
        <f>VLOOKUP(A15,'1819 Revised Bands'!$A$117:$R$134,6,(FALSE))</f>
        <v>7.1942446043165471E-3</v>
      </c>
      <c r="H15" s="1024">
        <f>VLOOKUP(A15,'1819 Revised Bands'!$A$117:$R$134,12,(FALSE))</f>
        <v>6.4748201438848921E-2</v>
      </c>
      <c r="I15" s="1024">
        <f>VLOOKUP(A15,'1819 Revised Bands'!$A$117:$R$134,16,(FALSE))</f>
        <v>7.1942446043165464E-2</v>
      </c>
      <c r="J15" s="1024">
        <f>VLOOKUP(A15,'1819 Revised Bands'!$A$117:$R$134,18,(FALSE))</f>
        <v>7.1942446043165471E-3</v>
      </c>
      <c r="K15" s="269">
        <v>0</v>
      </c>
      <c r="L15" s="269">
        <v>142</v>
      </c>
      <c r="M15" s="269">
        <f t="shared" si="2"/>
        <v>142</v>
      </c>
      <c r="N15" s="235">
        <f t="shared" si="0"/>
        <v>0</v>
      </c>
      <c r="O15" s="1025">
        <f t="shared" si="3"/>
        <v>490328.01679392811</v>
      </c>
      <c r="P15" s="1025">
        <f t="shared" si="1"/>
        <v>29161.930455635498</v>
      </c>
      <c r="Q15" s="1025">
        <f t="shared" si="5"/>
        <v>519489.94724956359</v>
      </c>
      <c r="R15" s="1026">
        <f t="shared" si="6"/>
        <v>591666.66666666674</v>
      </c>
      <c r="S15" s="1026">
        <f>(VLOOKUP(A15,'1819 Funding Detail'!$A$4:$AN$23,40,FALSE)*5/12)*M15</f>
        <v>144290.23372608674</v>
      </c>
      <c r="T15" s="235"/>
      <c r="U15" s="235">
        <f t="shared" si="4"/>
        <v>9582.7656094808426</v>
      </c>
      <c r="V15" s="297"/>
      <c r="W15" s="380"/>
      <c r="X15" s="380"/>
      <c r="Y15" s="380"/>
      <c r="Z15" s="380"/>
      <c r="AA15" s="380"/>
      <c r="AB15" s="380"/>
      <c r="AC15" s="380"/>
    </row>
    <row r="16" spans="1:29" x14ac:dyDescent="0.25">
      <c r="A16" s="244">
        <v>9257009</v>
      </c>
      <c r="B16" s="237" t="s">
        <v>214</v>
      </c>
      <c r="C16" s="238">
        <v>4</v>
      </c>
      <c r="D16" s="1024">
        <f>VLOOKUP(A16,'1819 Revised Bands'!$A$117:$R$134,10,(FALSE))</f>
        <v>0.1484375</v>
      </c>
      <c r="E16" s="1024">
        <f>VLOOKUP(A16,'1819 Revised Bands'!$A$117:$R$134,8,(FALSE))</f>
        <v>0.46875</v>
      </c>
      <c r="F16" s="1024">
        <f>VLOOKUP(A16,'1819 Revised Bands'!$A$117:$R$134,14,(FALSE))</f>
        <v>0.125</v>
      </c>
      <c r="G16" s="1024">
        <f>VLOOKUP(A16,'1819 Revised Bands'!$A$117:$R$134,6,(FALSE))</f>
        <v>0</v>
      </c>
      <c r="H16" s="1024">
        <f>VLOOKUP(A16,'1819 Revised Bands'!$A$117:$R$134,12,(FALSE))</f>
        <v>3.125E-2</v>
      </c>
      <c r="I16" s="1024">
        <f>VLOOKUP(A16,'1819 Revised Bands'!$A$117:$R$134,16,(FALSE))</f>
        <v>0.2265625</v>
      </c>
      <c r="J16" s="1024">
        <f>VLOOKUP(A16,'1819 Revised Bands'!$A$117:$R$134,18,(FALSE))</f>
        <v>0</v>
      </c>
      <c r="K16" s="269">
        <v>0</v>
      </c>
      <c r="L16" s="269">
        <v>129</v>
      </c>
      <c r="M16" s="269">
        <f t="shared" si="2"/>
        <v>129</v>
      </c>
      <c r="N16" s="235">
        <f t="shared" si="0"/>
        <v>0</v>
      </c>
      <c r="O16" s="1025">
        <f t="shared" si="3"/>
        <v>498231.85835514392</v>
      </c>
      <c r="P16" s="1025">
        <f t="shared" si="1"/>
        <v>17703.90625</v>
      </c>
      <c r="Q16" s="1025">
        <f t="shared" si="5"/>
        <v>515935.76460514392</v>
      </c>
      <c r="R16" s="1026">
        <f t="shared" si="6"/>
        <v>537500</v>
      </c>
      <c r="S16" s="1026">
        <f>(VLOOKUP(A16,'1819 Funding Detail'!$A$4:$AN$23,40,FALSE)*5/12)*M16</f>
        <v>188762.38627392572</v>
      </c>
      <c r="T16" s="235"/>
      <c r="U16" s="235">
        <f t="shared" si="4"/>
        <v>0</v>
      </c>
      <c r="V16" s="297"/>
      <c r="W16" s="380"/>
      <c r="X16" s="380"/>
      <c r="Y16" s="380"/>
      <c r="Z16" s="380"/>
      <c r="AA16" s="380"/>
      <c r="AB16" s="380"/>
      <c r="AC16" s="380"/>
    </row>
    <row r="17" spans="1:26" x14ac:dyDescent="0.25">
      <c r="A17" s="244">
        <v>9257029</v>
      </c>
      <c r="B17" s="237" t="s">
        <v>259</v>
      </c>
      <c r="C17" s="238">
        <v>3</v>
      </c>
      <c r="D17" s="1024">
        <f>VLOOKUP(A17,'1819 Revised Bands'!$A$117:$R$134,10,(FALSE))</f>
        <v>0</v>
      </c>
      <c r="E17" s="1024">
        <f>VLOOKUP(A17,'1819 Revised Bands'!$A$117:$R$134,8,(FALSE))</f>
        <v>0</v>
      </c>
      <c r="F17" s="1024">
        <f>VLOOKUP(A17,'1819 Revised Bands'!$A$117:$R$134,14,(FALSE))</f>
        <v>1</v>
      </c>
      <c r="G17" s="1024">
        <f>VLOOKUP(A17,'1819 Revised Bands'!$A$117:$R$134,6,(FALSE))</f>
        <v>0</v>
      </c>
      <c r="H17" s="1024">
        <f>VLOOKUP(A17,'1819 Revised Bands'!$A$117:$R$134,12,(FALSE))</f>
        <v>0</v>
      </c>
      <c r="I17" s="1024">
        <f>VLOOKUP(A17,'1819 Revised Bands'!$A$117:$R$134,16,(FALSE))</f>
        <v>0</v>
      </c>
      <c r="J17" s="1024">
        <f>VLOOKUP(A17,'1819 Revised Bands'!$A$117:$R$134,18,(FALSE))</f>
        <v>0</v>
      </c>
      <c r="K17" s="269">
        <v>0</v>
      </c>
      <c r="L17" s="269">
        <v>43</v>
      </c>
      <c r="M17" s="269">
        <f t="shared" si="2"/>
        <v>43</v>
      </c>
      <c r="N17" s="235">
        <f t="shared" si="0"/>
        <v>0</v>
      </c>
      <c r="O17" s="1025">
        <f t="shared" si="3"/>
        <v>201802.80401622274</v>
      </c>
      <c r="P17" s="1025">
        <f t="shared" si="1"/>
        <v>47210.416666666672</v>
      </c>
      <c r="Q17" s="1025">
        <f t="shared" si="5"/>
        <v>249013.2206828894</v>
      </c>
      <c r="R17" s="1026">
        <f t="shared" si="6"/>
        <v>179166.66666666669</v>
      </c>
      <c r="S17" s="1026">
        <f>(VLOOKUP(A17,'1819 Funding Detail'!$A$4:$AN$23,40,FALSE)*5/12)*M17</f>
        <v>225420.66578231775</v>
      </c>
      <c r="T17" s="235"/>
      <c r="U17" s="235">
        <f t="shared" si="4"/>
        <v>0</v>
      </c>
      <c r="V17" s="297"/>
      <c r="W17" s="296"/>
      <c r="X17" s="36"/>
      <c r="Y17" s="36"/>
      <c r="Z17" s="235"/>
    </row>
    <row r="18" spans="1:26" x14ac:dyDescent="0.25">
      <c r="A18" s="244">
        <v>9257032</v>
      </c>
      <c r="B18" s="237" t="s">
        <v>261</v>
      </c>
      <c r="C18" s="238">
        <v>4</v>
      </c>
      <c r="D18" s="1024">
        <f>VLOOKUP(A18,'1819 Revised Bands'!$A$117:$R$134,10,(FALSE))</f>
        <v>0</v>
      </c>
      <c r="E18" s="1024">
        <f>VLOOKUP(A18,'1819 Revised Bands'!$A$117:$R$134,8,(FALSE))</f>
        <v>0</v>
      </c>
      <c r="F18" s="1024">
        <f>VLOOKUP(A18,'1819 Revised Bands'!$A$117:$R$134,14,(FALSE))</f>
        <v>1</v>
      </c>
      <c r="G18" s="1024">
        <f>VLOOKUP(A18,'1819 Revised Bands'!$A$117:$R$134,6,(FALSE))</f>
        <v>0</v>
      </c>
      <c r="H18" s="1024">
        <f>VLOOKUP(A18,'1819 Revised Bands'!$A$117:$R$134,12,(FALSE))</f>
        <v>0</v>
      </c>
      <c r="I18" s="1024">
        <f>VLOOKUP(A18,'1819 Revised Bands'!$A$117:$R$134,16,(FALSE))</f>
        <v>0</v>
      </c>
      <c r="J18" s="1024">
        <f>VLOOKUP(A18,'1819 Revised Bands'!$A$117:$R$134,18,(FALSE))</f>
        <v>0</v>
      </c>
      <c r="K18" s="269">
        <v>0</v>
      </c>
      <c r="L18" s="269">
        <v>60</v>
      </c>
      <c r="M18" s="269">
        <f t="shared" si="2"/>
        <v>60</v>
      </c>
      <c r="N18" s="235">
        <f t="shared" si="0"/>
        <v>0</v>
      </c>
      <c r="O18" s="1025">
        <f t="shared" si="3"/>
        <v>281585.3079296131</v>
      </c>
      <c r="P18" s="1025">
        <f t="shared" si="1"/>
        <v>65875</v>
      </c>
      <c r="Q18" s="1025">
        <f t="shared" si="5"/>
        <v>347460.3079296131</v>
      </c>
      <c r="R18" s="1026">
        <f t="shared" si="6"/>
        <v>250000</v>
      </c>
      <c r="S18" s="1026">
        <f>(VLOOKUP(A18,'1819 Funding Detail'!$A$4:$AN$23,40,FALSE)*5/12)*M18</f>
        <v>267082.29650472465</v>
      </c>
      <c r="T18" s="235"/>
      <c r="U18" s="235">
        <f t="shared" si="4"/>
        <v>0</v>
      </c>
      <c r="V18" s="235"/>
      <c r="W18" s="36"/>
      <c r="X18" s="36"/>
      <c r="Y18" s="36"/>
      <c r="Z18" s="235"/>
    </row>
    <row r="19" spans="1:26" x14ac:dyDescent="0.25">
      <c r="A19" s="244">
        <v>9257030</v>
      </c>
      <c r="B19" s="237" t="s">
        <v>262</v>
      </c>
      <c r="C19" s="238">
        <v>4</v>
      </c>
      <c r="D19" s="1024">
        <f>VLOOKUP(A19,'1819 Revised Bands'!$A$117:$R$134,10,(FALSE))</f>
        <v>0</v>
      </c>
      <c r="E19" s="1024">
        <f>VLOOKUP(A19,'1819 Revised Bands'!$A$117:$R$134,8,(FALSE))</f>
        <v>0</v>
      </c>
      <c r="F19" s="1024">
        <f>VLOOKUP(A19,'1819 Revised Bands'!$A$117:$R$134,14,(FALSE))</f>
        <v>1</v>
      </c>
      <c r="G19" s="1024">
        <f>VLOOKUP(A19,'1819 Revised Bands'!$A$117:$R$134,6,(FALSE))</f>
        <v>0</v>
      </c>
      <c r="H19" s="1024">
        <f>VLOOKUP(A19,'1819 Revised Bands'!$A$117:$R$134,12,(FALSE))</f>
        <v>0</v>
      </c>
      <c r="I19" s="1024">
        <f>VLOOKUP(A19,'1819 Revised Bands'!$A$117:$R$134,16,(FALSE))</f>
        <v>0</v>
      </c>
      <c r="J19" s="1024">
        <f>VLOOKUP(A19,'1819 Revised Bands'!$A$117:$R$134,18,(FALSE))</f>
        <v>0</v>
      </c>
      <c r="K19" s="269">
        <v>0</v>
      </c>
      <c r="L19" s="269">
        <v>70</v>
      </c>
      <c r="M19" s="269">
        <f t="shared" si="2"/>
        <v>70</v>
      </c>
      <c r="N19" s="235">
        <f t="shared" si="0"/>
        <v>0</v>
      </c>
      <c r="O19" s="1025">
        <f t="shared" si="3"/>
        <v>328516.19258454861</v>
      </c>
      <c r="P19" s="1025">
        <f t="shared" si="1"/>
        <v>76854.166666666672</v>
      </c>
      <c r="Q19" s="1025">
        <f t="shared" si="5"/>
        <v>405370.3592512153</v>
      </c>
      <c r="R19" s="1026">
        <f t="shared" si="6"/>
        <v>291666.66666666669</v>
      </c>
      <c r="S19" s="1026">
        <f>(VLOOKUP(A19,'1819 Funding Detail'!$A$4:$AN$23,40,FALSE)*5/12)*M19</f>
        <v>308047.5936829524</v>
      </c>
      <c r="T19" s="235"/>
      <c r="U19" s="235">
        <f t="shared" si="4"/>
        <v>0</v>
      </c>
      <c r="V19" s="235"/>
      <c r="W19" s="36"/>
      <c r="X19" s="36"/>
      <c r="Y19" s="36"/>
      <c r="Z19" s="235"/>
    </row>
    <row r="20" spans="1:26" x14ac:dyDescent="0.25">
      <c r="A20" s="244">
        <v>9257028</v>
      </c>
      <c r="B20" s="237" t="s">
        <v>215</v>
      </c>
      <c r="C20" s="238">
        <v>5</v>
      </c>
      <c r="D20" s="1024">
        <f>VLOOKUP(A20,'1819 Revised Bands'!$A$117:$R$134,10,(FALSE))</f>
        <v>6.3291139240506333E-2</v>
      </c>
      <c r="E20" s="1024">
        <f>VLOOKUP(A20,'1819 Revised Bands'!$A$117:$R$134,8,(FALSE))</f>
        <v>0.29113924050632911</v>
      </c>
      <c r="F20" s="1024">
        <f>VLOOKUP(A20,'1819 Revised Bands'!$A$117:$R$134,14,(FALSE))</f>
        <v>3.7974683544303799E-2</v>
      </c>
      <c r="G20" s="1024">
        <f>VLOOKUP(A20,'1819 Revised Bands'!$A$117:$R$134,6,(FALSE))</f>
        <v>0.10126582278481013</v>
      </c>
      <c r="H20" s="1024">
        <f>VLOOKUP(A20,'1819 Revised Bands'!$A$117:$R$134,12,(FALSE))</f>
        <v>0.189873417721519</v>
      </c>
      <c r="I20" s="1024">
        <f>VLOOKUP(A20,'1819 Revised Bands'!$A$117:$R$134,16,(FALSE))</f>
        <v>0.12658227848101267</v>
      </c>
      <c r="J20" s="1024">
        <f>VLOOKUP(A20,'1819 Revised Bands'!$A$117:$R$134,18,(FALSE))</f>
        <v>0.189873417721519</v>
      </c>
      <c r="K20" s="1170">
        <v>0</v>
      </c>
      <c r="L20" s="269">
        <v>61</v>
      </c>
      <c r="M20" s="269">
        <f t="shared" si="2"/>
        <v>61</v>
      </c>
      <c r="N20" s="1171">
        <f t="shared" si="0"/>
        <v>0</v>
      </c>
      <c r="O20" s="1025">
        <f t="shared" si="3"/>
        <v>330777.78943154495</v>
      </c>
      <c r="P20" s="1025">
        <f t="shared" si="1"/>
        <v>2543.2753164556962</v>
      </c>
      <c r="Q20" s="1025">
        <f t="shared" si="5"/>
        <v>333321.06474800064</v>
      </c>
      <c r="R20" s="1026">
        <f t="shared" si="6"/>
        <v>254166.66666666669</v>
      </c>
      <c r="S20" s="1026">
        <f>(VLOOKUP(A20,'1819 Funding Detail'!$A$4:$AN$23,40,FALSE)*5/12)*M20</f>
        <v>233139.4530235001</v>
      </c>
      <c r="T20" s="235"/>
      <c r="U20" s="235">
        <f t="shared" si="4"/>
        <v>108645.39526134969</v>
      </c>
      <c r="V20" s="235"/>
      <c r="W20" s="36"/>
      <c r="X20" s="36"/>
      <c r="Y20" s="36"/>
      <c r="Z20" s="235"/>
    </row>
    <row r="21" spans="1:26" x14ac:dyDescent="0.25">
      <c r="A21" s="244">
        <v>9257021</v>
      </c>
      <c r="B21" s="237" t="s">
        <v>216</v>
      </c>
      <c r="C21" s="238">
        <v>5</v>
      </c>
      <c r="D21" s="1024">
        <f>VLOOKUP(A21,'1819 Revised Bands'!$A$117:$R$134,10,(FALSE))</f>
        <v>0.29677419354838708</v>
      </c>
      <c r="E21" s="1024">
        <f>VLOOKUP(A21,'1819 Revised Bands'!$A$117:$R$134,8,(FALSE))</f>
        <v>0.29677419354838708</v>
      </c>
      <c r="F21" s="1024">
        <f>VLOOKUP(A21,'1819 Revised Bands'!$A$117:$R$134,14,(FALSE))</f>
        <v>0.12258064516129032</v>
      </c>
      <c r="G21" s="1024">
        <f>VLOOKUP(A21,'1819 Revised Bands'!$A$117:$R$134,6,(FALSE))</f>
        <v>3.870967741935484E-2</v>
      </c>
      <c r="H21" s="1024">
        <f>VLOOKUP(A21,'1819 Revised Bands'!$A$117:$R$134,12,(FALSE))</f>
        <v>9.0322580645161285E-2</v>
      </c>
      <c r="I21" s="1024">
        <f>VLOOKUP(A21,'1819 Revised Bands'!$A$117:$R$134,16,(FALSE))</f>
        <v>0.14193548387096774</v>
      </c>
      <c r="J21" s="1024">
        <f>VLOOKUP(A21,'1819 Revised Bands'!$A$117:$R$134,18,(FALSE))</f>
        <v>1.2903225806451613E-2</v>
      </c>
      <c r="K21" s="269">
        <v>0</v>
      </c>
      <c r="L21" s="269">
        <v>155</v>
      </c>
      <c r="M21" s="269">
        <f t="shared" si="2"/>
        <v>155</v>
      </c>
      <c r="N21" s="235">
        <f t="shared" si="0"/>
        <v>0</v>
      </c>
      <c r="O21" s="1025">
        <f t="shared" si="3"/>
        <v>601928.86330060894</v>
      </c>
      <c r="P21" s="1025">
        <f t="shared" si="1"/>
        <v>20860.416666666668</v>
      </c>
      <c r="Q21" s="1025">
        <f t="shared" si="5"/>
        <v>622789.27996727556</v>
      </c>
      <c r="R21" s="1026">
        <f t="shared" si="6"/>
        <v>645833.33333333337</v>
      </c>
      <c r="S21" s="1026">
        <f>(VLOOKUP(A21,'1819 Funding Detail'!$A$4:$AN$23,40,FALSE)*5/12)*M21</f>
        <v>206607.07484593373</v>
      </c>
      <c r="T21" s="235"/>
      <c r="U21" s="235">
        <f t="shared" si="4"/>
        <v>18760.62562982869</v>
      </c>
      <c r="V21" s="235"/>
      <c r="W21" s="36"/>
      <c r="X21" s="36"/>
      <c r="Y21" s="36"/>
      <c r="Z21" s="235"/>
    </row>
    <row r="22" spans="1:26" x14ac:dyDescent="0.25">
      <c r="A22" s="244">
        <v>9257015</v>
      </c>
      <c r="B22" s="237" t="s">
        <v>217</v>
      </c>
      <c r="C22" s="238">
        <v>6</v>
      </c>
      <c r="D22" s="1024">
        <f>VLOOKUP(A22,'1819 Revised Bands'!$A$117:$R$134,10,(FALSE))</f>
        <v>0.49808429118773945</v>
      </c>
      <c r="E22" s="1024">
        <f>VLOOKUP(A22,'1819 Revised Bands'!$A$117:$R$134,8,(FALSE))</f>
        <v>0.19923371647509577</v>
      </c>
      <c r="F22" s="1024">
        <f>VLOOKUP(A22,'1819 Revised Bands'!$A$117:$R$134,14,(FALSE))</f>
        <v>4.2145593869731802E-2</v>
      </c>
      <c r="G22" s="1024">
        <f>VLOOKUP(A22,'1819 Revised Bands'!$A$117:$R$134,6,(FALSE))</f>
        <v>3.8314176245210725E-2</v>
      </c>
      <c r="H22" s="1024">
        <f>VLOOKUP(A22,'1819 Revised Bands'!$A$117:$R$134,12,(FALSE))</f>
        <v>6.5134099616858232E-2</v>
      </c>
      <c r="I22" s="1024">
        <f>VLOOKUP(A22,'1819 Revised Bands'!$A$117:$R$134,16,(FALSE))</f>
        <v>0.13793103448275862</v>
      </c>
      <c r="J22" s="1024">
        <f>VLOOKUP(A22,'1819 Revised Bands'!$A$117:$R$134,18,(FALSE))</f>
        <v>1.9157088122605363E-2</v>
      </c>
      <c r="K22" s="269">
        <v>0</v>
      </c>
      <c r="L22" s="269">
        <v>233</v>
      </c>
      <c r="M22" s="269">
        <f t="shared" si="2"/>
        <v>233</v>
      </c>
      <c r="N22" s="235">
        <f t="shared" si="0"/>
        <v>0</v>
      </c>
      <c r="O22" s="1025">
        <f t="shared" si="3"/>
        <v>837512.92567233753</v>
      </c>
      <c r="P22" s="1025">
        <f t="shared" si="1"/>
        <v>10781.45753512133</v>
      </c>
      <c r="Q22" s="1025">
        <f t="shared" si="5"/>
        <v>848294.38320745889</v>
      </c>
      <c r="R22" s="1026">
        <f t="shared" si="6"/>
        <v>970833.33333333337</v>
      </c>
      <c r="S22" s="1026">
        <f>(VLOOKUP(A22,'1819 Funding Detail'!$A$4:$AN$23,40,FALSE)*5/12)*M22</f>
        <v>115598.88312379058</v>
      </c>
      <c r="T22" s="235"/>
      <c r="U22" s="235">
        <f t="shared" si="4"/>
        <v>41869.978656610001</v>
      </c>
      <c r="V22" s="235"/>
      <c r="W22" s="36"/>
      <c r="X22" s="36"/>
      <c r="Y22" s="36"/>
      <c r="Z22" s="235"/>
    </row>
    <row r="23" spans="1:26" x14ac:dyDescent="0.25">
      <c r="A23" s="244">
        <v>9257016</v>
      </c>
      <c r="B23" s="237" t="s">
        <v>219</v>
      </c>
      <c r="C23" s="238">
        <v>6</v>
      </c>
      <c r="D23" s="1024">
        <f>VLOOKUP(A23,'1819 Revised Bands'!$A$117:$R$134,10,(FALSE))</f>
        <v>0.25170068027210885</v>
      </c>
      <c r="E23" s="1024">
        <f>VLOOKUP(A23,'1819 Revised Bands'!$A$117:$R$134,8,(FALSE))</f>
        <v>6.8027210884353748E-2</v>
      </c>
      <c r="F23" s="1024">
        <f>VLOOKUP(A23,'1819 Revised Bands'!$A$117:$R$134,14,(FALSE))</f>
        <v>0</v>
      </c>
      <c r="G23" s="1024">
        <f>VLOOKUP(A23,'1819 Revised Bands'!$A$117:$R$134,6,(FALSE))</f>
        <v>0.16326530612244897</v>
      </c>
      <c r="H23" s="1024">
        <f>VLOOKUP(A23,'1819 Revised Bands'!$A$117:$R$134,12,(FALSE))</f>
        <v>0.25170068027210885</v>
      </c>
      <c r="I23" s="1024">
        <f>VLOOKUP(A23,'1819 Revised Bands'!$A$117:$R$134,16,(FALSE))</f>
        <v>6.8027210884353739E-3</v>
      </c>
      <c r="J23" s="1024">
        <f>VLOOKUP(A23,'1819 Revised Bands'!$A$117:$R$134,18,(FALSE))</f>
        <v>0.25850340136054423</v>
      </c>
      <c r="K23" s="269">
        <v>0</v>
      </c>
      <c r="L23" s="269">
        <v>89</v>
      </c>
      <c r="M23" s="269">
        <f t="shared" si="2"/>
        <v>89</v>
      </c>
      <c r="N23" s="235">
        <f t="shared" si="0"/>
        <v>0</v>
      </c>
      <c r="O23" s="1025">
        <f t="shared" si="3"/>
        <v>505878.43584758753</v>
      </c>
      <c r="P23" s="1025">
        <f t="shared" si="1"/>
        <v>0</v>
      </c>
      <c r="Q23" s="1025">
        <f t="shared" si="5"/>
        <v>505878.43584758753</v>
      </c>
      <c r="R23" s="1026">
        <f t="shared" si="6"/>
        <v>370833.33333333337</v>
      </c>
      <c r="S23" s="1026">
        <f>(VLOOKUP(A23,'1819 Funding Detail'!$A$4:$AN$23,40,FALSE)*5/12)*M23</f>
        <v>283679.94286513136</v>
      </c>
      <c r="T23" s="299" t="s">
        <v>207</v>
      </c>
      <c r="U23" s="235">
        <f t="shared" si="4"/>
        <v>215811.00639483207</v>
      </c>
      <c r="V23" s="235"/>
      <c r="W23" s="36"/>
      <c r="X23" s="36"/>
      <c r="Y23" s="36"/>
      <c r="Z23" s="235"/>
    </row>
    <row r="24" spans="1:26" x14ac:dyDescent="0.25">
      <c r="A24" s="249"/>
      <c r="B24" s="36"/>
      <c r="C24" s="234"/>
      <c r="D24" s="268"/>
      <c r="E24" s="268"/>
      <c r="F24" s="36"/>
      <c r="G24" s="299"/>
      <c r="H24" s="268"/>
      <c r="I24" s="268"/>
      <c r="J24" s="299"/>
      <c r="K24" s="299"/>
      <c r="L24" s="269"/>
      <c r="M24" s="299" t="s">
        <v>207</v>
      </c>
      <c r="N24" s="235"/>
      <c r="O24" s="235"/>
      <c r="P24" s="235"/>
      <c r="Q24" s="299" t="s">
        <v>207</v>
      </c>
      <c r="R24" s="269"/>
      <c r="S24" s="269"/>
      <c r="T24" s="36"/>
      <c r="U24" s="234"/>
      <c r="V24" s="36"/>
      <c r="W24" s="36"/>
      <c r="X24" s="36"/>
      <c r="Y24" s="36"/>
      <c r="Z24" s="36"/>
    </row>
    <row r="25" spans="1:26" ht="13" x14ac:dyDescent="0.3">
      <c r="A25" s="93" t="s">
        <v>263</v>
      </c>
      <c r="B25" s="36"/>
      <c r="C25" s="234"/>
      <c r="D25" s="268"/>
      <c r="E25" s="268"/>
      <c r="F25" s="36"/>
      <c r="G25" s="268"/>
      <c r="H25" s="268"/>
      <c r="I25" s="268"/>
      <c r="J25" s="268"/>
      <c r="K25" s="269"/>
      <c r="L25" s="269"/>
      <c r="M25" s="269"/>
      <c r="N25" s="235"/>
      <c r="O25" s="235"/>
      <c r="P25" s="235"/>
      <c r="Q25" s="235"/>
      <c r="R25" s="269"/>
      <c r="S25" s="269"/>
      <c r="T25" s="36"/>
      <c r="U25" s="234"/>
      <c r="V25" s="36"/>
      <c r="W25" s="36"/>
      <c r="X25" s="36"/>
      <c r="Y25" s="36"/>
      <c r="Z25" s="36"/>
    </row>
    <row r="26" spans="1:26" x14ac:dyDescent="0.25">
      <c r="A26" s="249"/>
      <c r="B26" s="36"/>
      <c r="C26" s="234"/>
      <c r="D26" s="268"/>
      <c r="E26" s="268"/>
      <c r="F26" s="36"/>
      <c r="G26" s="268"/>
      <c r="H26" s="268"/>
      <c r="I26" s="268"/>
      <c r="J26" s="268"/>
      <c r="K26" s="94" t="s">
        <v>709</v>
      </c>
      <c r="L26" s="269"/>
      <c r="M26" s="269"/>
      <c r="N26" s="235"/>
      <c r="O26" s="1445" t="s">
        <v>238</v>
      </c>
      <c r="P26" s="1446"/>
      <c r="Q26" s="235"/>
      <c r="R26" s="269"/>
      <c r="S26" s="269"/>
      <c r="T26" s="36"/>
      <c r="U26" s="234"/>
      <c r="V26" s="36"/>
      <c r="W26" s="36"/>
      <c r="X26" s="36"/>
      <c r="Y26" s="36"/>
      <c r="Z26" s="36"/>
    </row>
    <row r="27" spans="1:26" ht="37.5" x14ac:dyDescent="0.25">
      <c r="A27" s="265" t="s">
        <v>182</v>
      </c>
      <c r="B27" s="237" t="s">
        <v>183</v>
      </c>
      <c r="C27" s="238" t="s">
        <v>184</v>
      </c>
      <c r="D27" s="234" t="s">
        <v>823</v>
      </c>
      <c r="E27" s="234" t="s">
        <v>824</v>
      </c>
      <c r="F27" s="234" t="s">
        <v>825</v>
      </c>
      <c r="G27" s="234" t="s">
        <v>826</v>
      </c>
      <c r="H27" s="234" t="s">
        <v>827</v>
      </c>
      <c r="I27" s="234" t="s">
        <v>828</v>
      </c>
      <c r="J27" s="234" t="s">
        <v>829</v>
      </c>
      <c r="K27" s="243" t="s">
        <v>264</v>
      </c>
      <c r="L27" s="243" t="s">
        <v>265</v>
      </c>
      <c r="M27" s="243" t="s">
        <v>266</v>
      </c>
      <c r="N27" s="243" t="s">
        <v>265</v>
      </c>
      <c r="O27" s="276" t="s">
        <v>267</v>
      </c>
      <c r="P27" s="320" t="s">
        <v>268</v>
      </c>
      <c r="Q27" s="243"/>
      <c r="R27" s="243"/>
      <c r="S27" s="243"/>
      <c r="T27" s="36"/>
      <c r="U27" s="234"/>
      <c r="V27" s="36"/>
      <c r="W27" s="36"/>
      <c r="X27" s="36"/>
      <c r="Y27" s="36"/>
      <c r="Z27" s="36"/>
    </row>
    <row r="28" spans="1:26" x14ac:dyDescent="0.25">
      <c r="A28" s="244">
        <v>9257010</v>
      </c>
      <c r="B28" s="237" t="s">
        <v>205</v>
      </c>
      <c r="C28" s="238">
        <v>4</v>
      </c>
      <c r="D28" s="1024">
        <f>VLOOKUP(A28,'1819 Revised Bands'!$A$117:$R$134,10,(FALSE))</f>
        <v>5.7692307692307696E-2</v>
      </c>
      <c r="E28" s="1024">
        <f>VLOOKUP(A28,'1819 Revised Bands'!$A$117:$R$134,8,(FALSE))</f>
        <v>0.28846153846153844</v>
      </c>
      <c r="F28" s="1024">
        <f>VLOOKUP(A28,'1819 Revised Bands'!$A$117:$R$134,14,(FALSE))</f>
        <v>9.6153846153846159E-2</v>
      </c>
      <c r="G28" s="1024">
        <f>VLOOKUP(A28,'1819 Revised Bands'!$A$117:$R$134,6,(FALSE))</f>
        <v>0.11538461538461539</v>
      </c>
      <c r="H28" s="1024">
        <f>VLOOKUP(A28,'1819 Revised Bands'!$A$117:$R$134,12,(FALSE))</f>
        <v>3.8461538461538464E-2</v>
      </c>
      <c r="I28" s="1024">
        <f>VLOOKUP(A28,'1819 Revised Bands'!$A$117:$R$134,16,(FALSE))</f>
        <v>0.25</v>
      </c>
      <c r="J28" s="1024">
        <f>VLOOKUP(A28,'1819 Revised Bands'!$A$117:$R$134,18,(FALSE))</f>
        <v>0.15384615384615385</v>
      </c>
      <c r="K28" s="269">
        <v>5</v>
      </c>
      <c r="L28" s="1025">
        <f>((((K28*D28)*$G$92)+((K28*E28)*$G$94)+((K28*F28)*$G$96)+((K28*G28)*$G$98)+((K28*H28)*$G$100)+((K28*I28)*$G$102)+((K28*J28)*$G$104)))*(4/12)</f>
        <v>21202.338712662819</v>
      </c>
      <c r="M28" s="1025">
        <f t="shared" ref="M28:M45" si="7">((K28*F28)*$G$106)*(4/12)</f>
        <v>422.27564102564099</v>
      </c>
      <c r="N28" s="1025">
        <f>SUM(L28:M28)</f>
        <v>21624.614353688459</v>
      </c>
      <c r="O28" s="1026">
        <f>(K28*(4/12))*10000</f>
        <v>16666.666666666664</v>
      </c>
      <c r="P28" s="1026">
        <f>(VLOOKUP(A28,'1819 Funding Detail'!$A$4:$AN$23,40,FALSE)*4/12)*K28</f>
        <v>18402.374770355123</v>
      </c>
      <c r="Q28" s="235"/>
      <c r="R28" s="235"/>
      <c r="S28" s="235"/>
      <c r="T28" s="235"/>
      <c r="U28" s="235">
        <f>SUM(J28*K28*$G$104)*4/12</f>
        <v>5772.500193793443</v>
      </c>
      <c r="V28" s="297"/>
      <c r="W28" s="296"/>
      <c r="X28" s="36"/>
      <c r="Y28" s="36"/>
      <c r="Z28" s="36"/>
    </row>
    <row r="29" spans="1:26" x14ac:dyDescent="0.25">
      <c r="A29" s="244">
        <v>9257005</v>
      </c>
      <c r="B29" s="237" t="s">
        <v>208</v>
      </c>
      <c r="C29" s="238">
        <v>4</v>
      </c>
      <c r="D29" s="1024">
        <f>VLOOKUP(A29,'1819 Revised Bands'!$A$117:$R$134,10,(FALSE))</f>
        <v>9.3333333333333338E-2</v>
      </c>
      <c r="E29" s="1024">
        <f>VLOOKUP(A29,'1819 Revised Bands'!$A$117:$R$134,8,(FALSE))</f>
        <v>0.22666666666666666</v>
      </c>
      <c r="F29" s="1024">
        <f>VLOOKUP(A29,'1819 Revised Bands'!$A$117:$R$134,14,(FALSE))</f>
        <v>0.16</v>
      </c>
      <c r="G29" s="1024">
        <f>VLOOKUP(A29,'1819 Revised Bands'!$A$117:$R$134,6,(FALSE))</f>
        <v>0.13333333333333333</v>
      </c>
      <c r="H29" s="1024">
        <f>VLOOKUP(A29,'1819 Revised Bands'!$A$117:$R$134,12,(FALSE))</f>
        <v>9.3333333333333338E-2</v>
      </c>
      <c r="I29" s="1024">
        <f>VLOOKUP(A29,'1819 Revised Bands'!$A$117:$R$134,16,(FALSE))</f>
        <v>0.2</v>
      </c>
      <c r="J29" s="1024">
        <f>VLOOKUP(A29,'1819 Revised Bands'!$A$117:$R$134,18,(FALSE))</f>
        <v>9.3333333333333338E-2</v>
      </c>
      <c r="K29" s="269">
        <v>30</v>
      </c>
      <c r="L29" s="1025">
        <f t="shared" ref="L29:L45" si="8">((((K29*D29)*$G$92)+((K29*E29)*$G$94)+((K29*F29)*$G$96)+((K29*G29)*$G$98)+((K29*H29)*$G$100)+((K29*I29)*$G$102)+((K29*J29)*$G$104)))*(4/12)</f>
        <v>121367.74407699321</v>
      </c>
      <c r="M29" s="1025">
        <f t="shared" si="7"/>
        <v>4216</v>
      </c>
      <c r="N29" s="1025">
        <f>SUM(L29:M29)</f>
        <v>125583.74407699321</v>
      </c>
      <c r="O29" s="1026">
        <f>(K29*(4/12))*10000</f>
        <v>100000</v>
      </c>
      <c r="P29" s="1026">
        <f>(VLOOKUP(A29,'1819 Funding Detail'!$A$4:$AN$23,40,FALSE)*4/12)*K29</f>
        <v>87262.637015489774</v>
      </c>
      <c r="Q29" s="235"/>
      <c r="R29" s="235"/>
      <c r="S29" s="235"/>
      <c r="T29" s="235"/>
      <c r="U29" s="235">
        <f t="shared" ref="U29:U45" si="9">SUM(J29*K29*$G$104)*4/12</f>
        <v>21011.900705408134</v>
      </c>
      <c r="V29" s="235"/>
      <c r="W29" s="36"/>
      <c r="X29" s="36"/>
      <c r="Y29" s="36"/>
      <c r="Z29" s="36"/>
    </row>
    <row r="30" spans="1:26" x14ac:dyDescent="0.25">
      <c r="A30" s="244">
        <v>9257025</v>
      </c>
      <c r="B30" s="237" t="s">
        <v>209</v>
      </c>
      <c r="C30" s="238">
        <v>4</v>
      </c>
      <c r="D30" s="1024">
        <f>VLOOKUP(A30,'1819 Revised Bands'!$A$117:$R$134,10,(FALSE))</f>
        <v>0.17910447761194029</v>
      </c>
      <c r="E30" s="1024">
        <f>VLOOKUP(A30,'1819 Revised Bands'!$A$117:$R$134,8,(FALSE))</f>
        <v>0.26865671641791045</v>
      </c>
      <c r="F30" s="1024">
        <f>VLOOKUP(A30,'1819 Revised Bands'!$A$117:$R$134,14,(FALSE))</f>
        <v>0.14925373134328357</v>
      </c>
      <c r="G30" s="1024">
        <f>VLOOKUP(A30,'1819 Revised Bands'!$A$117:$R$134,6,(FALSE))</f>
        <v>4.4776119402985072E-2</v>
      </c>
      <c r="H30" s="1024">
        <f>VLOOKUP(A30,'1819 Revised Bands'!$A$117:$R$134,12,(FALSE))</f>
        <v>0.14925373134328357</v>
      </c>
      <c r="I30" s="1024">
        <f>VLOOKUP(A30,'1819 Revised Bands'!$A$117:$R$134,16,(FALSE))</f>
        <v>0.11940298507462686</v>
      </c>
      <c r="J30" s="1024">
        <f>VLOOKUP(A30,'1819 Revised Bands'!$A$117:$R$134,18,(FALSE))</f>
        <v>8.9552238805970144E-2</v>
      </c>
      <c r="K30" s="269">
        <v>16</v>
      </c>
      <c r="L30" s="1025">
        <f t="shared" si="8"/>
        <v>58952.935234063902</v>
      </c>
      <c r="M30" s="1025">
        <f t="shared" si="7"/>
        <v>2097.5124378109449</v>
      </c>
      <c r="N30" s="1025">
        <f t="shared" ref="N30:N45" si="10">SUM(L30:M30)</f>
        <v>61050.447671874848</v>
      </c>
      <c r="O30" s="1026">
        <f t="shared" ref="O30:O45" si="11">(K30*(4/12))*10000</f>
        <v>53333.333333333328</v>
      </c>
      <c r="P30" s="1026">
        <f>(VLOOKUP(A30,'1819 Funding Detail'!$A$4:$AN$23,40,FALSE)*4/12)*K30</f>
        <v>44309.718872546546</v>
      </c>
      <c r="Q30" s="235"/>
      <c r="R30" s="235"/>
      <c r="S30" s="235"/>
      <c r="T30" s="235"/>
      <c r="U30" s="235">
        <f t="shared" si="9"/>
        <v>10752.358569931666</v>
      </c>
      <c r="V30" s="235"/>
      <c r="W30" s="36"/>
      <c r="X30" s="36"/>
      <c r="Y30" s="36"/>
      <c r="Z30" s="36"/>
    </row>
    <row r="31" spans="1:26" x14ac:dyDescent="0.25">
      <c r="A31" s="244">
        <v>9257011</v>
      </c>
      <c r="B31" s="237" t="s">
        <v>210</v>
      </c>
      <c r="C31" s="238">
        <v>4</v>
      </c>
      <c r="D31" s="1024">
        <f>VLOOKUP(A31,'1819 Revised Bands'!$A$117:$R$134,10,(FALSE))</f>
        <v>0.1111111111111111</v>
      </c>
      <c r="E31" s="1024">
        <f>VLOOKUP(A31,'1819 Revised Bands'!$A$117:$R$134,8,(FALSE))</f>
        <v>0.31481481481481483</v>
      </c>
      <c r="F31" s="1024">
        <f>VLOOKUP(A31,'1819 Revised Bands'!$A$117:$R$134,14,(FALSE))</f>
        <v>5.5555555555555552E-2</v>
      </c>
      <c r="G31" s="1024">
        <f>VLOOKUP(A31,'1819 Revised Bands'!$A$117:$R$134,6,(FALSE))</f>
        <v>0.12962962962962962</v>
      </c>
      <c r="H31" s="1024">
        <f>VLOOKUP(A31,'1819 Revised Bands'!$A$117:$R$134,12,(FALSE))</f>
        <v>0.14814814814814814</v>
      </c>
      <c r="I31" s="1024">
        <f>VLOOKUP(A31,'1819 Revised Bands'!$A$117:$R$134,16,(FALSE))</f>
        <v>0.12962962962962962</v>
      </c>
      <c r="J31" s="1024">
        <f>VLOOKUP(A31,'1819 Revised Bands'!$A$117:$R$134,18,(FALSE))</f>
        <v>0.1111111111111111</v>
      </c>
      <c r="K31" s="269">
        <v>14</v>
      </c>
      <c r="L31" s="1025">
        <f t="shared" si="8"/>
        <v>54756.352384594502</v>
      </c>
      <c r="M31" s="1025">
        <f t="shared" si="7"/>
        <v>683.14814814814804</v>
      </c>
      <c r="N31" s="1025">
        <f t="shared" si="10"/>
        <v>55439.500532742648</v>
      </c>
      <c r="O31" s="1026">
        <f t="shared" si="11"/>
        <v>46666.666666666664</v>
      </c>
      <c r="P31" s="1026">
        <f>(VLOOKUP(A31,'1819 Funding Detail'!$A$4:$AN$23,40,FALSE)*4/12)*K31</f>
        <v>43691.064925582519</v>
      </c>
      <c r="Q31" s="235"/>
      <c r="R31" s="235"/>
      <c r="S31" s="235"/>
      <c r="T31" s="235"/>
      <c r="U31" s="235">
        <f t="shared" si="9"/>
        <v>11673.278169671183</v>
      </c>
      <c r="V31" s="235"/>
      <c r="W31" s="36"/>
      <c r="X31" s="36"/>
      <c r="Y31" s="36"/>
      <c r="Z31" s="36"/>
    </row>
    <row r="32" spans="1:26" x14ac:dyDescent="0.25">
      <c r="A32" s="244">
        <v>9257024</v>
      </c>
      <c r="B32" s="237" t="s">
        <v>211</v>
      </c>
      <c r="C32" s="238">
        <v>3</v>
      </c>
      <c r="D32" s="1024">
        <f>VLOOKUP(A32,'1819 Revised Bands'!$A$117:$R$134,10,(FALSE))</f>
        <v>0.11594202898550725</v>
      </c>
      <c r="E32" s="1024">
        <f>VLOOKUP(A32,'1819 Revised Bands'!$A$117:$R$134,8,(FALSE))</f>
        <v>0.34782608695652173</v>
      </c>
      <c r="F32" s="1024">
        <f>VLOOKUP(A32,'1819 Revised Bands'!$A$117:$R$134,14,(FALSE))</f>
        <v>5.7971014492753624E-2</v>
      </c>
      <c r="G32" s="1024">
        <f>VLOOKUP(A32,'1819 Revised Bands'!$A$117:$R$134,6,(FALSE))</f>
        <v>8.6956521739130432E-2</v>
      </c>
      <c r="H32" s="1024">
        <f>VLOOKUP(A32,'1819 Revised Bands'!$A$117:$R$134,12,(FALSE))</f>
        <v>0.15942028985507245</v>
      </c>
      <c r="I32" s="1024">
        <f>VLOOKUP(A32,'1819 Revised Bands'!$A$117:$R$134,16,(FALSE))</f>
        <v>0.10144927536231885</v>
      </c>
      <c r="J32" s="1024">
        <f>VLOOKUP(A32,'1819 Revised Bands'!$A$117:$R$134,18,(FALSE))</f>
        <v>0.13043478260869565</v>
      </c>
      <c r="K32" s="269">
        <v>11</v>
      </c>
      <c r="L32" s="1025">
        <f t="shared" si="8"/>
        <v>42496.38921850342</v>
      </c>
      <c r="M32" s="1025">
        <f t="shared" si="7"/>
        <v>560.09661835748796</v>
      </c>
      <c r="N32" s="1025">
        <f t="shared" si="10"/>
        <v>43056.485836860906</v>
      </c>
      <c r="O32" s="1026">
        <f t="shared" si="11"/>
        <v>36666.666666666664</v>
      </c>
      <c r="P32" s="1026">
        <f>(VLOOKUP(A32,'1819 Funding Detail'!$A$4:$AN$23,40,FALSE)*4/12)*K32</f>
        <v>28831.6149385684</v>
      </c>
      <c r="Q32" s="235"/>
      <c r="R32" s="235"/>
      <c r="S32" s="235"/>
      <c r="T32" s="235"/>
      <c r="U32" s="235">
        <f t="shared" si="9"/>
        <v>10766.967752771247</v>
      </c>
      <c r="V32" s="235"/>
      <c r="W32" s="36"/>
      <c r="X32" s="36"/>
      <c r="Y32" s="36"/>
      <c r="Z32" s="36"/>
    </row>
    <row r="33" spans="1:22" x14ac:dyDescent="0.25">
      <c r="A33" s="244">
        <v>9257031</v>
      </c>
      <c r="B33" s="237" t="s">
        <v>257</v>
      </c>
      <c r="C33" s="238">
        <v>4</v>
      </c>
      <c r="D33" s="1024">
        <f>VLOOKUP(A33,'1819 Revised Bands'!$A$117:$R$134,10,(FALSE))</f>
        <v>0</v>
      </c>
      <c r="E33" s="1024">
        <f>VLOOKUP(A33,'1819 Revised Bands'!$A$117:$R$134,8,(FALSE))</f>
        <v>0</v>
      </c>
      <c r="F33" s="1024">
        <f>VLOOKUP(A33,'1819 Revised Bands'!$A$117:$R$134,14,(FALSE))</f>
        <v>1</v>
      </c>
      <c r="G33" s="1024">
        <f>VLOOKUP(A33,'1819 Revised Bands'!$A$117:$R$134,6,(FALSE))</f>
        <v>0</v>
      </c>
      <c r="H33" s="1024">
        <f>VLOOKUP(A33,'1819 Revised Bands'!$A$117:$R$134,12,(FALSE))</f>
        <v>0</v>
      </c>
      <c r="I33" s="1024">
        <f>VLOOKUP(A33,'1819 Revised Bands'!$A$117:$R$134,16,(FALSE))</f>
        <v>0</v>
      </c>
      <c r="J33" s="1024">
        <f>VLOOKUP(A33,'1819 Revised Bands'!$A$117:$R$134,18,(FALSE))</f>
        <v>0</v>
      </c>
      <c r="K33" s="269">
        <v>0</v>
      </c>
      <c r="L33" s="1025">
        <f t="shared" si="8"/>
        <v>0</v>
      </c>
      <c r="M33" s="1025">
        <f t="shared" si="7"/>
        <v>0</v>
      </c>
      <c r="N33" s="1025">
        <f t="shared" si="10"/>
        <v>0</v>
      </c>
      <c r="O33" s="1026">
        <f t="shared" si="11"/>
        <v>0</v>
      </c>
      <c r="P33" s="1026">
        <f>(VLOOKUP(A33,'1819 Funding Detail'!$A$4:$AN$23,40,FALSE)*4/12)*K33</f>
        <v>0</v>
      </c>
      <c r="Q33" s="235"/>
      <c r="R33" s="235"/>
      <c r="S33" s="235"/>
      <c r="T33" s="235"/>
      <c r="U33" s="235">
        <f t="shared" si="9"/>
        <v>0</v>
      </c>
      <c r="V33" s="235"/>
    </row>
    <row r="34" spans="1:22" x14ac:dyDescent="0.25">
      <c r="A34" s="244">
        <v>9257033</v>
      </c>
      <c r="B34" s="237" t="s">
        <v>220</v>
      </c>
      <c r="C34" s="238">
        <v>3</v>
      </c>
      <c r="D34" s="1024">
        <f>VLOOKUP(A34,'1819 Revised Bands'!$A$117:$R$134,10,(FALSE))</f>
        <v>0.31395348837209303</v>
      </c>
      <c r="E34" s="1024">
        <f>VLOOKUP(A34,'1819 Revised Bands'!$A$117:$R$134,8,(FALSE))</f>
        <v>0.19767441860465115</v>
      </c>
      <c r="F34" s="1024">
        <f>VLOOKUP(A34,'1819 Revised Bands'!$A$117:$R$134,14,(FALSE))</f>
        <v>0.22093023255813954</v>
      </c>
      <c r="G34" s="1024">
        <f>VLOOKUP(A34,'1819 Revised Bands'!$A$117:$R$134,6,(FALSE))</f>
        <v>6.9767441860465115E-2</v>
      </c>
      <c r="H34" s="1024">
        <f>VLOOKUP(A34,'1819 Revised Bands'!$A$117:$R$134,12,(FALSE))</f>
        <v>0.10465116279069768</v>
      </c>
      <c r="I34" s="1024">
        <f>VLOOKUP(A34,'1819 Revised Bands'!$A$117:$R$134,16,(FALSE))</f>
        <v>9.3023255813953487E-2</v>
      </c>
      <c r="J34" s="1024">
        <f>VLOOKUP(A34,'1819 Revised Bands'!$A$117:$R$134,18,(FALSE))</f>
        <v>0</v>
      </c>
      <c r="K34" s="269">
        <v>0</v>
      </c>
      <c r="L34" s="1025">
        <f t="shared" si="8"/>
        <v>0</v>
      </c>
      <c r="M34" s="1025">
        <f t="shared" si="7"/>
        <v>0</v>
      </c>
      <c r="N34" s="1025">
        <f t="shared" si="10"/>
        <v>0</v>
      </c>
      <c r="O34" s="1026">
        <f t="shared" si="11"/>
        <v>0</v>
      </c>
      <c r="P34" s="1026">
        <f>(VLOOKUP(A34,'1819 Funding Detail'!$A$4:$AN$23,40,FALSE)*4/12)*K34</f>
        <v>0</v>
      </c>
      <c r="Q34" s="235"/>
      <c r="R34" s="235"/>
      <c r="S34" s="235"/>
      <c r="T34" s="235"/>
      <c r="U34" s="235">
        <f t="shared" si="9"/>
        <v>0</v>
      </c>
      <c r="V34" s="235"/>
    </row>
    <row r="35" spans="1:22" x14ac:dyDescent="0.25">
      <c r="A35" s="244">
        <v>9257008</v>
      </c>
      <c r="B35" s="237" t="s">
        <v>212</v>
      </c>
      <c r="C35" s="238">
        <v>4</v>
      </c>
      <c r="D35" s="1024">
        <f>VLOOKUP(A35,'1819 Revised Bands'!$A$117:$R$134,10,(FALSE))</f>
        <v>4.3956043956043959E-2</v>
      </c>
      <c r="E35" s="1024">
        <f>VLOOKUP(A35,'1819 Revised Bands'!$A$117:$R$134,8,(FALSE))</f>
        <v>0.61538461538461542</v>
      </c>
      <c r="F35" s="1024">
        <f>VLOOKUP(A35,'1819 Revised Bands'!$A$117:$R$134,14,(FALSE))</f>
        <v>0.15384615384615385</v>
      </c>
      <c r="G35" s="1024">
        <f>VLOOKUP(A35,'1819 Revised Bands'!$A$117:$R$134,6,(FALSE))</f>
        <v>2.197802197802198E-2</v>
      </c>
      <c r="H35" s="1024">
        <f>VLOOKUP(A35,'1819 Revised Bands'!$A$117:$R$134,12,(FALSE))</f>
        <v>2.197802197802198E-2</v>
      </c>
      <c r="I35" s="1024">
        <f>VLOOKUP(A35,'1819 Revised Bands'!$A$117:$R$134,16,(FALSE))</f>
        <v>0.14285714285714285</v>
      </c>
      <c r="J35" s="1024">
        <f>VLOOKUP(A35,'1819 Revised Bands'!$A$117:$R$134,18,(FALSE))</f>
        <v>0</v>
      </c>
      <c r="K35" s="269">
        <v>0</v>
      </c>
      <c r="L35" s="1025">
        <f t="shared" si="8"/>
        <v>0</v>
      </c>
      <c r="M35" s="1025">
        <f t="shared" si="7"/>
        <v>0</v>
      </c>
      <c r="N35" s="1025">
        <f t="shared" si="10"/>
        <v>0</v>
      </c>
      <c r="O35" s="1026">
        <f t="shared" si="11"/>
        <v>0</v>
      </c>
      <c r="P35" s="1026">
        <f>(VLOOKUP(A35,'1819 Funding Detail'!$A$4:$AN$23,40,FALSE)*4/12)*K35</f>
        <v>0</v>
      </c>
      <c r="Q35" s="235"/>
      <c r="R35" s="235"/>
      <c r="S35" s="235"/>
      <c r="T35" s="235"/>
      <c r="U35" s="235">
        <f t="shared" si="9"/>
        <v>0</v>
      </c>
      <c r="V35" s="235"/>
    </row>
    <row r="36" spans="1:22" x14ac:dyDescent="0.25">
      <c r="A36" s="244">
        <v>9257034</v>
      </c>
      <c r="B36" s="237" t="s">
        <v>221</v>
      </c>
      <c r="C36" s="238">
        <v>5</v>
      </c>
      <c r="D36" s="1024">
        <f>VLOOKUP(A36,'1819 Revised Bands'!$A$117:$R$134,10,(FALSE))</f>
        <v>0.42105263157894735</v>
      </c>
      <c r="E36" s="1024">
        <f>VLOOKUP(A36,'1819 Revised Bands'!$A$117:$R$134,8,(FALSE))</f>
        <v>0.16666666666666666</v>
      </c>
      <c r="F36" s="1024">
        <f>VLOOKUP(A36,'1819 Revised Bands'!$A$117:$R$134,14,(FALSE))</f>
        <v>0.26315789473684209</v>
      </c>
      <c r="G36" s="1024">
        <f>VLOOKUP(A36,'1819 Revised Bands'!$A$117:$R$134,6,(FALSE))</f>
        <v>4.3859649122807015E-2</v>
      </c>
      <c r="H36" s="1024">
        <f>VLOOKUP(A36,'1819 Revised Bands'!$A$117:$R$134,12,(FALSE))</f>
        <v>3.5087719298245612E-2</v>
      </c>
      <c r="I36" s="1024">
        <f>VLOOKUP(A36,'1819 Revised Bands'!$A$117:$R$134,16,(FALSE))</f>
        <v>4.3859649122807015E-2</v>
      </c>
      <c r="J36" s="1024">
        <f>VLOOKUP(A36,'1819 Revised Bands'!$A$117:$R$134,18,(FALSE))</f>
        <v>2.6315789473684209E-2</v>
      </c>
      <c r="K36" s="269">
        <v>35</v>
      </c>
      <c r="L36" s="1025">
        <f t="shared" si="8"/>
        <v>103483.39118651157</v>
      </c>
      <c r="M36" s="1025">
        <f t="shared" si="7"/>
        <v>8089.9122807017529</v>
      </c>
      <c r="N36" s="1025">
        <f t="shared" si="10"/>
        <v>111573.30346721332</v>
      </c>
      <c r="O36" s="1026">
        <f t="shared" si="11"/>
        <v>116666.66666666666</v>
      </c>
      <c r="P36" s="1026">
        <f>(VLOOKUP(A36,'1819 Funding Detail'!$A$4:$AN$23,40,FALSE)*4/12)*K36</f>
        <v>45625.574300546614</v>
      </c>
      <c r="Q36" s="235"/>
      <c r="R36" s="235"/>
      <c r="S36" s="235"/>
      <c r="T36" s="235"/>
      <c r="U36" s="235">
        <f t="shared" si="9"/>
        <v>6911.809442568464</v>
      </c>
      <c r="V36" s="235"/>
    </row>
    <row r="37" spans="1:22" x14ac:dyDescent="0.25">
      <c r="A37" s="244">
        <v>9257002</v>
      </c>
      <c r="B37" s="237" t="s">
        <v>213</v>
      </c>
      <c r="C37" s="238">
        <v>5</v>
      </c>
      <c r="D37" s="1024">
        <f>VLOOKUP(A37,'1819 Revised Bands'!$A$117:$R$134,10,(FALSE))</f>
        <v>0.53237410071942448</v>
      </c>
      <c r="E37" s="1024">
        <f>VLOOKUP(A37,'1819 Revised Bands'!$A$117:$R$134,8,(FALSE))</f>
        <v>0.12949640287769784</v>
      </c>
      <c r="F37" s="1024">
        <f>VLOOKUP(A37,'1819 Revised Bands'!$A$117:$R$134,14,(FALSE))</f>
        <v>0.18705035971223022</v>
      </c>
      <c r="G37" s="1024">
        <f>VLOOKUP(A37,'1819 Revised Bands'!$A$117:$R$134,6,(FALSE))</f>
        <v>7.1942446043165471E-3</v>
      </c>
      <c r="H37" s="1024">
        <f>VLOOKUP(A37,'1819 Revised Bands'!$A$117:$R$134,12,(FALSE))</f>
        <v>6.4748201438848921E-2</v>
      </c>
      <c r="I37" s="1024">
        <f>VLOOKUP(A37,'1819 Revised Bands'!$A$117:$R$134,16,(FALSE))</f>
        <v>7.1942446043165464E-2</v>
      </c>
      <c r="J37" s="1024">
        <f>VLOOKUP(A37,'1819 Revised Bands'!$A$117:$R$134,18,(FALSE))</f>
        <v>7.1942446043165471E-3</v>
      </c>
      <c r="K37" s="269">
        <v>0</v>
      </c>
      <c r="L37" s="1025">
        <f t="shared" si="8"/>
        <v>0</v>
      </c>
      <c r="M37" s="1025">
        <f t="shared" si="7"/>
        <v>0</v>
      </c>
      <c r="N37" s="1025">
        <f t="shared" si="10"/>
        <v>0</v>
      </c>
      <c r="O37" s="1026">
        <f t="shared" si="11"/>
        <v>0</v>
      </c>
      <c r="P37" s="1026">
        <f>(VLOOKUP(A37,'1819 Funding Detail'!$A$4:$AN$23,40,FALSE)*4/12)*K37</f>
        <v>0</v>
      </c>
      <c r="Q37" s="235"/>
      <c r="R37" s="235"/>
      <c r="S37" s="235"/>
      <c r="T37" s="235"/>
      <c r="U37" s="235">
        <f t="shared" si="9"/>
        <v>0</v>
      </c>
      <c r="V37" s="235"/>
    </row>
    <row r="38" spans="1:22" x14ac:dyDescent="0.25">
      <c r="A38" s="244">
        <v>9257009</v>
      </c>
      <c r="B38" s="237" t="s">
        <v>214</v>
      </c>
      <c r="C38" s="238">
        <v>4</v>
      </c>
      <c r="D38" s="1024">
        <f>VLOOKUP(A38,'1819 Revised Bands'!$A$117:$R$134,10,(FALSE))</f>
        <v>0.1484375</v>
      </c>
      <c r="E38" s="1024">
        <f>VLOOKUP(A38,'1819 Revised Bands'!$A$117:$R$134,8,(FALSE))</f>
        <v>0.46875</v>
      </c>
      <c r="F38" s="1024">
        <f>VLOOKUP(A38,'1819 Revised Bands'!$A$117:$R$134,14,(FALSE))</f>
        <v>0.125</v>
      </c>
      <c r="G38" s="1024">
        <f>VLOOKUP(A38,'1819 Revised Bands'!$A$117:$R$134,6,(FALSE))</f>
        <v>0</v>
      </c>
      <c r="H38" s="1024">
        <f>VLOOKUP(A38,'1819 Revised Bands'!$A$117:$R$134,12,(FALSE))</f>
        <v>3.125E-2</v>
      </c>
      <c r="I38" s="1024">
        <f>VLOOKUP(A38,'1819 Revised Bands'!$A$117:$R$134,16,(FALSE))</f>
        <v>0.2265625</v>
      </c>
      <c r="J38" s="1024">
        <f>VLOOKUP(A38,'1819 Revised Bands'!$A$117:$R$134,18,(FALSE))</f>
        <v>0</v>
      </c>
      <c r="K38" s="269">
        <v>0</v>
      </c>
      <c r="L38" s="1025">
        <f t="shared" si="8"/>
        <v>0</v>
      </c>
      <c r="M38" s="1025">
        <f t="shared" si="7"/>
        <v>0</v>
      </c>
      <c r="N38" s="1025">
        <f t="shared" si="10"/>
        <v>0</v>
      </c>
      <c r="O38" s="1026">
        <f t="shared" si="11"/>
        <v>0</v>
      </c>
      <c r="P38" s="1026">
        <f>(VLOOKUP(A38,'1819 Funding Detail'!$A$4:$AN$23,40,FALSE)*4/12)*K38</f>
        <v>0</v>
      </c>
      <c r="Q38" s="235"/>
      <c r="R38" s="235"/>
      <c r="S38" s="235"/>
      <c r="T38" s="235"/>
      <c r="U38" s="235">
        <f t="shared" si="9"/>
        <v>0</v>
      </c>
      <c r="V38" s="235"/>
    </row>
    <row r="39" spans="1:22" x14ac:dyDescent="0.25">
      <c r="A39" s="244">
        <v>9257029</v>
      </c>
      <c r="B39" s="237" t="s">
        <v>259</v>
      </c>
      <c r="C39" s="238">
        <v>3</v>
      </c>
      <c r="D39" s="1024">
        <f>VLOOKUP(A39,'1819 Revised Bands'!$A$117:$R$134,10,(FALSE))</f>
        <v>0</v>
      </c>
      <c r="E39" s="1024">
        <f>VLOOKUP(A39,'1819 Revised Bands'!$A$117:$R$134,8,(FALSE))</f>
        <v>0</v>
      </c>
      <c r="F39" s="1024">
        <f>VLOOKUP(A39,'1819 Revised Bands'!$A$117:$R$134,14,(FALSE))</f>
        <v>1</v>
      </c>
      <c r="G39" s="1024">
        <f>VLOOKUP(A39,'1819 Revised Bands'!$A$117:$R$134,6,(FALSE))</f>
        <v>0</v>
      </c>
      <c r="H39" s="1024">
        <f>VLOOKUP(A39,'1819 Revised Bands'!$A$117:$R$134,12,(FALSE))</f>
        <v>0</v>
      </c>
      <c r="I39" s="1024">
        <f>VLOOKUP(A39,'1819 Revised Bands'!$A$117:$R$134,16,(FALSE))</f>
        <v>0</v>
      </c>
      <c r="J39" s="1024">
        <f>VLOOKUP(A39,'1819 Revised Bands'!$A$117:$R$134,18,(FALSE))</f>
        <v>0</v>
      </c>
      <c r="K39" s="269">
        <v>0</v>
      </c>
      <c r="L39" s="1025">
        <f t="shared" si="8"/>
        <v>0</v>
      </c>
      <c r="M39" s="1025">
        <f t="shared" si="7"/>
        <v>0</v>
      </c>
      <c r="N39" s="1025">
        <f t="shared" si="10"/>
        <v>0</v>
      </c>
      <c r="O39" s="1026">
        <f t="shared" si="11"/>
        <v>0</v>
      </c>
      <c r="P39" s="1026">
        <f>(VLOOKUP(A39,'1819 Funding Detail'!$A$4:$AN$23,40,FALSE)*4/12)*K39</f>
        <v>0</v>
      </c>
      <c r="Q39" s="235"/>
      <c r="R39" s="235"/>
      <c r="S39" s="235"/>
      <c r="T39" s="235"/>
      <c r="U39" s="235">
        <f t="shared" si="9"/>
        <v>0</v>
      </c>
      <c r="V39" s="235"/>
    </row>
    <row r="40" spans="1:22" x14ac:dyDescent="0.25">
      <c r="A40" s="244">
        <v>9257032</v>
      </c>
      <c r="B40" s="237" t="s">
        <v>261</v>
      </c>
      <c r="C40" s="238">
        <v>4</v>
      </c>
      <c r="D40" s="1024">
        <f>VLOOKUP(A40,'1819 Revised Bands'!$A$117:$R$134,10,(FALSE))</f>
        <v>0</v>
      </c>
      <c r="E40" s="1024">
        <f>VLOOKUP(A40,'1819 Revised Bands'!$A$117:$R$134,8,(FALSE))</f>
        <v>0</v>
      </c>
      <c r="F40" s="1024">
        <f>VLOOKUP(A40,'1819 Revised Bands'!$A$117:$R$134,14,(FALSE))</f>
        <v>1</v>
      </c>
      <c r="G40" s="1024">
        <f>VLOOKUP(A40,'1819 Revised Bands'!$A$117:$R$134,6,(FALSE))</f>
        <v>0</v>
      </c>
      <c r="H40" s="1024">
        <f>VLOOKUP(A40,'1819 Revised Bands'!$A$117:$R$134,12,(FALSE))</f>
        <v>0</v>
      </c>
      <c r="I40" s="1024">
        <f>VLOOKUP(A40,'1819 Revised Bands'!$A$117:$R$134,16,(FALSE))</f>
        <v>0</v>
      </c>
      <c r="J40" s="1024">
        <f>VLOOKUP(A40,'1819 Revised Bands'!$A$117:$R$134,18,(FALSE))</f>
        <v>0</v>
      </c>
      <c r="K40" s="269">
        <v>0</v>
      </c>
      <c r="L40" s="1025">
        <f t="shared" si="8"/>
        <v>0</v>
      </c>
      <c r="M40" s="1025">
        <f t="shared" si="7"/>
        <v>0</v>
      </c>
      <c r="N40" s="1025">
        <f t="shared" si="10"/>
        <v>0</v>
      </c>
      <c r="O40" s="1026">
        <f t="shared" si="11"/>
        <v>0</v>
      </c>
      <c r="P40" s="1026">
        <f>(VLOOKUP(A40,'1819 Funding Detail'!$A$4:$AN$23,40,FALSE)*4/12)*K40</f>
        <v>0</v>
      </c>
      <c r="Q40" s="235"/>
      <c r="R40" s="235"/>
      <c r="S40" s="235"/>
      <c r="T40" s="235"/>
      <c r="U40" s="235">
        <f t="shared" si="9"/>
        <v>0</v>
      </c>
      <c r="V40" s="235"/>
    </row>
    <row r="41" spans="1:22" x14ac:dyDescent="0.25">
      <c r="A41" s="244">
        <v>9257030</v>
      </c>
      <c r="B41" s="237" t="s">
        <v>262</v>
      </c>
      <c r="C41" s="238">
        <v>4</v>
      </c>
      <c r="D41" s="1024">
        <f>VLOOKUP(A41,'1819 Revised Bands'!$A$117:$R$134,10,(FALSE))</f>
        <v>0</v>
      </c>
      <c r="E41" s="1024">
        <f>VLOOKUP(A41,'1819 Revised Bands'!$A$117:$R$134,8,(FALSE))</f>
        <v>0</v>
      </c>
      <c r="F41" s="1024">
        <f>VLOOKUP(A41,'1819 Revised Bands'!$A$117:$R$134,14,(FALSE))</f>
        <v>1</v>
      </c>
      <c r="G41" s="1024">
        <f>VLOOKUP(A41,'1819 Revised Bands'!$A$117:$R$134,6,(FALSE))</f>
        <v>0</v>
      </c>
      <c r="H41" s="1024">
        <f>VLOOKUP(A41,'1819 Revised Bands'!$A$117:$R$134,12,(FALSE))</f>
        <v>0</v>
      </c>
      <c r="I41" s="1024">
        <f>VLOOKUP(A41,'1819 Revised Bands'!$A$117:$R$134,16,(FALSE))</f>
        <v>0</v>
      </c>
      <c r="J41" s="1024">
        <f>VLOOKUP(A41,'1819 Revised Bands'!$A$117:$R$134,18,(FALSE))</f>
        <v>0</v>
      </c>
      <c r="K41" s="269">
        <v>0</v>
      </c>
      <c r="L41" s="1025">
        <f t="shared" si="8"/>
        <v>0</v>
      </c>
      <c r="M41" s="1025">
        <f t="shared" si="7"/>
        <v>0</v>
      </c>
      <c r="N41" s="1025">
        <f t="shared" si="10"/>
        <v>0</v>
      </c>
      <c r="O41" s="1026">
        <f t="shared" si="11"/>
        <v>0</v>
      </c>
      <c r="P41" s="1026">
        <f>(VLOOKUP(A41,'1819 Funding Detail'!$A$4:$AN$23,40,FALSE)*4/12)*K41</f>
        <v>0</v>
      </c>
      <c r="Q41" s="235"/>
      <c r="R41" s="235"/>
      <c r="S41" s="235"/>
      <c r="T41" s="235"/>
      <c r="U41" s="235">
        <f t="shared" si="9"/>
        <v>0</v>
      </c>
      <c r="V41" s="235"/>
    </row>
    <row r="42" spans="1:22" x14ac:dyDescent="0.25">
      <c r="A42" s="244">
        <v>9257028</v>
      </c>
      <c r="B42" s="237" t="s">
        <v>215</v>
      </c>
      <c r="C42" s="238">
        <v>5</v>
      </c>
      <c r="D42" s="1024">
        <f>VLOOKUP(A42,'1819 Revised Bands'!$A$117:$R$134,10,(FALSE))</f>
        <v>6.3291139240506333E-2</v>
      </c>
      <c r="E42" s="1024">
        <f>VLOOKUP(A42,'1819 Revised Bands'!$A$117:$R$134,8,(FALSE))</f>
        <v>0.29113924050632911</v>
      </c>
      <c r="F42" s="1024">
        <f>VLOOKUP(A42,'1819 Revised Bands'!$A$117:$R$134,14,(FALSE))</f>
        <v>3.7974683544303799E-2</v>
      </c>
      <c r="G42" s="1024">
        <f>VLOOKUP(A42,'1819 Revised Bands'!$A$117:$R$134,6,(FALSE))</f>
        <v>0.10126582278481013</v>
      </c>
      <c r="H42" s="1024">
        <f>VLOOKUP(A42,'1819 Revised Bands'!$A$117:$R$134,12,(FALSE))</f>
        <v>0.189873417721519</v>
      </c>
      <c r="I42" s="1024">
        <f>VLOOKUP(A42,'1819 Revised Bands'!$A$117:$R$134,16,(FALSE))</f>
        <v>0.12658227848101267</v>
      </c>
      <c r="J42" s="1024">
        <f>VLOOKUP(A42,'1819 Revised Bands'!$A$117:$R$134,18,(FALSE))</f>
        <v>0.189873417721519</v>
      </c>
      <c r="K42" s="269">
        <v>18</v>
      </c>
      <c r="L42" s="1025">
        <f t="shared" si="8"/>
        <v>78085.248652692593</v>
      </c>
      <c r="M42" s="1025">
        <f t="shared" si="7"/>
        <v>600.37974683544303</v>
      </c>
      <c r="N42" s="1025">
        <f t="shared" si="10"/>
        <v>78685.628399528039</v>
      </c>
      <c r="O42" s="1026">
        <f t="shared" si="11"/>
        <v>60000</v>
      </c>
      <c r="P42" s="1026">
        <f>(VLOOKUP(A42,'1819 Funding Detail'!$A$4:$AN$23,40,FALSE)*4/12)*K42</f>
        <v>55036.198746531176</v>
      </c>
      <c r="Q42" s="235"/>
      <c r="R42" s="235"/>
      <c r="S42" s="235"/>
      <c r="T42" s="235"/>
      <c r="U42" s="235">
        <f t="shared" si="9"/>
        <v>25647.437569892387</v>
      </c>
      <c r="V42" s="235"/>
    </row>
    <row r="43" spans="1:22" x14ac:dyDescent="0.25">
      <c r="A43" s="244">
        <v>9257021</v>
      </c>
      <c r="B43" s="237" t="s">
        <v>216</v>
      </c>
      <c r="C43" s="238">
        <v>5</v>
      </c>
      <c r="D43" s="1024">
        <f>VLOOKUP(A43,'1819 Revised Bands'!$A$117:$R$134,10,(FALSE))</f>
        <v>0.29677419354838708</v>
      </c>
      <c r="E43" s="1024">
        <f>VLOOKUP(A43,'1819 Revised Bands'!$A$117:$R$134,8,(FALSE))</f>
        <v>0.29677419354838708</v>
      </c>
      <c r="F43" s="1024">
        <f>VLOOKUP(A43,'1819 Revised Bands'!$A$117:$R$134,14,(FALSE))</f>
        <v>0.12258064516129032</v>
      </c>
      <c r="G43" s="1024">
        <f>VLOOKUP(A43,'1819 Revised Bands'!$A$117:$R$134,6,(FALSE))</f>
        <v>3.870967741935484E-2</v>
      </c>
      <c r="H43" s="1024">
        <f>VLOOKUP(A43,'1819 Revised Bands'!$A$117:$R$134,12,(FALSE))</f>
        <v>9.0322580645161285E-2</v>
      </c>
      <c r="I43" s="1024">
        <f>VLOOKUP(A43,'1819 Revised Bands'!$A$117:$R$134,16,(FALSE))</f>
        <v>0.14193548387096774</v>
      </c>
      <c r="J43" s="1024">
        <f>VLOOKUP(A43,'1819 Revised Bands'!$A$117:$R$134,18,(FALSE))</f>
        <v>1.2903225806451613E-2</v>
      </c>
      <c r="K43" s="269">
        <v>2</v>
      </c>
      <c r="L43" s="1025">
        <f t="shared" si="8"/>
        <v>6213.4592340708014</v>
      </c>
      <c r="M43" s="1025">
        <f t="shared" si="7"/>
        <v>215.33333333333331</v>
      </c>
      <c r="N43" s="1025">
        <f t="shared" si="10"/>
        <v>6428.7925674041344</v>
      </c>
      <c r="O43" s="1026">
        <f t="shared" si="11"/>
        <v>6666.6666666666661</v>
      </c>
      <c r="P43" s="1026">
        <f>(VLOOKUP(A43,'1819 Funding Detail'!$A$4:$AN$23,40,FALSE)*4/12)*K43</f>
        <v>2132.7181919580257</v>
      </c>
      <c r="Q43" s="235"/>
      <c r="R43" s="235"/>
      <c r="S43" s="235"/>
      <c r="T43" s="235"/>
      <c r="U43" s="235">
        <f t="shared" si="9"/>
        <v>193.65807101758648</v>
      </c>
      <c r="V43" s="235"/>
    </row>
    <row r="44" spans="1:22" x14ac:dyDescent="0.25">
      <c r="A44" s="244">
        <v>9257015</v>
      </c>
      <c r="B44" s="237" t="s">
        <v>217</v>
      </c>
      <c r="C44" s="238">
        <v>6</v>
      </c>
      <c r="D44" s="1024">
        <f>VLOOKUP(A44,'1819 Revised Bands'!$A$117:$R$134,10,(FALSE))</f>
        <v>0.49808429118773945</v>
      </c>
      <c r="E44" s="1024">
        <f>VLOOKUP(A44,'1819 Revised Bands'!$A$117:$R$134,8,(FALSE))</f>
        <v>0.19923371647509577</v>
      </c>
      <c r="F44" s="1024">
        <f>VLOOKUP(A44,'1819 Revised Bands'!$A$117:$R$134,14,(FALSE))</f>
        <v>4.2145593869731802E-2</v>
      </c>
      <c r="G44" s="1024">
        <f>VLOOKUP(A44,'1819 Revised Bands'!$A$117:$R$134,6,(FALSE))</f>
        <v>3.8314176245210725E-2</v>
      </c>
      <c r="H44" s="1024">
        <f>VLOOKUP(A44,'1819 Revised Bands'!$A$117:$R$134,12,(FALSE))</f>
        <v>6.5134099616858232E-2</v>
      </c>
      <c r="I44" s="1024">
        <f>VLOOKUP(A44,'1819 Revised Bands'!$A$117:$R$134,16,(FALSE))</f>
        <v>0.13793103448275862</v>
      </c>
      <c r="J44" s="1024">
        <f>VLOOKUP(A44,'1819 Revised Bands'!$A$117:$R$134,18,(FALSE))</f>
        <v>1.9157088122605363E-2</v>
      </c>
      <c r="K44" s="269">
        <v>28</v>
      </c>
      <c r="L44" s="1025">
        <f t="shared" si="8"/>
        <v>80516.264098971486</v>
      </c>
      <c r="M44" s="1025">
        <f t="shared" si="7"/>
        <v>1036.500638569604</v>
      </c>
      <c r="N44" s="1025">
        <f t="shared" si="10"/>
        <v>81552.764737541089</v>
      </c>
      <c r="O44" s="1026">
        <f t="shared" si="11"/>
        <v>93333.333333333328</v>
      </c>
      <c r="P44" s="1026">
        <f>(VLOOKUP(A44,'1819 Funding Detail'!$A$4:$AN$23,40,FALSE)*4/12)*K44</f>
        <v>11113.369021342956</v>
      </c>
      <c r="Q44" s="235"/>
      <c r="R44" s="235"/>
      <c r="S44" s="235"/>
      <c r="T44" s="235"/>
      <c r="U44" s="235">
        <f t="shared" si="9"/>
        <v>4025.2683343693734</v>
      </c>
      <c r="V44" s="235"/>
    </row>
    <row r="45" spans="1:22" x14ac:dyDescent="0.25">
      <c r="A45" s="244">
        <v>9257016</v>
      </c>
      <c r="B45" s="237" t="s">
        <v>219</v>
      </c>
      <c r="C45" s="238">
        <v>6</v>
      </c>
      <c r="D45" s="1024">
        <f>VLOOKUP(A45,'1819 Revised Bands'!$A$117:$R$134,10,(FALSE))</f>
        <v>0.25170068027210885</v>
      </c>
      <c r="E45" s="1024">
        <f>VLOOKUP(A45,'1819 Revised Bands'!$A$117:$R$134,8,(FALSE))</f>
        <v>6.8027210884353748E-2</v>
      </c>
      <c r="F45" s="1024">
        <f>VLOOKUP(A45,'1819 Revised Bands'!$A$117:$R$134,14,(FALSE))</f>
        <v>0</v>
      </c>
      <c r="G45" s="1024">
        <f>VLOOKUP(A45,'1819 Revised Bands'!$A$117:$R$134,6,(FALSE))</f>
        <v>0.16326530612244897</v>
      </c>
      <c r="H45" s="1024">
        <f>VLOOKUP(A45,'1819 Revised Bands'!$A$117:$R$134,12,(FALSE))</f>
        <v>0.25170068027210885</v>
      </c>
      <c r="I45" s="1024">
        <f>VLOOKUP(A45,'1819 Revised Bands'!$A$117:$R$134,16,(FALSE))</f>
        <v>6.8027210884353739E-3</v>
      </c>
      <c r="J45" s="1024">
        <f>VLOOKUP(A45,'1819 Revised Bands'!$A$117:$R$134,18,(FALSE))</f>
        <v>0.25850340136054423</v>
      </c>
      <c r="K45" s="269">
        <v>57</v>
      </c>
      <c r="L45" s="1025">
        <f t="shared" si="8"/>
        <v>259191.64802977513</v>
      </c>
      <c r="M45" s="1025">
        <f t="shared" si="7"/>
        <v>0</v>
      </c>
      <c r="N45" s="1025">
        <f t="shared" si="10"/>
        <v>259191.64802977513</v>
      </c>
      <c r="O45" s="1026">
        <f t="shared" si="11"/>
        <v>190000</v>
      </c>
      <c r="P45" s="1026">
        <f>(VLOOKUP(A45,'1819 Funding Detail'!$A$4:$AN$23,40,FALSE)*4/12)*K45</f>
        <v>145346.12802977517</v>
      </c>
      <c r="Q45" s="299" t="s">
        <v>207</v>
      </c>
      <c r="R45" s="235"/>
      <c r="S45" s="235"/>
      <c r="T45" s="235"/>
      <c r="U45" s="235">
        <f t="shared" si="9"/>
        <v>110572.8302427454</v>
      </c>
      <c r="V45" s="235"/>
    </row>
    <row r="46" spans="1:22" x14ac:dyDescent="0.25">
      <c r="A46" s="249"/>
      <c r="B46" s="36"/>
      <c r="C46" s="234"/>
      <c r="D46" s="268"/>
      <c r="E46" s="268"/>
      <c r="F46" s="299" t="s">
        <v>207</v>
      </c>
      <c r="G46" s="268"/>
      <c r="H46" s="268"/>
      <c r="I46" s="268"/>
      <c r="J46" s="299" t="s">
        <v>207</v>
      </c>
      <c r="K46" s="36"/>
      <c r="L46" s="269"/>
      <c r="M46" s="269"/>
      <c r="N46" s="299" t="s">
        <v>207</v>
      </c>
      <c r="O46" s="235"/>
      <c r="P46" s="235"/>
      <c r="Q46" s="235"/>
      <c r="R46" s="269"/>
      <c r="S46" s="269"/>
      <c r="T46" s="36"/>
      <c r="U46" s="234"/>
      <c r="V46" s="36"/>
    </row>
    <row r="47" spans="1:22" ht="13" x14ac:dyDescent="0.3">
      <c r="A47" s="93" t="s">
        <v>270</v>
      </c>
      <c r="B47" s="36"/>
      <c r="C47" s="36"/>
      <c r="D47" s="36"/>
      <c r="E47" s="36"/>
      <c r="F47" s="36"/>
      <c r="G47" s="36"/>
      <c r="H47" s="36"/>
      <c r="I47" s="36"/>
      <c r="J47" s="36"/>
      <c r="K47" s="234"/>
      <c r="L47" s="234"/>
      <c r="M47" s="36"/>
      <c r="N47" s="36"/>
      <c r="O47" s="36"/>
      <c r="P47" s="36"/>
      <c r="Q47" s="36"/>
      <c r="R47" s="36"/>
      <c r="S47" s="36"/>
      <c r="T47" s="36"/>
      <c r="U47" s="234"/>
      <c r="V47" s="36"/>
    </row>
    <row r="48" spans="1:22" x14ac:dyDescent="0.25">
      <c r="A48" s="36"/>
      <c r="B48" s="36"/>
      <c r="C48" s="36"/>
      <c r="D48" s="36"/>
      <c r="E48" s="36"/>
      <c r="F48" s="36"/>
      <c r="G48" s="36"/>
      <c r="H48" s="36"/>
      <c r="I48" s="36"/>
      <c r="J48" s="36"/>
      <c r="K48" s="94" t="s">
        <v>830</v>
      </c>
      <c r="L48" s="234"/>
      <c r="M48" s="36"/>
      <c r="N48" s="36"/>
      <c r="O48" s="36"/>
      <c r="P48" s="36"/>
      <c r="Q48" s="36"/>
      <c r="R48" s="1445" t="s">
        <v>238</v>
      </c>
      <c r="S48" s="1446"/>
      <c r="T48" s="36"/>
      <c r="U48" s="234"/>
      <c r="V48" s="36"/>
    </row>
    <row r="49" spans="1:23" ht="39.75" customHeight="1" x14ac:dyDescent="0.25">
      <c r="A49" s="265" t="s">
        <v>182</v>
      </c>
      <c r="B49" s="237" t="s">
        <v>183</v>
      </c>
      <c r="C49" s="238" t="s">
        <v>184</v>
      </c>
      <c r="D49" s="234" t="s">
        <v>823</v>
      </c>
      <c r="E49" s="234" t="s">
        <v>824</v>
      </c>
      <c r="F49" s="234" t="s">
        <v>825</v>
      </c>
      <c r="G49" s="234" t="s">
        <v>826</v>
      </c>
      <c r="H49" s="234" t="s">
        <v>827</v>
      </c>
      <c r="I49" s="234" t="s">
        <v>828</v>
      </c>
      <c r="J49" s="234" t="s">
        <v>829</v>
      </c>
      <c r="K49" s="243" t="s">
        <v>245</v>
      </c>
      <c r="L49" s="243" t="s">
        <v>246</v>
      </c>
      <c r="M49" s="243" t="s">
        <v>247</v>
      </c>
      <c r="N49" s="243" t="s">
        <v>271</v>
      </c>
      <c r="O49" s="243" t="s">
        <v>272</v>
      </c>
      <c r="P49" s="243" t="s">
        <v>273</v>
      </c>
      <c r="Q49" s="243" t="s">
        <v>274</v>
      </c>
      <c r="R49" s="277" t="s">
        <v>275</v>
      </c>
      <c r="S49" s="320" t="s">
        <v>276</v>
      </c>
      <c r="T49" s="36"/>
      <c r="U49" s="234"/>
      <c r="V49" s="36"/>
      <c r="W49" s="36"/>
    </row>
    <row r="50" spans="1:23" x14ac:dyDescent="0.25">
      <c r="A50" s="244">
        <v>9257010</v>
      </c>
      <c r="B50" s="237" t="s">
        <v>205</v>
      </c>
      <c r="C50" s="238">
        <v>4</v>
      </c>
      <c r="D50" s="1024">
        <f>VLOOKUP(A50,'1819 Revised Bands'!$A$117:$R$134,10,(FALSE))</f>
        <v>5.7692307692307696E-2</v>
      </c>
      <c r="E50" s="1024">
        <f>VLOOKUP(A50,'1819 Revised Bands'!$A$117:$R$134,8,(FALSE))</f>
        <v>0.28846153846153844</v>
      </c>
      <c r="F50" s="1024">
        <f>VLOOKUP(A50,'1819 Revised Bands'!$A$117:$R$134,14,(FALSE))</f>
        <v>9.6153846153846159E-2</v>
      </c>
      <c r="G50" s="1024">
        <f>VLOOKUP(A50,'1819 Revised Bands'!$A$117:$R$134,6,(FALSE))</f>
        <v>0.11538461538461539</v>
      </c>
      <c r="H50" s="1024">
        <f>VLOOKUP(A50,'1819 Revised Bands'!$A$117:$R$134,12,(FALSE))</f>
        <v>3.8461538461538464E-2</v>
      </c>
      <c r="I50" s="1024">
        <f>VLOOKUP(A50,'1819 Revised Bands'!$A$117:$R$134,16,(FALSE))</f>
        <v>0.25</v>
      </c>
      <c r="J50" s="1024">
        <f>VLOOKUP(A50,'1819 Revised Bands'!$A$117:$R$134,18,(FALSE))</f>
        <v>0.15384615384615385</v>
      </c>
      <c r="K50" s="269">
        <v>0</v>
      </c>
      <c r="L50" s="233">
        <v>47</v>
      </c>
      <c r="M50" s="269">
        <f>SUM(K50:L50)</f>
        <v>47</v>
      </c>
      <c r="N50" s="235">
        <f t="shared" ref="N50:N67" si="12">((((K50*G50)*$G$92)+((K50*E50)*$G$94)+((K50*D50)*$G$98)+((K50*H50)*$G$100)+((K50*F50)*$G$104)))*(7/12)</f>
        <v>0</v>
      </c>
      <c r="O50" s="1025">
        <f>((((L50*D50)*$G$92)+((L50*E50)*$G$94)+((L50*F50)*$G$96)+((L50*G50)*$G$98)+((L50*H50)*$G$100)+((L50*I50)*$G$102)+((L50*J50)*$G$104))*(7/12))</f>
        <v>348778.47182330344</v>
      </c>
      <c r="P50" s="1025">
        <f t="shared" ref="P50:P67" si="13">((F50*M50)*$G$106)*(7/12)</f>
        <v>6946.4342948717949</v>
      </c>
      <c r="Q50" s="1025">
        <f>SUM(N50:P50)</f>
        <v>355724.90611817525</v>
      </c>
      <c r="R50" s="1026">
        <f>(M50*(7/12))*10000</f>
        <v>274166.66666666669</v>
      </c>
      <c r="S50" s="1026">
        <f>(VLOOKUP(A50,'1819 Funding Detail'!$A$4:$AN$23,40,FALSE)*7/12)*M50</f>
        <v>302719.06497234182</v>
      </c>
      <c r="T50" s="235"/>
      <c r="U50" s="235">
        <f>SUM(J50*L50*$G$104)*7/12</f>
        <v>94957.628187902141</v>
      </c>
      <c r="V50" s="297" t="s">
        <v>207</v>
      </c>
      <c r="W50" s="296" t="s">
        <v>277</v>
      </c>
    </row>
    <row r="51" spans="1:23" x14ac:dyDescent="0.25">
      <c r="A51" s="244">
        <v>9257005</v>
      </c>
      <c r="B51" s="237" t="s">
        <v>208</v>
      </c>
      <c r="C51" s="238">
        <v>4</v>
      </c>
      <c r="D51" s="1024">
        <f>VLOOKUP(A51,'1819 Revised Bands'!$A$117:$R$134,10,(FALSE))</f>
        <v>9.3333333333333338E-2</v>
      </c>
      <c r="E51" s="1024">
        <f>VLOOKUP(A51,'1819 Revised Bands'!$A$117:$R$134,8,(FALSE))</f>
        <v>0.22666666666666666</v>
      </c>
      <c r="F51" s="1024">
        <f>VLOOKUP(A51,'1819 Revised Bands'!$A$117:$R$134,14,(FALSE))</f>
        <v>0.16</v>
      </c>
      <c r="G51" s="1024">
        <f>VLOOKUP(A51,'1819 Revised Bands'!$A$117:$R$134,6,(FALSE))</f>
        <v>0.13333333333333333</v>
      </c>
      <c r="H51" s="1024">
        <f>VLOOKUP(A51,'1819 Revised Bands'!$A$117:$R$134,12,(FALSE))</f>
        <v>9.3333333333333338E-2</v>
      </c>
      <c r="I51" s="1024">
        <f>VLOOKUP(A51,'1819 Revised Bands'!$A$117:$R$134,16,(FALSE))</f>
        <v>0.2</v>
      </c>
      <c r="J51" s="1024">
        <f>VLOOKUP(A51,'1819 Revised Bands'!$A$117:$R$134,18,(FALSE))</f>
        <v>9.3333333333333338E-2</v>
      </c>
      <c r="K51" s="269">
        <v>0</v>
      </c>
      <c r="L51" s="233">
        <v>43</v>
      </c>
      <c r="M51" s="269">
        <f t="shared" ref="M51:M67" si="14">SUM(K51:L51)</f>
        <v>43</v>
      </c>
      <c r="N51" s="235">
        <f t="shared" si="12"/>
        <v>0</v>
      </c>
      <c r="O51" s="1025">
        <f t="shared" ref="O51:O67" si="15">((((L51*D51)*$G$92)+((L51*E51)*$G$94)+((L51*F51)*$G$96)+((L51*G51)*$G$98)+((L51*H51)*$G$100)+((L51*I51)*$G$102)+((L51*J51)*$G$104))*(7/12))</f>
        <v>304430.75805979141</v>
      </c>
      <c r="P51" s="1025">
        <f t="shared" si="13"/>
        <v>10575.133333333333</v>
      </c>
      <c r="Q51" s="1025">
        <f t="shared" ref="Q51:Q67" si="16">SUM(N51:P51)</f>
        <v>315005.89139312477</v>
      </c>
      <c r="R51" s="1026">
        <f t="shared" ref="R51:R67" si="17">(M51*(7/12))*10000</f>
        <v>250833.33333333334</v>
      </c>
      <c r="S51" s="1026">
        <f>(VLOOKUP(A51,'1819 Funding Detail'!$A$4:$AN$23,40,FALSE)*7/12)*M51</f>
        <v>218883.78118052022</v>
      </c>
      <c r="T51" s="235"/>
      <c r="U51" s="235">
        <f t="shared" ref="U51:U67" si="18">SUM(J51*L51*$G$104)*7/12</f>
        <v>52704.850936065406</v>
      </c>
      <c r="V51" s="235"/>
      <c r="W51" s="36"/>
    </row>
    <row r="52" spans="1:23" x14ac:dyDescent="0.25">
      <c r="A52" s="244">
        <v>9257025</v>
      </c>
      <c r="B52" s="237" t="s">
        <v>209</v>
      </c>
      <c r="C52" s="238">
        <v>4</v>
      </c>
      <c r="D52" s="1024">
        <f>VLOOKUP(A52,'1819 Revised Bands'!$A$117:$R$134,10,(FALSE))</f>
        <v>0.17910447761194029</v>
      </c>
      <c r="E52" s="1024">
        <f>VLOOKUP(A52,'1819 Revised Bands'!$A$117:$R$134,8,(FALSE))</f>
        <v>0.26865671641791045</v>
      </c>
      <c r="F52" s="1024">
        <f>VLOOKUP(A52,'1819 Revised Bands'!$A$117:$R$134,14,(FALSE))</f>
        <v>0.14925373134328357</v>
      </c>
      <c r="G52" s="1024">
        <f>VLOOKUP(A52,'1819 Revised Bands'!$A$117:$R$134,6,(FALSE))</f>
        <v>4.4776119402985072E-2</v>
      </c>
      <c r="H52" s="1024">
        <f>VLOOKUP(A52,'1819 Revised Bands'!$A$117:$R$134,12,(FALSE))</f>
        <v>0.14925373134328357</v>
      </c>
      <c r="I52" s="1024">
        <f>VLOOKUP(A52,'1819 Revised Bands'!$A$117:$R$134,16,(FALSE))</f>
        <v>0.11940298507462686</v>
      </c>
      <c r="J52" s="1024">
        <f>VLOOKUP(A52,'1819 Revised Bands'!$A$117:$R$134,18,(FALSE))</f>
        <v>8.9552238805970144E-2</v>
      </c>
      <c r="K52" s="269">
        <v>0</v>
      </c>
      <c r="L52" s="233">
        <v>49</v>
      </c>
      <c r="M52" s="269">
        <f t="shared" si="14"/>
        <v>49</v>
      </c>
      <c r="N52" s="235">
        <f t="shared" si="12"/>
        <v>0</v>
      </c>
      <c r="O52" s="1025">
        <f t="shared" si="15"/>
        <v>315950.8872700613</v>
      </c>
      <c r="P52" s="1025">
        <f t="shared" si="13"/>
        <v>11241.355721393034</v>
      </c>
      <c r="Q52" s="1025">
        <f t="shared" si="16"/>
        <v>327192.24299145432</v>
      </c>
      <c r="R52" s="1026">
        <f t="shared" si="17"/>
        <v>285833.33333333337</v>
      </c>
      <c r="S52" s="1026">
        <f>(VLOOKUP(A52,'1819 Funding Detail'!$A$4:$AN$23,40,FALSE)*7/12)*M52</f>
        <v>237472.39958255418</v>
      </c>
      <c r="T52" s="235"/>
      <c r="U52" s="235">
        <f t="shared" si="18"/>
        <v>57625.921710727525</v>
      </c>
      <c r="V52" s="235"/>
      <c r="W52" s="36"/>
    </row>
    <row r="53" spans="1:23" x14ac:dyDescent="0.25">
      <c r="A53" s="244">
        <v>9257011</v>
      </c>
      <c r="B53" s="237" t="s">
        <v>210</v>
      </c>
      <c r="C53" s="238">
        <v>4</v>
      </c>
      <c r="D53" s="1024">
        <f>VLOOKUP(A53,'1819 Revised Bands'!$A$117:$R$134,10,(FALSE))</f>
        <v>0.1111111111111111</v>
      </c>
      <c r="E53" s="1024">
        <f>VLOOKUP(A53,'1819 Revised Bands'!$A$117:$R$134,8,(FALSE))</f>
        <v>0.31481481481481483</v>
      </c>
      <c r="F53" s="1024">
        <f>VLOOKUP(A53,'1819 Revised Bands'!$A$117:$R$134,14,(FALSE))</f>
        <v>5.5555555555555552E-2</v>
      </c>
      <c r="G53" s="1024">
        <f>VLOOKUP(A53,'1819 Revised Bands'!$A$117:$R$134,6,(FALSE))</f>
        <v>0.12962962962962962</v>
      </c>
      <c r="H53" s="1024">
        <f>VLOOKUP(A53,'1819 Revised Bands'!$A$117:$R$134,12,(FALSE))</f>
        <v>0.14814814814814814</v>
      </c>
      <c r="I53" s="1024">
        <f>VLOOKUP(A53,'1819 Revised Bands'!$A$117:$R$134,16,(FALSE))</f>
        <v>0.12962962962962962</v>
      </c>
      <c r="J53" s="1024">
        <f>VLOOKUP(A53,'1819 Revised Bands'!$A$117:$R$134,18,(FALSE))</f>
        <v>0.1111111111111111</v>
      </c>
      <c r="K53" s="269">
        <v>0</v>
      </c>
      <c r="L53" s="233">
        <v>44</v>
      </c>
      <c r="M53" s="269">
        <f t="shared" si="14"/>
        <v>44</v>
      </c>
      <c r="N53" s="235">
        <f t="shared" si="12"/>
        <v>0</v>
      </c>
      <c r="O53" s="1025">
        <f t="shared" si="15"/>
        <v>301159.93811526976</v>
      </c>
      <c r="P53" s="1025">
        <f t="shared" si="13"/>
        <v>3757.3148148148148</v>
      </c>
      <c r="Q53" s="1025">
        <f t="shared" si="16"/>
        <v>304917.25293008459</v>
      </c>
      <c r="R53" s="1026">
        <f t="shared" si="17"/>
        <v>256666.66666666669</v>
      </c>
      <c r="S53" s="1026">
        <f>(VLOOKUP(A53,'1819 Funding Detail'!$A$4:$AN$23,40,FALSE)*7/12)*M53</f>
        <v>240300.85709070385</v>
      </c>
      <c r="T53" s="235"/>
      <c r="U53" s="235">
        <f t="shared" si="18"/>
        <v>64203.029933191508</v>
      </c>
      <c r="V53" s="235"/>
      <c r="W53" s="36"/>
    </row>
    <row r="54" spans="1:23" x14ac:dyDescent="0.25">
      <c r="A54" s="244">
        <v>9257024</v>
      </c>
      <c r="B54" s="237" t="s">
        <v>211</v>
      </c>
      <c r="C54" s="238">
        <v>3</v>
      </c>
      <c r="D54" s="1024">
        <f>VLOOKUP(A54,'1819 Revised Bands'!$A$117:$R$134,10,(FALSE))</f>
        <v>0.11594202898550725</v>
      </c>
      <c r="E54" s="1024">
        <f>VLOOKUP(A54,'1819 Revised Bands'!$A$117:$R$134,8,(FALSE))</f>
        <v>0.34782608695652173</v>
      </c>
      <c r="F54" s="1024">
        <f>VLOOKUP(A54,'1819 Revised Bands'!$A$117:$R$134,14,(FALSE))</f>
        <v>5.7971014492753624E-2</v>
      </c>
      <c r="G54" s="1024">
        <f>VLOOKUP(A54,'1819 Revised Bands'!$A$117:$R$134,6,(FALSE))</f>
        <v>8.6956521739130432E-2</v>
      </c>
      <c r="H54" s="1024">
        <f>VLOOKUP(A54,'1819 Revised Bands'!$A$117:$R$134,12,(FALSE))</f>
        <v>0.15942028985507245</v>
      </c>
      <c r="I54" s="1024">
        <f>VLOOKUP(A54,'1819 Revised Bands'!$A$117:$R$134,16,(FALSE))</f>
        <v>0.10144927536231885</v>
      </c>
      <c r="J54" s="1024">
        <f>VLOOKUP(A54,'1819 Revised Bands'!$A$117:$R$134,18,(FALSE))</f>
        <v>0.13043478260869565</v>
      </c>
      <c r="K54" s="269">
        <v>0</v>
      </c>
      <c r="L54" s="233">
        <v>68</v>
      </c>
      <c r="M54" s="269">
        <f t="shared" si="14"/>
        <v>68</v>
      </c>
      <c r="N54" s="235">
        <f t="shared" si="12"/>
        <v>0</v>
      </c>
      <c r="O54" s="1025">
        <f t="shared" si="15"/>
        <v>459733.66518199159</v>
      </c>
      <c r="P54" s="1025">
        <f t="shared" si="13"/>
        <v>6059.2270531400973</v>
      </c>
      <c r="Q54" s="1025">
        <f t="shared" si="16"/>
        <v>465792.8922351317</v>
      </c>
      <c r="R54" s="1026">
        <f t="shared" si="17"/>
        <v>396666.66666666669</v>
      </c>
      <c r="S54" s="1026">
        <f>(VLOOKUP(A54,'1819 Funding Detail'!$A$4:$AN$23,40,FALSE)*7/12)*M54</f>
        <v>311905.65251723997</v>
      </c>
      <c r="T54" s="235"/>
      <c r="U54" s="235">
        <f t="shared" si="18"/>
        <v>116479.01477997987</v>
      </c>
      <c r="V54" s="235"/>
      <c r="W54" s="36"/>
    </row>
    <row r="55" spans="1:23" x14ac:dyDescent="0.25">
      <c r="A55" s="244">
        <v>9257031</v>
      </c>
      <c r="B55" s="237" t="s">
        <v>257</v>
      </c>
      <c r="C55" s="238">
        <v>4</v>
      </c>
      <c r="D55" s="1024">
        <f>VLOOKUP(A55,'1819 Revised Bands'!$A$117:$R$134,10,(FALSE))</f>
        <v>0</v>
      </c>
      <c r="E55" s="1024">
        <f>VLOOKUP(A55,'1819 Revised Bands'!$A$117:$R$134,8,(FALSE))</f>
        <v>0</v>
      </c>
      <c r="F55" s="1024">
        <f>VLOOKUP(A55,'1819 Revised Bands'!$A$117:$R$134,14,(FALSE))</f>
        <v>1</v>
      </c>
      <c r="G55" s="1024">
        <f>VLOOKUP(A55,'1819 Revised Bands'!$A$117:$R$134,6,(FALSE))</f>
        <v>0</v>
      </c>
      <c r="H55" s="1024">
        <f>VLOOKUP(A55,'1819 Revised Bands'!$A$117:$R$134,12,(FALSE))</f>
        <v>0</v>
      </c>
      <c r="I55" s="1024">
        <f>VLOOKUP(A55,'1819 Revised Bands'!$A$117:$R$134,16,(FALSE))</f>
        <v>0</v>
      </c>
      <c r="J55" s="1024">
        <f>VLOOKUP(A55,'1819 Revised Bands'!$A$117:$R$134,18,(FALSE))</f>
        <v>0</v>
      </c>
      <c r="K55" s="269">
        <v>0</v>
      </c>
      <c r="L55" s="233">
        <v>72</v>
      </c>
      <c r="M55" s="269">
        <f t="shared" si="14"/>
        <v>72</v>
      </c>
      <c r="N55" s="235">
        <f t="shared" si="12"/>
        <v>0</v>
      </c>
      <c r="O55" s="1025">
        <f t="shared" si="15"/>
        <v>473063.31732175004</v>
      </c>
      <c r="P55" s="1025">
        <f t="shared" si="13"/>
        <v>110670</v>
      </c>
      <c r="Q55" s="1025">
        <f t="shared" si="16"/>
        <v>583733.3173217501</v>
      </c>
      <c r="R55" s="1026">
        <f t="shared" si="17"/>
        <v>420000</v>
      </c>
      <c r="S55" s="1026">
        <f>(VLOOKUP(A55,'1819 Funding Detail'!$A$4:$AN$23,40,FALSE)*7/12)*M55</f>
        <v>433602.81634264247</v>
      </c>
      <c r="T55" s="235"/>
      <c r="U55" s="235">
        <f t="shared" si="18"/>
        <v>0</v>
      </c>
      <c r="V55" s="235"/>
      <c r="W55" s="36"/>
    </row>
    <row r="56" spans="1:23" x14ac:dyDescent="0.25">
      <c r="A56" s="244">
        <v>9257033</v>
      </c>
      <c r="B56" s="237" t="s">
        <v>220</v>
      </c>
      <c r="C56" s="238">
        <v>3</v>
      </c>
      <c r="D56" s="1024">
        <f>VLOOKUP(A56,'1819 Revised Bands'!$A$117:$R$134,10,(FALSE))</f>
        <v>0.31395348837209303</v>
      </c>
      <c r="E56" s="1024">
        <f>VLOOKUP(A56,'1819 Revised Bands'!$A$117:$R$134,8,(FALSE))</f>
        <v>0.19767441860465115</v>
      </c>
      <c r="F56" s="1024">
        <f>VLOOKUP(A56,'1819 Revised Bands'!$A$117:$R$134,14,(FALSE))</f>
        <v>0.22093023255813954</v>
      </c>
      <c r="G56" s="1024">
        <f>VLOOKUP(A56,'1819 Revised Bands'!$A$117:$R$134,6,(FALSE))</f>
        <v>6.9767441860465115E-2</v>
      </c>
      <c r="H56" s="1024">
        <f>VLOOKUP(A56,'1819 Revised Bands'!$A$117:$R$134,12,(FALSE))</f>
        <v>0.10465116279069768</v>
      </c>
      <c r="I56" s="1024">
        <f>VLOOKUP(A56,'1819 Revised Bands'!$A$117:$R$134,16,(FALSE))</f>
        <v>9.3023255813953487E-2</v>
      </c>
      <c r="J56" s="1024">
        <f>VLOOKUP(A56,'1819 Revised Bands'!$A$117:$R$134,18,(FALSE))</f>
        <v>0</v>
      </c>
      <c r="K56" s="269">
        <v>0</v>
      </c>
      <c r="L56" s="233">
        <v>93</v>
      </c>
      <c r="M56" s="269">
        <f t="shared" si="14"/>
        <v>93</v>
      </c>
      <c r="N56" s="235">
        <f t="shared" si="12"/>
        <v>0</v>
      </c>
      <c r="O56" s="1025">
        <f t="shared" si="15"/>
        <v>513598.42081396596</v>
      </c>
      <c r="P56" s="1025">
        <f t="shared" si="13"/>
        <v>31581.700581395351</v>
      </c>
      <c r="Q56" s="1025">
        <f t="shared" si="16"/>
        <v>545180.12139536126</v>
      </c>
      <c r="R56" s="1026">
        <f t="shared" si="17"/>
        <v>542500</v>
      </c>
      <c r="S56" s="1026">
        <f>(VLOOKUP(A56,'1819 Funding Detail'!$A$4:$AN$23,40,FALSE)*7/12)*M56</f>
        <v>282775.89648829802</v>
      </c>
      <c r="T56" s="235"/>
      <c r="U56" s="235">
        <f t="shared" si="18"/>
        <v>0</v>
      </c>
      <c r="V56" s="235"/>
      <c r="W56" s="36"/>
    </row>
    <row r="57" spans="1:23" x14ac:dyDescent="0.25">
      <c r="A57" s="244">
        <v>9257008</v>
      </c>
      <c r="B57" s="237" t="s">
        <v>212</v>
      </c>
      <c r="C57" s="238">
        <v>4</v>
      </c>
      <c r="D57" s="1024">
        <f>VLOOKUP(A57,'1819 Revised Bands'!$A$117:$R$134,10,(FALSE))</f>
        <v>4.3956043956043959E-2</v>
      </c>
      <c r="E57" s="1024">
        <f>VLOOKUP(A57,'1819 Revised Bands'!$A$117:$R$134,8,(FALSE))</f>
        <v>0.61538461538461542</v>
      </c>
      <c r="F57" s="1024">
        <f>VLOOKUP(A57,'1819 Revised Bands'!$A$117:$R$134,14,(FALSE))</f>
        <v>0.15384615384615385</v>
      </c>
      <c r="G57" s="1024">
        <f>VLOOKUP(A57,'1819 Revised Bands'!$A$117:$R$134,6,(FALSE))</f>
        <v>2.197802197802198E-2</v>
      </c>
      <c r="H57" s="1024">
        <f>VLOOKUP(A57,'1819 Revised Bands'!$A$117:$R$134,12,(FALSE))</f>
        <v>2.197802197802198E-2</v>
      </c>
      <c r="I57" s="1024">
        <f>VLOOKUP(A57,'1819 Revised Bands'!$A$117:$R$134,16,(FALSE))</f>
        <v>0.14285714285714285</v>
      </c>
      <c r="J57" s="1024">
        <f>VLOOKUP(A57,'1819 Revised Bands'!$A$117:$R$134,18,(FALSE))</f>
        <v>0</v>
      </c>
      <c r="K57" s="269">
        <v>0</v>
      </c>
      <c r="L57" s="233">
        <v>95</v>
      </c>
      <c r="M57" s="269">
        <f t="shared" si="14"/>
        <v>95</v>
      </c>
      <c r="N57" s="235">
        <f t="shared" si="12"/>
        <v>0</v>
      </c>
      <c r="O57" s="1025">
        <f t="shared" si="15"/>
        <v>494790.47197192715</v>
      </c>
      <c r="P57" s="1025">
        <f t="shared" si="13"/>
        <v>22465.064102564109</v>
      </c>
      <c r="Q57" s="1025">
        <f t="shared" si="16"/>
        <v>517255.53607449128</v>
      </c>
      <c r="R57" s="1026">
        <f t="shared" si="17"/>
        <v>554166.66666666674</v>
      </c>
      <c r="S57" s="1026">
        <f>(VLOOKUP(A57,'1819 Funding Detail'!$A$4:$AN$23,40,FALSE)*7/12)*M57</f>
        <v>237594.24922845216</v>
      </c>
      <c r="T57" s="235"/>
      <c r="U57" s="235">
        <f t="shared" si="18"/>
        <v>0</v>
      </c>
      <c r="V57" s="235"/>
      <c r="W57" s="36"/>
    </row>
    <row r="58" spans="1:23" x14ac:dyDescent="0.25">
      <c r="A58" s="244">
        <v>9257034</v>
      </c>
      <c r="B58" s="237" t="s">
        <v>221</v>
      </c>
      <c r="C58" s="238">
        <v>5</v>
      </c>
      <c r="D58" s="1024">
        <f>VLOOKUP(A58,'1819 Revised Bands'!$A$117:$R$134,10,(FALSE))</f>
        <v>0.42105263157894735</v>
      </c>
      <c r="E58" s="1024">
        <f>VLOOKUP(A58,'1819 Revised Bands'!$A$117:$R$134,8,(FALSE))</f>
        <v>0.16666666666666666</v>
      </c>
      <c r="F58" s="1024">
        <f>VLOOKUP(A58,'1819 Revised Bands'!$A$117:$R$134,14,(FALSE))</f>
        <v>0.26315789473684209</v>
      </c>
      <c r="G58" s="1024">
        <f>VLOOKUP(A58,'1819 Revised Bands'!$A$117:$R$134,6,(FALSE))</f>
        <v>4.3859649122807015E-2</v>
      </c>
      <c r="H58" s="1024">
        <f>VLOOKUP(A58,'1819 Revised Bands'!$A$117:$R$134,12,(FALSE))</f>
        <v>3.5087719298245612E-2</v>
      </c>
      <c r="I58" s="1024">
        <f>VLOOKUP(A58,'1819 Revised Bands'!$A$117:$R$134,16,(FALSE))</f>
        <v>4.3859649122807015E-2</v>
      </c>
      <c r="J58" s="1024">
        <f>VLOOKUP(A58,'1819 Revised Bands'!$A$117:$R$134,18,(FALSE))</f>
        <v>2.6315789473684209E-2</v>
      </c>
      <c r="K58" s="269">
        <v>0</v>
      </c>
      <c r="L58" s="233">
        <v>78</v>
      </c>
      <c r="M58" s="269">
        <f t="shared" si="14"/>
        <v>78</v>
      </c>
      <c r="N58" s="235">
        <f t="shared" si="12"/>
        <v>0</v>
      </c>
      <c r="O58" s="1025">
        <f t="shared" si="15"/>
        <v>403585.22562739509</v>
      </c>
      <c r="P58" s="1025">
        <f t="shared" si="13"/>
        <v>31550.65789473684</v>
      </c>
      <c r="Q58" s="1025">
        <f t="shared" si="16"/>
        <v>435135.88352213195</v>
      </c>
      <c r="R58" s="1026">
        <f t="shared" si="17"/>
        <v>455000</v>
      </c>
      <c r="S58" s="1026">
        <f>(VLOOKUP(A58,'1819 Funding Detail'!$A$4:$AN$23,40,FALSE)*7/12)*M58</f>
        <v>177939.73977213184</v>
      </c>
      <c r="T58" s="235"/>
      <c r="U58" s="235">
        <f t="shared" si="18"/>
        <v>26956.056826017008</v>
      </c>
      <c r="V58" s="235"/>
      <c r="W58" s="36"/>
    </row>
    <row r="59" spans="1:23" x14ac:dyDescent="0.25">
      <c r="A59" s="244">
        <v>9257002</v>
      </c>
      <c r="B59" s="237" t="s">
        <v>213</v>
      </c>
      <c r="C59" s="238">
        <v>5</v>
      </c>
      <c r="D59" s="1024">
        <f>VLOOKUP(A59,'1819 Revised Bands'!$A$117:$R$134,10,(FALSE))</f>
        <v>0.53237410071942448</v>
      </c>
      <c r="E59" s="1024">
        <f>VLOOKUP(A59,'1819 Revised Bands'!$A$117:$R$134,8,(FALSE))</f>
        <v>0.12949640287769784</v>
      </c>
      <c r="F59" s="1024">
        <f>VLOOKUP(A59,'1819 Revised Bands'!$A$117:$R$134,14,(FALSE))</f>
        <v>0.18705035971223022</v>
      </c>
      <c r="G59" s="1024">
        <f>VLOOKUP(A59,'1819 Revised Bands'!$A$117:$R$134,6,(FALSE))</f>
        <v>7.1942446043165471E-3</v>
      </c>
      <c r="H59" s="1024">
        <f>VLOOKUP(A59,'1819 Revised Bands'!$A$117:$R$134,12,(FALSE))</f>
        <v>6.4748201438848921E-2</v>
      </c>
      <c r="I59" s="1024">
        <f>VLOOKUP(A59,'1819 Revised Bands'!$A$117:$R$134,16,(FALSE))</f>
        <v>7.1942446043165464E-2</v>
      </c>
      <c r="J59" s="1024">
        <f>VLOOKUP(A59,'1819 Revised Bands'!$A$117:$R$134,18,(FALSE))</f>
        <v>7.1942446043165471E-3</v>
      </c>
      <c r="K59" s="269">
        <v>0</v>
      </c>
      <c r="L59" s="233">
        <v>144</v>
      </c>
      <c r="M59" s="269">
        <f t="shared" si="14"/>
        <v>144</v>
      </c>
      <c r="N59" s="235">
        <f t="shared" si="12"/>
        <v>0</v>
      </c>
      <c r="O59" s="1025">
        <f t="shared" si="15"/>
        <v>696127.66327926703</v>
      </c>
      <c r="P59" s="1025">
        <f t="shared" si="13"/>
        <v>41401.726618705041</v>
      </c>
      <c r="Q59" s="1025">
        <f t="shared" si="16"/>
        <v>737529.38989797211</v>
      </c>
      <c r="R59" s="1026">
        <f t="shared" si="17"/>
        <v>840000</v>
      </c>
      <c r="S59" s="1026">
        <f>(VLOOKUP(A59,'1819 Funding Detail'!$A$4:$AN$23,40,FALSE)*7/12)*M59</f>
        <v>204851.48675478229</v>
      </c>
      <c r="T59" s="235"/>
      <c r="U59" s="235">
        <f t="shared" si="18"/>
        <v>13604.827794868574</v>
      </c>
      <c r="V59" s="235"/>
      <c r="W59" s="36"/>
    </row>
    <row r="60" spans="1:23" x14ac:dyDescent="0.25">
      <c r="A60" s="244">
        <v>9257009</v>
      </c>
      <c r="B60" s="237" t="s">
        <v>214</v>
      </c>
      <c r="C60" s="238">
        <v>4</v>
      </c>
      <c r="D60" s="1024">
        <f>VLOOKUP(A60,'1819 Revised Bands'!$A$117:$R$134,10,(FALSE))</f>
        <v>0.1484375</v>
      </c>
      <c r="E60" s="1024">
        <f>VLOOKUP(A60,'1819 Revised Bands'!$A$117:$R$134,8,(FALSE))</f>
        <v>0.46875</v>
      </c>
      <c r="F60" s="1024">
        <f>VLOOKUP(A60,'1819 Revised Bands'!$A$117:$R$134,14,(FALSE))</f>
        <v>0.125</v>
      </c>
      <c r="G60" s="1024">
        <f>VLOOKUP(A60,'1819 Revised Bands'!$A$117:$R$134,6,(FALSE))</f>
        <v>0</v>
      </c>
      <c r="H60" s="1024">
        <f>VLOOKUP(A60,'1819 Revised Bands'!$A$117:$R$134,12,(FALSE))</f>
        <v>3.125E-2</v>
      </c>
      <c r="I60" s="1024">
        <f>VLOOKUP(A60,'1819 Revised Bands'!$A$117:$R$134,16,(FALSE))</f>
        <v>0.2265625</v>
      </c>
      <c r="J60" s="1024">
        <f>VLOOKUP(A60,'1819 Revised Bands'!$A$117:$R$134,18,(FALSE))</f>
        <v>0</v>
      </c>
      <c r="K60" s="269">
        <v>0</v>
      </c>
      <c r="L60" s="233">
        <v>133</v>
      </c>
      <c r="M60" s="269">
        <f t="shared" si="14"/>
        <v>133</v>
      </c>
      <c r="N60" s="235">
        <f t="shared" si="12"/>
        <v>0</v>
      </c>
      <c r="O60" s="1025">
        <f t="shared" si="15"/>
        <v>719153.2715172699</v>
      </c>
      <c r="P60" s="1025">
        <f t="shared" si="13"/>
        <v>25554.010416666668</v>
      </c>
      <c r="Q60" s="1025">
        <f t="shared" si="16"/>
        <v>744707.28193393652</v>
      </c>
      <c r="R60" s="1026">
        <f t="shared" si="17"/>
        <v>775833.33333333337</v>
      </c>
      <c r="S60" s="1026">
        <f>(VLOOKUP(A60,'1819 Funding Detail'!$A$4:$AN$23,40,FALSE)*7/12)*M60</f>
        <v>272461.67693182145</v>
      </c>
      <c r="T60" s="235"/>
      <c r="U60" s="235">
        <f t="shared" si="18"/>
        <v>0</v>
      </c>
      <c r="V60" s="235"/>
      <c r="W60" s="36"/>
    </row>
    <row r="61" spans="1:23" x14ac:dyDescent="0.25">
      <c r="A61" s="244">
        <v>9257029</v>
      </c>
      <c r="B61" s="237" t="s">
        <v>259</v>
      </c>
      <c r="C61" s="238">
        <v>3</v>
      </c>
      <c r="D61" s="1024">
        <f>VLOOKUP(A61,'1819 Revised Bands'!$A$117:$R$134,10,(FALSE))</f>
        <v>0</v>
      </c>
      <c r="E61" s="1024">
        <f>VLOOKUP(A61,'1819 Revised Bands'!$A$117:$R$134,8,(FALSE))</f>
        <v>0</v>
      </c>
      <c r="F61" s="1024">
        <f>VLOOKUP(A61,'1819 Revised Bands'!$A$117:$R$134,14,(FALSE))</f>
        <v>1</v>
      </c>
      <c r="G61" s="1024">
        <f>VLOOKUP(A61,'1819 Revised Bands'!$A$117:$R$134,6,(FALSE))</f>
        <v>0</v>
      </c>
      <c r="H61" s="1024">
        <f>VLOOKUP(A61,'1819 Revised Bands'!$A$117:$R$134,12,(FALSE))</f>
        <v>0</v>
      </c>
      <c r="I61" s="1024">
        <f>VLOOKUP(A61,'1819 Revised Bands'!$A$117:$R$134,16,(FALSE))</f>
        <v>0</v>
      </c>
      <c r="J61" s="1024">
        <f>VLOOKUP(A61,'1819 Revised Bands'!$A$117:$R$134,18,(FALSE))</f>
        <v>0</v>
      </c>
      <c r="K61" s="269">
        <v>0</v>
      </c>
      <c r="L61" s="233">
        <v>41</v>
      </c>
      <c r="M61" s="269">
        <f t="shared" si="14"/>
        <v>41</v>
      </c>
      <c r="N61" s="235">
        <f t="shared" si="12"/>
        <v>0</v>
      </c>
      <c r="O61" s="1025">
        <f t="shared" si="15"/>
        <v>269383.27791932988</v>
      </c>
      <c r="P61" s="1025">
        <f t="shared" si="13"/>
        <v>63020.416666666672</v>
      </c>
      <c r="Q61" s="1025">
        <f t="shared" si="16"/>
        <v>332403.69458599656</v>
      </c>
      <c r="R61" s="1026">
        <f t="shared" si="17"/>
        <v>239166.66666666669</v>
      </c>
      <c r="S61" s="1026">
        <f>(VLOOKUP(A61,'1819 Funding Detail'!$A$4:$AN$23,40,FALSE)*7/12)*M61</f>
        <v>300910.3771140707</v>
      </c>
      <c r="T61" s="235"/>
      <c r="U61" s="235">
        <f t="shared" si="18"/>
        <v>0</v>
      </c>
      <c r="V61" s="235"/>
      <c r="W61" s="36"/>
    </row>
    <row r="62" spans="1:23" x14ac:dyDescent="0.25">
      <c r="A62" s="244">
        <v>9257032</v>
      </c>
      <c r="B62" s="237" t="s">
        <v>261</v>
      </c>
      <c r="C62" s="238">
        <v>4</v>
      </c>
      <c r="D62" s="1024">
        <f>VLOOKUP(A62,'1819 Revised Bands'!$A$117:$R$134,10,(FALSE))</f>
        <v>0</v>
      </c>
      <c r="E62" s="1024">
        <f>VLOOKUP(A62,'1819 Revised Bands'!$A$117:$R$134,8,(FALSE))</f>
        <v>0</v>
      </c>
      <c r="F62" s="1024">
        <f>VLOOKUP(A62,'1819 Revised Bands'!$A$117:$R$134,14,(FALSE))</f>
        <v>1</v>
      </c>
      <c r="G62" s="1024">
        <f>VLOOKUP(A62,'1819 Revised Bands'!$A$117:$R$134,6,(FALSE))</f>
        <v>0</v>
      </c>
      <c r="H62" s="1024">
        <f>VLOOKUP(A62,'1819 Revised Bands'!$A$117:$R$134,12,(FALSE))</f>
        <v>0</v>
      </c>
      <c r="I62" s="1024">
        <f>VLOOKUP(A62,'1819 Revised Bands'!$A$117:$R$134,16,(FALSE))</f>
        <v>0</v>
      </c>
      <c r="J62" s="1024">
        <f>VLOOKUP(A62,'1819 Revised Bands'!$A$117:$R$134,18,(FALSE))</f>
        <v>0</v>
      </c>
      <c r="K62" s="269">
        <v>0</v>
      </c>
      <c r="L62" s="233">
        <v>72</v>
      </c>
      <c r="M62" s="269">
        <f t="shared" si="14"/>
        <v>72</v>
      </c>
      <c r="N62" s="235">
        <f t="shared" si="12"/>
        <v>0</v>
      </c>
      <c r="O62" s="1025">
        <f t="shared" si="15"/>
        <v>473063.31732175004</v>
      </c>
      <c r="P62" s="1025">
        <f t="shared" si="13"/>
        <v>110670</v>
      </c>
      <c r="Q62" s="1025">
        <f t="shared" si="16"/>
        <v>583733.3173217501</v>
      </c>
      <c r="R62" s="1026">
        <f t="shared" si="17"/>
        <v>420000</v>
      </c>
      <c r="S62" s="1026">
        <f>(VLOOKUP(A62,'1819 Funding Detail'!$A$4:$AN$23,40,FALSE)*7/12)*M62</f>
        <v>448698.25812793744</v>
      </c>
      <c r="T62" s="235"/>
      <c r="U62" s="235">
        <f t="shared" si="18"/>
        <v>0</v>
      </c>
      <c r="V62" s="235"/>
      <c r="W62" s="36"/>
    </row>
    <row r="63" spans="1:23" x14ac:dyDescent="0.25">
      <c r="A63" s="244">
        <v>9257030</v>
      </c>
      <c r="B63" s="237" t="s">
        <v>262</v>
      </c>
      <c r="C63" s="238">
        <v>4</v>
      </c>
      <c r="D63" s="1024">
        <f>VLOOKUP(A63,'1819 Revised Bands'!$A$117:$R$134,10,(FALSE))</f>
        <v>0</v>
      </c>
      <c r="E63" s="1024">
        <f>VLOOKUP(A63,'1819 Revised Bands'!$A$117:$R$134,8,(FALSE))</f>
        <v>0</v>
      </c>
      <c r="F63" s="1024">
        <f>VLOOKUP(A63,'1819 Revised Bands'!$A$117:$R$134,14,(FALSE))</f>
        <v>1</v>
      </c>
      <c r="G63" s="1024">
        <f>VLOOKUP(A63,'1819 Revised Bands'!$A$117:$R$134,6,(FALSE))</f>
        <v>0</v>
      </c>
      <c r="H63" s="1024">
        <f>VLOOKUP(A63,'1819 Revised Bands'!$A$117:$R$134,12,(FALSE))</f>
        <v>0</v>
      </c>
      <c r="I63" s="1024">
        <f>VLOOKUP(A63,'1819 Revised Bands'!$A$117:$R$134,16,(FALSE))</f>
        <v>0</v>
      </c>
      <c r="J63" s="1024">
        <f>VLOOKUP(A63,'1819 Revised Bands'!$A$117:$R$134,18,(FALSE))</f>
        <v>0</v>
      </c>
      <c r="K63" s="269">
        <v>0</v>
      </c>
      <c r="L63" s="233">
        <v>70</v>
      </c>
      <c r="M63" s="269">
        <f t="shared" si="14"/>
        <v>70</v>
      </c>
      <c r="N63" s="235">
        <f t="shared" si="12"/>
        <v>0</v>
      </c>
      <c r="O63" s="1025">
        <f t="shared" si="15"/>
        <v>459922.66961836809</v>
      </c>
      <c r="P63" s="1025">
        <f t="shared" si="13"/>
        <v>107595.83333333334</v>
      </c>
      <c r="Q63" s="1025">
        <f t="shared" si="16"/>
        <v>567518.5029517014</v>
      </c>
      <c r="R63" s="1026">
        <f t="shared" si="17"/>
        <v>408333.33333333337</v>
      </c>
      <c r="S63" s="1026">
        <f>(VLOOKUP(A63,'1819 Funding Detail'!$A$4:$AN$23,40,FALSE)*7/12)*M63</f>
        <v>431266.63115613337</v>
      </c>
      <c r="T63" s="235"/>
      <c r="U63" s="235">
        <f t="shared" si="18"/>
        <v>0</v>
      </c>
      <c r="V63" s="235"/>
      <c r="W63" s="36"/>
    </row>
    <row r="64" spans="1:23" x14ac:dyDescent="0.25">
      <c r="A64" s="244">
        <v>9257028</v>
      </c>
      <c r="B64" s="237" t="s">
        <v>215</v>
      </c>
      <c r="C64" s="238">
        <v>5</v>
      </c>
      <c r="D64" s="1024">
        <f>VLOOKUP(A64,'1819 Revised Bands'!$A$117:$R$134,10,(FALSE))</f>
        <v>6.3291139240506333E-2</v>
      </c>
      <c r="E64" s="1024">
        <f>VLOOKUP(A64,'1819 Revised Bands'!$A$117:$R$134,8,(FALSE))</f>
        <v>0.29113924050632911</v>
      </c>
      <c r="F64" s="1024">
        <f>VLOOKUP(A64,'1819 Revised Bands'!$A$117:$R$134,14,(FALSE))</f>
        <v>3.7974683544303799E-2</v>
      </c>
      <c r="G64" s="1024">
        <f>VLOOKUP(A64,'1819 Revised Bands'!$A$117:$R$134,6,(FALSE))</f>
        <v>0.10126582278481013</v>
      </c>
      <c r="H64" s="1024">
        <f>VLOOKUP(A64,'1819 Revised Bands'!$A$117:$R$134,12,(FALSE))</f>
        <v>0.189873417721519</v>
      </c>
      <c r="I64" s="1024">
        <f>VLOOKUP(A64,'1819 Revised Bands'!$A$117:$R$134,16,(FALSE))</f>
        <v>0.12658227848101267</v>
      </c>
      <c r="J64" s="1024">
        <f>VLOOKUP(A64,'1819 Revised Bands'!$A$117:$R$134,18,(FALSE))</f>
        <v>0.189873417721519</v>
      </c>
      <c r="K64" s="1170">
        <v>0</v>
      </c>
      <c r="L64" s="233">
        <v>66</v>
      </c>
      <c r="M64" s="269">
        <f t="shared" si="14"/>
        <v>66</v>
      </c>
      <c r="N64" s="235">
        <f t="shared" si="12"/>
        <v>0</v>
      </c>
      <c r="O64" s="1025">
        <f t="shared" si="15"/>
        <v>501047.01218811079</v>
      </c>
      <c r="P64" s="1025">
        <f t="shared" si="13"/>
        <v>3852.4367088607596</v>
      </c>
      <c r="Q64" s="1025">
        <f t="shared" si="16"/>
        <v>504899.44889697153</v>
      </c>
      <c r="R64" s="1026">
        <f t="shared" si="17"/>
        <v>385000</v>
      </c>
      <c r="S64" s="1026">
        <f>(VLOOKUP(A64,'1819 Funding Detail'!$A$4:$AN$23,40,FALSE)*7/12)*M64</f>
        <v>353148.94195690844</v>
      </c>
      <c r="T64" s="235"/>
      <c r="U64" s="235">
        <f t="shared" si="18"/>
        <v>164571.05774014283</v>
      </c>
      <c r="V64" s="235"/>
      <c r="W64" s="36"/>
    </row>
    <row r="65" spans="1:23" x14ac:dyDescent="0.25">
      <c r="A65" s="244">
        <v>9257021</v>
      </c>
      <c r="B65" s="237" t="s">
        <v>216</v>
      </c>
      <c r="C65" s="238">
        <v>5</v>
      </c>
      <c r="D65" s="1024">
        <f>VLOOKUP(A65,'1819 Revised Bands'!$A$117:$R$134,10,(FALSE))</f>
        <v>0.29677419354838708</v>
      </c>
      <c r="E65" s="1024">
        <f>VLOOKUP(A65,'1819 Revised Bands'!$A$117:$R$134,8,(FALSE))</f>
        <v>0.29677419354838708</v>
      </c>
      <c r="F65" s="1024">
        <f>VLOOKUP(A65,'1819 Revised Bands'!$A$117:$R$134,14,(FALSE))</f>
        <v>0.12258064516129032</v>
      </c>
      <c r="G65" s="1024">
        <f>VLOOKUP(A65,'1819 Revised Bands'!$A$117:$R$134,6,(FALSE))</f>
        <v>3.870967741935484E-2</v>
      </c>
      <c r="H65" s="1024">
        <f>VLOOKUP(A65,'1819 Revised Bands'!$A$117:$R$134,12,(FALSE))</f>
        <v>9.0322580645161285E-2</v>
      </c>
      <c r="I65" s="1024">
        <f>VLOOKUP(A65,'1819 Revised Bands'!$A$117:$R$134,16,(FALSE))</f>
        <v>0.14193548387096774</v>
      </c>
      <c r="J65" s="1024">
        <f>VLOOKUP(A65,'1819 Revised Bands'!$A$117:$R$134,18,(FALSE))</f>
        <v>1.2903225806451613E-2</v>
      </c>
      <c r="K65" s="269">
        <v>0</v>
      </c>
      <c r="L65" s="233">
        <v>155</v>
      </c>
      <c r="M65" s="269">
        <f t="shared" si="14"/>
        <v>155</v>
      </c>
      <c r="N65" s="235">
        <f t="shared" si="12"/>
        <v>0</v>
      </c>
      <c r="O65" s="1025">
        <f t="shared" si="15"/>
        <v>842700.40862085251</v>
      </c>
      <c r="P65" s="1025">
        <f t="shared" si="13"/>
        <v>29204.583333333336</v>
      </c>
      <c r="Q65" s="1025">
        <f t="shared" si="16"/>
        <v>871904.99195418588</v>
      </c>
      <c r="R65" s="1026">
        <f t="shared" si="17"/>
        <v>904166.66666666674</v>
      </c>
      <c r="S65" s="1026">
        <f>(VLOOKUP(A65,'1819 Funding Detail'!$A$4:$AN$23,40,FALSE)*7/12)*M65</f>
        <v>289249.90478430723</v>
      </c>
      <c r="T65" s="235"/>
      <c r="U65" s="235">
        <f t="shared" si="18"/>
        <v>26264.875881760163</v>
      </c>
      <c r="V65" s="235"/>
      <c r="W65" s="36"/>
    </row>
    <row r="66" spans="1:23" x14ac:dyDescent="0.25">
      <c r="A66" s="244">
        <v>9257015</v>
      </c>
      <c r="B66" s="237" t="s">
        <v>217</v>
      </c>
      <c r="C66" s="238">
        <v>6</v>
      </c>
      <c r="D66" s="1024">
        <f>VLOOKUP(A66,'1819 Revised Bands'!$A$117:$R$134,10,(FALSE))</f>
        <v>0.49808429118773945</v>
      </c>
      <c r="E66" s="1024">
        <f>VLOOKUP(A66,'1819 Revised Bands'!$A$117:$R$134,8,(FALSE))</f>
        <v>0.19923371647509577</v>
      </c>
      <c r="F66" s="1024">
        <f>VLOOKUP(A66,'1819 Revised Bands'!$A$117:$R$134,14,(FALSE))</f>
        <v>4.2145593869731802E-2</v>
      </c>
      <c r="G66" s="1024">
        <f>VLOOKUP(A66,'1819 Revised Bands'!$A$117:$R$134,6,(FALSE))</f>
        <v>3.8314176245210725E-2</v>
      </c>
      <c r="H66" s="1024">
        <f>VLOOKUP(A66,'1819 Revised Bands'!$A$117:$R$134,12,(FALSE))</f>
        <v>6.5134099616858232E-2</v>
      </c>
      <c r="I66" s="1024">
        <f>VLOOKUP(A66,'1819 Revised Bands'!$A$117:$R$134,16,(FALSE))</f>
        <v>0.13793103448275862</v>
      </c>
      <c r="J66" s="1024">
        <f>VLOOKUP(A66,'1819 Revised Bands'!$A$117:$R$134,18,(FALSE))</f>
        <v>1.9157088122605363E-2</v>
      </c>
      <c r="K66" s="269">
        <v>0</v>
      </c>
      <c r="L66" s="233">
        <v>217</v>
      </c>
      <c r="M66" s="269">
        <f t="shared" si="14"/>
        <v>217</v>
      </c>
      <c r="N66" s="235">
        <f t="shared" si="12"/>
        <v>0</v>
      </c>
      <c r="O66" s="1025">
        <f t="shared" si="15"/>
        <v>1092001.8318423009</v>
      </c>
      <c r="P66" s="1025">
        <f t="shared" si="13"/>
        <v>14057.539910600257</v>
      </c>
      <c r="Q66" s="1025">
        <f t="shared" si="16"/>
        <v>1106059.3717529012</v>
      </c>
      <c r="R66" s="1026">
        <f t="shared" si="17"/>
        <v>1265833.3333333335</v>
      </c>
      <c r="S66" s="1026">
        <f>(VLOOKUP(A66,'1819 Funding Detail'!$A$4:$AN$23,40,FALSE)*7/12)*M66</f>
        <v>150725.06735196384</v>
      </c>
      <c r="T66" s="235"/>
      <c r="U66" s="235">
        <f t="shared" si="18"/>
        <v>54592.701784884623</v>
      </c>
      <c r="V66" s="235"/>
      <c r="W66" s="36"/>
    </row>
    <row r="67" spans="1:23" x14ac:dyDescent="0.25">
      <c r="A67" s="244">
        <v>9257016</v>
      </c>
      <c r="B67" s="237" t="s">
        <v>219</v>
      </c>
      <c r="C67" s="238">
        <v>6</v>
      </c>
      <c r="D67" s="1024">
        <f>VLOOKUP(A67,'1819 Revised Bands'!$A$117:$R$134,10,(FALSE))</f>
        <v>0.25170068027210885</v>
      </c>
      <c r="E67" s="1024">
        <f>VLOOKUP(A67,'1819 Revised Bands'!$A$117:$R$134,8,(FALSE))</f>
        <v>6.8027210884353748E-2</v>
      </c>
      <c r="F67" s="1024">
        <f>VLOOKUP(A67,'1819 Revised Bands'!$A$117:$R$134,14,(FALSE))</f>
        <v>0</v>
      </c>
      <c r="G67" s="1024">
        <f>VLOOKUP(A67,'1819 Revised Bands'!$A$117:$R$134,6,(FALSE))</f>
        <v>0.16326530612244897</v>
      </c>
      <c r="H67" s="1024">
        <f>VLOOKUP(A67,'1819 Revised Bands'!$A$117:$R$134,12,(FALSE))</f>
        <v>0.25170068027210885</v>
      </c>
      <c r="I67" s="1024">
        <f>VLOOKUP(A67,'1819 Revised Bands'!$A$117:$R$134,16,(FALSE))</f>
        <v>6.8027210884353739E-3</v>
      </c>
      <c r="J67" s="1024">
        <f>VLOOKUP(A67,'1819 Revised Bands'!$A$117:$R$134,18,(FALSE))</f>
        <v>0.25850340136054423</v>
      </c>
      <c r="K67" s="269">
        <v>0</v>
      </c>
      <c r="L67" s="233">
        <v>83</v>
      </c>
      <c r="M67" s="269">
        <f t="shared" si="14"/>
        <v>83</v>
      </c>
      <c r="N67" s="235">
        <f t="shared" si="12"/>
        <v>0</v>
      </c>
      <c r="O67" s="1025">
        <f t="shared" si="15"/>
        <v>660483.98028640065</v>
      </c>
      <c r="P67" s="1025">
        <f t="shared" si="13"/>
        <v>0</v>
      </c>
      <c r="Q67" s="1025">
        <f t="shared" si="16"/>
        <v>660483.98028640065</v>
      </c>
      <c r="R67" s="1026">
        <f t="shared" si="17"/>
        <v>484166.66666666669</v>
      </c>
      <c r="S67" s="1026">
        <f>(VLOOKUP(A67,'1819 Funding Detail'!$A$4:$AN$23,40,FALSE)*7/12)*M67</f>
        <v>370377.63326885691</v>
      </c>
      <c r="T67" s="299" t="s">
        <v>207</v>
      </c>
      <c r="U67" s="235">
        <f t="shared" si="18"/>
        <v>281766.7296975223</v>
      </c>
      <c r="V67" s="235"/>
      <c r="W67" s="36"/>
    </row>
    <row r="68" spans="1:23" x14ac:dyDescent="0.25">
      <c r="A68" s="36"/>
      <c r="B68" s="36"/>
      <c r="C68" s="36"/>
      <c r="D68" s="36"/>
      <c r="E68" s="36"/>
      <c r="F68" s="299" t="s">
        <v>207</v>
      </c>
      <c r="G68" s="36"/>
      <c r="H68" s="36"/>
      <c r="I68" s="36"/>
      <c r="J68" s="299" t="s">
        <v>207</v>
      </c>
      <c r="K68" s="36"/>
      <c r="L68" s="234"/>
      <c r="M68" s="299" t="s">
        <v>207</v>
      </c>
      <c r="N68" s="36"/>
      <c r="O68" s="36"/>
      <c r="P68" s="36"/>
      <c r="Q68" s="299" t="s">
        <v>207</v>
      </c>
      <c r="R68" s="36"/>
      <c r="S68" s="36"/>
      <c r="T68" s="36"/>
      <c r="U68" s="234"/>
      <c r="V68" s="36"/>
      <c r="W68" s="36"/>
    </row>
    <row r="69" spans="1:23" ht="13" x14ac:dyDescent="0.3">
      <c r="A69" s="93" t="s">
        <v>278</v>
      </c>
      <c r="B69" s="36"/>
      <c r="C69" s="36"/>
      <c r="D69" s="36"/>
      <c r="E69" s="36"/>
      <c r="F69" s="36"/>
      <c r="G69" s="36"/>
      <c r="H69" s="36"/>
      <c r="I69" s="36"/>
      <c r="J69" s="36"/>
      <c r="K69" s="234"/>
      <c r="L69" s="234"/>
      <c r="M69" s="36"/>
      <c r="N69" s="36"/>
      <c r="O69" s="36"/>
      <c r="P69" s="36"/>
      <c r="Q69" s="36"/>
      <c r="R69" s="36"/>
      <c r="S69" s="36"/>
      <c r="T69" s="36"/>
      <c r="U69" s="234"/>
      <c r="V69" s="36"/>
      <c r="W69" s="36"/>
    </row>
    <row r="70" spans="1:23" x14ac:dyDescent="0.25">
      <c r="A70" s="36"/>
      <c r="B70" s="36"/>
      <c r="C70" s="36"/>
      <c r="D70" s="36"/>
      <c r="E70" s="36"/>
      <c r="F70" s="36"/>
      <c r="G70" s="36"/>
      <c r="H70" s="36"/>
      <c r="I70" s="36"/>
      <c r="J70" s="36"/>
      <c r="K70" s="234"/>
      <c r="L70" s="234"/>
      <c r="M70" s="36"/>
      <c r="N70" s="36"/>
      <c r="O70" s="1445" t="s">
        <v>238</v>
      </c>
      <c r="P70" s="1446"/>
      <c r="Q70" s="36"/>
      <c r="R70" s="36"/>
      <c r="S70" s="36"/>
      <c r="T70" s="36"/>
      <c r="U70" s="234"/>
      <c r="V70" s="36"/>
      <c r="W70" s="36"/>
    </row>
    <row r="71" spans="1:23" ht="37.5" x14ac:dyDescent="0.25">
      <c r="A71" s="265" t="s">
        <v>182</v>
      </c>
      <c r="B71" s="237" t="s">
        <v>183</v>
      </c>
      <c r="C71" s="238" t="s">
        <v>184</v>
      </c>
      <c r="D71" s="234" t="s">
        <v>823</v>
      </c>
      <c r="E71" s="234" t="s">
        <v>824</v>
      </c>
      <c r="F71" s="234" t="s">
        <v>825</v>
      </c>
      <c r="G71" s="234" t="s">
        <v>826</v>
      </c>
      <c r="H71" s="234" t="s">
        <v>827</v>
      </c>
      <c r="I71" s="234" t="s">
        <v>828</v>
      </c>
      <c r="J71" s="234" t="s">
        <v>829</v>
      </c>
      <c r="K71" s="243" t="s">
        <v>264</v>
      </c>
      <c r="L71" s="243" t="s">
        <v>279</v>
      </c>
      <c r="M71" s="243" t="s">
        <v>280</v>
      </c>
      <c r="N71" s="243" t="s">
        <v>279</v>
      </c>
      <c r="O71" s="243" t="s">
        <v>267</v>
      </c>
      <c r="P71" s="320" t="s">
        <v>281</v>
      </c>
      <c r="Q71" s="243"/>
      <c r="R71" s="243"/>
      <c r="S71" s="243"/>
      <c r="T71" s="36"/>
      <c r="U71" s="234"/>
      <c r="V71" s="36"/>
      <c r="W71" s="36"/>
    </row>
    <row r="72" spans="1:23" x14ac:dyDescent="0.25">
      <c r="A72" s="244">
        <v>9257010</v>
      </c>
      <c r="B72" s="237" t="s">
        <v>205</v>
      </c>
      <c r="C72" s="238">
        <v>4</v>
      </c>
      <c r="D72" s="1024">
        <f>VLOOKUP(A72,'1819 Revised Bands'!$A$117:$R$134,10,(FALSE))</f>
        <v>5.7692307692307696E-2</v>
      </c>
      <c r="E72" s="1024">
        <f>VLOOKUP(A72,'1819 Revised Bands'!$A$117:$R$134,8,(FALSE))</f>
        <v>0.28846153846153844</v>
      </c>
      <c r="F72" s="1024">
        <f>VLOOKUP(A72,'1819 Revised Bands'!$A$117:$R$134,14,(FALSE))</f>
        <v>9.6153846153846159E-2</v>
      </c>
      <c r="G72" s="1024">
        <f>VLOOKUP(A72,'1819 Revised Bands'!$A$117:$R$134,6,(FALSE))</f>
        <v>0.11538461538461539</v>
      </c>
      <c r="H72" s="1024">
        <f>VLOOKUP(A72,'1819 Revised Bands'!$A$117:$R$134,12,(FALSE))</f>
        <v>3.8461538461538464E-2</v>
      </c>
      <c r="I72" s="1024">
        <f>VLOOKUP(A72,'1819 Revised Bands'!$A$117:$R$134,16,(FALSE))</f>
        <v>0.25</v>
      </c>
      <c r="J72" s="1024">
        <f>VLOOKUP(A72,'1819 Revised Bands'!$A$117:$R$134,18,(FALSE))</f>
        <v>0.15384615384615385</v>
      </c>
      <c r="K72" s="233">
        <v>11</v>
      </c>
      <c r="L72" s="1025">
        <f>((((K72*D72)*$G$92)+((K72*E72)*$G$94)+((K72*F72)*$G$96)+((K72*G72)*$G$98)+((K72*H72)*$G$100)+((K72*I72)*$G$102)+((K72*J72)*$G$104)))*(8/12)</f>
        <v>93290.290335716403</v>
      </c>
      <c r="M72" s="1025">
        <f t="shared" ref="M72:M89" si="19">((F72*K72)*$G$106)*(8/12)</f>
        <v>1858.0128205128206</v>
      </c>
      <c r="N72" s="1025">
        <f>SUM(L72:M72)</f>
        <v>95148.303156229231</v>
      </c>
      <c r="O72" s="1026">
        <f>(K72*(8/12))*10000</f>
        <v>73333.333333333328</v>
      </c>
      <c r="P72" s="1026">
        <f>(VLOOKUP(A72,'1819 Funding Detail'!$A$4:$AN$23,40,FALSE)*8/12)*K72</f>
        <v>80970.448989562545</v>
      </c>
      <c r="Q72" s="235"/>
      <c r="R72" s="235"/>
      <c r="S72" s="269"/>
      <c r="T72" s="280"/>
      <c r="U72" s="235">
        <f>SUM(J72*K72*$G$104)*8/12</f>
        <v>25399.000852691152</v>
      </c>
      <c r="V72" s="297" t="s">
        <v>207</v>
      </c>
      <c r="W72" s="296" t="s">
        <v>282</v>
      </c>
    </row>
    <row r="73" spans="1:23" x14ac:dyDescent="0.25">
      <c r="A73" s="244">
        <v>9257005</v>
      </c>
      <c r="B73" s="237" t="s">
        <v>208</v>
      </c>
      <c r="C73" s="238">
        <v>4</v>
      </c>
      <c r="D73" s="1024">
        <f>VLOOKUP(A73,'1819 Revised Bands'!$A$117:$R$134,10,(FALSE))</f>
        <v>9.3333333333333338E-2</v>
      </c>
      <c r="E73" s="1024">
        <f>VLOOKUP(A73,'1819 Revised Bands'!$A$117:$R$134,8,(FALSE))</f>
        <v>0.22666666666666666</v>
      </c>
      <c r="F73" s="1024">
        <f>VLOOKUP(A73,'1819 Revised Bands'!$A$117:$R$134,14,(FALSE))</f>
        <v>0.16</v>
      </c>
      <c r="G73" s="1024">
        <f>VLOOKUP(A73,'1819 Revised Bands'!$A$117:$R$134,6,(FALSE))</f>
        <v>0.13333333333333333</v>
      </c>
      <c r="H73" s="1024">
        <f>VLOOKUP(A73,'1819 Revised Bands'!$A$117:$R$134,12,(FALSE))</f>
        <v>9.3333333333333338E-2</v>
      </c>
      <c r="I73" s="1024">
        <f>VLOOKUP(A73,'1819 Revised Bands'!$A$117:$R$134,16,(FALSE))</f>
        <v>0.2</v>
      </c>
      <c r="J73" s="1024">
        <f>VLOOKUP(A73,'1819 Revised Bands'!$A$117:$R$134,18,(FALSE))</f>
        <v>9.3333333333333338E-2</v>
      </c>
      <c r="K73" s="233">
        <v>29</v>
      </c>
      <c r="L73" s="1025">
        <f t="shared" ref="L73:L89" si="20">((((K73*D73)*$G$92)+((K73*E73)*$G$94)+((K73*F73)*$G$96)+((K73*G73)*$G$98)+((K73*H73)*$G$100)+((K73*I73)*$G$102)+((K73*J73)*$G$104)))*(8/12)</f>
        <v>234644.30521552023</v>
      </c>
      <c r="M73" s="1025">
        <f t="shared" si="19"/>
        <v>8150.9333333333325</v>
      </c>
      <c r="N73" s="1025">
        <f>SUM(L73:M73)</f>
        <v>242795.23854885355</v>
      </c>
      <c r="O73" s="1026">
        <f t="shared" ref="O73:O89" si="21">(K73*(8/12))*10000</f>
        <v>193333.33333333331</v>
      </c>
      <c r="P73" s="1026">
        <f>(VLOOKUP(A73,'1819 Funding Detail'!$A$4:$AN$23,40,FALSE)*8/12)*K73</f>
        <v>168707.76489661357</v>
      </c>
      <c r="Q73" s="235"/>
      <c r="R73" s="235"/>
      <c r="S73" s="269"/>
      <c r="T73" s="280"/>
      <c r="U73" s="235">
        <f t="shared" ref="U73:U89" si="22">SUM(J73*K73*$G$104)*8/12</f>
        <v>40623.008030455727</v>
      </c>
      <c r="V73" s="36"/>
      <c r="W73" s="36"/>
    </row>
    <row r="74" spans="1:23" x14ac:dyDescent="0.25">
      <c r="A74" s="244">
        <v>9257025</v>
      </c>
      <c r="B74" s="237" t="s">
        <v>209</v>
      </c>
      <c r="C74" s="238">
        <v>4</v>
      </c>
      <c r="D74" s="1024">
        <f>VLOOKUP(A74,'1819 Revised Bands'!$A$117:$R$134,10,(FALSE))</f>
        <v>0.17910447761194029</v>
      </c>
      <c r="E74" s="1024">
        <f>VLOOKUP(A74,'1819 Revised Bands'!$A$117:$R$134,8,(FALSE))</f>
        <v>0.26865671641791045</v>
      </c>
      <c r="F74" s="1024">
        <f>VLOOKUP(A74,'1819 Revised Bands'!$A$117:$R$134,14,(FALSE))</f>
        <v>0.14925373134328357</v>
      </c>
      <c r="G74" s="1024">
        <f>VLOOKUP(A74,'1819 Revised Bands'!$A$117:$R$134,6,(FALSE))</f>
        <v>4.4776119402985072E-2</v>
      </c>
      <c r="H74" s="1024">
        <f>VLOOKUP(A74,'1819 Revised Bands'!$A$117:$R$134,12,(FALSE))</f>
        <v>0.14925373134328357</v>
      </c>
      <c r="I74" s="1024">
        <f>VLOOKUP(A74,'1819 Revised Bands'!$A$117:$R$134,16,(FALSE))</f>
        <v>0.11940298507462686</v>
      </c>
      <c r="J74" s="1024">
        <f>VLOOKUP(A74,'1819 Revised Bands'!$A$117:$R$134,18,(FALSE))</f>
        <v>8.9552238805970144E-2</v>
      </c>
      <c r="K74" s="233">
        <v>19</v>
      </c>
      <c r="L74" s="1025">
        <f t="shared" si="20"/>
        <v>140013.22118090178</v>
      </c>
      <c r="M74" s="1025">
        <f t="shared" si="19"/>
        <v>4981.5920398009948</v>
      </c>
      <c r="N74" s="1025">
        <f t="shared" ref="N74:N89" si="23">SUM(L74:M74)</f>
        <v>144994.81322070278</v>
      </c>
      <c r="O74" s="1026">
        <f t="shared" si="21"/>
        <v>126666.66666666666</v>
      </c>
      <c r="P74" s="1026">
        <f>(VLOOKUP(A74,'1819 Funding Detail'!$A$4:$AN$23,40,FALSE)*8/12)*K74</f>
        <v>105235.58232229804</v>
      </c>
      <c r="Q74" s="235"/>
      <c r="R74" s="235"/>
      <c r="S74" s="269"/>
      <c r="T74" s="280"/>
      <c r="U74" s="235">
        <f t="shared" si="22"/>
        <v>25536.851603587707</v>
      </c>
      <c r="V74" s="36"/>
      <c r="W74" s="36"/>
    </row>
    <row r="75" spans="1:23" x14ac:dyDescent="0.25">
      <c r="A75" s="244">
        <v>9257011</v>
      </c>
      <c r="B75" s="237" t="s">
        <v>210</v>
      </c>
      <c r="C75" s="238">
        <v>4</v>
      </c>
      <c r="D75" s="1024">
        <f>VLOOKUP(A75,'1819 Revised Bands'!$A$117:$R$134,10,(FALSE))</f>
        <v>0.1111111111111111</v>
      </c>
      <c r="E75" s="1024">
        <f>VLOOKUP(A75,'1819 Revised Bands'!$A$117:$R$134,8,(FALSE))</f>
        <v>0.31481481481481483</v>
      </c>
      <c r="F75" s="1024">
        <f>VLOOKUP(A75,'1819 Revised Bands'!$A$117:$R$134,14,(FALSE))</f>
        <v>5.5555555555555552E-2</v>
      </c>
      <c r="G75" s="1024">
        <f>VLOOKUP(A75,'1819 Revised Bands'!$A$117:$R$134,6,(FALSE))</f>
        <v>0.12962962962962962</v>
      </c>
      <c r="H75" s="1024">
        <f>VLOOKUP(A75,'1819 Revised Bands'!$A$117:$R$134,12,(FALSE))</f>
        <v>0.14814814814814814</v>
      </c>
      <c r="I75" s="1024">
        <f>VLOOKUP(A75,'1819 Revised Bands'!$A$117:$R$134,16,(FALSE))</f>
        <v>0.12962962962962962</v>
      </c>
      <c r="J75" s="1024">
        <f>VLOOKUP(A75,'1819 Revised Bands'!$A$117:$R$134,18,(FALSE))</f>
        <v>0.1111111111111111</v>
      </c>
      <c r="K75" s="233">
        <v>15</v>
      </c>
      <c r="L75" s="1025">
        <f t="shared" si="20"/>
        <v>117335.04082413107</v>
      </c>
      <c r="M75" s="1025">
        <f t="shared" si="19"/>
        <v>1463.8888888888887</v>
      </c>
      <c r="N75" s="1025">
        <f t="shared" si="23"/>
        <v>118798.92971301996</v>
      </c>
      <c r="O75" s="1026">
        <f t="shared" si="21"/>
        <v>100000</v>
      </c>
      <c r="P75" s="1026">
        <f>(VLOOKUP(A75,'1819 Funding Detail'!$A$4:$AN$23,40,FALSE)*8/12)*K75</f>
        <v>93623.710554819685</v>
      </c>
      <c r="Q75" s="235"/>
      <c r="R75" s="235"/>
      <c r="S75" s="269"/>
      <c r="T75" s="280"/>
      <c r="U75" s="235">
        <f t="shared" si="22"/>
        <v>25014.167506438247</v>
      </c>
      <c r="V75" s="36"/>
      <c r="W75" s="36"/>
    </row>
    <row r="76" spans="1:23" x14ac:dyDescent="0.25">
      <c r="A76" s="244">
        <v>9257024</v>
      </c>
      <c r="B76" s="237" t="s">
        <v>211</v>
      </c>
      <c r="C76" s="238">
        <v>3</v>
      </c>
      <c r="D76" s="1024">
        <f>VLOOKUP(A76,'1819 Revised Bands'!$A$117:$R$134,10,(FALSE))</f>
        <v>0.11594202898550725</v>
      </c>
      <c r="E76" s="1024">
        <f>VLOOKUP(A76,'1819 Revised Bands'!$A$117:$R$134,8,(FALSE))</f>
        <v>0.34782608695652173</v>
      </c>
      <c r="F76" s="1024">
        <f>VLOOKUP(A76,'1819 Revised Bands'!$A$117:$R$134,14,(FALSE))</f>
        <v>5.7971014492753624E-2</v>
      </c>
      <c r="G76" s="1024">
        <f>VLOOKUP(A76,'1819 Revised Bands'!$A$117:$R$134,6,(FALSE))</f>
        <v>8.6956521739130432E-2</v>
      </c>
      <c r="H76" s="1024">
        <f>VLOOKUP(A76,'1819 Revised Bands'!$A$117:$R$134,12,(FALSE))</f>
        <v>0.15942028985507245</v>
      </c>
      <c r="I76" s="1024">
        <f>VLOOKUP(A76,'1819 Revised Bands'!$A$117:$R$134,16,(FALSE))</f>
        <v>0.10144927536231885</v>
      </c>
      <c r="J76" s="1024">
        <f>VLOOKUP(A76,'1819 Revised Bands'!$A$117:$R$134,18,(FALSE))</f>
        <v>0.13043478260869565</v>
      </c>
      <c r="K76" s="233">
        <v>11</v>
      </c>
      <c r="L76" s="1025">
        <f t="shared" si="20"/>
        <v>84992.77843700684</v>
      </c>
      <c r="M76" s="1025">
        <f t="shared" si="19"/>
        <v>1120.1932367149759</v>
      </c>
      <c r="N76" s="1025">
        <f t="shared" si="23"/>
        <v>86112.971673721811</v>
      </c>
      <c r="O76" s="1026">
        <f t="shared" si="21"/>
        <v>73333.333333333328</v>
      </c>
      <c r="P76" s="1026">
        <f>(VLOOKUP(A76,'1819 Funding Detail'!$A$4:$AN$23,40,FALSE)*8/12)*K76</f>
        <v>57663.2298771368</v>
      </c>
      <c r="Q76" s="235"/>
      <c r="R76" s="235"/>
      <c r="S76" s="269"/>
      <c r="T76" s="280"/>
      <c r="U76" s="235">
        <f t="shared" si="22"/>
        <v>21533.935505542493</v>
      </c>
      <c r="V76" s="36"/>
      <c r="W76" s="36"/>
    </row>
    <row r="77" spans="1:23" x14ac:dyDescent="0.25">
      <c r="A77" s="244">
        <v>9257031</v>
      </c>
      <c r="B77" s="237" t="s">
        <v>257</v>
      </c>
      <c r="C77" s="238">
        <v>4</v>
      </c>
      <c r="D77" s="1024">
        <f>VLOOKUP(A77,'1819 Revised Bands'!$A$117:$R$134,10,(FALSE))</f>
        <v>0</v>
      </c>
      <c r="E77" s="1024">
        <f>VLOOKUP(A77,'1819 Revised Bands'!$A$117:$R$134,8,(FALSE))</f>
        <v>0</v>
      </c>
      <c r="F77" s="1024">
        <f>VLOOKUP(A77,'1819 Revised Bands'!$A$117:$R$134,14,(FALSE))</f>
        <v>1</v>
      </c>
      <c r="G77" s="1024">
        <f>VLOOKUP(A77,'1819 Revised Bands'!$A$117:$R$134,6,(FALSE))</f>
        <v>0</v>
      </c>
      <c r="H77" s="1024">
        <f>VLOOKUP(A77,'1819 Revised Bands'!$A$117:$R$134,12,(FALSE))</f>
        <v>0</v>
      </c>
      <c r="I77" s="1024">
        <f>VLOOKUP(A77,'1819 Revised Bands'!$A$117:$R$134,16,(FALSE))</f>
        <v>0</v>
      </c>
      <c r="J77" s="1024">
        <f>VLOOKUP(A77,'1819 Revised Bands'!$A$117:$R$134,18,(FALSE))</f>
        <v>0</v>
      </c>
      <c r="K77" s="233">
        <v>0</v>
      </c>
      <c r="L77" s="1025">
        <f t="shared" si="20"/>
        <v>0</v>
      </c>
      <c r="M77" s="1025">
        <f t="shared" si="19"/>
        <v>0</v>
      </c>
      <c r="N77" s="1025">
        <f t="shared" si="23"/>
        <v>0</v>
      </c>
      <c r="O77" s="1026">
        <f t="shared" si="21"/>
        <v>0</v>
      </c>
      <c r="P77" s="1026">
        <f>(VLOOKUP(A77,'1819 Funding Detail'!$A$4:$AN$23,40,FALSE)*8/12)*K77</f>
        <v>0</v>
      </c>
      <c r="Q77" s="235"/>
      <c r="R77" s="235"/>
      <c r="S77" s="269"/>
      <c r="T77" s="280"/>
      <c r="U77" s="235">
        <f t="shared" si="22"/>
        <v>0</v>
      </c>
      <c r="V77" s="36"/>
      <c r="W77" s="36"/>
    </row>
    <row r="78" spans="1:23" x14ac:dyDescent="0.25">
      <c r="A78" s="244">
        <v>9257033</v>
      </c>
      <c r="B78" s="237" t="s">
        <v>220</v>
      </c>
      <c r="C78" s="238">
        <v>3</v>
      </c>
      <c r="D78" s="1024">
        <f>VLOOKUP(A78,'1819 Revised Bands'!$A$117:$R$134,10,(FALSE))</f>
        <v>0.31395348837209303</v>
      </c>
      <c r="E78" s="1024">
        <f>VLOOKUP(A78,'1819 Revised Bands'!$A$117:$R$134,8,(FALSE))</f>
        <v>0.19767441860465115</v>
      </c>
      <c r="F78" s="1024">
        <f>VLOOKUP(A78,'1819 Revised Bands'!$A$117:$R$134,14,(FALSE))</f>
        <v>0.22093023255813954</v>
      </c>
      <c r="G78" s="1024">
        <f>VLOOKUP(A78,'1819 Revised Bands'!$A$117:$R$134,6,(FALSE))</f>
        <v>6.9767441860465115E-2</v>
      </c>
      <c r="H78" s="1024">
        <f>VLOOKUP(A78,'1819 Revised Bands'!$A$117:$R$134,12,(FALSE))</f>
        <v>0.10465116279069768</v>
      </c>
      <c r="I78" s="1024">
        <f>VLOOKUP(A78,'1819 Revised Bands'!$A$117:$R$134,16,(FALSE))</f>
        <v>9.3023255813953487E-2</v>
      </c>
      <c r="J78" s="1024">
        <f>VLOOKUP(A78,'1819 Revised Bands'!$A$117:$R$134,18,(FALSE))</f>
        <v>0</v>
      </c>
      <c r="K78" s="233">
        <v>0</v>
      </c>
      <c r="L78" s="1025">
        <f t="shared" si="20"/>
        <v>0</v>
      </c>
      <c r="M78" s="1025">
        <f t="shared" si="19"/>
        <v>0</v>
      </c>
      <c r="N78" s="1025">
        <f t="shared" si="23"/>
        <v>0</v>
      </c>
      <c r="O78" s="1026">
        <f t="shared" si="21"/>
        <v>0</v>
      </c>
      <c r="P78" s="1026">
        <f>(VLOOKUP(A78,'1819 Funding Detail'!$A$4:$AN$23,40,FALSE)*8/12)*K78</f>
        <v>0</v>
      </c>
      <c r="Q78" s="235"/>
      <c r="R78" s="235"/>
      <c r="S78" s="269"/>
      <c r="T78" s="280"/>
      <c r="U78" s="235">
        <f t="shared" si="22"/>
        <v>0</v>
      </c>
      <c r="V78" s="36"/>
      <c r="W78" s="36"/>
    </row>
    <row r="79" spans="1:23" x14ac:dyDescent="0.25">
      <c r="A79" s="244">
        <v>9257008</v>
      </c>
      <c r="B79" s="237" t="s">
        <v>212</v>
      </c>
      <c r="C79" s="238">
        <v>4</v>
      </c>
      <c r="D79" s="1024">
        <f>VLOOKUP(A79,'1819 Revised Bands'!$A$117:$R$134,10,(FALSE))</f>
        <v>4.3956043956043959E-2</v>
      </c>
      <c r="E79" s="1024">
        <f>VLOOKUP(A79,'1819 Revised Bands'!$A$117:$R$134,8,(FALSE))</f>
        <v>0.61538461538461542</v>
      </c>
      <c r="F79" s="1024">
        <f>VLOOKUP(A79,'1819 Revised Bands'!$A$117:$R$134,14,(FALSE))</f>
        <v>0.15384615384615385</v>
      </c>
      <c r="G79" s="1024">
        <f>VLOOKUP(A79,'1819 Revised Bands'!$A$117:$R$134,6,(FALSE))</f>
        <v>2.197802197802198E-2</v>
      </c>
      <c r="H79" s="1024">
        <f>VLOOKUP(A79,'1819 Revised Bands'!$A$117:$R$134,12,(FALSE))</f>
        <v>2.197802197802198E-2</v>
      </c>
      <c r="I79" s="1024">
        <f>VLOOKUP(A79,'1819 Revised Bands'!$A$117:$R$134,16,(FALSE))</f>
        <v>0.14285714285714285</v>
      </c>
      <c r="J79" s="1024">
        <f>VLOOKUP(A79,'1819 Revised Bands'!$A$117:$R$134,18,(FALSE))</f>
        <v>0</v>
      </c>
      <c r="K79" s="233">
        <v>0</v>
      </c>
      <c r="L79" s="1025">
        <f t="shared" si="20"/>
        <v>0</v>
      </c>
      <c r="M79" s="1025">
        <f t="shared" si="19"/>
        <v>0</v>
      </c>
      <c r="N79" s="1025">
        <f t="shared" si="23"/>
        <v>0</v>
      </c>
      <c r="O79" s="1026">
        <f t="shared" si="21"/>
        <v>0</v>
      </c>
      <c r="P79" s="1026">
        <f>(VLOOKUP(A79,'1819 Funding Detail'!$A$4:$AN$23,40,FALSE)*8/12)*K79</f>
        <v>0</v>
      </c>
      <c r="Q79" s="235"/>
      <c r="R79" s="235"/>
      <c r="S79" s="269"/>
      <c r="T79" s="280"/>
      <c r="U79" s="235">
        <f t="shared" si="22"/>
        <v>0</v>
      </c>
      <c r="V79" s="36"/>
      <c r="W79" s="36"/>
    </row>
    <row r="80" spans="1:23" x14ac:dyDescent="0.25">
      <c r="A80" s="244">
        <v>9257034</v>
      </c>
      <c r="B80" s="237" t="s">
        <v>221</v>
      </c>
      <c r="C80" s="238">
        <v>5</v>
      </c>
      <c r="D80" s="1024">
        <f>VLOOKUP(A80,'1819 Revised Bands'!$A$117:$R$134,10,(FALSE))</f>
        <v>0.42105263157894735</v>
      </c>
      <c r="E80" s="1024">
        <f>VLOOKUP(A80,'1819 Revised Bands'!$A$117:$R$134,8,(FALSE))</f>
        <v>0.16666666666666666</v>
      </c>
      <c r="F80" s="1024">
        <f>VLOOKUP(A80,'1819 Revised Bands'!$A$117:$R$134,14,(FALSE))</f>
        <v>0.26315789473684209</v>
      </c>
      <c r="G80" s="1024">
        <f>VLOOKUP(A80,'1819 Revised Bands'!$A$117:$R$134,6,(FALSE))</f>
        <v>4.3859649122807015E-2</v>
      </c>
      <c r="H80" s="1024">
        <f>VLOOKUP(A80,'1819 Revised Bands'!$A$117:$R$134,12,(FALSE))</f>
        <v>3.5087719298245612E-2</v>
      </c>
      <c r="I80" s="1024">
        <f>VLOOKUP(A80,'1819 Revised Bands'!$A$117:$R$134,16,(FALSE))</f>
        <v>4.3859649122807015E-2</v>
      </c>
      <c r="J80" s="1024">
        <f>VLOOKUP(A80,'1819 Revised Bands'!$A$117:$R$134,18,(FALSE))</f>
        <v>2.6315789473684209E-2</v>
      </c>
      <c r="K80" s="233">
        <v>33</v>
      </c>
      <c r="L80" s="1025">
        <f t="shared" si="20"/>
        <v>195140.1090945646</v>
      </c>
      <c r="M80" s="1025">
        <f t="shared" si="19"/>
        <v>15255.263157894737</v>
      </c>
      <c r="N80" s="1025">
        <f t="shared" si="23"/>
        <v>210395.37225245935</v>
      </c>
      <c r="O80" s="1026">
        <f t="shared" si="21"/>
        <v>220000</v>
      </c>
      <c r="P80" s="1026">
        <f>(VLOOKUP(A80,'1819 Funding Detail'!$A$4:$AN$23,40,FALSE)*8/12)*K80</f>
        <v>86036.797252459335</v>
      </c>
      <c r="Q80" s="235"/>
      <c r="R80" s="235"/>
      <c r="S80" s="269"/>
      <c r="T80" s="280"/>
      <c r="U80" s="235">
        <f t="shared" si="22"/>
        <v>13033.697805986245</v>
      </c>
      <c r="V80" s="36"/>
      <c r="W80" s="36"/>
    </row>
    <row r="81" spans="1:21" x14ac:dyDescent="0.25">
      <c r="A81" s="244">
        <v>9257002</v>
      </c>
      <c r="B81" s="237" t="s">
        <v>213</v>
      </c>
      <c r="C81" s="238">
        <v>5</v>
      </c>
      <c r="D81" s="1024">
        <f>VLOOKUP(A81,'1819 Revised Bands'!$A$117:$R$134,10,(FALSE))</f>
        <v>0.53237410071942448</v>
      </c>
      <c r="E81" s="1024">
        <f>VLOOKUP(A81,'1819 Revised Bands'!$A$117:$R$134,8,(FALSE))</f>
        <v>0.12949640287769784</v>
      </c>
      <c r="F81" s="1024">
        <f>VLOOKUP(A81,'1819 Revised Bands'!$A$117:$R$134,14,(FALSE))</f>
        <v>0.18705035971223022</v>
      </c>
      <c r="G81" s="1024">
        <f>VLOOKUP(A81,'1819 Revised Bands'!$A$117:$R$134,6,(FALSE))</f>
        <v>7.1942446043165471E-3</v>
      </c>
      <c r="H81" s="1024">
        <f>VLOOKUP(A81,'1819 Revised Bands'!$A$117:$R$134,12,(FALSE))</f>
        <v>6.4748201438848921E-2</v>
      </c>
      <c r="I81" s="1024">
        <f>VLOOKUP(A81,'1819 Revised Bands'!$A$117:$R$134,16,(FALSE))</f>
        <v>7.1942446043165464E-2</v>
      </c>
      <c r="J81" s="1024">
        <f>VLOOKUP(A81,'1819 Revised Bands'!$A$117:$R$134,18,(FALSE))</f>
        <v>7.1942446043165471E-3</v>
      </c>
      <c r="K81" s="233">
        <v>0</v>
      </c>
      <c r="L81" s="1025">
        <f t="shared" si="20"/>
        <v>0</v>
      </c>
      <c r="M81" s="1025">
        <f t="shared" si="19"/>
        <v>0</v>
      </c>
      <c r="N81" s="1025">
        <f t="shared" si="23"/>
        <v>0</v>
      </c>
      <c r="O81" s="1026">
        <f t="shared" si="21"/>
        <v>0</v>
      </c>
      <c r="P81" s="1026">
        <f>(VLOOKUP(A81,'1819 Funding Detail'!$A$4:$AN$23,40,FALSE)*8/12)*K81</f>
        <v>0</v>
      </c>
      <c r="Q81" s="235"/>
      <c r="R81" s="235"/>
      <c r="S81" s="269"/>
      <c r="T81" s="280"/>
      <c r="U81" s="235">
        <f t="shared" si="22"/>
        <v>0</v>
      </c>
    </row>
    <row r="82" spans="1:21" x14ac:dyDescent="0.25">
      <c r="A82" s="244">
        <v>9257009</v>
      </c>
      <c r="B82" s="237" t="s">
        <v>214</v>
      </c>
      <c r="C82" s="238">
        <v>4</v>
      </c>
      <c r="D82" s="1024">
        <f>VLOOKUP(A82,'1819 Revised Bands'!$A$117:$R$134,10,(FALSE))</f>
        <v>0.1484375</v>
      </c>
      <c r="E82" s="1024">
        <f>VLOOKUP(A82,'1819 Revised Bands'!$A$117:$R$134,8,(FALSE))</f>
        <v>0.46875</v>
      </c>
      <c r="F82" s="1024">
        <f>VLOOKUP(A82,'1819 Revised Bands'!$A$117:$R$134,14,(FALSE))</f>
        <v>0.125</v>
      </c>
      <c r="G82" s="1024">
        <f>VLOOKUP(A82,'1819 Revised Bands'!$A$117:$R$134,6,(FALSE))</f>
        <v>0</v>
      </c>
      <c r="H82" s="1024">
        <f>VLOOKUP(A82,'1819 Revised Bands'!$A$117:$R$134,12,(FALSE))</f>
        <v>3.125E-2</v>
      </c>
      <c r="I82" s="1024">
        <f>VLOOKUP(A82,'1819 Revised Bands'!$A$117:$R$134,16,(FALSE))</f>
        <v>0.2265625</v>
      </c>
      <c r="J82" s="1024">
        <f>VLOOKUP(A82,'1819 Revised Bands'!$A$117:$R$134,18,(FALSE))</f>
        <v>0</v>
      </c>
      <c r="K82" s="233">
        <v>0</v>
      </c>
      <c r="L82" s="1025">
        <f t="shared" si="20"/>
        <v>0</v>
      </c>
      <c r="M82" s="1025">
        <f t="shared" si="19"/>
        <v>0</v>
      </c>
      <c r="N82" s="1025">
        <f t="shared" si="23"/>
        <v>0</v>
      </c>
      <c r="O82" s="1026">
        <f t="shared" si="21"/>
        <v>0</v>
      </c>
      <c r="P82" s="1026">
        <f>(VLOOKUP(A82,'1819 Funding Detail'!$A$4:$AN$23,40,FALSE)*8/12)*K82</f>
        <v>0</v>
      </c>
      <c r="Q82" s="235"/>
      <c r="R82" s="235"/>
      <c r="S82" s="269"/>
      <c r="T82" s="280"/>
      <c r="U82" s="235">
        <f t="shared" si="22"/>
        <v>0</v>
      </c>
    </row>
    <row r="83" spans="1:21" x14ac:dyDescent="0.25">
      <c r="A83" s="244">
        <v>9257029</v>
      </c>
      <c r="B83" s="237" t="s">
        <v>259</v>
      </c>
      <c r="C83" s="238">
        <v>3</v>
      </c>
      <c r="D83" s="1024">
        <f>VLOOKUP(A83,'1819 Revised Bands'!$A$117:$R$134,10,(FALSE))</f>
        <v>0</v>
      </c>
      <c r="E83" s="1024">
        <f>VLOOKUP(A83,'1819 Revised Bands'!$A$117:$R$134,8,(FALSE))</f>
        <v>0</v>
      </c>
      <c r="F83" s="1024">
        <f>VLOOKUP(A83,'1819 Revised Bands'!$A$117:$R$134,14,(FALSE))</f>
        <v>1</v>
      </c>
      <c r="G83" s="1024">
        <f>VLOOKUP(A83,'1819 Revised Bands'!$A$117:$R$134,6,(FALSE))</f>
        <v>0</v>
      </c>
      <c r="H83" s="1024">
        <f>VLOOKUP(A83,'1819 Revised Bands'!$A$117:$R$134,12,(FALSE))</f>
        <v>0</v>
      </c>
      <c r="I83" s="1024">
        <f>VLOOKUP(A83,'1819 Revised Bands'!$A$117:$R$134,16,(FALSE))</f>
        <v>0</v>
      </c>
      <c r="J83" s="1024">
        <f>VLOOKUP(A83,'1819 Revised Bands'!$A$117:$R$134,18,(FALSE))</f>
        <v>0</v>
      </c>
      <c r="K83" s="233">
        <v>0</v>
      </c>
      <c r="L83" s="1025">
        <f t="shared" si="20"/>
        <v>0</v>
      </c>
      <c r="M83" s="1025">
        <f t="shared" si="19"/>
        <v>0</v>
      </c>
      <c r="N83" s="1025">
        <f t="shared" si="23"/>
        <v>0</v>
      </c>
      <c r="O83" s="1026">
        <f t="shared" si="21"/>
        <v>0</v>
      </c>
      <c r="P83" s="1026">
        <f>(VLOOKUP(A83,'1819 Funding Detail'!$A$4:$AN$23,40,FALSE)*8/12)*K83</f>
        <v>0</v>
      </c>
      <c r="Q83" s="235"/>
      <c r="R83" s="235"/>
      <c r="S83" s="269"/>
      <c r="T83" s="280"/>
      <c r="U83" s="235">
        <f t="shared" si="22"/>
        <v>0</v>
      </c>
    </row>
    <row r="84" spans="1:21" x14ac:dyDescent="0.25">
      <c r="A84" s="244">
        <v>9257032</v>
      </c>
      <c r="B84" s="237" t="s">
        <v>261</v>
      </c>
      <c r="C84" s="238">
        <v>4</v>
      </c>
      <c r="D84" s="1024">
        <f>VLOOKUP(A84,'1819 Revised Bands'!$A$117:$R$134,10,(FALSE))</f>
        <v>0</v>
      </c>
      <c r="E84" s="1024">
        <f>VLOOKUP(A84,'1819 Revised Bands'!$A$117:$R$134,8,(FALSE))</f>
        <v>0</v>
      </c>
      <c r="F84" s="1024">
        <f>VLOOKUP(A84,'1819 Revised Bands'!$A$117:$R$134,14,(FALSE))</f>
        <v>1</v>
      </c>
      <c r="G84" s="1024">
        <f>VLOOKUP(A84,'1819 Revised Bands'!$A$117:$R$134,6,(FALSE))</f>
        <v>0</v>
      </c>
      <c r="H84" s="1024">
        <f>VLOOKUP(A84,'1819 Revised Bands'!$A$117:$R$134,12,(FALSE))</f>
        <v>0</v>
      </c>
      <c r="I84" s="1024">
        <f>VLOOKUP(A84,'1819 Revised Bands'!$A$117:$R$134,16,(FALSE))</f>
        <v>0</v>
      </c>
      <c r="J84" s="1024">
        <f>VLOOKUP(A84,'1819 Revised Bands'!$A$117:$R$134,18,(FALSE))</f>
        <v>0</v>
      </c>
      <c r="K84" s="233">
        <v>0</v>
      </c>
      <c r="L84" s="1025">
        <f t="shared" si="20"/>
        <v>0</v>
      </c>
      <c r="M84" s="1025">
        <f t="shared" si="19"/>
        <v>0</v>
      </c>
      <c r="N84" s="1025">
        <f t="shared" si="23"/>
        <v>0</v>
      </c>
      <c r="O84" s="1026">
        <f t="shared" si="21"/>
        <v>0</v>
      </c>
      <c r="P84" s="1026">
        <f>(VLOOKUP(A84,'1819 Funding Detail'!$A$4:$AN$23,40,FALSE)*8/12)*K84</f>
        <v>0</v>
      </c>
      <c r="Q84" s="235"/>
      <c r="R84" s="235"/>
      <c r="S84" s="269"/>
      <c r="T84" s="280"/>
      <c r="U84" s="235">
        <f t="shared" si="22"/>
        <v>0</v>
      </c>
    </row>
    <row r="85" spans="1:21" x14ac:dyDescent="0.25">
      <c r="A85" s="244">
        <v>9257030</v>
      </c>
      <c r="B85" s="237" t="s">
        <v>262</v>
      </c>
      <c r="C85" s="238">
        <v>4</v>
      </c>
      <c r="D85" s="1024">
        <f>VLOOKUP(A85,'1819 Revised Bands'!$A$117:$R$134,10,(FALSE))</f>
        <v>0</v>
      </c>
      <c r="E85" s="1024">
        <f>VLOOKUP(A85,'1819 Revised Bands'!$A$117:$R$134,8,(FALSE))</f>
        <v>0</v>
      </c>
      <c r="F85" s="1024">
        <f>VLOOKUP(A85,'1819 Revised Bands'!$A$117:$R$134,14,(FALSE))</f>
        <v>1</v>
      </c>
      <c r="G85" s="1024">
        <f>VLOOKUP(A85,'1819 Revised Bands'!$A$117:$R$134,6,(FALSE))</f>
        <v>0</v>
      </c>
      <c r="H85" s="1024">
        <f>VLOOKUP(A85,'1819 Revised Bands'!$A$117:$R$134,12,(FALSE))</f>
        <v>0</v>
      </c>
      <c r="I85" s="1024">
        <f>VLOOKUP(A85,'1819 Revised Bands'!$A$117:$R$134,16,(FALSE))</f>
        <v>0</v>
      </c>
      <c r="J85" s="1024">
        <f>VLOOKUP(A85,'1819 Revised Bands'!$A$117:$R$134,18,(FALSE))</f>
        <v>0</v>
      </c>
      <c r="K85" s="233">
        <v>0</v>
      </c>
      <c r="L85" s="1025">
        <f t="shared" si="20"/>
        <v>0</v>
      </c>
      <c r="M85" s="1025">
        <f t="shared" si="19"/>
        <v>0</v>
      </c>
      <c r="N85" s="1025">
        <f t="shared" si="23"/>
        <v>0</v>
      </c>
      <c r="O85" s="1026">
        <f t="shared" si="21"/>
        <v>0</v>
      </c>
      <c r="P85" s="1026">
        <f>(VLOOKUP(A85,'1819 Funding Detail'!$A$4:$AN$23,40,FALSE)*8/12)*K85</f>
        <v>0</v>
      </c>
      <c r="Q85" s="235"/>
      <c r="R85" s="235"/>
      <c r="S85" s="269"/>
      <c r="T85" s="280"/>
      <c r="U85" s="235">
        <f t="shared" si="22"/>
        <v>0</v>
      </c>
    </row>
    <row r="86" spans="1:21" x14ac:dyDescent="0.25">
      <c r="A86" s="244">
        <v>9257028</v>
      </c>
      <c r="B86" s="237" t="s">
        <v>215</v>
      </c>
      <c r="C86" s="238">
        <v>5</v>
      </c>
      <c r="D86" s="1024">
        <f>VLOOKUP(A86,'1819 Revised Bands'!$A$117:$R$134,10,(FALSE))</f>
        <v>6.3291139240506333E-2</v>
      </c>
      <c r="E86" s="1024">
        <f>VLOOKUP(A86,'1819 Revised Bands'!$A$117:$R$134,8,(FALSE))</f>
        <v>0.29113924050632911</v>
      </c>
      <c r="F86" s="1024">
        <f>VLOOKUP(A86,'1819 Revised Bands'!$A$117:$R$134,14,(FALSE))</f>
        <v>3.7974683544303799E-2</v>
      </c>
      <c r="G86" s="1024">
        <f>VLOOKUP(A86,'1819 Revised Bands'!$A$117:$R$134,6,(FALSE))</f>
        <v>0.10126582278481013</v>
      </c>
      <c r="H86" s="1024">
        <f>VLOOKUP(A86,'1819 Revised Bands'!$A$117:$R$134,12,(FALSE))</f>
        <v>0.189873417721519</v>
      </c>
      <c r="I86" s="1024">
        <f>VLOOKUP(A86,'1819 Revised Bands'!$A$117:$R$134,16,(FALSE))</f>
        <v>0.12658227848101267</v>
      </c>
      <c r="J86" s="1024">
        <f>VLOOKUP(A86,'1819 Revised Bands'!$A$117:$R$134,18,(FALSE))</f>
        <v>0.189873417721519</v>
      </c>
      <c r="K86" s="233">
        <v>14</v>
      </c>
      <c r="L86" s="1025">
        <f t="shared" si="20"/>
        <v>121465.9423486329</v>
      </c>
      <c r="M86" s="1025">
        <f t="shared" si="19"/>
        <v>933.92405063291153</v>
      </c>
      <c r="N86" s="1025">
        <f t="shared" si="23"/>
        <v>122399.86639926581</v>
      </c>
      <c r="O86" s="1026">
        <f t="shared" si="21"/>
        <v>93333.333333333328</v>
      </c>
      <c r="P86" s="1026">
        <f>(VLOOKUP(A86,'1819 Funding Detail'!$A$4:$AN$23,40,FALSE)*8/12)*K86</f>
        <v>85611.864716826283</v>
      </c>
      <c r="Q86" s="235"/>
      <c r="R86" s="235"/>
      <c r="S86" s="269"/>
      <c r="T86" s="280"/>
      <c r="U86" s="235">
        <f t="shared" si="22"/>
        <v>39896.013997610375</v>
      </c>
    </row>
    <row r="87" spans="1:21" x14ac:dyDescent="0.25">
      <c r="A87" s="244">
        <v>9257021</v>
      </c>
      <c r="B87" s="237" t="s">
        <v>216</v>
      </c>
      <c r="C87" s="238">
        <v>5</v>
      </c>
      <c r="D87" s="1024">
        <f>VLOOKUP(A87,'1819 Revised Bands'!$A$117:$R$134,10,(FALSE))</f>
        <v>0.29677419354838708</v>
      </c>
      <c r="E87" s="1024">
        <f>VLOOKUP(A87,'1819 Revised Bands'!$A$117:$R$134,8,(FALSE))</f>
        <v>0.29677419354838708</v>
      </c>
      <c r="F87" s="1024">
        <f>VLOOKUP(A87,'1819 Revised Bands'!$A$117:$R$134,14,(FALSE))</f>
        <v>0.12258064516129032</v>
      </c>
      <c r="G87" s="1024">
        <f>VLOOKUP(A87,'1819 Revised Bands'!$A$117:$R$134,6,(FALSE))</f>
        <v>3.870967741935484E-2</v>
      </c>
      <c r="H87" s="1024">
        <f>VLOOKUP(A87,'1819 Revised Bands'!$A$117:$R$134,12,(FALSE))</f>
        <v>9.0322580645161285E-2</v>
      </c>
      <c r="I87" s="1024">
        <f>VLOOKUP(A87,'1819 Revised Bands'!$A$117:$R$134,16,(FALSE))</f>
        <v>0.14193548387096774</v>
      </c>
      <c r="J87" s="1024">
        <f>VLOOKUP(A87,'1819 Revised Bands'!$A$117:$R$134,18,(FALSE))</f>
        <v>1.2903225806451613E-2</v>
      </c>
      <c r="K87" s="233">
        <v>0</v>
      </c>
      <c r="L87" s="1025">
        <f t="shared" si="20"/>
        <v>0</v>
      </c>
      <c r="M87" s="1025">
        <f t="shared" si="19"/>
        <v>0</v>
      </c>
      <c r="N87" s="1025">
        <f t="shared" si="23"/>
        <v>0</v>
      </c>
      <c r="O87" s="1026">
        <f t="shared" si="21"/>
        <v>0</v>
      </c>
      <c r="P87" s="1026">
        <f>(VLOOKUP(A87,'1819 Funding Detail'!$A$4:$AN$23,40,FALSE)*8/12)*K87</f>
        <v>0</v>
      </c>
      <c r="Q87" s="235"/>
      <c r="R87" s="235"/>
      <c r="S87" s="269"/>
      <c r="T87" s="280"/>
      <c r="U87" s="235">
        <f t="shared" si="22"/>
        <v>0</v>
      </c>
    </row>
    <row r="88" spans="1:21" x14ac:dyDescent="0.25">
      <c r="A88" s="244">
        <v>9257015</v>
      </c>
      <c r="B88" s="237" t="s">
        <v>217</v>
      </c>
      <c r="C88" s="238">
        <v>6</v>
      </c>
      <c r="D88" s="1024">
        <f>VLOOKUP(A88,'1819 Revised Bands'!$A$117:$R$134,10,(FALSE))</f>
        <v>0.49808429118773945</v>
      </c>
      <c r="E88" s="1024">
        <f>VLOOKUP(A88,'1819 Revised Bands'!$A$117:$R$134,8,(FALSE))</f>
        <v>0.19923371647509577</v>
      </c>
      <c r="F88" s="1024">
        <f>VLOOKUP(A88,'1819 Revised Bands'!$A$117:$R$134,14,(FALSE))</f>
        <v>4.2145593869731802E-2</v>
      </c>
      <c r="G88" s="1024">
        <f>VLOOKUP(A88,'1819 Revised Bands'!$A$117:$R$134,6,(FALSE))</f>
        <v>3.8314176245210725E-2</v>
      </c>
      <c r="H88" s="1024">
        <f>VLOOKUP(A88,'1819 Revised Bands'!$A$117:$R$134,12,(FALSE))</f>
        <v>6.5134099616858232E-2</v>
      </c>
      <c r="I88" s="1024">
        <f>VLOOKUP(A88,'1819 Revised Bands'!$A$117:$R$134,16,(FALSE))</f>
        <v>0.13793103448275862</v>
      </c>
      <c r="J88" s="1024">
        <f>VLOOKUP(A88,'1819 Revised Bands'!$A$117:$R$134,18,(FALSE))</f>
        <v>1.9157088122605363E-2</v>
      </c>
      <c r="K88" s="233">
        <v>24</v>
      </c>
      <c r="L88" s="1025">
        <f t="shared" si="20"/>
        <v>138027.88131252257</v>
      </c>
      <c r="M88" s="1025">
        <f t="shared" si="19"/>
        <v>1776.8582375478929</v>
      </c>
      <c r="N88" s="1025">
        <f t="shared" si="23"/>
        <v>139804.73955007046</v>
      </c>
      <c r="O88" s="1026">
        <f t="shared" si="21"/>
        <v>160000</v>
      </c>
      <c r="P88" s="1026">
        <f>(VLOOKUP(A88,'1819 Funding Detail'!$A$4:$AN$23,40,FALSE)*8/12)*K88</f>
        <v>19051.489750873639</v>
      </c>
      <c r="Q88" s="235"/>
      <c r="R88" s="235"/>
      <c r="S88" s="269"/>
      <c r="T88" s="280"/>
      <c r="U88" s="235">
        <f t="shared" si="22"/>
        <v>6900.4600017760686</v>
      </c>
    </row>
    <row r="89" spans="1:21" x14ac:dyDescent="0.25">
      <c r="A89" s="244">
        <v>9257016</v>
      </c>
      <c r="B89" s="237" t="s">
        <v>219</v>
      </c>
      <c r="C89" s="238">
        <v>6</v>
      </c>
      <c r="D89" s="1024">
        <f>VLOOKUP(A89,'1819 Revised Bands'!$A$117:$R$134,10,(FALSE))</f>
        <v>0.25170068027210885</v>
      </c>
      <c r="E89" s="1024">
        <f>VLOOKUP(A89,'1819 Revised Bands'!$A$117:$R$134,8,(FALSE))</f>
        <v>6.8027210884353748E-2</v>
      </c>
      <c r="F89" s="1024">
        <f>VLOOKUP(A89,'1819 Revised Bands'!$A$117:$R$134,14,(FALSE))</f>
        <v>0</v>
      </c>
      <c r="G89" s="1024">
        <f>VLOOKUP(A89,'1819 Revised Bands'!$A$117:$R$134,6,(FALSE))</f>
        <v>0.16326530612244897</v>
      </c>
      <c r="H89" s="1024">
        <f>VLOOKUP(A89,'1819 Revised Bands'!$A$117:$R$134,12,(FALSE))</f>
        <v>0.25170068027210885</v>
      </c>
      <c r="I89" s="1024">
        <f>VLOOKUP(A89,'1819 Revised Bands'!$A$117:$R$134,16,(FALSE))</f>
        <v>6.8027210884353739E-3</v>
      </c>
      <c r="J89" s="1024">
        <f>VLOOKUP(A89,'1819 Revised Bands'!$A$117:$R$134,18,(FALSE))</f>
        <v>0.25850340136054423</v>
      </c>
      <c r="K89" s="233">
        <v>57</v>
      </c>
      <c r="L89" s="1025">
        <f t="shared" si="20"/>
        <v>518383.29605955025</v>
      </c>
      <c r="M89" s="1025">
        <f t="shared" si="19"/>
        <v>0</v>
      </c>
      <c r="N89" s="1025">
        <f t="shared" si="23"/>
        <v>518383.29605955025</v>
      </c>
      <c r="O89" s="1026">
        <f t="shared" si="21"/>
        <v>380000</v>
      </c>
      <c r="P89" s="1026">
        <f>(VLOOKUP(A89,'1819 Funding Detail'!$A$4:$AN$23,40,FALSE)*8/12)*K89</f>
        <v>290692.25605955033</v>
      </c>
      <c r="Q89" s="299" t="s">
        <v>207</v>
      </c>
      <c r="R89" s="235"/>
      <c r="S89" s="269"/>
      <c r="T89" s="280"/>
      <c r="U89" s="235">
        <f t="shared" si="22"/>
        <v>221145.66048549081</v>
      </c>
    </row>
    <row r="90" spans="1:21" x14ac:dyDescent="0.25">
      <c r="A90" s="36"/>
      <c r="B90" s="36"/>
      <c r="C90" s="36"/>
      <c r="D90" s="36"/>
      <c r="E90" s="36"/>
      <c r="F90" s="299" t="s">
        <v>207</v>
      </c>
      <c r="G90" s="36"/>
      <c r="H90" s="234"/>
      <c r="I90" s="299" t="s">
        <v>207</v>
      </c>
      <c r="J90" s="36"/>
      <c r="K90" s="36"/>
      <c r="L90" s="36"/>
      <c r="M90" s="36"/>
      <c r="N90" s="36"/>
      <c r="O90" s="36"/>
      <c r="P90" s="36"/>
      <c r="Q90" s="36"/>
      <c r="R90" s="36"/>
      <c r="S90" s="36"/>
      <c r="T90" s="36"/>
      <c r="U90" s="234"/>
    </row>
    <row r="91" spans="1:21" x14ac:dyDescent="0.25">
      <c r="A91" s="36"/>
      <c r="B91" s="36"/>
      <c r="C91" s="36"/>
      <c r="D91" s="36"/>
      <c r="E91" s="36"/>
      <c r="F91" s="36"/>
      <c r="G91" s="36"/>
      <c r="H91" s="36"/>
      <c r="I91" s="234"/>
      <c r="J91" s="234"/>
      <c r="K91" s="36"/>
      <c r="L91" s="36"/>
      <c r="M91" s="36"/>
      <c r="N91" s="36"/>
      <c r="O91" s="36"/>
      <c r="P91" s="36"/>
      <c r="Q91" s="36"/>
      <c r="R91" s="36"/>
      <c r="S91" s="36"/>
      <c r="T91" s="36"/>
      <c r="U91" s="235">
        <f>SUM(U6:U89)</f>
        <v>2255451.1488439254</v>
      </c>
    </row>
    <row r="92" spans="1:21" x14ac:dyDescent="0.25">
      <c r="A92" s="36"/>
      <c r="B92" s="36"/>
      <c r="C92" s="36"/>
      <c r="D92" s="36"/>
      <c r="E92" s="36" t="s">
        <v>831</v>
      </c>
      <c r="F92" s="36"/>
      <c r="G92" s="235">
        <f>'[16]Band Descriptors'!$F$11</f>
        <v>5740.9218150011166</v>
      </c>
      <c r="H92" s="281"/>
      <c r="I92" s="281"/>
      <c r="J92" s="281"/>
      <c r="K92" s="281"/>
      <c r="L92" s="281"/>
      <c r="M92" s="281"/>
      <c r="N92" s="281"/>
      <c r="O92" s="281"/>
      <c r="P92" s="281"/>
      <c r="Q92" s="281"/>
      <c r="R92" s="36"/>
      <c r="S92" s="36"/>
      <c r="T92" s="36"/>
      <c r="U92" s="234"/>
    </row>
    <row r="93" spans="1:21" x14ac:dyDescent="0.25">
      <c r="A93" s="36"/>
      <c r="B93" s="36"/>
      <c r="C93" s="36"/>
      <c r="D93" s="36"/>
      <c r="E93" s="36"/>
      <c r="F93" s="36"/>
      <c r="G93" s="235"/>
      <c r="H93" s="281"/>
      <c r="I93" s="281"/>
      <c r="J93" s="281"/>
      <c r="K93" s="281"/>
      <c r="L93" s="281"/>
      <c r="M93" s="281"/>
      <c r="N93" s="281"/>
      <c r="O93" s="281"/>
      <c r="P93" s="281"/>
      <c r="Q93" s="281"/>
      <c r="R93" s="36"/>
      <c r="S93" s="36"/>
      <c r="T93" s="36"/>
      <c r="U93" s="234"/>
    </row>
    <row r="94" spans="1:21" x14ac:dyDescent="0.25">
      <c r="A94" s="36"/>
      <c r="B94" s="36"/>
      <c r="C94" s="36"/>
      <c r="D94" s="36"/>
      <c r="E94" s="36" t="s">
        <v>832</v>
      </c>
      <c r="F94" s="36"/>
      <c r="G94" s="235">
        <f>'[16]Band Descriptors'!$F$8</f>
        <v>6829.0826228613796</v>
      </c>
      <c r="H94" s="281"/>
      <c r="I94" s="281"/>
      <c r="J94" s="281"/>
      <c r="K94" s="281"/>
      <c r="L94" s="281"/>
      <c r="M94" s="281"/>
      <c r="N94" s="281"/>
      <c r="O94" s="281"/>
      <c r="P94" s="281"/>
      <c r="Q94" s="281"/>
      <c r="R94" s="36"/>
      <c r="S94" s="36"/>
      <c r="T94" s="36"/>
      <c r="U94" s="234"/>
    </row>
    <row r="95" spans="1:21" x14ac:dyDescent="0.25">
      <c r="A95" s="36"/>
      <c r="B95" s="36"/>
      <c r="C95" s="36"/>
      <c r="D95" s="36"/>
      <c r="E95" s="36"/>
      <c r="F95" s="36"/>
      <c r="G95" s="235"/>
      <c r="H95" s="281"/>
      <c r="I95" s="402"/>
      <c r="J95" s="281"/>
      <c r="K95" s="281"/>
      <c r="L95" s="281"/>
      <c r="M95" s="281"/>
      <c r="N95" s="281"/>
      <c r="O95" s="281"/>
      <c r="P95" s="281"/>
      <c r="Q95" s="281"/>
      <c r="R95" s="36"/>
      <c r="S95" s="36"/>
      <c r="T95" s="36"/>
      <c r="U95" s="234"/>
    </row>
    <row r="96" spans="1:21" x14ac:dyDescent="0.25">
      <c r="A96" s="36"/>
      <c r="B96" s="36"/>
      <c r="C96" s="36"/>
      <c r="D96" s="36"/>
      <c r="E96" s="36" t="s">
        <v>833</v>
      </c>
      <c r="F96" s="36"/>
      <c r="G96" s="235">
        <f>'[16]Band Descriptors'!$F$17</f>
        <v>11263.412317184524</v>
      </c>
      <c r="H96" s="281"/>
      <c r="I96" s="402"/>
      <c r="J96" s="281"/>
      <c r="K96" s="281"/>
      <c r="L96" s="281"/>
      <c r="M96" s="281"/>
      <c r="N96" s="281"/>
      <c r="O96" s="281"/>
      <c r="P96" s="281"/>
      <c r="Q96" s="281"/>
      <c r="R96" s="36"/>
      <c r="S96" s="36"/>
      <c r="T96" s="36"/>
      <c r="U96" s="234"/>
    </row>
    <row r="97" spans="1:49" x14ac:dyDescent="0.25">
      <c r="A97" s="36"/>
      <c r="B97" s="36"/>
      <c r="C97" s="36"/>
      <c r="D97" s="36"/>
      <c r="E97" s="36"/>
      <c r="F97" s="36"/>
      <c r="G97" s="235"/>
      <c r="H97" s="281"/>
      <c r="I97" s="402"/>
      <c r="J97" s="281"/>
      <c r="K97" s="281"/>
      <c r="L97" s="281"/>
      <c r="M97" s="281"/>
      <c r="N97" s="281"/>
      <c r="O97" s="281"/>
      <c r="P97" s="281"/>
      <c r="Q97" s="281"/>
      <c r="R97" s="36"/>
      <c r="S97" s="36"/>
      <c r="T97" s="36"/>
      <c r="U97" s="234"/>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row>
    <row r="98" spans="1:49" x14ac:dyDescent="0.25">
      <c r="A98" s="36"/>
      <c r="B98" s="36"/>
      <c r="C98" s="36"/>
      <c r="D98" s="36"/>
      <c r="E98" s="36" t="s">
        <v>834</v>
      </c>
      <c r="F98" s="36"/>
      <c r="G98" s="235">
        <f>'[16]Band Descriptors'!$F$5</f>
        <v>14004.235952555704</v>
      </c>
      <c r="H98" s="281"/>
      <c r="I98" s="402"/>
      <c r="J98" s="281"/>
      <c r="K98" s="281"/>
      <c r="L98" s="281"/>
      <c r="M98" s="281"/>
      <c r="N98" s="281"/>
      <c r="O98" s="281"/>
      <c r="P98" s="281"/>
      <c r="Q98" s="281"/>
      <c r="R98" s="36"/>
      <c r="S98" s="36"/>
      <c r="T98" s="36"/>
      <c r="U98" s="234"/>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row>
    <row r="99" spans="1:49" x14ac:dyDescent="0.25">
      <c r="A99" s="36"/>
      <c r="B99" s="36"/>
      <c r="C99" s="36"/>
      <c r="D99" s="36"/>
      <c r="E99" s="36"/>
      <c r="F99" s="36"/>
      <c r="G99" s="235"/>
      <c r="H99" s="281"/>
      <c r="I99" s="402"/>
      <c r="J99" s="281"/>
      <c r="K99" s="281"/>
      <c r="L99" s="281"/>
      <c r="M99" s="281"/>
      <c r="N99" s="281"/>
      <c r="O99" s="281"/>
      <c r="P99" s="281"/>
      <c r="Q99" s="281"/>
      <c r="R99" s="36"/>
      <c r="S99" s="36"/>
      <c r="T99" s="36"/>
      <c r="U99" s="234"/>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row>
    <row r="100" spans="1:49" x14ac:dyDescent="0.25">
      <c r="A100" s="36"/>
      <c r="B100" s="36"/>
      <c r="C100" s="36"/>
      <c r="D100" s="36"/>
      <c r="E100" s="36" t="s">
        <v>835</v>
      </c>
      <c r="F100" s="36"/>
      <c r="G100" s="235">
        <f>'[16]Band Descriptors'!$F$14</f>
        <v>14004.235952555704</v>
      </c>
      <c r="H100" s="281"/>
      <c r="I100" s="402"/>
      <c r="J100" s="281"/>
      <c r="K100" s="281"/>
      <c r="L100" s="281"/>
      <c r="M100" s="281"/>
      <c r="N100" s="281"/>
      <c r="O100" s="281"/>
      <c r="P100" s="281"/>
      <c r="Q100" s="281"/>
      <c r="R100" s="36"/>
      <c r="S100" s="36"/>
      <c r="T100" s="36"/>
      <c r="U100" s="234"/>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row>
    <row r="101" spans="1:49" x14ac:dyDescent="0.25">
      <c r="A101" s="36"/>
      <c r="B101" s="36"/>
      <c r="C101" s="36"/>
      <c r="D101" s="36"/>
      <c r="E101" s="36"/>
      <c r="F101" s="36"/>
      <c r="G101" s="235"/>
      <c r="H101" s="281"/>
      <c r="I101" s="402"/>
      <c r="J101" s="281"/>
      <c r="K101" s="281"/>
      <c r="L101" s="281"/>
      <c r="M101" s="281"/>
      <c r="N101" s="281"/>
      <c r="O101" s="281"/>
      <c r="P101" s="281"/>
      <c r="Q101" s="281"/>
      <c r="R101" s="36"/>
      <c r="S101" s="36"/>
      <c r="T101" s="36"/>
      <c r="U101" s="234"/>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row>
    <row r="102" spans="1:49" x14ac:dyDescent="0.25">
      <c r="A102" s="36"/>
      <c r="B102" s="36"/>
      <c r="C102" s="36"/>
      <c r="D102" s="36"/>
      <c r="E102" s="36" t="s">
        <v>836</v>
      </c>
      <c r="F102" s="36"/>
      <c r="G102" s="235">
        <f>'[16]Band Descriptors'!$F$22</f>
        <v>14877.000599571715</v>
      </c>
      <c r="H102" s="281"/>
      <c r="I102" s="402"/>
      <c r="J102" s="281"/>
      <c r="K102" s="281"/>
      <c r="L102" s="281"/>
      <c r="M102" s="281"/>
      <c r="N102" s="281"/>
      <c r="O102" s="281"/>
      <c r="P102" s="281"/>
      <c r="Q102" s="281"/>
      <c r="R102" s="36"/>
      <c r="S102" s="36"/>
      <c r="T102" s="36"/>
      <c r="U102" s="234"/>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row>
    <row r="103" spans="1:49" x14ac:dyDescent="0.25">
      <c r="A103" s="36"/>
      <c r="B103" s="36"/>
      <c r="C103" s="36"/>
      <c r="D103" s="36"/>
      <c r="E103" s="36"/>
      <c r="F103" s="36"/>
      <c r="G103" s="235"/>
      <c r="H103" s="281"/>
      <c r="I103" s="402"/>
      <c r="J103" s="281"/>
      <c r="K103" s="281"/>
      <c r="L103" s="281"/>
      <c r="M103" s="281"/>
      <c r="N103" s="281"/>
      <c r="O103" s="281"/>
      <c r="P103" s="281"/>
      <c r="Q103" s="281"/>
      <c r="R103" s="36"/>
      <c r="S103" s="36"/>
      <c r="T103" s="36"/>
      <c r="U103" s="234"/>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row>
    <row r="104" spans="1:49" x14ac:dyDescent="0.25">
      <c r="A104" s="36"/>
      <c r="B104" s="36"/>
      <c r="C104" s="36"/>
      <c r="D104" s="36"/>
      <c r="E104" s="36" t="s">
        <v>837</v>
      </c>
      <c r="F104" s="36"/>
      <c r="G104" s="235">
        <f>'[16]Band Descriptors'!$F$24</f>
        <v>22512.750755794426</v>
      </c>
      <c r="H104" s="281"/>
      <c r="I104" s="402"/>
      <c r="J104" s="281"/>
      <c r="K104" s="281"/>
      <c r="L104" s="281"/>
      <c r="M104" s="281"/>
      <c r="N104" s="281"/>
      <c r="O104" s="281"/>
      <c r="P104" s="281"/>
      <c r="Q104" s="281"/>
      <c r="R104" s="36"/>
      <c r="S104" s="36"/>
      <c r="T104" s="36"/>
      <c r="U104" s="234"/>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row>
    <row r="105" spans="1:49" ht="14" x14ac:dyDescent="0.3">
      <c r="A105" s="36"/>
      <c r="B105" s="37"/>
      <c r="C105" s="38"/>
      <c r="D105" s="39"/>
      <c r="E105" s="281"/>
      <c r="F105" s="36"/>
      <c r="G105" s="36"/>
      <c r="H105" s="282"/>
      <c r="I105" s="402"/>
      <c r="J105" s="281"/>
      <c r="K105" s="282"/>
      <c r="L105" s="282"/>
      <c r="M105" s="282"/>
      <c r="N105" s="282"/>
      <c r="O105" s="282"/>
      <c r="P105" s="282"/>
      <c r="Q105" s="282"/>
      <c r="R105" s="36"/>
      <c r="S105" s="36"/>
      <c r="T105" s="36"/>
      <c r="U105" s="234"/>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row>
    <row r="106" spans="1:49" ht="14" x14ac:dyDescent="0.3">
      <c r="A106" s="36"/>
      <c r="B106" s="40"/>
      <c r="C106" s="38"/>
      <c r="D106" s="36"/>
      <c r="E106" s="36" t="s">
        <v>838</v>
      </c>
      <c r="F106" s="36"/>
      <c r="G106" s="235">
        <v>2635</v>
      </c>
      <c r="H106" s="281"/>
      <c r="I106" s="402"/>
      <c r="J106" s="281"/>
      <c r="K106" s="281"/>
      <c r="L106" s="281"/>
      <c r="M106" s="281"/>
      <c r="N106" s="281"/>
      <c r="O106" s="281"/>
      <c r="P106" s="281"/>
      <c r="Q106" s="281"/>
      <c r="R106" s="36"/>
      <c r="S106" s="36"/>
      <c r="T106" s="36"/>
      <c r="U106" s="234"/>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row>
    <row r="107" spans="1:49" x14ac:dyDescent="0.25">
      <c r="A107" s="36"/>
      <c r="B107" s="36"/>
      <c r="C107" s="36"/>
      <c r="D107" s="36"/>
      <c r="E107" s="36"/>
      <c r="F107" s="36"/>
      <c r="G107" s="36"/>
      <c r="H107" s="36"/>
      <c r="I107" s="402"/>
      <c r="J107" s="234"/>
      <c r="K107" s="36"/>
      <c r="L107" s="36"/>
      <c r="M107" s="36"/>
      <c r="N107" s="36"/>
      <c r="O107" s="36"/>
      <c r="P107" s="36"/>
      <c r="Q107" s="36"/>
      <c r="R107" s="36"/>
      <c r="S107" s="36"/>
      <c r="T107" s="36"/>
      <c r="U107" s="234"/>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1439" t="s">
        <v>839</v>
      </c>
      <c r="AU107" s="1439"/>
      <c r="AV107" s="36"/>
      <c r="AW107" s="36"/>
    </row>
    <row r="108" spans="1:49" x14ac:dyDescent="0.25">
      <c r="A108" s="36"/>
      <c r="B108" s="36"/>
      <c r="C108" s="36"/>
      <c r="D108" s="36"/>
      <c r="E108" s="36"/>
      <c r="F108" s="36"/>
      <c r="G108" s="36"/>
      <c r="H108" s="36"/>
      <c r="I108" s="234"/>
      <c r="J108" s="234"/>
      <c r="K108" s="36"/>
      <c r="L108" s="36"/>
      <c r="M108" s="36"/>
      <c r="N108" s="36"/>
      <c r="O108" s="36"/>
      <c r="P108" s="36"/>
      <c r="Q108" s="36"/>
      <c r="R108" s="36"/>
      <c r="S108" s="36"/>
      <c r="T108" s="36"/>
      <c r="U108" s="234"/>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row>
    <row r="109" spans="1:49" ht="12.75" customHeight="1" x14ac:dyDescent="0.25">
      <c r="A109" s="36"/>
      <c r="B109" s="36"/>
      <c r="C109" s="36"/>
      <c r="D109" s="36"/>
      <c r="E109" s="36"/>
      <c r="F109" s="36"/>
      <c r="G109" s="36"/>
      <c r="H109" s="36"/>
      <c r="I109" s="234"/>
      <c r="J109" s="234"/>
      <c r="K109" s="36"/>
      <c r="L109" s="36"/>
      <c r="M109" s="36"/>
      <c r="N109" s="36"/>
      <c r="O109" s="36"/>
      <c r="P109" s="36"/>
      <c r="Q109" s="36"/>
      <c r="R109" s="36"/>
      <c r="S109" s="36"/>
      <c r="T109" s="36"/>
      <c r="U109" s="234"/>
      <c r="V109" s="36"/>
      <c r="W109" s="36"/>
      <c r="X109" s="36"/>
      <c r="Y109" s="36"/>
      <c r="Z109" s="36"/>
      <c r="AA109" s="36"/>
      <c r="AB109" s="36"/>
      <c r="AC109" s="36"/>
      <c r="AD109" s="36"/>
      <c r="AE109" s="36"/>
      <c r="AF109" s="36"/>
      <c r="AG109" s="36"/>
      <c r="AH109" s="36"/>
      <c r="AI109" s="36"/>
      <c r="AJ109" s="36"/>
      <c r="AK109" s="36"/>
      <c r="AL109" s="36"/>
      <c r="AM109" s="36"/>
      <c r="AN109" s="36"/>
      <c r="AO109" s="36"/>
      <c r="AP109" s="36"/>
      <c r="AQ109" s="1490" t="s">
        <v>787</v>
      </c>
      <c r="AR109" s="1490"/>
      <c r="AS109" s="36"/>
      <c r="AT109" s="1490" t="s">
        <v>787</v>
      </c>
      <c r="AU109" s="1490"/>
      <c r="AV109" s="36"/>
      <c r="AW109" s="36"/>
    </row>
    <row r="110" spans="1:49" ht="12.75" customHeight="1" x14ac:dyDescent="0.3">
      <c r="A110" s="36"/>
      <c r="B110" s="36"/>
      <c r="C110" s="36"/>
      <c r="D110" s="1448" t="s">
        <v>284</v>
      </c>
      <c r="E110" s="1449"/>
      <c r="F110" s="1450"/>
      <c r="G110" s="1448" t="s">
        <v>284</v>
      </c>
      <c r="H110" s="1449"/>
      <c r="I110" s="1450"/>
      <c r="J110" s="1448" t="s">
        <v>264</v>
      </c>
      <c r="K110" s="1449"/>
      <c r="L110" s="1450"/>
      <c r="M110" s="170" t="s">
        <v>285</v>
      </c>
      <c r="N110" s="1448" t="s">
        <v>284</v>
      </c>
      <c r="O110" s="1449"/>
      <c r="P110" s="1450"/>
      <c r="Q110" s="1448" t="s">
        <v>264</v>
      </c>
      <c r="R110" s="1449"/>
      <c r="S110" s="1450"/>
      <c r="T110" s="170" t="s">
        <v>285</v>
      </c>
      <c r="U110" s="448" t="s">
        <v>285</v>
      </c>
      <c r="V110" s="172"/>
      <c r="W110" s="173"/>
      <c r="X110" s="36"/>
      <c r="Y110" s="36"/>
      <c r="Z110" s="36"/>
      <c r="AA110" s="36"/>
      <c r="AB110" s="36"/>
      <c r="AC110" s="36"/>
      <c r="AD110" s="36"/>
      <c r="AE110" s="36"/>
      <c r="AF110" s="36"/>
      <c r="AG110" s="36"/>
      <c r="AH110" s="36"/>
      <c r="AI110" s="36"/>
      <c r="AJ110" s="36"/>
      <c r="AK110" s="36"/>
      <c r="AL110" s="1443" t="s">
        <v>286</v>
      </c>
      <c r="AM110" s="36"/>
      <c r="AN110" s="36"/>
      <c r="AO110" s="1488" t="s">
        <v>840</v>
      </c>
      <c r="AP110" s="243"/>
      <c r="AQ110" s="1488" t="s">
        <v>788</v>
      </c>
      <c r="AR110" s="36"/>
      <c r="AS110" s="36"/>
      <c r="AT110" s="1488" t="s">
        <v>841</v>
      </c>
      <c r="AU110" s="36"/>
      <c r="AV110" s="36"/>
      <c r="AW110" s="36"/>
    </row>
    <row r="111" spans="1:49" ht="41.25" customHeight="1" x14ac:dyDescent="0.3">
      <c r="A111" s="283" t="s">
        <v>182</v>
      </c>
      <c r="B111" s="284" t="s">
        <v>183</v>
      </c>
      <c r="C111" s="238" t="s">
        <v>184</v>
      </c>
      <c r="D111" s="242" t="str">
        <f t="shared" ref="D111:D129" si="24">N5</f>
        <v>Assessment Funding (Apr-Aug)</v>
      </c>
      <c r="E111" s="241" t="str">
        <f t="shared" ref="E111:E129" si="25">N49</f>
        <v>Assessment Funding (Sept-Mar)</v>
      </c>
      <c r="F111" s="96" t="s">
        <v>287</v>
      </c>
      <c r="G111" s="241" t="str">
        <f t="shared" ref="G111:G129" si="26">O5</f>
        <v>Pre-16 Funding (Apr-Aug)</v>
      </c>
      <c r="H111" s="242" t="str">
        <f t="shared" ref="H111:H129" si="27">O49</f>
        <v>Pre-16 Funding (Sept-Mar)</v>
      </c>
      <c r="I111" s="96" t="s">
        <v>288</v>
      </c>
      <c r="J111" s="242" t="str">
        <f t="shared" ref="J111:J129" si="28">L27</f>
        <v>Post-16 Funding (Apr-Jul)</v>
      </c>
      <c r="K111" s="241" t="str">
        <f t="shared" ref="K111:K129" si="29">L71</f>
        <v>Post-16 Funding (Aug-Mar)</v>
      </c>
      <c r="L111" s="96" t="s">
        <v>289</v>
      </c>
      <c r="M111" s="96" t="s">
        <v>290</v>
      </c>
      <c r="N111" s="241" t="str">
        <f t="shared" ref="N111:N129" si="30">P5</f>
        <v>Additionality Funding (Apr-Aug)</v>
      </c>
      <c r="O111" s="241" t="str">
        <f t="shared" ref="O111:O129" si="31">P49</f>
        <v>Additionality Funding (Sept-Mar)</v>
      </c>
      <c r="P111" s="96" t="s">
        <v>291</v>
      </c>
      <c r="Q111" s="241" t="str">
        <f t="shared" ref="Q111:Q129" si="32">M27</f>
        <v>Additionality Funding (Apr-Jul)</v>
      </c>
      <c r="R111" s="242" t="str">
        <f t="shared" ref="R111:R129" si="33">M71</f>
        <v>Additionality Funding (Aug-Mar)</v>
      </c>
      <c r="S111" s="96" t="s">
        <v>291</v>
      </c>
      <c r="T111" s="96" t="s">
        <v>292</v>
      </c>
      <c r="U111" s="96" t="s">
        <v>189</v>
      </c>
      <c r="V111" s="241" t="s">
        <v>293</v>
      </c>
      <c r="W111" s="285" t="s">
        <v>294</v>
      </c>
      <c r="X111" s="237"/>
      <c r="Y111" s="241" t="s">
        <v>295</v>
      </c>
      <c r="Z111" s="241" t="s">
        <v>267</v>
      </c>
      <c r="AA111" s="96" t="s">
        <v>296</v>
      </c>
      <c r="AB111" s="323" t="s">
        <v>189</v>
      </c>
      <c r="AC111" s="241" t="s">
        <v>194</v>
      </c>
      <c r="AD111" s="241" t="s">
        <v>297</v>
      </c>
      <c r="AE111" s="241" t="s">
        <v>298</v>
      </c>
      <c r="AF111" s="96" t="s">
        <v>299</v>
      </c>
      <c r="AG111" s="241" t="s">
        <v>300</v>
      </c>
      <c r="AH111" s="241" t="s">
        <v>301</v>
      </c>
      <c r="AI111" s="96" t="s">
        <v>302</v>
      </c>
      <c r="AJ111" s="96" t="s">
        <v>303</v>
      </c>
      <c r="AK111" s="284"/>
      <c r="AL111" s="1444"/>
      <c r="AM111" s="36"/>
      <c r="AN111" s="36"/>
      <c r="AO111" s="1488"/>
      <c r="AP111" s="243"/>
      <c r="AQ111" s="1488"/>
      <c r="AR111" s="36" t="s">
        <v>19</v>
      </c>
      <c r="AS111" s="36"/>
      <c r="AT111" s="1488"/>
      <c r="AU111" s="36" t="s">
        <v>19</v>
      </c>
      <c r="AV111" s="36"/>
      <c r="AW111" s="36"/>
    </row>
    <row r="112" spans="1:49" ht="13" x14ac:dyDescent="0.3">
      <c r="A112" s="244">
        <v>9257010</v>
      </c>
      <c r="B112" s="237" t="s">
        <v>205</v>
      </c>
      <c r="C112" s="238">
        <v>4</v>
      </c>
      <c r="D112" s="245">
        <f t="shared" si="24"/>
        <v>0</v>
      </c>
      <c r="E112" s="245">
        <f t="shared" si="25"/>
        <v>0</v>
      </c>
      <c r="F112" s="68">
        <f>SUM(D112:E112)</f>
        <v>0</v>
      </c>
      <c r="G112" s="245">
        <f t="shared" si="26"/>
        <v>249127.47987378816</v>
      </c>
      <c r="H112" s="245">
        <f t="shared" si="27"/>
        <v>348778.47182330344</v>
      </c>
      <c r="I112" s="68">
        <f>SUM(G112:H112)</f>
        <v>597905.95169709157</v>
      </c>
      <c r="J112" s="245">
        <f t="shared" si="28"/>
        <v>21202.338712662819</v>
      </c>
      <c r="K112" s="245">
        <f t="shared" si="29"/>
        <v>93290.290335716403</v>
      </c>
      <c r="L112" s="68">
        <f>SUM(J112:K112)</f>
        <v>114492.62904837923</v>
      </c>
      <c r="M112" s="68">
        <f>I112+L112</f>
        <v>712398.58074547083</v>
      </c>
      <c r="N112" s="245">
        <f t="shared" si="30"/>
        <v>4961.7387820512822</v>
      </c>
      <c r="O112" s="245">
        <f t="shared" si="31"/>
        <v>6946.4342948717949</v>
      </c>
      <c r="P112" s="68">
        <f>SUM(N112:O112)</f>
        <v>11908.173076923078</v>
      </c>
      <c r="Q112" s="245">
        <f t="shared" si="32"/>
        <v>422.27564102564099</v>
      </c>
      <c r="R112" s="245">
        <f t="shared" si="33"/>
        <v>1858.0128205128206</v>
      </c>
      <c r="S112" s="68">
        <f>SUM(Q112:R112)</f>
        <v>2280.2884615384614</v>
      </c>
      <c r="T112" s="68">
        <f>P112+S112</f>
        <v>14188.461538461539</v>
      </c>
      <c r="U112" s="68">
        <f>F112+I112+L112+P112+S112</f>
        <v>726587.04228393245</v>
      </c>
      <c r="V112" s="286">
        <f t="shared" ref="V112:V129" si="34">(M6*(5/12))+(M50*(7/12))+(K28*(4/12))+(K72*(8/12))</f>
        <v>56</v>
      </c>
      <c r="W112" s="245">
        <f>U112/V112</f>
        <v>12974.76861221308</v>
      </c>
      <c r="X112" s="237"/>
      <c r="Y112" s="245">
        <f t="shared" ref="Y112:Y129" si="35">R6+R50</f>
        <v>470000</v>
      </c>
      <c r="Z112" s="245">
        <f t="shared" ref="Z112:Z129" si="36">O28+O72</f>
        <v>90000</v>
      </c>
      <c r="AA112" s="245">
        <f>Y112+Z112</f>
        <v>560000</v>
      </c>
      <c r="AB112" s="245">
        <f>VLOOKUP(A112,'1819 Funding Detail'!$A$4:$AN$23,35,FALSE)</f>
        <v>1178319.7922839322</v>
      </c>
      <c r="AC112" s="245">
        <f>AB112-AA112</f>
        <v>618319.79228393221</v>
      </c>
      <c r="AD112" s="245">
        <f t="shared" ref="AD112:AD129" si="37">S6</f>
        <v>216227.9035516727</v>
      </c>
      <c r="AE112" s="245">
        <f t="shared" ref="AE112:AE129" si="38">S50</f>
        <v>302719.06497234182</v>
      </c>
      <c r="AF112" s="245">
        <f>AD112+AE112</f>
        <v>518946.96852401452</v>
      </c>
      <c r="AG112" s="245">
        <f t="shared" ref="AG112:AG129" si="39">P28</f>
        <v>18402.374770355123</v>
      </c>
      <c r="AH112" s="245">
        <f t="shared" ref="AH112:AH129" si="40">P72</f>
        <v>80970.448989562545</v>
      </c>
      <c r="AI112" s="245">
        <f>AG112+AH112</f>
        <v>99372.823759917665</v>
      </c>
      <c r="AJ112" s="245">
        <f>AF112+AI112</f>
        <v>618319.79228393221</v>
      </c>
      <c r="AK112" s="287"/>
      <c r="AL112" s="1029">
        <f>AA112+AF112+AI112</f>
        <v>1178319.7922839322</v>
      </c>
      <c r="AM112" s="247" t="s">
        <v>207</v>
      </c>
      <c r="AN112" s="298" t="s">
        <v>207</v>
      </c>
      <c r="AO112" s="235">
        <f>W112</f>
        <v>12974.76861221308</v>
      </c>
      <c r="AP112" s="235"/>
      <c r="AQ112" s="235">
        <f>VLOOKUP(A112,'Band Calculations 1718'!$A$107:$W$125,23,(FALSE))</f>
        <v>9991.0948916011566</v>
      </c>
      <c r="AR112" s="235">
        <f>W112-AQ112</f>
        <v>2983.6737206119233</v>
      </c>
      <c r="AS112" s="36"/>
      <c r="AT112" s="235">
        <f>VLOOKUP(A112,'Band Calculations - Rebase'!$A$109:$W$127,23,(FALSE))</f>
        <v>11652.177704089083</v>
      </c>
      <c r="AU112" s="235">
        <f>W112-AT112</f>
        <v>1322.590908123997</v>
      </c>
      <c r="AV112" s="1252"/>
      <c r="AW112" s="1527" t="s">
        <v>842</v>
      </c>
    </row>
    <row r="113" spans="1:49" ht="13" x14ac:dyDescent="0.3">
      <c r="A113" s="244">
        <v>9257005</v>
      </c>
      <c r="B113" s="237" t="s">
        <v>208</v>
      </c>
      <c r="C113" s="238">
        <v>4</v>
      </c>
      <c r="D113" s="245">
        <f t="shared" si="24"/>
        <v>0</v>
      </c>
      <c r="E113" s="245">
        <f t="shared" si="25"/>
        <v>0</v>
      </c>
      <c r="F113" s="68">
        <f t="shared" ref="F113:F129" si="41">SUM(D113:E113)</f>
        <v>0</v>
      </c>
      <c r="G113" s="245">
        <f t="shared" si="26"/>
        <v>227564.52014436229</v>
      </c>
      <c r="H113" s="245">
        <f t="shared" si="27"/>
        <v>304430.75805979141</v>
      </c>
      <c r="I113" s="68">
        <f t="shared" ref="I113:I129" si="42">SUM(G113:H113)</f>
        <v>531995.27820415376</v>
      </c>
      <c r="J113" s="245">
        <f t="shared" si="28"/>
        <v>121367.74407699321</v>
      </c>
      <c r="K113" s="245">
        <f t="shared" si="29"/>
        <v>234644.30521552023</v>
      </c>
      <c r="L113" s="68">
        <f t="shared" ref="L113:L129" si="43">SUM(J113:K113)</f>
        <v>356012.04929251346</v>
      </c>
      <c r="M113" s="68">
        <f t="shared" ref="M113:M128" si="44">I113+L113</f>
        <v>888007.32749666716</v>
      </c>
      <c r="N113" s="245">
        <f t="shared" si="30"/>
        <v>7905</v>
      </c>
      <c r="O113" s="245">
        <f t="shared" si="31"/>
        <v>10575.133333333333</v>
      </c>
      <c r="P113" s="68">
        <f t="shared" ref="P113:P129" si="45">SUM(N113:O113)</f>
        <v>18480.133333333331</v>
      </c>
      <c r="Q113" s="245">
        <f t="shared" si="32"/>
        <v>4216</v>
      </c>
      <c r="R113" s="245">
        <f t="shared" si="33"/>
        <v>8150.9333333333325</v>
      </c>
      <c r="S113" s="68">
        <f t="shared" ref="S113:S129" si="46">SUM(Q113:R113)</f>
        <v>12366.933333333332</v>
      </c>
      <c r="T113" s="68">
        <f t="shared" ref="T113:T129" si="47">P113+S113</f>
        <v>30847.066666666666</v>
      </c>
      <c r="U113" s="68">
        <f t="shared" ref="U113:U129" si="48">F113+I113+L113+P113+S113</f>
        <v>918854.39416333381</v>
      </c>
      <c r="V113" s="286">
        <f t="shared" si="34"/>
        <v>73.166666666666671</v>
      </c>
      <c r="W113" s="245">
        <f t="shared" ref="W113:W129" si="49">U113/V113</f>
        <v>12558.374407699323</v>
      </c>
      <c r="X113" s="237"/>
      <c r="Y113" s="245">
        <f t="shared" si="35"/>
        <v>438333.33333333337</v>
      </c>
      <c r="Z113" s="245">
        <f t="shared" si="36"/>
        <v>293333.33333333331</v>
      </c>
      <c r="AA113" s="245">
        <f t="shared" ref="AA113:AA129" si="50">Y113+Z113</f>
        <v>731666.66666666674</v>
      </c>
      <c r="AB113" s="245">
        <f>VLOOKUP(A113,'1819 Funding Detail'!$A$4:$AN$23,35,FALSE)</f>
        <v>1370138.2941633337</v>
      </c>
      <c r="AC113" s="245">
        <f t="shared" ref="AC113:AC129" si="51">AB113-AA113</f>
        <v>638471.62749666697</v>
      </c>
      <c r="AD113" s="245">
        <f t="shared" si="37"/>
        <v>163617.44440404332</v>
      </c>
      <c r="AE113" s="245">
        <f t="shared" si="38"/>
        <v>218883.78118052022</v>
      </c>
      <c r="AF113" s="245">
        <f t="shared" ref="AF113:AF129" si="52">AD113+AE113</f>
        <v>382501.22558456357</v>
      </c>
      <c r="AG113" s="245">
        <f t="shared" si="39"/>
        <v>87262.637015489774</v>
      </c>
      <c r="AH113" s="245">
        <f t="shared" si="40"/>
        <v>168707.76489661357</v>
      </c>
      <c r="AI113" s="245">
        <f t="shared" ref="AI113:AI129" si="53">AG113+AH113</f>
        <v>255970.40191210335</v>
      </c>
      <c r="AJ113" s="245">
        <f t="shared" ref="AJ113:AJ129" si="54">AF113+AI113</f>
        <v>638471.62749666697</v>
      </c>
      <c r="AK113" s="287"/>
      <c r="AL113" s="1029">
        <f t="shared" ref="AL113:AL129" si="55">AA113+AF113+AI113</f>
        <v>1370138.2941633337</v>
      </c>
      <c r="AM113" s="247" t="s">
        <v>207</v>
      </c>
      <c r="AN113" s="298" t="s">
        <v>207</v>
      </c>
      <c r="AO113" s="235">
        <f t="shared" ref="AO113:AO129" si="56">W113</f>
        <v>12558.374407699323</v>
      </c>
      <c r="AP113" s="235"/>
      <c r="AQ113" s="235">
        <f>VLOOKUP(A113,'Band Calculations 1718'!$A$107:$W$125,23,(FALSE))</f>
        <v>9737.6409510925641</v>
      </c>
      <c r="AR113" s="235">
        <f t="shared" ref="AR113:AR129" si="57">W113-AQ113</f>
        <v>2820.7334566067584</v>
      </c>
      <c r="AS113" s="36"/>
      <c r="AT113" s="235">
        <f>VLOOKUP(A113,'Band Calculations - Rebase'!$A$109:$W$127,23,(FALSE))</f>
        <v>10717.42026627099</v>
      </c>
      <c r="AU113" s="235">
        <f t="shared" ref="AU113:AU129" si="58">W113-AT113</f>
        <v>1840.9541414283322</v>
      </c>
      <c r="AV113" s="1252"/>
      <c r="AW113" s="1527"/>
    </row>
    <row r="114" spans="1:49" ht="13" x14ac:dyDescent="0.3">
      <c r="A114" s="244">
        <v>9257025</v>
      </c>
      <c r="B114" s="237" t="s">
        <v>209</v>
      </c>
      <c r="C114" s="238">
        <v>4</v>
      </c>
      <c r="D114" s="245">
        <f t="shared" si="24"/>
        <v>0</v>
      </c>
      <c r="E114" s="245">
        <f t="shared" si="25"/>
        <v>0</v>
      </c>
      <c r="F114" s="68">
        <f>SUM(D114:E114)</f>
        <v>0</v>
      </c>
      <c r="G114" s="245">
        <f t="shared" si="26"/>
        <v>216467.80906257842</v>
      </c>
      <c r="H114" s="245">
        <f t="shared" si="27"/>
        <v>315950.8872700613</v>
      </c>
      <c r="I114" s="68">
        <f t="shared" si="42"/>
        <v>532418.69633263978</v>
      </c>
      <c r="J114" s="245">
        <f t="shared" si="28"/>
        <v>58952.935234063902</v>
      </c>
      <c r="K114" s="245">
        <f t="shared" si="29"/>
        <v>140013.22118090178</v>
      </c>
      <c r="L114" s="68">
        <f t="shared" si="43"/>
        <v>198966.15641496569</v>
      </c>
      <c r="M114" s="68">
        <f t="shared" si="44"/>
        <v>731384.85274760542</v>
      </c>
      <c r="N114" s="245">
        <f t="shared" si="30"/>
        <v>7701.8034825870645</v>
      </c>
      <c r="O114" s="245">
        <f t="shared" si="31"/>
        <v>11241.355721393034</v>
      </c>
      <c r="P114" s="68">
        <f t="shared" si="45"/>
        <v>18943.1592039801</v>
      </c>
      <c r="Q114" s="245">
        <f t="shared" si="32"/>
        <v>2097.5124378109449</v>
      </c>
      <c r="R114" s="245">
        <f t="shared" si="33"/>
        <v>4981.5920398009948</v>
      </c>
      <c r="S114" s="68">
        <f t="shared" si="46"/>
        <v>7079.1044776119397</v>
      </c>
      <c r="T114" s="68">
        <f t="shared" si="47"/>
        <v>26022.263681592041</v>
      </c>
      <c r="U114" s="68">
        <f t="shared" si="48"/>
        <v>757407.11642919749</v>
      </c>
      <c r="V114" s="286">
        <f t="shared" si="34"/>
        <v>66.166666666666671</v>
      </c>
      <c r="W114" s="245">
        <f t="shared" si="49"/>
        <v>11446.958938476535</v>
      </c>
      <c r="X114" s="237"/>
      <c r="Y114" s="245">
        <f t="shared" si="35"/>
        <v>481666.66666666674</v>
      </c>
      <c r="Z114" s="245">
        <f t="shared" si="36"/>
        <v>180000</v>
      </c>
      <c r="AA114" s="245">
        <f t="shared" si="50"/>
        <v>661666.66666666674</v>
      </c>
      <c r="AB114" s="245">
        <f>VLOOKUP(A114,'1819 Funding Detail'!$A$4:$AN$23,35,FALSE)</f>
        <v>1211384.1164291974</v>
      </c>
      <c r="AC114" s="245">
        <f t="shared" si="51"/>
        <v>549717.44976253062</v>
      </c>
      <c r="AD114" s="245">
        <f t="shared" si="37"/>
        <v>162699.74898513185</v>
      </c>
      <c r="AE114" s="245">
        <f t="shared" si="38"/>
        <v>237472.39958255418</v>
      </c>
      <c r="AF114" s="245">
        <f t="shared" si="52"/>
        <v>400172.14856768603</v>
      </c>
      <c r="AG114" s="245">
        <f t="shared" si="39"/>
        <v>44309.718872546546</v>
      </c>
      <c r="AH114" s="245">
        <f t="shared" si="40"/>
        <v>105235.58232229804</v>
      </c>
      <c r="AI114" s="245">
        <f t="shared" si="53"/>
        <v>149545.30119484459</v>
      </c>
      <c r="AJ114" s="245">
        <f t="shared" si="54"/>
        <v>549717.44976253062</v>
      </c>
      <c r="AK114" s="287"/>
      <c r="AL114" s="1029">
        <f t="shared" si="55"/>
        <v>1211384.1164291974</v>
      </c>
      <c r="AM114" s="247" t="s">
        <v>207</v>
      </c>
      <c r="AN114" s="298" t="s">
        <v>207</v>
      </c>
      <c r="AO114" s="235">
        <f t="shared" si="56"/>
        <v>11446.958938476535</v>
      </c>
      <c r="AP114" s="235"/>
      <c r="AQ114" s="235">
        <f>VLOOKUP(A114,'Band Calculations 1718'!$A$107:$W$125,23,(FALSE))</f>
        <v>10128.233980342673</v>
      </c>
      <c r="AR114" s="235">
        <f t="shared" si="57"/>
        <v>1318.7249581338619</v>
      </c>
      <c r="AS114" s="36"/>
      <c r="AT114" s="235">
        <f>VLOOKUP(A114,'Band Calculations - Rebase'!$A$109:$W$127,23,(FALSE))</f>
        <v>11126.205484397093</v>
      </c>
      <c r="AU114" s="1253">
        <f t="shared" si="58"/>
        <v>320.75345407944224</v>
      </c>
      <c r="AV114" s="1252"/>
      <c r="AW114" s="1527"/>
    </row>
    <row r="115" spans="1:49" ht="13" x14ac:dyDescent="0.3">
      <c r="A115" s="244">
        <v>9257011</v>
      </c>
      <c r="B115" s="237" t="s">
        <v>210</v>
      </c>
      <c r="C115" s="238">
        <v>4</v>
      </c>
      <c r="D115" s="245">
        <f t="shared" si="24"/>
        <v>0</v>
      </c>
      <c r="E115" s="245">
        <f t="shared" si="25"/>
        <v>0</v>
      </c>
      <c r="F115" s="68">
        <f t="shared" si="41"/>
        <v>0</v>
      </c>
      <c r="G115" s="245">
        <f t="shared" si="26"/>
        <v>200447.3614078906</v>
      </c>
      <c r="H115" s="245">
        <f t="shared" si="27"/>
        <v>301159.93811526976</v>
      </c>
      <c r="I115" s="68">
        <f t="shared" si="42"/>
        <v>501607.29952316033</v>
      </c>
      <c r="J115" s="245">
        <f t="shared" si="28"/>
        <v>54756.352384594502</v>
      </c>
      <c r="K115" s="245">
        <f t="shared" si="29"/>
        <v>117335.04082413107</v>
      </c>
      <c r="L115" s="68">
        <f t="shared" si="43"/>
        <v>172091.39320872555</v>
      </c>
      <c r="M115" s="68">
        <f t="shared" si="44"/>
        <v>673698.69273188594</v>
      </c>
      <c r="N115" s="245">
        <f t="shared" si="30"/>
        <v>2500.8101851851852</v>
      </c>
      <c r="O115" s="245">
        <f t="shared" si="31"/>
        <v>3757.3148148148148</v>
      </c>
      <c r="P115" s="68">
        <f t="shared" si="45"/>
        <v>6258.125</v>
      </c>
      <c r="Q115" s="245">
        <f t="shared" si="32"/>
        <v>683.14814814814804</v>
      </c>
      <c r="R115" s="245">
        <f t="shared" si="33"/>
        <v>1463.8888888888887</v>
      </c>
      <c r="S115" s="68">
        <f t="shared" si="46"/>
        <v>2147.0370370370365</v>
      </c>
      <c r="T115" s="68">
        <f t="shared" si="47"/>
        <v>8405.1620370370365</v>
      </c>
      <c r="U115" s="68">
        <f t="shared" si="48"/>
        <v>682103.85476892302</v>
      </c>
      <c r="V115" s="286">
        <f t="shared" si="34"/>
        <v>57.416666666666664</v>
      </c>
      <c r="W115" s="245">
        <f t="shared" si="49"/>
        <v>11879.892971301997</v>
      </c>
      <c r="X115" s="237"/>
      <c r="Y115" s="245">
        <f t="shared" si="35"/>
        <v>427500</v>
      </c>
      <c r="Z115" s="245">
        <f t="shared" si="36"/>
        <v>146666.66666666666</v>
      </c>
      <c r="AA115" s="245">
        <f t="shared" si="50"/>
        <v>574166.66666666663</v>
      </c>
      <c r="AB115" s="245">
        <f>VLOOKUP(A115,'1819 Funding Detail'!$A$4:$AN$23,35,FALSE)</f>
        <v>1111722.804768923</v>
      </c>
      <c r="AC115" s="245">
        <f t="shared" si="51"/>
        <v>537556.13810225634</v>
      </c>
      <c r="AD115" s="245">
        <f t="shared" si="37"/>
        <v>159940.50553115029</v>
      </c>
      <c r="AE115" s="245">
        <f t="shared" si="38"/>
        <v>240300.85709070385</v>
      </c>
      <c r="AF115" s="245">
        <f t="shared" si="52"/>
        <v>400241.36262185418</v>
      </c>
      <c r="AG115" s="245">
        <f t="shared" si="39"/>
        <v>43691.064925582519</v>
      </c>
      <c r="AH115" s="245">
        <f t="shared" si="40"/>
        <v>93623.710554819685</v>
      </c>
      <c r="AI115" s="245">
        <f t="shared" si="53"/>
        <v>137314.7754804022</v>
      </c>
      <c r="AJ115" s="245">
        <f t="shared" si="54"/>
        <v>537556.13810225634</v>
      </c>
      <c r="AK115" s="287"/>
      <c r="AL115" s="1029">
        <f t="shared" si="55"/>
        <v>1111722.804768923</v>
      </c>
      <c r="AM115" s="247" t="s">
        <v>207</v>
      </c>
      <c r="AN115" s="298" t="s">
        <v>207</v>
      </c>
      <c r="AO115" s="235">
        <f t="shared" si="56"/>
        <v>11879.892971301997</v>
      </c>
      <c r="AP115" s="235"/>
      <c r="AQ115" s="235">
        <f>VLOOKUP(A115,'Band Calculations 1718'!$A$107:$W$125,23,(FALSE))</f>
        <v>10268.67930679802</v>
      </c>
      <c r="AR115" s="235">
        <f t="shared" si="57"/>
        <v>1611.2136645039773</v>
      </c>
      <c r="AS115" s="36"/>
      <c r="AT115" s="235">
        <f>VLOOKUP(A115,'Band Calculations - Rebase'!$A$109:$W$127,23,(FALSE))</f>
        <v>11433.494344038008</v>
      </c>
      <c r="AU115" s="1253">
        <f t="shared" si="58"/>
        <v>446.3986272639886</v>
      </c>
      <c r="AV115" s="1252"/>
      <c r="AW115" s="1527"/>
    </row>
    <row r="116" spans="1:49" ht="13" x14ac:dyDescent="0.3">
      <c r="A116" s="244">
        <v>9257024</v>
      </c>
      <c r="B116" s="237" t="s">
        <v>211</v>
      </c>
      <c r="C116" s="238">
        <v>3</v>
      </c>
      <c r="D116" s="245">
        <f t="shared" si="24"/>
        <v>0</v>
      </c>
      <c r="E116" s="245">
        <f t="shared" si="25"/>
        <v>0</v>
      </c>
      <c r="F116" s="68">
        <f t="shared" si="41"/>
        <v>0</v>
      </c>
      <c r="G116" s="245">
        <f t="shared" si="26"/>
        <v>280089.83803104534</v>
      </c>
      <c r="H116" s="245">
        <f t="shared" si="27"/>
        <v>459733.66518199159</v>
      </c>
      <c r="I116" s="68">
        <f t="shared" si="42"/>
        <v>739823.50321303692</v>
      </c>
      <c r="J116" s="245">
        <f t="shared" si="28"/>
        <v>42496.38921850342</v>
      </c>
      <c r="K116" s="245">
        <f t="shared" si="29"/>
        <v>84992.77843700684</v>
      </c>
      <c r="L116" s="68">
        <f t="shared" si="43"/>
        <v>127489.16765551026</v>
      </c>
      <c r="M116" s="68">
        <f t="shared" si="44"/>
        <v>867312.67086854717</v>
      </c>
      <c r="N116" s="245">
        <f t="shared" si="30"/>
        <v>3691.5458937198068</v>
      </c>
      <c r="O116" s="245">
        <f t="shared" si="31"/>
        <v>6059.2270531400973</v>
      </c>
      <c r="P116" s="68">
        <f t="shared" si="45"/>
        <v>9750.7729468599046</v>
      </c>
      <c r="Q116" s="245">
        <f t="shared" si="32"/>
        <v>560.09661835748796</v>
      </c>
      <c r="R116" s="245">
        <f t="shared" si="33"/>
        <v>1120.1932367149759</v>
      </c>
      <c r="S116" s="68">
        <f t="shared" si="46"/>
        <v>1680.289855072464</v>
      </c>
      <c r="T116" s="68">
        <f t="shared" si="47"/>
        <v>11431.062801932369</v>
      </c>
      <c r="U116" s="68">
        <f t="shared" si="48"/>
        <v>878743.73367047962</v>
      </c>
      <c r="V116" s="286">
        <f t="shared" si="34"/>
        <v>74.833333333333343</v>
      </c>
      <c r="W116" s="245">
        <f t="shared" si="49"/>
        <v>11742.677955507521</v>
      </c>
      <c r="X116" s="237"/>
      <c r="Y116" s="245">
        <f t="shared" si="35"/>
        <v>638333.33333333337</v>
      </c>
      <c r="Z116" s="245">
        <f t="shared" si="36"/>
        <v>110000</v>
      </c>
      <c r="AA116" s="245">
        <f t="shared" si="50"/>
        <v>748333.33333333337</v>
      </c>
      <c r="AB116" s="245">
        <f>VLOOKUP(A116,'1819 Funding Detail'!$A$4:$AN$23,35,FALSE)</f>
        <v>1336760.3836704795</v>
      </c>
      <c r="AC116" s="245">
        <f t="shared" si="51"/>
        <v>588427.05033714615</v>
      </c>
      <c r="AD116" s="245">
        <f t="shared" si="37"/>
        <v>190026.55300420083</v>
      </c>
      <c r="AE116" s="245">
        <f t="shared" si="38"/>
        <v>311905.65251723997</v>
      </c>
      <c r="AF116" s="245">
        <f t="shared" si="52"/>
        <v>501932.20552144083</v>
      </c>
      <c r="AG116" s="245">
        <f t="shared" si="39"/>
        <v>28831.6149385684</v>
      </c>
      <c r="AH116" s="245">
        <f t="shared" si="40"/>
        <v>57663.2298771368</v>
      </c>
      <c r="AI116" s="245">
        <f t="shared" si="53"/>
        <v>86494.844815705204</v>
      </c>
      <c r="AJ116" s="245">
        <f t="shared" si="54"/>
        <v>588427.05033714604</v>
      </c>
      <c r="AK116" s="287"/>
      <c r="AL116" s="1029">
        <f t="shared" si="55"/>
        <v>1336760.3836704793</v>
      </c>
      <c r="AM116" s="247" t="s">
        <v>207</v>
      </c>
      <c r="AN116" s="298" t="s">
        <v>207</v>
      </c>
      <c r="AO116" s="235">
        <f t="shared" si="56"/>
        <v>11742.677955507521</v>
      </c>
      <c r="AP116" s="235"/>
      <c r="AQ116" s="235">
        <f>VLOOKUP(A116,'Band Calculations 1718'!$A$107:$W$125,23,(FALSE))</f>
        <v>9289.4498761949271</v>
      </c>
      <c r="AR116" s="235">
        <f t="shared" si="57"/>
        <v>2453.2280793125938</v>
      </c>
      <c r="AS116" s="36"/>
      <c r="AT116" s="235">
        <f>VLOOKUP(A116,'Band Calculations - Rebase'!$A$109:$W$127,23,(FALSE))</f>
        <v>10753.400292648294</v>
      </c>
      <c r="AU116" s="235">
        <f t="shared" si="58"/>
        <v>989.27766285922735</v>
      </c>
      <c r="AV116" s="1252"/>
      <c r="AW116" s="1527"/>
    </row>
    <row r="117" spans="1:49" ht="13" x14ac:dyDescent="0.3">
      <c r="A117" s="244">
        <v>9257031</v>
      </c>
      <c r="B117" s="237" t="s">
        <v>257</v>
      </c>
      <c r="C117" s="238">
        <v>4</v>
      </c>
      <c r="D117" s="245">
        <f t="shared" si="24"/>
        <v>0</v>
      </c>
      <c r="E117" s="245">
        <f t="shared" si="25"/>
        <v>0</v>
      </c>
      <c r="F117" s="68">
        <f t="shared" si="41"/>
        <v>0</v>
      </c>
      <c r="G117" s="245">
        <f t="shared" si="26"/>
        <v>328516.19258454861</v>
      </c>
      <c r="H117" s="245">
        <f t="shared" si="27"/>
        <v>473063.31732175004</v>
      </c>
      <c r="I117" s="68">
        <f t="shared" si="42"/>
        <v>801579.50990629871</v>
      </c>
      <c r="J117" s="245">
        <f t="shared" si="28"/>
        <v>0</v>
      </c>
      <c r="K117" s="245">
        <f t="shared" si="29"/>
        <v>0</v>
      </c>
      <c r="L117" s="68">
        <f t="shared" si="43"/>
        <v>0</v>
      </c>
      <c r="M117" s="68">
        <f t="shared" si="44"/>
        <v>801579.50990629871</v>
      </c>
      <c r="N117" s="245">
        <f t="shared" si="30"/>
        <v>76854.166666666672</v>
      </c>
      <c r="O117" s="245">
        <f t="shared" si="31"/>
        <v>110670</v>
      </c>
      <c r="P117" s="68">
        <f t="shared" si="45"/>
        <v>187524.16666666669</v>
      </c>
      <c r="Q117" s="245">
        <f t="shared" si="32"/>
        <v>0</v>
      </c>
      <c r="R117" s="245">
        <f t="shared" si="33"/>
        <v>0</v>
      </c>
      <c r="S117" s="68">
        <f t="shared" si="46"/>
        <v>0</v>
      </c>
      <c r="T117" s="68">
        <f t="shared" si="47"/>
        <v>187524.16666666669</v>
      </c>
      <c r="U117" s="68">
        <f t="shared" si="48"/>
        <v>989103.67657296546</v>
      </c>
      <c r="V117" s="286">
        <f t="shared" si="34"/>
        <v>71.166666666666671</v>
      </c>
      <c r="W117" s="245">
        <f t="shared" si="49"/>
        <v>13898.412317184526</v>
      </c>
      <c r="X117" s="237"/>
      <c r="Y117" s="245">
        <f t="shared" si="35"/>
        <v>711666.66666666674</v>
      </c>
      <c r="Z117" s="245">
        <f t="shared" si="36"/>
        <v>0</v>
      </c>
      <c r="AA117" s="245">
        <f t="shared" si="50"/>
        <v>711666.66666666674</v>
      </c>
      <c r="AB117" s="245">
        <f>VLOOKUP(A117,'1819 Funding Detail'!$A$4:$AN$23,35,FALSE)</f>
        <v>1446382.5499139221</v>
      </c>
      <c r="AC117" s="245">
        <f t="shared" si="51"/>
        <v>734715.88324725535</v>
      </c>
      <c r="AD117" s="245">
        <f t="shared" si="37"/>
        <v>301113.06690461282</v>
      </c>
      <c r="AE117" s="245">
        <f t="shared" si="38"/>
        <v>433602.81634264247</v>
      </c>
      <c r="AF117" s="245">
        <f t="shared" si="52"/>
        <v>734715.88324725535</v>
      </c>
      <c r="AG117" s="245">
        <f t="shared" si="39"/>
        <v>0</v>
      </c>
      <c r="AH117" s="245">
        <f t="shared" si="40"/>
        <v>0</v>
      </c>
      <c r="AI117" s="245">
        <f t="shared" si="53"/>
        <v>0</v>
      </c>
      <c r="AJ117" s="245">
        <f t="shared" si="54"/>
        <v>734715.88324725535</v>
      </c>
      <c r="AK117" s="287"/>
      <c r="AL117" s="1029">
        <f t="shared" si="55"/>
        <v>1446382.5499139221</v>
      </c>
      <c r="AM117" s="247" t="s">
        <v>207</v>
      </c>
      <c r="AN117" s="298" t="s">
        <v>207</v>
      </c>
      <c r="AO117" s="235">
        <f t="shared" si="56"/>
        <v>13898.412317184526</v>
      </c>
      <c r="AP117" s="235"/>
      <c r="AQ117" s="235">
        <f>VLOOKUP(A117,'Band Calculations 1718'!$A$107:$W$125,23,(FALSE))</f>
        <v>14327.068527263833</v>
      </c>
      <c r="AR117" s="235">
        <f t="shared" si="57"/>
        <v>-428.65621007930713</v>
      </c>
      <c r="AS117" s="36"/>
      <c r="AT117" s="235">
        <f>VLOOKUP(A117,'Band Calculations - Rebase'!$A$109:$W$127,23,(FALSE))</f>
        <v>14327.068527263833</v>
      </c>
      <c r="AU117" s="235">
        <f t="shared" si="58"/>
        <v>-428.65621007930713</v>
      </c>
      <c r="AV117" s="1252"/>
      <c r="AW117" s="1527"/>
    </row>
    <row r="118" spans="1:49" ht="13" x14ac:dyDescent="0.3">
      <c r="A118" s="244">
        <v>9257033</v>
      </c>
      <c r="B118" s="237" t="s">
        <v>220</v>
      </c>
      <c r="C118" s="238">
        <v>3</v>
      </c>
      <c r="D118" s="245">
        <f t="shared" si="24"/>
        <v>0</v>
      </c>
      <c r="E118" s="245">
        <f t="shared" si="25"/>
        <v>0</v>
      </c>
      <c r="F118" s="68">
        <f t="shared" si="41"/>
        <v>0</v>
      </c>
      <c r="G118" s="245">
        <f t="shared" si="26"/>
        <v>335298.50821188255</v>
      </c>
      <c r="H118" s="245">
        <f t="shared" si="27"/>
        <v>513598.42081396596</v>
      </c>
      <c r="I118" s="68">
        <f t="shared" si="42"/>
        <v>848896.92902584851</v>
      </c>
      <c r="J118" s="245">
        <f t="shared" si="28"/>
        <v>0</v>
      </c>
      <c r="K118" s="245">
        <f t="shared" si="29"/>
        <v>0</v>
      </c>
      <c r="L118" s="68">
        <f t="shared" si="43"/>
        <v>0</v>
      </c>
      <c r="M118" s="68">
        <f t="shared" si="44"/>
        <v>848896.92902584851</v>
      </c>
      <c r="N118" s="245">
        <f t="shared" si="30"/>
        <v>20617.853682170546</v>
      </c>
      <c r="O118" s="245">
        <f t="shared" si="31"/>
        <v>31581.700581395351</v>
      </c>
      <c r="P118" s="68">
        <f t="shared" si="45"/>
        <v>52199.554263565893</v>
      </c>
      <c r="Q118" s="245">
        <f t="shared" si="32"/>
        <v>0</v>
      </c>
      <c r="R118" s="245">
        <f t="shared" si="33"/>
        <v>0</v>
      </c>
      <c r="S118" s="68">
        <f t="shared" si="46"/>
        <v>0</v>
      </c>
      <c r="T118" s="68">
        <f t="shared" si="47"/>
        <v>52199.554263565893</v>
      </c>
      <c r="U118" s="68">
        <f t="shared" si="48"/>
        <v>901096.48328941443</v>
      </c>
      <c r="V118" s="286">
        <f t="shared" si="34"/>
        <v>89.666666666666671</v>
      </c>
      <c r="W118" s="245">
        <f t="shared" si="49"/>
        <v>10049.403159361498</v>
      </c>
      <c r="X118" s="237"/>
      <c r="Y118" s="245">
        <f t="shared" si="35"/>
        <v>896666.66666666674</v>
      </c>
      <c r="Z118" s="245">
        <f t="shared" si="36"/>
        <v>0</v>
      </c>
      <c r="AA118" s="245">
        <f t="shared" si="50"/>
        <v>896666.66666666674</v>
      </c>
      <c r="AB118" s="245">
        <f>VLOOKUP(A118,'1819 Funding Detail'!$A$4:$AN$23,35,FALSE)</f>
        <v>1364050.4832894143</v>
      </c>
      <c r="AC118" s="245">
        <f t="shared" si="51"/>
        <v>467383.81662274757</v>
      </c>
      <c r="AD118" s="245">
        <f t="shared" si="37"/>
        <v>184607.92013444955</v>
      </c>
      <c r="AE118" s="245">
        <f t="shared" si="38"/>
        <v>282775.89648829802</v>
      </c>
      <c r="AF118" s="245">
        <f t="shared" si="52"/>
        <v>467383.81662274757</v>
      </c>
      <c r="AG118" s="245">
        <f t="shared" si="39"/>
        <v>0</v>
      </c>
      <c r="AH118" s="245">
        <f t="shared" si="40"/>
        <v>0</v>
      </c>
      <c r="AI118" s="245">
        <f t="shared" si="53"/>
        <v>0</v>
      </c>
      <c r="AJ118" s="245">
        <f t="shared" si="54"/>
        <v>467383.81662274757</v>
      </c>
      <c r="AK118" s="287"/>
      <c r="AL118" s="1029">
        <f t="shared" si="55"/>
        <v>1364050.4832894143</v>
      </c>
      <c r="AM118" s="247" t="s">
        <v>207</v>
      </c>
      <c r="AN118" s="298" t="s">
        <v>207</v>
      </c>
      <c r="AO118" s="235">
        <f t="shared" si="56"/>
        <v>10049.403159361498</v>
      </c>
      <c r="AP118" s="235"/>
      <c r="AQ118" s="235">
        <f>VLOOKUP(A118,'Band Calculations 1718'!$A$107:$W$125,23,(FALSE))</f>
        <v>9853.3189773154299</v>
      </c>
      <c r="AR118" s="1253">
        <f t="shared" si="57"/>
        <v>196.08418204606824</v>
      </c>
      <c r="AS118" s="36"/>
      <c r="AT118" s="235">
        <f>VLOOKUP(A118,'Band Calculations - Rebase'!$A$109:$W$127,23,(FALSE))</f>
        <v>9853.3189773154299</v>
      </c>
      <c r="AU118" s="1253">
        <f t="shared" si="58"/>
        <v>196.08418204606824</v>
      </c>
      <c r="AV118" s="1252"/>
      <c r="AW118" s="1527"/>
    </row>
    <row r="119" spans="1:49" ht="13" x14ac:dyDescent="0.3">
      <c r="A119" s="244">
        <v>9257008</v>
      </c>
      <c r="B119" s="237" t="s">
        <v>212</v>
      </c>
      <c r="C119" s="238">
        <v>4</v>
      </c>
      <c r="D119" s="245">
        <f t="shared" si="24"/>
        <v>0</v>
      </c>
      <c r="E119" s="245">
        <f t="shared" si="25"/>
        <v>0</v>
      </c>
      <c r="F119" s="68">
        <f t="shared" si="41"/>
        <v>0</v>
      </c>
      <c r="G119" s="245">
        <f t="shared" si="26"/>
        <v>334820.62013137911</v>
      </c>
      <c r="H119" s="245">
        <f t="shared" si="27"/>
        <v>494790.47197192715</v>
      </c>
      <c r="I119" s="68">
        <f t="shared" si="42"/>
        <v>829611.0921033062</v>
      </c>
      <c r="J119" s="245">
        <f t="shared" si="28"/>
        <v>0</v>
      </c>
      <c r="K119" s="245">
        <f t="shared" si="29"/>
        <v>0</v>
      </c>
      <c r="L119" s="68">
        <f t="shared" si="43"/>
        <v>0</v>
      </c>
      <c r="M119" s="68">
        <f t="shared" si="44"/>
        <v>829611.0921033062</v>
      </c>
      <c r="N119" s="245">
        <f t="shared" si="30"/>
        <v>15201.923076923076</v>
      </c>
      <c r="O119" s="245">
        <f t="shared" si="31"/>
        <v>22465.064102564109</v>
      </c>
      <c r="P119" s="68">
        <f t="shared" si="45"/>
        <v>37666.987179487187</v>
      </c>
      <c r="Q119" s="245">
        <f t="shared" si="32"/>
        <v>0</v>
      </c>
      <c r="R119" s="245">
        <f t="shared" si="33"/>
        <v>0</v>
      </c>
      <c r="S119" s="68">
        <f t="shared" si="46"/>
        <v>0</v>
      </c>
      <c r="T119" s="68">
        <f t="shared" si="47"/>
        <v>37666.987179487187</v>
      </c>
      <c r="U119" s="68">
        <f t="shared" si="48"/>
        <v>867278.07928279345</v>
      </c>
      <c r="V119" s="286">
        <f t="shared" si="34"/>
        <v>92.916666666666671</v>
      </c>
      <c r="W119" s="245">
        <f t="shared" si="49"/>
        <v>9333.9344855547279</v>
      </c>
      <c r="X119" s="237"/>
      <c r="Y119" s="245">
        <f t="shared" si="35"/>
        <v>929166.66666666674</v>
      </c>
      <c r="Z119" s="245">
        <f t="shared" si="36"/>
        <v>0</v>
      </c>
      <c r="AA119" s="245">
        <f t="shared" si="50"/>
        <v>929166.66666666674</v>
      </c>
      <c r="AB119" s="245">
        <f>VLOOKUP(A119,'1819 Funding Detail'!$A$4:$AN$23,35,FALSE)</f>
        <v>1327538.9792827934</v>
      </c>
      <c r="AC119" s="245">
        <f t="shared" si="51"/>
        <v>398372.31261612661</v>
      </c>
      <c r="AD119" s="245">
        <f t="shared" si="37"/>
        <v>160778.0633876744</v>
      </c>
      <c r="AE119" s="245">
        <f t="shared" si="38"/>
        <v>237594.24922845216</v>
      </c>
      <c r="AF119" s="245">
        <f t="shared" si="52"/>
        <v>398372.31261612655</v>
      </c>
      <c r="AG119" s="245">
        <f t="shared" si="39"/>
        <v>0</v>
      </c>
      <c r="AH119" s="245">
        <f t="shared" si="40"/>
        <v>0</v>
      </c>
      <c r="AI119" s="245">
        <f t="shared" si="53"/>
        <v>0</v>
      </c>
      <c r="AJ119" s="245">
        <f t="shared" si="54"/>
        <v>398372.31261612655</v>
      </c>
      <c r="AK119" s="287"/>
      <c r="AL119" s="1029">
        <f t="shared" si="55"/>
        <v>1327538.9792827934</v>
      </c>
      <c r="AM119" s="247" t="s">
        <v>207</v>
      </c>
      <c r="AN119" s="298" t="s">
        <v>207</v>
      </c>
      <c r="AO119" s="235">
        <f t="shared" si="56"/>
        <v>9333.9344855547279</v>
      </c>
      <c r="AP119" s="235"/>
      <c r="AQ119" s="235">
        <f>VLOOKUP(A119,'Band Calculations 1718'!$A$107:$W$125,23,(FALSE))</f>
        <v>8745.392390460469</v>
      </c>
      <c r="AR119" s="235">
        <f t="shared" si="57"/>
        <v>588.54209509425891</v>
      </c>
      <c r="AS119" s="36"/>
      <c r="AT119" s="235">
        <f>VLOOKUP(A119,'Band Calculations - Rebase'!$A$109:$W$127,23,(FALSE))</f>
        <v>8745.392390460469</v>
      </c>
      <c r="AU119" s="235">
        <f t="shared" si="58"/>
        <v>588.54209509425891</v>
      </c>
      <c r="AV119" s="1252"/>
      <c r="AW119" s="1527"/>
    </row>
    <row r="120" spans="1:49" ht="13" x14ac:dyDescent="0.3">
      <c r="A120" s="244">
        <v>9257034</v>
      </c>
      <c r="B120" s="237" t="s">
        <v>221</v>
      </c>
      <c r="C120" s="238">
        <v>5</v>
      </c>
      <c r="D120" s="245">
        <f t="shared" si="24"/>
        <v>0</v>
      </c>
      <c r="E120" s="245">
        <f t="shared" si="25"/>
        <v>0</v>
      </c>
      <c r="F120" s="68">
        <f t="shared" si="41"/>
        <v>0</v>
      </c>
      <c r="G120" s="245">
        <f t="shared" si="26"/>
        <v>303058.50276049814</v>
      </c>
      <c r="H120" s="245">
        <f t="shared" si="27"/>
        <v>403585.22562739509</v>
      </c>
      <c r="I120" s="68">
        <f t="shared" si="42"/>
        <v>706643.72838789318</v>
      </c>
      <c r="J120" s="245">
        <f t="shared" si="28"/>
        <v>103483.39118651157</v>
      </c>
      <c r="K120" s="245">
        <f t="shared" si="29"/>
        <v>195140.1090945646</v>
      </c>
      <c r="L120" s="68">
        <f t="shared" si="43"/>
        <v>298623.50028107618</v>
      </c>
      <c r="M120" s="68">
        <f t="shared" si="44"/>
        <v>1005267.2286689694</v>
      </c>
      <c r="N120" s="245">
        <f t="shared" si="30"/>
        <v>23691.885964912282</v>
      </c>
      <c r="O120" s="245">
        <f t="shared" si="31"/>
        <v>31550.65789473684</v>
      </c>
      <c r="P120" s="68">
        <f t="shared" si="45"/>
        <v>55242.543859649122</v>
      </c>
      <c r="Q120" s="245">
        <f t="shared" si="32"/>
        <v>8089.9122807017529</v>
      </c>
      <c r="R120" s="245">
        <f t="shared" si="33"/>
        <v>15255.263157894737</v>
      </c>
      <c r="S120" s="68">
        <f t="shared" si="46"/>
        <v>23345.175438596489</v>
      </c>
      <c r="T120" s="68">
        <f t="shared" si="47"/>
        <v>78587.719298245618</v>
      </c>
      <c r="U120" s="68">
        <f t="shared" si="48"/>
        <v>1083854.947967215</v>
      </c>
      <c r="V120" s="286">
        <f t="shared" si="34"/>
        <v>113.33333333333334</v>
      </c>
      <c r="W120" s="245">
        <f t="shared" si="49"/>
        <v>9563.4260114754252</v>
      </c>
      <c r="X120" s="237"/>
      <c r="Y120" s="245">
        <f t="shared" si="35"/>
        <v>796666.66666666674</v>
      </c>
      <c r="Z120" s="245">
        <f t="shared" si="36"/>
        <v>336666.66666666663</v>
      </c>
      <c r="AA120" s="245">
        <f t="shared" si="50"/>
        <v>1133333.3333333335</v>
      </c>
      <c r="AB120" s="245">
        <f>VLOOKUP(A120,'1819 Funding Detail'!$A$4:$AN$23,35,FALSE)</f>
        <v>1576553.197967215</v>
      </c>
      <c r="AC120" s="245">
        <f t="shared" si="51"/>
        <v>443219.86463388149</v>
      </c>
      <c r="AD120" s="245">
        <f t="shared" si="37"/>
        <v>133617.75330874368</v>
      </c>
      <c r="AE120" s="245">
        <f t="shared" si="38"/>
        <v>177939.73977213184</v>
      </c>
      <c r="AF120" s="245">
        <f t="shared" si="52"/>
        <v>311557.49308087549</v>
      </c>
      <c r="AG120" s="245">
        <f t="shared" si="39"/>
        <v>45625.574300546614</v>
      </c>
      <c r="AH120" s="245">
        <f t="shared" si="40"/>
        <v>86036.797252459335</v>
      </c>
      <c r="AI120" s="245">
        <f t="shared" si="53"/>
        <v>131662.37155300594</v>
      </c>
      <c r="AJ120" s="245">
        <f t="shared" si="54"/>
        <v>443219.86463388143</v>
      </c>
      <c r="AK120" s="287"/>
      <c r="AL120" s="1029">
        <f t="shared" si="55"/>
        <v>1576553.1979672147</v>
      </c>
      <c r="AM120" s="247" t="s">
        <v>207</v>
      </c>
      <c r="AN120" s="298" t="s">
        <v>207</v>
      </c>
      <c r="AO120" s="235">
        <f t="shared" si="56"/>
        <v>9563.4260114754252</v>
      </c>
      <c r="AP120" s="235"/>
      <c r="AQ120" s="235">
        <f>VLOOKUP(A120,'Band Calculations 1718'!$A$107:$W$125,23,(FALSE))</f>
        <v>8682.1328193541576</v>
      </c>
      <c r="AR120" s="235">
        <f t="shared" si="57"/>
        <v>881.29319212126757</v>
      </c>
      <c r="AS120" s="36"/>
      <c r="AT120" s="235">
        <f>VLOOKUP(A120,'Band Calculations - Rebase'!$A$109:$W$127,23,(FALSE))</f>
        <v>8945.7875194442186</v>
      </c>
      <c r="AU120" s="235">
        <f t="shared" si="58"/>
        <v>617.63849203120662</v>
      </c>
      <c r="AV120" s="1252"/>
      <c r="AW120" s="1527"/>
    </row>
    <row r="121" spans="1:49" ht="13" x14ac:dyDescent="0.3">
      <c r="A121" s="244">
        <v>9257002</v>
      </c>
      <c r="B121" s="237" t="s">
        <v>213</v>
      </c>
      <c r="C121" s="238">
        <v>5</v>
      </c>
      <c r="D121" s="245">
        <f t="shared" si="24"/>
        <v>0</v>
      </c>
      <c r="E121" s="245">
        <f t="shared" si="25"/>
        <v>0</v>
      </c>
      <c r="F121" s="68">
        <f t="shared" si="41"/>
        <v>0</v>
      </c>
      <c r="G121" s="245">
        <f t="shared" si="26"/>
        <v>490328.01679392811</v>
      </c>
      <c r="H121" s="245">
        <f t="shared" si="27"/>
        <v>696127.66327926703</v>
      </c>
      <c r="I121" s="68">
        <f t="shared" si="42"/>
        <v>1186455.6800731951</v>
      </c>
      <c r="J121" s="245">
        <f t="shared" si="28"/>
        <v>0</v>
      </c>
      <c r="K121" s="245">
        <f t="shared" si="29"/>
        <v>0</v>
      </c>
      <c r="L121" s="68">
        <f t="shared" si="43"/>
        <v>0</v>
      </c>
      <c r="M121" s="68">
        <f t="shared" si="44"/>
        <v>1186455.6800731951</v>
      </c>
      <c r="N121" s="245">
        <f t="shared" si="30"/>
        <v>29161.930455635498</v>
      </c>
      <c r="O121" s="245">
        <f t="shared" si="31"/>
        <v>41401.726618705041</v>
      </c>
      <c r="P121" s="68">
        <f t="shared" si="45"/>
        <v>70563.657074340532</v>
      </c>
      <c r="Q121" s="245">
        <f t="shared" si="32"/>
        <v>0</v>
      </c>
      <c r="R121" s="245">
        <f t="shared" si="33"/>
        <v>0</v>
      </c>
      <c r="S121" s="68">
        <f t="shared" si="46"/>
        <v>0</v>
      </c>
      <c r="T121" s="68">
        <f t="shared" si="47"/>
        <v>70563.657074340532</v>
      </c>
      <c r="U121" s="68">
        <f t="shared" si="48"/>
        <v>1257019.3371475358</v>
      </c>
      <c r="V121" s="286">
        <f t="shared" si="34"/>
        <v>143.16666666666669</v>
      </c>
      <c r="W121" s="245">
        <f t="shared" si="49"/>
        <v>8780.1117844996661</v>
      </c>
      <c r="X121" s="237"/>
      <c r="Y121" s="245">
        <f t="shared" si="35"/>
        <v>1431666.6666666667</v>
      </c>
      <c r="Z121" s="245">
        <f t="shared" si="36"/>
        <v>0</v>
      </c>
      <c r="AA121" s="245">
        <f t="shared" si="50"/>
        <v>1431666.6666666667</v>
      </c>
      <c r="AB121" s="245">
        <f>VLOOKUP(A121,'1819 Funding Detail'!$A$4:$AN$23,35,FALSE)</f>
        <v>1780808.3871475358</v>
      </c>
      <c r="AC121" s="245">
        <f t="shared" si="51"/>
        <v>349141.72048086906</v>
      </c>
      <c r="AD121" s="245">
        <f t="shared" si="37"/>
        <v>144290.23372608674</v>
      </c>
      <c r="AE121" s="245">
        <f t="shared" si="38"/>
        <v>204851.48675478229</v>
      </c>
      <c r="AF121" s="245">
        <f t="shared" si="52"/>
        <v>349141.72048086906</v>
      </c>
      <c r="AG121" s="245">
        <f t="shared" si="39"/>
        <v>0</v>
      </c>
      <c r="AH121" s="245">
        <f t="shared" si="40"/>
        <v>0</v>
      </c>
      <c r="AI121" s="245">
        <f t="shared" si="53"/>
        <v>0</v>
      </c>
      <c r="AJ121" s="245">
        <f t="shared" si="54"/>
        <v>349141.72048086906</v>
      </c>
      <c r="AK121" s="287"/>
      <c r="AL121" s="1029">
        <f t="shared" si="55"/>
        <v>1780808.3871475358</v>
      </c>
      <c r="AM121" s="247" t="s">
        <v>207</v>
      </c>
      <c r="AN121" s="298" t="s">
        <v>207</v>
      </c>
      <c r="AO121" s="235">
        <f t="shared" si="56"/>
        <v>8780.1117844996661</v>
      </c>
      <c r="AP121" s="235"/>
      <c r="AQ121" s="235">
        <f>VLOOKUP(A121,'Band Calculations 1718'!$A$107:$W$125,23,(FALSE))</f>
        <v>7480.8820134065591</v>
      </c>
      <c r="AR121" s="235">
        <f t="shared" si="57"/>
        <v>1299.229771093107</v>
      </c>
      <c r="AS121" s="36"/>
      <c r="AT121" s="235">
        <f>VLOOKUP(A121,'Band Calculations - Rebase'!$A$109:$W$127,23,(FALSE))</f>
        <v>7558.3444916912022</v>
      </c>
      <c r="AU121" s="235">
        <f t="shared" si="58"/>
        <v>1221.7672928084639</v>
      </c>
      <c r="AV121" s="1252"/>
      <c r="AW121" s="1527"/>
    </row>
    <row r="122" spans="1:49" ht="13" x14ac:dyDescent="0.3">
      <c r="A122" s="244">
        <v>9257009</v>
      </c>
      <c r="B122" s="237" t="s">
        <v>214</v>
      </c>
      <c r="C122" s="238">
        <v>4</v>
      </c>
      <c r="D122" s="245">
        <f t="shared" si="24"/>
        <v>0</v>
      </c>
      <c r="E122" s="245">
        <f t="shared" si="25"/>
        <v>0</v>
      </c>
      <c r="F122" s="68">
        <f t="shared" si="41"/>
        <v>0</v>
      </c>
      <c r="G122" s="245">
        <f t="shared" si="26"/>
        <v>498231.85835514392</v>
      </c>
      <c r="H122" s="245">
        <f t="shared" si="27"/>
        <v>719153.2715172699</v>
      </c>
      <c r="I122" s="68">
        <f t="shared" si="42"/>
        <v>1217385.1298724138</v>
      </c>
      <c r="J122" s="245">
        <f t="shared" si="28"/>
        <v>0</v>
      </c>
      <c r="K122" s="245">
        <f t="shared" si="29"/>
        <v>0</v>
      </c>
      <c r="L122" s="68">
        <f t="shared" si="43"/>
        <v>0</v>
      </c>
      <c r="M122" s="68">
        <f t="shared" si="44"/>
        <v>1217385.1298724138</v>
      </c>
      <c r="N122" s="245">
        <f t="shared" si="30"/>
        <v>17703.90625</v>
      </c>
      <c r="O122" s="245">
        <f t="shared" si="31"/>
        <v>25554.010416666668</v>
      </c>
      <c r="P122" s="68">
        <f t="shared" si="45"/>
        <v>43257.916666666672</v>
      </c>
      <c r="Q122" s="245">
        <f t="shared" si="32"/>
        <v>0</v>
      </c>
      <c r="R122" s="245">
        <f t="shared" si="33"/>
        <v>0</v>
      </c>
      <c r="S122" s="68">
        <f t="shared" si="46"/>
        <v>0</v>
      </c>
      <c r="T122" s="68">
        <f t="shared" si="47"/>
        <v>43257.916666666672</v>
      </c>
      <c r="U122" s="68">
        <f t="shared" si="48"/>
        <v>1260643.0465390806</v>
      </c>
      <c r="V122" s="286">
        <f t="shared" si="34"/>
        <v>131.33333333333334</v>
      </c>
      <c r="W122" s="245">
        <f t="shared" si="49"/>
        <v>9598.8049228864002</v>
      </c>
      <c r="X122" s="237"/>
      <c r="Y122" s="245">
        <f t="shared" si="35"/>
        <v>1313333.3333333335</v>
      </c>
      <c r="Z122" s="245">
        <f t="shared" si="36"/>
        <v>0</v>
      </c>
      <c r="AA122" s="245">
        <f t="shared" si="50"/>
        <v>1313333.3333333335</v>
      </c>
      <c r="AB122" s="245">
        <f>VLOOKUP(A122,'1819 Funding Detail'!$A$4:$AN$23,35,FALSE)</f>
        <v>1774557.3965390807</v>
      </c>
      <c r="AC122" s="245">
        <f t="shared" si="51"/>
        <v>461224.06320574717</v>
      </c>
      <c r="AD122" s="245">
        <f t="shared" si="37"/>
        <v>188762.38627392572</v>
      </c>
      <c r="AE122" s="245">
        <f t="shared" si="38"/>
        <v>272461.67693182145</v>
      </c>
      <c r="AF122" s="245">
        <f t="shared" si="52"/>
        <v>461224.06320574717</v>
      </c>
      <c r="AG122" s="245">
        <f t="shared" si="39"/>
        <v>0</v>
      </c>
      <c r="AH122" s="245">
        <f t="shared" si="40"/>
        <v>0</v>
      </c>
      <c r="AI122" s="245">
        <f t="shared" si="53"/>
        <v>0</v>
      </c>
      <c r="AJ122" s="245">
        <f t="shared" si="54"/>
        <v>461224.06320574717</v>
      </c>
      <c r="AK122" s="287"/>
      <c r="AL122" s="1029">
        <f t="shared" si="55"/>
        <v>1774557.3965390807</v>
      </c>
      <c r="AM122" s="247" t="s">
        <v>207</v>
      </c>
      <c r="AN122" s="298" t="s">
        <v>207</v>
      </c>
      <c r="AO122" s="235">
        <f t="shared" si="56"/>
        <v>9598.8049228864002</v>
      </c>
      <c r="AP122" s="235"/>
      <c r="AQ122" s="235">
        <f>VLOOKUP(A122,'Band Calculations 1718'!$A$107:$W$125,23,(FALSE))</f>
        <v>7608.4838508549019</v>
      </c>
      <c r="AR122" s="235">
        <f t="shared" si="57"/>
        <v>1990.3210720314983</v>
      </c>
      <c r="AS122" s="36"/>
      <c r="AT122" s="235">
        <f>VLOOKUP(A122,'Band Calculations - Rebase'!$A$109:$W$127,23,(FALSE))</f>
        <v>7608.4838508549019</v>
      </c>
      <c r="AU122" s="1253">
        <f t="shared" si="58"/>
        <v>1990.3210720314983</v>
      </c>
      <c r="AV122" s="1252"/>
      <c r="AW122" s="1527"/>
    </row>
    <row r="123" spans="1:49" ht="13" x14ac:dyDescent="0.3">
      <c r="A123" s="244">
        <v>9257029</v>
      </c>
      <c r="B123" s="237" t="s">
        <v>259</v>
      </c>
      <c r="C123" s="238">
        <v>3</v>
      </c>
      <c r="D123" s="245">
        <f t="shared" si="24"/>
        <v>0</v>
      </c>
      <c r="E123" s="245">
        <f t="shared" si="25"/>
        <v>0</v>
      </c>
      <c r="F123" s="68">
        <f t="shared" si="41"/>
        <v>0</v>
      </c>
      <c r="G123" s="245">
        <f t="shared" si="26"/>
        <v>201802.80401622274</v>
      </c>
      <c r="H123" s="245">
        <f t="shared" si="27"/>
        <v>269383.27791932988</v>
      </c>
      <c r="I123" s="68">
        <f t="shared" si="42"/>
        <v>471186.08193555265</v>
      </c>
      <c r="J123" s="245">
        <f t="shared" si="28"/>
        <v>0</v>
      </c>
      <c r="K123" s="245">
        <f t="shared" si="29"/>
        <v>0</v>
      </c>
      <c r="L123" s="68">
        <f t="shared" si="43"/>
        <v>0</v>
      </c>
      <c r="M123" s="68">
        <f t="shared" si="44"/>
        <v>471186.08193555265</v>
      </c>
      <c r="N123" s="245">
        <f t="shared" si="30"/>
        <v>47210.416666666672</v>
      </c>
      <c r="O123" s="245">
        <f t="shared" si="31"/>
        <v>63020.416666666672</v>
      </c>
      <c r="P123" s="68">
        <f t="shared" si="45"/>
        <v>110230.83333333334</v>
      </c>
      <c r="Q123" s="245">
        <f t="shared" si="32"/>
        <v>0</v>
      </c>
      <c r="R123" s="245">
        <f t="shared" si="33"/>
        <v>0</v>
      </c>
      <c r="S123" s="68">
        <f t="shared" si="46"/>
        <v>0</v>
      </c>
      <c r="T123" s="68">
        <f t="shared" si="47"/>
        <v>110230.83333333334</v>
      </c>
      <c r="U123" s="68">
        <f t="shared" si="48"/>
        <v>581416.91526888602</v>
      </c>
      <c r="V123" s="286">
        <f t="shared" si="34"/>
        <v>41.833333333333336</v>
      </c>
      <c r="W123" s="245">
        <f t="shared" si="49"/>
        <v>13898.412317184526</v>
      </c>
      <c r="X123" s="237"/>
      <c r="Y123" s="245">
        <f t="shared" si="35"/>
        <v>418333.33333333337</v>
      </c>
      <c r="Z123" s="245">
        <f t="shared" si="36"/>
        <v>0</v>
      </c>
      <c r="AA123" s="245">
        <f t="shared" si="50"/>
        <v>418333.33333333337</v>
      </c>
      <c r="AB123" s="245">
        <f>VLOOKUP(A123,'1819 Funding Detail'!$A$4:$AN$23,35,FALSE)</f>
        <v>944664.37622972182</v>
      </c>
      <c r="AC123" s="245">
        <f t="shared" si="51"/>
        <v>526331.04289638845</v>
      </c>
      <c r="AD123" s="245">
        <f t="shared" si="37"/>
        <v>225420.66578231775</v>
      </c>
      <c r="AE123" s="245">
        <f t="shared" si="38"/>
        <v>300910.3771140707</v>
      </c>
      <c r="AF123" s="245">
        <f t="shared" si="52"/>
        <v>526331.04289638845</v>
      </c>
      <c r="AG123" s="245">
        <f t="shared" si="39"/>
        <v>0</v>
      </c>
      <c r="AH123" s="245">
        <f t="shared" si="40"/>
        <v>0</v>
      </c>
      <c r="AI123" s="245">
        <f t="shared" si="53"/>
        <v>0</v>
      </c>
      <c r="AJ123" s="245">
        <f t="shared" si="54"/>
        <v>526331.04289638845</v>
      </c>
      <c r="AK123" s="287"/>
      <c r="AL123" s="1029">
        <f t="shared" si="55"/>
        <v>944664.37622972182</v>
      </c>
      <c r="AM123" s="247" t="s">
        <v>207</v>
      </c>
      <c r="AN123" s="298" t="s">
        <v>207</v>
      </c>
      <c r="AO123" s="235">
        <f t="shared" si="56"/>
        <v>13898.412317184526</v>
      </c>
      <c r="AP123" s="235"/>
      <c r="AQ123" s="235">
        <f>VLOOKUP(A123,'Band Calculations 1718'!$A$107:$W$125,23,(FALSE))</f>
        <v>14327.068527263833</v>
      </c>
      <c r="AR123" s="235">
        <f t="shared" si="57"/>
        <v>-428.65621007930713</v>
      </c>
      <c r="AS123" s="36"/>
      <c r="AT123" s="235">
        <f>VLOOKUP(A123,'Band Calculations - Rebase'!$A$109:$W$127,23,(FALSE))</f>
        <v>14327.068527263833</v>
      </c>
      <c r="AU123" s="235">
        <f t="shared" si="58"/>
        <v>-428.65621007930713</v>
      </c>
      <c r="AV123" s="1252"/>
      <c r="AW123" s="1527"/>
    </row>
    <row r="124" spans="1:49" ht="13" x14ac:dyDescent="0.3">
      <c r="A124" s="244">
        <v>9257032</v>
      </c>
      <c r="B124" s="237" t="s">
        <v>261</v>
      </c>
      <c r="C124" s="238">
        <v>4</v>
      </c>
      <c r="D124" s="245">
        <f t="shared" si="24"/>
        <v>0</v>
      </c>
      <c r="E124" s="245">
        <f t="shared" si="25"/>
        <v>0</v>
      </c>
      <c r="F124" s="68">
        <f t="shared" si="41"/>
        <v>0</v>
      </c>
      <c r="G124" s="245">
        <f t="shared" si="26"/>
        <v>281585.3079296131</v>
      </c>
      <c r="H124" s="245">
        <f t="shared" si="27"/>
        <v>473063.31732175004</v>
      </c>
      <c r="I124" s="68">
        <f t="shared" si="42"/>
        <v>754648.62525136315</v>
      </c>
      <c r="J124" s="245">
        <f t="shared" si="28"/>
        <v>0</v>
      </c>
      <c r="K124" s="245">
        <f t="shared" si="29"/>
        <v>0</v>
      </c>
      <c r="L124" s="68">
        <f t="shared" si="43"/>
        <v>0</v>
      </c>
      <c r="M124" s="68">
        <f t="shared" si="44"/>
        <v>754648.62525136315</v>
      </c>
      <c r="N124" s="245">
        <f t="shared" si="30"/>
        <v>65875</v>
      </c>
      <c r="O124" s="245">
        <f t="shared" si="31"/>
        <v>110670</v>
      </c>
      <c r="P124" s="68">
        <f t="shared" si="45"/>
        <v>176545</v>
      </c>
      <c r="Q124" s="245">
        <f t="shared" si="32"/>
        <v>0</v>
      </c>
      <c r="R124" s="245">
        <f t="shared" si="33"/>
        <v>0</v>
      </c>
      <c r="S124" s="68">
        <f t="shared" si="46"/>
        <v>0</v>
      </c>
      <c r="T124" s="68">
        <f t="shared" si="47"/>
        <v>176545</v>
      </c>
      <c r="U124" s="68">
        <f t="shared" si="48"/>
        <v>931193.62525136315</v>
      </c>
      <c r="V124" s="286">
        <f t="shared" si="34"/>
        <v>67</v>
      </c>
      <c r="W124" s="245">
        <f t="shared" si="49"/>
        <v>13898.412317184524</v>
      </c>
      <c r="X124" s="237"/>
      <c r="Y124" s="245">
        <f t="shared" si="35"/>
        <v>670000</v>
      </c>
      <c r="Z124" s="245">
        <f t="shared" si="36"/>
        <v>0</v>
      </c>
      <c r="AA124" s="245">
        <f t="shared" si="50"/>
        <v>670000</v>
      </c>
      <c r="AB124" s="245">
        <f>VLOOKUP(A124,'1819 Funding Detail'!$A$4:$AN$23,35,FALSE)</f>
        <v>1385780.5546326621</v>
      </c>
      <c r="AC124" s="245">
        <f t="shared" si="51"/>
        <v>715780.5546326621</v>
      </c>
      <c r="AD124" s="245">
        <f t="shared" si="37"/>
        <v>267082.29650472465</v>
      </c>
      <c r="AE124" s="245">
        <f t="shared" si="38"/>
        <v>448698.25812793744</v>
      </c>
      <c r="AF124" s="245">
        <f t="shared" si="52"/>
        <v>715780.5546326621</v>
      </c>
      <c r="AG124" s="245">
        <f t="shared" si="39"/>
        <v>0</v>
      </c>
      <c r="AH124" s="245">
        <f t="shared" si="40"/>
        <v>0</v>
      </c>
      <c r="AI124" s="245">
        <f t="shared" si="53"/>
        <v>0</v>
      </c>
      <c r="AJ124" s="245">
        <f t="shared" si="54"/>
        <v>715780.5546326621</v>
      </c>
      <c r="AK124" s="287"/>
      <c r="AL124" s="1029">
        <f t="shared" si="55"/>
        <v>1385780.5546326621</v>
      </c>
      <c r="AM124" s="247" t="s">
        <v>207</v>
      </c>
      <c r="AN124" s="298" t="s">
        <v>207</v>
      </c>
      <c r="AO124" s="235">
        <f t="shared" si="56"/>
        <v>13898.412317184524</v>
      </c>
      <c r="AP124" s="235"/>
      <c r="AQ124" s="235">
        <f>VLOOKUP(A124,'Band Calculations 1718'!$A$107:$W$125,23,(FALSE))</f>
        <v>14327.068527263833</v>
      </c>
      <c r="AR124" s="235">
        <f t="shared" si="57"/>
        <v>-428.65621007930895</v>
      </c>
      <c r="AS124" s="36"/>
      <c r="AT124" s="235">
        <f>VLOOKUP(A124,'Band Calculations - Rebase'!$A$109:$W$127,23,(FALSE))</f>
        <v>14327.068527263833</v>
      </c>
      <c r="AU124" s="235">
        <f t="shared" si="58"/>
        <v>-428.65621007930895</v>
      </c>
      <c r="AV124" s="1252"/>
      <c r="AW124" s="1527"/>
    </row>
    <row r="125" spans="1:49" ht="13" x14ac:dyDescent="0.3">
      <c r="A125" s="244">
        <v>9257030</v>
      </c>
      <c r="B125" s="237" t="s">
        <v>262</v>
      </c>
      <c r="C125" s="238">
        <v>4</v>
      </c>
      <c r="D125" s="245">
        <f t="shared" si="24"/>
        <v>0</v>
      </c>
      <c r="E125" s="245">
        <f t="shared" si="25"/>
        <v>0</v>
      </c>
      <c r="F125" s="68">
        <f t="shared" si="41"/>
        <v>0</v>
      </c>
      <c r="G125" s="245">
        <f t="shared" si="26"/>
        <v>328516.19258454861</v>
      </c>
      <c r="H125" s="245">
        <f t="shared" si="27"/>
        <v>459922.66961836809</v>
      </c>
      <c r="I125" s="68">
        <f t="shared" si="42"/>
        <v>788438.86220291676</v>
      </c>
      <c r="J125" s="245">
        <f t="shared" si="28"/>
        <v>0</v>
      </c>
      <c r="K125" s="245">
        <f t="shared" si="29"/>
        <v>0</v>
      </c>
      <c r="L125" s="68">
        <f t="shared" si="43"/>
        <v>0</v>
      </c>
      <c r="M125" s="68">
        <f t="shared" si="44"/>
        <v>788438.86220291676</v>
      </c>
      <c r="N125" s="245">
        <f t="shared" si="30"/>
        <v>76854.166666666672</v>
      </c>
      <c r="O125" s="245">
        <f t="shared" si="31"/>
        <v>107595.83333333334</v>
      </c>
      <c r="P125" s="68">
        <f t="shared" si="45"/>
        <v>184450</v>
      </c>
      <c r="Q125" s="245">
        <f t="shared" si="32"/>
        <v>0</v>
      </c>
      <c r="R125" s="245">
        <f t="shared" si="33"/>
        <v>0</v>
      </c>
      <c r="S125" s="68">
        <f t="shared" si="46"/>
        <v>0</v>
      </c>
      <c r="T125" s="68">
        <f t="shared" si="47"/>
        <v>184450</v>
      </c>
      <c r="U125" s="68">
        <f t="shared" si="48"/>
        <v>972888.86220291676</v>
      </c>
      <c r="V125" s="286">
        <f t="shared" si="34"/>
        <v>70</v>
      </c>
      <c r="W125" s="245">
        <f t="shared" si="49"/>
        <v>13898.412317184526</v>
      </c>
      <c r="X125" s="237"/>
      <c r="Y125" s="245">
        <f t="shared" si="35"/>
        <v>700000</v>
      </c>
      <c r="Z125" s="245">
        <f t="shared" si="36"/>
        <v>0</v>
      </c>
      <c r="AA125" s="245">
        <f t="shared" si="50"/>
        <v>700000</v>
      </c>
      <c r="AB125" s="245">
        <f>VLOOKUP(A125,'1819 Funding Detail'!$A$4:$AN$23,35,FALSE)</f>
        <v>1439314.2248390857</v>
      </c>
      <c r="AC125" s="245">
        <f t="shared" si="51"/>
        <v>739314.22483908571</v>
      </c>
      <c r="AD125" s="245">
        <f t="shared" si="37"/>
        <v>308047.5936829524</v>
      </c>
      <c r="AE125" s="245">
        <f t="shared" si="38"/>
        <v>431266.63115613337</v>
      </c>
      <c r="AF125" s="245">
        <f t="shared" si="52"/>
        <v>739314.22483908571</v>
      </c>
      <c r="AG125" s="245">
        <f t="shared" si="39"/>
        <v>0</v>
      </c>
      <c r="AH125" s="245">
        <f t="shared" si="40"/>
        <v>0</v>
      </c>
      <c r="AI125" s="245">
        <f t="shared" si="53"/>
        <v>0</v>
      </c>
      <c r="AJ125" s="245">
        <f t="shared" si="54"/>
        <v>739314.22483908571</v>
      </c>
      <c r="AK125" s="287"/>
      <c r="AL125" s="1029">
        <f t="shared" si="55"/>
        <v>1439314.2248390857</v>
      </c>
      <c r="AM125" s="247" t="s">
        <v>207</v>
      </c>
      <c r="AN125" s="298" t="s">
        <v>207</v>
      </c>
      <c r="AO125" s="235">
        <f t="shared" si="56"/>
        <v>13898.412317184526</v>
      </c>
      <c r="AP125" s="235"/>
      <c r="AQ125" s="235">
        <f>VLOOKUP(A125,'Band Calculations 1718'!$A$107:$W$125,23,(FALSE))</f>
        <v>14327.068527263831</v>
      </c>
      <c r="AR125" s="235">
        <f t="shared" si="57"/>
        <v>-428.65621007930531</v>
      </c>
      <c r="AS125" s="36"/>
      <c r="AT125" s="235">
        <f>VLOOKUP(A125,'Band Calculations - Rebase'!$A$109:$W$127,23,(FALSE))</f>
        <v>14327.068527263831</v>
      </c>
      <c r="AU125" s="235">
        <f t="shared" si="58"/>
        <v>-428.65621007930531</v>
      </c>
      <c r="AV125" s="1252"/>
      <c r="AW125" s="1527"/>
    </row>
    <row r="126" spans="1:49" ht="13" x14ac:dyDescent="0.3">
      <c r="A126" s="244">
        <v>9257028</v>
      </c>
      <c r="B126" s="237" t="s">
        <v>215</v>
      </c>
      <c r="C126" s="238">
        <v>5</v>
      </c>
      <c r="D126" s="245">
        <f t="shared" si="24"/>
        <v>0</v>
      </c>
      <c r="E126" s="245">
        <f t="shared" si="25"/>
        <v>0</v>
      </c>
      <c r="F126" s="68">
        <f t="shared" si="41"/>
        <v>0</v>
      </c>
      <c r="G126" s="245">
        <f t="shared" si="26"/>
        <v>330777.78943154495</v>
      </c>
      <c r="H126" s="245">
        <f t="shared" si="27"/>
        <v>501047.01218811079</v>
      </c>
      <c r="I126" s="68">
        <f t="shared" si="42"/>
        <v>831824.80161965569</v>
      </c>
      <c r="J126" s="245">
        <f t="shared" si="28"/>
        <v>78085.248652692593</v>
      </c>
      <c r="K126" s="245">
        <f t="shared" si="29"/>
        <v>121465.9423486329</v>
      </c>
      <c r="L126" s="68">
        <f t="shared" si="43"/>
        <v>199551.1910013255</v>
      </c>
      <c r="M126" s="68">
        <f t="shared" si="44"/>
        <v>1031375.9926209812</v>
      </c>
      <c r="N126" s="245">
        <f t="shared" si="30"/>
        <v>2543.2753164556962</v>
      </c>
      <c r="O126" s="245">
        <f t="shared" si="31"/>
        <v>3852.4367088607596</v>
      </c>
      <c r="P126" s="68">
        <f t="shared" si="45"/>
        <v>6395.7120253164558</v>
      </c>
      <c r="Q126" s="245">
        <f t="shared" si="32"/>
        <v>600.37974683544303</v>
      </c>
      <c r="R126" s="245">
        <f t="shared" si="33"/>
        <v>933.92405063291153</v>
      </c>
      <c r="S126" s="68">
        <f t="shared" si="46"/>
        <v>1534.3037974683546</v>
      </c>
      <c r="T126" s="68">
        <f t="shared" si="47"/>
        <v>7930.0158227848106</v>
      </c>
      <c r="U126" s="68">
        <f t="shared" si="48"/>
        <v>1039306.0084437659</v>
      </c>
      <c r="V126" s="286">
        <f t="shared" si="34"/>
        <v>79.25</v>
      </c>
      <c r="W126" s="245">
        <f t="shared" si="49"/>
        <v>13114.271399921337</v>
      </c>
      <c r="X126" s="237"/>
      <c r="Y126" s="245">
        <f t="shared" si="35"/>
        <v>639166.66666666674</v>
      </c>
      <c r="Z126" s="245">
        <f t="shared" si="36"/>
        <v>153333.33333333331</v>
      </c>
      <c r="AA126" s="245">
        <f t="shared" si="50"/>
        <v>792500</v>
      </c>
      <c r="AB126" s="245">
        <f>VLOOKUP(A126,'1819 Funding Detail'!$A$4:$AN$23,35,FALSE)</f>
        <v>1519436.458443766</v>
      </c>
      <c r="AC126" s="245">
        <f t="shared" si="51"/>
        <v>726936.45844376599</v>
      </c>
      <c r="AD126" s="245">
        <f t="shared" si="37"/>
        <v>233139.4530235001</v>
      </c>
      <c r="AE126" s="245">
        <f t="shared" si="38"/>
        <v>353148.94195690844</v>
      </c>
      <c r="AF126" s="245">
        <f t="shared" si="52"/>
        <v>586288.39498040848</v>
      </c>
      <c r="AG126" s="245">
        <f t="shared" si="39"/>
        <v>55036.198746531176</v>
      </c>
      <c r="AH126" s="245">
        <f t="shared" si="40"/>
        <v>85611.864716826283</v>
      </c>
      <c r="AI126" s="245">
        <f t="shared" si="53"/>
        <v>140648.06346335745</v>
      </c>
      <c r="AJ126" s="245">
        <f t="shared" si="54"/>
        <v>726936.45844376599</v>
      </c>
      <c r="AK126" s="287"/>
      <c r="AL126" s="1029">
        <f t="shared" si="55"/>
        <v>1519436.458443766</v>
      </c>
      <c r="AM126" s="247" t="s">
        <v>207</v>
      </c>
      <c r="AN126" s="298" t="s">
        <v>207</v>
      </c>
      <c r="AO126" s="235">
        <f t="shared" si="56"/>
        <v>13114.271399921337</v>
      </c>
      <c r="AP126" s="235"/>
      <c r="AQ126" s="235">
        <f>VLOOKUP(A126,'Band Calculations 1718'!$A$107:$W$125,23,(FALSE))</f>
        <v>10855.270293410516</v>
      </c>
      <c r="AR126" s="235">
        <f t="shared" si="57"/>
        <v>2259.001106510821</v>
      </c>
      <c r="AS126" s="36"/>
      <c r="AT126" s="235">
        <f>VLOOKUP(A126,'Band Calculations - Rebase'!$A$109:$W$127,23,(FALSE))</f>
        <v>12945.466165791158</v>
      </c>
      <c r="AU126" s="1253">
        <f t="shared" si="58"/>
        <v>168.80523413017909</v>
      </c>
      <c r="AV126" s="1252"/>
      <c r="AW126" s="1527"/>
    </row>
    <row r="127" spans="1:49" ht="13" x14ac:dyDescent="0.3">
      <c r="A127" s="244">
        <v>9257021</v>
      </c>
      <c r="B127" s="237" t="s">
        <v>216</v>
      </c>
      <c r="C127" s="238">
        <v>5</v>
      </c>
      <c r="D127" s="245">
        <f t="shared" si="24"/>
        <v>0</v>
      </c>
      <c r="E127" s="245">
        <f t="shared" si="25"/>
        <v>0</v>
      </c>
      <c r="F127" s="68">
        <f t="shared" si="41"/>
        <v>0</v>
      </c>
      <c r="G127" s="245">
        <f t="shared" si="26"/>
        <v>601928.86330060894</v>
      </c>
      <c r="H127" s="245">
        <f t="shared" si="27"/>
        <v>842700.40862085251</v>
      </c>
      <c r="I127" s="68">
        <f t="shared" si="42"/>
        <v>1444629.2719214614</v>
      </c>
      <c r="J127" s="245">
        <f t="shared" si="28"/>
        <v>6213.4592340708014</v>
      </c>
      <c r="K127" s="245">
        <f t="shared" si="29"/>
        <v>0</v>
      </c>
      <c r="L127" s="68">
        <f t="shared" si="43"/>
        <v>6213.4592340708014</v>
      </c>
      <c r="M127" s="68">
        <f t="shared" si="44"/>
        <v>1450842.7311555322</v>
      </c>
      <c r="N127" s="245">
        <f t="shared" si="30"/>
        <v>20860.416666666668</v>
      </c>
      <c r="O127" s="245">
        <f t="shared" si="31"/>
        <v>29204.583333333336</v>
      </c>
      <c r="P127" s="68">
        <f t="shared" si="45"/>
        <v>50065</v>
      </c>
      <c r="Q127" s="245">
        <f t="shared" si="32"/>
        <v>215.33333333333331</v>
      </c>
      <c r="R127" s="245">
        <f t="shared" si="33"/>
        <v>0</v>
      </c>
      <c r="S127" s="68">
        <f t="shared" si="46"/>
        <v>215.33333333333331</v>
      </c>
      <c r="T127" s="68">
        <f t="shared" si="47"/>
        <v>50280.333333333336</v>
      </c>
      <c r="U127" s="68">
        <f t="shared" si="48"/>
        <v>1501123.0644888654</v>
      </c>
      <c r="V127" s="286">
        <f t="shared" si="34"/>
        <v>155.66666666666666</v>
      </c>
      <c r="W127" s="245">
        <f t="shared" si="49"/>
        <v>9643.1888511062025</v>
      </c>
      <c r="X127" s="237"/>
      <c r="Y127" s="245">
        <f t="shared" si="35"/>
        <v>1550000</v>
      </c>
      <c r="Z127" s="245">
        <f t="shared" si="36"/>
        <v>6666.6666666666661</v>
      </c>
      <c r="AA127" s="245">
        <f t="shared" si="50"/>
        <v>1556666.6666666667</v>
      </c>
      <c r="AB127" s="245">
        <f>VLOOKUP(A127,'1819 Funding Detail'!$A$4:$AN$23,35,FALSE)</f>
        <v>2054656.3644888655</v>
      </c>
      <c r="AC127" s="245">
        <f t="shared" si="51"/>
        <v>497989.69782219874</v>
      </c>
      <c r="AD127" s="245">
        <f t="shared" si="37"/>
        <v>206607.07484593373</v>
      </c>
      <c r="AE127" s="245">
        <f t="shared" si="38"/>
        <v>289249.90478430723</v>
      </c>
      <c r="AF127" s="245">
        <f t="shared" si="52"/>
        <v>495856.97963024094</v>
      </c>
      <c r="AG127" s="245">
        <f t="shared" si="39"/>
        <v>2132.7181919580257</v>
      </c>
      <c r="AH127" s="245">
        <f t="shared" si="40"/>
        <v>0</v>
      </c>
      <c r="AI127" s="245">
        <f t="shared" si="53"/>
        <v>2132.7181919580257</v>
      </c>
      <c r="AJ127" s="245">
        <f t="shared" si="54"/>
        <v>497989.69782219897</v>
      </c>
      <c r="AK127" s="287"/>
      <c r="AL127" s="1029">
        <f t="shared" si="55"/>
        <v>2054656.3644888657</v>
      </c>
      <c r="AM127" s="247" t="s">
        <v>207</v>
      </c>
      <c r="AN127" s="298" t="s">
        <v>207</v>
      </c>
      <c r="AO127" s="235">
        <f t="shared" si="56"/>
        <v>9643.1888511062025</v>
      </c>
      <c r="AP127" s="235"/>
      <c r="AQ127" s="235">
        <f>VLOOKUP(A127,'Band Calculations 1718'!$A$107:$W$125,23,(FALSE))</f>
        <v>7721.5167598965245</v>
      </c>
      <c r="AR127" s="235">
        <f t="shared" si="57"/>
        <v>1921.672091209678</v>
      </c>
      <c r="AS127" s="36"/>
      <c r="AT127" s="235">
        <f>VLOOKUP(A127,'Band Calculations - Rebase'!$A$109:$W$127,23,(FALSE))</f>
        <v>7855.5752872539169</v>
      </c>
      <c r="AU127" s="235">
        <f t="shared" si="58"/>
        <v>1787.6135638522856</v>
      </c>
      <c r="AV127" s="1252"/>
      <c r="AW127" s="1527"/>
    </row>
    <row r="128" spans="1:49" ht="13" x14ac:dyDescent="0.3">
      <c r="A128" s="244">
        <v>9257015</v>
      </c>
      <c r="B128" s="237" t="s">
        <v>217</v>
      </c>
      <c r="C128" s="238">
        <v>6</v>
      </c>
      <c r="D128" s="245">
        <f t="shared" si="24"/>
        <v>0</v>
      </c>
      <c r="E128" s="245">
        <f t="shared" si="25"/>
        <v>0</v>
      </c>
      <c r="F128" s="68">
        <f t="shared" si="41"/>
        <v>0</v>
      </c>
      <c r="G128" s="245">
        <f t="shared" si="26"/>
        <v>837512.92567233753</v>
      </c>
      <c r="H128" s="245">
        <f t="shared" si="27"/>
        <v>1092001.8318423009</v>
      </c>
      <c r="I128" s="68">
        <f t="shared" si="42"/>
        <v>1929514.7575146384</v>
      </c>
      <c r="J128" s="245">
        <f t="shared" si="28"/>
        <v>80516.264098971486</v>
      </c>
      <c r="K128" s="245">
        <f t="shared" si="29"/>
        <v>138027.88131252257</v>
      </c>
      <c r="L128" s="68">
        <f t="shared" si="43"/>
        <v>218544.14541149407</v>
      </c>
      <c r="M128" s="68">
        <f t="shared" si="44"/>
        <v>2148058.9029261325</v>
      </c>
      <c r="N128" s="245">
        <f t="shared" si="30"/>
        <v>10781.45753512133</v>
      </c>
      <c r="O128" s="245">
        <f t="shared" si="31"/>
        <v>14057.539910600257</v>
      </c>
      <c r="P128" s="68">
        <f t="shared" si="45"/>
        <v>24838.997445721587</v>
      </c>
      <c r="Q128" s="245">
        <f t="shared" si="32"/>
        <v>1036.500638569604</v>
      </c>
      <c r="R128" s="245">
        <f t="shared" si="33"/>
        <v>1776.8582375478929</v>
      </c>
      <c r="S128" s="68">
        <f t="shared" si="46"/>
        <v>2813.3588761174969</v>
      </c>
      <c r="T128" s="68">
        <f t="shared" si="47"/>
        <v>27652.356321839085</v>
      </c>
      <c r="U128" s="68">
        <f t="shared" si="48"/>
        <v>2175711.2592479717</v>
      </c>
      <c r="V128" s="286">
        <f t="shared" si="34"/>
        <v>249.00000000000003</v>
      </c>
      <c r="W128" s="245">
        <f t="shared" si="49"/>
        <v>8737.7962218794037</v>
      </c>
      <c r="X128" s="237"/>
      <c r="Y128" s="245">
        <f t="shared" si="35"/>
        <v>2236666.666666667</v>
      </c>
      <c r="Z128" s="245">
        <f t="shared" si="36"/>
        <v>253333.33333333331</v>
      </c>
      <c r="AA128" s="245">
        <f t="shared" si="50"/>
        <v>2490000.0000000005</v>
      </c>
      <c r="AB128" s="245">
        <f>VLOOKUP(A128,'1819 Funding Detail'!$A$4:$AN$23,35,FALSE)</f>
        <v>2786488.8092479715</v>
      </c>
      <c r="AC128" s="245">
        <f t="shared" si="51"/>
        <v>296488.80924797105</v>
      </c>
      <c r="AD128" s="245">
        <f t="shared" si="37"/>
        <v>115598.88312379058</v>
      </c>
      <c r="AE128" s="245">
        <f t="shared" si="38"/>
        <v>150725.06735196384</v>
      </c>
      <c r="AF128" s="245">
        <f t="shared" si="52"/>
        <v>266323.95047575445</v>
      </c>
      <c r="AG128" s="245">
        <f t="shared" si="39"/>
        <v>11113.369021342956</v>
      </c>
      <c r="AH128" s="245">
        <f t="shared" si="40"/>
        <v>19051.489750873639</v>
      </c>
      <c r="AI128" s="245">
        <f t="shared" si="53"/>
        <v>30164.858772216598</v>
      </c>
      <c r="AJ128" s="245">
        <f t="shared" si="54"/>
        <v>296488.80924797105</v>
      </c>
      <c r="AK128" s="287"/>
      <c r="AL128" s="1029">
        <f t="shared" si="55"/>
        <v>2786488.8092479715</v>
      </c>
      <c r="AM128" s="247" t="s">
        <v>207</v>
      </c>
      <c r="AN128" s="298" t="s">
        <v>207</v>
      </c>
      <c r="AO128" s="235">
        <f t="shared" si="56"/>
        <v>8737.7962218794037</v>
      </c>
      <c r="AP128" s="235"/>
      <c r="AQ128" s="235">
        <f>VLOOKUP(A128,'Band Calculations 1718'!$A$107:$W$125,23,(FALSE))</f>
        <v>7340.1394392567681</v>
      </c>
      <c r="AR128" s="235">
        <f t="shared" si="57"/>
        <v>1397.6567826226355</v>
      </c>
      <c r="AS128" s="36"/>
      <c r="AT128" s="235">
        <f>VLOOKUP(A128,'Band Calculations - Rebase'!$A$109:$W$127,23,(FALSE))</f>
        <v>7533.3183553732788</v>
      </c>
      <c r="AU128" s="235">
        <f t="shared" si="58"/>
        <v>1204.4778665061249</v>
      </c>
      <c r="AV128" s="1252"/>
      <c r="AW128" s="1527"/>
    </row>
    <row r="129" spans="1:49" ht="13" x14ac:dyDescent="0.3">
      <c r="A129" s="244">
        <v>9257016</v>
      </c>
      <c r="B129" s="237" t="s">
        <v>219</v>
      </c>
      <c r="C129" s="238">
        <v>6</v>
      </c>
      <c r="D129" s="245">
        <f t="shared" si="24"/>
        <v>0</v>
      </c>
      <c r="E129" s="245">
        <f t="shared" si="25"/>
        <v>0</v>
      </c>
      <c r="F129" s="68">
        <f t="shared" si="41"/>
        <v>0</v>
      </c>
      <c r="G129" s="245">
        <f t="shared" si="26"/>
        <v>505878.43584758753</v>
      </c>
      <c r="H129" s="245">
        <f t="shared" si="27"/>
        <v>660483.98028640065</v>
      </c>
      <c r="I129" s="68">
        <f t="shared" si="42"/>
        <v>1166362.4161339882</v>
      </c>
      <c r="J129" s="245">
        <f t="shared" si="28"/>
        <v>259191.64802977513</v>
      </c>
      <c r="K129" s="245">
        <f t="shared" si="29"/>
        <v>518383.29605955025</v>
      </c>
      <c r="L129" s="68">
        <f t="shared" si="43"/>
        <v>777574.94408932538</v>
      </c>
      <c r="M129" s="68">
        <f>I129+L129</f>
        <v>1943937.3602233136</v>
      </c>
      <c r="N129" s="245">
        <f t="shared" si="30"/>
        <v>0</v>
      </c>
      <c r="O129" s="245">
        <f t="shared" si="31"/>
        <v>0</v>
      </c>
      <c r="P129" s="68">
        <f t="shared" si="45"/>
        <v>0</v>
      </c>
      <c r="Q129" s="245">
        <f t="shared" si="32"/>
        <v>0</v>
      </c>
      <c r="R129" s="245">
        <f t="shared" si="33"/>
        <v>0</v>
      </c>
      <c r="S129" s="68">
        <f t="shared" si="46"/>
        <v>0</v>
      </c>
      <c r="T129" s="68">
        <f t="shared" si="47"/>
        <v>0</v>
      </c>
      <c r="U129" s="68">
        <f t="shared" si="48"/>
        <v>1943937.3602233136</v>
      </c>
      <c r="V129" s="286">
        <f t="shared" si="34"/>
        <v>142.5</v>
      </c>
      <c r="W129" s="245">
        <f t="shared" si="49"/>
        <v>13641.66568577764</v>
      </c>
      <c r="X129" s="237"/>
      <c r="Y129" s="245">
        <f t="shared" si="35"/>
        <v>855000</v>
      </c>
      <c r="Z129" s="245">
        <f t="shared" si="36"/>
        <v>570000</v>
      </c>
      <c r="AA129" s="245">
        <f t="shared" si="50"/>
        <v>1425000</v>
      </c>
      <c r="AB129" s="245">
        <f>VLOOKUP(A129,'1819 Funding Detail'!$A$4:$AN$23,35,FALSE)</f>
        <v>2515095.9602233139</v>
      </c>
      <c r="AC129" s="245">
        <f t="shared" si="51"/>
        <v>1090095.9602233139</v>
      </c>
      <c r="AD129" s="245">
        <f t="shared" si="37"/>
        <v>283679.94286513136</v>
      </c>
      <c r="AE129" s="245">
        <f t="shared" si="38"/>
        <v>370377.63326885691</v>
      </c>
      <c r="AF129" s="245">
        <f t="shared" si="52"/>
        <v>654057.57613398833</v>
      </c>
      <c r="AG129" s="245">
        <f t="shared" si="39"/>
        <v>145346.12802977517</v>
      </c>
      <c r="AH129" s="245">
        <f t="shared" si="40"/>
        <v>290692.25605955033</v>
      </c>
      <c r="AI129" s="245">
        <f t="shared" si="53"/>
        <v>436038.3840893255</v>
      </c>
      <c r="AJ129" s="245">
        <f t="shared" si="54"/>
        <v>1090095.9602233139</v>
      </c>
      <c r="AK129" s="287"/>
      <c r="AL129" s="1029">
        <f t="shared" si="55"/>
        <v>2515095.9602233139</v>
      </c>
      <c r="AM129" s="247" t="s">
        <v>207</v>
      </c>
      <c r="AN129" s="298" t="s">
        <v>207</v>
      </c>
      <c r="AO129" s="235">
        <f t="shared" si="56"/>
        <v>13641.66568577764</v>
      </c>
      <c r="AP129" s="235"/>
      <c r="AQ129" s="235">
        <f>VLOOKUP(A129,'Band Calculations 1718'!$A$107:$W$125,23,(FALSE))</f>
        <v>10118.068418370316</v>
      </c>
      <c r="AR129" s="235">
        <f t="shared" si="57"/>
        <v>3523.5972674073237</v>
      </c>
      <c r="AS129" s="36"/>
      <c r="AT129" s="235">
        <f>VLOOKUP(A129,'Band Calculations - Rebase'!$A$109:$W$127,23,(FALSE))</f>
        <v>12795.397962767993</v>
      </c>
      <c r="AU129" s="1253">
        <f t="shared" si="58"/>
        <v>846.26772300964694</v>
      </c>
      <c r="AV129" s="1252"/>
      <c r="AW129" s="1527"/>
    </row>
    <row r="130" spans="1:49" x14ac:dyDescent="0.25">
      <c r="A130" s="36"/>
      <c r="B130" s="36"/>
      <c r="C130" s="36"/>
      <c r="D130" s="36"/>
      <c r="E130" s="36"/>
      <c r="F130" s="36"/>
      <c r="G130" s="36"/>
      <c r="H130" s="36"/>
      <c r="I130" s="234"/>
      <c r="J130" s="234"/>
      <c r="K130" s="36"/>
      <c r="L130" s="36"/>
      <c r="M130" s="36"/>
      <c r="N130" s="36"/>
      <c r="O130" s="36"/>
      <c r="P130" s="36"/>
      <c r="Q130" s="36"/>
      <c r="R130" s="36"/>
      <c r="S130" s="36"/>
      <c r="T130" s="36"/>
      <c r="U130" s="234"/>
      <c r="V130" s="288"/>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row>
    <row r="131" spans="1:49" ht="13" thickBot="1" x14ac:dyDescent="0.3">
      <c r="A131" s="36"/>
      <c r="B131" s="36"/>
      <c r="C131" s="36"/>
      <c r="D131" s="250">
        <f>SUM(D112:D129)</f>
        <v>0</v>
      </c>
      <c r="E131" s="250">
        <f t="shared" ref="E131:S131" si="59">SUM(E112:E129)</f>
        <v>0</v>
      </c>
      <c r="F131" s="250">
        <f t="shared" si="59"/>
        <v>0</v>
      </c>
      <c r="G131" s="250">
        <f t="shared" si="59"/>
        <v>6551953.0261395089</v>
      </c>
      <c r="H131" s="250">
        <f t="shared" si="59"/>
        <v>9328974.5887791067</v>
      </c>
      <c r="I131" s="250">
        <f t="shared" si="59"/>
        <v>15880927.614918616</v>
      </c>
      <c r="J131" s="250">
        <f t="shared" si="59"/>
        <v>826265.77082883939</v>
      </c>
      <c r="K131" s="250">
        <f t="shared" si="59"/>
        <v>1643292.8648085466</v>
      </c>
      <c r="L131" s="250">
        <f t="shared" si="59"/>
        <v>2469558.6356373858</v>
      </c>
      <c r="M131" s="250">
        <f>SUM(M112:M129)</f>
        <v>18350486.250555996</v>
      </c>
      <c r="N131" s="250">
        <f t="shared" si="59"/>
        <v>434117.29729142849</v>
      </c>
      <c r="O131" s="250">
        <f t="shared" si="59"/>
        <v>630203.43478441564</v>
      </c>
      <c r="P131" s="250">
        <f t="shared" si="59"/>
        <v>1064320.732075844</v>
      </c>
      <c r="Q131" s="250">
        <f t="shared" si="59"/>
        <v>17921.158844782352</v>
      </c>
      <c r="R131" s="250">
        <f t="shared" si="59"/>
        <v>35540.66576532655</v>
      </c>
      <c r="S131" s="250">
        <f t="shared" si="59"/>
        <v>53461.82461010891</v>
      </c>
      <c r="T131" s="250">
        <f>SUM(T112:T129)</f>
        <v>1117782.5566859529</v>
      </c>
      <c r="U131" s="250">
        <f>SUM(U112:U129)</f>
        <v>19468268.80724195</v>
      </c>
      <c r="V131" s="251">
        <f>SUM(V112:V129)</f>
        <v>1774.416666666667</v>
      </c>
      <c r="W131" s="250">
        <f>AVERAGE(W112:W129)</f>
        <v>11592.162482022157</v>
      </c>
      <c r="X131" s="36"/>
      <c r="Y131" s="1032">
        <f>SUM(Y112:Y129)</f>
        <v>15604166.666666668</v>
      </c>
      <c r="Z131" s="1032">
        <f t="shared" ref="Z131:AL131" si="60">SUM(Z112:Z129)</f>
        <v>2140000</v>
      </c>
      <c r="AA131" s="1033">
        <f t="shared" si="60"/>
        <v>17744166.666666668</v>
      </c>
      <c r="AB131" s="1033">
        <f t="shared" si="60"/>
        <v>28123653.133561213</v>
      </c>
      <c r="AC131" s="1033">
        <f t="shared" si="60"/>
        <v>10379486.466894545</v>
      </c>
      <c r="AD131" s="1033">
        <f t="shared" si="60"/>
        <v>3645257.4890400427</v>
      </c>
      <c r="AE131" s="1033">
        <f t="shared" si="60"/>
        <v>5264884.4346216656</v>
      </c>
      <c r="AF131" s="1033">
        <f t="shared" si="60"/>
        <v>8910141.9236617088</v>
      </c>
      <c r="AG131" s="1033">
        <f t="shared" si="60"/>
        <v>481751.39881269628</v>
      </c>
      <c r="AH131" s="1033">
        <f t="shared" si="60"/>
        <v>987593.14442014019</v>
      </c>
      <c r="AI131" s="1033">
        <f t="shared" si="60"/>
        <v>1469344.5432328368</v>
      </c>
      <c r="AJ131" s="1033">
        <f t="shared" si="60"/>
        <v>10379486.466894543</v>
      </c>
      <c r="AK131" s="1034"/>
      <c r="AL131" s="1033">
        <f t="shared" si="60"/>
        <v>28123653.133561213</v>
      </c>
      <c r="AM131" s="36"/>
      <c r="AN131" s="36"/>
      <c r="AO131" s="36"/>
      <c r="AP131" s="36"/>
      <c r="AQ131" s="36"/>
      <c r="AR131" s="36"/>
      <c r="AS131" s="36"/>
      <c r="AT131" s="36"/>
      <c r="AU131" s="36"/>
      <c r="AV131" s="36"/>
      <c r="AW131" s="36"/>
    </row>
    <row r="132" spans="1:49" x14ac:dyDescent="0.25">
      <c r="A132" s="36"/>
      <c r="B132" s="36"/>
      <c r="C132" s="36"/>
      <c r="D132" s="36"/>
      <c r="E132" s="36"/>
      <c r="F132" s="36"/>
      <c r="G132" s="36"/>
      <c r="H132" s="36"/>
      <c r="I132" s="234"/>
      <c r="J132" s="234"/>
      <c r="K132" s="36"/>
      <c r="L132" s="36"/>
      <c r="M132" s="36"/>
      <c r="N132" s="36"/>
      <c r="O132" s="36"/>
      <c r="P132" s="36"/>
      <c r="Q132" s="36"/>
      <c r="R132" s="36"/>
      <c r="S132" s="36"/>
      <c r="T132" s="36"/>
      <c r="U132" s="234"/>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row>
    <row r="133" spans="1:49" x14ac:dyDescent="0.25">
      <c r="A133" s="36"/>
      <c r="B133" s="36"/>
      <c r="C133" s="36"/>
      <c r="D133" s="298" t="s">
        <v>207</v>
      </c>
      <c r="E133" s="298" t="s">
        <v>207</v>
      </c>
      <c r="F133" s="298" t="s">
        <v>207</v>
      </c>
      <c r="G133" s="381" t="s">
        <v>207</v>
      </c>
      <c r="H133" s="381" t="s">
        <v>207</v>
      </c>
      <c r="I133" s="381" t="s">
        <v>207</v>
      </c>
      <c r="J133" s="381" t="s">
        <v>207</v>
      </c>
      <c r="K133" s="381" t="s">
        <v>207</v>
      </c>
      <c r="L133" s="381" t="s">
        <v>207</v>
      </c>
      <c r="M133" s="381" t="s">
        <v>207</v>
      </c>
      <c r="N133" s="381" t="s">
        <v>207</v>
      </c>
      <c r="O133" s="381" t="s">
        <v>207</v>
      </c>
      <c r="P133" s="381" t="s">
        <v>207</v>
      </c>
      <c r="Q133" s="381" t="s">
        <v>207</v>
      </c>
      <c r="R133" s="381" t="s">
        <v>207</v>
      </c>
      <c r="S133" s="381" t="s">
        <v>207</v>
      </c>
      <c r="T133" s="381" t="s">
        <v>207</v>
      </c>
      <c r="U133" s="381" t="s">
        <v>207</v>
      </c>
      <c r="V133" s="298" t="s">
        <v>207</v>
      </c>
      <c r="W133" s="298" t="s">
        <v>207</v>
      </c>
      <c r="X133" s="36"/>
      <c r="Y133" s="298" t="s">
        <v>207</v>
      </c>
      <c r="Z133" s="298" t="s">
        <v>207</v>
      </c>
      <c r="AA133" s="298" t="s">
        <v>207</v>
      </c>
      <c r="AB133" s="298" t="s">
        <v>207</v>
      </c>
      <c r="AC133" s="298" t="s">
        <v>207</v>
      </c>
      <c r="AD133" s="298" t="s">
        <v>207</v>
      </c>
      <c r="AE133" s="298" t="s">
        <v>207</v>
      </c>
      <c r="AF133" s="298" t="s">
        <v>207</v>
      </c>
      <c r="AG133" s="298" t="s">
        <v>207</v>
      </c>
      <c r="AH133" s="298" t="s">
        <v>207</v>
      </c>
      <c r="AI133" s="298" t="s">
        <v>207</v>
      </c>
      <c r="AJ133" s="298" t="s">
        <v>207</v>
      </c>
      <c r="AK133" s="298"/>
      <c r="AL133" s="298" t="s">
        <v>207</v>
      </c>
      <c r="AM133" s="36"/>
      <c r="AN133" s="36"/>
      <c r="AO133" s="36"/>
      <c r="AP133" s="36"/>
      <c r="AQ133" s="296" t="s">
        <v>843</v>
      </c>
      <c r="AR133" s="36"/>
      <c r="AS133" s="36"/>
      <c r="AT133" s="36"/>
      <c r="AU133" s="36"/>
      <c r="AV133" s="36"/>
      <c r="AW133" s="36"/>
    </row>
  </sheetData>
  <mergeCells count="17">
    <mergeCell ref="AT107:AU107"/>
    <mergeCell ref="AO110:AO111"/>
    <mergeCell ref="AT109:AU109"/>
    <mergeCell ref="AT110:AT111"/>
    <mergeCell ref="AW112:AW129"/>
    <mergeCell ref="AQ110:AQ111"/>
    <mergeCell ref="D110:F110"/>
    <mergeCell ref="G110:I110"/>
    <mergeCell ref="J110:L110"/>
    <mergeCell ref="N110:P110"/>
    <mergeCell ref="Q110:S110"/>
    <mergeCell ref="AL110:AL111"/>
    <mergeCell ref="P4:Q4"/>
    <mergeCell ref="AQ109:AR109"/>
    <mergeCell ref="O26:P26"/>
    <mergeCell ref="R48:S48"/>
    <mergeCell ref="O70:P70"/>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B0F0"/>
  </sheetPr>
  <dimension ref="A2:W198"/>
  <sheetViews>
    <sheetView topLeftCell="A179" workbookViewId="0">
      <pane xSplit="2" topLeftCell="F1" activePane="topRight" state="frozen"/>
      <selection activeCell="A153" sqref="A153"/>
      <selection pane="topRight" activeCell="B182" sqref="B182"/>
    </sheetView>
  </sheetViews>
  <sheetFormatPr defaultColWidth="9.1796875" defaultRowHeight="12.5" x14ac:dyDescent="0.25"/>
  <cols>
    <col min="1" max="1" width="9.1796875" style="6"/>
    <col min="2" max="2" width="33.81640625" style="6" customWidth="1"/>
    <col min="3" max="3" width="9.1796875" style="6" customWidth="1"/>
    <col min="4" max="4" width="9.1796875" style="6"/>
    <col min="5" max="5" width="9.1796875" style="34"/>
    <col min="6" max="8" width="9.54296875" style="34" bestFit="1" customWidth="1"/>
    <col min="9" max="9" width="9" style="34" customWidth="1"/>
    <col min="10" max="11" width="9.54296875" style="34" bestFit="1" customWidth="1"/>
    <col min="12" max="15" width="9.1796875" style="34"/>
    <col min="16" max="16" width="9.1796875" style="6"/>
    <col min="17" max="17" width="10.81640625" style="6" customWidth="1"/>
    <col min="18" max="18" width="9.1796875" style="6"/>
    <col min="19" max="19" width="10" style="6" customWidth="1"/>
    <col min="20" max="22" width="9.1796875" style="6"/>
    <col min="23" max="23" width="10.453125" style="6" customWidth="1"/>
    <col min="24" max="16384" width="9.1796875" style="6"/>
  </cols>
  <sheetData>
    <row r="2" spans="2:17" x14ac:dyDescent="0.25">
      <c r="B2" s="1" t="s">
        <v>507</v>
      </c>
      <c r="C2" s="289"/>
      <c r="D2" s="289"/>
      <c r="E2" s="316"/>
      <c r="F2" s="316"/>
      <c r="G2" s="316"/>
      <c r="H2" s="316"/>
      <c r="I2" s="316"/>
      <c r="J2" s="316"/>
      <c r="K2" s="316"/>
      <c r="L2" s="316"/>
      <c r="M2" s="316"/>
      <c r="N2" s="316"/>
      <c r="O2" s="316"/>
      <c r="P2" s="289"/>
      <c r="Q2" s="289"/>
    </row>
    <row r="4" spans="2:17" ht="39" x14ac:dyDescent="0.25">
      <c r="B4" s="47" t="s">
        <v>183</v>
      </c>
      <c r="C4" s="47" t="s">
        <v>508</v>
      </c>
      <c r="D4" s="48" t="s">
        <v>184</v>
      </c>
      <c r="E4" s="49" t="s">
        <v>509</v>
      </c>
      <c r="F4" s="50" t="s">
        <v>510</v>
      </c>
      <c r="G4" s="51" t="s">
        <v>511</v>
      </c>
      <c r="H4" s="50" t="s">
        <v>512</v>
      </c>
      <c r="I4" s="51" t="s">
        <v>513</v>
      </c>
      <c r="J4" s="50" t="s">
        <v>514</v>
      </c>
      <c r="K4" s="51" t="s">
        <v>515</v>
      </c>
      <c r="L4" s="50" t="s">
        <v>516</v>
      </c>
      <c r="M4" s="51" t="s">
        <v>517</v>
      </c>
      <c r="N4" s="52" t="s">
        <v>518</v>
      </c>
      <c r="O4" s="53" t="s">
        <v>519</v>
      </c>
      <c r="P4" s="289"/>
      <c r="Q4" s="822" t="s">
        <v>294</v>
      </c>
    </row>
    <row r="5" spans="2:17" ht="12.75" customHeight="1" x14ac:dyDescent="0.25">
      <c r="B5" s="375" t="s">
        <v>205</v>
      </c>
      <c r="C5" s="1221" t="s">
        <v>520</v>
      </c>
      <c r="D5" s="1222">
        <v>3</v>
      </c>
      <c r="E5" s="1223">
        <f t="shared" ref="E5:E23" si="0">F5+H5+J5+L5+N5</f>
        <v>42</v>
      </c>
      <c r="F5" s="1224">
        <v>13</v>
      </c>
      <c r="G5" s="1225">
        <f>F5/E5</f>
        <v>0.30952380952380953</v>
      </c>
      <c r="H5" s="1226">
        <v>21</v>
      </c>
      <c r="I5" s="1225">
        <f t="shared" ref="I5:I23" si="1">H5/E5</f>
        <v>0.5</v>
      </c>
      <c r="J5" s="1226">
        <v>0</v>
      </c>
      <c r="K5" s="1225">
        <f t="shared" ref="K5:K23" si="2">J5/E5</f>
        <v>0</v>
      </c>
      <c r="L5" s="1226">
        <v>2</v>
      </c>
      <c r="M5" s="1225">
        <f t="shared" ref="M5:M23" si="3">L5/E5</f>
        <v>4.7619047619047616E-2</v>
      </c>
      <c r="N5" s="54">
        <v>6</v>
      </c>
      <c r="O5" s="55">
        <f t="shared" ref="O5:O23" si="4">N5/E5</f>
        <v>0.14285714285714285</v>
      </c>
      <c r="P5" s="289"/>
      <c r="Q5" s="315">
        <f t="shared" ref="Q5:Q23" si="5">(G5*$F$54)+(I5*$H$54)+(K5*$J$54)+(M5*$L$54)+(O5*$P$54)+(O5*$P$56)</f>
        <v>9897.5167052398338</v>
      </c>
    </row>
    <row r="6" spans="2:17" ht="12.75" customHeight="1" x14ac:dyDescent="0.25">
      <c r="B6" s="375" t="s">
        <v>208</v>
      </c>
      <c r="C6" s="1221" t="s">
        <v>521</v>
      </c>
      <c r="D6" s="1222">
        <v>3</v>
      </c>
      <c r="E6" s="1223">
        <f t="shared" si="0"/>
        <v>58</v>
      </c>
      <c r="F6" s="1224">
        <v>7</v>
      </c>
      <c r="G6" s="1225">
        <f t="shared" ref="G6:G23" si="6">F6/E6</f>
        <v>0.1206896551724138</v>
      </c>
      <c r="H6" s="1226">
        <v>23</v>
      </c>
      <c r="I6" s="1225">
        <f t="shared" si="1"/>
        <v>0.39655172413793105</v>
      </c>
      <c r="J6" s="1226">
        <v>16</v>
      </c>
      <c r="K6" s="1225">
        <f t="shared" si="2"/>
        <v>0.27586206896551724</v>
      </c>
      <c r="L6" s="1226">
        <v>5</v>
      </c>
      <c r="M6" s="1225">
        <f t="shared" si="3"/>
        <v>8.6206896551724144E-2</v>
      </c>
      <c r="N6" s="54">
        <v>7</v>
      </c>
      <c r="O6" s="55">
        <f t="shared" si="4"/>
        <v>0.1206896551724138</v>
      </c>
      <c r="P6" s="289"/>
      <c r="Q6" s="315">
        <f t="shared" si="5"/>
        <v>8785.2859312602777</v>
      </c>
    </row>
    <row r="7" spans="2:17" ht="12.75" customHeight="1" x14ac:dyDescent="0.25">
      <c r="B7" s="375" t="s">
        <v>209</v>
      </c>
      <c r="C7" s="1221" t="s">
        <v>522</v>
      </c>
      <c r="D7" s="1222">
        <v>3</v>
      </c>
      <c r="E7" s="1223">
        <f t="shared" si="0"/>
        <v>46</v>
      </c>
      <c r="F7" s="1224">
        <v>15</v>
      </c>
      <c r="G7" s="1225">
        <f t="shared" si="6"/>
        <v>0.32608695652173914</v>
      </c>
      <c r="H7" s="1226">
        <v>16</v>
      </c>
      <c r="I7" s="1225">
        <f t="shared" si="1"/>
        <v>0.34782608695652173</v>
      </c>
      <c r="J7" s="1226">
        <v>0</v>
      </c>
      <c r="K7" s="1225">
        <f t="shared" si="2"/>
        <v>0</v>
      </c>
      <c r="L7" s="1226">
        <v>2</v>
      </c>
      <c r="M7" s="1225">
        <f t="shared" si="3"/>
        <v>4.3478260869565216E-2</v>
      </c>
      <c r="N7" s="54">
        <v>13</v>
      </c>
      <c r="O7" s="55">
        <f t="shared" si="4"/>
        <v>0.28260869565217389</v>
      </c>
      <c r="P7" s="289"/>
      <c r="Q7" s="315">
        <f t="shared" si="5"/>
        <v>10926.489409838705</v>
      </c>
    </row>
    <row r="8" spans="2:17" ht="12.75" customHeight="1" x14ac:dyDescent="0.25">
      <c r="B8" s="375" t="s">
        <v>210</v>
      </c>
      <c r="C8" s="1221" t="s">
        <v>520</v>
      </c>
      <c r="D8" s="1222">
        <v>3</v>
      </c>
      <c r="E8" s="1223">
        <f t="shared" si="0"/>
        <v>40</v>
      </c>
      <c r="F8" s="1224">
        <v>14</v>
      </c>
      <c r="G8" s="1225">
        <f t="shared" si="6"/>
        <v>0.35</v>
      </c>
      <c r="H8" s="1226">
        <v>15</v>
      </c>
      <c r="I8" s="1225">
        <f t="shared" si="1"/>
        <v>0.375</v>
      </c>
      <c r="J8" s="1226">
        <v>1</v>
      </c>
      <c r="K8" s="1225">
        <f t="shared" si="2"/>
        <v>2.5000000000000001E-2</v>
      </c>
      <c r="L8" s="1226">
        <v>1</v>
      </c>
      <c r="M8" s="1225">
        <f t="shared" si="3"/>
        <v>2.5000000000000001E-2</v>
      </c>
      <c r="N8" s="54">
        <v>9</v>
      </c>
      <c r="O8" s="55">
        <f t="shared" si="4"/>
        <v>0.22500000000000001</v>
      </c>
      <c r="P8" s="289"/>
      <c r="Q8" s="315">
        <f t="shared" si="5"/>
        <v>10520.494500332868</v>
      </c>
    </row>
    <row r="9" spans="2:17" ht="12.75" customHeight="1" x14ac:dyDescent="0.25">
      <c r="B9" s="375" t="s">
        <v>211</v>
      </c>
      <c r="C9" s="1221" t="s">
        <v>522</v>
      </c>
      <c r="D9" s="1222">
        <v>3</v>
      </c>
      <c r="E9" s="1223">
        <f t="shared" si="0"/>
        <v>46</v>
      </c>
      <c r="F9" s="1226">
        <v>7</v>
      </c>
      <c r="G9" s="1225">
        <f t="shared" si="6"/>
        <v>0.15217391304347827</v>
      </c>
      <c r="H9" s="1226">
        <v>30</v>
      </c>
      <c r="I9" s="1225">
        <f t="shared" si="1"/>
        <v>0.65217391304347827</v>
      </c>
      <c r="J9" s="1226">
        <v>1</v>
      </c>
      <c r="K9" s="1225">
        <f t="shared" si="2"/>
        <v>2.1739130434782608E-2</v>
      </c>
      <c r="L9" s="1226">
        <v>7</v>
      </c>
      <c r="M9" s="1225">
        <f t="shared" si="3"/>
        <v>0.15217391304347827</v>
      </c>
      <c r="N9" s="54">
        <v>1</v>
      </c>
      <c r="O9" s="55">
        <f t="shared" si="4"/>
        <v>2.1739130434782608E-2</v>
      </c>
      <c r="P9" s="289"/>
      <c r="Q9" s="315">
        <f t="shared" si="5"/>
        <v>8799.2030513196951</v>
      </c>
    </row>
    <row r="10" spans="2:17" ht="12.75" customHeight="1" x14ac:dyDescent="0.25">
      <c r="B10" s="375" t="s">
        <v>257</v>
      </c>
      <c r="C10" s="1221" t="s">
        <v>523</v>
      </c>
      <c r="D10" s="1222">
        <v>3</v>
      </c>
      <c r="E10" s="1223">
        <f t="shared" si="0"/>
        <v>53</v>
      </c>
      <c r="F10" s="1226">
        <v>0</v>
      </c>
      <c r="G10" s="1225">
        <f t="shared" si="6"/>
        <v>0</v>
      </c>
      <c r="H10" s="1226">
        <v>0</v>
      </c>
      <c r="I10" s="1225">
        <f t="shared" si="1"/>
        <v>0</v>
      </c>
      <c r="J10" s="1226">
        <v>0</v>
      </c>
      <c r="K10" s="1225">
        <f t="shared" si="2"/>
        <v>0</v>
      </c>
      <c r="L10" s="1226">
        <v>0</v>
      </c>
      <c r="M10" s="1225">
        <f t="shared" si="3"/>
        <v>0</v>
      </c>
      <c r="N10" s="54">
        <v>53</v>
      </c>
      <c r="O10" s="55">
        <f t="shared" si="4"/>
        <v>1</v>
      </c>
      <c r="P10" s="289"/>
      <c r="Q10" s="315">
        <f t="shared" si="5"/>
        <v>14327.068527263833</v>
      </c>
    </row>
    <row r="11" spans="2:17" ht="12.75" customHeight="1" x14ac:dyDescent="0.25">
      <c r="B11" s="375" t="s">
        <v>220</v>
      </c>
      <c r="C11" s="1221" t="s">
        <v>521</v>
      </c>
      <c r="D11" s="1222">
        <v>3</v>
      </c>
      <c r="E11" s="1223">
        <f t="shared" si="0"/>
        <v>46</v>
      </c>
      <c r="F11" s="1226">
        <v>4</v>
      </c>
      <c r="G11" s="1225">
        <f t="shared" si="6"/>
        <v>8.6956521739130432E-2</v>
      </c>
      <c r="H11" s="1226">
        <v>10</v>
      </c>
      <c r="I11" s="1225">
        <f t="shared" si="1"/>
        <v>0.21739130434782608</v>
      </c>
      <c r="J11" s="1226">
        <v>23</v>
      </c>
      <c r="K11" s="1225">
        <f t="shared" si="2"/>
        <v>0.5</v>
      </c>
      <c r="L11" s="1227">
        <v>2</v>
      </c>
      <c r="M11" s="1225">
        <f t="shared" si="3"/>
        <v>4.3478260869565216E-2</v>
      </c>
      <c r="N11" s="54">
        <v>7</v>
      </c>
      <c r="O11" s="55">
        <f t="shared" si="4"/>
        <v>0.15217391304347827</v>
      </c>
      <c r="P11" s="289"/>
      <c r="Q11" s="315">
        <f t="shared" si="5"/>
        <v>8424.9714418469157</v>
      </c>
    </row>
    <row r="12" spans="2:17" ht="12.75" customHeight="1" x14ac:dyDescent="0.25">
      <c r="B12" s="375" t="s">
        <v>212</v>
      </c>
      <c r="C12" s="1221" t="s">
        <v>522</v>
      </c>
      <c r="D12" s="1222">
        <v>3</v>
      </c>
      <c r="E12" s="1223">
        <f t="shared" si="0"/>
        <v>76</v>
      </c>
      <c r="F12" s="1226">
        <v>0</v>
      </c>
      <c r="G12" s="1225">
        <f t="shared" si="6"/>
        <v>0</v>
      </c>
      <c r="H12" s="1226">
        <v>8</v>
      </c>
      <c r="I12" s="1225">
        <f t="shared" si="1"/>
        <v>0.10526315789473684</v>
      </c>
      <c r="J12" s="1226">
        <v>42</v>
      </c>
      <c r="K12" s="1225">
        <f t="shared" si="2"/>
        <v>0.55263157894736847</v>
      </c>
      <c r="L12" s="1226">
        <v>1</v>
      </c>
      <c r="M12" s="1225">
        <f t="shared" si="3"/>
        <v>1.3157894736842105E-2</v>
      </c>
      <c r="N12" s="1228">
        <v>25</v>
      </c>
      <c r="O12" s="55">
        <f t="shared" si="4"/>
        <v>0.32894736842105265</v>
      </c>
      <c r="P12" s="289"/>
      <c r="Q12" s="315">
        <f t="shared" si="5"/>
        <v>9090.8723433725772</v>
      </c>
    </row>
    <row r="13" spans="2:17" ht="12.75" customHeight="1" x14ac:dyDescent="0.25">
      <c r="B13" s="375" t="s">
        <v>221</v>
      </c>
      <c r="C13" s="1221" t="s">
        <v>521</v>
      </c>
      <c r="D13" s="1222">
        <v>4</v>
      </c>
      <c r="E13" s="1223">
        <f t="shared" si="0"/>
        <v>112</v>
      </c>
      <c r="F13" s="1226">
        <v>6</v>
      </c>
      <c r="G13" s="1225">
        <f t="shared" si="6"/>
        <v>5.3571428571428568E-2</v>
      </c>
      <c r="H13" s="1226">
        <v>8</v>
      </c>
      <c r="I13" s="1225">
        <f t="shared" si="1"/>
        <v>7.1428571428571425E-2</v>
      </c>
      <c r="J13" s="1226">
        <v>75</v>
      </c>
      <c r="K13" s="1225">
        <f t="shared" si="2"/>
        <v>0.6696428571428571</v>
      </c>
      <c r="L13" s="1226">
        <v>3</v>
      </c>
      <c r="M13" s="1225">
        <f t="shared" si="3"/>
        <v>2.6785714285714284E-2</v>
      </c>
      <c r="N13" s="54">
        <v>20</v>
      </c>
      <c r="O13" s="55">
        <f t="shared" si="4"/>
        <v>0.17857142857142858</v>
      </c>
      <c r="P13" s="289"/>
      <c r="Q13" s="315">
        <f t="shared" si="5"/>
        <v>8204.0181145547631</v>
      </c>
    </row>
    <row r="14" spans="2:17" ht="12.75" customHeight="1" x14ac:dyDescent="0.25">
      <c r="B14" s="375" t="s">
        <v>213</v>
      </c>
      <c r="C14" s="1221" t="s">
        <v>521</v>
      </c>
      <c r="D14" s="1222">
        <v>4</v>
      </c>
      <c r="E14" s="1223">
        <f t="shared" si="0"/>
        <v>123</v>
      </c>
      <c r="F14" s="1226">
        <v>2</v>
      </c>
      <c r="G14" s="1225">
        <f t="shared" si="6"/>
        <v>1.6260162601626018E-2</v>
      </c>
      <c r="H14" s="1226">
        <v>31</v>
      </c>
      <c r="I14" s="1225">
        <f t="shared" si="1"/>
        <v>0.25203252032520324</v>
      </c>
      <c r="J14" s="1226">
        <v>79</v>
      </c>
      <c r="K14" s="1225">
        <f t="shared" si="2"/>
        <v>0.64227642276422769</v>
      </c>
      <c r="L14" s="1226">
        <v>0</v>
      </c>
      <c r="M14" s="1225">
        <f t="shared" si="3"/>
        <v>0</v>
      </c>
      <c r="N14" s="54">
        <v>11</v>
      </c>
      <c r="O14" s="55">
        <f t="shared" si="4"/>
        <v>8.943089430894309E-2</v>
      </c>
      <c r="P14" s="289"/>
      <c r="Q14" s="315">
        <f t="shared" si="5"/>
        <v>7334.0685395812361</v>
      </c>
    </row>
    <row r="15" spans="2:17" ht="12.75" customHeight="1" x14ac:dyDescent="0.25">
      <c r="B15" s="375" t="s">
        <v>214</v>
      </c>
      <c r="C15" s="1221" t="s">
        <v>520</v>
      </c>
      <c r="D15" s="1222">
        <v>4</v>
      </c>
      <c r="E15" s="1223">
        <f t="shared" si="0"/>
        <v>125</v>
      </c>
      <c r="F15" s="1226">
        <v>0</v>
      </c>
      <c r="G15" s="1225">
        <f t="shared" si="6"/>
        <v>0</v>
      </c>
      <c r="H15" s="1226">
        <v>24</v>
      </c>
      <c r="I15" s="1225">
        <f t="shared" si="1"/>
        <v>0.192</v>
      </c>
      <c r="J15" s="1226">
        <v>83</v>
      </c>
      <c r="K15" s="1225">
        <f t="shared" si="2"/>
        <v>0.66400000000000003</v>
      </c>
      <c r="L15" s="1226">
        <v>0</v>
      </c>
      <c r="M15" s="1225">
        <f t="shared" si="3"/>
        <v>0</v>
      </c>
      <c r="N15" s="54">
        <v>18</v>
      </c>
      <c r="O15" s="55">
        <f t="shared" si="4"/>
        <v>0.14399999999999999</v>
      </c>
      <c r="P15" s="289"/>
      <c r="Q15" s="315">
        <f t="shared" si="5"/>
        <v>7620.1581850108669</v>
      </c>
    </row>
    <row r="16" spans="2:17" ht="12.75" customHeight="1" x14ac:dyDescent="0.25">
      <c r="B16" s="375" t="s">
        <v>259</v>
      </c>
      <c r="C16" s="1221" t="s">
        <v>523</v>
      </c>
      <c r="D16" s="1222">
        <v>4</v>
      </c>
      <c r="E16" s="1223">
        <f t="shared" si="0"/>
        <v>58</v>
      </c>
      <c r="F16" s="1226">
        <v>0</v>
      </c>
      <c r="G16" s="1225">
        <f t="shared" si="6"/>
        <v>0</v>
      </c>
      <c r="H16" s="1226">
        <v>0</v>
      </c>
      <c r="I16" s="1225">
        <f t="shared" si="1"/>
        <v>0</v>
      </c>
      <c r="J16" s="1226">
        <v>0</v>
      </c>
      <c r="K16" s="1225">
        <f t="shared" si="2"/>
        <v>0</v>
      </c>
      <c r="L16" s="1226">
        <v>0</v>
      </c>
      <c r="M16" s="1225">
        <f t="shared" si="3"/>
        <v>0</v>
      </c>
      <c r="N16" s="54">
        <v>58</v>
      </c>
      <c r="O16" s="55">
        <f t="shared" si="4"/>
        <v>1</v>
      </c>
      <c r="P16" s="289"/>
      <c r="Q16" s="315">
        <f t="shared" si="5"/>
        <v>14327.068527263833</v>
      </c>
    </row>
    <row r="17" spans="1:23" ht="12.75" customHeight="1" x14ac:dyDescent="0.25">
      <c r="A17" s="289"/>
      <c r="B17" s="375" t="s">
        <v>261</v>
      </c>
      <c r="C17" s="1221" t="s">
        <v>523</v>
      </c>
      <c r="D17" s="1222">
        <v>4</v>
      </c>
      <c r="E17" s="1223">
        <f t="shared" si="0"/>
        <v>67</v>
      </c>
      <c r="F17" s="1226">
        <v>0</v>
      </c>
      <c r="G17" s="1225">
        <f t="shared" si="6"/>
        <v>0</v>
      </c>
      <c r="H17" s="1226">
        <v>0</v>
      </c>
      <c r="I17" s="1225">
        <f t="shared" si="1"/>
        <v>0</v>
      </c>
      <c r="J17" s="1226">
        <v>0</v>
      </c>
      <c r="K17" s="1225">
        <f t="shared" si="2"/>
        <v>0</v>
      </c>
      <c r="L17" s="1226">
        <v>0</v>
      </c>
      <c r="M17" s="1225">
        <f t="shared" si="3"/>
        <v>0</v>
      </c>
      <c r="N17" s="54">
        <v>67</v>
      </c>
      <c r="O17" s="55">
        <f t="shared" si="4"/>
        <v>1</v>
      </c>
      <c r="P17" s="289"/>
      <c r="Q17" s="315">
        <f t="shared" si="5"/>
        <v>14327.068527263833</v>
      </c>
      <c r="R17" s="289"/>
      <c r="S17" s="289"/>
      <c r="T17" s="289"/>
      <c r="U17" s="289"/>
      <c r="V17" s="289"/>
      <c r="W17" s="289"/>
    </row>
    <row r="18" spans="1:23" ht="12.75" customHeight="1" x14ac:dyDescent="0.25">
      <c r="A18" s="289"/>
      <c r="B18" s="375" t="s">
        <v>262</v>
      </c>
      <c r="C18" s="1221" t="s">
        <v>523</v>
      </c>
      <c r="D18" s="1222">
        <v>4</v>
      </c>
      <c r="E18" s="1223">
        <f t="shared" si="0"/>
        <v>61</v>
      </c>
      <c r="F18" s="1224">
        <v>0</v>
      </c>
      <c r="G18" s="1225">
        <f t="shared" si="6"/>
        <v>0</v>
      </c>
      <c r="H18" s="1226">
        <v>0</v>
      </c>
      <c r="I18" s="1225">
        <f t="shared" si="1"/>
        <v>0</v>
      </c>
      <c r="J18" s="1229">
        <v>0</v>
      </c>
      <c r="K18" s="1225">
        <f t="shared" si="2"/>
        <v>0</v>
      </c>
      <c r="L18" s="1229">
        <v>0</v>
      </c>
      <c r="M18" s="1225">
        <f t="shared" si="3"/>
        <v>0</v>
      </c>
      <c r="N18" s="54">
        <v>61</v>
      </c>
      <c r="O18" s="55">
        <f t="shared" si="4"/>
        <v>1</v>
      </c>
      <c r="P18" s="289"/>
      <c r="Q18" s="315">
        <f t="shared" si="5"/>
        <v>14327.068527263833</v>
      </c>
      <c r="R18" s="289"/>
      <c r="S18" s="289"/>
      <c r="T18" s="289"/>
      <c r="U18" s="289"/>
      <c r="V18" s="289"/>
      <c r="W18" s="289"/>
    </row>
    <row r="19" spans="1:23" ht="12.75" customHeight="1" x14ac:dyDescent="0.25">
      <c r="A19" s="289"/>
      <c r="B19" s="375" t="s">
        <v>215</v>
      </c>
      <c r="C19" s="1221" t="s">
        <v>520</v>
      </c>
      <c r="D19" s="1222">
        <v>4</v>
      </c>
      <c r="E19" s="1223">
        <f t="shared" si="0"/>
        <v>70</v>
      </c>
      <c r="F19" s="1226">
        <v>18</v>
      </c>
      <c r="G19" s="1225">
        <f t="shared" si="6"/>
        <v>0.25714285714285712</v>
      </c>
      <c r="H19" s="1224">
        <v>22</v>
      </c>
      <c r="I19" s="1225">
        <f t="shared" si="1"/>
        <v>0.31428571428571428</v>
      </c>
      <c r="J19" s="1224">
        <v>4</v>
      </c>
      <c r="K19" s="1225">
        <f t="shared" si="2"/>
        <v>5.7142857142857141E-2</v>
      </c>
      <c r="L19" s="1224">
        <v>11</v>
      </c>
      <c r="M19" s="1225">
        <f t="shared" si="3"/>
        <v>0.15714285714285714</v>
      </c>
      <c r="N19" s="54">
        <v>15</v>
      </c>
      <c r="O19" s="55">
        <f t="shared" si="4"/>
        <v>0.21428571428571427</v>
      </c>
      <c r="P19" s="289"/>
      <c r="Q19" s="315">
        <f t="shared" si="5"/>
        <v>10580.75210310383</v>
      </c>
      <c r="R19" s="289"/>
      <c r="S19" s="289"/>
      <c r="T19" s="289"/>
      <c r="U19" s="289"/>
      <c r="V19" s="289"/>
      <c r="W19" s="289"/>
    </row>
    <row r="20" spans="1:23" ht="12.75" customHeight="1" x14ac:dyDescent="0.25">
      <c r="A20" s="289"/>
      <c r="B20" s="375" t="s">
        <v>216</v>
      </c>
      <c r="C20" s="1221" t="s">
        <v>522</v>
      </c>
      <c r="D20" s="1222">
        <v>5</v>
      </c>
      <c r="E20" s="1223">
        <f t="shared" si="0"/>
        <v>137</v>
      </c>
      <c r="F20" s="1226">
        <v>2</v>
      </c>
      <c r="G20" s="1225">
        <f t="shared" si="6"/>
        <v>1.4598540145985401E-2</v>
      </c>
      <c r="H20" s="1226">
        <v>15</v>
      </c>
      <c r="I20" s="1225">
        <f t="shared" si="1"/>
        <v>0.10948905109489052</v>
      </c>
      <c r="J20" s="1226">
        <v>102</v>
      </c>
      <c r="K20" s="1225">
        <f t="shared" si="2"/>
        <v>0.74452554744525545</v>
      </c>
      <c r="L20" s="1226">
        <v>3</v>
      </c>
      <c r="M20" s="1225">
        <f t="shared" si="3"/>
        <v>2.1897810218978103E-2</v>
      </c>
      <c r="N20" s="54">
        <v>15</v>
      </c>
      <c r="O20" s="55">
        <f t="shared" si="4"/>
        <v>0.10948905109489052</v>
      </c>
      <c r="P20" s="289"/>
      <c r="Q20" s="315">
        <f t="shared" si="5"/>
        <v>7448.7456830496158</v>
      </c>
      <c r="R20" s="289"/>
      <c r="S20" s="289"/>
      <c r="T20" s="289"/>
      <c r="U20" s="289"/>
      <c r="V20" s="289"/>
      <c r="W20" s="289"/>
    </row>
    <row r="21" spans="1:23" ht="12.75" customHeight="1" x14ac:dyDescent="0.25">
      <c r="A21" s="289"/>
      <c r="B21" s="375" t="s">
        <v>217</v>
      </c>
      <c r="C21" s="1221" t="s">
        <v>522</v>
      </c>
      <c r="D21" s="1222">
        <v>5</v>
      </c>
      <c r="E21" s="1223">
        <f t="shared" si="0"/>
        <v>181</v>
      </c>
      <c r="F21" s="1226">
        <v>9</v>
      </c>
      <c r="G21" s="1225">
        <f t="shared" si="6"/>
        <v>4.9723756906077346E-2</v>
      </c>
      <c r="H21" s="1226">
        <v>25</v>
      </c>
      <c r="I21" s="1225">
        <f t="shared" si="1"/>
        <v>0.13812154696132597</v>
      </c>
      <c r="J21" s="1226">
        <v>130</v>
      </c>
      <c r="K21" s="1225">
        <f t="shared" si="2"/>
        <v>0.71823204419889508</v>
      </c>
      <c r="L21" s="1226">
        <v>2</v>
      </c>
      <c r="M21" s="1225">
        <f t="shared" si="3"/>
        <v>1.1049723756906077E-2</v>
      </c>
      <c r="N21" s="54">
        <v>15</v>
      </c>
      <c r="O21" s="55">
        <f t="shared" si="4"/>
        <v>8.2872928176795577E-2</v>
      </c>
      <c r="P21" s="289"/>
      <c r="Q21" s="315">
        <f t="shared" si="5"/>
        <v>7397.5468932395452</v>
      </c>
      <c r="R21" s="289"/>
      <c r="S21" s="289"/>
      <c r="T21" s="289"/>
      <c r="U21" s="289"/>
      <c r="V21" s="289"/>
      <c r="W21" s="289"/>
    </row>
    <row r="22" spans="1:23" ht="12.75" customHeight="1" x14ac:dyDescent="0.25">
      <c r="A22" s="289"/>
      <c r="B22" s="375" t="s">
        <v>451</v>
      </c>
      <c r="C22" s="1221" t="s">
        <v>524</v>
      </c>
      <c r="D22" s="1222">
        <v>5</v>
      </c>
      <c r="E22" s="1223">
        <f t="shared" si="0"/>
        <v>81</v>
      </c>
      <c r="F22" s="1226">
        <v>25</v>
      </c>
      <c r="G22" s="1225">
        <f t="shared" si="6"/>
        <v>0.30864197530864196</v>
      </c>
      <c r="H22" s="1226">
        <v>46</v>
      </c>
      <c r="I22" s="1225">
        <f t="shared" si="1"/>
        <v>0.5679012345679012</v>
      </c>
      <c r="J22" s="1226">
        <v>0</v>
      </c>
      <c r="K22" s="1225">
        <f t="shared" si="2"/>
        <v>0</v>
      </c>
      <c r="L22" s="1226">
        <v>0</v>
      </c>
      <c r="M22" s="1225">
        <f t="shared" si="3"/>
        <v>0</v>
      </c>
      <c r="N22" s="54">
        <v>10</v>
      </c>
      <c r="O22" s="55">
        <f t="shared" si="4"/>
        <v>0.12345679012345678</v>
      </c>
      <c r="P22" s="289"/>
      <c r="Q22" s="315">
        <f t="shared" si="5"/>
        <v>9551.5769232439579</v>
      </c>
      <c r="R22" s="289"/>
      <c r="S22" s="289"/>
      <c r="T22" s="289"/>
      <c r="U22" s="289"/>
      <c r="V22" s="289"/>
      <c r="W22" s="289"/>
    </row>
    <row r="23" spans="1:23" ht="12.75" customHeight="1" x14ac:dyDescent="0.25">
      <c r="A23" s="289"/>
      <c r="B23" s="375" t="s">
        <v>219</v>
      </c>
      <c r="C23" s="1221" t="s">
        <v>521</v>
      </c>
      <c r="D23" s="1222">
        <v>6</v>
      </c>
      <c r="E23" s="1223">
        <f t="shared" si="0"/>
        <v>104</v>
      </c>
      <c r="F23" s="1226">
        <v>44</v>
      </c>
      <c r="G23" s="1225">
        <f t="shared" si="6"/>
        <v>0.42307692307692307</v>
      </c>
      <c r="H23" s="1226">
        <v>0</v>
      </c>
      <c r="I23" s="1225">
        <f t="shared" si="1"/>
        <v>0</v>
      </c>
      <c r="J23" s="1226">
        <v>13</v>
      </c>
      <c r="K23" s="1225">
        <f t="shared" si="2"/>
        <v>0.125</v>
      </c>
      <c r="L23" s="1226">
        <v>38</v>
      </c>
      <c r="M23" s="1225">
        <f t="shared" si="3"/>
        <v>0.36538461538461536</v>
      </c>
      <c r="N23" s="54">
        <v>9</v>
      </c>
      <c r="O23" s="55">
        <f t="shared" si="4"/>
        <v>8.6538461538461536E-2</v>
      </c>
      <c r="P23" s="289"/>
      <c r="Q23" s="315">
        <f t="shared" si="5"/>
        <v>11239.016610354596</v>
      </c>
      <c r="R23" s="289"/>
      <c r="S23" s="289"/>
      <c r="T23" s="289"/>
      <c r="U23" s="289"/>
      <c r="V23" s="289"/>
      <c r="W23" s="289"/>
    </row>
    <row r="24" spans="1:23" ht="12.75" customHeight="1" x14ac:dyDescent="0.3">
      <c r="A24" s="289"/>
      <c r="B24" s="1230" t="s">
        <v>357</v>
      </c>
      <c r="C24" s="1230"/>
      <c r="D24" s="1230"/>
      <c r="E24" s="56">
        <f>SUM(E5:E23)</f>
        <v>1526</v>
      </c>
      <c r="F24" s="57">
        <f>SUM(F5:F23)</f>
        <v>166</v>
      </c>
      <c r="G24" s="1231">
        <f>AVERAGE(G5:G23)</f>
        <v>0.1299182368291637</v>
      </c>
      <c r="H24" s="57">
        <f>SUM(H5:H23)</f>
        <v>294</v>
      </c>
      <c r="I24" s="1231">
        <f>AVERAGE(I5:I23)</f>
        <v>0.22312972763390007</v>
      </c>
      <c r="J24" s="57">
        <f>SUM(J5:J23)</f>
        <v>569</v>
      </c>
      <c r="K24" s="1231">
        <f>AVERAGE(K5:K23)</f>
        <v>0.26295013194956635</v>
      </c>
      <c r="L24" s="57">
        <f>SUM(L5:L23)</f>
        <v>77</v>
      </c>
      <c r="M24" s="1231">
        <f>AVERAGE(M5:M23)</f>
        <v>5.2282894446278594E-2</v>
      </c>
      <c r="N24" s="58">
        <f>SUM(N5:N23)</f>
        <v>420</v>
      </c>
      <c r="O24" s="1231">
        <f>AVERAGE(O5:O23)</f>
        <v>0.33171900914109131</v>
      </c>
      <c r="P24" s="289"/>
      <c r="Q24" s="316"/>
      <c r="R24" s="289"/>
      <c r="S24" s="289"/>
      <c r="T24" s="289"/>
      <c r="U24" s="289"/>
      <c r="V24" s="289"/>
      <c r="W24" s="289"/>
    </row>
    <row r="25" spans="1:23" ht="12.75" customHeight="1" x14ac:dyDescent="0.25">
      <c r="A25" s="289"/>
      <c r="B25" s="1230" t="s">
        <v>525</v>
      </c>
      <c r="C25" s="1230"/>
      <c r="D25" s="1230"/>
      <c r="E25" s="1232"/>
      <c r="F25" s="1233">
        <f>F24/E24</f>
        <v>0.10878112712975098</v>
      </c>
      <c r="G25" s="1225"/>
      <c r="H25" s="1233">
        <f>H24/E24</f>
        <v>0.19266055045871561</v>
      </c>
      <c r="I25" s="1225"/>
      <c r="J25" s="1233">
        <f>J24/E24</f>
        <v>0.37287024901703802</v>
      </c>
      <c r="K25" s="1225"/>
      <c r="L25" s="1233">
        <f>L24/E24</f>
        <v>5.0458715596330278E-2</v>
      </c>
      <c r="M25" s="1225"/>
      <c r="N25" s="60">
        <f>N24/E24</f>
        <v>0.27522935779816515</v>
      </c>
      <c r="O25" s="59"/>
      <c r="P25" s="289"/>
      <c r="Q25" s="316"/>
      <c r="R25" s="289"/>
      <c r="S25" s="289"/>
      <c r="T25" s="289"/>
      <c r="U25" s="289"/>
      <c r="V25" s="289"/>
      <c r="W25" s="289"/>
    </row>
    <row r="26" spans="1:23" ht="12.75" customHeight="1" x14ac:dyDescent="0.25">
      <c r="A26" s="289"/>
      <c r="B26" s="289"/>
      <c r="C26" s="289"/>
      <c r="D26" s="289"/>
      <c r="E26" s="316"/>
      <c r="F26" s="316"/>
      <c r="G26" s="316"/>
      <c r="H26" s="316"/>
      <c r="I26" s="316"/>
      <c r="J26" s="316"/>
      <c r="K26" s="316"/>
      <c r="L26" s="316"/>
      <c r="M26" s="316"/>
      <c r="N26" s="316"/>
      <c r="O26" s="316"/>
      <c r="P26" s="289"/>
      <c r="Q26" s="316"/>
      <c r="R26" s="289"/>
      <c r="S26" s="289"/>
      <c r="T26" s="289"/>
      <c r="U26" s="289"/>
      <c r="V26" s="289"/>
      <c r="W26" s="289"/>
    </row>
    <row r="27" spans="1:23" ht="12.75" customHeight="1" x14ac:dyDescent="0.25">
      <c r="A27" s="289"/>
      <c r="B27" s="1" t="s">
        <v>526</v>
      </c>
      <c r="C27" s="289"/>
      <c r="D27" s="289"/>
      <c r="E27" s="316"/>
      <c r="F27" s="316"/>
      <c r="G27" s="316"/>
      <c r="H27" s="316"/>
      <c r="I27" s="316"/>
      <c r="J27" s="316"/>
      <c r="K27" s="316"/>
      <c r="L27" s="316"/>
      <c r="M27" s="316"/>
      <c r="N27" s="316"/>
      <c r="O27" s="316"/>
      <c r="P27" s="289"/>
      <c r="Q27" s="316"/>
      <c r="R27" s="289"/>
      <c r="S27" s="289"/>
      <c r="T27" s="289"/>
      <c r="U27" s="289"/>
      <c r="V27" s="289"/>
      <c r="W27" s="289"/>
    </row>
    <row r="28" spans="1:23" x14ac:dyDescent="0.25">
      <c r="A28" s="289"/>
      <c r="B28" s="289"/>
      <c r="C28" s="289"/>
      <c r="D28" s="289"/>
      <c r="E28" s="316"/>
      <c r="F28" s="316"/>
      <c r="G28" s="316"/>
      <c r="H28" s="316"/>
      <c r="I28" s="316"/>
      <c r="J28" s="316"/>
      <c r="K28" s="316"/>
      <c r="L28" s="316"/>
      <c r="M28" s="316"/>
      <c r="N28" s="316"/>
      <c r="O28" s="316"/>
      <c r="P28" s="289"/>
      <c r="Q28" s="316"/>
      <c r="R28" s="289"/>
      <c r="S28" s="289"/>
      <c r="T28" s="289"/>
      <c r="U28" s="289"/>
      <c r="V28" s="289"/>
      <c r="W28" s="289"/>
    </row>
    <row r="29" spans="1:23" ht="39" x14ac:dyDescent="0.25">
      <c r="A29" s="289"/>
      <c r="B29" s="47" t="s">
        <v>183</v>
      </c>
      <c r="C29" s="47" t="s">
        <v>508</v>
      </c>
      <c r="D29" s="48" t="s">
        <v>184</v>
      </c>
      <c r="E29" s="49" t="s">
        <v>527</v>
      </c>
      <c r="F29" s="50" t="s">
        <v>528</v>
      </c>
      <c r="G29" s="51" t="s">
        <v>529</v>
      </c>
      <c r="H29" s="50" t="s">
        <v>530</v>
      </c>
      <c r="I29" s="51" t="s">
        <v>241</v>
      </c>
      <c r="J29" s="50" t="s">
        <v>531</v>
      </c>
      <c r="K29" s="51" t="s">
        <v>532</v>
      </c>
      <c r="L29" s="50" t="s">
        <v>533</v>
      </c>
      <c r="M29" s="51" t="s">
        <v>534</v>
      </c>
      <c r="N29" s="352" t="s">
        <v>668</v>
      </c>
      <c r="O29" s="51" t="s">
        <v>789</v>
      </c>
      <c r="P29" s="52" t="s">
        <v>535</v>
      </c>
      <c r="Q29" s="53" t="s">
        <v>536</v>
      </c>
      <c r="R29" s="289"/>
      <c r="S29" s="822" t="s">
        <v>294</v>
      </c>
      <c r="T29" s="289"/>
      <c r="U29" s="1234" t="s">
        <v>19</v>
      </c>
      <c r="V29" s="1132" t="s">
        <v>537</v>
      </c>
      <c r="W29" s="1235" t="s">
        <v>538</v>
      </c>
    </row>
    <row r="30" spans="1:23" x14ac:dyDescent="0.25">
      <c r="A30" s="244">
        <v>9257010</v>
      </c>
      <c r="B30" s="375" t="s">
        <v>205</v>
      </c>
      <c r="C30" s="1221" t="s">
        <v>520</v>
      </c>
      <c r="D30" s="1236">
        <v>3</v>
      </c>
      <c r="E30" s="1223">
        <f>F30+H30+J30+L30+P30+N30</f>
        <v>42</v>
      </c>
      <c r="F30" s="1224">
        <v>14</v>
      </c>
      <c r="G30" s="1225">
        <f>F30/E30</f>
        <v>0.33333333333333331</v>
      </c>
      <c r="H30" s="1226">
        <v>12</v>
      </c>
      <c r="I30" s="1225">
        <f t="shared" ref="I30:I47" si="7">H30/E30</f>
        <v>0.2857142857142857</v>
      </c>
      <c r="J30" s="1226">
        <v>5</v>
      </c>
      <c r="K30" s="1225">
        <f t="shared" ref="K30:K47" si="8">J30/E30</f>
        <v>0.11904761904761904</v>
      </c>
      <c r="L30" s="1226">
        <v>0</v>
      </c>
      <c r="M30" s="1225">
        <f t="shared" ref="M30:M47" si="9">L30/E30</f>
        <v>0</v>
      </c>
      <c r="N30" s="1248">
        <v>8</v>
      </c>
      <c r="O30" s="1225">
        <f>N30/E30</f>
        <v>0.19047619047619047</v>
      </c>
      <c r="P30" s="54">
        <v>3</v>
      </c>
      <c r="Q30" s="55">
        <f t="shared" ref="Q30:Q47" si="10">P30/E30</f>
        <v>7.1428571428571425E-2</v>
      </c>
      <c r="R30" s="289"/>
      <c r="S30" s="315">
        <f>(G30*$F$54)+(I30*$H$54)+(K30*$J$54)+(M30*$L$54)+(O30*$N$54)+(Q30*$P$54)+(Q30*$P$56)</f>
        <v>11981.75762720177</v>
      </c>
      <c r="T30" s="289"/>
      <c r="U30" s="315">
        <f>S30-Q5</f>
        <v>2084.2409219619367</v>
      </c>
      <c r="V30" s="804">
        <f>'Band Calculations'!Z5</f>
        <v>43</v>
      </c>
      <c r="W30" s="315">
        <f>U30*V30</f>
        <v>89622.359644363285</v>
      </c>
    </row>
    <row r="31" spans="1:23" x14ac:dyDescent="0.25">
      <c r="A31" s="244">
        <v>9257005</v>
      </c>
      <c r="B31" s="375" t="s">
        <v>208</v>
      </c>
      <c r="C31" s="1221" t="s">
        <v>521</v>
      </c>
      <c r="D31" s="1236">
        <v>3</v>
      </c>
      <c r="E31" s="1223">
        <f t="shared" ref="E31:E47" si="11">F31+H31+J31+L31+P31+N31</f>
        <v>76</v>
      </c>
      <c r="F31" s="1224">
        <v>10</v>
      </c>
      <c r="G31" s="1225">
        <f t="shared" ref="G31:G47" si="12">F31/E31</f>
        <v>0.13157894736842105</v>
      </c>
      <c r="H31" s="1226">
        <v>27</v>
      </c>
      <c r="I31" s="1225">
        <f t="shared" si="7"/>
        <v>0.35526315789473684</v>
      </c>
      <c r="J31" s="1226">
        <v>13</v>
      </c>
      <c r="K31" s="1225">
        <f t="shared" si="8"/>
        <v>0.17105263157894737</v>
      </c>
      <c r="L31" s="1226">
        <v>4</v>
      </c>
      <c r="M31" s="1225">
        <f t="shared" si="9"/>
        <v>5.2631578947368418E-2</v>
      </c>
      <c r="N31" s="1248">
        <v>7</v>
      </c>
      <c r="O31" s="1225">
        <f t="shared" ref="O31:O47" si="13">N31/E31</f>
        <v>9.2105263157894732E-2</v>
      </c>
      <c r="P31" s="54">
        <v>15</v>
      </c>
      <c r="Q31" s="55">
        <f t="shared" si="10"/>
        <v>0.19736842105263158</v>
      </c>
      <c r="R31" s="289"/>
      <c r="S31" s="315">
        <f t="shared" ref="S31:S47" si="14">(G31*$F$54)+(I31*$H$54)+(K31*$J$54)+(M31*$L$54)+(O31*$N$54)+(Q31*$P$54)+(Q31*$P$56)</f>
        <v>10700.231155478385</v>
      </c>
      <c r="T31" s="289"/>
      <c r="U31" s="315">
        <f t="shared" ref="U31:U46" si="15">S31-Q6</f>
        <v>1914.9452242181069</v>
      </c>
      <c r="V31" s="804">
        <f>'Band Calculations'!Z6</f>
        <v>63</v>
      </c>
      <c r="W31" s="315">
        <f t="shared" ref="W31:W47" si="16">U31*V31</f>
        <v>120641.54912574074</v>
      </c>
    </row>
    <row r="32" spans="1:23" x14ac:dyDescent="0.25">
      <c r="A32" s="244">
        <v>9257025</v>
      </c>
      <c r="B32" s="375" t="s">
        <v>209</v>
      </c>
      <c r="C32" s="1221" t="s">
        <v>522</v>
      </c>
      <c r="D32" s="1236">
        <v>3</v>
      </c>
      <c r="E32" s="1223">
        <f t="shared" si="11"/>
        <v>53</v>
      </c>
      <c r="F32" s="1224">
        <v>11</v>
      </c>
      <c r="G32" s="1225">
        <f t="shared" si="12"/>
        <v>0.20754716981132076</v>
      </c>
      <c r="H32" s="1226">
        <v>22</v>
      </c>
      <c r="I32" s="1225">
        <f t="shared" si="7"/>
        <v>0.41509433962264153</v>
      </c>
      <c r="J32" s="1226">
        <v>3</v>
      </c>
      <c r="K32" s="1225">
        <f t="shared" si="8"/>
        <v>5.6603773584905662E-2</v>
      </c>
      <c r="L32" s="1226">
        <v>0</v>
      </c>
      <c r="M32" s="1225">
        <f t="shared" si="9"/>
        <v>0</v>
      </c>
      <c r="N32" s="1248">
        <v>6</v>
      </c>
      <c r="O32" s="1225">
        <f t="shared" si="13"/>
        <v>0.11320754716981132</v>
      </c>
      <c r="P32" s="54">
        <v>11</v>
      </c>
      <c r="Q32" s="55">
        <f t="shared" si="10"/>
        <v>0.20754716981132076</v>
      </c>
      <c r="R32" s="289"/>
      <c r="S32" s="315">
        <f t="shared" si="14"/>
        <v>11311.363719426055</v>
      </c>
      <c r="T32" s="289"/>
      <c r="U32" s="315">
        <f t="shared" si="15"/>
        <v>384.87430958735058</v>
      </c>
      <c r="V32" s="804">
        <f>'Band Calculations'!Z7</f>
        <v>63</v>
      </c>
      <c r="W32" s="315">
        <f t="shared" si="16"/>
        <v>24247.081504003087</v>
      </c>
    </row>
    <row r="33" spans="1:23" x14ac:dyDescent="0.25">
      <c r="A33" s="244">
        <v>9257011</v>
      </c>
      <c r="B33" s="375" t="s">
        <v>210</v>
      </c>
      <c r="C33" s="1221" t="s">
        <v>520</v>
      </c>
      <c r="D33" s="1236">
        <v>3</v>
      </c>
      <c r="E33" s="1223">
        <f t="shared" si="11"/>
        <v>45</v>
      </c>
      <c r="F33" s="1224">
        <v>13</v>
      </c>
      <c r="G33" s="1225">
        <f t="shared" si="12"/>
        <v>0.28888888888888886</v>
      </c>
      <c r="H33" s="1226">
        <v>19</v>
      </c>
      <c r="I33" s="1225">
        <f t="shared" si="7"/>
        <v>0.42222222222222222</v>
      </c>
      <c r="J33" s="1226">
        <v>0</v>
      </c>
      <c r="K33" s="1225">
        <f t="shared" si="8"/>
        <v>0</v>
      </c>
      <c r="L33" s="1226">
        <v>0</v>
      </c>
      <c r="M33" s="1225">
        <f t="shared" si="9"/>
        <v>0</v>
      </c>
      <c r="N33" s="1248">
        <v>6</v>
      </c>
      <c r="O33" s="1225">
        <f t="shared" si="13"/>
        <v>0.13333333333333333</v>
      </c>
      <c r="P33" s="54">
        <v>7</v>
      </c>
      <c r="Q33" s="55">
        <f t="shared" si="10"/>
        <v>0.15555555555555556</v>
      </c>
      <c r="R33" s="289"/>
      <c r="S33" s="315">
        <f t="shared" si="14"/>
        <v>11662.143221718445</v>
      </c>
      <c r="T33" s="289"/>
      <c r="U33" s="315">
        <f t="shared" si="15"/>
        <v>1141.6487213855762</v>
      </c>
      <c r="V33" s="804">
        <f>'Band Calculations'!Z8</f>
        <v>41</v>
      </c>
      <c r="W33" s="315">
        <f t="shared" si="16"/>
        <v>46807.597576808621</v>
      </c>
    </row>
    <row r="34" spans="1:23" x14ac:dyDescent="0.25">
      <c r="A34" s="244">
        <v>9257024</v>
      </c>
      <c r="B34" s="375" t="s">
        <v>211</v>
      </c>
      <c r="C34" s="1221" t="s">
        <v>522</v>
      </c>
      <c r="D34" s="1236">
        <v>3</v>
      </c>
      <c r="E34" s="1223">
        <f t="shared" si="11"/>
        <v>55</v>
      </c>
      <c r="F34" s="1226">
        <v>11</v>
      </c>
      <c r="G34" s="1225">
        <f t="shared" si="12"/>
        <v>0.2</v>
      </c>
      <c r="H34" s="1226">
        <v>31</v>
      </c>
      <c r="I34" s="1225">
        <f t="shared" si="7"/>
        <v>0.5636363636363636</v>
      </c>
      <c r="J34" s="1226">
        <v>1</v>
      </c>
      <c r="K34" s="1225">
        <f t="shared" si="8"/>
        <v>1.8181818181818181E-2</v>
      </c>
      <c r="L34" s="1226">
        <v>0</v>
      </c>
      <c r="M34" s="1225">
        <f t="shared" si="9"/>
        <v>0</v>
      </c>
      <c r="N34" s="1248">
        <v>9</v>
      </c>
      <c r="O34" s="1225">
        <f t="shared" si="13"/>
        <v>0.16363636363636364</v>
      </c>
      <c r="P34" s="54">
        <v>3</v>
      </c>
      <c r="Q34" s="55">
        <f t="shared" si="10"/>
        <v>5.4545454545454543E-2</v>
      </c>
      <c r="R34" s="289"/>
      <c r="S34" s="315">
        <f t="shared" si="14"/>
        <v>10999.610135415453</v>
      </c>
      <c r="T34" s="289"/>
      <c r="U34" s="315">
        <f t="shared" si="15"/>
        <v>2200.4070840957575</v>
      </c>
      <c r="V34" s="804">
        <f>'Band Calculations'!Z9</f>
        <v>47</v>
      </c>
      <c r="W34" s="315">
        <f t="shared" si="16"/>
        <v>103419.1329525006</v>
      </c>
    </row>
    <row r="35" spans="1:23" ht="12" customHeight="1" x14ac:dyDescent="0.25">
      <c r="A35" s="244">
        <v>9257031</v>
      </c>
      <c r="B35" s="375" t="s">
        <v>257</v>
      </c>
      <c r="C35" s="1221" t="s">
        <v>523</v>
      </c>
      <c r="D35" s="1236">
        <v>3</v>
      </c>
      <c r="E35" s="1223">
        <f t="shared" si="11"/>
        <v>61</v>
      </c>
      <c r="F35" s="1226">
        <v>0</v>
      </c>
      <c r="G35" s="1225">
        <f t="shared" si="12"/>
        <v>0</v>
      </c>
      <c r="H35" s="1226">
        <v>0</v>
      </c>
      <c r="I35" s="1225">
        <f t="shared" si="7"/>
        <v>0</v>
      </c>
      <c r="J35" s="1226">
        <v>0</v>
      </c>
      <c r="K35" s="1225">
        <f t="shared" si="8"/>
        <v>0</v>
      </c>
      <c r="L35" s="1226">
        <v>0</v>
      </c>
      <c r="M35" s="1225">
        <f t="shared" si="9"/>
        <v>0</v>
      </c>
      <c r="N35" s="1248">
        <v>0</v>
      </c>
      <c r="O35" s="1225">
        <f t="shared" si="13"/>
        <v>0</v>
      </c>
      <c r="P35" s="54">
        <v>61</v>
      </c>
      <c r="Q35" s="55">
        <f t="shared" si="10"/>
        <v>1</v>
      </c>
      <c r="R35" s="289"/>
      <c r="S35" s="315">
        <f t="shared" si="14"/>
        <v>14327.068527263833</v>
      </c>
      <c r="T35" s="289"/>
      <c r="U35" s="315">
        <f t="shared" si="15"/>
        <v>0</v>
      </c>
      <c r="V35" s="804">
        <f>'Band Calculations'!Z10</f>
        <v>61</v>
      </c>
      <c r="W35" s="315">
        <f t="shared" si="16"/>
        <v>0</v>
      </c>
    </row>
    <row r="36" spans="1:23" x14ac:dyDescent="0.25">
      <c r="A36" s="244">
        <v>9257033</v>
      </c>
      <c r="B36" s="375" t="s">
        <v>220</v>
      </c>
      <c r="C36" s="1221" t="s">
        <v>521</v>
      </c>
      <c r="D36" s="1236">
        <v>3</v>
      </c>
      <c r="E36" s="1223">
        <f t="shared" si="11"/>
        <v>55</v>
      </c>
      <c r="F36" s="1226">
        <v>2</v>
      </c>
      <c r="G36" s="1225">
        <f t="shared" si="12"/>
        <v>3.6363636363636362E-2</v>
      </c>
      <c r="H36" s="1226">
        <v>16</v>
      </c>
      <c r="I36" s="1225">
        <f t="shared" si="7"/>
        <v>0.29090909090909089</v>
      </c>
      <c r="J36" s="1226">
        <v>15</v>
      </c>
      <c r="K36" s="1225">
        <f t="shared" si="8"/>
        <v>0.27272727272727271</v>
      </c>
      <c r="L36" s="1227">
        <v>3</v>
      </c>
      <c r="M36" s="1225">
        <f t="shared" si="9"/>
        <v>5.4545454545454543E-2</v>
      </c>
      <c r="N36" s="1248">
        <v>0</v>
      </c>
      <c r="O36" s="1225">
        <f t="shared" si="13"/>
        <v>0</v>
      </c>
      <c r="P36" s="54">
        <v>19</v>
      </c>
      <c r="Q36" s="55">
        <f t="shared" si="10"/>
        <v>0.34545454545454546</v>
      </c>
      <c r="R36" s="289"/>
      <c r="S36" s="315">
        <f t="shared" si="14"/>
        <v>9853.3189773154299</v>
      </c>
      <c r="T36" s="289"/>
      <c r="U36" s="315">
        <f t="shared" si="15"/>
        <v>1428.3475354685143</v>
      </c>
      <c r="V36" s="804">
        <f>'Band Calculations'!Z11</f>
        <v>60</v>
      </c>
      <c r="W36" s="315">
        <f t="shared" si="16"/>
        <v>85700.852128110855</v>
      </c>
    </row>
    <row r="37" spans="1:23" x14ac:dyDescent="0.25">
      <c r="A37" s="244">
        <v>9257008</v>
      </c>
      <c r="B37" s="375" t="s">
        <v>212</v>
      </c>
      <c r="C37" s="1221" t="s">
        <v>522</v>
      </c>
      <c r="D37" s="1236">
        <v>3</v>
      </c>
      <c r="E37" s="1223">
        <f t="shared" si="11"/>
        <v>85</v>
      </c>
      <c r="F37" s="1226">
        <v>0</v>
      </c>
      <c r="G37" s="1225">
        <f t="shared" si="12"/>
        <v>0</v>
      </c>
      <c r="H37" s="1226">
        <v>7</v>
      </c>
      <c r="I37" s="1225">
        <f t="shared" si="7"/>
        <v>8.2352941176470587E-2</v>
      </c>
      <c r="J37" s="1226">
        <v>52</v>
      </c>
      <c r="K37" s="1225">
        <f t="shared" si="8"/>
        <v>0.61176470588235299</v>
      </c>
      <c r="L37" s="1226">
        <v>2</v>
      </c>
      <c r="M37" s="1225">
        <f t="shared" si="9"/>
        <v>2.3529411764705882E-2</v>
      </c>
      <c r="N37" s="1248">
        <v>0</v>
      </c>
      <c r="O37" s="1225">
        <f t="shared" si="13"/>
        <v>0</v>
      </c>
      <c r="P37" s="1228">
        <v>24</v>
      </c>
      <c r="Q37" s="55">
        <f t="shared" si="10"/>
        <v>0.28235294117647058</v>
      </c>
      <c r="R37" s="289"/>
      <c r="S37" s="315">
        <f t="shared" si="14"/>
        <v>8745.3923904604708</v>
      </c>
      <c r="T37" s="289"/>
      <c r="U37" s="315">
        <f t="shared" si="15"/>
        <v>-345.47995291210646</v>
      </c>
      <c r="V37" s="804">
        <f>'Band Calculations'!Z12</f>
        <v>84</v>
      </c>
      <c r="W37" s="315">
        <f t="shared" si="16"/>
        <v>-29020.316044616942</v>
      </c>
    </row>
    <row r="38" spans="1:23" x14ac:dyDescent="0.25">
      <c r="A38" s="244">
        <v>9257034</v>
      </c>
      <c r="B38" s="375" t="s">
        <v>221</v>
      </c>
      <c r="C38" s="1221" t="s">
        <v>521</v>
      </c>
      <c r="D38" s="1236">
        <v>4</v>
      </c>
      <c r="E38" s="1223">
        <f t="shared" si="11"/>
        <v>127</v>
      </c>
      <c r="F38" s="1226">
        <v>9</v>
      </c>
      <c r="G38" s="1225">
        <f t="shared" si="12"/>
        <v>7.0866141732283464E-2</v>
      </c>
      <c r="H38" s="1226">
        <v>21</v>
      </c>
      <c r="I38" s="1225">
        <f t="shared" si="7"/>
        <v>0.16535433070866143</v>
      </c>
      <c r="J38" s="1226">
        <v>66</v>
      </c>
      <c r="K38" s="1225">
        <f t="shared" si="8"/>
        <v>0.51968503937007871</v>
      </c>
      <c r="L38" s="1226">
        <v>2</v>
      </c>
      <c r="M38" s="1225">
        <f t="shared" si="9"/>
        <v>1.5748031496062992E-2</v>
      </c>
      <c r="N38" s="1248">
        <v>3</v>
      </c>
      <c r="O38" s="1225">
        <f t="shared" si="13"/>
        <v>2.3622047244094488E-2</v>
      </c>
      <c r="P38" s="54">
        <v>26</v>
      </c>
      <c r="Q38" s="55">
        <f t="shared" si="10"/>
        <v>0.20472440944881889</v>
      </c>
      <c r="R38" s="289"/>
      <c r="S38" s="315">
        <f t="shared" si="14"/>
        <v>8929.0063475880906</v>
      </c>
      <c r="T38" s="289"/>
      <c r="U38" s="315">
        <f t="shared" si="15"/>
        <v>724.98823303332756</v>
      </c>
      <c r="V38" s="804">
        <f>'Band Calculations'!Z13</f>
        <v>109</v>
      </c>
      <c r="W38" s="315">
        <f t="shared" si="16"/>
        <v>79023.717400632711</v>
      </c>
    </row>
    <row r="39" spans="1:23" x14ac:dyDescent="0.25">
      <c r="A39" s="244">
        <v>9257002</v>
      </c>
      <c r="B39" s="375" t="s">
        <v>213</v>
      </c>
      <c r="C39" s="1221" t="s">
        <v>521</v>
      </c>
      <c r="D39" s="1236">
        <v>4</v>
      </c>
      <c r="E39" s="1223">
        <f t="shared" si="11"/>
        <v>119</v>
      </c>
      <c r="F39" s="1226">
        <v>1</v>
      </c>
      <c r="G39" s="1225">
        <f t="shared" si="12"/>
        <v>8.4033613445378148E-3</v>
      </c>
      <c r="H39" s="1226">
        <v>33</v>
      </c>
      <c r="I39" s="1225">
        <f t="shared" si="7"/>
        <v>0.27731092436974791</v>
      </c>
      <c r="J39" s="1226">
        <v>71</v>
      </c>
      <c r="K39" s="1225">
        <f t="shared" si="8"/>
        <v>0.59663865546218486</v>
      </c>
      <c r="L39" s="1226">
        <v>2</v>
      </c>
      <c r="M39" s="1225">
        <f t="shared" si="9"/>
        <v>1.680672268907563E-2</v>
      </c>
      <c r="N39" s="1248">
        <v>1</v>
      </c>
      <c r="O39" s="1225">
        <f t="shared" si="13"/>
        <v>8.4033613445378148E-3</v>
      </c>
      <c r="P39" s="54">
        <v>11</v>
      </c>
      <c r="Q39" s="55">
        <f t="shared" si="10"/>
        <v>9.2436974789915971E-2</v>
      </c>
      <c r="R39" s="289"/>
      <c r="S39" s="315">
        <f t="shared" si="14"/>
        <v>7568.7053693889393</v>
      </c>
      <c r="T39" s="289"/>
      <c r="U39" s="315">
        <f t="shared" si="15"/>
        <v>234.63682980770318</v>
      </c>
      <c r="V39" s="804">
        <f>'Band Calculations'!Z14</f>
        <v>130</v>
      </c>
      <c r="W39" s="315">
        <f t="shared" si="16"/>
        <v>30502.787875001413</v>
      </c>
    </row>
    <row r="40" spans="1:23" x14ac:dyDescent="0.25">
      <c r="A40" s="244">
        <v>9257009</v>
      </c>
      <c r="B40" s="375" t="s">
        <v>214</v>
      </c>
      <c r="C40" s="1221" t="s">
        <v>520</v>
      </c>
      <c r="D40" s="1236">
        <v>4</v>
      </c>
      <c r="E40" s="1223">
        <f t="shared" si="11"/>
        <v>130</v>
      </c>
      <c r="F40" s="1226">
        <v>0</v>
      </c>
      <c r="G40" s="1225">
        <f t="shared" si="12"/>
        <v>0</v>
      </c>
      <c r="H40" s="1226">
        <v>19</v>
      </c>
      <c r="I40" s="1225">
        <f t="shared" si="7"/>
        <v>0.14615384615384616</v>
      </c>
      <c r="J40" s="1226">
        <v>91</v>
      </c>
      <c r="K40" s="1225">
        <f t="shared" si="8"/>
        <v>0.7</v>
      </c>
      <c r="L40" s="1226">
        <v>2</v>
      </c>
      <c r="M40" s="1225">
        <f t="shared" si="9"/>
        <v>1.5384615384615385E-2</v>
      </c>
      <c r="N40" s="1248">
        <v>0</v>
      </c>
      <c r="O40" s="1225">
        <f t="shared" si="13"/>
        <v>0</v>
      </c>
      <c r="P40" s="54">
        <v>18</v>
      </c>
      <c r="Q40" s="55">
        <f t="shared" si="10"/>
        <v>0.13846153846153847</v>
      </c>
      <c r="R40" s="289"/>
      <c r="S40" s="315">
        <f t="shared" si="14"/>
        <v>7608.483850854901</v>
      </c>
      <c r="T40" s="289"/>
      <c r="U40" s="315">
        <f t="shared" si="15"/>
        <v>-11.67433415596588</v>
      </c>
      <c r="V40" s="804">
        <f>'Band Calculations'!Z15</f>
        <v>131</v>
      </c>
      <c r="W40" s="315">
        <f t="shared" si="16"/>
        <v>-1529.3377744315303</v>
      </c>
    </row>
    <row r="41" spans="1:23" ht="12" customHeight="1" x14ac:dyDescent="0.25">
      <c r="A41" s="244">
        <v>9257029</v>
      </c>
      <c r="B41" s="375" t="s">
        <v>259</v>
      </c>
      <c r="C41" s="1221" t="s">
        <v>523</v>
      </c>
      <c r="D41" s="1236">
        <v>4</v>
      </c>
      <c r="E41" s="1223">
        <f t="shared" si="11"/>
        <v>57</v>
      </c>
      <c r="F41" s="1226">
        <v>0</v>
      </c>
      <c r="G41" s="1225">
        <f t="shared" si="12"/>
        <v>0</v>
      </c>
      <c r="H41" s="1226">
        <v>0</v>
      </c>
      <c r="I41" s="1225">
        <f t="shared" si="7"/>
        <v>0</v>
      </c>
      <c r="J41" s="1226">
        <v>0</v>
      </c>
      <c r="K41" s="1225">
        <f t="shared" si="8"/>
        <v>0</v>
      </c>
      <c r="L41" s="1226">
        <v>0</v>
      </c>
      <c r="M41" s="1225">
        <f t="shared" si="9"/>
        <v>0</v>
      </c>
      <c r="N41" s="1248">
        <v>0</v>
      </c>
      <c r="O41" s="1225">
        <f t="shared" si="13"/>
        <v>0</v>
      </c>
      <c r="P41" s="54">
        <v>57</v>
      </c>
      <c r="Q41" s="55">
        <f t="shared" si="10"/>
        <v>1</v>
      </c>
      <c r="R41" s="289"/>
      <c r="S41" s="315">
        <f t="shared" si="14"/>
        <v>14327.068527263833</v>
      </c>
      <c r="T41" s="289"/>
      <c r="U41" s="315">
        <f t="shared" si="15"/>
        <v>0</v>
      </c>
      <c r="V41" s="804">
        <f>'Band Calculations'!Z16</f>
        <v>62.000000000000007</v>
      </c>
      <c r="W41" s="315">
        <f t="shared" si="16"/>
        <v>0</v>
      </c>
    </row>
    <row r="42" spans="1:23" ht="12" customHeight="1" x14ac:dyDescent="0.25">
      <c r="A42" s="244">
        <v>9257032</v>
      </c>
      <c r="B42" s="375" t="s">
        <v>261</v>
      </c>
      <c r="C42" s="1221" t="s">
        <v>523</v>
      </c>
      <c r="D42" s="1236">
        <v>4</v>
      </c>
      <c r="E42" s="1223">
        <f t="shared" si="11"/>
        <v>57</v>
      </c>
      <c r="F42" s="1226">
        <v>0</v>
      </c>
      <c r="G42" s="1225">
        <f t="shared" si="12"/>
        <v>0</v>
      </c>
      <c r="H42" s="1226">
        <v>0</v>
      </c>
      <c r="I42" s="1225">
        <f t="shared" si="7"/>
        <v>0</v>
      </c>
      <c r="J42" s="1226">
        <v>0</v>
      </c>
      <c r="K42" s="1225">
        <f t="shared" si="8"/>
        <v>0</v>
      </c>
      <c r="L42" s="1226">
        <v>0</v>
      </c>
      <c r="M42" s="1225">
        <f t="shared" si="9"/>
        <v>0</v>
      </c>
      <c r="N42" s="1248">
        <v>0</v>
      </c>
      <c r="O42" s="1225">
        <f t="shared" si="13"/>
        <v>0</v>
      </c>
      <c r="P42" s="54">
        <v>57</v>
      </c>
      <c r="Q42" s="55">
        <f t="shared" si="10"/>
        <v>1</v>
      </c>
      <c r="R42" s="289"/>
      <c r="S42" s="315">
        <f t="shared" si="14"/>
        <v>14327.068527263833</v>
      </c>
      <c r="T42" s="289"/>
      <c r="U42" s="315">
        <f t="shared" si="15"/>
        <v>0</v>
      </c>
      <c r="V42" s="804">
        <f>'Band Calculations'!Z17</f>
        <v>59.000000000000007</v>
      </c>
      <c r="W42" s="315">
        <f t="shared" si="16"/>
        <v>0</v>
      </c>
    </row>
    <row r="43" spans="1:23" ht="12" customHeight="1" x14ac:dyDescent="0.25">
      <c r="A43" s="244">
        <v>9257030</v>
      </c>
      <c r="B43" s="375" t="s">
        <v>262</v>
      </c>
      <c r="C43" s="1221" t="s">
        <v>523</v>
      </c>
      <c r="D43" s="1236">
        <v>4</v>
      </c>
      <c r="E43" s="1223">
        <f t="shared" si="11"/>
        <v>49</v>
      </c>
      <c r="F43" s="1224">
        <v>0</v>
      </c>
      <c r="G43" s="1225">
        <f t="shared" si="12"/>
        <v>0</v>
      </c>
      <c r="H43" s="1226">
        <v>0</v>
      </c>
      <c r="I43" s="1225">
        <f t="shared" si="7"/>
        <v>0</v>
      </c>
      <c r="J43" s="1226">
        <v>0</v>
      </c>
      <c r="K43" s="1225">
        <f t="shared" si="8"/>
        <v>0</v>
      </c>
      <c r="L43" s="1226">
        <v>0</v>
      </c>
      <c r="M43" s="1225">
        <f t="shared" si="9"/>
        <v>0</v>
      </c>
      <c r="N43" s="1248">
        <v>0</v>
      </c>
      <c r="O43" s="1225">
        <f t="shared" si="13"/>
        <v>0</v>
      </c>
      <c r="P43" s="54">
        <v>49</v>
      </c>
      <c r="Q43" s="55">
        <f t="shared" si="10"/>
        <v>1</v>
      </c>
      <c r="R43" s="289"/>
      <c r="S43" s="315">
        <f t="shared" si="14"/>
        <v>14327.068527263833</v>
      </c>
      <c r="T43" s="289"/>
      <c r="U43" s="315">
        <f t="shared" si="15"/>
        <v>0</v>
      </c>
      <c r="V43" s="804">
        <f>'Band Calculations'!Z18</f>
        <v>55</v>
      </c>
      <c r="W43" s="315">
        <f t="shared" si="16"/>
        <v>0</v>
      </c>
    </row>
    <row r="44" spans="1:23" x14ac:dyDescent="0.25">
      <c r="A44" s="244">
        <v>9257028</v>
      </c>
      <c r="B44" s="375" t="s">
        <v>215</v>
      </c>
      <c r="C44" s="1221" t="s">
        <v>520</v>
      </c>
      <c r="D44" s="1236">
        <v>4</v>
      </c>
      <c r="E44" s="1223">
        <f t="shared" si="11"/>
        <v>71</v>
      </c>
      <c r="F44" s="1226">
        <v>15</v>
      </c>
      <c r="G44" s="1225">
        <f t="shared" si="12"/>
        <v>0.21126760563380281</v>
      </c>
      <c r="H44" s="1224">
        <v>24</v>
      </c>
      <c r="I44" s="1225">
        <f t="shared" si="7"/>
        <v>0.3380281690140845</v>
      </c>
      <c r="J44" s="1224">
        <v>0</v>
      </c>
      <c r="K44" s="1225">
        <f t="shared" si="8"/>
        <v>0</v>
      </c>
      <c r="L44" s="1224">
        <v>0</v>
      </c>
      <c r="M44" s="1225">
        <f t="shared" si="9"/>
        <v>0</v>
      </c>
      <c r="N44" s="1248">
        <v>15</v>
      </c>
      <c r="O44" s="1225">
        <f t="shared" si="13"/>
        <v>0.21126760563380281</v>
      </c>
      <c r="P44" s="54">
        <v>17</v>
      </c>
      <c r="Q44" s="55">
        <f t="shared" si="10"/>
        <v>0.23943661971830985</v>
      </c>
      <c r="R44" s="289"/>
      <c r="S44" s="315">
        <f t="shared" si="14"/>
        <v>13063.223679728097</v>
      </c>
      <c r="T44" s="289"/>
      <c r="U44" s="315">
        <f t="shared" si="15"/>
        <v>2482.4715766242662</v>
      </c>
      <c r="V44" s="804">
        <f>'Band Calculations'!Z19</f>
        <v>73</v>
      </c>
      <c r="W44" s="315">
        <f t="shared" si="16"/>
        <v>181220.42509357142</v>
      </c>
    </row>
    <row r="45" spans="1:23" x14ac:dyDescent="0.25">
      <c r="A45" s="244">
        <v>9257021</v>
      </c>
      <c r="B45" s="375" t="s">
        <v>216</v>
      </c>
      <c r="C45" s="1221" t="s">
        <v>522</v>
      </c>
      <c r="D45" s="1236">
        <v>5</v>
      </c>
      <c r="E45" s="1223">
        <f t="shared" si="11"/>
        <v>142</v>
      </c>
      <c r="F45" s="1226">
        <v>0</v>
      </c>
      <c r="G45" s="1225">
        <f t="shared" si="12"/>
        <v>0</v>
      </c>
      <c r="H45" s="1226">
        <v>14</v>
      </c>
      <c r="I45" s="1225">
        <f t="shared" si="7"/>
        <v>9.8591549295774641E-2</v>
      </c>
      <c r="J45" s="1226">
        <v>102</v>
      </c>
      <c r="K45" s="1225">
        <f t="shared" si="8"/>
        <v>0.71830985915492962</v>
      </c>
      <c r="L45" s="1226">
        <v>4</v>
      </c>
      <c r="M45" s="1225">
        <f t="shared" si="9"/>
        <v>2.8169014084507043E-2</v>
      </c>
      <c r="N45" s="1248">
        <v>2</v>
      </c>
      <c r="O45" s="1225">
        <f t="shared" si="13"/>
        <v>1.4084507042253521E-2</v>
      </c>
      <c r="P45" s="54">
        <v>20</v>
      </c>
      <c r="Q45" s="55">
        <f t="shared" si="10"/>
        <v>0.14084507042253522</v>
      </c>
      <c r="R45" s="289"/>
      <c r="S45" s="315">
        <f t="shared" si="14"/>
        <v>7868.7136523176978</v>
      </c>
      <c r="T45" s="289"/>
      <c r="U45" s="315">
        <f t="shared" si="15"/>
        <v>419.96796926808202</v>
      </c>
      <c r="V45" s="804">
        <f>'Band Calculations'!Z20</f>
        <v>142</v>
      </c>
      <c r="W45" s="315">
        <f t="shared" si="16"/>
        <v>59635.45163606765</v>
      </c>
    </row>
    <row r="46" spans="1:23" x14ac:dyDescent="0.25">
      <c r="A46" s="244">
        <v>9257015</v>
      </c>
      <c r="B46" s="375" t="s">
        <v>217</v>
      </c>
      <c r="C46" s="1221" t="s">
        <v>522</v>
      </c>
      <c r="D46" s="1236">
        <v>5</v>
      </c>
      <c r="E46" s="1223">
        <f t="shared" si="11"/>
        <v>248</v>
      </c>
      <c r="F46" s="1226">
        <v>10</v>
      </c>
      <c r="G46" s="1225">
        <f t="shared" si="12"/>
        <v>4.0322580645161289E-2</v>
      </c>
      <c r="H46" s="1226">
        <v>55</v>
      </c>
      <c r="I46" s="1225">
        <f t="shared" si="7"/>
        <v>0.22177419354838709</v>
      </c>
      <c r="J46" s="1226">
        <v>162</v>
      </c>
      <c r="K46" s="1225">
        <f t="shared" si="8"/>
        <v>0.65322580645161288</v>
      </c>
      <c r="L46" s="1226">
        <v>0</v>
      </c>
      <c r="M46" s="1225">
        <f t="shared" si="9"/>
        <v>0</v>
      </c>
      <c r="N46" s="1248">
        <v>5</v>
      </c>
      <c r="O46" s="1225">
        <f t="shared" si="13"/>
        <v>2.0161290322580645E-2</v>
      </c>
      <c r="P46" s="54">
        <v>16</v>
      </c>
      <c r="Q46" s="55">
        <f t="shared" si="10"/>
        <v>6.4516129032258063E-2</v>
      </c>
      <c r="R46" s="289"/>
      <c r="S46" s="315">
        <f t="shared" si="14"/>
        <v>7550.8446683273978</v>
      </c>
      <c r="T46" s="289"/>
      <c r="U46" s="315">
        <f t="shared" si="15"/>
        <v>153.29777508785264</v>
      </c>
      <c r="V46" s="804">
        <f>'Band Calculations'!Z21</f>
        <v>230.83333333333337</v>
      </c>
      <c r="W46" s="315">
        <f t="shared" si="16"/>
        <v>35386.236416112661</v>
      </c>
    </row>
    <row r="47" spans="1:23" x14ac:dyDescent="0.25">
      <c r="A47" s="244">
        <v>9257016</v>
      </c>
      <c r="B47" s="375" t="s">
        <v>219</v>
      </c>
      <c r="C47" s="1221" t="s">
        <v>521</v>
      </c>
      <c r="D47" s="1236">
        <v>6</v>
      </c>
      <c r="E47" s="1223">
        <f t="shared" si="11"/>
        <v>135</v>
      </c>
      <c r="F47" s="1226">
        <v>58</v>
      </c>
      <c r="G47" s="1225">
        <f t="shared" si="12"/>
        <v>0.42962962962962964</v>
      </c>
      <c r="H47" s="1226">
        <v>0</v>
      </c>
      <c r="I47" s="1225">
        <f t="shared" si="7"/>
        <v>0</v>
      </c>
      <c r="J47" s="1226">
        <v>39</v>
      </c>
      <c r="K47" s="1225">
        <f t="shared" si="8"/>
        <v>0.28888888888888886</v>
      </c>
      <c r="L47" s="1226">
        <v>0</v>
      </c>
      <c r="M47" s="1225">
        <f t="shared" si="9"/>
        <v>0</v>
      </c>
      <c r="N47" s="1248">
        <v>38</v>
      </c>
      <c r="O47" s="1225">
        <f t="shared" si="13"/>
        <v>0.2814814814814815</v>
      </c>
      <c r="P47" s="54">
        <v>0</v>
      </c>
      <c r="Q47" s="55">
        <f t="shared" si="10"/>
        <v>0</v>
      </c>
      <c r="R47" s="289"/>
      <c r="S47" s="315">
        <f t="shared" si="14"/>
        <v>13059.825572091222</v>
      </c>
      <c r="T47" s="289"/>
      <c r="U47" s="315">
        <f>S47-Q23</f>
        <v>1820.8089617366259</v>
      </c>
      <c r="V47" s="804">
        <f>'Band Calculations'!Z23</f>
        <v>129</v>
      </c>
      <c r="W47" s="315">
        <f t="shared" si="16"/>
        <v>234884.35606402473</v>
      </c>
    </row>
    <row r="48" spans="1:23" ht="13" x14ac:dyDescent="0.3">
      <c r="A48" s="289"/>
      <c r="B48" s="1230" t="s">
        <v>357</v>
      </c>
      <c r="C48" s="1230"/>
      <c r="D48" s="1230"/>
      <c r="E48" s="56">
        <f>SUM(E30:E47)</f>
        <v>1607</v>
      </c>
      <c r="F48" s="57">
        <f>SUM(F30:F47)</f>
        <v>154</v>
      </c>
      <c r="G48" s="1237"/>
      <c r="H48" s="57">
        <f>SUM(H30:H47)</f>
        <v>300</v>
      </c>
      <c r="I48" s="1238"/>
      <c r="J48" s="57">
        <f>SUM(J30:J47)</f>
        <v>620</v>
      </c>
      <c r="K48" s="1238"/>
      <c r="L48" s="57">
        <f>SUM(L30:L47)</f>
        <v>19</v>
      </c>
      <c r="M48" s="1238"/>
      <c r="N48" s="353">
        <f>SUM(N30:N47)</f>
        <v>100</v>
      </c>
      <c r="O48" s="1238"/>
      <c r="P48" s="58">
        <f>SUM(P30:P47)</f>
        <v>414</v>
      </c>
      <c r="Q48" s="59"/>
      <c r="R48" s="289"/>
      <c r="S48" s="289"/>
      <c r="T48" s="289"/>
      <c r="U48" s="289"/>
      <c r="V48" s="569"/>
      <c r="W48" s="289"/>
    </row>
    <row r="49" spans="2:23" ht="13" thickBot="1" x14ac:dyDescent="0.3">
      <c r="B49" s="1230" t="s">
        <v>525</v>
      </c>
      <c r="C49" s="1230"/>
      <c r="D49" s="1230"/>
      <c r="E49" s="1232"/>
      <c r="F49" s="1233">
        <f>F48/E48</f>
        <v>9.5830740510267576E-2</v>
      </c>
      <c r="G49" s="1225"/>
      <c r="H49" s="1233">
        <f>H48/E48</f>
        <v>0.18668326073428748</v>
      </c>
      <c r="I49" s="1225"/>
      <c r="J49" s="1233">
        <f>J48/E48</f>
        <v>0.38581207218419417</v>
      </c>
      <c r="K49" s="1225"/>
      <c r="L49" s="1233">
        <f>L48/E48</f>
        <v>1.1823273179838207E-2</v>
      </c>
      <c r="M49" s="1225"/>
      <c r="N49" s="1233">
        <f>N48/E48</f>
        <v>6.2227753578095832E-2</v>
      </c>
      <c r="O49" s="1225"/>
      <c r="P49" s="60">
        <f>P48/E48</f>
        <v>0.25762289981331676</v>
      </c>
      <c r="Q49" s="59"/>
      <c r="R49" s="289"/>
      <c r="S49" s="289"/>
      <c r="T49" s="289"/>
      <c r="U49" s="289"/>
      <c r="V49" s="289"/>
      <c r="W49" s="1239">
        <f>SUM(W30:W47)</f>
        <v>1060541.8935978892</v>
      </c>
    </row>
    <row r="51" spans="2:23" hidden="1" x14ac:dyDescent="0.25">
      <c r="B51" s="289"/>
      <c r="C51" s="289"/>
      <c r="D51" s="289"/>
      <c r="E51" s="316"/>
      <c r="F51" s="316"/>
      <c r="G51" s="316"/>
      <c r="H51" s="316"/>
      <c r="I51" s="316"/>
      <c r="J51" s="316"/>
      <c r="K51" s="316"/>
      <c r="L51" s="316"/>
      <c r="M51" s="316"/>
      <c r="N51" s="316"/>
      <c r="O51" s="316"/>
      <c r="P51" s="289"/>
      <c r="Q51" s="289"/>
      <c r="R51" s="289"/>
      <c r="S51" s="289"/>
      <c r="T51" s="289"/>
      <c r="U51" s="289"/>
      <c r="V51" s="289"/>
      <c r="W51" s="289"/>
    </row>
    <row r="52" spans="2:23" hidden="1" x14ac:dyDescent="0.25">
      <c r="B52" s="1504" t="s">
        <v>539</v>
      </c>
      <c r="C52" s="1504"/>
      <c r="D52" s="1504"/>
      <c r="E52" s="1504"/>
      <c r="F52" s="379">
        <f>F49-F25</f>
        <v>-1.2950386619483403E-2</v>
      </c>
      <c r="G52" s="379"/>
      <c r="H52" s="379">
        <f>H49-H25</f>
        <v>-5.9772897244281253E-3</v>
      </c>
      <c r="I52" s="379"/>
      <c r="J52" s="379">
        <f>J49-J25</f>
        <v>1.2941823167156141E-2</v>
      </c>
      <c r="K52" s="379"/>
      <c r="L52" s="379">
        <f>L49-L25</f>
        <v>-3.8635442416492069E-2</v>
      </c>
      <c r="M52" s="379"/>
      <c r="N52" s="379">
        <f>N49</f>
        <v>6.2227753578095832E-2</v>
      </c>
      <c r="O52" s="316"/>
      <c r="P52" s="379">
        <f>P49-N25</f>
        <v>-1.7606457984848389E-2</v>
      </c>
      <c r="Q52" s="289"/>
      <c r="R52" s="289"/>
      <c r="S52" s="289"/>
      <c r="T52" s="289"/>
      <c r="U52" s="289"/>
      <c r="V52" s="289"/>
      <c r="W52" s="289"/>
    </row>
    <row r="53" spans="2:23" hidden="1" x14ac:dyDescent="0.25">
      <c r="B53" s="289"/>
      <c r="C53" s="289"/>
      <c r="D53" s="289"/>
      <c r="E53" s="316"/>
      <c r="F53" s="316"/>
      <c r="G53" s="316"/>
      <c r="H53" s="316"/>
      <c r="I53" s="316"/>
      <c r="J53" s="316"/>
      <c r="K53" s="316"/>
      <c r="L53" s="316"/>
      <c r="M53" s="316"/>
      <c r="N53" s="316"/>
      <c r="O53" s="316"/>
      <c r="P53" s="316"/>
      <c r="Q53" s="289"/>
      <c r="R53" s="289"/>
      <c r="S53" s="289"/>
      <c r="T53" s="289"/>
      <c r="U53" s="289"/>
      <c r="V53" s="289"/>
      <c r="W53" s="289"/>
    </row>
    <row r="54" spans="2:23" hidden="1" x14ac:dyDescent="0.25">
      <c r="B54" s="289"/>
      <c r="C54" s="289"/>
      <c r="D54" s="289"/>
      <c r="E54" s="316"/>
      <c r="F54" s="92">
        <v>11692.020638096787</v>
      </c>
      <c r="G54" s="316"/>
      <c r="H54" s="92">
        <v>7350.1419469065795</v>
      </c>
      <c r="I54" s="316"/>
      <c r="J54" s="92">
        <v>6243.7244928897762</v>
      </c>
      <c r="K54" s="316"/>
      <c r="L54" s="92">
        <v>11692.020638096787</v>
      </c>
      <c r="M54" s="316"/>
      <c r="N54" s="235">
        <v>22143</v>
      </c>
      <c r="O54" s="316"/>
      <c r="P54" s="92">
        <v>11692.020638096787</v>
      </c>
      <c r="Q54" s="289"/>
      <c r="R54" s="289"/>
      <c r="S54" s="289"/>
      <c r="T54" s="289"/>
      <c r="U54" s="289"/>
      <c r="V54" s="289"/>
      <c r="W54" s="289"/>
    </row>
    <row r="55" spans="2:23" hidden="1" x14ac:dyDescent="0.25">
      <c r="B55" s="289"/>
      <c r="C55" s="289"/>
      <c r="D55" s="289"/>
      <c r="E55" s="316"/>
      <c r="F55" s="316"/>
      <c r="G55" s="316"/>
      <c r="H55" s="316"/>
      <c r="I55" s="316"/>
      <c r="J55" s="316"/>
      <c r="K55" s="316"/>
      <c r="L55" s="316"/>
      <c r="M55" s="316"/>
      <c r="N55" s="316"/>
      <c r="O55" s="316"/>
      <c r="P55" s="316"/>
      <c r="Q55" s="289"/>
      <c r="R55" s="289"/>
      <c r="S55" s="289"/>
      <c r="T55" s="289"/>
      <c r="U55" s="289"/>
      <c r="V55" s="289"/>
      <c r="W55" s="289"/>
    </row>
    <row r="56" spans="2:23" hidden="1" x14ac:dyDescent="0.25">
      <c r="B56" s="289"/>
      <c r="C56" s="289"/>
      <c r="D56" s="289"/>
      <c r="E56" s="316"/>
      <c r="F56" s="316"/>
      <c r="G56" s="316"/>
      <c r="H56" s="316"/>
      <c r="I56" s="316"/>
      <c r="J56" s="316"/>
      <c r="K56" s="316"/>
      <c r="L56" s="316"/>
      <c r="M56" s="316"/>
      <c r="N56" s="316"/>
      <c r="O56" s="316"/>
      <c r="P56" s="235">
        <v>2635.0478891670464</v>
      </c>
      <c r="Q56" s="289"/>
      <c r="R56" s="289"/>
      <c r="S56" s="289"/>
      <c r="T56" s="289"/>
      <c r="U56" s="289"/>
      <c r="V56" s="289"/>
      <c r="W56" s="289"/>
    </row>
    <row r="57" spans="2:23" hidden="1" x14ac:dyDescent="0.25">
      <c r="B57" s="289"/>
      <c r="C57" s="289"/>
      <c r="D57" s="289"/>
      <c r="E57" s="316"/>
      <c r="F57" s="316"/>
      <c r="G57" s="316"/>
      <c r="H57" s="316"/>
      <c r="I57" s="316"/>
      <c r="J57" s="316"/>
      <c r="K57" s="316"/>
      <c r="L57" s="316"/>
      <c r="M57" s="316"/>
      <c r="N57" s="316"/>
      <c r="O57" s="316"/>
      <c r="P57" s="289"/>
      <c r="Q57" s="289"/>
      <c r="R57" s="289"/>
      <c r="S57" s="289"/>
      <c r="T57" s="289"/>
      <c r="U57" s="289"/>
      <c r="V57" s="289"/>
      <c r="W57" s="289"/>
    </row>
    <row r="58" spans="2:23" hidden="1" x14ac:dyDescent="0.25">
      <c r="B58" s="1"/>
      <c r="C58" s="289"/>
      <c r="D58" s="289"/>
      <c r="E58" s="316"/>
      <c r="F58" s="316" t="s">
        <v>39</v>
      </c>
      <c r="G58" s="316" t="s">
        <v>42</v>
      </c>
      <c r="H58" s="316" t="s">
        <v>45</v>
      </c>
      <c r="I58" s="316" t="s">
        <v>48</v>
      </c>
      <c r="J58" s="316" t="s">
        <v>51</v>
      </c>
      <c r="K58" s="316" t="s">
        <v>668</v>
      </c>
      <c r="L58" s="316"/>
      <c r="M58" s="316"/>
      <c r="N58" s="316"/>
      <c r="O58" s="316"/>
      <c r="P58" s="289"/>
      <c r="Q58" s="289"/>
      <c r="R58" s="289"/>
      <c r="S58" s="289"/>
      <c r="T58" s="289"/>
      <c r="U58" s="289"/>
      <c r="V58" s="289"/>
      <c r="W58" s="289"/>
    </row>
    <row r="59" spans="2:23" hidden="1" x14ac:dyDescent="0.25">
      <c r="B59" s="98"/>
      <c r="C59" s="289"/>
      <c r="D59" s="289"/>
      <c r="E59" s="316"/>
      <c r="F59" s="374">
        <f>'Band Calculations 1718'!D6</f>
        <v>0.40476190476190477</v>
      </c>
      <c r="G59" s="374">
        <f>'Band Calculations 1718'!E6</f>
        <v>0.2857142857142857</v>
      </c>
      <c r="H59" s="374">
        <f>'Band Calculations 1718'!F6</f>
        <v>0.11904761904761904</v>
      </c>
      <c r="I59" s="374">
        <f>'Band Calculations 1718'!G6</f>
        <v>0.11904761904761904</v>
      </c>
      <c r="J59" s="374">
        <f>'Band Calculations 1718'!H6</f>
        <v>7.1428571428571425E-2</v>
      </c>
      <c r="K59" s="374">
        <f>'Band Calculations 1718'!I6</f>
        <v>0</v>
      </c>
      <c r="L59" s="374"/>
      <c r="M59" s="316"/>
      <c r="N59" s="316"/>
      <c r="O59" s="316"/>
      <c r="P59" s="289"/>
      <c r="Q59" s="289"/>
      <c r="R59" s="289"/>
      <c r="S59" s="289"/>
      <c r="T59" s="289"/>
      <c r="U59" s="289"/>
      <c r="V59" s="289"/>
      <c r="W59" s="289"/>
    </row>
    <row r="60" spans="2:23" hidden="1" x14ac:dyDescent="0.25">
      <c r="B60" s="1249" t="s">
        <v>205</v>
      </c>
      <c r="C60" s="289"/>
      <c r="D60" s="289" t="s">
        <v>790</v>
      </c>
      <c r="E60" s="376">
        <f>'Band Calculations - Rebase'!V110</f>
        <v>50.333333333333343</v>
      </c>
      <c r="F60" s="377">
        <f t="shared" ref="F60:K60" si="17">$E$60*F59</f>
        <v>20.373015873015877</v>
      </c>
      <c r="G60" s="377">
        <f t="shared" si="17"/>
        <v>14.380952380952383</v>
      </c>
      <c r="H60" s="377">
        <f t="shared" si="17"/>
        <v>5.992063492063493</v>
      </c>
      <c r="I60" s="377">
        <f t="shared" si="17"/>
        <v>5.992063492063493</v>
      </c>
      <c r="J60" s="377">
        <f t="shared" si="17"/>
        <v>3.5952380952380958</v>
      </c>
      <c r="K60" s="377">
        <f t="shared" si="17"/>
        <v>0</v>
      </c>
      <c r="L60" s="376"/>
      <c r="M60" s="1250"/>
      <c r="N60" s="316"/>
      <c r="O60" s="316"/>
      <c r="P60" s="289"/>
      <c r="Q60" s="289"/>
      <c r="R60" s="289"/>
      <c r="S60" s="289"/>
      <c r="T60" s="289"/>
      <c r="U60" s="289"/>
      <c r="V60" s="289"/>
      <c r="W60" s="289"/>
    </row>
    <row r="61" spans="2:23" hidden="1" x14ac:dyDescent="0.25">
      <c r="B61" s="289"/>
      <c r="C61" s="289"/>
      <c r="D61" s="289" t="s">
        <v>791</v>
      </c>
      <c r="E61" s="376">
        <f>E60</f>
        <v>50.333333333333343</v>
      </c>
      <c r="F61" s="377">
        <f>F60-(K61-I60)</f>
        <v>18.365079365079371</v>
      </c>
      <c r="G61" s="377">
        <f>G60</f>
        <v>14.380952380952383</v>
      </c>
      <c r="H61" s="377">
        <f>H60</f>
        <v>5.992063492063493</v>
      </c>
      <c r="I61" s="316">
        <v>0</v>
      </c>
      <c r="J61" s="377">
        <f>J60</f>
        <v>3.5952380952380958</v>
      </c>
      <c r="K61" s="316">
        <v>8</v>
      </c>
      <c r="L61" s="376"/>
      <c r="M61" s="1250"/>
      <c r="N61" s="316"/>
      <c r="O61" s="316"/>
      <c r="P61" s="289"/>
      <c r="Q61" s="289"/>
      <c r="R61" s="289"/>
      <c r="S61" s="289"/>
      <c r="T61" s="289"/>
      <c r="U61" s="289"/>
      <c r="V61" s="289"/>
      <c r="W61" s="289"/>
    </row>
    <row r="62" spans="2:23" hidden="1" x14ac:dyDescent="0.25">
      <c r="B62" s="289"/>
      <c r="C62" s="289"/>
      <c r="D62" s="289"/>
      <c r="E62" s="316"/>
      <c r="F62" s="379">
        <f t="shared" ref="F62:K62" si="18">F61/$E$61</f>
        <v>0.36486912645853048</v>
      </c>
      <c r="G62" s="379">
        <f t="shared" si="18"/>
        <v>0.2857142857142857</v>
      </c>
      <c r="H62" s="379">
        <f t="shared" si="18"/>
        <v>0.11904761904761904</v>
      </c>
      <c r="I62" s="379">
        <f t="shared" si="18"/>
        <v>0</v>
      </c>
      <c r="J62" s="379">
        <f t="shared" si="18"/>
        <v>7.1428571428571425E-2</v>
      </c>
      <c r="K62" s="379">
        <f t="shared" si="18"/>
        <v>0.15894039735099336</v>
      </c>
      <c r="L62" s="316"/>
      <c r="M62" s="379">
        <f>SUM(F62:K62)</f>
        <v>1</v>
      </c>
      <c r="N62" s="316"/>
      <c r="O62" s="316"/>
      <c r="P62" s="289"/>
      <c r="Q62" s="289"/>
      <c r="R62" s="289"/>
      <c r="S62" s="289"/>
      <c r="T62" s="289"/>
      <c r="U62" s="289"/>
      <c r="V62" s="289"/>
      <c r="W62" s="289"/>
    </row>
    <row r="63" spans="2:23" hidden="1" x14ac:dyDescent="0.25">
      <c r="B63" s="289"/>
      <c r="C63" s="289"/>
      <c r="D63" s="289"/>
      <c r="E63" s="316"/>
      <c r="F63" s="316"/>
      <c r="G63" s="316"/>
      <c r="H63" s="316"/>
      <c r="I63" s="316"/>
      <c r="J63" s="316"/>
      <c r="K63" s="316"/>
      <c r="L63" s="316"/>
      <c r="M63" s="316"/>
      <c r="N63" s="316"/>
      <c r="O63" s="316"/>
      <c r="P63" s="289"/>
      <c r="Q63" s="289"/>
      <c r="R63" s="289"/>
      <c r="S63" s="289"/>
      <c r="T63" s="289"/>
      <c r="U63" s="289"/>
      <c r="V63" s="289"/>
      <c r="W63" s="289"/>
    </row>
    <row r="64" spans="2:23" hidden="1" x14ac:dyDescent="0.25">
      <c r="B64" s="289"/>
      <c r="C64" s="289"/>
      <c r="D64" s="289"/>
      <c r="E64" s="316"/>
      <c r="F64" s="374">
        <f>'Band Calculations 1718'!D7</f>
        <v>0.13157894736842105</v>
      </c>
      <c r="G64" s="374">
        <f>'Band Calculations 1718'!E7</f>
        <v>0.35526315789473684</v>
      </c>
      <c r="H64" s="374">
        <f>'Band Calculations 1718'!F7</f>
        <v>0.17105263157894737</v>
      </c>
      <c r="I64" s="374">
        <f>'Band Calculations 1718'!G7</f>
        <v>0.14473684210526316</v>
      </c>
      <c r="J64" s="374">
        <f>'Band Calculations 1718'!H7</f>
        <v>0.19736842105263158</v>
      </c>
      <c r="K64" s="374">
        <f>'Band Calculations 1718'!I7</f>
        <v>0</v>
      </c>
      <c r="L64" s="316"/>
      <c r="M64" s="316"/>
      <c r="N64" s="316"/>
      <c r="O64" s="316"/>
      <c r="P64" s="289"/>
      <c r="Q64" s="289"/>
      <c r="R64" s="289"/>
      <c r="S64" s="289"/>
      <c r="T64" s="289"/>
      <c r="U64" s="289"/>
      <c r="V64" s="289"/>
      <c r="W64" s="289"/>
    </row>
    <row r="65" spans="2:15" hidden="1" x14ac:dyDescent="0.25">
      <c r="B65" s="375" t="s">
        <v>208</v>
      </c>
      <c r="C65" s="289"/>
      <c r="D65" s="289" t="s">
        <v>790</v>
      </c>
      <c r="E65" s="376">
        <f>SUM('Band Calculations - Rebase'!V111)</f>
        <v>74.666666666666657</v>
      </c>
      <c r="F65" s="377">
        <f t="shared" ref="F65:K65" si="19">$E$65*F64</f>
        <v>9.8245614035087705</v>
      </c>
      <c r="G65" s="377">
        <f t="shared" si="19"/>
        <v>26.526315789473681</v>
      </c>
      <c r="H65" s="377">
        <f t="shared" si="19"/>
        <v>12.771929824561402</v>
      </c>
      <c r="I65" s="377">
        <f t="shared" si="19"/>
        <v>10.807017543859649</v>
      </c>
      <c r="J65" s="377">
        <f t="shared" si="19"/>
        <v>14.736842105263156</v>
      </c>
      <c r="K65" s="377">
        <f t="shared" si="19"/>
        <v>0</v>
      </c>
      <c r="L65" s="316"/>
      <c r="M65" s="316"/>
      <c r="N65" s="289"/>
      <c r="O65" s="289"/>
    </row>
    <row r="66" spans="2:15" hidden="1" x14ac:dyDescent="0.25">
      <c r="B66" s="289"/>
      <c r="C66" s="289"/>
      <c r="D66" s="289" t="s">
        <v>791</v>
      </c>
      <c r="E66" s="376">
        <f>E65</f>
        <v>74.666666666666657</v>
      </c>
      <c r="F66" s="377">
        <f>F65</f>
        <v>9.8245614035087705</v>
      </c>
      <c r="G66" s="377">
        <f>G65</f>
        <v>26.526315789473681</v>
      </c>
      <c r="H66" s="377">
        <f>H65</f>
        <v>12.771929824561402</v>
      </c>
      <c r="I66" s="377">
        <f>I65-K66</f>
        <v>3.807017543859649</v>
      </c>
      <c r="J66" s="377">
        <f>J65</f>
        <v>14.736842105263156</v>
      </c>
      <c r="K66" s="376">
        <f>N31</f>
        <v>7</v>
      </c>
      <c r="L66" s="316"/>
      <c r="M66" s="316"/>
      <c r="N66" s="289"/>
      <c r="O66" s="289"/>
    </row>
    <row r="67" spans="2:15" hidden="1" x14ac:dyDescent="0.25">
      <c r="B67" s="289"/>
      <c r="C67" s="289"/>
      <c r="D67" s="289"/>
      <c r="E67" s="376"/>
      <c r="F67" s="379">
        <f t="shared" ref="F67:K67" si="20">F66/$E$66</f>
        <v>0.13157894736842105</v>
      </c>
      <c r="G67" s="379">
        <f t="shared" si="20"/>
        <v>0.35526315789473684</v>
      </c>
      <c r="H67" s="379">
        <f t="shared" si="20"/>
        <v>0.17105263157894737</v>
      </c>
      <c r="I67" s="379">
        <f t="shared" si="20"/>
        <v>5.0986842105263164E-2</v>
      </c>
      <c r="J67" s="379">
        <f t="shared" si="20"/>
        <v>0.19736842105263158</v>
      </c>
      <c r="K67" s="379">
        <f t="shared" si="20"/>
        <v>9.3750000000000014E-2</v>
      </c>
      <c r="L67" s="316"/>
      <c r="M67" s="379">
        <f>SUM(F67:K67)</f>
        <v>1</v>
      </c>
      <c r="N67" s="289"/>
      <c r="O67" s="289"/>
    </row>
    <row r="68" spans="2:15" hidden="1" x14ac:dyDescent="0.25">
      <c r="B68" s="289"/>
      <c r="C68" s="289"/>
      <c r="D68" s="289"/>
      <c r="E68" s="316"/>
      <c r="F68" s="316"/>
      <c r="G68" s="316"/>
      <c r="H68" s="316"/>
      <c r="I68" s="316"/>
      <c r="J68" s="316"/>
      <c r="K68" s="316"/>
      <c r="L68" s="316"/>
      <c r="M68" s="316"/>
      <c r="N68" s="316"/>
      <c r="O68" s="316"/>
    </row>
    <row r="69" spans="2:15" hidden="1" x14ac:dyDescent="0.25">
      <c r="B69" s="289"/>
      <c r="C69" s="289"/>
      <c r="D69" s="289"/>
      <c r="E69" s="316"/>
      <c r="F69" s="374">
        <f>'Band Calculations 1718'!D8</f>
        <v>0.26415094339622641</v>
      </c>
      <c r="G69" s="374">
        <f>'Band Calculations 1718'!E8</f>
        <v>0.41509433962264153</v>
      </c>
      <c r="H69" s="374">
        <f>'Band Calculations 1718'!F8</f>
        <v>5.6603773584905662E-2</v>
      </c>
      <c r="I69" s="374">
        <f>'Band Calculations 1718'!G8</f>
        <v>5.6603773584905662E-2</v>
      </c>
      <c r="J69" s="374">
        <f>'Band Calculations 1718'!H8</f>
        <v>0.20754716981132076</v>
      </c>
      <c r="K69" s="374">
        <f>'Band Calculations 1718'!I8</f>
        <v>0</v>
      </c>
      <c r="L69" s="316"/>
      <c r="M69" s="316"/>
      <c r="N69" s="289"/>
      <c r="O69" s="289"/>
    </row>
    <row r="70" spans="2:15" hidden="1" x14ac:dyDescent="0.25">
      <c r="B70" s="375" t="s">
        <v>209</v>
      </c>
      <c r="C70" s="289"/>
      <c r="D70" s="289" t="s">
        <v>790</v>
      </c>
      <c r="E70" s="376">
        <f>SUM('Band Calculations - Rebase'!V112)</f>
        <v>62.833333333333336</v>
      </c>
      <c r="F70" s="377">
        <f t="shared" ref="F70:K70" si="21">$E$70*F69</f>
        <v>16.59748427672956</v>
      </c>
      <c r="G70" s="377">
        <f t="shared" si="21"/>
        <v>26.081761006289309</v>
      </c>
      <c r="H70" s="377">
        <f t="shared" si="21"/>
        <v>3.5566037735849059</v>
      </c>
      <c r="I70" s="377">
        <f t="shared" si="21"/>
        <v>3.5566037735849059</v>
      </c>
      <c r="J70" s="377">
        <f t="shared" si="21"/>
        <v>13.040880503144654</v>
      </c>
      <c r="K70" s="377">
        <f t="shared" si="21"/>
        <v>0</v>
      </c>
      <c r="L70" s="316"/>
      <c r="M70" s="316"/>
      <c r="N70" s="289"/>
      <c r="O70" s="289"/>
    </row>
    <row r="71" spans="2:15" hidden="1" x14ac:dyDescent="0.25">
      <c r="B71" s="289"/>
      <c r="C71" s="289"/>
      <c r="D71" s="289" t="s">
        <v>791</v>
      </c>
      <c r="E71" s="376">
        <f>E70</f>
        <v>62.833333333333336</v>
      </c>
      <c r="F71" s="377">
        <f>F70-(K71-I70)</f>
        <v>14.154088050314465</v>
      </c>
      <c r="G71" s="377">
        <f>G70</f>
        <v>26.081761006289309</v>
      </c>
      <c r="H71" s="377">
        <f>H70</f>
        <v>3.5566037735849059</v>
      </c>
      <c r="I71" s="377">
        <v>0</v>
      </c>
      <c r="J71" s="377">
        <f>J70</f>
        <v>13.040880503144654</v>
      </c>
      <c r="K71" s="377">
        <f>N32</f>
        <v>6</v>
      </c>
      <c r="L71" s="316"/>
      <c r="M71" s="316"/>
      <c r="N71" s="289"/>
      <c r="O71" s="289"/>
    </row>
    <row r="72" spans="2:15" hidden="1" x14ac:dyDescent="0.25">
      <c r="B72" s="289"/>
      <c r="C72" s="289"/>
      <c r="D72" s="289"/>
      <c r="E72" s="316"/>
      <c r="F72" s="379">
        <f t="shared" ref="F72:K72" si="22">F71/$E$71</f>
        <v>0.2252640008007607</v>
      </c>
      <c r="G72" s="379">
        <f t="shared" si="22"/>
        <v>0.41509433962264153</v>
      </c>
      <c r="H72" s="379">
        <f t="shared" si="22"/>
        <v>5.6603773584905662E-2</v>
      </c>
      <c r="I72" s="379">
        <f t="shared" si="22"/>
        <v>0</v>
      </c>
      <c r="J72" s="379">
        <f t="shared" si="22"/>
        <v>0.20754716981132076</v>
      </c>
      <c r="K72" s="379">
        <f t="shared" si="22"/>
        <v>9.5490716180371346E-2</v>
      </c>
      <c r="L72" s="316"/>
      <c r="M72" s="379">
        <f>SUM(F72:K72)</f>
        <v>1</v>
      </c>
      <c r="N72" s="289"/>
      <c r="O72" s="289"/>
    </row>
    <row r="73" spans="2:15" hidden="1" x14ac:dyDescent="0.25">
      <c r="B73" s="289"/>
      <c r="C73" s="289"/>
      <c r="D73" s="289"/>
      <c r="E73" s="316"/>
      <c r="F73" s="316"/>
      <c r="G73" s="316"/>
      <c r="H73" s="316"/>
      <c r="I73" s="316"/>
      <c r="J73" s="316"/>
      <c r="K73" s="316"/>
      <c r="L73" s="316"/>
      <c r="M73" s="316"/>
      <c r="N73" s="316"/>
      <c r="O73" s="316"/>
    </row>
    <row r="74" spans="2:15" hidden="1" x14ac:dyDescent="0.25">
      <c r="B74" s="289"/>
      <c r="C74" s="289"/>
      <c r="D74" s="289"/>
      <c r="E74" s="316"/>
      <c r="F74" s="374">
        <f>'Band Calculations 1718'!D9</f>
        <v>0.4</v>
      </c>
      <c r="G74" s="374">
        <f>'Band Calculations 1718'!E9</f>
        <v>0.42222222222222222</v>
      </c>
      <c r="H74" s="374">
        <f>'Band Calculations 1718'!F9</f>
        <v>0</v>
      </c>
      <c r="I74" s="374">
        <f>'Band Calculations 1718'!G9</f>
        <v>2.2222222222222223E-2</v>
      </c>
      <c r="J74" s="374">
        <f>'Band Calculations 1718'!H9</f>
        <v>0.15555555555555556</v>
      </c>
      <c r="K74" s="374">
        <f>'Band Calculations 1718'!I9</f>
        <v>0</v>
      </c>
      <c r="L74" s="316"/>
      <c r="M74" s="316"/>
      <c r="N74" s="289"/>
      <c r="O74" s="289"/>
    </row>
    <row r="75" spans="2:15" hidden="1" x14ac:dyDescent="0.25">
      <c r="B75" s="375" t="s">
        <v>210</v>
      </c>
      <c r="C75" s="289"/>
      <c r="D75" s="289" t="s">
        <v>790</v>
      </c>
      <c r="E75" s="376">
        <f>SUM('Band Calculations - Rebase'!V113)</f>
        <v>53.833333333333329</v>
      </c>
      <c r="F75" s="377">
        <f t="shared" ref="F75:K75" si="23">$E$75*F74</f>
        <v>21.533333333333331</v>
      </c>
      <c r="G75" s="377">
        <f t="shared" si="23"/>
        <v>22.729629629629628</v>
      </c>
      <c r="H75" s="377">
        <f t="shared" si="23"/>
        <v>0</v>
      </c>
      <c r="I75" s="377">
        <f t="shared" si="23"/>
        <v>1.1962962962962962</v>
      </c>
      <c r="J75" s="377">
        <f t="shared" si="23"/>
        <v>8.3740740740740733</v>
      </c>
      <c r="K75" s="377">
        <f t="shared" si="23"/>
        <v>0</v>
      </c>
      <c r="L75" s="316"/>
      <c r="M75" s="316"/>
      <c r="N75" s="289"/>
      <c r="O75" s="289"/>
    </row>
    <row r="76" spans="2:15" hidden="1" x14ac:dyDescent="0.25">
      <c r="B76" s="289"/>
      <c r="C76" s="289"/>
      <c r="D76" s="289" t="s">
        <v>791</v>
      </c>
      <c r="E76" s="376">
        <f>E75</f>
        <v>53.833333333333329</v>
      </c>
      <c r="F76" s="377">
        <f>F75-(K76-I75)</f>
        <v>16.729629629629628</v>
      </c>
      <c r="G76" s="377">
        <f>G75</f>
        <v>22.729629629629628</v>
      </c>
      <c r="H76" s="377">
        <f>H75</f>
        <v>0</v>
      </c>
      <c r="I76" s="377">
        <v>0</v>
      </c>
      <c r="J76" s="377">
        <f>J75</f>
        <v>8.3740740740740733</v>
      </c>
      <c r="K76" s="376">
        <f>N33</f>
        <v>6</v>
      </c>
      <c r="L76" s="316"/>
      <c r="M76" s="316"/>
      <c r="N76" s="289"/>
      <c r="O76" s="289"/>
    </row>
    <row r="77" spans="2:15" hidden="1" x14ac:dyDescent="0.25">
      <c r="B77" s="289"/>
      <c r="C77" s="289"/>
      <c r="D77" s="289"/>
      <c r="E77" s="316"/>
      <c r="F77" s="379">
        <f t="shared" ref="F77:K77" si="24">F76/$E$76</f>
        <v>0.31076711386308908</v>
      </c>
      <c r="G77" s="379">
        <f t="shared" si="24"/>
        <v>0.42222222222222222</v>
      </c>
      <c r="H77" s="379">
        <f t="shared" si="24"/>
        <v>0</v>
      </c>
      <c r="I77" s="379">
        <f t="shared" si="24"/>
        <v>0</v>
      </c>
      <c r="J77" s="379">
        <f t="shared" si="24"/>
        <v>0.15555555555555556</v>
      </c>
      <c r="K77" s="379">
        <f t="shared" si="24"/>
        <v>0.11145510835913314</v>
      </c>
      <c r="L77" s="316"/>
      <c r="M77" s="379">
        <f>SUM(F77:K77)</f>
        <v>1</v>
      </c>
      <c r="N77" s="289"/>
      <c r="O77" s="289"/>
    </row>
    <row r="78" spans="2:15" hidden="1" x14ac:dyDescent="0.25">
      <c r="B78" s="289"/>
      <c r="C78" s="289"/>
      <c r="D78" s="289"/>
      <c r="E78" s="316"/>
      <c r="F78" s="316"/>
      <c r="G78" s="316"/>
      <c r="H78" s="316"/>
      <c r="I78" s="316"/>
      <c r="J78" s="316"/>
      <c r="K78" s="316"/>
      <c r="L78" s="316"/>
      <c r="M78" s="316"/>
      <c r="N78" s="316"/>
      <c r="O78" s="316"/>
    </row>
    <row r="79" spans="2:15" hidden="1" x14ac:dyDescent="0.25">
      <c r="B79" s="289"/>
      <c r="C79" s="289"/>
      <c r="D79" s="289"/>
      <c r="E79" s="316"/>
      <c r="F79" s="374">
        <f>SUM('Band Calculations 1718'!D10)</f>
        <v>0.2</v>
      </c>
      <c r="G79" s="374">
        <f>SUM('Band Calculations 1718'!E10)</f>
        <v>0.5636363636363636</v>
      </c>
      <c r="H79" s="374">
        <f>SUM('Band Calculations 1718'!F10)</f>
        <v>1.8181818181818181E-2</v>
      </c>
      <c r="I79" s="374">
        <f>SUM('Band Calculations 1718'!G10)</f>
        <v>0.16363636363636364</v>
      </c>
      <c r="J79" s="374">
        <f>SUM('Band Calculations 1718'!H10)</f>
        <v>5.4545454545454543E-2</v>
      </c>
      <c r="K79" s="374">
        <f>SUM('Band Calculations 1718'!I10)</f>
        <v>0</v>
      </c>
      <c r="L79" s="316"/>
      <c r="M79" s="316"/>
      <c r="N79" s="289"/>
      <c r="O79" s="289"/>
    </row>
    <row r="80" spans="2:15" hidden="1" x14ac:dyDescent="0.25">
      <c r="B80" s="375" t="s">
        <v>211</v>
      </c>
      <c r="C80" s="289"/>
      <c r="D80" s="289" t="s">
        <v>790</v>
      </c>
      <c r="E80" s="376">
        <f>SUM('Band Calculations - Rebase'!V114)</f>
        <v>64.25</v>
      </c>
      <c r="F80" s="377">
        <f t="shared" ref="F80:K80" si="25">$E$80*F79</f>
        <v>12.850000000000001</v>
      </c>
      <c r="G80" s="377">
        <f t="shared" si="25"/>
        <v>36.213636363636361</v>
      </c>
      <c r="H80" s="377">
        <f t="shared" si="25"/>
        <v>1.1681818181818182</v>
      </c>
      <c r="I80" s="377">
        <f t="shared" si="25"/>
        <v>10.513636363636364</v>
      </c>
      <c r="J80" s="377">
        <f t="shared" si="25"/>
        <v>3.5045454545454544</v>
      </c>
      <c r="K80" s="377">
        <f t="shared" si="25"/>
        <v>0</v>
      </c>
      <c r="L80" s="316"/>
      <c r="M80" s="316"/>
      <c r="N80" s="289"/>
      <c r="O80" s="289"/>
    </row>
    <row r="81" spans="2:15" hidden="1" x14ac:dyDescent="0.25">
      <c r="B81" s="289"/>
      <c r="C81" s="289"/>
      <c r="D81" s="289" t="s">
        <v>791</v>
      </c>
      <c r="E81" s="376">
        <f>E80</f>
        <v>64.25</v>
      </c>
      <c r="F81" s="377">
        <f>F80</f>
        <v>12.850000000000001</v>
      </c>
      <c r="G81" s="377">
        <f>G80</f>
        <v>36.213636363636361</v>
      </c>
      <c r="H81" s="377">
        <f>H80</f>
        <v>1.1681818181818182</v>
      </c>
      <c r="I81" s="377">
        <f>I80-K81</f>
        <v>1.5136363636363637</v>
      </c>
      <c r="J81" s="377">
        <f>J80</f>
        <v>3.5045454545454544</v>
      </c>
      <c r="K81" s="376">
        <f>N34</f>
        <v>9</v>
      </c>
      <c r="L81" s="316"/>
      <c r="M81" s="316"/>
      <c r="N81" s="289"/>
      <c r="O81" s="289"/>
    </row>
    <row r="82" spans="2:15" hidden="1" x14ac:dyDescent="0.25">
      <c r="B82" s="289"/>
      <c r="C82" s="289"/>
      <c r="D82" s="289"/>
      <c r="E82" s="316"/>
      <c r="F82" s="379">
        <f t="shared" ref="F82:K82" si="26">F81/$E$81</f>
        <v>0.2</v>
      </c>
      <c r="G82" s="379">
        <f t="shared" si="26"/>
        <v>0.5636363636363636</v>
      </c>
      <c r="H82" s="379">
        <f t="shared" si="26"/>
        <v>1.8181818181818181E-2</v>
      </c>
      <c r="I82" s="379">
        <f t="shared" si="26"/>
        <v>2.3558542624690485E-2</v>
      </c>
      <c r="J82" s="379">
        <f t="shared" si="26"/>
        <v>5.4545454545454543E-2</v>
      </c>
      <c r="K82" s="379">
        <f t="shared" si="26"/>
        <v>0.14007782101167315</v>
      </c>
      <c r="L82" s="316"/>
      <c r="M82" s="379">
        <f>SUM(F82:K82)</f>
        <v>1</v>
      </c>
      <c r="N82" s="289"/>
      <c r="O82" s="289"/>
    </row>
    <row r="83" spans="2:15" hidden="1" x14ac:dyDescent="0.25">
      <c r="B83" s="289"/>
      <c r="C83" s="289"/>
      <c r="D83" s="289"/>
      <c r="E83" s="316"/>
      <c r="F83" s="316"/>
      <c r="G83" s="316"/>
      <c r="H83" s="316"/>
      <c r="I83" s="316"/>
      <c r="J83" s="316"/>
      <c r="K83" s="316"/>
      <c r="L83" s="316"/>
      <c r="M83" s="316"/>
      <c r="N83" s="316"/>
      <c r="O83" s="316"/>
    </row>
    <row r="84" spans="2:15" hidden="1" x14ac:dyDescent="0.25">
      <c r="B84" s="289"/>
      <c r="C84" s="289"/>
      <c r="D84" s="289"/>
      <c r="E84" s="316"/>
      <c r="F84" s="374">
        <f>'Band Calculations 1718'!D15</f>
        <v>8.4033613445378148E-3</v>
      </c>
      <c r="G84" s="374">
        <f>'Band Calculations 1718'!E15</f>
        <v>0.27731092436974791</v>
      </c>
      <c r="H84" s="374">
        <f>'Band Calculations 1718'!F15</f>
        <v>0.59663865546218486</v>
      </c>
      <c r="I84" s="374">
        <f>'Band Calculations 1718'!G15</f>
        <v>2.5210084033613446E-2</v>
      </c>
      <c r="J84" s="374">
        <f>'Band Calculations 1718'!H15</f>
        <v>9.2436974789915971E-2</v>
      </c>
      <c r="K84" s="374">
        <f>'Band Calculations 1718'!I15</f>
        <v>0</v>
      </c>
      <c r="L84" s="316"/>
      <c r="M84" s="316"/>
      <c r="N84" s="289"/>
      <c r="O84" s="289"/>
    </row>
    <row r="85" spans="2:15" hidden="1" x14ac:dyDescent="0.25">
      <c r="B85" s="375" t="s">
        <v>213</v>
      </c>
      <c r="C85" s="289"/>
      <c r="D85" s="289" t="s">
        <v>790</v>
      </c>
      <c r="E85" s="376">
        <f>'Band Calculations - Rebase'!V119</f>
        <v>134.91666666666669</v>
      </c>
      <c r="F85" s="377">
        <f t="shared" ref="F85:K85" si="27">$E$85*F84</f>
        <v>1.1337535014005604</v>
      </c>
      <c r="G85" s="377">
        <f t="shared" si="27"/>
        <v>37.413865546218496</v>
      </c>
      <c r="H85" s="377">
        <f t="shared" si="27"/>
        <v>80.496498599439789</v>
      </c>
      <c r="I85" s="377">
        <f t="shared" si="27"/>
        <v>3.401260504201681</v>
      </c>
      <c r="J85" s="377">
        <f t="shared" si="27"/>
        <v>12.471288515406165</v>
      </c>
      <c r="K85" s="377">
        <f t="shared" si="27"/>
        <v>0</v>
      </c>
      <c r="L85" s="316"/>
      <c r="M85" s="316"/>
      <c r="N85" s="289"/>
      <c r="O85" s="289"/>
    </row>
    <row r="86" spans="2:15" hidden="1" x14ac:dyDescent="0.25">
      <c r="B86" s="289"/>
      <c r="C86" s="289"/>
      <c r="D86" s="289" t="s">
        <v>791</v>
      </c>
      <c r="E86" s="376">
        <f>E85</f>
        <v>134.91666666666669</v>
      </c>
      <c r="F86" s="377">
        <f>F85</f>
        <v>1.1337535014005604</v>
      </c>
      <c r="G86" s="377">
        <f>G85</f>
        <v>37.413865546218496</v>
      </c>
      <c r="H86" s="377">
        <f>H85</f>
        <v>80.496498599439789</v>
      </c>
      <c r="I86" s="377">
        <f>I85-K86</f>
        <v>2.401260504201681</v>
      </c>
      <c r="J86" s="377">
        <f>J85</f>
        <v>12.471288515406165</v>
      </c>
      <c r="K86" s="376">
        <f>N39</f>
        <v>1</v>
      </c>
      <c r="L86" s="316"/>
      <c r="M86" s="316"/>
      <c r="N86" s="289"/>
      <c r="O86" s="289"/>
    </row>
    <row r="87" spans="2:15" hidden="1" x14ac:dyDescent="0.25">
      <c r="B87" s="289"/>
      <c r="C87" s="289"/>
      <c r="D87" s="289"/>
      <c r="E87" s="316"/>
      <c r="F87" s="379">
        <f t="shared" ref="F87:K87" si="28">F86/$E$86</f>
        <v>8.4033613445378148E-3</v>
      </c>
      <c r="G87" s="379">
        <f t="shared" si="28"/>
        <v>0.27731092436974791</v>
      </c>
      <c r="H87" s="379">
        <f t="shared" si="28"/>
        <v>0.59663865546218486</v>
      </c>
      <c r="I87" s="379">
        <f t="shared" si="28"/>
        <v>1.7798101328239758E-2</v>
      </c>
      <c r="J87" s="379">
        <f t="shared" si="28"/>
        <v>9.2436974789915971E-2</v>
      </c>
      <c r="K87" s="379">
        <f t="shared" si="28"/>
        <v>7.4119827053736867E-3</v>
      </c>
      <c r="L87" s="316"/>
      <c r="M87" s="379">
        <f>SUM(F87:K87)</f>
        <v>1</v>
      </c>
      <c r="N87" s="289"/>
      <c r="O87" s="289"/>
    </row>
    <row r="88" spans="2:15" hidden="1" x14ac:dyDescent="0.25">
      <c r="B88" s="289"/>
      <c r="C88" s="289"/>
      <c r="D88" s="289"/>
      <c r="E88" s="316"/>
      <c r="F88" s="316"/>
      <c r="G88" s="316"/>
      <c r="H88" s="316"/>
      <c r="I88" s="316"/>
      <c r="J88" s="316"/>
      <c r="K88" s="316"/>
      <c r="L88" s="316"/>
      <c r="M88" s="316"/>
      <c r="N88" s="316"/>
      <c r="O88" s="316"/>
    </row>
    <row r="89" spans="2:15" hidden="1" x14ac:dyDescent="0.25">
      <c r="B89" s="289"/>
      <c r="C89" s="289"/>
      <c r="D89" s="289"/>
      <c r="E89" s="316"/>
      <c r="F89" s="374">
        <f>'Band Calculations 1718'!D20</f>
        <v>0.23943661971830985</v>
      </c>
      <c r="G89" s="374">
        <f>'Band Calculations 1718'!E20</f>
        <v>0.3380281690140845</v>
      </c>
      <c r="H89" s="374">
        <f>'Band Calculations 1718'!F20</f>
        <v>0</v>
      </c>
      <c r="I89" s="374">
        <f>'Band Calculations 1718'!G20</f>
        <v>0.18309859154929578</v>
      </c>
      <c r="J89" s="374">
        <f>'Band Calculations 1718'!H20</f>
        <v>0.23943661971830985</v>
      </c>
      <c r="K89" s="374">
        <f>'Band Calculations 1718'!I20</f>
        <v>0</v>
      </c>
      <c r="L89" s="316"/>
      <c r="M89" s="316"/>
      <c r="N89" s="289"/>
      <c r="O89" s="289"/>
    </row>
    <row r="90" spans="2:15" hidden="1" x14ac:dyDescent="0.25">
      <c r="B90" s="375" t="s">
        <v>215</v>
      </c>
      <c r="C90" s="289"/>
      <c r="D90" s="289" t="s">
        <v>790</v>
      </c>
      <c r="E90" s="376">
        <f>'Band Calculations - Rebase'!V124</f>
        <v>75</v>
      </c>
      <c r="F90" s="377">
        <f t="shared" ref="F90:K90" si="29">$E$90*F89</f>
        <v>17.95774647887324</v>
      </c>
      <c r="G90" s="377">
        <f t="shared" si="29"/>
        <v>25.352112676056336</v>
      </c>
      <c r="H90" s="377">
        <f t="shared" si="29"/>
        <v>0</v>
      </c>
      <c r="I90" s="377">
        <f t="shared" si="29"/>
        <v>13.732394366197184</v>
      </c>
      <c r="J90" s="377">
        <f t="shared" si="29"/>
        <v>17.95774647887324</v>
      </c>
      <c r="K90" s="377">
        <f t="shared" si="29"/>
        <v>0</v>
      </c>
      <c r="L90" s="316"/>
      <c r="M90" s="316"/>
      <c r="N90" s="289"/>
      <c r="O90" s="289"/>
    </row>
    <row r="91" spans="2:15" hidden="1" x14ac:dyDescent="0.25">
      <c r="B91" s="289"/>
      <c r="C91" s="289"/>
      <c r="D91" s="289" t="s">
        <v>791</v>
      </c>
      <c r="E91" s="376">
        <f>E90</f>
        <v>75</v>
      </c>
      <c r="F91" s="377">
        <f>F90-(K91-I90)</f>
        <v>16.690140845070424</v>
      </c>
      <c r="G91" s="377">
        <f>G90</f>
        <v>25.352112676056336</v>
      </c>
      <c r="H91" s="377">
        <f>H90</f>
        <v>0</v>
      </c>
      <c r="I91" s="377">
        <v>0</v>
      </c>
      <c r="J91" s="377">
        <f>J90</f>
        <v>17.95774647887324</v>
      </c>
      <c r="K91" s="376">
        <f>N44</f>
        <v>15</v>
      </c>
      <c r="L91" s="316"/>
      <c r="M91" s="316"/>
      <c r="N91" s="289"/>
      <c r="O91" s="289"/>
    </row>
    <row r="92" spans="2:15" hidden="1" x14ac:dyDescent="0.25">
      <c r="B92" s="289"/>
      <c r="C92" s="289"/>
      <c r="D92" s="289"/>
      <c r="E92" s="316"/>
      <c r="F92" s="379">
        <f t="shared" ref="F92:K92" si="30">F91/$E$91</f>
        <v>0.22253521126760564</v>
      </c>
      <c r="G92" s="379">
        <f t="shared" si="30"/>
        <v>0.3380281690140845</v>
      </c>
      <c r="H92" s="379">
        <f t="shared" si="30"/>
        <v>0</v>
      </c>
      <c r="I92" s="379">
        <f t="shared" si="30"/>
        <v>0</v>
      </c>
      <c r="J92" s="379">
        <f t="shared" si="30"/>
        <v>0.23943661971830987</v>
      </c>
      <c r="K92" s="379">
        <f t="shared" si="30"/>
        <v>0.2</v>
      </c>
      <c r="L92" s="316"/>
      <c r="M92" s="379">
        <f>SUM(F92:K92)</f>
        <v>1</v>
      </c>
      <c r="N92" s="289"/>
      <c r="O92" s="289"/>
    </row>
    <row r="93" spans="2:15" hidden="1" x14ac:dyDescent="0.25">
      <c r="B93" s="289"/>
      <c r="C93" s="289"/>
      <c r="D93" s="289"/>
      <c r="E93" s="316"/>
      <c r="F93" s="316"/>
      <c r="G93" s="316"/>
      <c r="H93" s="316"/>
      <c r="I93" s="316"/>
      <c r="J93" s="316"/>
      <c r="K93" s="316"/>
      <c r="L93" s="316"/>
      <c r="M93" s="316"/>
      <c r="N93" s="316"/>
      <c r="O93" s="316"/>
    </row>
    <row r="94" spans="2:15" hidden="1" x14ac:dyDescent="0.25">
      <c r="B94" s="289"/>
      <c r="C94" s="289"/>
      <c r="D94" s="289"/>
      <c r="E94" s="316"/>
      <c r="F94" s="374">
        <f>'Band Calculations 1718'!D21</f>
        <v>0</v>
      </c>
      <c r="G94" s="374">
        <f>'Band Calculations 1718'!E21</f>
        <v>9.8591549295774641E-2</v>
      </c>
      <c r="H94" s="374">
        <f>'Band Calculations 1718'!F21</f>
        <v>0.71830985915492962</v>
      </c>
      <c r="I94" s="374">
        <f>'Band Calculations 1718'!G21</f>
        <v>4.2253521126760563E-2</v>
      </c>
      <c r="J94" s="374">
        <f>'Band Calculations 1718'!H21</f>
        <v>0.14084507042253522</v>
      </c>
      <c r="K94" s="374">
        <f>'Band Calculations 1718'!I21</f>
        <v>0</v>
      </c>
      <c r="L94" s="316"/>
      <c r="M94" s="316"/>
      <c r="N94" s="289"/>
      <c r="O94" s="289"/>
    </row>
    <row r="95" spans="2:15" hidden="1" x14ac:dyDescent="0.25">
      <c r="B95" s="375" t="s">
        <v>216</v>
      </c>
      <c r="C95" s="289"/>
      <c r="D95" s="289" t="s">
        <v>790</v>
      </c>
      <c r="E95" s="376">
        <f>'Band Calculations - Rebase'!V125</f>
        <v>155.91666666666669</v>
      </c>
      <c r="F95" s="377">
        <f t="shared" ref="F95:K95" si="31">$E$95*F94</f>
        <v>0</v>
      </c>
      <c r="G95" s="377">
        <f t="shared" si="31"/>
        <v>15.372065727699532</v>
      </c>
      <c r="H95" s="377">
        <f t="shared" si="31"/>
        <v>111.99647887323945</v>
      </c>
      <c r="I95" s="377">
        <f t="shared" si="31"/>
        <v>6.5880281690140849</v>
      </c>
      <c r="J95" s="377">
        <f t="shared" si="31"/>
        <v>21.960093896713619</v>
      </c>
      <c r="K95" s="377">
        <f t="shared" si="31"/>
        <v>0</v>
      </c>
      <c r="L95" s="316"/>
      <c r="M95" s="316"/>
      <c r="N95" s="289"/>
      <c r="O95" s="289"/>
    </row>
    <row r="96" spans="2:15" hidden="1" x14ac:dyDescent="0.25">
      <c r="B96" s="378"/>
      <c r="C96" s="289"/>
      <c r="D96" s="289" t="s">
        <v>791</v>
      </c>
      <c r="E96" s="376">
        <f>E95</f>
        <v>155.91666666666669</v>
      </c>
      <c r="F96" s="377">
        <f>F95</f>
        <v>0</v>
      </c>
      <c r="G96" s="377">
        <f>G95</f>
        <v>15.372065727699532</v>
      </c>
      <c r="H96" s="377">
        <f>H95</f>
        <v>111.99647887323945</v>
      </c>
      <c r="I96" s="377">
        <f>I95-K96</f>
        <v>4.5880281690140849</v>
      </c>
      <c r="J96" s="377">
        <f>J95</f>
        <v>21.960093896713619</v>
      </c>
      <c r="K96" s="376">
        <f>N45</f>
        <v>2</v>
      </c>
      <c r="L96" s="316"/>
      <c r="M96" s="316"/>
      <c r="N96" s="289"/>
      <c r="O96" s="289"/>
    </row>
    <row r="97" spans="2:13" s="6" customFormat="1" hidden="1" x14ac:dyDescent="0.25">
      <c r="B97" s="289"/>
      <c r="C97" s="289"/>
      <c r="D97" s="289"/>
      <c r="E97" s="316"/>
      <c r="F97" s="379">
        <f t="shared" ref="F97:K97" si="32">F96/$E$96</f>
        <v>0</v>
      </c>
      <c r="G97" s="379">
        <f t="shared" si="32"/>
        <v>9.8591549295774641E-2</v>
      </c>
      <c r="H97" s="379">
        <f t="shared" si="32"/>
        <v>0.71830985915492962</v>
      </c>
      <c r="I97" s="379">
        <f t="shared" si="32"/>
        <v>2.9426156081330312E-2</v>
      </c>
      <c r="J97" s="379">
        <f t="shared" si="32"/>
        <v>0.14084507042253522</v>
      </c>
      <c r="K97" s="379">
        <f t="shared" si="32"/>
        <v>1.282736504543025E-2</v>
      </c>
      <c r="L97" s="316"/>
      <c r="M97" s="379">
        <f>SUM(F97:K97)</f>
        <v>1</v>
      </c>
    </row>
    <row r="98" spans="2:13" s="6" customFormat="1" hidden="1" x14ac:dyDescent="0.25">
      <c r="B98" s="289"/>
      <c r="C98" s="289"/>
      <c r="D98" s="289"/>
      <c r="E98" s="316"/>
      <c r="F98" s="316"/>
      <c r="G98" s="316"/>
      <c r="H98" s="316"/>
      <c r="I98" s="316"/>
      <c r="J98" s="316"/>
      <c r="K98" s="316"/>
      <c r="L98" s="316"/>
      <c r="M98" s="316"/>
    </row>
    <row r="99" spans="2:13" s="6" customFormat="1" hidden="1" x14ac:dyDescent="0.25">
      <c r="B99" s="289"/>
      <c r="C99" s="289"/>
      <c r="D99" s="289"/>
      <c r="E99" s="316"/>
      <c r="F99" s="374">
        <f>'Band Calculations 1718'!D22</f>
        <v>6.0483870967741937E-2</v>
      </c>
      <c r="G99" s="374">
        <f>'Band Calculations 1718'!E22</f>
        <v>0.22177419354838709</v>
      </c>
      <c r="H99" s="374">
        <f>'Band Calculations 1718'!F22</f>
        <v>0.65322580645161288</v>
      </c>
      <c r="I99" s="374">
        <f>'Band Calculations 1718'!G22</f>
        <v>0</v>
      </c>
      <c r="J99" s="374">
        <f>'Band Calculations 1718'!H22</f>
        <v>6.4516129032258063E-2</v>
      </c>
      <c r="K99" s="374">
        <f>'Band Calculations 1718'!I22</f>
        <v>0</v>
      </c>
      <c r="L99" s="316"/>
      <c r="M99" s="316"/>
    </row>
    <row r="100" spans="2:13" s="6" customFormat="1" hidden="1" x14ac:dyDescent="0.25">
      <c r="B100" s="375" t="s">
        <v>217</v>
      </c>
      <c r="C100" s="289"/>
      <c r="D100" s="289" t="s">
        <v>790</v>
      </c>
      <c r="E100" s="376">
        <f>'Band Calculations - Rebase'!V126</f>
        <v>270.50000000000006</v>
      </c>
      <c r="F100" s="377">
        <f t="shared" ref="F100:K100" si="33">$E$100*F99</f>
        <v>16.360887096774196</v>
      </c>
      <c r="G100" s="377">
        <f t="shared" si="33"/>
        <v>59.989919354838719</v>
      </c>
      <c r="H100" s="377">
        <f t="shared" si="33"/>
        <v>176.69758064516131</v>
      </c>
      <c r="I100" s="377">
        <f t="shared" si="33"/>
        <v>0</v>
      </c>
      <c r="J100" s="377">
        <f t="shared" si="33"/>
        <v>17.451612903225811</v>
      </c>
      <c r="K100" s="377">
        <f t="shared" si="33"/>
        <v>0</v>
      </c>
      <c r="L100" s="316"/>
      <c r="M100" s="316"/>
    </row>
    <row r="101" spans="2:13" s="6" customFormat="1" hidden="1" x14ac:dyDescent="0.25">
      <c r="B101" s="289"/>
      <c r="C101" s="289"/>
      <c r="D101" s="289" t="s">
        <v>791</v>
      </c>
      <c r="E101" s="376">
        <f>E100</f>
        <v>270.50000000000006</v>
      </c>
      <c r="F101" s="377">
        <f>F100-(K101-I100)</f>
        <v>11.360887096774196</v>
      </c>
      <c r="G101" s="377">
        <f>G100</f>
        <v>59.989919354838719</v>
      </c>
      <c r="H101" s="377">
        <f>H100</f>
        <v>176.69758064516131</v>
      </c>
      <c r="I101" s="377">
        <f>I100-(N101-L100)</f>
        <v>0</v>
      </c>
      <c r="J101" s="377">
        <f>J100</f>
        <v>17.451612903225811</v>
      </c>
      <c r="K101" s="376">
        <f>N46</f>
        <v>5</v>
      </c>
      <c r="L101" s="316"/>
      <c r="M101" s="316"/>
    </row>
    <row r="102" spans="2:13" s="6" customFormat="1" hidden="1" x14ac:dyDescent="0.25">
      <c r="B102" s="289"/>
      <c r="C102" s="289"/>
      <c r="D102" s="289"/>
      <c r="E102" s="316"/>
      <c r="F102" s="379">
        <f t="shared" ref="F102:K102" si="34">F101/$E$101</f>
        <v>4.1999582612843596E-2</v>
      </c>
      <c r="G102" s="379">
        <f t="shared" si="34"/>
        <v>0.22177419354838709</v>
      </c>
      <c r="H102" s="379">
        <f t="shared" si="34"/>
        <v>0.65322580645161288</v>
      </c>
      <c r="I102" s="379">
        <f t="shared" si="34"/>
        <v>0</v>
      </c>
      <c r="J102" s="379">
        <f t="shared" si="34"/>
        <v>6.4516129032258063E-2</v>
      </c>
      <c r="K102" s="379">
        <f t="shared" si="34"/>
        <v>1.8484288354898331E-2</v>
      </c>
      <c r="L102" s="316"/>
      <c r="M102" s="379">
        <f>SUM(F102:K102)</f>
        <v>1</v>
      </c>
    </row>
    <row r="103" spans="2:13" s="6" customFormat="1" hidden="1" x14ac:dyDescent="0.25">
      <c r="B103" s="289"/>
      <c r="C103" s="289"/>
      <c r="D103" s="289"/>
      <c r="E103" s="316"/>
      <c r="F103" s="316"/>
      <c r="G103" s="316"/>
      <c r="H103" s="316"/>
      <c r="I103" s="316"/>
      <c r="J103" s="316"/>
      <c r="K103" s="316"/>
      <c r="L103" s="316"/>
      <c r="M103" s="316"/>
    </row>
    <row r="104" spans="2:13" s="6" customFormat="1" hidden="1" x14ac:dyDescent="0.25">
      <c r="B104" s="289"/>
      <c r="C104" s="289"/>
      <c r="D104" s="289"/>
      <c r="E104" s="316"/>
      <c r="F104" s="374">
        <f>'Band Calculations 1718'!D23</f>
        <v>0.50370370370370365</v>
      </c>
      <c r="G104" s="374">
        <f>'Band Calculations 1718'!E23</f>
        <v>0</v>
      </c>
      <c r="H104" s="374">
        <f>'Band Calculations 1718'!F23</f>
        <v>0.28888888888888886</v>
      </c>
      <c r="I104" s="374">
        <f>'Band Calculations 1718'!G23</f>
        <v>0.2074074074074074</v>
      </c>
      <c r="J104" s="374">
        <f>'Band Calculations 1718'!H23</f>
        <v>0</v>
      </c>
      <c r="K104" s="374">
        <f>'Band Calculations 1718'!I23</f>
        <v>0</v>
      </c>
      <c r="L104" s="316"/>
      <c r="M104" s="316"/>
    </row>
    <row r="105" spans="2:13" s="6" customFormat="1" hidden="1" x14ac:dyDescent="0.25">
      <c r="B105" s="375" t="s">
        <v>219</v>
      </c>
      <c r="C105" s="289"/>
      <c r="D105" s="289" t="s">
        <v>790</v>
      </c>
      <c r="E105" s="376">
        <f>'Band Calculations - Rebase'!V127</f>
        <v>148.33333333333334</v>
      </c>
      <c r="F105" s="377">
        <f t="shared" ref="F105:K105" si="35">$E$105*F104</f>
        <v>74.716049382716051</v>
      </c>
      <c r="G105" s="377">
        <f t="shared" si="35"/>
        <v>0</v>
      </c>
      <c r="H105" s="377">
        <f t="shared" si="35"/>
        <v>42.851851851851848</v>
      </c>
      <c r="I105" s="377">
        <f t="shared" si="35"/>
        <v>30.765432098765434</v>
      </c>
      <c r="J105" s="377">
        <f t="shared" si="35"/>
        <v>0</v>
      </c>
      <c r="K105" s="377">
        <f t="shared" si="35"/>
        <v>0</v>
      </c>
      <c r="L105" s="316"/>
      <c r="M105" s="316"/>
    </row>
    <row r="106" spans="2:13" s="6" customFormat="1" hidden="1" x14ac:dyDescent="0.25">
      <c r="B106" s="289"/>
      <c r="C106" s="289"/>
      <c r="D106" s="289" t="s">
        <v>791</v>
      </c>
      <c r="E106" s="376">
        <f>E105</f>
        <v>148.33333333333334</v>
      </c>
      <c r="F106" s="377">
        <f>F105-(K106-I105)</f>
        <v>67.481481481481481</v>
      </c>
      <c r="G106" s="377">
        <f>G105</f>
        <v>0</v>
      </c>
      <c r="H106" s="377">
        <f>H105</f>
        <v>42.851851851851848</v>
      </c>
      <c r="I106" s="377">
        <v>0</v>
      </c>
      <c r="J106" s="377">
        <f>J105</f>
        <v>0</v>
      </c>
      <c r="K106" s="376">
        <f>N47</f>
        <v>38</v>
      </c>
      <c r="L106" s="316"/>
      <c r="M106" s="316"/>
    </row>
    <row r="107" spans="2:13" s="6" customFormat="1" hidden="1" x14ac:dyDescent="0.25">
      <c r="B107" s="289"/>
      <c r="C107" s="289"/>
      <c r="D107" s="289"/>
      <c r="E107" s="316"/>
      <c r="F107" s="379">
        <f t="shared" ref="F107:K107" si="36">F106/$E$106</f>
        <v>0.45493133583021222</v>
      </c>
      <c r="G107" s="379">
        <f t="shared" si="36"/>
        <v>0</v>
      </c>
      <c r="H107" s="379">
        <f t="shared" si="36"/>
        <v>0.28888888888888886</v>
      </c>
      <c r="I107" s="379">
        <f t="shared" si="36"/>
        <v>0</v>
      </c>
      <c r="J107" s="379">
        <f t="shared" si="36"/>
        <v>0</v>
      </c>
      <c r="K107" s="379">
        <f t="shared" si="36"/>
        <v>0.25617977528089886</v>
      </c>
      <c r="L107" s="316"/>
      <c r="M107" s="379">
        <f>SUM(F107:K107)</f>
        <v>0.99999999999999989</v>
      </c>
    </row>
    <row r="108" spans="2:13" s="6" customFormat="1" hidden="1" x14ac:dyDescent="0.25">
      <c r="B108" s="289"/>
      <c r="C108" s="289"/>
      <c r="D108" s="289"/>
      <c r="E108" s="316"/>
      <c r="F108" s="379"/>
      <c r="G108" s="379"/>
      <c r="H108" s="379"/>
      <c r="I108" s="379"/>
      <c r="J108" s="379"/>
      <c r="K108" s="379"/>
      <c r="L108" s="316"/>
      <c r="M108" s="379"/>
    </row>
    <row r="109" spans="2:13" s="6" customFormat="1" hidden="1" x14ac:dyDescent="0.25">
      <c r="B109" s="289"/>
      <c r="C109" s="289"/>
      <c r="D109" s="289"/>
      <c r="E109" s="316"/>
      <c r="F109" s="374">
        <f>'Band Calculations 1718'!D14</f>
        <v>7.0866141732283464E-2</v>
      </c>
      <c r="G109" s="374">
        <f>'Band Calculations 1718'!E14</f>
        <v>0.16535433070866143</v>
      </c>
      <c r="H109" s="374">
        <f>'Band Calculations 1718'!F14</f>
        <v>0.51968503937007871</v>
      </c>
      <c r="I109" s="374">
        <f>'Band Calculations 1718'!G14</f>
        <v>3.937007874015748E-2</v>
      </c>
      <c r="J109" s="374">
        <f>'Band Calculations 1718'!H14</f>
        <v>0.20472440944881889</v>
      </c>
      <c r="K109" s="374">
        <f>'Band Calculations 1718'!I14</f>
        <v>0</v>
      </c>
      <c r="L109" s="316"/>
      <c r="M109" s="316"/>
    </row>
    <row r="110" spans="2:13" s="6" customFormat="1" hidden="1" x14ac:dyDescent="0.25">
      <c r="B110" s="375" t="s">
        <v>221</v>
      </c>
      <c r="C110" s="289"/>
      <c r="D110" s="289" t="s">
        <v>790</v>
      </c>
      <c r="E110" s="376">
        <f>'[15]Band Calculations - Rebase'!V118</f>
        <v>118.91666666666667</v>
      </c>
      <c r="F110" s="377">
        <f t="shared" ref="F110:K110" si="37">$E$110*F109</f>
        <v>8.4271653543307092</v>
      </c>
      <c r="G110" s="377">
        <f t="shared" si="37"/>
        <v>19.663385826771655</v>
      </c>
      <c r="H110" s="377">
        <f t="shared" si="37"/>
        <v>61.799212598425193</v>
      </c>
      <c r="I110" s="377">
        <f t="shared" si="37"/>
        <v>4.6817585301837275</v>
      </c>
      <c r="J110" s="377">
        <f t="shared" si="37"/>
        <v>24.34514435695538</v>
      </c>
      <c r="K110" s="377">
        <f t="shared" si="37"/>
        <v>0</v>
      </c>
      <c r="L110" s="316"/>
      <c r="M110" s="316"/>
    </row>
    <row r="111" spans="2:13" s="6" customFormat="1" hidden="1" x14ac:dyDescent="0.25">
      <c r="B111" s="378"/>
      <c r="C111" s="289"/>
      <c r="D111" s="289" t="s">
        <v>791</v>
      </c>
      <c r="E111" s="376">
        <f>E110</f>
        <v>118.91666666666667</v>
      </c>
      <c r="F111" s="377">
        <f>F110</f>
        <v>8.4271653543307092</v>
      </c>
      <c r="G111" s="377">
        <f>G110</f>
        <v>19.663385826771655</v>
      </c>
      <c r="H111" s="377">
        <f>H110</f>
        <v>61.799212598425193</v>
      </c>
      <c r="I111" s="377">
        <f>I110-K111</f>
        <v>1.6817585301837275</v>
      </c>
      <c r="J111" s="377">
        <f>J110</f>
        <v>24.34514435695538</v>
      </c>
      <c r="K111" s="376">
        <f>N38</f>
        <v>3</v>
      </c>
      <c r="L111" s="316"/>
      <c r="M111" s="316"/>
    </row>
    <row r="112" spans="2:13" s="6" customFormat="1" hidden="1" x14ac:dyDescent="0.25">
      <c r="B112" s="289"/>
      <c r="C112" s="289"/>
      <c r="D112" s="289"/>
      <c r="E112" s="316"/>
      <c r="F112" s="379">
        <f t="shared" ref="F112:K112" si="38">F111/$E$111</f>
        <v>7.0866141732283464E-2</v>
      </c>
      <c r="G112" s="379">
        <f t="shared" si="38"/>
        <v>0.16535433070866143</v>
      </c>
      <c r="H112" s="379">
        <f t="shared" si="38"/>
        <v>0.51968503937007871</v>
      </c>
      <c r="I112" s="379">
        <f t="shared" si="38"/>
        <v>1.4142328214579346E-2</v>
      </c>
      <c r="J112" s="379">
        <f t="shared" si="38"/>
        <v>0.20472440944881889</v>
      </c>
      <c r="K112" s="379">
        <f t="shared" si="38"/>
        <v>2.5227750525578133E-2</v>
      </c>
      <c r="L112" s="316"/>
      <c r="M112" s="379">
        <f>SUM(F112:K112)</f>
        <v>1</v>
      </c>
    </row>
    <row r="114" spans="1:20" x14ac:dyDescent="0.25">
      <c r="A114" s="289"/>
      <c r="B114" s="354">
        <v>43191</v>
      </c>
      <c r="C114" s="355"/>
      <c r="D114" s="355"/>
      <c r="E114" s="355"/>
      <c r="F114" s="356"/>
      <c r="G114" s="356"/>
      <c r="H114" s="356"/>
      <c r="I114" s="356"/>
      <c r="J114" s="356"/>
      <c r="K114" s="356"/>
      <c r="L114" s="356"/>
      <c r="M114" s="356"/>
      <c r="N114" s="356"/>
      <c r="O114" s="356"/>
      <c r="P114" s="356"/>
      <c r="Q114" s="356"/>
      <c r="R114" s="356"/>
      <c r="S114" s="289"/>
      <c r="T114" s="289"/>
    </row>
    <row r="115" spans="1:20" x14ac:dyDescent="0.25">
      <c r="A115" s="289"/>
      <c r="B115" s="356"/>
      <c r="C115" s="356"/>
      <c r="D115" s="356"/>
      <c r="E115" s="356"/>
      <c r="F115" s="356"/>
      <c r="G115" s="356"/>
      <c r="H115" s="356">
        <v>8</v>
      </c>
      <c r="I115" s="356">
        <v>9</v>
      </c>
      <c r="J115" s="356">
        <v>10</v>
      </c>
      <c r="K115" s="356">
        <v>11</v>
      </c>
      <c r="L115" s="356">
        <v>12</v>
      </c>
      <c r="M115" s="356">
        <v>13</v>
      </c>
      <c r="N115" s="356">
        <v>14</v>
      </c>
      <c r="O115" s="356">
        <v>15</v>
      </c>
      <c r="P115" s="356">
        <v>16</v>
      </c>
      <c r="Q115" s="356">
        <v>17</v>
      </c>
      <c r="R115" s="356">
        <v>18</v>
      </c>
      <c r="S115" s="289"/>
      <c r="T115" s="289"/>
    </row>
    <row r="116" spans="1:20" ht="31.5" x14ac:dyDescent="0.25">
      <c r="A116" s="289"/>
      <c r="B116" s="357" t="s">
        <v>183</v>
      </c>
      <c r="C116" s="358" t="s">
        <v>184</v>
      </c>
      <c r="D116" s="359" t="s">
        <v>792</v>
      </c>
      <c r="E116" s="360" t="s">
        <v>528</v>
      </c>
      <c r="F116" s="361" t="s">
        <v>529</v>
      </c>
      <c r="G116" s="360" t="s">
        <v>530</v>
      </c>
      <c r="H116" s="361" t="s">
        <v>241</v>
      </c>
      <c r="I116" s="360" t="s">
        <v>531</v>
      </c>
      <c r="J116" s="361" t="s">
        <v>532</v>
      </c>
      <c r="K116" s="360" t="s">
        <v>533</v>
      </c>
      <c r="L116" s="361" t="s">
        <v>534</v>
      </c>
      <c r="M116" s="362" t="s">
        <v>535</v>
      </c>
      <c r="N116" s="363" t="s">
        <v>536</v>
      </c>
      <c r="O116" s="360" t="s">
        <v>793</v>
      </c>
      <c r="P116" s="361" t="s">
        <v>794</v>
      </c>
      <c r="Q116" s="362" t="s">
        <v>668</v>
      </c>
      <c r="R116" s="363" t="s">
        <v>795</v>
      </c>
      <c r="S116" s="289"/>
      <c r="T116" s="289"/>
    </row>
    <row r="117" spans="1:20" x14ac:dyDescent="0.25">
      <c r="A117" s="244">
        <v>9257010</v>
      </c>
      <c r="B117" s="364" t="s">
        <v>205</v>
      </c>
      <c r="C117" s="365">
        <v>3</v>
      </c>
      <c r="D117" s="366">
        <f t="shared" ref="D117:D125" si="39">E117+G117+I117+K117+M117+O117+Q117</f>
        <v>52</v>
      </c>
      <c r="E117" s="367">
        <v>6</v>
      </c>
      <c r="F117" s="368">
        <f>E117/D117</f>
        <v>0.11538461538461539</v>
      </c>
      <c r="G117" s="369">
        <v>15</v>
      </c>
      <c r="H117" s="368">
        <f>G117/D117</f>
        <v>0.28846153846153844</v>
      </c>
      <c r="I117" s="369">
        <v>3</v>
      </c>
      <c r="J117" s="368">
        <f>I117/D117</f>
        <v>5.7692307692307696E-2</v>
      </c>
      <c r="K117" s="369">
        <v>2</v>
      </c>
      <c r="L117" s="368">
        <f>K117/D117</f>
        <v>3.8461538461538464E-2</v>
      </c>
      <c r="M117" s="370">
        <v>5</v>
      </c>
      <c r="N117" s="371">
        <f>M117/D117</f>
        <v>9.6153846153846159E-2</v>
      </c>
      <c r="O117" s="369">
        <v>13</v>
      </c>
      <c r="P117" s="368">
        <f>O117/D117</f>
        <v>0.25</v>
      </c>
      <c r="Q117" s="370">
        <v>8</v>
      </c>
      <c r="R117" s="371">
        <f>Q117/D117</f>
        <v>0.15384615384615385</v>
      </c>
      <c r="S117" s="289"/>
      <c r="T117" s="1254"/>
    </row>
    <row r="118" spans="1:20" x14ac:dyDescent="0.25">
      <c r="A118" s="244">
        <v>9257005</v>
      </c>
      <c r="B118" s="364" t="s">
        <v>208</v>
      </c>
      <c r="C118" s="365">
        <v>3</v>
      </c>
      <c r="D118" s="366">
        <f t="shared" si="39"/>
        <v>75</v>
      </c>
      <c r="E118" s="367">
        <v>10</v>
      </c>
      <c r="F118" s="368">
        <f t="shared" ref="F118:F134" si="40">E118/D118</f>
        <v>0.13333333333333333</v>
      </c>
      <c r="G118" s="369">
        <v>17</v>
      </c>
      <c r="H118" s="368">
        <f t="shared" ref="H118:H134" si="41">G118/D118</f>
        <v>0.22666666666666666</v>
      </c>
      <c r="I118" s="369">
        <v>7</v>
      </c>
      <c r="J118" s="368">
        <f t="shared" ref="J118:J134" si="42">I118/D118</f>
        <v>9.3333333333333338E-2</v>
      </c>
      <c r="K118" s="369">
        <v>7</v>
      </c>
      <c r="L118" s="368">
        <f t="shared" ref="L118:L134" si="43">K118/D118</f>
        <v>9.3333333333333338E-2</v>
      </c>
      <c r="M118" s="370">
        <v>12</v>
      </c>
      <c r="N118" s="371">
        <f t="shared" ref="N118:N134" si="44">M118/D118</f>
        <v>0.16</v>
      </c>
      <c r="O118" s="369">
        <v>15</v>
      </c>
      <c r="P118" s="368">
        <f t="shared" ref="P118:P134" si="45">O118/D118</f>
        <v>0.2</v>
      </c>
      <c r="Q118" s="370">
        <v>7</v>
      </c>
      <c r="R118" s="371">
        <f t="shared" ref="R118:R134" si="46">Q118/D118</f>
        <v>9.3333333333333338E-2</v>
      </c>
      <c r="S118" s="289"/>
      <c r="T118" s="1254"/>
    </row>
    <row r="119" spans="1:20" x14ac:dyDescent="0.25">
      <c r="A119" s="244">
        <v>9257025</v>
      </c>
      <c r="B119" s="364" t="s">
        <v>209</v>
      </c>
      <c r="C119" s="365">
        <v>3</v>
      </c>
      <c r="D119" s="366">
        <f t="shared" si="39"/>
        <v>67</v>
      </c>
      <c r="E119" s="367">
        <v>3</v>
      </c>
      <c r="F119" s="368">
        <f t="shared" si="40"/>
        <v>4.4776119402985072E-2</v>
      </c>
      <c r="G119" s="369">
        <v>18</v>
      </c>
      <c r="H119" s="368">
        <f t="shared" si="41"/>
        <v>0.26865671641791045</v>
      </c>
      <c r="I119" s="369">
        <v>12</v>
      </c>
      <c r="J119" s="368">
        <f t="shared" si="42"/>
        <v>0.17910447761194029</v>
      </c>
      <c r="K119" s="369">
        <v>10</v>
      </c>
      <c r="L119" s="368">
        <f t="shared" si="43"/>
        <v>0.14925373134328357</v>
      </c>
      <c r="M119" s="370">
        <v>10</v>
      </c>
      <c r="N119" s="371">
        <f t="shared" si="44"/>
        <v>0.14925373134328357</v>
      </c>
      <c r="O119" s="369">
        <v>8</v>
      </c>
      <c r="P119" s="368">
        <f t="shared" si="45"/>
        <v>0.11940298507462686</v>
      </c>
      <c r="Q119" s="370">
        <v>6</v>
      </c>
      <c r="R119" s="371">
        <f t="shared" si="46"/>
        <v>8.9552238805970144E-2</v>
      </c>
      <c r="S119" s="289"/>
      <c r="T119" s="1254"/>
    </row>
    <row r="120" spans="1:20" x14ac:dyDescent="0.25">
      <c r="A120" s="244">
        <v>9257011</v>
      </c>
      <c r="B120" s="364" t="s">
        <v>210</v>
      </c>
      <c r="C120" s="365">
        <v>3</v>
      </c>
      <c r="D120" s="366">
        <f t="shared" si="39"/>
        <v>54</v>
      </c>
      <c r="E120" s="367">
        <v>7</v>
      </c>
      <c r="F120" s="368">
        <f t="shared" si="40"/>
        <v>0.12962962962962962</v>
      </c>
      <c r="G120" s="369">
        <v>17</v>
      </c>
      <c r="H120" s="368">
        <f t="shared" si="41"/>
        <v>0.31481481481481483</v>
      </c>
      <c r="I120" s="369">
        <v>6</v>
      </c>
      <c r="J120" s="368">
        <f t="shared" si="42"/>
        <v>0.1111111111111111</v>
      </c>
      <c r="K120" s="369">
        <v>8</v>
      </c>
      <c r="L120" s="368">
        <f t="shared" si="43"/>
        <v>0.14814814814814814</v>
      </c>
      <c r="M120" s="370">
        <v>3</v>
      </c>
      <c r="N120" s="371">
        <f t="shared" si="44"/>
        <v>5.5555555555555552E-2</v>
      </c>
      <c r="O120" s="369">
        <v>7</v>
      </c>
      <c r="P120" s="368">
        <f t="shared" si="45"/>
        <v>0.12962962962962962</v>
      </c>
      <c r="Q120" s="370">
        <v>6</v>
      </c>
      <c r="R120" s="371">
        <f t="shared" si="46"/>
        <v>0.1111111111111111</v>
      </c>
      <c r="S120" s="289"/>
      <c r="T120" s="1254"/>
    </row>
    <row r="121" spans="1:20" x14ac:dyDescent="0.25">
      <c r="A121" s="244">
        <v>9257024</v>
      </c>
      <c r="B121" s="364" t="s">
        <v>211</v>
      </c>
      <c r="C121" s="365">
        <v>3</v>
      </c>
      <c r="D121" s="366">
        <f t="shared" si="39"/>
        <v>69</v>
      </c>
      <c r="E121" s="369">
        <v>6</v>
      </c>
      <c r="F121" s="368">
        <f t="shared" si="40"/>
        <v>8.6956521739130432E-2</v>
      </c>
      <c r="G121" s="369">
        <v>24</v>
      </c>
      <c r="H121" s="368">
        <f t="shared" si="41"/>
        <v>0.34782608695652173</v>
      </c>
      <c r="I121" s="369">
        <v>8</v>
      </c>
      <c r="J121" s="368">
        <f t="shared" si="42"/>
        <v>0.11594202898550725</v>
      </c>
      <c r="K121" s="369">
        <v>11</v>
      </c>
      <c r="L121" s="368">
        <f t="shared" si="43"/>
        <v>0.15942028985507245</v>
      </c>
      <c r="M121" s="370">
        <v>4</v>
      </c>
      <c r="N121" s="371">
        <f t="shared" si="44"/>
        <v>5.7971014492753624E-2</v>
      </c>
      <c r="O121" s="369">
        <v>7</v>
      </c>
      <c r="P121" s="368">
        <f t="shared" si="45"/>
        <v>0.10144927536231885</v>
      </c>
      <c r="Q121" s="370">
        <v>9</v>
      </c>
      <c r="R121" s="371">
        <f t="shared" si="46"/>
        <v>0.13043478260869565</v>
      </c>
      <c r="S121" s="289"/>
      <c r="T121" s="1254"/>
    </row>
    <row r="122" spans="1:20" x14ac:dyDescent="0.25">
      <c r="A122" s="244">
        <v>9257031</v>
      </c>
      <c r="B122" s="364" t="s">
        <v>257</v>
      </c>
      <c r="C122" s="365">
        <v>3</v>
      </c>
      <c r="D122" s="366">
        <f t="shared" si="39"/>
        <v>0</v>
      </c>
      <c r="E122" s="369">
        <v>0</v>
      </c>
      <c r="F122" s="368">
        <v>0</v>
      </c>
      <c r="G122" s="369">
        <v>0</v>
      </c>
      <c r="H122" s="368">
        <v>0</v>
      </c>
      <c r="I122" s="369">
        <v>0</v>
      </c>
      <c r="J122" s="368">
        <v>0</v>
      </c>
      <c r="K122" s="369">
        <v>0</v>
      </c>
      <c r="L122" s="368">
        <v>0</v>
      </c>
      <c r="M122" s="370">
        <v>0</v>
      </c>
      <c r="N122" s="371">
        <v>1</v>
      </c>
      <c r="O122" s="369">
        <v>0</v>
      </c>
      <c r="P122" s="368">
        <v>0</v>
      </c>
      <c r="Q122" s="370">
        <v>0</v>
      </c>
      <c r="R122" s="371">
        <v>0</v>
      </c>
      <c r="S122" s="289"/>
      <c r="T122" s="1254"/>
    </row>
    <row r="123" spans="1:20" x14ac:dyDescent="0.25">
      <c r="A123" s="244">
        <v>9257033</v>
      </c>
      <c r="B123" s="364" t="s">
        <v>220</v>
      </c>
      <c r="C123" s="365">
        <v>3</v>
      </c>
      <c r="D123" s="366">
        <f t="shared" si="39"/>
        <v>86</v>
      </c>
      <c r="E123" s="369">
        <v>6</v>
      </c>
      <c r="F123" s="368">
        <f t="shared" si="40"/>
        <v>6.9767441860465115E-2</v>
      </c>
      <c r="G123" s="369">
        <v>17</v>
      </c>
      <c r="H123" s="368">
        <f t="shared" si="41"/>
        <v>0.19767441860465115</v>
      </c>
      <c r="I123" s="369">
        <v>27</v>
      </c>
      <c r="J123" s="368">
        <f t="shared" si="42"/>
        <v>0.31395348837209303</v>
      </c>
      <c r="K123" s="372">
        <v>9</v>
      </c>
      <c r="L123" s="368">
        <f t="shared" si="43"/>
        <v>0.10465116279069768</v>
      </c>
      <c r="M123" s="370">
        <v>19</v>
      </c>
      <c r="N123" s="371">
        <f t="shared" si="44"/>
        <v>0.22093023255813954</v>
      </c>
      <c r="O123" s="372">
        <v>8</v>
      </c>
      <c r="P123" s="368">
        <f t="shared" si="45"/>
        <v>9.3023255813953487E-2</v>
      </c>
      <c r="Q123" s="370">
        <v>0</v>
      </c>
      <c r="R123" s="371">
        <f t="shared" si="46"/>
        <v>0</v>
      </c>
      <c r="S123" s="289"/>
      <c r="T123" s="1254"/>
    </row>
    <row r="124" spans="1:20" x14ac:dyDescent="0.25">
      <c r="A124" s="244">
        <v>9257008</v>
      </c>
      <c r="B124" s="364" t="s">
        <v>212</v>
      </c>
      <c r="C124" s="365">
        <v>3</v>
      </c>
      <c r="D124" s="366">
        <f t="shared" si="39"/>
        <v>91</v>
      </c>
      <c r="E124" s="369">
        <v>2</v>
      </c>
      <c r="F124" s="368">
        <f t="shared" si="40"/>
        <v>2.197802197802198E-2</v>
      </c>
      <c r="G124" s="369">
        <v>56</v>
      </c>
      <c r="H124" s="368">
        <f t="shared" si="41"/>
        <v>0.61538461538461542</v>
      </c>
      <c r="I124" s="369">
        <v>4</v>
      </c>
      <c r="J124" s="368">
        <f t="shared" si="42"/>
        <v>4.3956043956043959E-2</v>
      </c>
      <c r="K124" s="369">
        <v>2</v>
      </c>
      <c r="L124" s="368">
        <f t="shared" si="43"/>
        <v>2.197802197802198E-2</v>
      </c>
      <c r="M124" s="373">
        <v>14</v>
      </c>
      <c r="N124" s="371">
        <f t="shared" si="44"/>
        <v>0.15384615384615385</v>
      </c>
      <c r="O124" s="369">
        <v>13</v>
      </c>
      <c r="P124" s="368">
        <f t="shared" si="45"/>
        <v>0.14285714285714285</v>
      </c>
      <c r="Q124" s="373">
        <v>0</v>
      </c>
      <c r="R124" s="371">
        <f t="shared" si="46"/>
        <v>0</v>
      </c>
      <c r="S124" s="289"/>
      <c r="T124" s="1254"/>
    </row>
    <row r="125" spans="1:20" x14ac:dyDescent="0.25">
      <c r="A125" s="244">
        <v>9257034</v>
      </c>
      <c r="B125" s="364" t="s">
        <v>221</v>
      </c>
      <c r="C125" s="365">
        <v>4</v>
      </c>
      <c r="D125" s="366">
        <f t="shared" si="39"/>
        <v>114</v>
      </c>
      <c r="E125" s="369">
        <v>5</v>
      </c>
      <c r="F125" s="368">
        <f t="shared" si="40"/>
        <v>4.3859649122807015E-2</v>
      </c>
      <c r="G125" s="369">
        <v>19</v>
      </c>
      <c r="H125" s="368">
        <f t="shared" si="41"/>
        <v>0.16666666666666666</v>
      </c>
      <c r="I125" s="369">
        <v>48</v>
      </c>
      <c r="J125" s="368">
        <f t="shared" si="42"/>
        <v>0.42105263157894735</v>
      </c>
      <c r="K125" s="369">
        <v>4</v>
      </c>
      <c r="L125" s="368">
        <f t="shared" si="43"/>
        <v>3.5087719298245612E-2</v>
      </c>
      <c r="M125" s="370">
        <v>30</v>
      </c>
      <c r="N125" s="371">
        <f t="shared" si="44"/>
        <v>0.26315789473684209</v>
      </c>
      <c r="O125" s="369">
        <v>5</v>
      </c>
      <c r="P125" s="368">
        <f t="shared" si="45"/>
        <v>4.3859649122807015E-2</v>
      </c>
      <c r="Q125" s="370">
        <v>3</v>
      </c>
      <c r="R125" s="371">
        <f t="shared" si="46"/>
        <v>2.6315789473684209E-2</v>
      </c>
      <c r="S125" s="289"/>
      <c r="T125" s="1254"/>
    </row>
    <row r="126" spans="1:20" x14ac:dyDescent="0.25">
      <c r="A126" s="244">
        <v>9257002</v>
      </c>
      <c r="B126" s="364" t="s">
        <v>213</v>
      </c>
      <c r="C126" s="365">
        <v>4</v>
      </c>
      <c r="D126" s="366">
        <f>E126+G126+I126+K126+M126+O126+Q126</f>
        <v>139</v>
      </c>
      <c r="E126" s="369">
        <v>1</v>
      </c>
      <c r="F126" s="368">
        <f t="shared" si="40"/>
        <v>7.1942446043165471E-3</v>
      </c>
      <c r="G126" s="369">
        <v>18</v>
      </c>
      <c r="H126" s="368">
        <f t="shared" si="41"/>
        <v>0.12949640287769784</v>
      </c>
      <c r="I126" s="369">
        <v>74</v>
      </c>
      <c r="J126" s="368">
        <f t="shared" si="42"/>
        <v>0.53237410071942448</v>
      </c>
      <c r="K126" s="369">
        <v>9</v>
      </c>
      <c r="L126" s="368">
        <f t="shared" si="43"/>
        <v>6.4748201438848921E-2</v>
      </c>
      <c r="M126" s="370">
        <v>26</v>
      </c>
      <c r="N126" s="371">
        <f t="shared" si="44"/>
        <v>0.18705035971223022</v>
      </c>
      <c r="O126" s="369">
        <v>10</v>
      </c>
      <c r="P126" s="368">
        <f t="shared" si="45"/>
        <v>7.1942446043165464E-2</v>
      </c>
      <c r="Q126" s="370">
        <v>1</v>
      </c>
      <c r="R126" s="371">
        <f t="shared" si="46"/>
        <v>7.1942446043165471E-3</v>
      </c>
      <c r="S126" s="289"/>
      <c r="T126" s="1254"/>
    </row>
    <row r="127" spans="1:20" x14ac:dyDescent="0.25">
      <c r="A127" s="244">
        <v>9257009</v>
      </c>
      <c r="B127" s="364" t="s">
        <v>214</v>
      </c>
      <c r="C127" s="365">
        <v>4</v>
      </c>
      <c r="D127" s="366">
        <f t="shared" ref="D127:D134" si="47">E127+G127+I127+K127+M127+O127+Q127</f>
        <v>128</v>
      </c>
      <c r="E127" s="369">
        <v>0</v>
      </c>
      <c r="F127" s="368">
        <f t="shared" si="40"/>
        <v>0</v>
      </c>
      <c r="G127" s="369">
        <v>60</v>
      </c>
      <c r="H127" s="368">
        <f t="shared" si="41"/>
        <v>0.46875</v>
      </c>
      <c r="I127" s="369">
        <v>19</v>
      </c>
      <c r="J127" s="368">
        <f t="shared" si="42"/>
        <v>0.1484375</v>
      </c>
      <c r="K127" s="369">
        <v>4</v>
      </c>
      <c r="L127" s="368">
        <f t="shared" si="43"/>
        <v>3.125E-2</v>
      </c>
      <c r="M127" s="370">
        <v>16</v>
      </c>
      <c r="N127" s="371">
        <f t="shared" si="44"/>
        <v>0.125</v>
      </c>
      <c r="O127" s="369">
        <v>29</v>
      </c>
      <c r="P127" s="368">
        <f t="shared" si="45"/>
        <v>0.2265625</v>
      </c>
      <c r="Q127" s="370">
        <v>0</v>
      </c>
      <c r="R127" s="371">
        <f t="shared" si="46"/>
        <v>0</v>
      </c>
      <c r="S127" s="289"/>
      <c r="T127" s="1254"/>
    </row>
    <row r="128" spans="1:20" x14ac:dyDescent="0.25">
      <c r="A128" s="244">
        <v>9257029</v>
      </c>
      <c r="B128" s="364" t="s">
        <v>259</v>
      </c>
      <c r="C128" s="365">
        <v>4</v>
      </c>
      <c r="D128" s="366">
        <f t="shared" si="47"/>
        <v>0</v>
      </c>
      <c r="E128" s="369">
        <v>0</v>
      </c>
      <c r="F128" s="368">
        <v>0</v>
      </c>
      <c r="G128" s="369">
        <v>0</v>
      </c>
      <c r="H128" s="368">
        <v>0</v>
      </c>
      <c r="I128" s="369">
        <v>0</v>
      </c>
      <c r="J128" s="368">
        <v>0</v>
      </c>
      <c r="K128" s="369">
        <v>0</v>
      </c>
      <c r="L128" s="368">
        <v>0</v>
      </c>
      <c r="M128" s="370">
        <v>0</v>
      </c>
      <c r="N128" s="371">
        <v>1</v>
      </c>
      <c r="O128" s="369">
        <v>0</v>
      </c>
      <c r="P128" s="368">
        <v>0</v>
      </c>
      <c r="Q128" s="370">
        <v>0</v>
      </c>
      <c r="R128" s="371">
        <v>0</v>
      </c>
      <c r="S128" s="289"/>
      <c r="T128" s="1254"/>
    </row>
    <row r="129" spans="1:20" x14ac:dyDescent="0.25">
      <c r="A129" s="244">
        <v>9257032</v>
      </c>
      <c r="B129" s="364" t="s">
        <v>261</v>
      </c>
      <c r="C129" s="365">
        <v>4</v>
      </c>
      <c r="D129" s="366">
        <f t="shared" si="47"/>
        <v>0</v>
      </c>
      <c r="E129" s="369">
        <v>0</v>
      </c>
      <c r="F129" s="368">
        <v>0</v>
      </c>
      <c r="G129" s="369">
        <v>0</v>
      </c>
      <c r="H129" s="368">
        <v>0</v>
      </c>
      <c r="I129" s="369">
        <v>0</v>
      </c>
      <c r="J129" s="368">
        <v>0</v>
      </c>
      <c r="K129" s="369">
        <v>0</v>
      </c>
      <c r="L129" s="368">
        <v>0</v>
      </c>
      <c r="M129" s="370">
        <v>0</v>
      </c>
      <c r="N129" s="371">
        <v>1</v>
      </c>
      <c r="O129" s="369">
        <v>0</v>
      </c>
      <c r="P129" s="368">
        <v>0</v>
      </c>
      <c r="Q129" s="370">
        <v>0</v>
      </c>
      <c r="R129" s="371">
        <v>0</v>
      </c>
      <c r="S129" s="289"/>
      <c r="T129" s="1254"/>
    </row>
    <row r="130" spans="1:20" x14ac:dyDescent="0.25">
      <c r="A130" s="244">
        <v>9257030</v>
      </c>
      <c r="B130" s="364" t="s">
        <v>262</v>
      </c>
      <c r="C130" s="365">
        <v>4</v>
      </c>
      <c r="D130" s="366">
        <f t="shared" si="47"/>
        <v>0</v>
      </c>
      <c r="E130" s="367">
        <v>0</v>
      </c>
      <c r="F130" s="368">
        <v>0</v>
      </c>
      <c r="G130" s="369">
        <v>0</v>
      </c>
      <c r="H130" s="368">
        <v>0</v>
      </c>
      <c r="I130" s="369">
        <v>0</v>
      </c>
      <c r="J130" s="368">
        <v>0</v>
      </c>
      <c r="K130" s="369">
        <v>0</v>
      </c>
      <c r="L130" s="368">
        <v>0</v>
      </c>
      <c r="M130" s="370">
        <v>0</v>
      </c>
      <c r="N130" s="371">
        <v>1</v>
      </c>
      <c r="O130" s="369">
        <v>0</v>
      </c>
      <c r="P130" s="368">
        <v>0</v>
      </c>
      <c r="Q130" s="370">
        <v>0</v>
      </c>
      <c r="R130" s="371">
        <v>0</v>
      </c>
      <c r="S130" s="289"/>
      <c r="T130" s="1254"/>
    </row>
    <row r="131" spans="1:20" x14ac:dyDescent="0.25">
      <c r="A131" s="244">
        <v>9257028</v>
      </c>
      <c r="B131" s="364" t="s">
        <v>215</v>
      </c>
      <c r="C131" s="365">
        <v>4</v>
      </c>
      <c r="D131" s="366">
        <f t="shared" si="47"/>
        <v>79</v>
      </c>
      <c r="E131" s="369">
        <v>8</v>
      </c>
      <c r="F131" s="368">
        <f t="shared" si="40"/>
        <v>0.10126582278481013</v>
      </c>
      <c r="G131" s="367">
        <v>23</v>
      </c>
      <c r="H131" s="368">
        <f t="shared" si="41"/>
        <v>0.29113924050632911</v>
      </c>
      <c r="I131" s="367">
        <v>5</v>
      </c>
      <c r="J131" s="368">
        <f t="shared" si="42"/>
        <v>6.3291139240506333E-2</v>
      </c>
      <c r="K131" s="367">
        <v>15</v>
      </c>
      <c r="L131" s="368">
        <f t="shared" si="43"/>
        <v>0.189873417721519</v>
      </c>
      <c r="M131" s="370">
        <v>3</v>
      </c>
      <c r="N131" s="371">
        <f t="shared" si="44"/>
        <v>3.7974683544303799E-2</v>
      </c>
      <c r="O131" s="367">
        <v>10</v>
      </c>
      <c r="P131" s="368">
        <f t="shared" si="45"/>
        <v>0.12658227848101267</v>
      </c>
      <c r="Q131" s="370">
        <v>15</v>
      </c>
      <c r="R131" s="371">
        <f t="shared" si="46"/>
        <v>0.189873417721519</v>
      </c>
      <c r="S131" s="289"/>
      <c r="T131" s="1254"/>
    </row>
    <row r="132" spans="1:20" x14ac:dyDescent="0.25">
      <c r="A132" s="244">
        <v>9257021</v>
      </c>
      <c r="B132" s="364" t="s">
        <v>216</v>
      </c>
      <c r="C132" s="365">
        <v>5</v>
      </c>
      <c r="D132" s="366">
        <f t="shared" si="47"/>
        <v>155</v>
      </c>
      <c r="E132" s="369">
        <v>6</v>
      </c>
      <c r="F132" s="368">
        <f t="shared" si="40"/>
        <v>3.870967741935484E-2</v>
      </c>
      <c r="G132" s="369">
        <v>46</v>
      </c>
      <c r="H132" s="368">
        <f t="shared" si="41"/>
        <v>0.29677419354838708</v>
      </c>
      <c r="I132" s="369">
        <v>46</v>
      </c>
      <c r="J132" s="368">
        <f t="shared" si="42"/>
        <v>0.29677419354838708</v>
      </c>
      <c r="K132" s="369">
        <v>14</v>
      </c>
      <c r="L132" s="368">
        <f t="shared" si="43"/>
        <v>9.0322580645161285E-2</v>
      </c>
      <c r="M132" s="370">
        <v>19</v>
      </c>
      <c r="N132" s="371">
        <f t="shared" si="44"/>
        <v>0.12258064516129032</v>
      </c>
      <c r="O132" s="369">
        <v>22</v>
      </c>
      <c r="P132" s="368">
        <f t="shared" si="45"/>
        <v>0.14193548387096774</v>
      </c>
      <c r="Q132" s="370">
        <v>2</v>
      </c>
      <c r="R132" s="371">
        <f t="shared" si="46"/>
        <v>1.2903225806451613E-2</v>
      </c>
      <c r="S132" s="289"/>
      <c r="T132" s="1254"/>
    </row>
    <row r="133" spans="1:20" x14ac:dyDescent="0.25">
      <c r="A133" s="244">
        <v>9257015</v>
      </c>
      <c r="B133" s="364" t="s">
        <v>217</v>
      </c>
      <c r="C133" s="365">
        <v>5</v>
      </c>
      <c r="D133" s="366">
        <f t="shared" si="47"/>
        <v>261</v>
      </c>
      <c r="E133" s="369">
        <v>10</v>
      </c>
      <c r="F133" s="368">
        <f t="shared" si="40"/>
        <v>3.8314176245210725E-2</v>
      </c>
      <c r="G133" s="369">
        <v>52</v>
      </c>
      <c r="H133" s="368">
        <f t="shared" si="41"/>
        <v>0.19923371647509577</v>
      </c>
      <c r="I133" s="369">
        <v>130</v>
      </c>
      <c r="J133" s="368">
        <f t="shared" si="42"/>
        <v>0.49808429118773945</v>
      </c>
      <c r="K133" s="369">
        <v>17</v>
      </c>
      <c r="L133" s="368">
        <f t="shared" si="43"/>
        <v>6.5134099616858232E-2</v>
      </c>
      <c r="M133" s="370">
        <v>11</v>
      </c>
      <c r="N133" s="371">
        <f t="shared" si="44"/>
        <v>4.2145593869731802E-2</v>
      </c>
      <c r="O133" s="369">
        <v>36</v>
      </c>
      <c r="P133" s="368">
        <f t="shared" si="45"/>
        <v>0.13793103448275862</v>
      </c>
      <c r="Q133" s="370">
        <v>5</v>
      </c>
      <c r="R133" s="371">
        <f t="shared" si="46"/>
        <v>1.9157088122605363E-2</v>
      </c>
      <c r="S133" s="289"/>
      <c r="T133" s="1254"/>
    </row>
    <row r="134" spans="1:20" x14ac:dyDescent="0.25">
      <c r="A134" s="244">
        <v>9257016</v>
      </c>
      <c r="B134" s="364" t="s">
        <v>219</v>
      </c>
      <c r="C134" s="365">
        <v>6</v>
      </c>
      <c r="D134" s="366">
        <f t="shared" si="47"/>
        <v>147</v>
      </c>
      <c r="E134" s="369">
        <v>24</v>
      </c>
      <c r="F134" s="368">
        <f t="shared" si="40"/>
        <v>0.16326530612244897</v>
      </c>
      <c r="G134" s="369">
        <v>10</v>
      </c>
      <c r="H134" s="368">
        <f t="shared" si="41"/>
        <v>6.8027210884353748E-2</v>
      </c>
      <c r="I134" s="369">
        <v>37</v>
      </c>
      <c r="J134" s="368">
        <f t="shared" si="42"/>
        <v>0.25170068027210885</v>
      </c>
      <c r="K134" s="369">
        <v>37</v>
      </c>
      <c r="L134" s="368">
        <f t="shared" si="43"/>
        <v>0.25170068027210885</v>
      </c>
      <c r="M134" s="370">
        <v>0</v>
      </c>
      <c r="N134" s="371">
        <f t="shared" si="44"/>
        <v>0</v>
      </c>
      <c r="O134" s="369">
        <v>1</v>
      </c>
      <c r="P134" s="368">
        <f t="shared" si="45"/>
        <v>6.8027210884353739E-3</v>
      </c>
      <c r="Q134" s="370">
        <v>38</v>
      </c>
      <c r="R134" s="371">
        <f t="shared" si="46"/>
        <v>0.25850340136054423</v>
      </c>
      <c r="S134" s="289"/>
      <c r="T134" s="1254"/>
    </row>
    <row r="136" spans="1:20" x14ac:dyDescent="0.25">
      <c r="A136" s="289"/>
      <c r="B136" s="383" t="s">
        <v>844</v>
      </c>
      <c r="C136" s="289"/>
      <c r="D136" s="289"/>
      <c r="E136" s="316"/>
      <c r="F136" s="316"/>
      <c r="G136" s="316"/>
      <c r="H136" s="316"/>
      <c r="I136" s="316"/>
      <c r="J136" s="316"/>
      <c r="K136" s="316"/>
      <c r="L136" s="316"/>
      <c r="M136" s="316"/>
      <c r="N136" s="316"/>
      <c r="O136" s="316"/>
      <c r="P136" s="289"/>
      <c r="Q136" s="289"/>
      <c r="R136" s="289"/>
      <c r="S136" s="289"/>
      <c r="T136" s="289"/>
    </row>
    <row r="137" spans="1:20" x14ac:dyDescent="0.25">
      <c r="A137" s="289"/>
      <c r="B137" s="289"/>
      <c r="C137" s="289"/>
      <c r="D137" s="289"/>
      <c r="E137" s="316"/>
      <c r="F137" s="379"/>
      <c r="G137" s="316"/>
      <c r="H137" s="379"/>
      <c r="I137" s="316"/>
      <c r="J137" s="379"/>
      <c r="K137" s="316"/>
      <c r="L137" s="379"/>
      <c r="M137" s="316"/>
      <c r="N137" s="316"/>
      <c r="O137" s="316"/>
      <c r="P137" s="289"/>
      <c r="Q137" s="289"/>
      <c r="R137" s="289"/>
      <c r="S137" s="289"/>
      <c r="T137" s="289"/>
    </row>
    <row r="138" spans="1:20" ht="31.5" x14ac:dyDescent="0.25">
      <c r="A138" s="289"/>
      <c r="B138" s="357" t="s">
        <v>183</v>
      </c>
      <c r="C138" s="358" t="s">
        <v>184</v>
      </c>
      <c r="D138" s="359" t="s">
        <v>792</v>
      </c>
      <c r="E138" s="360" t="s">
        <v>528</v>
      </c>
      <c r="F138" s="361" t="s">
        <v>529</v>
      </c>
      <c r="G138" s="360" t="s">
        <v>530</v>
      </c>
      <c r="H138" s="361" t="s">
        <v>241</v>
      </c>
      <c r="I138" s="360" t="s">
        <v>531</v>
      </c>
      <c r="J138" s="361" t="s">
        <v>532</v>
      </c>
      <c r="K138" s="360" t="s">
        <v>533</v>
      </c>
      <c r="L138" s="361" t="s">
        <v>534</v>
      </c>
      <c r="M138" s="362" t="s">
        <v>535</v>
      </c>
      <c r="N138" s="363" t="s">
        <v>536</v>
      </c>
      <c r="O138" s="360" t="s">
        <v>793</v>
      </c>
      <c r="P138" s="361" t="s">
        <v>794</v>
      </c>
      <c r="Q138" s="362" t="s">
        <v>668</v>
      </c>
      <c r="R138" s="363" t="s">
        <v>795</v>
      </c>
      <c r="S138" s="289"/>
      <c r="T138" s="289"/>
    </row>
    <row r="139" spans="1:20" x14ac:dyDescent="0.25">
      <c r="A139" s="289"/>
      <c r="B139" s="364" t="s">
        <v>205</v>
      </c>
      <c r="C139" s="365">
        <v>3</v>
      </c>
      <c r="D139" s="366">
        <f>D117-E30</f>
        <v>10</v>
      </c>
      <c r="E139" s="385">
        <f t="shared" ref="E139:L139" si="48">E117-F30</f>
        <v>-8</v>
      </c>
      <c r="F139" s="384">
        <f>F117-G30</f>
        <v>-0.21794871794871792</v>
      </c>
      <c r="G139" s="385">
        <f t="shared" si="48"/>
        <v>3</v>
      </c>
      <c r="H139" s="384">
        <f t="shared" si="48"/>
        <v>2.7472527472527375E-3</v>
      </c>
      <c r="I139" s="385">
        <f t="shared" si="48"/>
        <v>-2</v>
      </c>
      <c r="J139" s="384">
        <f t="shared" si="48"/>
        <v>-6.1355311355311346E-2</v>
      </c>
      <c r="K139" s="385">
        <f t="shared" si="48"/>
        <v>2</v>
      </c>
      <c r="L139" s="384">
        <f t="shared" si="48"/>
        <v>3.8461538461538464E-2</v>
      </c>
      <c r="M139" s="385">
        <f>M117-P30</f>
        <v>2</v>
      </c>
      <c r="N139" s="384">
        <f>N117-Q30</f>
        <v>2.4725274725274735E-2</v>
      </c>
      <c r="O139" s="385">
        <f>O117</f>
        <v>13</v>
      </c>
      <c r="P139" s="384">
        <f>P117</f>
        <v>0.25</v>
      </c>
      <c r="Q139" s="385">
        <f>Q117-N30</f>
        <v>0</v>
      </c>
      <c r="R139" s="384">
        <f>R117-O30</f>
        <v>-3.6630036630036611E-2</v>
      </c>
      <c r="S139" s="289"/>
      <c r="T139" s="289"/>
    </row>
    <row r="140" spans="1:20" x14ac:dyDescent="0.25">
      <c r="A140" s="289"/>
      <c r="B140" s="364" t="s">
        <v>208</v>
      </c>
      <c r="C140" s="365">
        <v>3</v>
      </c>
      <c r="D140" s="366">
        <f t="shared" ref="D140:F156" si="49">D118-E31</f>
        <v>-1</v>
      </c>
      <c r="E140" s="385">
        <f t="shared" si="49"/>
        <v>0</v>
      </c>
      <c r="F140" s="384">
        <f t="shared" si="49"/>
        <v>1.7543859649122862E-3</v>
      </c>
      <c r="G140" s="385">
        <f t="shared" ref="G140:L149" si="50">G118-H31</f>
        <v>-10</v>
      </c>
      <c r="H140" s="384">
        <f t="shared" si="50"/>
        <v>-0.12859649122807018</v>
      </c>
      <c r="I140" s="385">
        <f t="shared" si="50"/>
        <v>-6</v>
      </c>
      <c r="J140" s="384">
        <f t="shared" si="50"/>
        <v>-7.7719298245614035E-2</v>
      </c>
      <c r="K140" s="385">
        <f t="shared" si="50"/>
        <v>3</v>
      </c>
      <c r="L140" s="384">
        <f t="shared" si="50"/>
        <v>4.0701754385964919E-2</v>
      </c>
      <c r="M140" s="385">
        <f t="shared" ref="M140:M156" si="51">M118-P31</f>
        <v>-3</v>
      </c>
      <c r="N140" s="384">
        <f t="shared" ref="N140:N156" si="52">N118-Q31</f>
        <v>-3.7368421052631579E-2</v>
      </c>
      <c r="O140" s="385">
        <f t="shared" ref="O140:P156" si="53">O118</f>
        <v>15</v>
      </c>
      <c r="P140" s="384">
        <f t="shared" si="53"/>
        <v>0.2</v>
      </c>
      <c r="Q140" s="385">
        <f t="shared" ref="Q140:Q156" si="54">Q118-N31</f>
        <v>0</v>
      </c>
      <c r="R140" s="384">
        <f t="shared" ref="R140:R156" si="55">R118-O31</f>
        <v>1.2280701754386059E-3</v>
      </c>
      <c r="S140" s="289"/>
      <c r="T140" s="289"/>
    </row>
    <row r="141" spans="1:20" x14ac:dyDescent="0.25">
      <c r="A141" s="289"/>
      <c r="B141" s="364" t="s">
        <v>209</v>
      </c>
      <c r="C141" s="365">
        <v>3</v>
      </c>
      <c r="D141" s="366">
        <f t="shared" si="49"/>
        <v>14</v>
      </c>
      <c r="E141" s="385">
        <f t="shared" si="49"/>
        <v>-8</v>
      </c>
      <c r="F141" s="384">
        <f t="shared" si="49"/>
        <v>-0.1627710504083357</v>
      </c>
      <c r="G141" s="385">
        <f t="shared" si="50"/>
        <v>-4</v>
      </c>
      <c r="H141" s="384">
        <f t="shared" si="50"/>
        <v>-0.14643762320473108</v>
      </c>
      <c r="I141" s="385">
        <f t="shared" si="50"/>
        <v>9</v>
      </c>
      <c r="J141" s="384">
        <f t="shared" si="50"/>
        <v>0.12250070402703463</v>
      </c>
      <c r="K141" s="385">
        <f t="shared" si="50"/>
        <v>10</v>
      </c>
      <c r="L141" s="384">
        <f t="shared" si="50"/>
        <v>0.14925373134328357</v>
      </c>
      <c r="M141" s="385">
        <f t="shared" si="51"/>
        <v>-1</v>
      </c>
      <c r="N141" s="384">
        <f t="shared" si="52"/>
        <v>-5.8293438468037195E-2</v>
      </c>
      <c r="O141" s="385">
        <f t="shared" si="53"/>
        <v>8</v>
      </c>
      <c r="P141" s="384">
        <f t="shared" si="53"/>
        <v>0.11940298507462686</v>
      </c>
      <c r="Q141" s="385">
        <f t="shared" si="54"/>
        <v>0</v>
      </c>
      <c r="R141" s="384">
        <f t="shared" si="55"/>
        <v>-2.3655308363841179E-2</v>
      </c>
      <c r="S141" s="289"/>
      <c r="T141" s="289"/>
    </row>
    <row r="142" spans="1:20" x14ac:dyDescent="0.25">
      <c r="A142" s="289"/>
      <c r="B142" s="364" t="s">
        <v>210</v>
      </c>
      <c r="C142" s="365">
        <v>3</v>
      </c>
      <c r="D142" s="366">
        <f t="shared" si="49"/>
        <v>9</v>
      </c>
      <c r="E142" s="385">
        <f t="shared" si="49"/>
        <v>-6</v>
      </c>
      <c r="F142" s="384">
        <f t="shared" si="49"/>
        <v>-0.15925925925925924</v>
      </c>
      <c r="G142" s="385">
        <f t="shared" si="50"/>
        <v>-2</v>
      </c>
      <c r="H142" s="384">
        <f t="shared" si="50"/>
        <v>-0.1074074074074074</v>
      </c>
      <c r="I142" s="385">
        <f t="shared" si="50"/>
        <v>6</v>
      </c>
      <c r="J142" s="384">
        <f t="shared" si="50"/>
        <v>0.1111111111111111</v>
      </c>
      <c r="K142" s="385">
        <f t="shared" si="50"/>
        <v>8</v>
      </c>
      <c r="L142" s="384">
        <f t="shared" si="50"/>
        <v>0.14814814814814814</v>
      </c>
      <c r="M142" s="385">
        <f t="shared" si="51"/>
        <v>-4</v>
      </c>
      <c r="N142" s="384">
        <f t="shared" si="52"/>
        <v>-0.1</v>
      </c>
      <c r="O142" s="385">
        <f t="shared" si="53"/>
        <v>7</v>
      </c>
      <c r="P142" s="384">
        <f t="shared" si="53"/>
        <v>0.12962962962962962</v>
      </c>
      <c r="Q142" s="385">
        <f t="shared" si="54"/>
        <v>0</v>
      </c>
      <c r="R142" s="384">
        <f t="shared" si="55"/>
        <v>-2.2222222222222227E-2</v>
      </c>
      <c r="S142" s="289"/>
      <c r="T142" s="289"/>
    </row>
    <row r="143" spans="1:20" x14ac:dyDescent="0.25">
      <c r="A143" s="289"/>
      <c r="B143" s="364" t="s">
        <v>211</v>
      </c>
      <c r="C143" s="365">
        <v>3</v>
      </c>
      <c r="D143" s="366">
        <f t="shared" si="49"/>
        <v>14</v>
      </c>
      <c r="E143" s="385">
        <f t="shared" si="49"/>
        <v>-5</v>
      </c>
      <c r="F143" s="384">
        <f t="shared" si="49"/>
        <v>-0.11304347826086958</v>
      </c>
      <c r="G143" s="385">
        <f t="shared" si="50"/>
        <v>-7</v>
      </c>
      <c r="H143" s="384">
        <f t="shared" si="50"/>
        <v>-0.21581027667984187</v>
      </c>
      <c r="I143" s="385">
        <f t="shared" si="50"/>
        <v>7</v>
      </c>
      <c r="J143" s="384">
        <f t="shared" si="50"/>
        <v>9.7760210803689074E-2</v>
      </c>
      <c r="K143" s="385">
        <f t="shared" si="50"/>
        <v>11</v>
      </c>
      <c r="L143" s="384">
        <f t="shared" si="50"/>
        <v>0.15942028985507245</v>
      </c>
      <c r="M143" s="385">
        <f t="shared" si="51"/>
        <v>1</v>
      </c>
      <c r="N143" s="384">
        <f t="shared" si="52"/>
        <v>3.4255599472990811E-3</v>
      </c>
      <c r="O143" s="385">
        <f t="shared" si="53"/>
        <v>7</v>
      </c>
      <c r="P143" s="384">
        <f t="shared" si="53"/>
        <v>0.10144927536231885</v>
      </c>
      <c r="Q143" s="385">
        <f t="shared" si="54"/>
        <v>0</v>
      </c>
      <c r="R143" s="384">
        <f t="shared" si="55"/>
        <v>-3.3201581027667987E-2</v>
      </c>
      <c r="S143" s="289"/>
      <c r="T143" s="289"/>
    </row>
    <row r="144" spans="1:20" x14ac:dyDescent="0.25">
      <c r="A144" s="289"/>
      <c r="B144" s="364" t="s">
        <v>257</v>
      </c>
      <c r="C144" s="365">
        <v>3</v>
      </c>
      <c r="D144" s="366">
        <f t="shared" si="49"/>
        <v>-61</v>
      </c>
      <c r="E144" s="385">
        <f t="shared" si="49"/>
        <v>0</v>
      </c>
      <c r="F144" s="384">
        <f t="shared" si="49"/>
        <v>0</v>
      </c>
      <c r="G144" s="385">
        <f t="shared" si="50"/>
        <v>0</v>
      </c>
      <c r="H144" s="384">
        <f t="shared" si="50"/>
        <v>0</v>
      </c>
      <c r="I144" s="385">
        <f t="shared" si="50"/>
        <v>0</v>
      </c>
      <c r="J144" s="384">
        <f t="shared" si="50"/>
        <v>0</v>
      </c>
      <c r="K144" s="385">
        <f t="shared" si="50"/>
        <v>0</v>
      </c>
      <c r="L144" s="384">
        <f t="shared" si="50"/>
        <v>0</v>
      </c>
      <c r="M144" s="385">
        <f t="shared" si="51"/>
        <v>-61</v>
      </c>
      <c r="N144" s="384">
        <f t="shared" si="52"/>
        <v>0</v>
      </c>
      <c r="O144" s="385">
        <f t="shared" si="53"/>
        <v>0</v>
      </c>
      <c r="P144" s="384">
        <f t="shared" si="53"/>
        <v>0</v>
      </c>
      <c r="Q144" s="385">
        <f t="shared" si="54"/>
        <v>0</v>
      </c>
      <c r="R144" s="384">
        <f t="shared" si="55"/>
        <v>0</v>
      </c>
      <c r="S144" s="289"/>
      <c r="T144" s="289"/>
    </row>
    <row r="145" spans="2:23" x14ac:dyDescent="0.25">
      <c r="B145" s="364" t="s">
        <v>220</v>
      </c>
      <c r="C145" s="365">
        <v>3</v>
      </c>
      <c r="D145" s="366">
        <f t="shared" si="49"/>
        <v>31</v>
      </c>
      <c r="E145" s="385">
        <f t="shared" si="49"/>
        <v>4</v>
      </c>
      <c r="F145" s="384">
        <f t="shared" si="49"/>
        <v>3.3403805496828753E-2</v>
      </c>
      <c r="G145" s="385">
        <f t="shared" si="50"/>
        <v>1</v>
      </c>
      <c r="H145" s="384">
        <f t="shared" si="50"/>
        <v>-9.3234672304439742E-2</v>
      </c>
      <c r="I145" s="385">
        <f t="shared" si="50"/>
        <v>12</v>
      </c>
      <c r="J145" s="384">
        <f t="shared" si="50"/>
        <v>4.1226215644820319E-2</v>
      </c>
      <c r="K145" s="385">
        <f t="shared" si="50"/>
        <v>6</v>
      </c>
      <c r="L145" s="384">
        <f t="shared" si="50"/>
        <v>5.0105708245243137E-2</v>
      </c>
      <c r="M145" s="385">
        <f t="shared" si="51"/>
        <v>0</v>
      </c>
      <c r="N145" s="384">
        <f t="shared" si="52"/>
        <v>-0.12452431289640592</v>
      </c>
      <c r="O145" s="385">
        <f t="shared" si="53"/>
        <v>8</v>
      </c>
      <c r="P145" s="384">
        <f t="shared" si="53"/>
        <v>9.3023255813953487E-2</v>
      </c>
      <c r="Q145" s="385">
        <f t="shared" si="54"/>
        <v>0</v>
      </c>
      <c r="R145" s="384">
        <f t="shared" si="55"/>
        <v>0</v>
      </c>
      <c r="S145" s="289"/>
      <c r="T145" s="289"/>
      <c r="U145" s="289"/>
      <c r="V145" s="289"/>
      <c r="W145" s="289"/>
    </row>
    <row r="146" spans="2:23" x14ac:dyDescent="0.25">
      <c r="B146" s="364" t="s">
        <v>212</v>
      </c>
      <c r="C146" s="365">
        <v>3</v>
      </c>
      <c r="D146" s="366">
        <f t="shared" si="49"/>
        <v>6</v>
      </c>
      <c r="E146" s="385">
        <f t="shared" si="49"/>
        <v>2</v>
      </c>
      <c r="F146" s="384">
        <f t="shared" si="49"/>
        <v>2.197802197802198E-2</v>
      </c>
      <c r="G146" s="385">
        <f t="shared" si="50"/>
        <v>49</v>
      </c>
      <c r="H146" s="384">
        <f t="shared" si="50"/>
        <v>0.53303167420814479</v>
      </c>
      <c r="I146" s="385">
        <f t="shared" si="50"/>
        <v>-48</v>
      </c>
      <c r="J146" s="384">
        <f t="shared" si="50"/>
        <v>-0.56780866192630908</v>
      </c>
      <c r="K146" s="385">
        <f t="shared" si="50"/>
        <v>0</v>
      </c>
      <c r="L146" s="384">
        <f t="shared" si="50"/>
        <v>-1.5513897866839023E-3</v>
      </c>
      <c r="M146" s="385">
        <f t="shared" si="51"/>
        <v>-10</v>
      </c>
      <c r="N146" s="384">
        <f t="shared" si="52"/>
        <v>-0.12850678733031673</v>
      </c>
      <c r="O146" s="385">
        <f t="shared" si="53"/>
        <v>13</v>
      </c>
      <c r="P146" s="384">
        <f t="shared" si="53"/>
        <v>0.14285714285714285</v>
      </c>
      <c r="Q146" s="385">
        <f t="shared" si="54"/>
        <v>0</v>
      </c>
      <c r="R146" s="384">
        <f t="shared" si="55"/>
        <v>0</v>
      </c>
      <c r="S146" s="289"/>
      <c r="T146" s="289"/>
      <c r="U146" s="289"/>
      <c r="V146" s="289"/>
      <c r="W146" s="289"/>
    </row>
    <row r="147" spans="2:23" x14ac:dyDescent="0.25">
      <c r="B147" s="364" t="s">
        <v>221</v>
      </c>
      <c r="C147" s="365">
        <v>4</v>
      </c>
      <c r="D147" s="366">
        <f t="shared" si="49"/>
        <v>-13</v>
      </c>
      <c r="E147" s="385">
        <f t="shared" si="49"/>
        <v>-4</v>
      </c>
      <c r="F147" s="384">
        <f t="shared" si="49"/>
        <v>-2.7006492609476448E-2</v>
      </c>
      <c r="G147" s="385">
        <f t="shared" si="50"/>
        <v>-2</v>
      </c>
      <c r="H147" s="384">
        <f t="shared" si="50"/>
        <v>1.3123359580052285E-3</v>
      </c>
      <c r="I147" s="385">
        <f t="shared" si="50"/>
        <v>-18</v>
      </c>
      <c r="J147" s="384">
        <f t="shared" si="50"/>
        <v>-9.863240779113136E-2</v>
      </c>
      <c r="K147" s="385">
        <f t="shared" si="50"/>
        <v>2</v>
      </c>
      <c r="L147" s="384">
        <f t="shared" si="50"/>
        <v>1.933968780218262E-2</v>
      </c>
      <c r="M147" s="385">
        <f t="shared" si="51"/>
        <v>4</v>
      </c>
      <c r="N147" s="384">
        <f t="shared" si="52"/>
        <v>5.8433485288023196E-2</v>
      </c>
      <c r="O147" s="385">
        <f t="shared" si="53"/>
        <v>5</v>
      </c>
      <c r="P147" s="384">
        <f t="shared" si="53"/>
        <v>4.3859649122807015E-2</v>
      </c>
      <c r="Q147" s="385">
        <f t="shared" si="54"/>
        <v>0</v>
      </c>
      <c r="R147" s="384">
        <f t="shared" si="55"/>
        <v>2.6937422295897212E-3</v>
      </c>
      <c r="S147" s="289"/>
      <c r="T147" s="289"/>
      <c r="U147" s="289"/>
      <c r="V147" s="289"/>
      <c r="W147" s="289"/>
    </row>
    <row r="148" spans="2:23" x14ac:dyDescent="0.25">
      <c r="B148" s="364" t="s">
        <v>213</v>
      </c>
      <c r="C148" s="365">
        <v>4</v>
      </c>
      <c r="D148" s="366">
        <f t="shared" si="49"/>
        <v>20</v>
      </c>
      <c r="E148" s="385">
        <f t="shared" si="49"/>
        <v>0</v>
      </c>
      <c r="F148" s="384">
        <f t="shared" si="49"/>
        <v>-1.2091167402212676E-3</v>
      </c>
      <c r="G148" s="385">
        <f t="shared" si="50"/>
        <v>-15</v>
      </c>
      <c r="H148" s="384">
        <f t="shared" si="50"/>
        <v>-0.14781452149205007</v>
      </c>
      <c r="I148" s="385">
        <f t="shared" si="50"/>
        <v>3</v>
      </c>
      <c r="J148" s="384">
        <f t="shared" si="50"/>
        <v>-6.4264554742760382E-2</v>
      </c>
      <c r="K148" s="385">
        <f t="shared" si="50"/>
        <v>7</v>
      </c>
      <c r="L148" s="384">
        <f t="shared" si="50"/>
        <v>4.7941478749773295E-2</v>
      </c>
      <c r="M148" s="385">
        <f t="shared" si="51"/>
        <v>15</v>
      </c>
      <c r="N148" s="384">
        <f t="shared" si="52"/>
        <v>9.4613384922314248E-2</v>
      </c>
      <c r="O148" s="385">
        <f t="shared" si="53"/>
        <v>10</v>
      </c>
      <c r="P148" s="384">
        <f t="shared" si="53"/>
        <v>7.1942446043165464E-2</v>
      </c>
      <c r="Q148" s="385">
        <f t="shared" si="54"/>
        <v>0</v>
      </c>
      <c r="R148" s="384">
        <f t="shared" si="55"/>
        <v>-1.2091167402212676E-3</v>
      </c>
      <c r="S148" s="289"/>
      <c r="T148" s="289"/>
      <c r="U148" s="289"/>
      <c r="V148" s="289"/>
      <c r="W148" s="289"/>
    </row>
    <row r="149" spans="2:23" x14ac:dyDescent="0.25">
      <c r="B149" s="364" t="s">
        <v>214</v>
      </c>
      <c r="C149" s="365">
        <v>4</v>
      </c>
      <c r="D149" s="366">
        <f t="shared" si="49"/>
        <v>-2</v>
      </c>
      <c r="E149" s="385">
        <f t="shared" si="49"/>
        <v>0</v>
      </c>
      <c r="F149" s="384">
        <f t="shared" si="49"/>
        <v>0</v>
      </c>
      <c r="G149" s="385">
        <f t="shared" si="50"/>
        <v>41</v>
      </c>
      <c r="H149" s="384">
        <f t="shared" si="50"/>
        <v>0.32259615384615381</v>
      </c>
      <c r="I149" s="385">
        <f t="shared" si="50"/>
        <v>-72</v>
      </c>
      <c r="J149" s="384">
        <f t="shared" si="50"/>
        <v>-0.55156249999999996</v>
      </c>
      <c r="K149" s="385">
        <f t="shared" si="50"/>
        <v>2</v>
      </c>
      <c r="L149" s="384">
        <f t="shared" si="50"/>
        <v>1.5865384615384615E-2</v>
      </c>
      <c r="M149" s="385">
        <f t="shared" si="51"/>
        <v>-2</v>
      </c>
      <c r="N149" s="384">
        <f t="shared" si="52"/>
        <v>-1.3461538461538469E-2</v>
      </c>
      <c r="O149" s="385">
        <f t="shared" si="53"/>
        <v>29</v>
      </c>
      <c r="P149" s="384">
        <f t="shared" si="53"/>
        <v>0.2265625</v>
      </c>
      <c r="Q149" s="385">
        <f t="shared" si="54"/>
        <v>0</v>
      </c>
      <c r="R149" s="384">
        <f t="shared" si="55"/>
        <v>0</v>
      </c>
      <c r="S149" s="289"/>
      <c r="T149" s="289"/>
      <c r="U149" s="289"/>
      <c r="V149" s="289"/>
      <c r="W149" s="289"/>
    </row>
    <row r="150" spans="2:23" x14ac:dyDescent="0.25">
      <c r="B150" s="364" t="s">
        <v>259</v>
      </c>
      <c r="C150" s="365">
        <v>4</v>
      </c>
      <c r="D150" s="366">
        <f t="shared" si="49"/>
        <v>-57</v>
      </c>
      <c r="E150" s="385">
        <f t="shared" si="49"/>
        <v>0</v>
      </c>
      <c r="F150" s="384">
        <f t="shared" si="49"/>
        <v>0</v>
      </c>
      <c r="G150" s="385">
        <f t="shared" ref="G150:L156" si="56">G128-H41</f>
        <v>0</v>
      </c>
      <c r="H150" s="384">
        <f t="shared" si="56"/>
        <v>0</v>
      </c>
      <c r="I150" s="385">
        <f t="shared" si="56"/>
        <v>0</v>
      </c>
      <c r="J150" s="384">
        <f t="shared" si="56"/>
        <v>0</v>
      </c>
      <c r="K150" s="385">
        <f t="shared" si="56"/>
        <v>0</v>
      </c>
      <c r="L150" s="384">
        <f t="shared" si="56"/>
        <v>0</v>
      </c>
      <c r="M150" s="385">
        <f t="shared" si="51"/>
        <v>-57</v>
      </c>
      <c r="N150" s="384">
        <f t="shared" si="52"/>
        <v>0</v>
      </c>
      <c r="O150" s="385">
        <f t="shared" si="53"/>
        <v>0</v>
      </c>
      <c r="P150" s="384">
        <f t="shared" si="53"/>
        <v>0</v>
      </c>
      <c r="Q150" s="385">
        <f t="shared" si="54"/>
        <v>0</v>
      </c>
      <c r="R150" s="384">
        <f t="shared" si="55"/>
        <v>0</v>
      </c>
      <c r="S150" s="289"/>
      <c r="T150" s="289"/>
      <c r="U150" s="289"/>
      <c r="V150" s="289"/>
      <c r="W150" s="289"/>
    </row>
    <row r="151" spans="2:23" x14ac:dyDescent="0.25">
      <c r="B151" s="364" t="s">
        <v>261</v>
      </c>
      <c r="C151" s="365">
        <v>4</v>
      </c>
      <c r="D151" s="366">
        <f t="shared" si="49"/>
        <v>-57</v>
      </c>
      <c r="E151" s="385">
        <f t="shared" si="49"/>
        <v>0</v>
      </c>
      <c r="F151" s="384">
        <f t="shared" si="49"/>
        <v>0</v>
      </c>
      <c r="G151" s="385">
        <f t="shared" si="56"/>
        <v>0</v>
      </c>
      <c r="H151" s="384">
        <f t="shared" si="56"/>
        <v>0</v>
      </c>
      <c r="I151" s="385">
        <f t="shared" si="56"/>
        <v>0</v>
      </c>
      <c r="J151" s="384">
        <f t="shared" si="56"/>
        <v>0</v>
      </c>
      <c r="K151" s="385">
        <f t="shared" si="56"/>
        <v>0</v>
      </c>
      <c r="L151" s="384">
        <f t="shared" si="56"/>
        <v>0</v>
      </c>
      <c r="M151" s="385">
        <f t="shared" si="51"/>
        <v>-57</v>
      </c>
      <c r="N151" s="384">
        <f t="shared" si="52"/>
        <v>0</v>
      </c>
      <c r="O151" s="385">
        <f t="shared" si="53"/>
        <v>0</v>
      </c>
      <c r="P151" s="384">
        <f t="shared" si="53"/>
        <v>0</v>
      </c>
      <c r="Q151" s="385">
        <f t="shared" si="54"/>
        <v>0</v>
      </c>
      <c r="R151" s="384">
        <f t="shared" si="55"/>
        <v>0</v>
      </c>
      <c r="S151" s="289"/>
      <c r="T151" s="289"/>
      <c r="U151" s="289"/>
      <c r="V151" s="289"/>
      <c r="W151" s="289"/>
    </row>
    <row r="152" spans="2:23" x14ac:dyDescent="0.25">
      <c r="B152" s="364" t="s">
        <v>262</v>
      </c>
      <c r="C152" s="365">
        <v>4</v>
      </c>
      <c r="D152" s="366">
        <f t="shared" si="49"/>
        <v>-49</v>
      </c>
      <c r="E152" s="385">
        <f t="shared" si="49"/>
        <v>0</v>
      </c>
      <c r="F152" s="384">
        <f t="shared" si="49"/>
        <v>0</v>
      </c>
      <c r="G152" s="385">
        <f t="shared" si="56"/>
        <v>0</v>
      </c>
      <c r="H152" s="384">
        <f t="shared" si="56"/>
        <v>0</v>
      </c>
      <c r="I152" s="385">
        <f t="shared" si="56"/>
        <v>0</v>
      </c>
      <c r="J152" s="384">
        <f t="shared" si="56"/>
        <v>0</v>
      </c>
      <c r="K152" s="385">
        <f t="shared" si="56"/>
        <v>0</v>
      </c>
      <c r="L152" s="384">
        <f t="shared" si="56"/>
        <v>0</v>
      </c>
      <c r="M152" s="385">
        <f t="shared" si="51"/>
        <v>-49</v>
      </c>
      <c r="N152" s="384">
        <f t="shared" si="52"/>
        <v>0</v>
      </c>
      <c r="O152" s="385">
        <f t="shared" si="53"/>
        <v>0</v>
      </c>
      <c r="P152" s="384">
        <f t="shared" si="53"/>
        <v>0</v>
      </c>
      <c r="Q152" s="385">
        <f t="shared" si="54"/>
        <v>0</v>
      </c>
      <c r="R152" s="384">
        <f t="shared" si="55"/>
        <v>0</v>
      </c>
      <c r="S152" s="289"/>
      <c r="T152" s="289"/>
      <c r="U152" s="289"/>
      <c r="V152" s="289"/>
      <c r="W152" s="289"/>
    </row>
    <row r="153" spans="2:23" x14ac:dyDescent="0.25">
      <c r="B153" s="364" t="s">
        <v>215</v>
      </c>
      <c r="C153" s="365">
        <v>4</v>
      </c>
      <c r="D153" s="366">
        <f t="shared" si="49"/>
        <v>8</v>
      </c>
      <c r="E153" s="385">
        <f t="shared" si="49"/>
        <v>-7</v>
      </c>
      <c r="F153" s="384">
        <f t="shared" si="49"/>
        <v>-0.11000178284899269</v>
      </c>
      <c r="G153" s="385">
        <f t="shared" si="56"/>
        <v>-1</v>
      </c>
      <c r="H153" s="384">
        <f t="shared" si="56"/>
        <v>-4.688892850775539E-2</v>
      </c>
      <c r="I153" s="385">
        <f t="shared" si="56"/>
        <v>5</v>
      </c>
      <c r="J153" s="384">
        <f t="shared" si="56"/>
        <v>6.3291139240506333E-2</v>
      </c>
      <c r="K153" s="385">
        <f t="shared" si="56"/>
        <v>15</v>
      </c>
      <c r="L153" s="384">
        <f t="shared" si="56"/>
        <v>0.189873417721519</v>
      </c>
      <c r="M153" s="385">
        <f t="shared" si="51"/>
        <v>-14</v>
      </c>
      <c r="N153" s="384">
        <f t="shared" si="52"/>
        <v>-0.20146193617400604</v>
      </c>
      <c r="O153" s="385">
        <f t="shared" si="53"/>
        <v>10</v>
      </c>
      <c r="P153" s="384">
        <f t="shared" si="53"/>
        <v>0.12658227848101267</v>
      </c>
      <c r="Q153" s="385">
        <f t="shared" si="54"/>
        <v>0</v>
      </c>
      <c r="R153" s="384">
        <f t="shared" si="55"/>
        <v>-2.1394187912283813E-2</v>
      </c>
      <c r="S153" s="289"/>
      <c r="T153" s="289"/>
      <c r="U153" s="289"/>
      <c r="V153" s="289"/>
      <c r="W153" s="289"/>
    </row>
    <row r="154" spans="2:23" x14ac:dyDescent="0.25">
      <c r="B154" s="364" t="s">
        <v>216</v>
      </c>
      <c r="C154" s="365">
        <v>5</v>
      </c>
      <c r="D154" s="366">
        <f t="shared" si="49"/>
        <v>13</v>
      </c>
      <c r="E154" s="385">
        <f t="shared" si="49"/>
        <v>6</v>
      </c>
      <c r="F154" s="384">
        <f t="shared" si="49"/>
        <v>3.870967741935484E-2</v>
      </c>
      <c r="G154" s="385">
        <f t="shared" si="56"/>
        <v>32</v>
      </c>
      <c r="H154" s="384">
        <f t="shared" si="56"/>
        <v>0.19818264425261245</v>
      </c>
      <c r="I154" s="385">
        <f t="shared" si="56"/>
        <v>-56</v>
      </c>
      <c r="J154" s="384">
        <f t="shared" si="56"/>
        <v>-0.42153566560654254</v>
      </c>
      <c r="K154" s="385">
        <f t="shared" si="56"/>
        <v>10</v>
      </c>
      <c r="L154" s="384">
        <f t="shared" si="56"/>
        <v>6.2153566560654239E-2</v>
      </c>
      <c r="M154" s="385">
        <f t="shared" si="51"/>
        <v>-1</v>
      </c>
      <c r="N154" s="384">
        <f t="shared" si="52"/>
        <v>-1.8264425261244902E-2</v>
      </c>
      <c r="O154" s="385">
        <f t="shared" si="53"/>
        <v>22</v>
      </c>
      <c r="P154" s="384">
        <f t="shared" si="53"/>
        <v>0.14193548387096774</v>
      </c>
      <c r="Q154" s="385">
        <f t="shared" si="54"/>
        <v>0</v>
      </c>
      <c r="R154" s="384">
        <f t="shared" si="55"/>
        <v>-1.1812812358019086E-3</v>
      </c>
      <c r="S154" s="289"/>
      <c r="T154" s="289"/>
      <c r="U154" s="289"/>
      <c r="V154" s="289"/>
      <c r="W154" s="289"/>
    </row>
    <row r="155" spans="2:23" x14ac:dyDescent="0.25">
      <c r="B155" s="364" t="s">
        <v>217</v>
      </c>
      <c r="C155" s="365">
        <v>5</v>
      </c>
      <c r="D155" s="366">
        <f t="shared" si="49"/>
        <v>13</v>
      </c>
      <c r="E155" s="385">
        <f t="shared" si="49"/>
        <v>0</v>
      </c>
      <c r="F155" s="384">
        <f t="shared" si="49"/>
        <v>-2.0084043999505641E-3</v>
      </c>
      <c r="G155" s="385">
        <f t="shared" si="56"/>
        <v>-3</v>
      </c>
      <c r="H155" s="384">
        <f t="shared" si="56"/>
        <v>-2.2540477073291321E-2</v>
      </c>
      <c r="I155" s="385">
        <f t="shared" si="56"/>
        <v>-32</v>
      </c>
      <c r="J155" s="384">
        <f t="shared" si="56"/>
        <v>-0.15514151526387343</v>
      </c>
      <c r="K155" s="385">
        <f t="shared" si="56"/>
        <v>17</v>
      </c>
      <c r="L155" s="384">
        <f t="shared" si="56"/>
        <v>6.5134099616858232E-2</v>
      </c>
      <c r="M155" s="385">
        <f t="shared" si="51"/>
        <v>-5</v>
      </c>
      <c r="N155" s="384">
        <f t="shared" si="52"/>
        <v>-2.237053516252626E-2</v>
      </c>
      <c r="O155" s="385">
        <f t="shared" si="53"/>
        <v>36</v>
      </c>
      <c r="P155" s="384">
        <f t="shared" si="53"/>
        <v>0.13793103448275862</v>
      </c>
      <c r="Q155" s="385">
        <f t="shared" si="54"/>
        <v>0</v>
      </c>
      <c r="R155" s="384">
        <f t="shared" si="55"/>
        <v>-1.004202199975282E-3</v>
      </c>
      <c r="S155" s="289"/>
      <c r="T155" s="289"/>
      <c r="U155" s="289"/>
      <c r="V155" s="289"/>
      <c r="W155" s="289"/>
    </row>
    <row r="156" spans="2:23" x14ac:dyDescent="0.25">
      <c r="B156" s="364" t="s">
        <v>219</v>
      </c>
      <c r="C156" s="365">
        <v>6</v>
      </c>
      <c r="D156" s="366">
        <f t="shared" si="49"/>
        <v>12</v>
      </c>
      <c r="E156" s="385">
        <f t="shared" si="49"/>
        <v>-34</v>
      </c>
      <c r="F156" s="384">
        <f t="shared" si="49"/>
        <v>-0.26636432350718064</v>
      </c>
      <c r="G156" s="385">
        <f t="shared" si="56"/>
        <v>10</v>
      </c>
      <c r="H156" s="384">
        <f t="shared" si="56"/>
        <v>6.8027210884353748E-2</v>
      </c>
      <c r="I156" s="385">
        <f t="shared" si="56"/>
        <v>-2</v>
      </c>
      <c r="J156" s="384">
        <f t="shared" si="56"/>
        <v>-3.7188208616780016E-2</v>
      </c>
      <c r="K156" s="385">
        <f t="shared" si="56"/>
        <v>37</v>
      </c>
      <c r="L156" s="384">
        <f t="shared" si="56"/>
        <v>0.25170068027210885</v>
      </c>
      <c r="M156" s="385">
        <f t="shared" si="51"/>
        <v>0</v>
      </c>
      <c r="N156" s="384">
        <f t="shared" si="52"/>
        <v>0</v>
      </c>
      <c r="O156" s="385">
        <f t="shared" si="53"/>
        <v>1</v>
      </c>
      <c r="P156" s="384">
        <f t="shared" si="53"/>
        <v>6.8027210884353739E-3</v>
      </c>
      <c r="Q156" s="385">
        <f t="shared" si="54"/>
        <v>0</v>
      </c>
      <c r="R156" s="384">
        <f t="shared" si="55"/>
        <v>-2.2978080120937272E-2</v>
      </c>
      <c r="S156" s="289"/>
      <c r="T156" s="289"/>
      <c r="U156" s="289"/>
      <c r="V156" s="289"/>
      <c r="W156" s="289"/>
    </row>
    <row r="157" spans="2:23" x14ac:dyDescent="0.25">
      <c r="B157" s="289"/>
      <c r="C157" s="289"/>
      <c r="D157" s="289"/>
      <c r="E157" s="316"/>
      <c r="F157" s="316"/>
      <c r="G157" s="316"/>
      <c r="H157" s="316"/>
      <c r="I157" s="316"/>
      <c r="J157" s="316"/>
      <c r="K157" s="316"/>
      <c r="L157" s="316"/>
      <c r="M157" s="316"/>
      <c r="N157" s="316"/>
      <c r="O157" s="316"/>
      <c r="P157" s="289"/>
      <c r="Q157" s="289"/>
      <c r="R157" s="289"/>
      <c r="S157" s="289"/>
      <c r="T157" s="289"/>
      <c r="U157" s="289"/>
      <c r="V157" s="289"/>
      <c r="W157" s="289"/>
    </row>
    <row r="158" spans="2:23" x14ac:dyDescent="0.25">
      <c r="B158" s="289"/>
      <c r="C158" s="386">
        <v>1</v>
      </c>
      <c r="D158" s="289">
        <v>2</v>
      </c>
      <c r="E158" s="316">
        <v>3</v>
      </c>
      <c r="F158" s="316">
        <v>4</v>
      </c>
      <c r="G158" s="316">
        <v>5</v>
      </c>
      <c r="H158" s="316"/>
      <c r="I158" s="316">
        <v>1</v>
      </c>
      <c r="J158" s="316">
        <v>2</v>
      </c>
      <c r="K158" s="316">
        <v>3</v>
      </c>
      <c r="L158" s="316">
        <v>4</v>
      </c>
      <c r="M158" s="316">
        <v>5</v>
      </c>
      <c r="N158" s="316" t="s">
        <v>845</v>
      </c>
      <c r="O158" s="316" t="s">
        <v>846</v>
      </c>
      <c r="P158" s="289"/>
      <c r="Q158" s="316">
        <v>1</v>
      </c>
      <c r="R158" s="316">
        <v>2</v>
      </c>
      <c r="S158" s="316">
        <v>3</v>
      </c>
      <c r="T158" s="316">
        <v>4</v>
      </c>
      <c r="U158" s="316">
        <v>5</v>
      </c>
      <c r="V158" s="316" t="s">
        <v>845</v>
      </c>
      <c r="W158" s="316" t="s">
        <v>846</v>
      </c>
    </row>
    <row r="159" spans="2:23" x14ac:dyDescent="0.25">
      <c r="B159" s="237" t="s">
        <v>205</v>
      </c>
      <c r="C159" s="268">
        <v>0.40476190476190477</v>
      </c>
      <c r="D159" s="268">
        <v>0.2857142857142857</v>
      </c>
      <c r="E159" s="268">
        <v>0.11904761904761904</v>
      </c>
      <c r="F159" s="268">
        <v>0.11904761904761904</v>
      </c>
      <c r="G159" s="268">
        <v>7.1428571428571425E-2</v>
      </c>
      <c r="H159" s="268"/>
      <c r="I159" s="387">
        <f>F117</f>
        <v>0.11538461538461539</v>
      </c>
      <c r="J159" s="1255">
        <f>H117</f>
        <v>0.28846153846153844</v>
      </c>
      <c r="K159" s="1255">
        <f>J117</f>
        <v>5.7692307692307696E-2</v>
      </c>
      <c r="L159" s="1255">
        <f>L117</f>
        <v>3.8461538461538464E-2</v>
      </c>
      <c r="M159" s="1255">
        <f>N117</f>
        <v>9.6153846153846159E-2</v>
      </c>
      <c r="N159" s="1255">
        <f>P117</f>
        <v>0.25</v>
      </c>
      <c r="O159" s="1255">
        <f>R117</f>
        <v>0.15384615384615385</v>
      </c>
      <c r="P159" s="289"/>
      <c r="Q159" s="374">
        <f>I159-C159</f>
        <v>-0.28937728937728935</v>
      </c>
      <c r="R159" s="374">
        <f>J159-D159</f>
        <v>2.7472527472527375E-3</v>
      </c>
      <c r="S159" s="374">
        <f>K159-E159</f>
        <v>-6.1355311355311346E-2</v>
      </c>
      <c r="T159" s="374">
        <f>L159-F159</f>
        <v>-8.0586080586080577E-2</v>
      </c>
      <c r="U159" s="374">
        <f>M159-G159</f>
        <v>2.4725274725274735E-2</v>
      </c>
      <c r="V159" s="374">
        <f>N159-0</f>
        <v>0.25</v>
      </c>
      <c r="W159" s="374">
        <f>O159-0</f>
        <v>0.15384615384615385</v>
      </c>
    </row>
    <row r="160" spans="2:23" x14ac:dyDescent="0.25">
      <c r="B160" s="237" t="s">
        <v>208</v>
      </c>
      <c r="C160" s="268">
        <v>0.13157894736842105</v>
      </c>
      <c r="D160" s="268">
        <v>0.35526315789473684</v>
      </c>
      <c r="E160" s="268">
        <v>0.17105263157894737</v>
      </c>
      <c r="F160" s="268">
        <v>0.14473684210526316</v>
      </c>
      <c r="G160" s="268">
        <v>0.19736842105263158</v>
      </c>
      <c r="H160" s="268"/>
      <c r="I160" s="387">
        <f t="shared" ref="I160:I176" si="57">F118</f>
        <v>0.13333333333333333</v>
      </c>
      <c r="J160" s="1255">
        <f t="shared" ref="J160:J176" si="58">H118</f>
        <v>0.22666666666666666</v>
      </c>
      <c r="K160" s="1255">
        <f t="shared" ref="K160:K176" si="59">J118</f>
        <v>9.3333333333333338E-2</v>
      </c>
      <c r="L160" s="1255">
        <f t="shared" ref="L160:L176" si="60">L118</f>
        <v>9.3333333333333338E-2</v>
      </c>
      <c r="M160" s="1255">
        <f t="shared" ref="M160:M176" si="61">N118</f>
        <v>0.16</v>
      </c>
      <c r="N160" s="1255">
        <f t="shared" ref="N160:N176" si="62">P118</f>
        <v>0.2</v>
      </c>
      <c r="O160" s="1255">
        <f t="shared" ref="O160:O176" si="63">R118</f>
        <v>9.3333333333333338E-2</v>
      </c>
      <c r="P160" s="289"/>
      <c r="Q160" s="374">
        <f t="shared" ref="Q160:Q176" si="64">I160-C160</f>
        <v>1.7543859649122862E-3</v>
      </c>
      <c r="R160" s="374">
        <f t="shared" ref="R160:R176" si="65">J160-D160</f>
        <v>-0.12859649122807018</v>
      </c>
      <c r="S160" s="374">
        <f t="shared" ref="S160:S176" si="66">K160-E160</f>
        <v>-7.7719298245614035E-2</v>
      </c>
      <c r="T160" s="374">
        <f t="shared" ref="T160:T176" si="67">L160-F160</f>
        <v>-5.1403508771929826E-2</v>
      </c>
      <c r="U160" s="374">
        <f t="shared" ref="U160:U176" si="68">M160-G160</f>
        <v>-3.7368421052631579E-2</v>
      </c>
      <c r="V160" s="374">
        <f t="shared" ref="V160:V176" si="69">N160-0</f>
        <v>0.2</v>
      </c>
      <c r="W160" s="374">
        <f t="shared" ref="W160:W176" si="70">O160-0</f>
        <v>9.3333333333333338E-2</v>
      </c>
    </row>
    <row r="161" spans="2:23" x14ac:dyDescent="0.25">
      <c r="B161" s="237" t="s">
        <v>209</v>
      </c>
      <c r="C161" s="268">
        <v>0.26415094339622641</v>
      </c>
      <c r="D161" s="268">
        <v>0.41509433962264153</v>
      </c>
      <c r="E161" s="268">
        <v>5.6603773584905662E-2</v>
      </c>
      <c r="F161" s="268">
        <v>5.6603773584905662E-2</v>
      </c>
      <c r="G161" s="268">
        <v>0.20754716981132076</v>
      </c>
      <c r="H161" s="268"/>
      <c r="I161" s="387">
        <f t="shared" si="57"/>
        <v>4.4776119402985072E-2</v>
      </c>
      <c r="J161" s="1255">
        <f t="shared" si="58"/>
        <v>0.26865671641791045</v>
      </c>
      <c r="K161" s="1255">
        <f t="shared" si="59"/>
        <v>0.17910447761194029</v>
      </c>
      <c r="L161" s="1255">
        <f t="shared" si="60"/>
        <v>0.14925373134328357</v>
      </c>
      <c r="M161" s="1255">
        <f t="shared" si="61"/>
        <v>0.14925373134328357</v>
      </c>
      <c r="N161" s="1255">
        <f t="shared" si="62"/>
        <v>0.11940298507462686</v>
      </c>
      <c r="O161" s="1255">
        <f t="shared" si="63"/>
        <v>8.9552238805970144E-2</v>
      </c>
      <c r="P161" s="289"/>
      <c r="Q161" s="374">
        <f t="shared" si="64"/>
        <v>-0.21937482399324135</v>
      </c>
      <c r="R161" s="374">
        <f t="shared" si="65"/>
        <v>-0.14643762320473108</v>
      </c>
      <c r="S161" s="374">
        <f t="shared" si="66"/>
        <v>0.12250070402703463</v>
      </c>
      <c r="T161" s="374">
        <f t="shared" si="67"/>
        <v>9.2649957758377907E-2</v>
      </c>
      <c r="U161" s="374">
        <f t="shared" si="68"/>
        <v>-5.8293438468037195E-2</v>
      </c>
      <c r="V161" s="374">
        <f t="shared" si="69"/>
        <v>0.11940298507462686</v>
      </c>
      <c r="W161" s="374">
        <f t="shared" si="70"/>
        <v>8.9552238805970144E-2</v>
      </c>
    </row>
    <row r="162" spans="2:23" x14ac:dyDescent="0.25">
      <c r="B162" s="237" t="s">
        <v>210</v>
      </c>
      <c r="C162" s="268">
        <v>0.4</v>
      </c>
      <c r="D162" s="268">
        <v>0.42222222222222222</v>
      </c>
      <c r="E162" s="268">
        <v>0</v>
      </c>
      <c r="F162" s="268">
        <v>2.2222222222222223E-2</v>
      </c>
      <c r="G162" s="268">
        <v>0.15555555555555556</v>
      </c>
      <c r="H162" s="268"/>
      <c r="I162" s="387">
        <f t="shared" si="57"/>
        <v>0.12962962962962962</v>
      </c>
      <c r="J162" s="1255">
        <f t="shared" si="58"/>
        <v>0.31481481481481483</v>
      </c>
      <c r="K162" s="1255">
        <f t="shared" si="59"/>
        <v>0.1111111111111111</v>
      </c>
      <c r="L162" s="1255">
        <f t="shared" si="60"/>
        <v>0.14814814814814814</v>
      </c>
      <c r="M162" s="1255">
        <f t="shared" si="61"/>
        <v>5.5555555555555552E-2</v>
      </c>
      <c r="N162" s="1255">
        <f t="shared" si="62"/>
        <v>0.12962962962962962</v>
      </c>
      <c r="O162" s="1255">
        <f t="shared" si="63"/>
        <v>0.1111111111111111</v>
      </c>
      <c r="P162" s="289"/>
      <c r="Q162" s="374">
        <f t="shared" si="64"/>
        <v>-0.27037037037037037</v>
      </c>
      <c r="R162" s="374">
        <f t="shared" si="65"/>
        <v>-0.1074074074074074</v>
      </c>
      <c r="S162" s="374">
        <f t="shared" si="66"/>
        <v>0.1111111111111111</v>
      </c>
      <c r="T162" s="374">
        <f t="shared" si="67"/>
        <v>0.12592592592592591</v>
      </c>
      <c r="U162" s="374">
        <f t="shared" si="68"/>
        <v>-0.1</v>
      </c>
      <c r="V162" s="374">
        <f t="shared" si="69"/>
        <v>0.12962962962962962</v>
      </c>
      <c r="W162" s="374">
        <f t="shared" si="70"/>
        <v>0.1111111111111111</v>
      </c>
    </row>
    <row r="163" spans="2:23" x14ac:dyDescent="0.25">
      <c r="B163" s="237" t="s">
        <v>211</v>
      </c>
      <c r="C163" s="268">
        <v>0.2</v>
      </c>
      <c r="D163" s="268">
        <v>0.5636363636363636</v>
      </c>
      <c r="E163" s="268">
        <v>1.8181818181818181E-2</v>
      </c>
      <c r="F163" s="268">
        <v>0.16363636363636364</v>
      </c>
      <c r="G163" s="268">
        <v>5.4545454545454543E-2</v>
      </c>
      <c r="H163" s="268"/>
      <c r="I163" s="387">
        <f t="shared" si="57"/>
        <v>8.6956521739130432E-2</v>
      </c>
      <c r="J163" s="1255">
        <f t="shared" si="58"/>
        <v>0.34782608695652173</v>
      </c>
      <c r="K163" s="1255">
        <f t="shared" si="59"/>
        <v>0.11594202898550725</v>
      </c>
      <c r="L163" s="1255">
        <f t="shared" si="60"/>
        <v>0.15942028985507245</v>
      </c>
      <c r="M163" s="1255">
        <f t="shared" si="61"/>
        <v>5.7971014492753624E-2</v>
      </c>
      <c r="N163" s="1255">
        <f t="shared" si="62"/>
        <v>0.10144927536231885</v>
      </c>
      <c r="O163" s="1255">
        <f t="shared" si="63"/>
        <v>0.13043478260869565</v>
      </c>
      <c r="P163" s="289"/>
      <c r="Q163" s="374">
        <f t="shared" si="64"/>
        <v>-0.11304347826086958</v>
      </c>
      <c r="R163" s="374">
        <f t="shared" si="65"/>
        <v>-0.21581027667984187</v>
      </c>
      <c r="S163" s="374">
        <f t="shared" si="66"/>
        <v>9.7760210803689074E-2</v>
      </c>
      <c r="T163" s="374">
        <f t="shared" si="67"/>
        <v>-4.2160737812911853E-3</v>
      </c>
      <c r="U163" s="374">
        <f t="shared" si="68"/>
        <v>3.4255599472990811E-3</v>
      </c>
      <c r="V163" s="374">
        <f t="shared" si="69"/>
        <v>0.10144927536231885</v>
      </c>
      <c r="W163" s="374">
        <f t="shared" si="70"/>
        <v>0.13043478260869565</v>
      </c>
    </row>
    <row r="164" spans="2:23" x14ac:dyDescent="0.25">
      <c r="B164" s="237" t="s">
        <v>257</v>
      </c>
      <c r="C164" s="268">
        <v>0</v>
      </c>
      <c r="D164" s="268">
        <v>0</v>
      </c>
      <c r="E164" s="268">
        <v>0</v>
      </c>
      <c r="F164" s="268">
        <v>0</v>
      </c>
      <c r="G164" s="268">
        <v>1</v>
      </c>
      <c r="H164" s="268"/>
      <c r="I164" s="387">
        <f t="shared" si="57"/>
        <v>0</v>
      </c>
      <c r="J164" s="1255">
        <f t="shared" si="58"/>
        <v>0</v>
      </c>
      <c r="K164" s="1255">
        <f t="shared" si="59"/>
        <v>0</v>
      </c>
      <c r="L164" s="1255">
        <f t="shared" si="60"/>
        <v>0</v>
      </c>
      <c r="M164" s="1255">
        <f t="shared" si="61"/>
        <v>1</v>
      </c>
      <c r="N164" s="1255">
        <f t="shared" si="62"/>
        <v>0</v>
      </c>
      <c r="O164" s="1255">
        <f t="shared" si="63"/>
        <v>0</v>
      </c>
      <c r="P164" s="289"/>
      <c r="Q164" s="374">
        <f t="shared" si="64"/>
        <v>0</v>
      </c>
      <c r="R164" s="374">
        <f t="shared" si="65"/>
        <v>0</v>
      </c>
      <c r="S164" s="374">
        <f t="shared" si="66"/>
        <v>0</v>
      </c>
      <c r="T164" s="374">
        <f t="shared" si="67"/>
        <v>0</v>
      </c>
      <c r="U164" s="374">
        <f t="shared" si="68"/>
        <v>0</v>
      </c>
      <c r="V164" s="374">
        <f t="shared" si="69"/>
        <v>0</v>
      </c>
      <c r="W164" s="374">
        <f t="shared" si="70"/>
        <v>0</v>
      </c>
    </row>
    <row r="165" spans="2:23" x14ac:dyDescent="0.25">
      <c r="B165" s="237" t="s">
        <v>220</v>
      </c>
      <c r="C165" s="268">
        <v>3.6363636363636362E-2</v>
      </c>
      <c r="D165" s="268">
        <v>0.29090909090909089</v>
      </c>
      <c r="E165" s="268">
        <v>0.27272727272727271</v>
      </c>
      <c r="F165" s="268">
        <v>5.4545454545454543E-2</v>
      </c>
      <c r="G165" s="268">
        <v>0.34545454545454546</v>
      </c>
      <c r="H165" s="268"/>
      <c r="I165" s="387">
        <f t="shared" si="57"/>
        <v>6.9767441860465115E-2</v>
      </c>
      <c r="J165" s="1255">
        <f t="shared" si="58"/>
        <v>0.19767441860465115</v>
      </c>
      <c r="K165" s="1255">
        <f t="shared" si="59"/>
        <v>0.31395348837209303</v>
      </c>
      <c r="L165" s="1255">
        <f t="shared" si="60"/>
        <v>0.10465116279069768</v>
      </c>
      <c r="M165" s="1255">
        <f t="shared" si="61"/>
        <v>0.22093023255813954</v>
      </c>
      <c r="N165" s="1255">
        <f t="shared" si="62"/>
        <v>9.3023255813953487E-2</v>
      </c>
      <c r="O165" s="1255">
        <f t="shared" si="63"/>
        <v>0</v>
      </c>
      <c r="P165" s="289"/>
      <c r="Q165" s="374">
        <f t="shared" si="64"/>
        <v>3.3403805496828753E-2</v>
      </c>
      <c r="R165" s="374">
        <f t="shared" si="65"/>
        <v>-9.3234672304439742E-2</v>
      </c>
      <c r="S165" s="374">
        <f t="shared" si="66"/>
        <v>4.1226215644820319E-2</v>
      </c>
      <c r="T165" s="374">
        <f t="shared" si="67"/>
        <v>5.0105708245243137E-2</v>
      </c>
      <c r="U165" s="374">
        <f t="shared" si="68"/>
        <v>-0.12452431289640592</v>
      </c>
      <c r="V165" s="374">
        <f t="shared" si="69"/>
        <v>9.3023255813953487E-2</v>
      </c>
      <c r="W165" s="374">
        <f t="shared" si="70"/>
        <v>0</v>
      </c>
    </row>
    <row r="166" spans="2:23" x14ac:dyDescent="0.25">
      <c r="B166" s="237" t="s">
        <v>212</v>
      </c>
      <c r="C166" s="268">
        <v>0</v>
      </c>
      <c r="D166" s="268">
        <v>8.2352941176470587E-2</v>
      </c>
      <c r="E166" s="268">
        <v>0.61176470588235299</v>
      </c>
      <c r="F166" s="268">
        <v>2.3529411764705882E-2</v>
      </c>
      <c r="G166" s="268">
        <v>0.28235294117647058</v>
      </c>
      <c r="H166" s="268"/>
      <c r="I166" s="387">
        <f t="shared" si="57"/>
        <v>2.197802197802198E-2</v>
      </c>
      <c r="J166" s="1255">
        <f t="shared" si="58"/>
        <v>0.61538461538461542</v>
      </c>
      <c r="K166" s="1255">
        <f t="shared" si="59"/>
        <v>4.3956043956043959E-2</v>
      </c>
      <c r="L166" s="1255">
        <f t="shared" si="60"/>
        <v>2.197802197802198E-2</v>
      </c>
      <c r="M166" s="1255">
        <f t="shared" si="61"/>
        <v>0.15384615384615385</v>
      </c>
      <c r="N166" s="1255">
        <f t="shared" si="62"/>
        <v>0.14285714285714285</v>
      </c>
      <c r="O166" s="1255">
        <f t="shared" si="63"/>
        <v>0</v>
      </c>
      <c r="P166" s="289"/>
      <c r="Q166" s="374">
        <f t="shared" si="64"/>
        <v>2.197802197802198E-2</v>
      </c>
      <c r="R166" s="374">
        <f t="shared" si="65"/>
        <v>0.53303167420814479</v>
      </c>
      <c r="S166" s="374">
        <f t="shared" si="66"/>
        <v>-0.56780866192630908</v>
      </c>
      <c r="T166" s="374">
        <f t="shared" si="67"/>
        <v>-1.5513897866839023E-3</v>
      </c>
      <c r="U166" s="374">
        <f t="shared" si="68"/>
        <v>-0.12850678733031673</v>
      </c>
      <c r="V166" s="374">
        <f t="shared" si="69"/>
        <v>0.14285714285714285</v>
      </c>
      <c r="W166" s="374">
        <f t="shared" si="70"/>
        <v>0</v>
      </c>
    </row>
    <row r="167" spans="2:23" x14ac:dyDescent="0.25">
      <c r="B167" s="237" t="s">
        <v>221</v>
      </c>
      <c r="C167" s="268">
        <v>7.0866141732283464E-2</v>
      </c>
      <c r="D167" s="268">
        <v>0.16535433070866143</v>
      </c>
      <c r="E167" s="268">
        <v>0.51968503937007871</v>
      </c>
      <c r="F167" s="268">
        <v>3.937007874015748E-2</v>
      </c>
      <c r="G167" s="268">
        <v>0.20472440944881889</v>
      </c>
      <c r="H167" s="268"/>
      <c r="I167" s="387">
        <f t="shared" si="57"/>
        <v>4.3859649122807015E-2</v>
      </c>
      <c r="J167" s="1255">
        <f t="shared" si="58"/>
        <v>0.16666666666666666</v>
      </c>
      <c r="K167" s="1255">
        <f t="shared" si="59"/>
        <v>0.42105263157894735</v>
      </c>
      <c r="L167" s="1255">
        <f t="shared" si="60"/>
        <v>3.5087719298245612E-2</v>
      </c>
      <c r="M167" s="1255">
        <f t="shared" si="61"/>
        <v>0.26315789473684209</v>
      </c>
      <c r="N167" s="1255">
        <f t="shared" si="62"/>
        <v>4.3859649122807015E-2</v>
      </c>
      <c r="O167" s="1255">
        <f t="shared" si="63"/>
        <v>2.6315789473684209E-2</v>
      </c>
      <c r="P167" s="289"/>
      <c r="Q167" s="374">
        <f t="shared" si="64"/>
        <v>-2.7006492609476448E-2</v>
      </c>
      <c r="R167" s="374">
        <f t="shared" si="65"/>
        <v>1.3123359580052285E-3</v>
      </c>
      <c r="S167" s="374">
        <f t="shared" si="66"/>
        <v>-9.863240779113136E-2</v>
      </c>
      <c r="T167" s="374">
        <f t="shared" si="67"/>
        <v>-4.2823594419118677E-3</v>
      </c>
      <c r="U167" s="374">
        <f t="shared" si="68"/>
        <v>5.8433485288023196E-2</v>
      </c>
      <c r="V167" s="374">
        <f t="shared" si="69"/>
        <v>4.3859649122807015E-2</v>
      </c>
      <c r="W167" s="374">
        <f t="shared" si="70"/>
        <v>2.6315789473684209E-2</v>
      </c>
    </row>
    <row r="168" spans="2:23" x14ac:dyDescent="0.25">
      <c r="B168" s="237" t="s">
        <v>213</v>
      </c>
      <c r="C168" s="268">
        <v>8.4033613445378148E-3</v>
      </c>
      <c r="D168" s="268">
        <v>0.27731092436974791</v>
      </c>
      <c r="E168" s="268">
        <v>0.59663865546218486</v>
      </c>
      <c r="F168" s="268">
        <v>2.5210084033613446E-2</v>
      </c>
      <c r="G168" s="268">
        <v>9.2436974789915971E-2</v>
      </c>
      <c r="H168" s="268"/>
      <c r="I168" s="387">
        <f t="shared" si="57"/>
        <v>7.1942446043165471E-3</v>
      </c>
      <c r="J168" s="1255">
        <f t="shared" si="58"/>
        <v>0.12949640287769784</v>
      </c>
      <c r="K168" s="1255">
        <f t="shared" si="59"/>
        <v>0.53237410071942448</v>
      </c>
      <c r="L168" s="1255">
        <f t="shared" si="60"/>
        <v>6.4748201438848921E-2</v>
      </c>
      <c r="M168" s="1255">
        <f t="shared" si="61"/>
        <v>0.18705035971223022</v>
      </c>
      <c r="N168" s="1255">
        <f t="shared" si="62"/>
        <v>7.1942446043165464E-2</v>
      </c>
      <c r="O168" s="1255">
        <f t="shared" si="63"/>
        <v>7.1942446043165471E-3</v>
      </c>
      <c r="P168" s="289"/>
      <c r="Q168" s="374">
        <f t="shared" si="64"/>
        <v>-1.2091167402212676E-3</v>
      </c>
      <c r="R168" s="374">
        <f t="shared" si="65"/>
        <v>-0.14781452149205007</v>
      </c>
      <c r="S168" s="374">
        <f t="shared" si="66"/>
        <v>-6.4264554742760382E-2</v>
      </c>
      <c r="T168" s="374">
        <f t="shared" si="67"/>
        <v>3.9538117405235475E-2</v>
      </c>
      <c r="U168" s="374">
        <f t="shared" si="68"/>
        <v>9.4613384922314248E-2</v>
      </c>
      <c r="V168" s="374">
        <f t="shared" si="69"/>
        <v>7.1942446043165464E-2</v>
      </c>
      <c r="W168" s="374">
        <f t="shared" si="70"/>
        <v>7.1942446043165471E-3</v>
      </c>
    </row>
    <row r="169" spans="2:23" x14ac:dyDescent="0.25">
      <c r="B169" s="237" t="s">
        <v>214</v>
      </c>
      <c r="C169" s="268">
        <v>0</v>
      </c>
      <c r="D169" s="268">
        <v>0.14615384615384616</v>
      </c>
      <c r="E169" s="268">
        <v>0.7</v>
      </c>
      <c r="F169" s="268">
        <v>1.5384615384615385E-2</v>
      </c>
      <c r="G169" s="268">
        <v>0.13846153846153847</v>
      </c>
      <c r="H169" s="268"/>
      <c r="I169" s="387">
        <f t="shared" si="57"/>
        <v>0</v>
      </c>
      <c r="J169" s="1255">
        <f t="shared" si="58"/>
        <v>0.46875</v>
      </c>
      <c r="K169" s="1255">
        <f t="shared" si="59"/>
        <v>0.1484375</v>
      </c>
      <c r="L169" s="1255">
        <f t="shared" si="60"/>
        <v>3.125E-2</v>
      </c>
      <c r="M169" s="1255">
        <f t="shared" si="61"/>
        <v>0.125</v>
      </c>
      <c r="N169" s="1255">
        <f t="shared" si="62"/>
        <v>0.2265625</v>
      </c>
      <c r="O169" s="1255">
        <f t="shared" si="63"/>
        <v>0</v>
      </c>
      <c r="P169" s="289"/>
      <c r="Q169" s="374">
        <f t="shared" si="64"/>
        <v>0</v>
      </c>
      <c r="R169" s="374">
        <f t="shared" si="65"/>
        <v>0.32259615384615381</v>
      </c>
      <c r="S169" s="374">
        <f t="shared" si="66"/>
        <v>-0.55156249999999996</v>
      </c>
      <c r="T169" s="374">
        <f t="shared" si="67"/>
        <v>1.5865384615384615E-2</v>
      </c>
      <c r="U169" s="374">
        <f t="shared" si="68"/>
        <v>-1.3461538461538469E-2</v>
      </c>
      <c r="V169" s="374">
        <f t="shared" si="69"/>
        <v>0.2265625</v>
      </c>
      <c r="W169" s="374">
        <f t="shared" si="70"/>
        <v>0</v>
      </c>
    </row>
    <row r="170" spans="2:23" x14ac:dyDescent="0.25">
      <c r="B170" s="237" t="s">
        <v>259</v>
      </c>
      <c r="C170" s="268">
        <v>0</v>
      </c>
      <c r="D170" s="268">
        <v>0</v>
      </c>
      <c r="E170" s="268">
        <v>0</v>
      </c>
      <c r="F170" s="268">
        <v>0</v>
      </c>
      <c r="G170" s="268">
        <v>1</v>
      </c>
      <c r="H170" s="268"/>
      <c r="I170" s="387">
        <f t="shared" si="57"/>
        <v>0</v>
      </c>
      <c r="J170" s="1255">
        <f t="shared" si="58"/>
        <v>0</v>
      </c>
      <c r="K170" s="1255">
        <f t="shared" si="59"/>
        <v>0</v>
      </c>
      <c r="L170" s="1255">
        <f t="shared" si="60"/>
        <v>0</v>
      </c>
      <c r="M170" s="1255">
        <f t="shared" si="61"/>
        <v>1</v>
      </c>
      <c r="N170" s="1255">
        <f t="shared" si="62"/>
        <v>0</v>
      </c>
      <c r="O170" s="1255">
        <f t="shared" si="63"/>
        <v>0</v>
      </c>
      <c r="P170" s="289"/>
      <c r="Q170" s="374">
        <f t="shared" si="64"/>
        <v>0</v>
      </c>
      <c r="R170" s="374">
        <f t="shared" si="65"/>
        <v>0</v>
      </c>
      <c r="S170" s="374">
        <f t="shared" si="66"/>
        <v>0</v>
      </c>
      <c r="T170" s="374">
        <f t="shared" si="67"/>
        <v>0</v>
      </c>
      <c r="U170" s="374">
        <f t="shared" si="68"/>
        <v>0</v>
      </c>
      <c r="V170" s="374">
        <f t="shared" si="69"/>
        <v>0</v>
      </c>
      <c r="W170" s="374">
        <f t="shared" si="70"/>
        <v>0</v>
      </c>
    </row>
    <row r="171" spans="2:23" x14ac:dyDescent="0.25">
      <c r="B171" s="237" t="s">
        <v>261</v>
      </c>
      <c r="C171" s="268">
        <v>0</v>
      </c>
      <c r="D171" s="268">
        <v>0</v>
      </c>
      <c r="E171" s="268">
        <v>0</v>
      </c>
      <c r="F171" s="268">
        <v>0</v>
      </c>
      <c r="G171" s="268">
        <v>1</v>
      </c>
      <c r="H171" s="268"/>
      <c r="I171" s="387">
        <f t="shared" si="57"/>
        <v>0</v>
      </c>
      <c r="J171" s="1255">
        <f t="shared" si="58"/>
        <v>0</v>
      </c>
      <c r="K171" s="1255">
        <f t="shared" si="59"/>
        <v>0</v>
      </c>
      <c r="L171" s="1255">
        <f t="shared" si="60"/>
        <v>0</v>
      </c>
      <c r="M171" s="1255">
        <f t="shared" si="61"/>
        <v>1</v>
      </c>
      <c r="N171" s="1255">
        <f t="shared" si="62"/>
        <v>0</v>
      </c>
      <c r="O171" s="1255">
        <f t="shared" si="63"/>
        <v>0</v>
      </c>
      <c r="P171" s="289"/>
      <c r="Q171" s="374">
        <f t="shared" si="64"/>
        <v>0</v>
      </c>
      <c r="R171" s="374">
        <f t="shared" si="65"/>
        <v>0</v>
      </c>
      <c r="S171" s="374">
        <f t="shared" si="66"/>
        <v>0</v>
      </c>
      <c r="T171" s="374">
        <f t="shared" si="67"/>
        <v>0</v>
      </c>
      <c r="U171" s="374">
        <f t="shared" si="68"/>
        <v>0</v>
      </c>
      <c r="V171" s="374">
        <f t="shared" si="69"/>
        <v>0</v>
      </c>
      <c r="W171" s="374">
        <f t="shared" si="70"/>
        <v>0</v>
      </c>
    </row>
    <row r="172" spans="2:23" x14ac:dyDescent="0.25">
      <c r="B172" s="237" t="s">
        <v>262</v>
      </c>
      <c r="C172" s="268">
        <v>0</v>
      </c>
      <c r="D172" s="268">
        <v>0</v>
      </c>
      <c r="E172" s="268">
        <v>0</v>
      </c>
      <c r="F172" s="268">
        <v>0</v>
      </c>
      <c r="G172" s="268">
        <v>1</v>
      </c>
      <c r="H172" s="268"/>
      <c r="I172" s="387">
        <f t="shared" si="57"/>
        <v>0</v>
      </c>
      <c r="J172" s="1255">
        <f t="shared" si="58"/>
        <v>0</v>
      </c>
      <c r="K172" s="1255">
        <f t="shared" si="59"/>
        <v>0</v>
      </c>
      <c r="L172" s="1255">
        <f t="shared" si="60"/>
        <v>0</v>
      </c>
      <c r="M172" s="1255">
        <f t="shared" si="61"/>
        <v>1</v>
      </c>
      <c r="N172" s="1255">
        <f t="shared" si="62"/>
        <v>0</v>
      </c>
      <c r="O172" s="1255">
        <f t="shared" si="63"/>
        <v>0</v>
      </c>
      <c r="P172" s="289"/>
      <c r="Q172" s="374">
        <f t="shared" si="64"/>
        <v>0</v>
      </c>
      <c r="R172" s="374">
        <f t="shared" si="65"/>
        <v>0</v>
      </c>
      <c r="S172" s="374">
        <f t="shared" si="66"/>
        <v>0</v>
      </c>
      <c r="T172" s="374">
        <f t="shared" si="67"/>
        <v>0</v>
      </c>
      <c r="U172" s="374">
        <f t="shared" si="68"/>
        <v>0</v>
      </c>
      <c r="V172" s="374">
        <f t="shared" si="69"/>
        <v>0</v>
      </c>
      <c r="W172" s="374">
        <f t="shared" si="70"/>
        <v>0</v>
      </c>
    </row>
    <row r="173" spans="2:23" x14ac:dyDescent="0.25">
      <c r="B173" s="237" t="s">
        <v>215</v>
      </c>
      <c r="C173" s="268">
        <v>0.23943661971830985</v>
      </c>
      <c r="D173" s="268">
        <v>0.3380281690140845</v>
      </c>
      <c r="E173" s="268">
        <v>0</v>
      </c>
      <c r="F173" s="268">
        <v>0.18309859154929578</v>
      </c>
      <c r="G173" s="268">
        <v>0.23943661971830985</v>
      </c>
      <c r="H173" s="268"/>
      <c r="I173" s="387">
        <f t="shared" si="57"/>
        <v>0.10126582278481013</v>
      </c>
      <c r="J173" s="1255">
        <f t="shared" si="58"/>
        <v>0.29113924050632911</v>
      </c>
      <c r="K173" s="1255">
        <f t="shared" si="59"/>
        <v>6.3291139240506333E-2</v>
      </c>
      <c r="L173" s="1255">
        <f t="shared" si="60"/>
        <v>0.189873417721519</v>
      </c>
      <c r="M173" s="1255">
        <f t="shared" si="61"/>
        <v>3.7974683544303799E-2</v>
      </c>
      <c r="N173" s="1255">
        <f t="shared" si="62"/>
        <v>0.12658227848101267</v>
      </c>
      <c r="O173" s="1255">
        <f t="shared" si="63"/>
        <v>0.189873417721519</v>
      </c>
      <c r="P173" s="289"/>
      <c r="Q173" s="374">
        <f t="shared" si="64"/>
        <v>-0.13817079693349971</v>
      </c>
      <c r="R173" s="374">
        <f t="shared" si="65"/>
        <v>-4.688892850775539E-2</v>
      </c>
      <c r="S173" s="374">
        <f t="shared" si="66"/>
        <v>6.3291139240506333E-2</v>
      </c>
      <c r="T173" s="374">
        <f t="shared" si="67"/>
        <v>6.7748261722232195E-3</v>
      </c>
      <c r="U173" s="374">
        <f t="shared" si="68"/>
        <v>-0.20146193617400604</v>
      </c>
      <c r="V173" s="374">
        <f t="shared" si="69"/>
        <v>0.12658227848101267</v>
      </c>
      <c r="W173" s="374">
        <f t="shared" si="70"/>
        <v>0.189873417721519</v>
      </c>
    </row>
    <row r="174" spans="2:23" x14ac:dyDescent="0.25">
      <c r="B174" s="237" t="s">
        <v>216</v>
      </c>
      <c r="C174" s="268">
        <v>0</v>
      </c>
      <c r="D174" s="268">
        <v>9.8591549295774641E-2</v>
      </c>
      <c r="E174" s="268">
        <v>0.71830985915492962</v>
      </c>
      <c r="F174" s="268">
        <v>4.2253521126760563E-2</v>
      </c>
      <c r="G174" s="268">
        <v>0.14084507042253522</v>
      </c>
      <c r="H174" s="268"/>
      <c r="I174" s="387">
        <f t="shared" si="57"/>
        <v>3.870967741935484E-2</v>
      </c>
      <c r="J174" s="1255">
        <f t="shared" si="58"/>
        <v>0.29677419354838708</v>
      </c>
      <c r="K174" s="1255">
        <f t="shared" si="59"/>
        <v>0.29677419354838708</v>
      </c>
      <c r="L174" s="1255">
        <f t="shared" si="60"/>
        <v>9.0322580645161285E-2</v>
      </c>
      <c r="M174" s="1255">
        <f t="shared" si="61"/>
        <v>0.12258064516129032</v>
      </c>
      <c r="N174" s="1255">
        <f t="shared" si="62"/>
        <v>0.14193548387096774</v>
      </c>
      <c r="O174" s="1255">
        <f t="shared" si="63"/>
        <v>1.2903225806451613E-2</v>
      </c>
      <c r="P174" s="289"/>
      <c r="Q174" s="374">
        <f t="shared" si="64"/>
        <v>3.870967741935484E-2</v>
      </c>
      <c r="R174" s="374">
        <f t="shared" si="65"/>
        <v>0.19818264425261245</v>
      </c>
      <c r="S174" s="374">
        <f t="shared" si="66"/>
        <v>-0.42153566560654254</v>
      </c>
      <c r="T174" s="374">
        <f t="shared" si="67"/>
        <v>4.8069059518400722E-2</v>
      </c>
      <c r="U174" s="374">
        <f t="shared" si="68"/>
        <v>-1.8264425261244902E-2</v>
      </c>
      <c r="V174" s="374">
        <f t="shared" si="69"/>
        <v>0.14193548387096774</v>
      </c>
      <c r="W174" s="374">
        <f t="shared" si="70"/>
        <v>1.2903225806451613E-2</v>
      </c>
    </row>
    <row r="175" spans="2:23" x14ac:dyDescent="0.25">
      <c r="B175" s="237" t="s">
        <v>217</v>
      </c>
      <c r="C175" s="268">
        <v>6.0483870967741937E-2</v>
      </c>
      <c r="D175" s="268">
        <v>0.22177419354838709</v>
      </c>
      <c r="E175" s="268">
        <v>0.65322580645161288</v>
      </c>
      <c r="F175" s="268">
        <v>0</v>
      </c>
      <c r="G175" s="268">
        <v>6.4516129032258063E-2</v>
      </c>
      <c r="H175" s="268"/>
      <c r="I175" s="387">
        <f t="shared" si="57"/>
        <v>3.8314176245210725E-2</v>
      </c>
      <c r="J175" s="1255">
        <f t="shared" si="58"/>
        <v>0.19923371647509577</v>
      </c>
      <c r="K175" s="1255">
        <f t="shared" si="59"/>
        <v>0.49808429118773945</v>
      </c>
      <c r="L175" s="1255">
        <f t="shared" si="60"/>
        <v>6.5134099616858232E-2</v>
      </c>
      <c r="M175" s="1255">
        <f t="shared" si="61"/>
        <v>4.2145593869731802E-2</v>
      </c>
      <c r="N175" s="1255">
        <f t="shared" si="62"/>
        <v>0.13793103448275862</v>
      </c>
      <c r="O175" s="1255">
        <f t="shared" si="63"/>
        <v>1.9157088122605363E-2</v>
      </c>
      <c r="P175" s="289"/>
      <c r="Q175" s="374">
        <f t="shared" si="64"/>
        <v>-2.2169694722531212E-2</v>
      </c>
      <c r="R175" s="374">
        <f t="shared" si="65"/>
        <v>-2.2540477073291321E-2</v>
      </c>
      <c r="S175" s="374">
        <f t="shared" si="66"/>
        <v>-0.15514151526387343</v>
      </c>
      <c r="T175" s="374">
        <f t="shared" si="67"/>
        <v>6.5134099616858232E-2</v>
      </c>
      <c r="U175" s="374">
        <f t="shared" si="68"/>
        <v>-2.237053516252626E-2</v>
      </c>
      <c r="V175" s="374">
        <f t="shared" si="69"/>
        <v>0.13793103448275862</v>
      </c>
      <c r="W175" s="374">
        <f t="shared" si="70"/>
        <v>1.9157088122605363E-2</v>
      </c>
    </row>
    <row r="176" spans="2:23" x14ac:dyDescent="0.25">
      <c r="B176" s="237" t="s">
        <v>219</v>
      </c>
      <c r="C176" s="268">
        <v>0.50370370370370365</v>
      </c>
      <c r="D176" s="268">
        <v>0</v>
      </c>
      <c r="E176" s="268">
        <v>0.28888888888888886</v>
      </c>
      <c r="F176" s="268">
        <v>0.2074074074074074</v>
      </c>
      <c r="G176" s="268">
        <v>0</v>
      </c>
      <c r="H176" s="268"/>
      <c r="I176" s="387">
        <f t="shared" si="57"/>
        <v>0.16326530612244897</v>
      </c>
      <c r="J176" s="1255">
        <f t="shared" si="58"/>
        <v>6.8027210884353748E-2</v>
      </c>
      <c r="K176" s="1255">
        <f t="shared" si="59"/>
        <v>0.25170068027210885</v>
      </c>
      <c r="L176" s="1255">
        <f t="shared" si="60"/>
        <v>0.25170068027210885</v>
      </c>
      <c r="M176" s="1255">
        <f t="shared" si="61"/>
        <v>0</v>
      </c>
      <c r="N176" s="1255">
        <f t="shared" si="62"/>
        <v>6.8027210884353739E-3</v>
      </c>
      <c r="O176" s="1255">
        <f t="shared" si="63"/>
        <v>0.25850340136054423</v>
      </c>
      <c r="P176" s="289"/>
      <c r="Q176" s="374">
        <f t="shared" si="64"/>
        <v>-0.34043839758125471</v>
      </c>
      <c r="R176" s="374">
        <f t="shared" si="65"/>
        <v>6.8027210884353748E-2</v>
      </c>
      <c r="S176" s="374">
        <f t="shared" si="66"/>
        <v>-3.7188208616780016E-2</v>
      </c>
      <c r="T176" s="374">
        <f t="shared" si="67"/>
        <v>4.4293272864701444E-2</v>
      </c>
      <c r="U176" s="374">
        <f t="shared" si="68"/>
        <v>0</v>
      </c>
      <c r="V176" s="374">
        <f t="shared" si="69"/>
        <v>6.8027210884353739E-3</v>
      </c>
      <c r="W176" s="374">
        <f t="shared" si="70"/>
        <v>0.25850340136054423</v>
      </c>
    </row>
    <row r="178" spans="1:18" x14ac:dyDescent="0.25">
      <c r="A178" s="289"/>
      <c r="B178" s="354">
        <v>43556</v>
      </c>
      <c r="C178" s="355"/>
      <c r="D178" s="355"/>
      <c r="E178" s="355"/>
      <c r="F178" s="356"/>
      <c r="G178" s="356"/>
      <c r="H178" s="356"/>
      <c r="I178" s="356"/>
      <c r="J178" s="356"/>
      <c r="K178" s="356"/>
      <c r="L178" s="356"/>
      <c r="M178" s="356"/>
      <c r="N178" s="356"/>
      <c r="O178" s="356"/>
      <c r="P178" s="356"/>
      <c r="Q178" s="356"/>
      <c r="R178" s="356"/>
    </row>
    <row r="179" spans="1:18" x14ac:dyDescent="0.25">
      <c r="A179" s="289"/>
      <c r="B179" s="356"/>
      <c r="C179" s="356"/>
      <c r="D179" s="356"/>
      <c r="E179" s="356"/>
      <c r="F179" s="356"/>
      <c r="G179" s="356"/>
      <c r="H179" s="356">
        <v>8</v>
      </c>
      <c r="I179" s="356">
        <v>9</v>
      </c>
      <c r="J179" s="356">
        <v>10</v>
      </c>
      <c r="K179" s="356">
        <v>11</v>
      </c>
      <c r="L179" s="356">
        <v>12</v>
      </c>
      <c r="M179" s="356">
        <v>13</v>
      </c>
      <c r="N179" s="356">
        <v>14</v>
      </c>
      <c r="O179" s="356">
        <v>15</v>
      </c>
      <c r="P179" s="356">
        <v>16</v>
      </c>
      <c r="Q179" s="356">
        <v>17</v>
      </c>
      <c r="R179" s="356">
        <v>18</v>
      </c>
    </row>
    <row r="180" spans="1:18" ht="31.5" x14ac:dyDescent="0.25">
      <c r="A180" s="289"/>
      <c r="B180" s="357" t="s">
        <v>183</v>
      </c>
      <c r="C180" s="358" t="s">
        <v>184</v>
      </c>
      <c r="D180" s="359" t="s">
        <v>792</v>
      </c>
      <c r="E180" s="360" t="s">
        <v>528</v>
      </c>
      <c r="F180" s="361" t="s">
        <v>529</v>
      </c>
      <c r="G180" s="360" t="s">
        <v>530</v>
      </c>
      <c r="H180" s="361" t="s">
        <v>241</v>
      </c>
      <c r="I180" s="360" t="s">
        <v>531</v>
      </c>
      <c r="J180" s="361" t="s">
        <v>532</v>
      </c>
      <c r="K180" s="360" t="s">
        <v>533</v>
      </c>
      <c r="L180" s="361" t="s">
        <v>534</v>
      </c>
      <c r="M180" s="362" t="s">
        <v>535</v>
      </c>
      <c r="N180" s="363" t="s">
        <v>536</v>
      </c>
      <c r="O180" s="360" t="s">
        <v>793</v>
      </c>
      <c r="P180" s="361" t="s">
        <v>794</v>
      </c>
      <c r="Q180" s="362" t="s">
        <v>668</v>
      </c>
      <c r="R180" s="363" t="s">
        <v>795</v>
      </c>
    </row>
    <row r="181" spans="1:18" x14ac:dyDescent="0.25">
      <c r="A181" s="244">
        <v>9257010</v>
      </c>
      <c r="B181" s="364" t="s">
        <v>205</v>
      </c>
      <c r="C181" s="365">
        <v>3</v>
      </c>
      <c r="D181" s="366">
        <f t="shared" ref="D181:D189" si="71">E181+G181+I181+K181+M181+O181+Q181</f>
        <v>52</v>
      </c>
      <c r="E181" s="367">
        <v>6</v>
      </c>
      <c r="F181" s="368">
        <f>E181/D181</f>
        <v>0.11538461538461539</v>
      </c>
      <c r="G181" s="369">
        <v>15</v>
      </c>
      <c r="H181" s="368">
        <f>G181/D181</f>
        <v>0.28846153846153844</v>
      </c>
      <c r="I181" s="369">
        <v>3</v>
      </c>
      <c r="J181" s="368">
        <f>I181/D181</f>
        <v>5.7692307692307696E-2</v>
      </c>
      <c r="K181" s="369">
        <v>2</v>
      </c>
      <c r="L181" s="368">
        <f>K181/D181</f>
        <v>3.8461538461538464E-2</v>
      </c>
      <c r="M181" s="370">
        <v>5</v>
      </c>
      <c r="N181" s="371">
        <f>M181/D181</f>
        <v>9.6153846153846159E-2</v>
      </c>
      <c r="O181" s="369">
        <v>13</v>
      </c>
      <c r="P181" s="368">
        <f>O181/D181</f>
        <v>0.25</v>
      </c>
      <c r="Q181" s="370">
        <v>8</v>
      </c>
      <c r="R181" s="371">
        <f>Q181/D181</f>
        <v>0.15384615384615385</v>
      </c>
    </row>
    <row r="182" spans="1:18" x14ac:dyDescent="0.25">
      <c r="A182" s="244">
        <v>9257005</v>
      </c>
      <c r="B182" s="364" t="s">
        <v>208</v>
      </c>
      <c r="C182" s="365">
        <v>3</v>
      </c>
      <c r="D182" s="366">
        <f t="shared" si="71"/>
        <v>75</v>
      </c>
      <c r="E182" s="367">
        <v>10</v>
      </c>
      <c r="F182" s="368">
        <f>E182/D182</f>
        <v>0.13333333333333333</v>
      </c>
      <c r="G182" s="369">
        <v>17</v>
      </c>
      <c r="H182" s="368">
        <f>G182/D182</f>
        <v>0.22666666666666666</v>
      </c>
      <c r="I182" s="369">
        <v>7</v>
      </c>
      <c r="J182" s="368">
        <f>I182/D182</f>
        <v>9.3333333333333338E-2</v>
      </c>
      <c r="K182" s="369">
        <v>7</v>
      </c>
      <c r="L182" s="368">
        <f>K182/D182</f>
        <v>9.3333333333333338E-2</v>
      </c>
      <c r="M182" s="370">
        <v>12</v>
      </c>
      <c r="N182" s="371">
        <f>M182/D182</f>
        <v>0.16</v>
      </c>
      <c r="O182" s="369">
        <v>15</v>
      </c>
      <c r="P182" s="368">
        <f>O182/D182</f>
        <v>0.2</v>
      </c>
      <c r="Q182" s="370">
        <v>7</v>
      </c>
      <c r="R182" s="371">
        <f>Q182/D182</f>
        <v>9.3333333333333338E-2</v>
      </c>
    </row>
    <row r="183" spans="1:18" x14ac:dyDescent="0.25">
      <c r="A183" s="244">
        <v>9257025</v>
      </c>
      <c r="B183" s="364" t="s">
        <v>209</v>
      </c>
      <c r="C183" s="365">
        <v>3</v>
      </c>
      <c r="D183" s="366">
        <f t="shared" si="71"/>
        <v>67</v>
      </c>
      <c r="E183" s="367">
        <v>3</v>
      </c>
      <c r="F183" s="368">
        <f>E183/D183</f>
        <v>4.4776119402985072E-2</v>
      </c>
      <c r="G183" s="369">
        <v>18</v>
      </c>
      <c r="H183" s="368">
        <f>G183/D183</f>
        <v>0.26865671641791045</v>
      </c>
      <c r="I183" s="369">
        <v>12</v>
      </c>
      <c r="J183" s="368">
        <f>I183/D183</f>
        <v>0.17910447761194029</v>
      </c>
      <c r="K183" s="369">
        <v>10</v>
      </c>
      <c r="L183" s="368">
        <f>K183/D183</f>
        <v>0.14925373134328357</v>
      </c>
      <c r="M183" s="370">
        <v>10</v>
      </c>
      <c r="N183" s="371">
        <f>M183/D183</f>
        <v>0.14925373134328357</v>
      </c>
      <c r="O183" s="369">
        <v>8</v>
      </c>
      <c r="P183" s="368">
        <f>O183/D183</f>
        <v>0.11940298507462686</v>
      </c>
      <c r="Q183" s="370">
        <v>6</v>
      </c>
      <c r="R183" s="371">
        <f>Q183/D183</f>
        <v>8.9552238805970144E-2</v>
      </c>
    </row>
    <row r="184" spans="1:18" x14ac:dyDescent="0.25">
      <c r="A184" s="244">
        <v>9257011</v>
      </c>
      <c r="B184" s="364" t="s">
        <v>210</v>
      </c>
      <c r="C184" s="365">
        <v>3</v>
      </c>
      <c r="D184" s="366">
        <f t="shared" si="71"/>
        <v>54</v>
      </c>
      <c r="E184" s="367">
        <v>7</v>
      </c>
      <c r="F184" s="368">
        <f>E184/D184</f>
        <v>0.12962962962962962</v>
      </c>
      <c r="G184" s="369">
        <v>17</v>
      </c>
      <c r="H184" s="368">
        <f>G184/D184</f>
        <v>0.31481481481481483</v>
      </c>
      <c r="I184" s="369">
        <v>6</v>
      </c>
      <c r="J184" s="368">
        <f>I184/D184</f>
        <v>0.1111111111111111</v>
      </c>
      <c r="K184" s="369">
        <v>8</v>
      </c>
      <c r="L184" s="368">
        <f>K184/D184</f>
        <v>0.14814814814814814</v>
      </c>
      <c r="M184" s="370">
        <v>3</v>
      </c>
      <c r="N184" s="371">
        <f>M184/D184</f>
        <v>5.5555555555555552E-2</v>
      </c>
      <c r="O184" s="369">
        <v>7</v>
      </c>
      <c r="P184" s="368">
        <f>O184/D184</f>
        <v>0.12962962962962962</v>
      </c>
      <c r="Q184" s="370">
        <v>6</v>
      </c>
      <c r="R184" s="371">
        <f>Q184/D184</f>
        <v>0.1111111111111111</v>
      </c>
    </row>
    <row r="185" spans="1:18" x14ac:dyDescent="0.25">
      <c r="A185" s="244">
        <v>9257024</v>
      </c>
      <c r="B185" s="364" t="s">
        <v>211</v>
      </c>
      <c r="C185" s="365">
        <v>3</v>
      </c>
      <c r="D185" s="366">
        <f t="shared" si="71"/>
        <v>69</v>
      </c>
      <c r="E185" s="369">
        <v>6</v>
      </c>
      <c r="F185" s="368">
        <f>E185/D185</f>
        <v>8.6956521739130432E-2</v>
      </c>
      <c r="G185" s="369">
        <v>24</v>
      </c>
      <c r="H185" s="368">
        <f>G185/D185</f>
        <v>0.34782608695652173</v>
      </c>
      <c r="I185" s="369">
        <v>8</v>
      </c>
      <c r="J185" s="368">
        <f>I185/D185</f>
        <v>0.11594202898550725</v>
      </c>
      <c r="K185" s="369">
        <v>11</v>
      </c>
      <c r="L185" s="368">
        <f>K185/D185</f>
        <v>0.15942028985507245</v>
      </c>
      <c r="M185" s="370">
        <v>4</v>
      </c>
      <c r="N185" s="371">
        <f>M185/D185</f>
        <v>5.7971014492753624E-2</v>
      </c>
      <c r="O185" s="369">
        <v>7</v>
      </c>
      <c r="P185" s="368">
        <f>O185/D185</f>
        <v>0.10144927536231885</v>
      </c>
      <c r="Q185" s="370">
        <v>9</v>
      </c>
      <c r="R185" s="371">
        <f>Q185/D185</f>
        <v>0.13043478260869565</v>
      </c>
    </row>
    <row r="186" spans="1:18" x14ac:dyDescent="0.25">
      <c r="A186" s="244">
        <v>9257031</v>
      </c>
      <c r="B186" s="364" t="s">
        <v>257</v>
      </c>
      <c r="C186" s="365">
        <v>3</v>
      </c>
      <c r="D186" s="366">
        <f t="shared" si="71"/>
        <v>0</v>
      </c>
      <c r="E186" s="369">
        <v>0</v>
      </c>
      <c r="F186" s="368">
        <v>0</v>
      </c>
      <c r="G186" s="369">
        <v>0</v>
      </c>
      <c r="H186" s="368">
        <v>0</v>
      </c>
      <c r="I186" s="369">
        <v>0</v>
      </c>
      <c r="J186" s="368">
        <v>0</v>
      </c>
      <c r="K186" s="369">
        <v>0</v>
      </c>
      <c r="L186" s="368">
        <v>0</v>
      </c>
      <c r="M186" s="370">
        <v>0</v>
      </c>
      <c r="N186" s="371">
        <v>1</v>
      </c>
      <c r="O186" s="369">
        <v>0</v>
      </c>
      <c r="P186" s="368">
        <v>0</v>
      </c>
      <c r="Q186" s="370">
        <v>0</v>
      </c>
      <c r="R186" s="371">
        <v>0</v>
      </c>
    </row>
    <row r="187" spans="1:18" x14ac:dyDescent="0.25">
      <c r="A187" s="244">
        <v>9257033</v>
      </c>
      <c r="B187" s="364" t="s">
        <v>220</v>
      </c>
      <c r="C187" s="365">
        <v>3</v>
      </c>
      <c r="D187" s="366">
        <f t="shared" si="71"/>
        <v>86</v>
      </c>
      <c r="E187" s="369">
        <v>6</v>
      </c>
      <c r="F187" s="368">
        <f>E187/D187</f>
        <v>6.9767441860465115E-2</v>
      </c>
      <c r="G187" s="369">
        <v>17</v>
      </c>
      <c r="H187" s="368">
        <f>G187/D187</f>
        <v>0.19767441860465115</v>
      </c>
      <c r="I187" s="369">
        <v>27</v>
      </c>
      <c r="J187" s="368">
        <f>I187/D187</f>
        <v>0.31395348837209303</v>
      </c>
      <c r="K187" s="372">
        <v>9</v>
      </c>
      <c r="L187" s="368">
        <f>K187/D187</f>
        <v>0.10465116279069768</v>
      </c>
      <c r="M187" s="370">
        <v>19</v>
      </c>
      <c r="N187" s="371">
        <f>M187/D187</f>
        <v>0.22093023255813954</v>
      </c>
      <c r="O187" s="372">
        <v>8</v>
      </c>
      <c r="P187" s="368">
        <f>O187/D187</f>
        <v>9.3023255813953487E-2</v>
      </c>
      <c r="Q187" s="370">
        <v>0</v>
      </c>
      <c r="R187" s="371">
        <f>Q187/D187</f>
        <v>0</v>
      </c>
    </row>
    <row r="188" spans="1:18" x14ac:dyDescent="0.25">
      <c r="A188" s="244">
        <v>9257008</v>
      </c>
      <c r="B188" s="364" t="s">
        <v>212</v>
      </c>
      <c r="C188" s="365">
        <v>3</v>
      </c>
      <c r="D188" s="366">
        <f t="shared" si="71"/>
        <v>91</v>
      </c>
      <c r="E188" s="369">
        <v>2</v>
      </c>
      <c r="F188" s="368">
        <f>E188/D188</f>
        <v>2.197802197802198E-2</v>
      </c>
      <c r="G188" s="369">
        <v>56</v>
      </c>
      <c r="H188" s="368">
        <f>G188/D188</f>
        <v>0.61538461538461542</v>
      </c>
      <c r="I188" s="369">
        <v>4</v>
      </c>
      <c r="J188" s="368">
        <f>I188/D188</f>
        <v>4.3956043956043959E-2</v>
      </c>
      <c r="K188" s="369">
        <v>2</v>
      </c>
      <c r="L188" s="368">
        <f>K188/D188</f>
        <v>2.197802197802198E-2</v>
      </c>
      <c r="M188" s="373">
        <v>14</v>
      </c>
      <c r="N188" s="371">
        <f>M188/D188</f>
        <v>0.15384615384615385</v>
      </c>
      <c r="O188" s="369">
        <v>13</v>
      </c>
      <c r="P188" s="368">
        <f>O188/D188</f>
        <v>0.14285714285714285</v>
      </c>
      <c r="Q188" s="373">
        <v>0</v>
      </c>
      <c r="R188" s="371">
        <f>Q188/D188</f>
        <v>0</v>
      </c>
    </row>
    <row r="189" spans="1:18" x14ac:dyDescent="0.25">
      <c r="A189" s="244">
        <v>9257034</v>
      </c>
      <c r="B189" s="364" t="s">
        <v>221</v>
      </c>
      <c r="C189" s="365">
        <v>4</v>
      </c>
      <c r="D189" s="366">
        <f t="shared" si="71"/>
        <v>114</v>
      </c>
      <c r="E189" s="369">
        <v>5</v>
      </c>
      <c r="F189" s="368">
        <f>E189/D189</f>
        <v>4.3859649122807015E-2</v>
      </c>
      <c r="G189" s="369">
        <v>19</v>
      </c>
      <c r="H189" s="368">
        <f>G189/D189</f>
        <v>0.16666666666666666</v>
      </c>
      <c r="I189" s="369">
        <v>48</v>
      </c>
      <c r="J189" s="368">
        <f>I189/D189</f>
        <v>0.42105263157894735</v>
      </c>
      <c r="K189" s="369">
        <v>4</v>
      </c>
      <c r="L189" s="368">
        <f>K189/D189</f>
        <v>3.5087719298245612E-2</v>
      </c>
      <c r="M189" s="370">
        <v>30</v>
      </c>
      <c r="N189" s="371">
        <f>M189/D189</f>
        <v>0.26315789473684209</v>
      </c>
      <c r="O189" s="369">
        <v>5</v>
      </c>
      <c r="P189" s="368">
        <f>O189/D189</f>
        <v>4.3859649122807015E-2</v>
      </c>
      <c r="Q189" s="370">
        <v>3</v>
      </c>
      <c r="R189" s="371">
        <f>Q189/D189</f>
        <v>2.6315789473684209E-2</v>
      </c>
    </row>
    <row r="190" spans="1:18" x14ac:dyDescent="0.25">
      <c r="A190" s="244">
        <v>9257002</v>
      </c>
      <c r="B190" s="364" t="s">
        <v>213</v>
      </c>
      <c r="C190" s="365">
        <v>4</v>
      </c>
      <c r="D190" s="366">
        <f>E190+G190+I190+K190+M190+O190+Q190</f>
        <v>139</v>
      </c>
      <c r="E190" s="369">
        <v>1</v>
      </c>
      <c r="F190" s="368">
        <f>E190/D190</f>
        <v>7.1942446043165471E-3</v>
      </c>
      <c r="G190" s="369">
        <v>18</v>
      </c>
      <c r="H190" s="368">
        <f>G190/D190</f>
        <v>0.12949640287769784</v>
      </c>
      <c r="I190" s="369">
        <v>74</v>
      </c>
      <c r="J190" s="368">
        <f>I190/D190</f>
        <v>0.53237410071942448</v>
      </c>
      <c r="K190" s="369">
        <v>9</v>
      </c>
      <c r="L190" s="368">
        <f>K190/D190</f>
        <v>6.4748201438848921E-2</v>
      </c>
      <c r="M190" s="370">
        <v>26</v>
      </c>
      <c r="N190" s="371">
        <f>M190/D190</f>
        <v>0.18705035971223022</v>
      </c>
      <c r="O190" s="369">
        <v>10</v>
      </c>
      <c r="P190" s="368">
        <f>O190/D190</f>
        <v>7.1942446043165464E-2</v>
      </c>
      <c r="Q190" s="370">
        <v>1</v>
      </c>
      <c r="R190" s="371">
        <f>Q190/D190</f>
        <v>7.1942446043165471E-3</v>
      </c>
    </row>
    <row r="191" spans="1:18" x14ac:dyDescent="0.25">
      <c r="A191" s="244">
        <v>9257009</v>
      </c>
      <c r="B191" s="364" t="s">
        <v>214</v>
      </c>
      <c r="C191" s="365">
        <v>4</v>
      </c>
      <c r="D191" s="366">
        <f t="shared" ref="D191:D198" si="72">E191+G191+I191+K191+M191+O191+Q191</f>
        <v>128</v>
      </c>
      <c r="E191" s="369">
        <v>0</v>
      </c>
      <c r="F191" s="368">
        <f>E191/D191</f>
        <v>0</v>
      </c>
      <c r="G191" s="369">
        <v>60</v>
      </c>
      <c r="H191" s="368">
        <f>G191/D191</f>
        <v>0.46875</v>
      </c>
      <c r="I191" s="369">
        <v>19</v>
      </c>
      <c r="J191" s="368">
        <f>I191/D191</f>
        <v>0.1484375</v>
      </c>
      <c r="K191" s="369">
        <v>4</v>
      </c>
      <c r="L191" s="368">
        <f>K191/D191</f>
        <v>3.125E-2</v>
      </c>
      <c r="M191" s="370">
        <v>16</v>
      </c>
      <c r="N191" s="371">
        <f>M191/D191</f>
        <v>0.125</v>
      </c>
      <c r="O191" s="369">
        <v>29</v>
      </c>
      <c r="P191" s="368">
        <f>O191/D191</f>
        <v>0.2265625</v>
      </c>
      <c r="Q191" s="370">
        <v>0</v>
      </c>
      <c r="R191" s="371">
        <f>Q191/D191</f>
        <v>0</v>
      </c>
    </row>
    <row r="192" spans="1:18" x14ac:dyDescent="0.25">
      <c r="A192" s="244">
        <v>9257029</v>
      </c>
      <c r="B192" s="364" t="s">
        <v>259</v>
      </c>
      <c r="C192" s="365">
        <v>4</v>
      </c>
      <c r="D192" s="366">
        <f t="shared" si="72"/>
        <v>0</v>
      </c>
      <c r="E192" s="369">
        <v>0</v>
      </c>
      <c r="F192" s="368">
        <v>0</v>
      </c>
      <c r="G192" s="369">
        <v>0</v>
      </c>
      <c r="H192" s="368">
        <v>0</v>
      </c>
      <c r="I192" s="369">
        <v>0</v>
      </c>
      <c r="J192" s="368">
        <v>0</v>
      </c>
      <c r="K192" s="369">
        <v>0</v>
      </c>
      <c r="L192" s="368">
        <v>0</v>
      </c>
      <c r="M192" s="370">
        <v>0</v>
      </c>
      <c r="N192" s="371">
        <v>1</v>
      </c>
      <c r="O192" s="369">
        <v>0</v>
      </c>
      <c r="P192" s="368">
        <v>0</v>
      </c>
      <c r="Q192" s="370">
        <v>0</v>
      </c>
      <c r="R192" s="371">
        <v>0</v>
      </c>
    </row>
    <row r="193" spans="1:18" x14ac:dyDescent="0.25">
      <c r="A193" s="244">
        <v>9257032</v>
      </c>
      <c r="B193" s="364" t="s">
        <v>261</v>
      </c>
      <c r="C193" s="365">
        <v>4</v>
      </c>
      <c r="D193" s="366">
        <f t="shared" si="72"/>
        <v>0</v>
      </c>
      <c r="E193" s="369">
        <v>0</v>
      </c>
      <c r="F193" s="368">
        <v>0</v>
      </c>
      <c r="G193" s="369">
        <v>0</v>
      </c>
      <c r="H193" s="368">
        <v>0</v>
      </c>
      <c r="I193" s="369">
        <v>0</v>
      </c>
      <c r="J193" s="368">
        <v>0</v>
      </c>
      <c r="K193" s="369">
        <v>0</v>
      </c>
      <c r="L193" s="368">
        <v>0</v>
      </c>
      <c r="M193" s="370">
        <v>0</v>
      </c>
      <c r="N193" s="371">
        <v>1</v>
      </c>
      <c r="O193" s="369">
        <v>0</v>
      </c>
      <c r="P193" s="368">
        <v>0</v>
      </c>
      <c r="Q193" s="370">
        <v>0</v>
      </c>
      <c r="R193" s="371">
        <v>0</v>
      </c>
    </row>
    <row r="194" spans="1:18" x14ac:dyDescent="0.25">
      <c r="A194" s="244">
        <v>9257030</v>
      </c>
      <c r="B194" s="364" t="s">
        <v>262</v>
      </c>
      <c r="C194" s="365">
        <v>4</v>
      </c>
      <c r="D194" s="366">
        <f t="shared" si="72"/>
        <v>0</v>
      </c>
      <c r="E194" s="367">
        <v>0</v>
      </c>
      <c r="F194" s="368">
        <v>0</v>
      </c>
      <c r="G194" s="369">
        <v>0</v>
      </c>
      <c r="H194" s="368">
        <v>0</v>
      </c>
      <c r="I194" s="369">
        <v>0</v>
      </c>
      <c r="J194" s="368">
        <v>0</v>
      </c>
      <c r="K194" s="369">
        <v>0</v>
      </c>
      <c r="L194" s="368">
        <v>0</v>
      </c>
      <c r="M194" s="370">
        <v>0</v>
      </c>
      <c r="N194" s="371">
        <v>1</v>
      </c>
      <c r="O194" s="369">
        <v>0</v>
      </c>
      <c r="P194" s="368">
        <v>0</v>
      </c>
      <c r="Q194" s="370">
        <v>0</v>
      </c>
      <c r="R194" s="371">
        <v>0</v>
      </c>
    </row>
    <row r="195" spans="1:18" x14ac:dyDescent="0.25">
      <c r="A195" s="244">
        <v>9257028</v>
      </c>
      <c r="B195" s="364" t="s">
        <v>215</v>
      </c>
      <c r="C195" s="365">
        <v>4</v>
      </c>
      <c r="D195" s="366">
        <f t="shared" si="72"/>
        <v>79</v>
      </c>
      <c r="E195" s="369">
        <v>8</v>
      </c>
      <c r="F195" s="368">
        <f>E195/D195</f>
        <v>0.10126582278481013</v>
      </c>
      <c r="G195" s="367">
        <v>23</v>
      </c>
      <c r="H195" s="368">
        <f>G195/D195</f>
        <v>0.29113924050632911</v>
      </c>
      <c r="I195" s="367">
        <v>5</v>
      </c>
      <c r="J195" s="368">
        <f>I195/D195</f>
        <v>6.3291139240506333E-2</v>
      </c>
      <c r="K195" s="367">
        <v>15</v>
      </c>
      <c r="L195" s="368">
        <f>K195/D195</f>
        <v>0.189873417721519</v>
      </c>
      <c r="M195" s="370">
        <v>3</v>
      </c>
      <c r="N195" s="371">
        <f>M195/D195</f>
        <v>3.7974683544303799E-2</v>
      </c>
      <c r="O195" s="367">
        <v>10</v>
      </c>
      <c r="P195" s="368">
        <f>O195/D195</f>
        <v>0.12658227848101267</v>
      </c>
      <c r="Q195" s="370">
        <v>15</v>
      </c>
      <c r="R195" s="371">
        <f>Q195/D195</f>
        <v>0.189873417721519</v>
      </c>
    </row>
    <row r="196" spans="1:18" x14ac:dyDescent="0.25">
      <c r="A196" s="244">
        <v>9257021</v>
      </c>
      <c r="B196" s="364" t="s">
        <v>216</v>
      </c>
      <c r="C196" s="365">
        <v>5</v>
      </c>
      <c r="D196" s="366">
        <f t="shared" si="72"/>
        <v>155</v>
      </c>
      <c r="E196" s="369">
        <v>6</v>
      </c>
      <c r="F196" s="368">
        <f>E196/D196</f>
        <v>3.870967741935484E-2</v>
      </c>
      <c r="G196" s="369">
        <v>46</v>
      </c>
      <c r="H196" s="368">
        <f>G196/D196</f>
        <v>0.29677419354838708</v>
      </c>
      <c r="I196" s="369">
        <v>46</v>
      </c>
      <c r="J196" s="368">
        <f>I196/D196</f>
        <v>0.29677419354838708</v>
      </c>
      <c r="K196" s="369">
        <v>14</v>
      </c>
      <c r="L196" s="368">
        <f>K196/D196</f>
        <v>9.0322580645161285E-2</v>
      </c>
      <c r="M196" s="370">
        <v>19</v>
      </c>
      <c r="N196" s="371">
        <f>M196/D196</f>
        <v>0.12258064516129032</v>
      </c>
      <c r="O196" s="369">
        <v>22</v>
      </c>
      <c r="P196" s="368">
        <f>O196/D196</f>
        <v>0.14193548387096774</v>
      </c>
      <c r="Q196" s="370">
        <v>2</v>
      </c>
      <c r="R196" s="371">
        <f>Q196/D196</f>
        <v>1.2903225806451613E-2</v>
      </c>
    </row>
    <row r="197" spans="1:18" x14ac:dyDescent="0.25">
      <c r="A197" s="244">
        <v>9257015</v>
      </c>
      <c r="B197" s="364" t="s">
        <v>217</v>
      </c>
      <c r="C197" s="365">
        <v>5</v>
      </c>
      <c r="D197" s="366">
        <f t="shared" si="72"/>
        <v>261</v>
      </c>
      <c r="E197" s="369">
        <v>10</v>
      </c>
      <c r="F197" s="368">
        <f>E197/D197</f>
        <v>3.8314176245210725E-2</v>
      </c>
      <c r="G197" s="369">
        <v>52</v>
      </c>
      <c r="H197" s="368">
        <f>G197/D197</f>
        <v>0.19923371647509577</v>
      </c>
      <c r="I197" s="369">
        <v>130</v>
      </c>
      <c r="J197" s="368">
        <f>I197/D197</f>
        <v>0.49808429118773945</v>
      </c>
      <c r="K197" s="369">
        <v>17</v>
      </c>
      <c r="L197" s="368">
        <f>K197/D197</f>
        <v>6.5134099616858232E-2</v>
      </c>
      <c r="M197" s="370">
        <v>11</v>
      </c>
      <c r="N197" s="371">
        <f>M197/D197</f>
        <v>4.2145593869731802E-2</v>
      </c>
      <c r="O197" s="369">
        <v>36</v>
      </c>
      <c r="P197" s="368">
        <f>O197/D197</f>
        <v>0.13793103448275862</v>
      </c>
      <c r="Q197" s="370">
        <v>5</v>
      </c>
      <c r="R197" s="371">
        <f>Q197/D197</f>
        <v>1.9157088122605363E-2</v>
      </c>
    </row>
    <row r="198" spans="1:18" x14ac:dyDescent="0.25">
      <c r="A198" s="244">
        <v>9257016</v>
      </c>
      <c r="B198" s="364" t="s">
        <v>219</v>
      </c>
      <c r="C198" s="365">
        <v>6</v>
      </c>
      <c r="D198" s="366">
        <f t="shared" si="72"/>
        <v>147</v>
      </c>
      <c r="E198" s="369">
        <v>24</v>
      </c>
      <c r="F198" s="368">
        <f>E198/D198</f>
        <v>0.16326530612244897</v>
      </c>
      <c r="G198" s="369">
        <v>10</v>
      </c>
      <c r="H198" s="368">
        <f>G198/D198</f>
        <v>6.8027210884353748E-2</v>
      </c>
      <c r="I198" s="369">
        <v>37</v>
      </c>
      <c r="J198" s="368">
        <f>I198/D198</f>
        <v>0.25170068027210885</v>
      </c>
      <c r="K198" s="369">
        <v>37</v>
      </c>
      <c r="L198" s="368">
        <f>K198/D198</f>
        <v>0.25170068027210885</v>
      </c>
      <c r="M198" s="370">
        <v>0</v>
      </c>
      <c r="N198" s="371">
        <f>M198/D198</f>
        <v>0</v>
      </c>
      <c r="O198" s="369">
        <v>1</v>
      </c>
      <c r="P198" s="368">
        <f>O198/D198</f>
        <v>6.8027210884353739E-3</v>
      </c>
      <c r="Q198" s="370">
        <v>38</v>
      </c>
      <c r="R198" s="371">
        <f>Q198/D198</f>
        <v>0.25850340136054423</v>
      </c>
    </row>
  </sheetData>
  <mergeCells count="1">
    <mergeCell ref="B52:E52"/>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D30"/>
  <sheetViews>
    <sheetView workbookViewId="0">
      <selection sqref="A1:XFD1048576"/>
    </sheetView>
  </sheetViews>
  <sheetFormatPr defaultRowHeight="12.5" x14ac:dyDescent="0.25"/>
  <cols>
    <col min="2" max="2" width="39.453125" bestFit="1" customWidth="1"/>
    <col min="3" max="3" width="23.1796875" bestFit="1" customWidth="1"/>
    <col min="4" max="4" width="14.7265625" customWidth="1"/>
  </cols>
  <sheetData>
    <row r="2" spans="1:4" ht="13" thickBot="1" x14ac:dyDescent="0.3"/>
    <row r="3" spans="1:4" ht="13" x14ac:dyDescent="0.25">
      <c r="A3" s="141" t="s">
        <v>540</v>
      </c>
      <c r="B3" s="142" t="s">
        <v>541</v>
      </c>
      <c r="C3" s="143" t="s">
        <v>847</v>
      </c>
      <c r="D3" s="143" t="s">
        <v>543</v>
      </c>
    </row>
    <row r="4" spans="1:4" x14ac:dyDescent="0.25">
      <c r="A4" s="156">
        <v>9257002</v>
      </c>
      <c r="B4" s="144" t="s">
        <v>544</v>
      </c>
      <c r="C4" s="145">
        <v>53</v>
      </c>
      <c r="D4" s="146">
        <f>($C$24*$C$25)*C4</f>
        <v>23789.050000000003</v>
      </c>
    </row>
    <row r="5" spans="1:4" x14ac:dyDescent="0.25">
      <c r="A5" s="156">
        <v>9257005</v>
      </c>
      <c r="B5" s="144" t="s">
        <v>545</v>
      </c>
      <c r="C5" s="145">
        <v>14</v>
      </c>
      <c r="D5" s="146">
        <f t="shared" ref="D5:D21" si="0">($C$24*$C$25)*C5</f>
        <v>6283.9000000000005</v>
      </c>
    </row>
    <row r="6" spans="1:4" x14ac:dyDescent="0.25">
      <c r="A6" s="156">
        <v>9257008</v>
      </c>
      <c r="B6" s="144" t="s">
        <v>340</v>
      </c>
      <c r="C6" s="145">
        <v>34</v>
      </c>
      <c r="D6" s="146">
        <f t="shared" si="0"/>
        <v>15260.900000000001</v>
      </c>
    </row>
    <row r="7" spans="1:4" x14ac:dyDescent="0.25">
      <c r="A7" s="156">
        <v>9257009</v>
      </c>
      <c r="B7" s="144" t="s">
        <v>546</v>
      </c>
      <c r="C7" s="145">
        <v>31</v>
      </c>
      <c r="D7" s="146">
        <f t="shared" si="0"/>
        <v>13914.35</v>
      </c>
    </row>
    <row r="8" spans="1:4" x14ac:dyDescent="0.25">
      <c r="A8" s="156">
        <v>9257010</v>
      </c>
      <c r="B8" s="144" t="s">
        <v>547</v>
      </c>
      <c r="C8" s="145">
        <v>15</v>
      </c>
      <c r="D8" s="146">
        <f t="shared" si="0"/>
        <v>6732.75</v>
      </c>
    </row>
    <row r="9" spans="1:4" x14ac:dyDescent="0.25">
      <c r="A9" s="156">
        <v>9257011</v>
      </c>
      <c r="B9" s="144" t="s">
        <v>548</v>
      </c>
      <c r="C9" s="145">
        <v>27</v>
      </c>
      <c r="D9" s="146">
        <f t="shared" si="0"/>
        <v>12118.95</v>
      </c>
    </row>
    <row r="10" spans="1:4" x14ac:dyDescent="0.25">
      <c r="A10" s="156">
        <v>9257015</v>
      </c>
      <c r="B10" s="144" t="s">
        <v>549</v>
      </c>
      <c r="C10" s="145">
        <v>63</v>
      </c>
      <c r="D10" s="146">
        <f t="shared" si="0"/>
        <v>28277.550000000003</v>
      </c>
    </row>
    <row r="11" spans="1:4" x14ac:dyDescent="0.25">
      <c r="A11" s="156">
        <v>9257016</v>
      </c>
      <c r="B11" s="144" t="s">
        <v>550</v>
      </c>
      <c r="C11" s="145">
        <v>36</v>
      </c>
      <c r="D11" s="146">
        <f t="shared" si="0"/>
        <v>16158.6</v>
      </c>
    </row>
    <row r="12" spans="1:4" x14ac:dyDescent="0.25">
      <c r="A12" s="156">
        <v>9257021</v>
      </c>
      <c r="B12" s="144" t="s">
        <v>551</v>
      </c>
      <c r="C12" s="145">
        <v>58</v>
      </c>
      <c r="D12" s="146">
        <f t="shared" si="0"/>
        <v>26033.300000000003</v>
      </c>
    </row>
    <row r="13" spans="1:4" x14ac:dyDescent="0.25">
      <c r="A13" s="156">
        <v>9257024</v>
      </c>
      <c r="B13" s="144" t="s">
        <v>552</v>
      </c>
      <c r="C13" s="145">
        <v>29</v>
      </c>
      <c r="D13" s="146">
        <f t="shared" si="0"/>
        <v>13016.650000000001</v>
      </c>
    </row>
    <row r="14" spans="1:4" x14ac:dyDescent="0.25">
      <c r="A14" s="156">
        <v>9257025</v>
      </c>
      <c r="B14" s="144" t="s">
        <v>553</v>
      </c>
      <c r="C14" s="145">
        <v>20</v>
      </c>
      <c r="D14" s="146">
        <f t="shared" si="0"/>
        <v>8977</v>
      </c>
    </row>
    <row r="15" spans="1:4" x14ac:dyDescent="0.25">
      <c r="A15" s="156">
        <v>9257028</v>
      </c>
      <c r="B15" s="144" t="s">
        <v>554</v>
      </c>
      <c r="C15" s="145">
        <v>17</v>
      </c>
      <c r="D15" s="146">
        <f t="shared" si="0"/>
        <v>7630.4500000000007</v>
      </c>
    </row>
    <row r="16" spans="1:4" x14ac:dyDescent="0.25">
      <c r="A16" s="156">
        <v>9257029</v>
      </c>
      <c r="B16" s="144" t="s">
        <v>555</v>
      </c>
      <c r="C16" s="145">
        <v>14</v>
      </c>
      <c r="D16" s="146">
        <f t="shared" si="0"/>
        <v>6283.9000000000005</v>
      </c>
    </row>
    <row r="17" spans="1:4" x14ac:dyDescent="0.25">
      <c r="A17" s="156">
        <v>9257030</v>
      </c>
      <c r="B17" s="144" t="s">
        <v>556</v>
      </c>
      <c r="C17" s="145">
        <v>20</v>
      </c>
      <c r="D17" s="146">
        <f t="shared" si="0"/>
        <v>8977</v>
      </c>
    </row>
    <row r="18" spans="1:4" x14ac:dyDescent="0.25">
      <c r="A18" s="156">
        <v>9257031</v>
      </c>
      <c r="B18" s="144" t="s">
        <v>557</v>
      </c>
      <c r="C18" s="145">
        <v>21</v>
      </c>
      <c r="D18" s="146">
        <f t="shared" si="0"/>
        <v>9425.85</v>
      </c>
    </row>
    <row r="19" spans="1:4" x14ac:dyDescent="0.25">
      <c r="A19" s="156">
        <v>9257032</v>
      </c>
      <c r="B19" s="144" t="s">
        <v>558</v>
      </c>
      <c r="C19" s="145">
        <v>17</v>
      </c>
      <c r="D19" s="146">
        <f t="shared" si="0"/>
        <v>7630.4500000000007</v>
      </c>
    </row>
    <row r="20" spans="1:4" x14ac:dyDescent="0.25">
      <c r="A20" s="156">
        <v>9257033</v>
      </c>
      <c r="B20" s="144" t="s">
        <v>559</v>
      </c>
      <c r="C20" s="145">
        <v>40</v>
      </c>
      <c r="D20" s="146">
        <f t="shared" si="0"/>
        <v>17954</v>
      </c>
    </row>
    <row r="21" spans="1:4" ht="13" thickBot="1" x14ac:dyDescent="0.3">
      <c r="A21" s="157">
        <v>9257034</v>
      </c>
      <c r="B21" s="147" t="s">
        <v>560</v>
      </c>
      <c r="C21" s="148">
        <v>45</v>
      </c>
      <c r="D21" s="149">
        <f t="shared" si="0"/>
        <v>20198.25</v>
      </c>
    </row>
    <row r="22" spans="1:4" x14ac:dyDescent="0.25">
      <c r="A22" s="150"/>
      <c r="B22" s="151"/>
      <c r="C22" s="150"/>
      <c r="D22" s="152"/>
    </row>
    <row r="23" spans="1:4" ht="13" thickBot="1" x14ac:dyDescent="0.3">
      <c r="A23" s="150"/>
      <c r="B23" s="151"/>
      <c r="C23" s="150"/>
      <c r="D23" s="155">
        <f>SUM(D4:D21)</f>
        <v>248662.90000000005</v>
      </c>
    </row>
    <row r="24" spans="1:4" x14ac:dyDescent="0.25">
      <c r="A24" s="150"/>
      <c r="B24" s="153" t="s">
        <v>561</v>
      </c>
      <c r="C24" s="154">
        <v>2.35</v>
      </c>
      <c r="D24" s="151"/>
    </row>
    <row r="25" spans="1:4" x14ac:dyDescent="0.25">
      <c r="A25" s="150"/>
      <c r="B25" s="153" t="s">
        <v>562</v>
      </c>
      <c r="C25" s="150">
        <v>191</v>
      </c>
      <c r="D25" s="151"/>
    </row>
    <row r="26" spans="1:4" x14ac:dyDescent="0.25">
      <c r="A26" s="150"/>
      <c r="B26" s="151"/>
      <c r="C26" s="150"/>
      <c r="D26" s="151"/>
    </row>
    <row r="28" spans="1:4" x14ac:dyDescent="0.25">
      <c r="C28" s="289" t="s">
        <v>848</v>
      </c>
      <c r="D28" s="16">
        <v>230841</v>
      </c>
    </row>
    <row r="29" spans="1:4" x14ac:dyDescent="0.25">
      <c r="D29" s="16"/>
    </row>
    <row r="30" spans="1:4" x14ac:dyDescent="0.25">
      <c r="C30" s="289" t="s">
        <v>564</v>
      </c>
      <c r="D30" s="16">
        <f>D23-D28</f>
        <v>17821.900000000052</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AZ67"/>
  <sheetViews>
    <sheetView workbookViewId="0">
      <selection sqref="A1:XFD1048576"/>
    </sheetView>
  </sheetViews>
  <sheetFormatPr defaultColWidth="9.1796875" defaultRowHeight="12" customHeight="1" x14ac:dyDescent="0.35"/>
  <cols>
    <col min="1" max="1" width="10.54296875" style="78" bestFit="1" customWidth="1"/>
    <col min="2" max="5" width="9.1796875" style="77"/>
    <col min="6" max="6" width="10.26953125" style="77" customWidth="1"/>
    <col min="7" max="8" width="9.1796875" style="77" customWidth="1"/>
    <col min="9" max="9" width="10.7265625" style="77" customWidth="1"/>
    <col min="10" max="12" width="10.7265625" style="78" customWidth="1"/>
    <col min="13" max="14" width="10.7265625" style="79" customWidth="1"/>
    <col min="15" max="19" width="10.7265625" style="77" customWidth="1"/>
    <col min="20" max="20" width="3.26953125" style="77" customWidth="1"/>
    <col min="21" max="23" width="10.7265625" style="77" customWidth="1"/>
    <col min="24" max="24" width="9.1796875" style="77" customWidth="1"/>
    <col min="25" max="25" width="10.81640625" style="78" customWidth="1"/>
    <col min="26" max="28" width="9.1796875" style="77" customWidth="1"/>
    <col min="29" max="29" width="11.26953125" style="79" customWidth="1"/>
    <col min="30" max="30" width="11.1796875" style="79" customWidth="1"/>
    <col min="31" max="31" width="14.453125" style="79" customWidth="1"/>
    <col min="32" max="32" width="9.1796875" style="79"/>
    <col min="33" max="33" width="8.81640625" style="79" bestFit="1" customWidth="1"/>
    <col min="34" max="36" width="9.1796875" style="79"/>
    <col min="37" max="37" width="10.453125" style="79" customWidth="1"/>
    <col min="38" max="38" width="13.453125" style="79" customWidth="1"/>
    <col min="39" max="43" width="9.1796875" style="79"/>
    <col min="44" max="44" width="11.1796875" style="79" customWidth="1"/>
    <col min="45" max="45" width="14.26953125" style="79" customWidth="1"/>
    <col min="46" max="50" width="9.1796875" style="79"/>
    <col min="51" max="51" width="10.1796875" style="79" bestFit="1" customWidth="1"/>
    <col min="52" max="52" width="14.26953125" style="79" customWidth="1"/>
    <col min="53" max="16384" width="9.1796875" style="79"/>
  </cols>
  <sheetData>
    <row r="2" spans="1:52" ht="12" customHeight="1" x14ac:dyDescent="0.35">
      <c r="A2" s="293"/>
      <c r="B2" s="76" t="s">
        <v>304</v>
      </c>
      <c r="C2" s="1172"/>
      <c r="D2" s="1172"/>
      <c r="E2" s="1172"/>
      <c r="F2" s="1172"/>
      <c r="G2" s="1172"/>
      <c r="H2" s="1172"/>
      <c r="I2" s="1172"/>
      <c r="J2" s="293"/>
      <c r="K2" s="293"/>
      <c r="L2" s="293"/>
      <c r="O2" s="1172"/>
      <c r="P2" s="1172"/>
      <c r="Q2" s="1172"/>
      <c r="R2" s="1172"/>
      <c r="S2" s="1172"/>
      <c r="T2" s="1172"/>
      <c r="U2" s="1172"/>
      <c r="V2" s="1455" t="s">
        <v>305</v>
      </c>
      <c r="W2" s="1172"/>
      <c r="X2" s="1172"/>
      <c r="Y2" s="293"/>
      <c r="Z2" s="1172"/>
      <c r="AA2" s="1172"/>
      <c r="AB2" s="1172"/>
    </row>
    <row r="3" spans="1:52" ht="12" customHeight="1" x14ac:dyDescent="0.35">
      <c r="A3" s="293"/>
      <c r="B3" s="1172"/>
      <c r="C3" s="1172"/>
      <c r="D3" s="1172"/>
      <c r="E3" s="1172"/>
      <c r="F3" s="1172"/>
      <c r="G3" s="1172"/>
      <c r="H3" s="1172"/>
      <c r="I3" s="1172"/>
      <c r="J3" s="293"/>
      <c r="K3" s="293"/>
      <c r="L3" s="293"/>
      <c r="O3" s="1172"/>
      <c r="P3" s="1172"/>
      <c r="Q3" s="1172"/>
      <c r="R3" s="1172"/>
      <c r="S3" s="1172"/>
      <c r="T3" s="1172"/>
      <c r="U3" s="1172"/>
      <c r="V3" s="1456"/>
      <c r="W3" s="1172"/>
      <c r="X3" s="1174" t="s">
        <v>306</v>
      </c>
      <c r="Y3" s="293"/>
      <c r="Z3" s="1172"/>
      <c r="AA3" s="1172"/>
      <c r="AB3" s="1172"/>
    </row>
    <row r="4" spans="1:52" s="80" customFormat="1" ht="12" customHeight="1" x14ac:dyDescent="0.3">
      <c r="A4" s="293"/>
      <c r="B4" s="1172"/>
      <c r="C4" s="1172"/>
      <c r="D4" s="1172"/>
      <c r="E4" s="1172"/>
      <c r="F4" s="1457" t="s">
        <v>307</v>
      </c>
      <c r="G4" s="1457" t="s">
        <v>308</v>
      </c>
      <c r="H4" s="1457" t="s">
        <v>309</v>
      </c>
      <c r="I4" s="1458" t="s">
        <v>310</v>
      </c>
      <c r="J4" s="1459" t="s">
        <v>311</v>
      </c>
      <c r="K4" s="1459" t="s">
        <v>312</v>
      </c>
      <c r="L4" s="1459" t="s">
        <v>313</v>
      </c>
      <c r="M4" s="1459" t="s">
        <v>314</v>
      </c>
      <c r="N4" s="1459" t="s">
        <v>315</v>
      </c>
      <c r="O4" s="1459" t="s">
        <v>316</v>
      </c>
      <c r="P4" s="1459" t="s">
        <v>317</v>
      </c>
      <c r="Q4" s="1459" t="s">
        <v>318</v>
      </c>
      <c r="R4" s="1459" t="s">
        <v>319</v>
      </c>
      <c r="S4" s="1459" t="s">
        <v>320</v>
      </c>
      <c r="T4" s="1174"/>
      <c r="U4" s="1459" t="s">
        <v>321</v>
      </c>
      <c r="V4" s="1462" t="s">
        <v>322</v>
      </c>
      <c r="W4" s="1174"/>
      <c r="X4" s="1459" t="s">
        <v>323</v>
      </c>
      <c r="Y4" s="1459" t="s">
        <v>324</v>
      </c>
      <c r="Z4" s="1458" t="s">
        <v>325</v>
      </c>
      <c r="AA4" s="1459" t="s">
        <v>326</v>
      </c>
      <c r="AB4" s="1459" t="s">
        <v>327</v>
      </c>
      <c r="AC4" s="1462" t="s">
        <v>328</v>
      </c>
      <c r="AD4" s="1459" t="s">
        <v>329</v>
      </c>
      <c r="AE4" s="1459" t="s">
        <v>330</v>
      </c>
      <c r="AG4" s="1458" t="s">
        <v>331</v>
      </c>
      <c r="AH4" s="1459" t="s">
        <v>332</v>
      </c>
      <c r="AI4" s="1459" t="s">
        <v>333</v>
      </c>
      <c r="AJ4" s="1462" t="s">
        <v>334</v>
      </c>
      <c r="AK4" s="1459" t="s">
        <v>335</v>
      </c>
      <c r="AL4" s="1459" t="s">
        <v>330</v>
      </c>
      <c r="AN4" s="1458" t="s">
        <v>710</v>
      </c>
      <c r="AO4" s="1459" t="s">
        <v>711</v>
      </c>
      <c r="AP4" s="1459" t="s">
        <v>712</v>
      </c>
      <c r="AQ4" s="1462" t="s">
        <v>713</v>
      </c>
      <c r="AR4" s="1459" t="s">
        <v>714</v>
      </c>
      <c r="AS4" s="1459" t="s">
        <v>330</v>
      </c>
      <c r="AU4" s="1458" t="s">
        <v>849</v>
      </c>
      <c r="AV4" s="1459" t="s">
        <v>850</v>
      </c>
      <c r="AW4" s="1459" t="s">
        <v>851</v>
      </c>
      <c r="AX4" s="1462" t="s">
        <v>852</v>
      </c>
      <c r="AY4" s="1459" t="s">
        <v>853</v>
      </c>
      <c r="AZ4" s="1459" t="s">
        <v>330</v>
      </c>
    </row>
    <row r="5" spans="1:52" s="80" customFormat="1" ht="12" customHeight="1" x14ac:dyDescent="0.3">
      <c r="A5" s="293"/>
      <c r="B5" s="1172"/>
      <c r="C5" s="1172"/>
      <c r="D5" s="1172"/>
      <c r="E5" s="1172"/>
      <c r="F5" s="1457"/>
      <c r="G5" s="1457"/>
      <c r="H5" s="1457"/>
      <c r="I5" s="1458"/>
      <c r="J5" s="1459"/>
      <c r="K5" s="1459"/>
      <c r="L5" s="1459"/>
      <c r="M5" s="1459"/>
      <c r="N5" s="1459"/>
      <c r="O5" s="1459"/>
      <c r="P5" s="1459"/>
      <c r="Q5" s="1459"/>
      <c r="R5" s="1459"/>
      <c r="S5" s="1459"/>
      <c r="T5" s="1174"/>
      <c r="U5" s="1459"/>
      <c r="V5" s="1463"/>
      <c r="W5" s="1174"/>
      <c r="X5" s="1459"/>
      <c r="Y5" s="1459"/>
      <c r="Z5" s="1458"/>
      <c r="AA5" s="1459"/>
      <c r="AB5" s="1459"/>
      <c r="AC5" s="1463"/>
      <c r="AD5" s="1459"/>
      <c r="AE5" s="1459"/>
      <c r="AG5" s="1458"/>
      <c r="AH5" s="1459"/>
      <c r="AI5" s="1459"/>
      <c r="AJ5" s="1463"/>
      <c r="AK5" s="1459"/>
      <c r="AL5" s="1459"/>
      <c r="AN5" s="1458"/>
      <c r="AO5" s="1459"/>
      <c r="AP5" s="1459"/>
      <c r="AQ5" s="1463"/>
      <c r="AR5" s="1459"/>
      <c r="AS5" s="1459"/>
      <c r="AU5" s="1458"/>
      <c r="AV5" s="1459"/>
      <c r="AW5" s="1459"/>
      <c r="AX5" s="1463"/>
      <c r="AY5" s="1459"/>
      <c r="AZ5" s="1459"/>
    </row>
    <row r="6" spans="1:52" s="80" customFormat="1" ht="12" customHeight="1" x14ac:dyDescent="0.3">
      <c r="A6" s="293"/>
      <c r="B6" s="1465" t="s">
        <v>336</v>
      </c>
      <c r="C6" s="1466"/>
      <c r="D6" s="1466"/>
      <c r="E6" s="1467"/>
      <c r="F6" s="1457"/>
      <c r="G6" s="1457"/>
      <c r="H6" s="1457"/>
      <c r="I6" s="1458"/>
      <c r="J6" s="1459"/>
      <c r="K6" s="1459"/>
      <c r="L6" s="1459"/>
      <c r="M6" s="1459"/>
      <c r="N6" s="1459"/>
      <c r="O6" s="1459"/>
      <c r="P6" s="1459"/>
      <c r="Q6" s="1459"/>
      <c r="R6" s="1459"/>
      <c r="S6" s="1459"/>
      <c r="T6" s="1174"/>
      <c r="U6" s="1459"/>
      <c r="V6" s="1464"/>
      <c r="W6" s="1174"/>
      <c r="X6" s="1459"/>
      <c r="Y6" s="1459"/>
      <c r="Z6" s="1458"/>
      <c r="AA6" s="1459"/>
      <c r="AB6" s="1459"/>
      <c r="AC6" s="1464"/>
      <c r="AD6" s="1459"/>
      <c r="AE6" s="1459"/>
      <c r="AG6" s="1458"/>
      <c r="AH6" s="1459"/>
      <c r="AI6" s="1459"/>
      <c r="AJ6" s="1464"/>
      <c r="AK6" s="1459"/>
      <c r="AL6" s="1459"/>
      <c r="AN6" s="1458"/>
      <c r="AO6" s="1459"/>
      <c r="AP6" s="1459"/>
      <c r="AQ6" s="1464"/>
      <c r="AR6" s="1459"/>
      <c r="AS6" s="1459"/>
      <c r="AU6" s="1458"/>
      <c r="AV6" s="1459"/>
      <c r="AW6" s="1459"/>
      <c r="AX6" s="1464"/>
      <c r="AY6" s="1459"/>
      <c r="AZ6" s="1459"/>
    </row>
    <row r="7" spans="1:52" ht="12" customHeight="1" x14ac:dyDescent="0.35">
      <c r="A7" s="1175">
        <v>9257010</v>
      </c>
      <c r="B7" s="1460" t="s">
        <v>337</v>
      </c>
      <c r="C7" s="1461"/>
      <c r="D7" s="1461"/>
      <c r="E7" s="1461"/>
      <c r="F7" s="1176">
        <v>35258</v>
      </c>
      <c r="G7" s="1176">
        <v>35258</v>
      </c>
      <c r="H7" s="1176">
        <v>35258</v>
      </c>
      <c r="I7" s="1176">
        <v>35258</v>
      </c>
      <c r="J7" s="1177"/>
      <c r="K7" s="1177"/>
      <c r="L7" s="1177"/>
      <c r="M7" s="1178">
        <v>0</v>
      </c>
      <c r="N7" s="1179"/>
      <c r="O7" s="1177"/>
      <c r="P7" s="86"/>
      <c r="Q7" s="86"/>
      <c r="R7" s="1174"/>
      <c r="S7" s="1174"/>
      <c r="T7" s="1174"/>
      <c r="U7" s="1174"/>
      <c r="V7" s="255">
        <f>(9/12)*51500</f>
        <v>38625</v>
      </c>
      <c r="W7" s="1174"/>
      <c r="X7" s="255">
        <f>(8/12)*864</f>
        <v>576</v>
      </c>
      <c r="Y7" s="89">
        <f>I7+L7+Q7+U7+V7</f>
        <v>73883</v>
      </c>
      <c r="Z7" s="255">
        <f>I7</f>
        <v>35258</v>
      </c>
      <c r="AA7" s="255"/>
      <c r="AB7" s="255"/>
      <c r="AC7" s="255">
        <f>51500*(5/12)</f>
        <v>21458.333333333336</v>
      </c>
      <c r="AD7" s="255"/>
      <c r="AE7" s="255">
        <f>SUM(Z7:AD7)</f>
        <v>56716.333333333336</v>
      </c>
      <c r="AG7" s="255">
        <v>35258</v>
      </c>
      <c r="AH7" s="255"/>
      <c r="AI7" s="255"/>
      <c r="AJ7" s="255">
        <v>0</v>
      </c>
      <c r="AK7" s="255"/>
      <c r="AL7" s="255">
        <f>SUM(AG7:AK7)</f>
        <v>35258</v>
      </c>
      <c r="AN7" s="255">
        <v>26443.5</v>
      </c>
      <c r="AO7" s="255"/>
      <c r="AP7" s="255"/>
      <c r="AQ7" s="255">
        <v>0</v>
      </c>
      <c r="AR7" s="255"/>
      <c r="AS7" s="255">
        <f>SUM(AN7:AR7)</f>
        <v>26443.5</v>
      </c>
      <c r="AU7" s="255">
        <v>35258</v>
      </c>
      <c r="AV7" s="255"/>
      <c r="AW7" s="255"/>
      <c r="AX7" s="255">
        <v>0</v>
      </c>
      <c r="AY7" s="255"/>
      <c r="AZ7" s="255">
        <f>SUM(AU7:AY7)</f>
        <v>35258</v>
      </c>
    </row>
    <row r="8" spans="1:52" ht="12" customHeight="1" x14ac:dyDescent="0.35">
      <c r="A8" s="1175">
        <v>9257030</v>
      </c>
      <c r="B8" s="1460" t="s">
        <v>338</v>
      </c>
      <c r="C8" s="1461"/>
      <c r="D8" s="1461"/>
      <c r="E8" s="1461"/>
      <c r="F8" s="255"/>
      <c r="G8" s="255"/>
      <c r="H8" s="255"/>
      <c r="I8" s="255"/>
      <c r="J8" s="1177"/>
      <c r="K8" s="1177"/>
      <c r="L8" s="1177"/>
      <c r="M8" s="1178">
        <v>0</v>
      </c>
      <c r="N8" s="1179"/>
      <c r="O8" s="1177"/>
      <c r="P8" s="1177"/>
      <c r="Q8" s="1177"/>
      <c r="R8" s="1174"/>
      <c r="S8" s="1174"/>
      <c r="T8" s="1174"/>
      <c r="U8" s="1174"/>
      <c r="V8" s="255"/>
      <c r="W8" s="1174"/>
      <c r="X8" s="255"/>
      <c r="Y8" s="89">
        <f t="shared" ref="Y8:Y25" si="0">I8+L8+Q8+U8+V8</f>
        <v>0</v>
      </c>
      <c r="Z8" s="255"/>
      <c r="AA8" s="255"/>
      <c r="AB8" s="255"/>
      <c r="AC8" s="158"/>
      <c r="AD8" s="255"/>
      <c r="AE8" s="255">
        <f t="shared" ref="AE8:AE26" si="1">SUM(Z8:AD8)</f>
        <v>0</v>
      </c>
      <c r="AG8" s="255"/>
      <c r="AH8" s="255"/>
      <c r="AI8" s="255"/>
      <c r="AJ8" s="158"/>
      <c r="AK8" s="255"/>
      <c r="AL8" s="255">
        <f t="shared" ref="AL8:AL26" si="2">SUM(AG8:AK8)</f>
        <v>0</v>
      </c>
      <c r="AN8" s="255"/>
      <c r="AO8" s="255"/>
      <c r="AP8" s="255"/>
      <c r="AQ8" s="158"/>
      <c r="AR8" s="255"/>
      <c r="AS8" s="255">
        <f t="shared" ref="AS8:AS26" si="3">SUM(AN8:AR8)</f>
        <v>0</v>
      </c>
      <c r="AU8" s="255"/>
      <c r="AV8" s="255"/>
      <c r="AW8" s="255"/>
      <c r="AX8" s="158"/>
      <c r="AY8" s="255"/>
      <c r="AZ8" s="255">
        <f t="shared" ref="AZ8:AZ26" si="4">SUM(AU8:AY8)</f>
        <v>0</v>
      </c>
    </row>
    <row r="9" spans="1:52" ht="12" customHeight="1" x14ac:dyDescent="0.35">
      <c r="A9" s="1175">
        <v>9257031</v>
      </c>
      <c r="B9" s="1460" t="s">
        <v>339</v>
      </c>
      <c r="C9" s="1461"/>
      <c r="D9" s="1461"/>
      <c r="E9" s="1461"/>
      <c r="F9" s="255"/>
      <c r="G9" s="255"/>
      <c r="H9" s="255"/>
      <c r="I9" s="255"/>
      <c r="J9" s="1177"/>
      <c r="K9" s="1177"/>
      <c r="L9" s="1177"/>
      <c r="M9" s="1178">
        <v>0</v>
      </c>
      <c r="N9" s="1179"/>
      <c r="O9" s="1177"/>
      <c r="P9" s="1177"/>
      <c r="Q9" s="1177"/>
      <c r="R9" s="1174"/>
      <c r="S9" s="1174"/>
      <c r="T9" s="1174"/>
      <c r="U9" s="1174"/>
      <c r="V9" s="255"/>
      <c r="W9" s="1174"/>
      <c r="X9" s="255"/>
      <c r="Y9" s="89">
        <f t="shared" si="0"/>
        <v>0</v>
      </c>
      <c r="Z9" s="255"/>
      <c r="AA9" s="255"/>
      <c r="AB9" s="255"/>
      <c r="AC9" s="158"/>
      <c r="AD9" s="255"/>
      <c r="AE9" s="255">
        <f t="shared" si="1"/>
        <v>0</v>
      </c>
      <c r="AG9" s="255"/>
      <c r="AH9" s="255"/>
      <c r="AI9" s="255"/>
      <c r="AJ9" s="158"/>
      <c r="AK9" s="255"/>
      <c r="AL9" s="255">
        <f t="shared" si="2"/>
        <v>0</v>
      </c>
      <c r="AN9" s="255"/>
      <c r="AO9" s="255"/>
      <c r="AP9" s="255"/>
      <c r="AQ9" s="158"/>
      <c r="AR9" s="255"/>
      <c r="AS9" s="255">
        <f t="shared" si="3"/>
        <v>0</v>
      </c>
      <c r="AU9" s="255"/>
      <c r="AV9" s="255"/>
      <c r="AW9" s="255"/>
      <c r="AX9" s="158"/>
      <c r="AY9" s="255"/>
      <c r="AZ9" s="255">
        <f t="shared" si="4"/>
        <v>0</v>
      </c>
    </row>
    <row r="10" spans="1:52" ht="12" customHeight="1" x14ac:dyDescent="0.35">
      <c r="A10" s="1175">
        <v>9257008</v>
      </c>
      <c r="B10" s="1460" t="s">
        <v>340</v>
      </c>
      <c r="C10" s="1461"/>
      <c r="D10" s="1461"/>
      <c r="E10" s="1461"/>
      <c r="F10" s="255"/>
      <c r="G10" s="255"/>
      <c r="H10" s="255"/>
      <c r="I10" s="255"/>
      <c r="J10" s="255"/>
      <c r="K10" s="255"/>
      <c r="L10" s="255"/>
      <c r="M10" s="1180">
        <v>4</v>
      </c>
      <c r="N10" s="1176">
        <v>44916</v>
      </c>
      <c r="O10" s="255">
        <v>51500</v>
      </c>
      <c r="P10" s="255">
        <v>51500</v>
      </c>
      <c r="Q10" s="255">
        <v>51500</v>
      </c>
      <c r="R10" s="1174"/>
      <c r="S10" s="1174"/>
      <c r="T10" s="1174"/>
      <c r="U10" s="1174"/>
      <c r="V10" s="255"/>
      <c r="W10" s="1174"/>
      <c r="X10" s="255"/>
      <c r="Y10" s="89">
        <f t="shared" si="0"/>
        <v>51500</v>
      </c>
      <c r="Z10" s="255"/>
      <c r="AA10" s="255"/>
      <c r="AB10" s="255">
        <f>Q10*(5/12)</f>
        <v>21458.333333333336</v>
      </c>
      <c r="AC10" s="255">
        <f>51500*(5/12)</f>
        <v>21458.333333333336</v>
      </c>
      <c r="AD10" s="255"/>
      <c r="AE10" s="255">
        <f t="shared" si="1"/>
        <v>42916.666666666672</v>
      </c>
      <c r="AG10" s="255"/>
      <c r="AH10" s="255"/>
      <c r="AI10" s="255">
        <v>617500</v>
      </c>
      <c r="AJ10" s="255">
        <v>0</v>
      </c>
      <c r="AK10" s="255"/>
      <c r="AL10" s="255">
        <f t="shared" si="2"/>
        <v>617500</v>
      </c>
      <c r="AN10" s="255"/>
      <c r="AO10" s="255"/>
      <c r="AP10" s="255">
        <v>617500</v>
      </c>
      <c r="AQ10" s="255">
        <v>0</v>
      </c>
      <c r="AR10" s="255"/>
      <c r="AS10" s="255">
        <f t="shared" si="3"/>
        <v>617500</v>
      </c>
      <c r="AU10" s="255"/>
      <c r="AV10" s="255"/>
      <c r="AW10" s="255">
        <v>617500</v>
      </c>
      <c r="AX10" s="255">
        <v>0</v>
      </c>
      <c r="AY10" s="255"/>
      <c r="AZ10" s="255">
        <f t="shared" si="4"/>
        <v>617500</v>
      </c>
    </row>
    <row r="11" spans="1:52" ht="12" customHeight="1" x14ac:dyDescent="0.35">
      <c r="A11" s="1175">
        <v>9257002</v>
      </c>
      <c r="B11" s="1460" t="s">
        <v>341</v>
      </c>
      <c r="C11" s="1461"/>
      <c r="D11" s="1461"/>
      <c r="E11" s="1461"/>
      <c r="F11" s="255"/>
      <c r="G11" s="255"/>
      <c r="H11" s="255"/>
      <c r="I11" s="255"/>
      <c r="J11" s="255">
        <v>60000</v>
      </c>
      <c r="K11" s="255">
        <v>60000</v>
      </c>
      <c r="L11" s="255">
        <v>60000</v>
      </c>
      <c r="M11" s="1178">
        <v>0</v>
      </c>
      <c r="N11" s="1176"/>
      <c r="O11" s="255"/>
      <c r="P11" s="255"/>
      <c r="Q11" s="255"/>
      <c r="R11" s="1174"/>
      <c r="S11" s="1174"/>
      <c r="T11" s="1174"/>
      <c r="U11" s="1174"/>
      <c r="V11" s="255"/>
      <c r="W11" s="1174"/>
      <c r="X11" s="255"/>
      <c r="Y11" s="89">
        <f t="shared" si="0"/>
        <v>60000</v>
      </c>
      <c r="Z11" s="255"/>
      <c r="AA11" s="255"/>
      <c r="AB11" s="255"/>
      <c r="AC11" s="158"/>
      <c r="AD11" s="255"/>
      <c r="AE11" s="255">
        <f t="shared" si="1"/>
        <v>0</v>
      </c>
      <c r="AG11" s="255"/>
      <c r="AH11" s="255"/>
      <c r="AI11" s="255"/>
      <c r="AJ11" s="158"/>
      <c r="AK11" s="255"/>
      <c r="AL11" s="255">
        <f t="shared" si="2"/>
        <v>0</v>
      </c>
      <c r="AN11" s="255"/>
      <c r="AO11" s="255"/>
      <c r="AP11" s="255"/>
      <c r="AQ11" s="158"/>
      <c r="AR11" s="255"/>
      <c r="AS11" s="255">
        <f t="shared" si="3"/>
        <v>0</v>
      </c>
      <c r="AU11" s="255"/>
      <c r="AV11" s="255"/>
      <c r="AW11" s="255"/>
      <c r="AX11" s="158"/>
      <c r="AY11" s="255"/>
      <c r="AZ11" s="255">
        <f t="shared" si="4"/>
        <v>0</v>
      </c>
    </row>
    <row r="12" spans="1:52" ht="12" customHeight="1" x14ac:dyDescent="0.35">
      <c r="A12" s="1175">
        <v>9257005</v>
      </c>
      <c r="B12" s="1460" t="s">
        <v>342</v>
      </c>
      <c r="C12" s="1461"/>
      <c r="D12" s="1461"/>
      <c r="E12" s="1461"/>
      <c r="F12" s="1176">
        <v>35258</v>
      </c>
      <c r="G12" s="1176">
        <v>35258</v>
      </c>
      <c r="H12" s="1176">
        <v>35258</v>
      </c>
      <c r="I12" s="1176">
        <v>35258</v>
      </c>
      <c r="J12" s="255"/>
      <c r="K12" s="255"/>
      <c r="L12" s="255"/>
      <c r="M12" s="1178">
        <v>0</v>
      </c>
      <c r="N12" s="1176"/>
      <c r="O12" s="255"/>
      <c r="P12" s="255"/>
      <c r="Q12" s="255"/>
      <c r="R12" s="1174"/>
      <c r="S12" s="1174"/>
      <c r="T12" s="1174"/>
      <c r="U12" s="1174"/>
      <c r="V12" s="255"/>
      <c r="W12" s="1174"/>
      <c r="X12" s="255">
        <f>(8/12)*2591</f>
        <v>1727.3333333333333</v>
      </c>
      <c r="Y12" s="89">
        <f t="shared" si="0"/>
        <v>35258</v>
      </c>
      <c r="Z12" s="255">
        <f>I12</f>
        <v>35258</v>
      </c>
      <c r="AA12" s="255"/>
      <c r="AB12" s="255"/>
      <c r="AC12" s="158"/>
      <c r="AD12" s="255"/>
      <c r="AE12" s="255">
        <f t="shared" si="1"/>
        <v>35258</v>
      </c>
      <c r="AG12" s="255">
        <v>35258</v>
      </c>
      <c r="AH12" s="255"/>
      <c r="AI12" s="255"/>
      <c r="AJ12" s="158"/>
      <c r="AK12" s="255"/>
      <c r="AL12" s="255">
        <f t="shared" si="2"/>
        <v>35258</v>
      </c>
      <c r="AN12" s="255">
        <v>26443.5</v>
      </c>
      <c r="AO12" s="255"/>
      <c r="AP12" s="255"/>
      <c r="AQ12" s="158"/>
      <c r="AR12" s="255"/>
      <c r="AS12" s="255">
        <f t="shared" si="3"/>
        <v>26443.5</v>
      </c>
      <c r="AU12" s="255">
        <v>35258</v>
      </c>
      <c r="AV12" s="255"/>
      <c r="AW12" s="255"/>
      <c r="AX12" s="158"/>
      <c r="AY12" s="255"/>
      <c r="AZ12" s="255">
        <f t="shared" si="4"/>
        <v>35258</v>
      </c>
    </row>
    <row r="13" spans="1:52" ht="12" customHeight="1" x14ac:dyDescent="0.35">
      <c r="A13" s="1175">
        <v>9257034</v>
      </c>
      <c r="B13" s="1460" t="s">
        <v>343</v>
      </c>
      <c r="C13" s="1461"/>
      <c r="D13" s="1461"/>
      <c r="E13" s="1461"/>
      <c r="F13" s="255"/>
      <c r="G13" s="255"/>
      <c r="H13" s="255"/>
      <c r="I13" s="255"/>
      <c r="J13" s="255"/>
      <c r="K13" s="255"/>
      <c r="L13" s="255"/>
      <c r="M13" s="1178">
        <v>0</v>
      </c>
      <c r="N13" s="1176"/>
      <c r="O13" s="255"/>
      <c r="P13" s="255"/>
      <c r="Q13" s="255"/>
      <c r="R13" s="1174"/>
      <c r="S13" s="1174"/>
      <c r="T13" s="1174"/>
      <c r="U13" s="1174"/>
      <c r="V13" s="255"/>
      <c r="W13" s="1174"/>
      <c r="X13" s="255">
        <f>(8/12)*3455</f>
        <v>2303.333333333333</v>
      </c>
      <c r="Y13" s="89">
        <f t="shared" si="0"/>
        <v>0</v>
      </c>
      <c r="Z13" s="255"/>
      <c r="AA13" s="255"/>
      <c r="AB13" s="255"/>
      <c r="AC13" s="158"/>
      <c r="AD13" s="255"/>
      <c r="AE13" s="255">
        <f t="shared" si="1"/>
        <v>0</v>
      </c>
      <c r="AG13" s="255"/>
      <c r="AH13" s="255"/>
      <c r="AI13" s="255"/>
      <c r="AJ13" s="158"/>
      <c r="AK13" s="255"/>
      <c r="AL13" s="255">
        <f t="shared" si="2"/>
        <v>0</v>
      </c>
      <c r="AN13" s="255"/>
      <c r="AO13" s="255"/>
      <c r="AP13" s="255"/>
      <c r="AQ13" s="158"/>
      <c r="AR13" s="255"/>
      <c r="AS13" s="255">
        <f t="shared" si="3"/>
        <v>0</v>
      </c>
      <c r="AU13" s="255"/>
      <c r="AV13" s="255"/>
      <c r="AW13" s="255"/>
      <c r="AX13" s="158"/>
      <c r="AY13" s="255"/>
      <c r="AZ13" s="255">
        <f t="shared" si="4"/>
        <v>0</v>
      </c>
    </row>
    <row r="14" spans="1:52" ht="12" customHeight="1" x14ac:dyDescent="0.35">
      <c r="A14" s="1175">
        <v>9257021</v>
      </c>
      <c r="B14" s="1460" t="s">
        <v>344</v>
      </c>
      <c r="C14" s="1461"/>
      <c r="D14" s="1461"/>
      <c r="E14" s="1461"/>
      <c r="F14" s="255"/>
      <c r="G14" s="255"/>
      <c r="H14" s="255">
        <v>35258</v>
      </c>
      <c r="I14" s="1176">
        <v>35258</v>
      </c>
      <c r="J14" s="255"/>
      <c r="K14" s="255"/>
      <c r="L14" s="255"/>
      <c r="M14" s="1178">
        <v>0</v>
      </c>
      <c r="N14" s="1176"/>
      <c r="O14" s="255"/>
      <c r="P14" s="255"/>
      <c r="Q14" s="255"/>
      <c r="R14" s="255">
        <v>274420</v>
      </c>
      <c r="S14" s="255">
        <f>R14*(3/12)</f>
        <v>68605</v>
      </c>
      <c r="T14" s="1174" t="s">
        <v>345</v>
      </c>
      <c r="U14" s="1174"/>
      <c r="V14" s="255"/>
      <c r="W14" s="1174"/>
      <c r="X14" s="255"/>
      <c r="Y14" s="89">
        <f t="shared" si="0"/>
        <v>35258</v>
      </c>
      <c r="Z14" s="255">
        <f>I14</f>
        <v>35258</v>
      </c>
      <c r="AA14" s="255"/>
      <c r="AB14" s="255"/>
      <c r="AC14" s="158"/>
      <c r="AD14" s="255"/>
      <c r="AE14" s="255">
        <f t="shared" si="1"/>
        <v>35258</v>
      </c>
      <c r="AG14" s="255">
        <v>35258</v>
      </c>
      <c r="AH14" s="255"/>
      <c r="AI14" s="255"/>
      <c r="AJ14" s="158"/>
      <c r="AK14" s="255"/>
      <c r="AL14" s="255">
        <f t="shared" si="2"/>
        <v>35258</v>
      </c>
      <c r="AN14" s="255">
        <v>26443.5</v>
      </c>
      <c r="AO14" s="255"/>
      <c r="AP14" s="255"/>
      <c r="AQ14" s="158"/>
      <c r="AR14" s="255"/>
      <c r="AS14" s="255">
        <f t="shared" si="3"/>
        <v>26443.5</v>
      </c>
      <c r="AU14" s="255">
        <v>35258</v>
      </c>
      <c r="AV14" s="255"/>
      <c r="AW14" s="255"/>
      <c r="AX14" s="158"/>
      <c r="AY14" s="255"/>
      <c r="AZ14" s="255">
        <f t="shared" si="4"/>
        <v>35258</v>
      </c>
    </row>
    <row r="15" spans="1:52" s="77" customFormat="1" ht="12" customHeight="1" x14ac:dyDescent="0.3">
      <c r="A15" s="1175">
        <v>9257033</v>
      </c>
      <c r="B15" s="1460" t="s">
        <v>346</v>
      </c>
      <c r="C15" s="1461"/>
      <c r="D15" s="1461"/>
      <c r="E15" s="1461"/>
      <c r="F15" s="1176">
        <v>35258</v>
      </c>
      <c r="G15" s="1176">
        <v>35258</v>
      </c>
      <c r="H15" s="1176">
        <v>35258</v>
      </c>
      <c r="I15" s="1176">
        <v>35258</v>
      </c>
      <c r="J15" s="255"/>
      <c r="K15" s="255"/>
      <c r="L15" s="255"/>
      <c r="M15" s="1178">
        <v>0</v>
      </c>
      <c r="N15" s="1176"/>
      <c r="O15" s="255"/>
      <c r="P15" s="86"/>
      <c r="Q15" s="86"/>
      <c r="R15" s="1174"/>
      <c r="S15" s="1174"/>
      <c r="T15" s="1174"/>
      <c r="U15" s="1174"/>
      <c r="V15" s="255">
        <f>(9/12)*51500</f>
        <v>38625</v>
      </c>
      <c r="W15" s="1174"/>
      <c r="X15" s="255"/>
      <c r="Y15" s="89">
        <f t="shared" si="0"/>
        <v>73883</v>
      </c>
      <c r="Z15" s="255">
        <f>I15</f>
        <v>35258</v>
      </c>
      <c r="AA15" s="255"/>
      <c r="AB15" s="255"/>
      <c r="AC15" s="255">
        <f>51500*(5/12)</f>
        <v>21458.333333333336</v>
      </c>
      <c r="AD15" s="255"/>
      <c r="AE15" s="255">
        <f t="shared" si="1"/>
        <v>56716.333333333336</v>
      </c>
      <c r="AF15" s="1172"/>
      <c r="AG15" s="255">
        <v>35258</v>
      </c>
      <c r="AH15" s="255"/>
      <c r="AI15" s="255"/>
      <c r="AJ15" s="255">
        <v>0</v>
      </c>
      <c r="AK15" s="255"/>
      <c r="AL15" s="255">
        <f t="shared" si="2"/>
        <v>35258</v>
      </c>
      <c r="AM15" s="1172"/>
      <c r="AN15" s="255">
        <v>26443.5</v>
      </c>
      <c r="AO15" s="255"/>
      <c r="AP15" s="255"/>
      <c r="AQ15" s="255">
        <v>0</v>
      </c>
      <c r="AR15" s="255"/>
      <c r="AS15" s="255">
        <f t="shared" si="3"/>
        <v>26443.5</v>
      </c>
      <c r="AT15" s="1172"/>
      <c r="AU15" s="255">
        <v>35258</v>
      </c>
      <c r="AV15" s="255"/>
      <c r="AW15" s="255"/>
      <c r="AX15" s="255">
        <v>0</v>
      </c>
      <c r="AY15" s="255"/>
      <c r="AZ15" s="255">
        <f t="shared" si="4"/>
        <v>35258</v>
      </c>
    </row>
    <row r="16" spans="1:52" s="77" customFormat="1" ht="12" customHeight="1" x14ac:dyDescent="0.3">
      <c r="A16" s="1175">
        <v>9257017</v>
      </c>
      <c r="B16" s="1460" t="s">
        <v>347</v>
      </c>
      <c r="C16" s="1461"/>
      <c r="D16" s="1461"/>
      <c r="E16" s="1461"/>
      <c r="F16" s="1176">
        <v>55122</v>
      </c>
      <c r="G16" s="1176">
        <v>35258</v>
      </c>
      <c r="H16" s="1176">
        <v>14690.833333333334</v>
      </c>
      <c r="I16" s="1176"/>
      <c r="J16" s="255"/>
      <c r="K16" s="255"/>
      <c r="L16" s="255"/>
      <c r="M16" s="1178">
        <v>0</v>
      </c>
      <c r="N16" s="1176"/>
      <c r="O16" s="255"/>
      <c r="P16" s="255"/>
      <c r="Q16" s="255"/>
      <c r="R16" s="1174"/>
      <c r="S16" s="1174"/>
      <c r="T16" s="1174"/>
      <c r="U16" s="1174"/>
      <c r="V16" s="255"/>
      <c r="W16" s="1174"/>
      <c r="X16" s="255"/>
      <c r="Y16" s="89">
        <f t="shared" si="0"/>
        <v>0</v>
      </c>
      <c r="Z16" s="255"/>
      <c r="AA16" s="255"/>
      <c r="AB16" s="255"/>
      <c r="AC16" s="255"/>
      <c r="AD16" s="255"/>
      <c r="AE16" s="255">
        <f t="shared" si="1"/>
        <v>0</v>
      </c>
      <c r="AF16" s="1172"/>
      <c r="AG16" s="255"/>
      <c r="AH16" s="255"/>
      <c r="AI16" s="255"/>
      <c r="AJ16" s="255"/>
      <c r="AK16" s="255"/>
      <c r="AL16" s="255">
        <f t="shared" si="2"/>
        <v>0</v>
      </c>
      <c r="AM16" s="1172"/>
      <c r="AN16" s="255"/>
      <c r="AO16" s="255"/>
      <c r="AP16" s="255"/>
      <c r="AQ16" s="255"/>
      <c r="AR16" s="255"/>
      <c r="AS16" s="255">
        <f t="shared" si="3"/>
        <v>0</v>
      </c>
      <c r="AT16" s="1172"/>
      <c r="AU16" s="255"/>
      <c r="AV16" s="255"/>
      <c r="AW16" s="255"/>
      <c r="AX16" s="255"/>
      <c r="AY16" s="255"/>
      <c r="AZ16" s="255">
        <f t="shared" si="4"/>
        <v>0</v>
      </c>
    </row>
    <row r="17" spans="1:52" ht="12" customHeight="1" x14ac:dyDescent="0.35">
      <c r="A17" s="1175">
        <v>9257015</v>
      </c>
      <c r="B17" s="1460" t="s">
        <v>348</v>
      </c>
      <c r="C17" s="1461"/>
      <c r="D17" s="1461"/>
      <c r="E17" s="1461"/>
      <c r="F17" s="255"/>
      <c r="G17" s="255"/>
      <c r="H17" s="255">
        <f>(7/12)*35258</f>
        <v>20567.166666666668</v>
      </c>
      <c r="I17" s="255">
        <v>35258</v>
      </c>
      <c r="J17" s="255"/>
      <c r="K17" s="255"/>
      <c r="L17" s="255"/>
      <c r="M17" s="1180">
        <v>6</v>
      </c>
      <c r="N17" s="1176">
        <v>67374</v>
      </c>
      <c r="O17" s="255">
        <v>67374</v>
      </c>
      <c r="P17" s="255">
        <v>51500</v>
      </c>
      <c r="Q17" s="255">
        <v>51500</v>
      </c>
      <c r="R17" s="1174"/>
      <c r="S17" s="1174"/>
      <c r="T17" s="1174" t="s">
        <v>9</v>
      </c>
      <c r="U17" s="1174"/>
      <c r="V17" s="255"/>
      <c r="W17" s="1174"/>
      <c r="X17" s="255">
        <f>(8/12)*2015</f>
        <v>1343.3333333333333</v>
      </c>
      <c r="Y17" s="89">
        <f t="shared" si="0"/>
        <v>86758</v>
      </c>
      <c r="Z17" s="255">
        <f>I17</f>
        <v>35258</v>
      </c>
      <c r="AA17" s="255"/>
      <c r="AB17" s="255">
        <f>Q17*(5/12)</f>
        <v>21458.333333333336</v>
      </c>
      <c r="AC17" s="158"/>
      <c r="AD17" s="255"/>
      <c r="AE17" s="255">
        <f t="shared" si="1"/>
        <v>56716.333333333336</v>
      </c>
      <c r="AG17" s="255">
        <v>35258</v>
      </c>
      <c r="AH17" s="255"/>
      <c r="AI17" s="255">
        <v>0</v>
      </c>
      <c r="AJ17" s="158"/>
      <c r="AK17" s="255"/>
      <c r="AL17" s="255">
        <f t="shared" si="2"/>
        <v>35258</v>
      </c>
      <c r="AN17" s="255">
        <v>26443.5</v>
      </c>
      <c r="AO17" s="255"/>
      <c r="AP17" s="255">
        <v>0</v>
      </c>
      <c r="AQ17" s="158"/>
      <c r="AR17" s="255"/>
      <c r="AS17" s="255">
        <f t="shared" si="3"/>
        <v>26443.5</v>
      </c>
      <c r="AU17" s="255">
        <v>35258</v>
      </c>
      <c r="AV17" s="255"/>
      <c r="AW17" s="255">
        <v>0</v>
      </c>
      <c r="AX17" s="158"/>
      <c r="AY17" s="255"/>
      <c r="AZ17" s="255">
        <f t="shared" si="4"/>
        <v>35258</v>
      </c>
    </row>
    <row r="18" spans="1:52" ht="12" customHeight="1" x14ac:dyDescent="0.35">
      <c r="A18" s="1175">
        <v>9257016</v>
      </c>
      <c r="B18" s="1460" t="s">
        <v>349</v>
      </c>
      <c r="C18" s="1461"/>
      <c r="D18" s="1461"/>
      <c r="E18" s="1461"/>
      <c r="F18" s="255"/>
      <c r="G18" s="255"/>
      <c r="H18" s="255"/>
      <c r="I18" s="255"/>
      <c r="J18" s="255">
        <v>60000</v>
      </c>
      <c r="K18" s="255">
        <v>60000</v>
      </c>
      <c r="L18" s="255">
        <v>60000</v>
      </c>
      <c r="M18" s="1180">
        <v>8.5</v>
      </c>
      <c r="N18" s="1176">
        <v>88935.5</v>
      </c>
      <c r="O18" s="255">
        <v>88936</v>
      </c>
      <c r="P18" s="255">
        <v>88936</v>
      </c>
      <c r="Q18" s="255">
        <v>88936</v>
      </c>
      <c r="R18" s="255">
        <v>582568</v>
      </c>
      <c r="S18" s="255">
        <v>582568</v>
      </c>
      <c r="T18" s="1174"/>
      <c r="U18" s="255">
        <v>582568</v>
      </c>
      <c r="V18" s="255"/>
      <c r="W18" s="1174"/>
      <c r="X18" s="255">
        <f>(8/12)*5470</f>
        <v>3646.6666666666665</v>
      </c>
      <c r="Y18" s="89">
        <f t="shared" si="0"/>
        <v>731504</v>
      </c>
      <c r="Z18" s="255"/>
      <c r="AA18" s="255">
        <f>L18*(5/12)</f>
        <v>25000</v>
      </c>
      <c r="AB18" s="255">
        <f>Q18*(5/12)</f>
        <v>37056.666666666672</v>
      </c>
      <c r="AC18" s="158"/>
      <c r="AD18" s="255">
        <f>U18</f>
        <v>582568</v>
      </c>
      <c r="AE18" s="255">
        <f t="shared" si="1"/>
        <v>644624.66666666663</v>
      </c>
      <c r="AG18" s="255"/>
      <c r="AH18" s="255">
        <v>0</v>
      </c>
      <c r="AI18" s="255">
        <v>140436</v>
      </c>
      <c r="AJ18" s="158"/>
      <c r="AK18" s="255">
        <v>582568</v>
      </c>
      <c r="AL18" s="255">
        <f t="shared" si="2"/>
        <v>723004</v>
      </c>
      <c r="AN18" s="255"/>
      <c r="AO18" s="255">
        <v>0</v>
      </c>
      <c r="AP18" s="255">
        <v>140436</v>
      </c>
      <c r="AQ18" s="158"/>
      <c r="AR18" s="255">
        <v>582568</v>
      </c>
      <c r="AS18" s="255">
        <f t="shared" si="3"/>
        <v>723004</v>
      </c>
      <c r="AU18" s="255"/>
      <c r="AV18" s="255">
        <v>0</v>
      </c>
      <c r="AW18" s="255">
        <v>140436</v>
      </c>
      <c r="AX18" s="158"/>
      <c r="AY18" s="255">
        <v>582568</v>
      </c>
      <c r="AZ18" s="255">
        <f t="shared" si="4"/>
        <v>723004</v>
      </c>
    </row>
    <row r="19" spans="1:52" ht="12" customHeight="1" x14ac:dyDescent="0.35">
      <c r="A19" s="1175">
        <v>9257032</v>
      </c>
      <c r="B19" s="1468" t="s">
        <v>350</v>
      </c>
      <c r="C19" s="1469"/>
      <c r="D19" s="1469"/>
      <c r="E19" s="1470"/>
      <c r="F19" s="255"/>
      <c r="G19" s="255"/>
      <c r="H19" s="255"/>
      <c r="I19" s="255"/>
      <c r="J19" s="255">
        <v>60000</v>
      </c>
      <c r="K19" s="255">
        <v>60000</v>
      </c>
      <c r="L19" s="255">
        <v>60000</v>
      </c>
      <c r="M19" s="1178">
        <v>0</v>
      </c>
      <c r="N19" s="1176"/>
      <c r="O19" s="255"/>
      <c r="P19" s="255"/>
      <c r="Q19" s="255"/>
      <c r="R19" s="1174"/>
      <c r="S19" s="1174"/>
      <c r="T19" s="1174"/>
      <c r="U19" s="1174"/>
      <c r="V19" s="255"/>
      <c r="W19" s="1174"/>
      <c r="X19" s="255"/>
      <c r="Y19" s="89">
        <f t="shared" si="0"/>
        <v>60000</v>
      </c>
      <c r="Z19" s="255"/>
      <c r="AA19" s="255">
        <f>L19*(5/12)</f>
        <v>25000</v>
      </c>
      <c r="AB19" s="255"/>
      <c r="AC19" s="158"/>
      <c r="AD19" s="255"/>
      <c r="AE19" s="255">
        <f t="shared" si="1"/>
        <v>25000</v>
      </c>
      <c r="AG19" s="255"/>
      <c r="AH19" s="255">
        <v>0</v>
      </c>
      <c r="AI19" s="255"/>
      <c r="AJ19" s="158"/>
      <c r="AK19" s="255"/>
      <c r="AL19" s="255">
        <f t="shared" si="2"/>
        <v>0</v>
      </c>
      <c r="AN19" s="255"/>
      <c r="AO19" s="255">
        <v>0</v>
      </c>
      <c r="AP19" s="255"/>
      <c r="AQ19" s="158"/>
      <c r="AR19" s="255"/>
      <c r="AS19" s="255">
        <f t="shared" si="3"/>
        <v>0</v>
      </c>
      <c r="AU19" s="255"/>
      <c r="AV19" s="255">
        <v>0</v>
      </c>
      <c r="AW19" s="255"/>
      <c r="AX19" s="158"/>
      <c r="AY19" s="255"/>
      <c r="AZ19" s="255">
        <f t="shared" si="4"/>
        <v>0</v>
      </c>
    </row>
    <row r="20" spans="1:52" ht="12" customHeight="1" x14ac:dyDescent="0.35">
      <c r="A20" s="1175">
        <v>9257025</v>
      </c>
      <c r="B20" s="1460" t="s">
        <v>351</v>
      </c>
      <c r="C20" s="1461"/>
      <c r="D20" s="1461"/>
      <c r="E20" s="1461"/>
      <c r="F20" s="1176">
        <v>35258</v>
      </c>
      <c r="G20" s="1176">
        <v>35258</v>
      </c>
      <c r="H20" s="1176">
        <v>35258</v>
      </c>
      <c r="I20" s="1176">
        <v>35258</v>
      </c>
      <c r="J20" s="255"/>
      <c r="K20" s="255"/>
      <c r="L20" s="255"/>
      <c r="M20" s="1178">
        <v>0</v>
      </c>
      <c r="N20" s="1176"/>
      <c r="O20" s="255"/>
      <c r="P20" s="86"/>
      <c r="Q20" s="86"/>
      <c r="R20" s="255">
        <v>327644</v>
      </c>
      <c r="S20" s="255">
        <v>327644</v>
      </c>
      <c r="T20" s="1174"/>
      <c r="U20" s="255">
        <v>327644</v>
      </c>
      <c r="V20" s="255">
        <f>(9/12)*51500</f>
        <v>38625</v>
      </c>
      <c r="W20" s="1174"/>
      <c r="X20" s="255">
        <f>(8/12)*1727</f>
        <v>1151.3333333333333</v>
      </c>
      <c r="Y20" s="89">
        <f t="shared" si="0"/>
        <v>401527</v>
      </c>
      <c r="Z20" s="255">
        <f>I20</f>
        <v>35258</v>
      </c>
      <c r="AA20" s="255"/>
      <c r="AB20" s="255"/>
      <c r="AC20" s="255">
        <f>51500*(5/12)</f>
        <v>21458.333333333336</v>
      </c>
      <c r="AD20" s="255">
        <f>U20</f>
        <v>327644</v>
      </c>
      <c r="AE20" s="255">
        <f t="shared" si="1"/>
        <v>384360.33333333331</v>
      </c>
      <c r="AG20" s="255">
        <v>35258</v>
      </c>
      <c r="AH20" s="255"/>
      <c r="AI20" s="255"/>
      <c r="AJ20" s="255">
        <v>0</v>
      </c>
      <c r="AK20" s="255">
        <f>327644+209307</f>
        <v>536951</v>
      </c>
      <c r="AL20" s="255">
        <f t="shared" si="2"/>
        <v>572209</v>
      </c>
      <c r="AN20" s="255">
        <v>26443.5</v>
      </c>
      <c r="AO20" s="255"/>
      <c r="AP20" s="255"/>
      <c r="AQ20" s="255">
        <v>0</v>
      </c>
      <c r="AR20" s="255">
        <f>327644+209307</f>
        <v>536951</v>
      </c>
      <c r="AS20" s="255">
        <f t="shared" si="3"/>
        <v>563394.5</v>
      </c>
      <c r="AU20" s="255">
        <v>35258</v>
      </c>
      <c r="AV20" s="255"/>
      <c r="AW20" s="255"/>
      <c r="AX20" s="255">
        <v>0</v>
      </c>
      <c r="AY20" s="255">
        <f>327644+209307</f>
        <v>536951</v>
      </c>
      <c r="AZ20" s="255">
        <f t="shared" si="4"/>
        <v>572209</v>
      </c>
    </row>
    <row r="21" spans="1:52" ht="12" customHeight="1" x14ac:dyDescent="0.35">
      <c r="A21" s="1175">
        <v>9257011</v>
      </c>
      <c r="B21" s="1460" t="s">
        <v>352</v>
      </c>
      <c r="C21" s="1461"/>
      <c r="D21" s="1461"/>
      <c r="E21" s="1461"/>
      <c r="F21" s="1176">
        <v>35258</v>
      </c>
      <c r="G21" s="1176">
        <v>35258</v>
      </c>
      <c r="H21" s="1176">
        <v>35258</v>
      </c>
      <c r="I21" s="1176">
        <v>35258</v>
      </c>
      <c r="J21" s="255"/>
      <c r="K21" s="255"/>
      <c r="L21" s="255"/>
      <c r="M21" s="1178">
        <v>0</v>
      </c>
      <c r="N21" s="1176"/>
      <c r="O21" s="255"/>
      <c r="P21" s="255"/>
      <c r="Q21" s="255"/>
      <c r="R21" s="1174"/>
      <c r="S21" s="1174"/>
      <c r="T21" s="1174"/>
      <c r="U21" s="1174"/>
      <c r="V21" s="255">
        <f>((9/12)*51500)/2</f>
        <v>19312.5</v>
      </c>
      <c r="W21" s="1174"/>
      <c r="X21" s="255">
        <f>(8/12)*500</f>
        <v>333.33333333333331</v>
      </c>
      <c r="Y21" s="89">
        <f t="shared" si="0"/>
        <v>54570.5</v>
      </c>
      <c r="Z21" s="255">
        <f>I21</f>
        <v>35258</v>
      </c>
      <c r="AA21" s="255"/>
      <c r="AB21" s="255"/>
      <c r="AC21" s="255">
        <f>(51500)*(5/12)</f>
        <v>21458.333333333336</v>
      </c>
      <c r="AD21" s="255"/>
      <c r="AE21" s="255">
        <f t="shared" si="1"/>
        <v>56716.333333333336</v>
      </c>
      <c r="AG21" s="255">
        <v>35258</v>
      </c>
      <c r="AH21" s="255"/>
      <c r="AI21" s="255"/>
      <c r="AJ21" s="255">
        <v>0</v>
      </c>
      <c r="AK21" s="255"/>
      <c r="AL21" s="255">
        <f t="shared" si="2"/>
        <v>35258</v>
      </c>
      <c r="AN21" s="255">
        <v>26443.5</v>
      </c>
      <c r="AO21" s="255"/>
      <c r="AP21" s="255"/>
      <c r="AQ21" s="255">
        <v>0</v>
      </c>
      <c r="AR21" s="255"/>
      <c r="AS21" s="255">
        <f t="shared" si="3"/>
        <v>26443.5</v>
      </c>
      <c r="AU21" s="255">
        <v>35258</v>
      </c>
      <c r="AV21" s="255"/>
      <c r="AW21" s="255"/>
      <c r="AX21" s="255">
        <v>0</v>
      </c>
      <c r="AY21" s="255"/>
      <c r="AZ21" s="255">
        <f t="shared" si="4"/>
        <v>35258</v>
      </c>
    </row>
    <row r="22" spans="1:52" ht="12" customHeight="1" x14ac:dyDescent="0.35">
      <c r="A22" s="1175">
        <v>9257009</v>
      </c>
      <c r="B22" s="1460" t="s">
        <v>353</v>
      </c>
      <c r="C22" s="1461"/>
      <c r="D22" s="1461"/>
      <c r="E22" s="1461"/>
      <c r="F22" s="255"/>
      <c r="G22" s="255"/>
      <c r="H22" s="255"/>
      <c r="I22" s="255"/>
      <c r="J22" s="255"/>
      <c r="K22" s="255"/>
      <c r="L22" s="255"/>
      <c r="M22" s="1178">
        <v>0</v>
      </c>
      <c r="N22" s="1176"/>
      <c r="O22" s="255"/>
      <c r="P22" s="86"/>
      <c r="Q22" s="86"/>
      <c r="R22" s="1174"/>
      <c r="S22" s="1174"/>
      <c r="T22" s="1174"/>
      <c r="U22" s="1174"/>
      <c r="V22" s="255">
        <f>((9/12)*51500)/2</f>
        <v>19312.5</v>
      </c>
      <c r="W22" s="1174"/>
      <c r="X22" s="255"/>
      <c r="Y22" s="89">
        <f t="shared" si="0"/>
        <v>19312.5</v>
      </c>
      <c r="Z22" s="255"/>
      <c r="AA22" s="255"/>
      <c r="AB22" s="255"/>
      <c r="AC22" s="255">
        <f>(51500)*(5/12)</f>
        <v>21458.333333333336</v>
      </c>
      <c r="AD22" s="255"/>
      <c r="AE22" s="255">
        <f t="shared" si="1"/>
        <v>21458.333333333336</v>
      </c>
      <c r="AG22" s="255"/>
      <c r="AH22" s="255"/>
      <c r="AI22" s="255"/>
      <c r="AJ22" s="255">
        <v>0</v>
      </c>
      <c r="AK22" s="255"/>
      <c r="AL22" s="255">
        <f t="shared" si="2"/>
        <v>0</v>
      </c>
      <c r="AN22" s="255"/>
      <c r="AO22" s="255"/>
      <c r="AP22" s="255"/>
      <c r="AQ22" s="255">
        <v>0</v>
      </c>
      <c r="AR22" s="255"/>
      <c r="AS22" s="255">
        <f t="shared" si="3"/>
        <v>0</v>
      </c>
      <c r="AU22" s="255"/>
      <c r="AV22" s="255"/>
      <c r="AW22" s="255"/>
      <c r="AX22" s="255">
        <v>0</v>
      </c>
      <c r="AY22" s="255"/>
      <c r="AZ22" s="255">
        <f t="shared" si="4"/>
        <v>0</v>
      </c>
    </row>
    <row r="23" spans="1:52" ht="12" customHeight="1" x14ac:dyDescent="0.35">
      <c r="A23" s="1175">
        <v>9257024</v>
      </c>
      <c r="B23" s="1460" t="s">
        <v>354</v>
      </c>
      <c r="C23" s="1461"/>
      <c r="D23" s="1461"/>
      <c r="E23" s="1461"/>
      <c r="F23" s="1176">
        <v>35258</v>
      </c>
      <c r="G23" s="1176">
        <v>35258</v>
      </c>
      <c r="H23" s="1176">
        <v>35258</v>
      </c>
      <c r="I23" s="1176">
        <v>35258</v>
      </c>
      <c r="J23" s="255">
        <v>60000</v>
      </c>
      <c r="K23" s="255">
        <v>60000</v>
      </c>
      <c r="L23" s="255">
        <v>60000</v>
      </c>
      <c r="M23" s="1178">
        <v>0</v>
      </c>
      <c r="N23" s="1176"/>
      <c r="O23" s="255"/>
      <c r="P23" s="255"/>
      <c r="Q23" s="255"/>
      <c r="R23" s="1174"/>
      <c r="S23" s="1174"/>
      <c r="T23" s="1174"/>
      <c r="U23" s="1174"/>
      <c r="V23" s="255"/>
      <c r="W23" s="1174"/>
      <c r="X23" s="255">
        <f>(8/12)*1152</f>
        <v>768</v>
      </c>
      <c r="Y23" s="89">
        <f t="shared" si="0"/>
        <v>95258</v>
      </c>
      <c r="Z23" s="255">
        <f>I23</f>
        <v>35258</v>
      </c>
      <c r="AA23" s="255">
        <f>L23*(5/12)</f>
        <v>25000</v>
      </c>
      <c r="AB23" s="255"/>
      <c r="AC23" s="158"/>
      <c r="AD23" s="255"/>
      <c r="AE23" s="255">
        <f t="shared" si="1"/>
        <v>60258</v>
      </c>
      <c r="AG23" s="255">
        <v>35258</v>
      </c>
      <c r="AH23" s="255">
        <v>0</v>
      </c>
      <c r="AI23" s="255"/>
      <c r="AJ23" s="158"/>
      <c r="AK23" s="255"/>
      <c r="AL23" s="255">
        <f t="shared" si="2"/>
        <v>35258</v>
      </c>
      <c r="AN23" s="255">
        <v>26443.5</v>
      </c>
      <c r="AO23" s="255">
        <v>0</v>
      </c>
      <c r="AP23" s="255"/>
      <c r="AQ23" s="158"/>
      <c r="AR23" s="255"/>
      <c r="AS23" s="255">
        <f t="shared" si="3"/>
        <v>26443.5</v>
      </c>
      <c r="AU23" s="255">
        <v>35258</v>
      </c>
      <c r="AV23" s="255">
        <v>0</v>
      </c>
      <c r="AW23" s="255"/>
      <c r="AX23" s="158"/>
      <c r="AY23" s="255"/>
      <c r="AZ23" s="255">
        <f t="shared" si="4"/>
        <v>35258</v>
      </c>
    </row>
    <row r="24" spans="1:52" ht="12" customHeight="1" x14ac:dyDescent="0.35">
      <c r="A24" s="1175">
        <v>9257028</v>
      </c>
      <c r="B24" s="1460" t="s">
        <v>355</v>
      </c>
      <c r="C24" s="1461"/>
      <c r="D24" s="1461"/>
      <c r="E24" s="1461"/>
      <c r="F24" s="1176">
        <v>35258</v>
      </c>
      <c r="G24" s="1176">
        <v>35258</v>
      </c>
      <c r="H24" s="1176">
        <v>35258</v>
      </c>
      <c r="I24" s="1176">
        <v>35258</v>
      </c>
      <c r="J24" s="255">
        <v>60000</v>
      </c>
      <c r="K24" s="255">
        <v>60000</v>
      </c>
      <c r="L24" s="255">
        <v>60000</v>
      </c>
      <c r="M24" s="1178">
        <v>0</v>
      </c>
      <c r="N24" s="1176"/>
      <c r="O24" s="255"/>
      <c r="P24" s="255"/>
      <c r="Q24" s="255"/>
      <c r="R24" s="1174"/>
      <c r="S24" s="1174"/>
      <c r="T24" s="1174"/>
      <c r="U24" s="1174"/>
      <c r="V24" s="255"/>
      <c r="W24" s="1174"/>
      <c r="X24" s="255">
        <f>(8/12)*2015</f>
        <v>1343.3333333333333</v>
      </c>
      <c r="Y24" s="89">
        <f t="shared" si="0"/>
        <v>95258</v>
      </c>
      <c r="Z24" s="255">
        <f>I24</f>
        <v>35258</v>
      </c>
      <c r="AA24" s="255"/>
      <c r="AB24" s="255"/>
      <c r="AC24" s="158"/>
      <c r="AD24" s="255"/>
      <c r="AE24" s="255">
        <f t="shared" si="1"/>
        <v>35258</v>
      </c>
      <c r="AG24" s="255">
        <v>35258</v>
      </c>
      <c r="AH24" s="255"/>
      <c r="AI24" s="255"/>
      <c r="AJ24" s="158"/>
      <c r="AK24" s="255"/>
      <c r="AL24" s="255">
        <f t="shared" si="2"/>
        <v>35258</v>
      </c>
      <c r="AN24" s="255">
        <v>26443.5</v>
      </c>
      <c r="AO24" s="255"/>
      <c r="AP24" s="255"/>
      <c r="AQ24" s="158"/>
      <c r="AR24" s="255"/>
      <c r="AS24" s="255">
        <f t="shared" si="3"/>
        <v>26443.5</v>
      </c>
      <c r="AU24" s="255">
        <v>35258</v>
      </c>
      <c r="AV24" s="255"/>
      <c r="AW24" s="255"/>
      <c r="AX24" s="158"/>
      <c r="AY24" s="255"/>
      <c r="AZ24" s="255">
        <f t="shared" si="4"/>
        <v>35258</v>
      </c>
    </row>
    <row r="25" spans="1:52" ht="12" customHeight="1" x14ac:dyDescent="0.35">
      <c r="A25" s="1175">
        <v>9257029</v>
      </c>
      <c r="B25" s="1471" t="s">
        <v>356</v>
      </c>
      <c r="C25" s="1472"/>
      <c r="D25" s="1472"/>
      <c r="E25" s="1473"/>
      <c r="F25" s="1176"/>
      <c r="G25" s="1176"/>
      <c r="H25" s="1176"/>
      <c r="I25" s="1176"/>
      <c r="J25" s="255">
        <v>60000</v>
      </c>
      <c r="K25" s="255">
        <v>60000</v>
      </c>
      <c r="L25" s="255">
        <v>60000</v>
      </c>
      <c r="M25" s="1178">
        <v>0</v>
      </c>
      <c r="N25" s="1176"/>
      <c r="O25" s="255"/>
      <c r="P25" s="255"/>
      <c r="Q25" s="255"/>
      <c r="R25" s="1174"/>
      <c r="S25" s="1174"/>
      <c r="T25" s="1174"/>
      <c r="U25" s="1174"/>
      <c r="V25" s="255"/>
      <c r="W25" s="1174"/>
      <c r="X25" s="255"/>
      <c r="Y25" s="89">
        <f t="shared" si="0"/>
        <v>60000</v>
      </c>
      <c r="Z25" s="255"/>
      <c r="AA25" s="255">
        <f>L25*(5/12)</f>
        <v>25000</v>
      </c>
      <c r="AB25" s="255"/>
      <c r="AC25" s="158"/>
      <c r="AD25" s="255"/>
      <c r="AE25" s="255">
        <f t="shared" si="1"/>
        <v>25000</v>
      </c>
      <c r="AG25" s="255"/>
      <c r="AH25" s="255">
        <v>0</v>
      </c>
      <c r="AI25" s="255"/>
      <c r="AJ25" s="158"/>
      <c r="AK25" s="255"/>
      <c r="AL25" s="255">
        <f t="shared" si="2"/>
        <v>0</v>
      </c>
      <c r="AN25" s="255"/>
      <c r="AO25" s="255">
        <v>0</v>
      </c>
      <c r="AP25" s="255"/>
      <c r="AQ25" s="158"/>
      <c r="AR25" s="255"/>
      <c r="AS25" s="255">
        <f t="shared" si="3"/>
        <v>0</v>
      </c>
      <c r="AU25" s="255"/>
      <c r="AV25" s="255">
        <v>0</v>
      </c>
      <c r="AW25" s="255"/>
      <c r="AX25" s="158"/>
      <c r="AY25" s="255"/>
      <c r="AZ25" s="255">
        <f t="shared" si="4"/>
        <v>0</v>
      </c>
    </row>
    <row r="26" spans="1:52" ht="12" customHeight="1" x14ac:dyDescent="0.35">
      <c r="A26" s="293"/>
      <c r="B26" s="1474" t="s">
        <v>357</v>
      </c>
      <c r="C26" s="1474"/>
      <c r="D26" s="1474"/>
      <c r="E26" s="1474"/>
      <c r="F26" s="81">
        <v>301928</v>
      </c>
      <c r="G26" s="81">
        <v>282064</v>
      </c>
      <c r="H26" s="81">
        <v>317322</v>
      </c>
      <c r="I26" s="81">
        <v>317322</v>
      </c>
      <c r="J26" s="81">
        <v>360000</v>
      </c>
      <c r="K26" s="81">
        <v>360000</v>
      </c>
      <c r="L26" s="81">
        <v>360000</v>
      </c>
      <c r="M26" s="82">
        <v>18.5</v>
      </c>
      <c r="N26" s="81">
        <v>201225.5</v>
      </c>
      <c r="O26" s="81">
        <v>207810</v>
      </c>
      <c r="P26" s="81">
        <v>191936</v>
      </c>
      <c r="Q26" s="81">
        <v>191936</v>
      </c>
      <c r="R26" s="81">
        <v>1184632</v>
      </c>
      <c r="S26" s="81">
        <v>978817</v>
      </c>
      <c r="T26" s="81">
        <v>0</v>
      </c>
      <c r="U26" s="81">
        <v>910212</v>
      </c>
      <c r="V26" s="81">
        <v>154500</v>
      </c>
      <c r="W26" s="1174"/>
      <c r="X26" s="89">
        <f>SUM(X7:X25)</f>
        <v>13192.666666666668</v>
      </c>
      <c r="Y26" s="89">
        <f>I26+L26+Q26+U26+V26</f>
        <v>1933970</v>
      </c>
      <c r="Z26" s="255">
        <f>SUM(Z7:Z25)</f>
        <v>317322</v>
      </c>
      <c r="AA26" s="255">
        <f>SUM(AA7:AA25)</f>
        <v>100000</v>
      </c>
      <c r="AB26" s="255">
        <f>SUM(AB7:AB25)</f>
        <v>79973.333333333343</v>
      </c>
      <c r="AC26" s="255">
        <f>SUM(AC7:AC25)</f>
        <v>128750.00000000003</v>
      </c>
      <c r="AD26" s="255">
        <f>SUM(AD7:AD25)</f>
        <v>910212</v>
      </c>
      <c r="AE26" s="255">
        <f t="shared" si="1"/>
        <v>1536257.3333333335</v>
      </c>
      <c r="AG26" s="255">
        <f>SUM(AG7:AG25)</f>
        <v>317322</v>
      </c>
      <c r="AH26" s="255">
        <f>SUM(AH7:AH25)</f>
        <v>0</v>
      </c>
      <c r="AI26" s="255">
        <f>SUM(AI7:AI25)</f>
        <v>757936</v>
      </c>
      <c r="AJ26" s="255">
        <f>SUM(AJ7:AJ25)</f>
        <v>0</v>
      </c>
      <c r="AK26" s="255">
        <f>SUM(AK7:AK25)</f>
        <v>1119519</v>
      </c>
      <c r="AL26" s="255">
        <f t="shared" si="2"/>
        <v>2194777</v>
      </c>
      <c r="AN26" s="255">
        <f>SUM(AN7:AN25)</f>
        <v>237991.5</v>
      </c>
      <c r="AO26" s="255">
        <f>SUM(AO7:AO25)</f>
        <v>0</v>
      </c>
      <c r="AP26" s="255">
        <f>SUM(AP7:AP25)</f>
        <v>757936</v>
      </c>
      <c r="AQ26" s="255">
        <f>SUM(AQ7:AQ25)</f>
        <v>0</v>
      </c>
      <c r="AR26" s="255">
        <f>SUM(AR7:AR25)</f>
        <v>1119519</v>
      </c>
      <c r="AS26" s="255">
        <f t="shared" si="3"/>
        <v>2115446.5</v>
      </c>
      <c r="AU26" s="255">
        <f>SUM(AU7:AU25)</f>
        <v>317322</v>
      </c>
      <c r="AV26" s="255">
        <f>SUM(AV7:AV25)</f>
        <v>0</v>
      </c>
      <c r="AW26" s="255">
        <f>SUM(AW7:AW25)</f>
        <v>757936</v>
      </c>
      <c r="AX26" s="255">
        <f>SUM(AX7:AX25)</f>
        <v>0</v>
      </c>
      <c r="AY26" s="255">
        <f>SUM(AY7:AY25)</f>
        <v>1119519</v>
      </c>
      <c r="AZ26" s="255">
        <f t="shared" si="4"/>
        <v>2194777</v>
      </c>
    </row>
    <row r="27" spans="1:52" ht="15" customHeight="1" x14ac:dyDescent="0.35">
      <c r="A27" s="293"/>
      <c r="B27" s="1172"/>
      <c r="C27" s="1172"/>
      <c r="D27" s="1172"/>
      <c r="E27" s="1172"/>
      <c r="F27" s="1172"/>
      <c r="G27" s="1172"/>
      <c r="H27" s="1172"/>
      <c r="I27" s="1172"/>
      <c r="J27" s="293"/>
      <c r="K27" s="293"/>
      <c r="L27" s="293"/>
      <c r="O27" s="1172"/>
      <c r="P27" s="1172"/>
      <c r="Q27" s="1172"/>
      <c r="R27" s="1172"/>
      <c r="S27" s="1172"/>
      <c r="T27" s="1172"/>
      <c r="U27" s="1172"/>
      <c r="V27" s="1172"/>
      <c r="W27" s="1172"/>
      <c r="X27" s="1172"/>
      <c r="Y27" s="293"/>
      <c r="Z27" s="1172"/>
      <c r="AA27" s="1172"/>
      <c r="AB27" s="1172"/>
    </row>
    <row r="28" spans="1:52" ht="15" hidden="1" customHeight="1" x14ac:dyDescent="0.35">
      <c r="A28" s="293"/>
      <c r="B28" s="83" t="s">
        <v>358</v>
      </c>
      <c r="C28" s="1172"/>
      <c r="D28" s="1172"/>
      <c r="E28" s="1172"/>
      <c r="F28" s="1172"/>
      <c r="G28" s="1172"/>
      <c r="H28" s="1172"/>
      <c r="I28" s="1172"/>
      <c r="J28" s="293"/>
      <c r="K28" s="293"/>
      <c r="L28" s="293"/>
      <c r="O28" s="1172"/>
      <c r="P28" s="1172"/>
      <c r="Q28" s="1172"/>
      <c r="R28" s="1172"/>
      <c r="S28" s="1172"/>
      <c r="T28" s="1172"/>
      <c r="U28" s="1172"/>
      <c r="V28" s="1172"/>
      <c r="W28" s="1172"/>
      <c r="X28" s="1172"/>
      <c r="Y28" s="293"/>
      <c r="Z28" s="1172"/>
      <c r="AA28" s="1172"/>
      <c r="AB28" s="1172"/>
    </row>
    <row r="29" spans="1:52" ht="15" hidden="1" customHeight="1" x14ac:dyDescent="0.35">
      <c r="A29" s="293"/>
      <c r="B29" s="84" t="s">
        <v>359</v>
      </c>
      <c r="C29" s="1172"/>
      <c r="D29" s="1172"/>
      <c r="E29" s="1172"/>
      <c r="F29" s="1172"/>
      <c r="G29" s="1172"/>
      <c r="H29" s="1172"/>
      <c r="I29" s="1172"/>
      <c r="J29" s="293"/>
      <c r="K29" s="293"/>
      <c r="L29" s="293"/>
      <c r="O29" s="1172"/>
      <c r="P29" s="1172"/>
      <c r="Q29" s="1172"/>
      <c r="R29" s="1172"/>
      <c r="S29" s="1172"/>
      <c r="T29" s="1172"/>
      <c r="U29" s="1172"/>
      <c r="V29" s="1172"/>
      <c r="W29" s="1172"/>
      <c r="X29" s="1172"/>
      <c r="Y29" s="293"/>
      <c r="Z29" s="1172"/>
      <c r="AA29" s="1172"/>
      <c r="AB29" s="1172"/>
    </row>
    <row r="30" spans="1:52" ht="15" hidden="1" customHeight="1" x14ac:dyDescent="0.35">
      <c r="A30" s="293"/>
      <c r="B30" s="1477" t="s">
        <v>360</v>
      </c>
      <c r="C30" s="1477"/>
      <c r="D30" s="1477"/>
      <c r="E30" s="1477"/>
      <c r="F30" s="1477"/>
      <c r="G30" s="1477"/>
      <c r="H30" s="1477"/>
      <c r="I30" s="1477"/>
      <c r="J30" s="1477"/>
      <c r="K30" s="1477"/>
      <c r="L30" s="1477"/>
      <c r="M30" s="1477"/>
      <c r="N30" s="1477"/>
      <c r="O30" s="1477"/>
      <c r="P30" s="1477"/>
      <c r="Q30" s="1477"/>
      <c r="R30" s="1477"/>
      <c r="S30" s="1477"/>
      <c r="T30" s="1477"/>
      <c r="U30" s="1477"/>
      <c r="V30" s="1477"/>
      <c r="W30" s="1172"/>
      <c r="X30" s="1172"/>
      <c r="Y30" s="293"/>
      <c r="Z30" s="1172"/>
      <c r="AA30" s="1172"/>
      <c r="AB30" s="1172"/>
    </row>
    <row r="31" spans="1:52" ht="15" hidden="1" customHeight="1" x14ac:dyDescent="0.35">
      <c r="A31" s="293"/>
      <c r="B31" s="1477"/>
      <c r="C31" s="1477"/>
      <c r="D31" s="1477"/>
      <c r="E31" s="1477"/>
      <c r="F31" s="1477"/>
      <c r="G31" s="1477"/>
      <c r="H31" s="1477"/>
      <c r="I31" s="1477"/>
      <c r="J31" s="1477"/>
      <c r="K31" s="1477"/>
      <c r="L31" s="1477"/>
      <c r="M31" s="1477"/>
      <c r="N31" s="1477"/>
      <c r="O31" s="1477"/>
      <c r="P31" s="1477"/>
      <c r="Q31" s="1477"/>
      <c r="R31" s="1477"/>
      <c r="S31" s="1477"/>
      <c r="T31" s="1477"/>
      <c r="U31" s="1477"/>
      <c r="V31" s="1477"/>
      <c r="W31" s="1172"/>
      <c r="X31" s="1172"/>
      <c r="Y31" s="293"/>
      <c r="Z31" s="1172"/>
      <c r="AA31" s="1172"/>
      <c r="AB31" s="1172"/>
    </row>
    <row r="32" spans="1:52" ht="15" hidden="1" customHeight="1" x14ac:dyDescent="0.35">
      <c r="A32" s="293"/>
      <c r="B32" s="1477"/>
      <c r="C32" s="1477"/>
      <c r="D32" s="1477"/>
      <c r="E32" s="1477"/>
      <c r="F32" s="1477"/>
      <c r="G32" s="1477"/>
      <c r="H32" s="1477"/>
      <c r="I32" s="1477"/>
      <c r="J32" s="1477"/>
      <c r="K32" s="1477"/>
      <c r="L32" s="1477"/>
      <c r="M32" s="1477"/>
      <c r="N32" s="1477"/>
      <c r="O32" s="1477"/>
      <c r="P32" s="1477"/>
      <c r="Q32" s="1477"/>
      <c r="R32" s="1477"/>
      <c r="S32" s="1477"/>
      <c r="T32" s="1477"/>
      <c r="U32" s="1477"/>
      <c r="V32" s="1477"/>
      <c r="W32" s="1172"/>
      <c r="X32" s="1172"/>
      <c r="Y32" s="293"/>
      <c r="Z32" s="1172"/>
      <c r="AA32" s="1172"/>
      <c r="AB32" s="1172"/>
    </row>
    <row r="33" spans="1:28" ht="18.75" hidden="1" customHeight="1" x14ac:dyDescent="0.35">
      <c r="A33" s="293"/>
      <c r="B33" s="1477"/>
      <c r="C33" s="1477"/>
      <c r="D33" s="1477"/>
      <c r="E33" s="1477"/>
      <c r="F33" s="1477"/>
      <c r="G33" s="1477"/>
      <c r="H33" s="1477"/>
      <c r="I33" s="1477"/>
      <c r="J33" s="1477"/>
      <c r="K33" s="1477"/>
      <c r="L33" s="1477"/>
      <c r="M33" s="1477"/>
      <c r="N33" s="1477"/>
      <c r="O33" s="1477"/>
      <c r="P33" s="1477"/>
      <c r="Q33" s="1477"/>
      <c r="R33" s="1477"/>
      <c r="S33" s="1477"/>
      <c r="T33" s="1477"/>
      <c r="U33" s="1477"/>
      <c r="V33" s="1477"/>
      <c r="W33" s="1172"/>
      <c r="X33" s="1172"/>
      <c r="Y33" s="293"/>
      <c r="Z33" s="1172"/>
      <c r="AA33" s="1172"/>
      <c r="AB33" s="1172"/>
    </row>
    <row r="34" spans="1:28" ht="15" hidden="1" customHeight="1" x14ac:dyDescent="0.35">
      <c r="A34" s="293"/>
      <c r="B34" s="1181"/>
      <c r="C34" s="1181"/>
      <c r="D34" s="1181"/>
      <c r="E34" s="1181"/>
      <c r="F34" s="1181"/>
      <c r="G34" s="1181"/>
      <c r="H34" s="1181"/>
      <c r="I34" s="1181"/>
      <c r="J34" s="1173"/>
      <c r="K34" s="1173"/>
      <c r="L34" s="1173"/>
      <c r="M34" s="1181"/>
      <c r="N34" s="1181"/>
      <c r="O34" s="1172"/>
      <c r="P34" s="1172"/>
      <c r="Q34" s="1172"/>
      <c r="R34" s="1172"/>
      <c r="S34" s="1172"/>
      <c r="T34" s="1172"/>
      <c r="U34" s="1172"/>
      <c r="V34" s="1172"/>
      <c r="W34" s="1172"/>
      <c r="X34" s="1172"/>
      <c r="Y34" s="293"/>
      <c r="Z34" s="1172"/>
      <c r="AA34" s="1172"/>
      <c r="AB34" s="1172"/>
    </row>
    <row r="35" spans="1:28" ht="15" hidden="1" customHeight="1" x14ac:dyDescent="0.35">
      <c r="A35" s="293"/>
      <c r="B35" s="84" t="s">
        <v>361</v>
      </c>
      <c r="C35" s="1172"/>
      <c r="D35" s="1172"/>
      <c r="E35" s="1172"/>
      <c r="F35" s="1172"/>
      <c r="G35" s="1172"/>
      <c r="H35" s="1172"/>
      <c r="I35" s="1172"/>
      <c r="J35" s="293"/>
      <c r="K35" s="293"/>
      <c r="L35" s="293"/>
      <c r="O35" s="1172"/>
      <c r="P35" s="1172"/>
      <c r="Q35" s="1172"/>
      <c r="R35" s="1172"/>
      <c r="S35" s="1172"/>
      <c r="T35" s="1172"/>
      <c r="U35" s="1172"/>
      <c r="V35" s="1172"/>
      <c r="W35" s="1172"/>
      <c r="X35" s="1172"/>
      <c r="Y35" s="293"/>
      <c r="Z35" s="1172"/>
      <c r="AA35" s="1172"/>
      <c r="AB35" s="1172"/>
    </row>
    <row r="36" spans="1:28" ht="15" hidden="1" customHeight="1" x14ac:dyDescent="0.35">
      <c r="A36" s="293"/>
      <c r="B36" s="1477" t="s">
        <v>362</v>
      </c>
      <c r="C36" s="1477"/>
      <c r="D36" s="1477"/>
      <c r="E36" s="1477"/>
      <c r="F36" s="1477"/>
      <c r="G36" s="1477"/>
      <c r="H36" s="1477"/>
      <c r="I36" s="1477"/>
      <c r="J36" s="1477"/>
      <c r="K36" s="1477"/>
      <c r="L36" s="1477"/>
      <c r="M36" s="1477"/>
      <c r="N36" s="1477"/>
      <c r="O36" s="1477"/>
      <c r="P36" s="1477"/>
      <c r="Q36" s="1477"/>
      <c r="R36" s="1477"/>
      <c r="S36" s="1477"/>
      <c r="T36" s="1477"/>
      <c r="U36" s="1477"/>
      <c r="V36" s="1477"/>
      <c r="W36" s="1172"/>
      <c r="X36" s="1172"/>
      <c r="Y36" s="293"/>
      <c r="Z36" s="1172"/>
      <c r="AA36" s="1172"/>
      <c r="AB36" s="1172"/>
    </row>
    <row r="37" spans="1:28" ht="15" hidden="1" customHeight="1" x14ac:dyDescent="0.35">
      <c r="A37" s="293"/>
      <c r="B37" s="1477"/>
      <c r="C37" s="1477"/>
      <c r="D37" s="1477"/>
      <c r="E37" s="1477"/>
      <c r="F37" s="1477"/>
      <c r="G37" s="1477"/>
      <c r="H37" s="1477"/>
      <c r="I37" s="1477"/>
      <c r="J37" s="1477"/>
      <c r="K37" s="1477"/>
      <c r="L37" s="1477"/>
      <c r="M37" s="1477"/>
      <c r="N37" s="1477"/>
      <c r="O37" s="1477"/>
      <c r="P37" s="1477"/>
      <c r="Q37" s="1477"/>
      <c r="R37" s="1477"/>
      <c r="S37" s="1477"/>
      <c r="T37" s="1477"/>
      <c r="U37" s="1477"/>
      <c r="V37" s="1477"/>
      <c r="W37" s="1172"/>
      <c r="X37" s="1172"/>
      <c r="Y37" s="293"/>
      <c r="Z37" s="1172"/>
      <c r="AA37" s="1172"/>
      <c r="AB37" s="1172"/>
    </row>
    <row r="38" spans="1:28" ht="23.25" hidden="1" customHeight="1" x14ac:dyDescent="0.35">
      <c r="A38" s="293"/>
      <c r="B38" s="1477"/>
      <c r="C38" s="1477"/>
      <c r="D38" s="1477"/>
      <c r="E38" s="1477"/>
      <c r="F38" s="1477"/>
      <c r="G38" s="1477"/>
      <c r="H38" s="1477"/>
      <c r="I38" s="1477"/>
      <c r="J38" s="1477"/>
      <c r="K38" s="1477"/>
      <c r="L38" s="1477"/>
      <c r="M38" s="1477"/>
      <c r="N38" s="1477"/>
      <c r="O38" s="1477"/>
      <c r="P38" s="1477"/>
      <c r="Q38" s="1477"/>
      <c r="R38" s="1477"/>
      <c r="S38" s="1477"/>
      <c r="T38" s="1477"/>
      <c r="U38" s="1477"/>
      <c r="V38" s="1477"/>
      <c r="W38" s="1172"/>
      <c r="X38" s="1172"/>
      <c r="Y38" s="293"/>
      <c r="Z38" s="1172"/>
      <c r="AA38" s="1172"/>
      <c r="AB38" s="1172"/>
    </row>
    <row r="39" spans="1:28" ht="15.5" hidden="1" x14ac:dyDescent="0.35">
      <c r="A39" s="293"/>
      <c r="B39" s="1182"/>
      <c r="C39" s="1182"/>
      <c r="D39" s="1182"/>
      <c r="E39" s="1182"/>
      <c r="F39" s="1182"/>
      <c r="G39" s="1182"/>
      <c r="H39" s="1182"/>
      <c r="I39" s="1182"/>
      <c r="J39" s="1182"/>
      <c r="K39" s="1182"/>
      <c r="L39" s="1182"/>
      <c r="M39" s="1182"/>
      <c r="N39" s="1182"/>
      <c r="O39" s="1172"/>
      <c r="P39" s="1172"/>
      <c r="Q39" s="1172"/>
      <c r="R39" s="1172"/>
      <c r="S39" s="1172"/>
      <c r="T39" s="1172"/>
      <c r="U39" s="1172"/>
      <c r="V39" s="1172"/>
      <c r="W39" s="1172"/>
      <c r="X39" s="1172"/>
      <c r="Y39" s="293"/>
      <c r="Z39" s="1172"/>
      <c r="AA39" s="1172"/>
      <c r="AB39" s="1172"/>
    </row>
    <row r="40" spans="1:28" ht="15.5" hidden="1" x14ac:dyDescent="0.35">
      <c r="A40" s="293"/>
      <c r="B40" s="85" t="s">
        <v>363</v>
      </c>
      <c r="C40" s="1182"/>
      <c r="D40" s="1182"/>
      <c r="E40" s="1182"/>
      <c r="F40" s="1182"/>
      <c r="G40" s="1182"/>
      <c r="H40" s="1182"/>
      <c r="I40" s="1182"/>
      <c r="J40" s="1182"/>
      <c r="K40" s="1182"/>
      <c r="L40" s="1182"/>
      <c r="M40" s="1182"/>
      <c r="N40" s="1182"/>
      <c r="O40" s="1172"/>
      <c r="P40" s="1172"/>
      <c r="Q40" s="1172"/>
      <c r="R40" s="1172"/>
      <c r="S40" s="1172"/>
      <c r="T40" s="1172"/>
      <c r="U40" s="1172"/>
      <c r="V40" s="1172"/>
      <c r="W40" s="1172"/>
      <c r="X40" s="1172"/>
      <c r="Y40" s="293"/>
      <c r="Z40" s="1172"/>
      <c r="AA40" s="1172"/>
      <c r="AB40" s="1172"/>
    </row>
    <row r="41" spans="1:28" ht="15.75" hidden="1" customHeight="1" x14ac:dyDescent="0.35">
      <c r="A41" s="293"/>
      <c r="B41" s="1477" t="s">
        <v>364</v>
      </c>
      <c r="C41" s="1477"/>
      <c r="D41" s="1477"/>
      <c r="E41" s="1477"/>
      <c r="F41" s="1477"/>
      <c r="G41" s="1477"/>
      <c r="H41" s="1477"/>
      <c r="I41" s="1477"/>
      <c r="J41" s="1477"/>
      <c r="K41" s="1477"/>
      <c r="L41" s="1477"/>
      <c r="M41" s="1477"/>
      <c r="N41" s="1477"/>
      <c r="O41" s="1477"/>
      <c r="P41" s="1477"/>
      <c r="Q41" s="1477"/>
      <c r="R41" s="1477"/>
      <c r="S41" s="1477"/>
      <c r="T41" s="1477"/>
      <c r="U41" s="1477"/>
      <c r="V41" s="1477"/>
      <c r="W41" s="1172"/>
      <c r="X41" s="1172"/>
      <c r="Y41" s="293"/>
      <c r="Z41" s="1172"/>
      <c r="AA41" s="1172"/>
      <c r="AB41" s="1172"/>
    </row>
    <row r="42" spans="1:28" ht="15.5" hidden="1" x14ac:dyDescent="0.35">
      <c r="A42" s="293"/>
      <c r="B42" s="1477"/>
      <c r="C42" s="1477"/>
      <c r="D42" s="1477"/>
      <c r="E42" s="1477"/>
      <c r="F42" s="1477"/>
      <c r="G42" s="1477"/>
      <c r="H42" s="1477"/>
      <c r="I42" s="1477"/>
      <c r="J42" s="1477"/>
      <c r="K42" s="1477"/>
      <c r="L42" s="1477"/>
      <c r="M42" s="1477"/>
      <c r="N42" s="1477"/>
      <c r="O42" s="1477"/>
      <c r="P42" s="1477"/>
      <c r="Q42" s="1477"/>
      <c r="R42" s="1477"/>
      <c r="S42" s="1477"/>
      <c r="T42" s="1477"/>
      <c r="U42" s="1477"/>
      <c r="V42" s="1477"/>
      <c r="W42" s="1172"/>
      <c r="X42" s="1172"/>
      <c r="Y42" s="293"/>
      <c r="Z42" s="1172"/>
      <c r="AA42" s="1172"/>
      <c r="AB42" s="1172"/>
    </row>
    <row r="43" spans="1:28" ht="15.5" hidden="1" x14ac:dyDescent="0.35">
      <c r="A43" s="293"/>
      <c r="B43" s="1477"/>
      <c r="C43" s="1477"/>
      <c r="D43" s="1477"/>
      <c r="E43" s="1477"/>
      <c r="F43" s="1477"/>
      <c r="G43" s="1477"/>
      <c r="H43" s="1477"/>
      <c r="I43" s="1477"/>
      <c r="J43" s="1477"/>
      <c r="K43" s="1477"/>
      <c r="L43" s="1477"/>
      <c r="M43" s="1477"/>
      <c r="N43" s="1477"/>
      <c r="O43" s="1477"/>
      <c r="P43" s="1477"/>
      <c r="Q43" s="1477"/>
      <c r="R43" s="1477"/>
      <c r="S43" s="1477"/>
      <c r="T43" s="1477"/>
      <c r="U43" s="1477"/>
      <c r="V43" s="1477"/>
      <c r="W43" s="1172"/>
      <c r="X43" s="1172"/>
      <c r="Y43" s="293"/>
      <c r="Z43" s="1172"/>
      <c r="AA43" s="1172"/>
      <c r="AB43" s="1172"/>
    </row>
    <row r="44" spans="1:28" ht="15.5" hidden="1" x14ac:dyDescent="0.35">
      <c r="A44" s="293"/>
      <c r="B44" s="1477"/>
      <c r="C44" s="1477"/>
      <c r="D44" s="1477"/>
      <c r="E44" s="1477"/>
      <c r="F44" s="1477"/>
      <c r="G44" s="1477"/>
      <c r="H44" s="1477"/>
      <c r="I44" s="1477"/>
      <c r="J44" s="1477"/>
      <c r="K44" s="1477"/>
      <c r="L44" s="1477"/>
      <c r="M44" s="1477"/>
      <c r="N44" s="1477"/>
      <c r="O44" s="1477"/>
      <c r="P44" s="1477"/>
      <c r="Q44" s="1477"/>
      <c r="R44" s="1477"/>
      <c r="S44" s="1477"/>
      <c r="T44" s="1477"/>
      <c r="U44" s="1477"/>
      <c r="V44" s="1477"/>
      <c r="W44" s="1172"/>
      <c r="X44" s="1172"/>
      <c r="Y44" s="293"/>
      <c r="Z44" s="1172"/>
      <c r="AA44" s="1172"/>
      <c r="AB44" s="1172"/>
    </row>
    <row r="45" spans="1:28" ht="15" hidden="1" customHeight="1" x14ac:dyDescent="0.35">
      <c r="A45" s="293"/>
      <c r="B45" s="1182"/>
      <c r="C45" s="1182"/>
      <c r="D45" s="1182"/>
      <c r="E45" s="1182"/>
      <c r="F45" s="1182"/>
      <c r="G45" s="1182"/>
      <c r="H45" s="1182"/>
      <c r="I45" s="1182"/>
      <c r="J45" s="1182"/>
      <c r="K45" s="1182"/>
      <c r="L45" s="1182"/>
      <c r="M45" s="1182"/>
      <c r="N45" s="1182"/>
      <c r="O45" s="1172"/>
      <c r="P45" s="1172"/>
      <c r="Q45" s="1172"/>
      <c r="R45" s="1172"/>
      <c r="S45" s="1172"/>
      <c r="T45" s="1172"/>
      <c r="U45" s="1172"/>
      <c r="V45" s="1172"/>
      <c r="W45" s="1172"/>
      <c r="X45" s="1172"/>
      <c r="Y45" s="293"/>
      <c r="Z45" s="1172"/>
      <c r="AA45" s="1172"/>
      <c r="AB45" s="1172"/>
    </row>
    <row r="46" spans="1:28" ht="15" hidden="1" customHeight="1" x14ac:dyDescent="0.35">
      <c r="A46" s="293"/>
      <c r="B46" s="1477" t="s">
        <v>365</v>
      </c>
      <c r="C46" s="1477"/>
      <c r="D46" s="1477"/>
      <c r="E46" s="1477"/>
      <c r="F46" s="1477"/>
      <c r="G46" s="1477"/>
      <c r="H46" s="1477"/>
      <c r="I46" s="1477"/>
      <c r="J46" s="1477"/>
      <c r="K46" s="1477"/>
      <c r="L46" s="1477"/>
      <c r="M46" s="1477"/>
      <c r="N46" s="1477"/>
      <c r="O46" s="1477"/>
      <c r="P46" s="1477"/>
      <c r="Q46" s="1477"/>
      <c r="R46" s="1477"/>
      <c r="S46" s="1477"/>
      <c r="T46" s="1477"/>
      <c r="U46" s="1477"/>
      <c r="V46" s="1477"/>
      <c r="W46" s="1172"/>
      <c r="X46" s="1172"/>
      <c r="Y46" s="293"/>
      <c r="Z46" s="1172"/>
      <c r="AA46" s="1172"/>
      <c r="AB46" s="1172"/>
    </row>
    <row r="47" spans="1:28" ht="15.5" hidden="1" x14ac:dyDescent="0.35">
      <c r="A47" s="293"/>
      <c r="B47" s="1477"/>
      <c r="C47" s="1477"/>
      <c r="D47" s="1477"/>
      <c r="E47" s="1477"/>
      <c r="F47" s="1477"/>
      <c r="G47" s="1477"/>
      <c r="H47" s="1477"/>
      <c r="I47" s="1477"/>
      <c r="J47" s="1477"/>
      <c r="K47" s="1477"/>
      <c r="L47" s="1477"/>
      <c r="M47" s="1477"/>
      <c r="N47" s="1477"/>
      <c r="O47" s="1477"/>
      <c r="P47" s="1477"/>
      <c r="Q47" s="1477"/>
      <c r="R47" s="1477"/>
      <c r="S47" s="1477"/>
      <c r="T47" s="1477"/>
      <c r="U47" s="1477"/>
      <c r="V47" s="1477"/>
      <c r="W47" s="1172"/>
      <c r="X47" s="1172"/>
      <c r="Y47" s="293"/>
      <c r="Z47" s="1172"/>
      <c r="AA47" s="1172"/>
      <c r="AB47" s="1172"/>
    </row>
    <row r="48" spans="1:28" ht="15" hidden="1" customHeight="1" x14ac:dyDescent="0.35">
      <c r="A48" s="293"/>
      <c r="B48" s="1477" t="s">
        <v>366</v>
      </c>
      <c r="C48" s="1477"/>
      <c r="D48" s="1477"/>
      <c r="E48" s="1477"/>
      <c r="F48" s="1477"/>
      <c r="G48" s="1477"/>
      <c r="H48" s="1477"/>
      <c r="I48" s="1477"/>
      <c r="J48" s="1477"/>
      <c r="K48" s="1477"/>
      <c r="L48" s="1477"/>
      <c r="M48" s="1477"/>
      <c r="N48" s="1477"/>
      <c r="O48" s="1477"/>
      <c r="P48" s="1477"/>
      <c r="Q48" s="1477"/>
      <c r="R48" s="1477"/>
      <c r="S48" s="1477"/>
      <c r="T48" s="1477"/>
      <c r="U48" s="1477"/>
      <c r="V48" s="1477"/>
      <c r="W48" s="1172"/>
      <c r="X48" s="1172"/>
      <c r="Y48" s="293"/>
      <c r="Z48" s="1172"/>
      <c r="AA48" s="1172"/>
      <c r="AB48" s="1172"/>
    </row>
    <row r="49" spans="1:39" ht="37.5" hidden="1" customHeight="1" x14ac:dyDescent="0.35">
      <c r="A49" s="293"/>
      <c r="B49" s="1477"/>
      <c r="C49" s="1477"/>
      <c r="D49" s="1477"/>
      <c r="E49" s="1477"/>
      <c r="F49" s="1477"/>
      <c r="G49" s="1477"/>
      <c r="H49" s="1477"/>
      <c r="I49" s="1477"/>
      <c r="J49" s="1477"/>
      <c r="K49" s="1477"/>
      <c r="L49" s="1477"/>
      <c r="M49" s="1477"/>
      <c r="N49" s="1477"/>
      <c r="O49" s="1477"/>
      <c r="P49" s="1477"/>
      <c r="Q49" s="1477"/>
      <c r="R49" s="1477"/>
      <c r="S49" s="1477"/>
      <c r="T49" s="1477"/>
      <c r="U49" s="1477"/>
      <c r="V49" s="1477"/>
      <c r="W49" s="1172"/>
      <c r="X49" s="1172"/>
      <c r="Y49" s="293"/>
      <c r="Z49" s="1172"/>
      <c r="AA49" s="1172"/>
      <c r="AB49" s="1172"/>
    </row>
    <row r="50" spans="1:39" ht="15" hidden="1" customHeight="1" x14ac:dyDescent="0.35">
      <c r="A50" s="293"/>
      <c r="B50" s="1172"/>
      <c r="C50" s="1172"/>
      <c r="D50" s="1172"/>
      <c r="E50" s="1172"/>
      <c r="F50" s="1172"/>
      <c r="G50" s="1172"/>
      <c r="H50" s="1172"/>
      <c r="I50" s="1172"/>
      <c r="J50" s="293"/>
      <c r="K50" s="293"/>
      <c r="L50" s="293"/>
      <c r="O50" s="1172"/>
      <c r="P50" s="1172"/>
      <c r="Q50" s="1172"/>
      <c r="R50" s="1172"/>
      <c r="S50" s="1172"/>
      <c r="T50" s="1172"/>
      <c r="U50" s="1172"/>
      <c r="V50" s="1172"/>
      <c r="W50" s="1172"/>
      <c r="X50" s="1172"/>
      <c r="Y50" s="293"/>
      <c r="Z50" s="1172"/>
      <c r="AA50" s="1172"/>
      <c r="AB50" s="1172"/>
    </row>
    <row r="51" spans="1:39" ht="15" hidden="1" customHeight="1" x14ac:dyDescent="0.35">
      <c r="A51" s="293"/>
      <c r="B51" s="84" t="s">
        <v>11</v>
      </c>
      <c r="C51" s="1172"/>
      <c r="D51" s="1172"/>
      <c r="E51" s="1172"/>
      <c r="F51" s="88" t="s">
        <v>367</v>
      </c>
      <c r="G51" s="88" t="s">
        <v>368</v>
      </c>
      <c r="H51" s="1172"/>
      <c r="I51" s="1172"/>
      <c r="J51" s="293"/>
      <c r="K51" s="293"/>
      <c r="L51" s="293"/>
      <c r="O51" s="1172"/>
      <c r="P51" s="1172"/>
      <c r="Q51" s="1172"/>
      <c r="R51" s="1172"/>
      <c r="S51" s="1172"/>
      <c r="T51" s="1172"/>
      <c r="U51" s="1172"/>
      <c r="V51" s="1172"/>
      <c r="W51" s="1172"/>
      <c r="X51" s="1172"/>
      <c r="Y51" s="293"/>
      <c r="Z51" s="1172"/>
      <c r="AA51" s="1172"/>
      <c r="AB51" s="1172"/>
    </row>
    <row r="52" spans="1:39" ht="15" hidden="1" customHeight="1" x14ac:dyDescent="0.35">
      <c r="A52" s="293">
        <v>9257021</v>
      </c>
      <c r="B52" s="1460" t="s">
        <v>344</v>
      </c>
      <c r="C52" s="1461"/>
      <c r="D52" s="1461"/>
      <c r="E52" s="1476"/>
      <c r="F52" s="255">
        <v>274420</v>
      </c>
      <c r="G52" s="255">
        <f>F52*(3/12)</f>
        <v>68605</v>
      </c>
      <c r="H52" s="1172"/>
      <c r="I52" s="1172"/>
      <c r="J52" s="293" t="s">
        <v>369</v>
      </c>
      <c r="K52" s="293"/>
      <c r="L52" s="293"/>
      <c r="O52" s="1172"/>
      <c r="P52" s="1172"/>
      <c r="Q52" s="1172"/>
      <c r="R52" s="1172"/>
      <c r="S52" s="1172"/>
      <c r="T52" s="1172"/>
      <c r="U52" s="1172"/>
      <c r="V52" s="1172"/>
      <c r="W52" s="1172"/>
      <c r="X52" s="1172"/>
      <c r="Y52" s="293"/>
      <c r="Z52" s="1172"/>
      <c r="AA52" s="1172"/>
      <c r="AB52" s="1172"/>
    </row>
    <row r="53" spans="1:39" ht="15" hidden="1" customHeight="1" x14ac:dyDescent="0.35">
      <c r="A53" s="293">
        <v>9257016</v>
      </c>
      <c r="B53" s="1460" t="s">
        <v>349</v>
      </c>
      <c r="C53" s="1461"/>
      <c r="D53" s="1461"/>
      <c r="E53" s="1476"/>
      <c r="F53" s="255">
        <v>582568</v>
      </c>
      <c r="G53" s="255">
        <f>F53</f>
        <v>582568</v>
      </c>
      <c r="H53" s="1172"/>
      <c r="I53" s="1172"/>
      <c r="J53" s="293"/>
      <c r="K53" s="293"/>
      <c r="L53" s="293"/>
      <c r="O53" s="1172"/>
      <c r="P53" s="1172"/>
      <c r="Q53" s="1172"/>
      <c r="R53" s="1172"/>
      <c r="S53" s="1172"/>
      <c r="T53" s="1172"/>
      <c r="U53" s="1172"/>
      <c r="V53" s="1172"/>
      <c r="W53" s="1172"/>
      <c r="X53" s="1172"/>
      <c r="Y53" s="293"/>
      <c r="Z53" s="1172"/>
      <c r="AA53" s="1172"/>
      <c r="AB53" s="1172"/>
    </row>
    <row r="54" spans="1:39" ht="15" hidden="1" customHeight="1" x14ac:dyDescent="0.35">
      <c r="A54" s="293">
        <v>9257025</v>
      </c>
      <c r="B54" s="1460" t="s">
        <v>351</v>
      </c>
      <c r="C54" s="1461"/>
      <c r="D54" s="1461"/>
      <c r="E54" s="1476"/>
      <c r="F54" s="255">
        <v>327644</v>
      </c>
      <c r="G54" s="255">
        <f>F54</f>
        <v>327644</v>
      </c>
      <c r="H54" s="1172"/>
      <c r="I54" s="1172"/>
      <c r="J54" s="293"/>
      <c r="K54" s="293"/>
      <c r="L54" s="293"/>
      <c r="O54" s="1172"/>
      <c r="P54" s="1172"/>
      <c r="Q54" s="1172"/>
      <c r="R54" s="1172"/>
      <c r="S54" s="1172"/>
      <c r="T54" s="1172"/>
      <c r="U54" s="1172"/>
      <c r="V54" s="1172"/>
      <c r="W54" s="1172"/>
      <c r="X54" s="1172"/>
      <c r="Y54" s="293"/>
      <c r="Z54" s="1172"/>
      <c r="AA54" s="1172"/>
      <c r="AB54" s="1172"/>
    </row>
    <row r="55" spans="1:39" ht="15" hidden="1" customHeight="1" x14ac:dyDescent="0.35">
      <c r="A55" s="293"/>
      <c r="B55" s="1172"/>
      <c r="C55" s="1172"/>
      <c r="D55" s="1172"/>
      <c r="E55" s="1172"/>
      <c r="F55" s="87">
        <f>SUM(F52:F54)</f>
        <v>1184632</v>
      </c>
      <c r="G55" s="89">
        <f>SUM(G52:G54)</f>
        <v>978817</v>
      </c>
      <c r="H55" s="1172" t="s">
        <v>370</v>
      </c>
      <c r="I55" s="1172"/>
      <c r="J55" s="293"/>
      <c r="K55" s="293"/>
      <c r="L55" s="293"/>
      <c r="O55" s="1172"/>
      <c r="P55" s="1172"/>
      <c r="Q55" s="1172"/>
      <c r="R55" s="1172"/>
      <c r="S55" s="1172"/>
      <c r="T55" s="1172"/>
      <c r="U55" s="1172"/>
      <c r="V55" s="1172"/>
      <c r="W55" s="1172"/>
      <c r="X55" s="1172"/>
      <c r="Y55" s="293"/>
      <c r="Z55" s="1172"/>
      <c r="AA55" s="1172"/>
      <c r="AB55" s="1172"/>
    </row>
    <row r="56" spans="1:39" ht="15" hidden="1" customHeight="1" x14ac:dyDescent="0.35">
      <c r="A56" s="293"/>
      <c r="B56" s="1172"/>
      <c r="C56" s="1172"/>
      <c r="D56" s="1172"/>
      <c r="E56" s="1172"/>
      <c r="F56" s="1183"/>
      <c r="G56" s="1183"/>
      <c r="H56" s="1172"/>
      <c r="I56" s="1172"/>
      <c r="J56" s="293"/>
      <c r="K56" s="293"/>
      <c r="L56" s="293"/>
      <c r="O56" s="1172"/>
      <c r="P56" s="1172"/>
      <c r="Q56" s="1172"/>
      <c r="R56" s="1172"/>
      <c r="S56" s="1172"/>
      <c r="T56" s="1172"/>
      <c r="U56" s="1172"/>
      <c r="V56" s="1172"/>
      <c r="W56" s="1172"/>
      <c r="X56" s="1172"/>
      <c r="Y56" s="293"/>
      <c r="Z56" s="1172"/>
      <c r="AA56" s="1172"/>
      <c r="AB56" s="1172"/>
    </row>
    <row r="57" spans="1:39" ht="15" hidden="1" customHeight="1" x14ac:dyDescent="0.35">
      <c r="A57" s="293"/>
      <c r="B57" s="1172" t="s">
        <v>371</v>
      </c>
      <c r="C57" s="1172"/>
      <c r="D57" s="1172"/>
      <c r="E57" s="1172"/>
      <c r="F57" s="1172"/>
      <c r="G57" s="1172"/>
      <c r="H57" s="1172"/>
      <c r="I57" s="1172"/>
      <c r="J57" s="293"/>
      <c r="K57" s="293"/>
      <c r="L57" s="293"/>
      <c r="O57" s="1172"/>
      <c r="P57" s="1172"/>
      <c r="Q57" s="1172"/>
      <c r="R57" s="1172"/>
      <c r="S57" s="1172"/>
      <c r="T57" s="1172"/>
      <c r="U57" s="1172"/>
      <c r="V57" s="1172"/>
      <c r="W57" s="1172"/>
      <c r="X57" s="1172"/>
      <c r="Y57" s="293"/>
      <c r="Z57" s="1172"/>
      <c r="AA57" s="1172"/>
      <c r="AB57" s="1172"/>
    </row>
    <row r="58" spans="1:39" ht="15" hidden="1" customHeight="1" x14ac:dyDescent="0.35">
      <c r="A58" s="293"/>
      <c r="B58" s="1172"/>
      <c r="C58" s="1172"/>
      <c r="D58" s="1172"/>
      <c r="E58" s="1172"/>
      <c r="F58" s="1172"/>
      <c r="G58" s="1172"/>
      <c r="H58" s="1172"/>
      <c r="I58" s="1172"/>
      <c r="J58" s="293"/>
      <c r="K58" s="293"/>
      <c r="L58" s="293"/>
      <c r="O58" s="1172"/>
      <c r="P58" s="1172"/>
      <c r="Q58" s="1172"/>
      <c r="R58" s="1172"/>
      <c r="S58" s="1172"/>
      <c r="T58" s="1172"/>
      <c r="U58" s="1172"/>
      <c r="V58" s="1172"/>
      <c r="W58" s="1172"/>
      <c r="X58" s="1172"/>
      <c r="Y58" s="293"/>
      <c r="Z58" s="1172"/>
      <c r="AA58" s="1172"/>
      <c r="AB58" s="1172"/>
    </row>
    <row r="59" spans="1:39" ht="15" customHeight="1" x14ac:dyDescent="0.35">
      <c r="A59" s="293"/>
      <c r="B59" s="1172"/>
      <c r="C59" s="1172"/>
      <c r="D59" s="1172"/>
      <c r="E59" s="1172"/>
      <c r="F59" s="1172"/>
      <c r="G59" s="1172"/>
      <c r="H59" s="1172"/>
      <c r="I59" s="1172"/>
      <c r="J59" s="293"/>
      <c r="K59" s="293"/>
      <c r="L59" s="293"/>
      <c r="O59" s="1172"/>
      <c r="P59" s="1172"/>
      <c r="Q59" s="1172"/>
      <c r="R59" s="1172"/>
      <c r="S59" s="1172"/>
      <c r="T59" s="1172"/>
      <c r="U59" s="1172"/>
      <c r="V59" s="1172"/>
      <c r="W59" s="1172"/>
      <c r="X59" s="1172"/>
      <c r="Y59" s="293"/>
      <c r="Z59" s="293" t="s">
        <v>207</v>
      </c>
      <c r="AA59" s="1184">
        <f>L26-AA26</f>
        <v>260000</v>
      </c>
      <c r="AB59" s="1184">
        <f>Q26-AB26</f>
        <v>111962.66666666666</v>
      </c>
      <c r="AC59" s="1184">
        <f>206000-AC26</f>
        <v>77249.999999999971</v>
      </c>
      <c r="AD59" s="1184" t="s">
        <v>207</v>
      </c>
      <c r="AE59" s="1183"/>
      <c r="AG59" s="292" t="s">
        <v>207</v>
      </c>
      <c r="AH59" s="292" t="s">
        <v>207</v>
      </c>
      <c r="AI59" s="292" t="s">
        <v>207</v>
      </c>
      <c r="AJ59" s="292" t="s">
        <v>207</v>
      </c>
      <c r="AK59" s="292" t="s">
        <v>207</v>
      </c>
      <c r="AL59" s="292" t="s">
        <v>207</v>
      </c>
      <c r="AM59" s="293"/>
    </row>
    <row r="60" spans="1:39" ht="15" customHeight="1" x14ac:dyDescent="0.35">
      <c r="A60" s="293"/>
      <c r="B60" s="1172"/>
      <c r="C60" s="1172"/>
      <c r="D60" s="1172"/>
      <c r="E60" s="1172"/>
      <c r="F60" s="1172"/>
      <c r="G60" s="1172"/>
      <c r="H60" s="1172"/>
      <c r="I60" s="1172"/>
      <c r="J60" s="293"/>
      <c r="K60" s="293"/>
      <c r="L60" s="293"/>
      <c r="O60" s="1172"/>
      <c r="P60" s="1172"/>
      <c r="Q60" s="1172"/>
      <c r="R60" s="1172"/>
      <c r="S60" s="1172"/>
      <c r="T60" s="1172"/>
      <c r="U60" s="1172"/>
      <c r="V60" s="1172"/>
      <c r="W60" s="1172"/>
      <c r="X60" s="1172"/>
      <c r="Y60" s="293"/>
      <c r="Z60" s="1172"/>
      <c r="AA60" s="1172"/>
      <c r="AB60" s="1172"/>
      <c r="AC60" s="1184"/>
      <c r="AD60" s="1183"/>
      <c r="AE60" s="1183"/>
      <c r="AG60" s="293"/>
      <c r="AH60" s="293"/>
      <c r="AI60" s="293"/>
      <c r="AJ60" s="293"/>
      <c r="AK60" s="293"/>
      <c r="AL60" s="293"/>
      <c r="AM60" s="293"/>
    </row>
    <row r="61" spans="1:39" ht="15" customHeight="1" x14ac:dyDescent="0.35">
      <c r="A61" s="293"/>
      <c r="B61" s="1172"/>
      <c r="C61" s="1172"/>
      <c r="D61" s="1172"/>
      <c r="E61" s="1172"/>
      <c r="F61" s="1172"/>
      <c r="G61" s="1172"/>
      <c r="H61" s="1172"/>
      <c r="I61" s="1172"/>
      <c r="J61" s="293"/>
      <c r="K61" s="293"/>
      <c r="L61" s="293"/>
      <c r="O61" s="1172"/>
      <c r="P61" s="1172"/>
      <c r="Q61" s="1172"/>
      <c r="R61" s="1172"/>
      <c r="S61" s="1172"/>
      <c r="T61" s="1172"/>
      <c r="U61" s="1172"/>
      <c r="V61" s="1172"/>
      <c r="W61" s="1172"/>
      <c r="X61" s="1172"/>
      <c r="Y61" s="293"/>
      <c r="Z61" s="1172"/>
      <c r="AA61" s="293" t="s">
        <v>207</v>
      </c>
      <c r="AB61" s="293" t="s">
        <v>207</v>
      </c>
      <c r="AC61" s="293" t="s">
        <v>207</v>
      </c>
      <c r="AD61" s="1183"/>
      <c r="AE61" s="1183"/>
      <c r="AG61" s="293"/>
      <c r="AH61" s="292" t="s">
        <v>372</v>
      </c>
      <c r="AI61" s="294">
        <f>SUM(AA64:AC64)</f>
        <v>757936</v>
      </c>
      <c r="AJ61" s="292"/>
      <c r="AK61" s="292" t="s">
        <v>3</v>
      </c>
      <c r="AL61" s="294">
        <f>AL26-AE64</f>
        <v>209307</v>
      </c>
      <c r="AM61" s="293"/>
    </row>
    <row r="62" spans="1:39" ht="15" customHeight="1" x14ac:dyDescent="0.35">
      <c r="A62" s="293"/>
      <c r="B62" s="1172"/>
      <c r="C62" s="1172"/>
      <c r="D62" s="1172"/>
      <c r="E62" s="1172"/>
      <c r="F62" s="1172"/>
      <c r="G62" s="1172"/>
      <c r="H62" s="1172"/>
      <c r="I62" s="1172"/>
      <c r="J62" s="293"/>
      <c r="K62" s="293"/>
      <c r="L62" s="293"/>
      <c r="O62" s="1172"/>
      <c r="P62" s="1172"/>
      <c r="Q62" s="1172"/>
      <c r="R62" s="1172"/>
      <c r="S62" s="1172"/>
      <c r="T62" s="1172"/>
      <c r="U62" s="1172"/>
      <c r="V62" s="1172"/>
      <c r="W62" s="1172"/>
      <c r="X62" s="1172"/>
      <c r="Y62" s="293"/>
      <c r="Z62" s="1172"/>
      <c r="AA62" s="1183">
        <f>((L18+L19+L23+L24+L25)*(7/12))+L11</f>
        <v>235000</v>
      </c>
      <c r="AB62" s="1184">
        <f>Q26*(7/12)</f>
        <v>111962.66666666667</v>
      </c>
      <c r="AC62" s="1184">
        <f>(7/12)*206000</f>
        <v>120166.66666666667</v>
      </c>
      <c r="AD62" s="1183"/>
      <c r="AE62" s="1183"/>
      <c r="AG62" s="293"/>
      <c r="AH62" s="292"/>
      <c r="AI62" s="292" t="s">
        <v>207</v>
      </c>
      <c r="AJ62" s="292"/>
      <c r="AK62" s="1475" t="s">
        <v>373</v>
      </c>
      <c r="AL62" s="1475"/>
      <c r="AM62" s="293"/>
    </row>
    <row r="63" spans="1:39" ht="15" customHeight="1" x14ac:dyDescent="0.35">
      <c r="A63" s="293"/>
      <c r="B63" s="1172"/>
      <c r="C63" s="1172"/>
      <c r="D63" s="1172"/>
      <c r="E63" s="1172"/>
      <c r="F63" s="1172"/>
      <c r="G63" s="1172"/>
      <c r="H63" s="1172"/>
      <c r="I63" s="1172"/>
      <c r="J63" s="293"/>
      <c r="K63" s="293"/>
      <c r="L63" s="293"/>
      <c r="O63" s="1172"/>
      <c r="P63" s="1172"/>
      <c r="Q63" s="1172"/>
      <c r="R63" s="1172"/>
      <c r="S63" s="1172"/>
      <c r="T63" s="1172"/>
      <c r="U63" s="1172"/>
      <c r="V63" s="1172"/>
      <c r="W63" s="1172"/>
      <c r="X63" s="1172"/>
      <c r="Y63" s="293"/>
      <c r="Z63" s="1172"/>
      <c r="AA63" s="1172"/>
      <c r="AB63" s="1172"/>
      <c r="AC63" s="1183"/>
      <c r="AD63" s="1183"/>
      <c r="AE63" s="1183"/>
      <c r="AG63" s="293"/>
      <c r="AH63" s="292"/>
      <c r="AI63" s="292"/>
      <c r="AJ63" s="292"/>
      <c r="AK63" s="1475"/>
      <c r="AL63" s="1475"/>
      <c r="AM63" s="293"/>
    </row>
    <row r="64" spans="1:39" ht="12" customHeight="1" x14ac:dyDescent="0.35">
      <c r="A64" s="293"/>
      <c r="B64" s="1172"/>
      <c r="C64" s="1172"/>
      <c r="D64" s="1172"/>
      <c r="E64" s="1172"/>
      <c r="F64" s="1172"/>
      <c r="G64" s="1172"/>
      <c r="H64" s="1172"/>
      <c r="I64" s="1172"/>
      <c r="J64" s="293"/>
      <c r="K64" s="293"/>
      <c r="L64" s="293"/>
      <c r="O64" s="1172"/>
      <c r="P64" s="1172"/>
      <c r="Q64" s="1172"/>
      <c r="R64" s="1172"/>
      <c r="S64" s="1172"/>
      <c r="T64" s="1172"/>
      <c r="U64" s="1172"/>
      <c r="V64" s="1172"/>
      <c r="W64" s="1172"/>
      <c r="X64" s="1172"/>
      <c r="Y64" s="293"/>
      <c r="Z64" s="1183">
        <f>I26</f>
        <v>317322</v>
      </c>
      <c r="AA64" s="1183">
        <f>L26</f>
        <v>360000</v>
      </c>
      <c r="AB64" s="1183">
        <f>Q26</f>
        <v>191936</v>
      </c>
      <c r="AC64" s="1184">
        <f>206000</f>
        <v>206000</v>
      </c>
      <c r="AD64" s="1184">
        <f>U26</f>
        <v>910212</v>
      </c>
      <c r="AE64" s="1184">
        <f>SUM(Z64:AD64)</f>
        <v>1985470</v>
      </c>
      <c r="AG64" s="293"/>
      <c r="AH64" s="292"/>
      <c r="AI64" s="292"/>
      <c r="AJ64" s="292"/>
      <c r="AK64" s="1475"/>
      <c r="AL64" s="1475"/>
      <c r="AM64" s="293"/>
    </row>
    <row r="65" spans="2:38" s="79" customFormat="1" ht="12" customHeight="1" x14ac:dyDescent="0.35">
      <c r="B65" s="159"/>
      <c r="C65" s="1172"/>
      <c r="D65" s="1172"/>
      <c r="E65" s="1172"/>
      <c r="F65" s="1172"/>
      <c r="G65" s="1172"/>
      <c r="H65" s="1172"/>
      <c r="I65" s="1172"/>
      <c r="J65" s="293"/>
      <c r="K65" s="293"/>
      <c r="L65" s="293"/>
      <c r="O65" s="1172"/>
      <c r="P65" s="1172"/>
      <c r="Q65" s="1172"/>
      <c r="R65" s="1172"/>
      <c r="S65" s="1172"/>
      <c r="T65" s="1172"/>
      <c r="U65" s="1172"/>
      <c r="V65" s="1172"/>
      <c r="W65" s="1172"/>
      <c r="X65" s="1172"/>
      <c r="Y65" s="293"/>
      <c r="Z65" s="1172"/>
      <c r="AA65" s="1172"/>
      <c r="AB65" s="1172"/>
      <c r="AC65" s="1184"/>
      <c r="AD65" s="1184"/>
      <c r="AE65" s="1184"/>
    </row>
    <row r="66" spans="2:38" s="79" customFormat="1" ht="12" customHeight="1" x14ac:dyDescent="0.35">
      <c r="B66" s="1172"/>
      <c r="C66" s="1172"/>
      <c r="D66" s="1172"/>
      <c r="E66" s="1185" t="s">
        <v>374</v>
      </c>
      <c r="F66" s="1172"/>
      <c r="G66" s="1172"/>
      <c r="H66" s="1172"/>
      <c r="I66" s="1172"/>
      <c r="J66" s="293"/>
      <c r="K66" s="293"/>
      <c r="L66" s="293"/>
      <c r="O66" s="1172"/>
      <c r="P66" s="1172"/>
      <c r="Q66" s="1172"/>
      <c r="R66" s="1172"/>
      <c r="S66" s="1172"/>
      <c r="T66" s="1172"/>
      <c r="U66" s="1172"/>
      <c r="V66" s="1172"/>
      <c r="W66" s="1172"/>
      <c r="X66" s="1172"/>
      <c r="Y66" s="293"/>
      <c r="Z66" s="1183">
        <f>Z26</f>
        <v>317322</v>
      </c>
      <c r="AA66" s="1172"/>
      <c r="AB66" s="1172"/>
      <c r="AC66" s="1184"/>
      <c r="AD66" s="1184">
        <f>AD26</f>
        <v>910212</v>
      </c>
      <c r="AE66" s="1184"/>
      <c r="AL66" s="292" t="s">
        <v>375</v>
      </c>
    </row>
    <row r="67" spans="2:38" s="79" customFormat="1" ht="12" customHeight="1" x14ac:dyDescent="0.35">
      <c r="B67" s="1172"/>
      <c r="C67" s="1172"/>
      <c r="D67" s="1172"/>
      <c r="E67" s="1172"/>
      <c r="F67" s="1172"/>
      <c r="G67" s="1172"/>
      <c r="H67" s="1172"/>
      <c r="I67" s="1172"/>
      <c r="J67" s="293"/>
      <c r="K67" s="293"/>
      <c r="L67" s="293"/>
      <c r="O67" s="1172"/>
      <c r="P67" s="1172"/>
      <c r="Q67" s="1172"/>
      <c r="R67" s="1172"/>
      <c r="S67" s="1172"/>
      <c r="T67" s="1172"/>
      <c r="U67" s="1172"/>
      <c r="V67" s="1172"/>
      <c r="W67" s="1172"/>
      <c r="X67" s="1172"/>
      <c r="Y67" s="293"/>
      <c r="Z67" s="1172"/>
      <c r="AA67" s="1172"/>
      <c r="AB67" s="1172"/>
      <c r="AL67" s="292" t="s">
        <v>376</v>
      </c>
    </row>
  </sheetData>
  <mergeCells count="73">
    <mergeCell ref="V2:V3"/>
    <mergeCell ref="F4:F6"/>
    <mergeCell ref="G4:G6"/>
    <mergeCell ref="H4:H6"/>
    <mergeCell ref="I4:I6"/>
    <mergeCell ref="J4:J6"/>
    <mergeCell ref="K4:K6"/>
    <mergeCell ref="L4:L6"/>
    <mergeCell ref="M4:M6"/>
    <mergeCell ref="N4:N6"/>
    <mergeCell ref="AB4:AB6"/>
    <mergeCell ref="O4:O6"/>
    <mergeCell ref="P4:P6"/>
    <mergeCell ref="Q4:Q6"/>
    <mergeCell ref="R4:R6"/>
    <mergeCell ref="S4:S6"/>
    <mergeCell ref="U4:U6"/>
    <mergeCell ref="V4:V6"/>
    <mergeCell ref="X4:X6"/>
    <mergeCell ref="Y4:Y6"/>
    <mergeCell ref="Z4:Z6"/>
    <mergeCell ref="AA4:AA6"/>
    <mergeCell ref="AN4:AN6"/>
    <mergeCell ref="AO4:AO6"/>
    <mergeCell ref="AP4:AP6"/>
    <mergeCell ref="AC4:AC6"/>
    <mergeCell ref="AD4:AD6"/>
    <mergeCell ref="AE4:AE6"/>
    <mergeCell ref="AG4:AG6"/>
    <mergeCell ref="AH4:AH6"/>
    <mergeCell ref="AI4:AI6"/>
    <mergeCell ref="B14:E14"/>
    <mergeCell ref="AX4:AX6"/>
    <mergeCell ref="AY4:AY6"/>
    <mergeCell ref="AZ4:AZ6"/>
    <mergeCell ref="B6:E6"/>
    <mergeCell ref="B7:E7"/>
    <mergeCell ref="B8:E8"/>
    <mergeCell ref="AQ4:AQ6"/>
    <mergeCell ref="AR4:AR6"/>
    <mergeCell ref="AS4:AS6"/>
    <mergeCell ref="AU4:AU6"/>
    <mergeCell ref="AV4:AV6"/>
    <mergeCell ref="AW4:AW6"/>
    <mergeCell ref="AJ4:AJ6"/>
    <mergeCell ref="AK4:AK6"/>
    <mergeCell ref="AL4:AL6"/>
    <mergeCell ref="B9:E9"/>
    <mergeCell ref="B10:E10"/>
    <mergeCell ref="B11:E11"/>
    <mergeCell ref="B12:E12"/>
    <mergeCell ref="B13:E13"/>
    <mergeCell ref="B26:E26"/>
    <mergeCell ref="B15:E15"/>
    <mergeCell ref="B16:E16"/>
    <mergeCell ref="B17:E17"/>
    <mergeCell ref="B18:E18"/>
    <mergeCell ref="B19:E19"/>
    <mergeCell ref="B20:E20"/>
    <mergeCell ref="B21:E21"/>
    <mergeCell ref="B22:E22"/>
    <mergeCell ref="B23:E23"/>
    <mergeCell ref="B24:E24"/>
    <mergeCell ref="B25:E25"/>
    <mergeCell ref="B53:E53"/>
    <mergeCell ref="B54:E54"/>
    <mergeCell ref="AK62:AL64"/>
    <mergeCell ref="B30:V33"/>
    <mergeCell ref="B36:V38"/>
    <mergeCell ref="B41:V44"/>
    <mergeCell ref="B46:V47"/>
    <mergeCell ref="B48:V49"/>
    <mergeCell ref="B52:E52"/>
  </mergeCell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P56"/>
  <sheetViews>
    <sheetView workbookViewId="0">
      <selection sqref="A1:XFD1048576"/>
    </sheetView>
  </sheetViews>
  <sheetFormatPr defaultRowHeight="12.5" x14ac:dyDescent="0.25"/>
  <cols>
    <col min="2" max="2" width="32.81640625" customWidth="1"/>
    <col min="3" max="3" width="11.54296875" bestFit="1" customWidth="1"/>
    <col min="6" max="6" width="10.54296875" customWidth="1"/>
    <col min="7" max="7" width="24.54296875" customWidth="1"/>
    <col min="9" max="9" width="9.54296875" bestFit="1" customWidth="1"/>
    <col min="10" max="10" width="10.81640625" customWidth="1"/>
    <col min="11" max="11" width="10.26953125" customWidth="1"/>
  </cols>
  <sheetData>
    <row r="1" spans="1:16" ht="18" thickBot="1" x14ac:dyDescent="0.4">
      <c r="A1" s="440"/>
      <c r="B1" s="33" t="s">
        <v>695</v>
      </c>
      <c r="C1" s="440"/>
      <c r="D1" s="440"/>
    </row>
    <row r="2" spans="1:16" ht="14.5" x14ac:dyDescent="0.35">
      <c r="A2" s="440"/>
      <c r="B2" s="36"/>
      <c r="C2" s="440"/>
      <c r="D2" s="440"/>
      <c r="F2" s="439"/>
      <c r="G2" s="24"/>
      <c r="H2" s="24"/>
      <c r="I2" s="24"/>
      <c r="J2" s="438">
        <v>4000</v>
      </c>
      <c r="K2" s="438">
        <v>33.75</v>
      </c>
      <c r="L2" s="437"/>
      <c r="M2" s="437"/>
      <c r="N2" s="436"/>
      <c r="O2" s="151"/>
    </row>
    <row r="3" spans="1:16" ht="26" x14ac:dyDescent="0.35">
      <c r="A3" s="236" t="s">
        <v>182</v>
      </c>
      <c r="B3" s="237" t="s">
        <v>183</v>
      </c>
      <c r="C3" s="435" t="s">
        <v>59</v>
      </c>
      <c r="D3" s="434" t="s">
        <v>571</v>
      </c>
      <c r="F3" s="26"/>
      <c r="I3" s="150" t="s">
        <v>854</v>
      </c>
      <c r="J3" s="151" t="s">
        <v>855</v>
      </c>
      <c r="K3" s="150" t="s">
        <v>628</v>
      </c>
      <c r="L3" s="150" t="s">
        <v>357</v>
      </c>
      <c r="M3" s="150"/>
      <c r="N3" s="433"/>
      <c r="O3" s="151"/>
    </row>
    <row r="4" spans="1:16" ht="13" x14ac:dyDescent="0.3">
      <c r="A4" s="244">
        <v>9257010</v>
      </c>
      <c r="B4" s="237" t="s">
        <v>205</v>
      </c>
      <c r="C4" s="245">
        <v>69201.680689977453</v>
      </c>
      <c r="D4" s="287">
        <f>C4*$C$32</f>
        <v>5965.833894800965</v>
      </c>
      <c r="F4" s="26"/>
      <c r="G4" s="153" t="s">
        <v>856</v>
      </c>
      <c r="H4" s="151">
        <v>1765</v>
      </c>
      <c r="I4" s="150">
        <v>18</v>
      </c>
      <c r="J4" s="428">
        <f>I4*$J$2</f>
        <v>72000</v>
      </c>
      <c r="K4" s="428">
        <f>H4*$K$2</f>
        <v>59568.75</v>
      </c>
      <c r="L4" s="418">
        <f>SUM(J4:K4)</f>
        <v>131568.75</v>
      </c>
      <c r="M4" s="418"/>
      <c r="N4" s="433"/>
      <c r="O4" s="151"/>
    </row>
    <row r="5" spans="1:16" ht="13" x14ac:dyDescent="0.3">
      <c r="A5" s="244">
        <v>9257005</v>
      </c>
      <c r="B5" s="237" t="s">
        <v>208</v>
      </c>
      <c r="C5" s="245">
        <v>117027.3922528728</v>
      </c>
      <c r="D5" s="287">
        <f t="shared" ref="D5:D15" si="0">C5*$C$32</f>
        <v>10088.858772811171</v>
      </c>
      <c r="F5" s="26"/>
      <c r="G5" s="153" t="s">
        <v>857</v>
      </c>
      <c r="H5" s="151">
        <v>70</v>
      </c>
      <c r="I5" s="150">
        <v>1</v>
      </c>
      <c r="J5" s="428">
        <f>I5*$J$2</f>
        <v>4000</v>
      </c>
      <c r="K5" s="428">
        <f>H5*$K$2</f>
        <v>2362.5</v>
      </c>
      <c r="L5" s="418">
        <f>SUM(J5:K5)</f>
        <v>6362.5</v>
      </c>
      <c r="M5" s="418"/>
      <c r="N5" s="433"/>
      <c r="O5" s="151"/>
    </row>
    <row r="6" spans="1:16" ht="13" x14ac:dyDescent="0.3">
      <c r="A6" s="244">
        <v>9257025</v>
      </c>
      <c r="B6" s="237" t="s">
        <v>209</v>
      </c>
      <c r="C6" s="245">
        <v>88790.687513148558</v>
      </c>
      <c r="D6" s="287">
        <f t="shared" si="0"/>
        <v>7654.5900016752194</v>
      </c>
      <c r="F6" s="26"/>
      <c r="G6" s="153" t="s">
        <v>821</v>
      </c>
      <c r="H6" s="151">
        <v>13</v>
      </c>
      <c r="I6" s="150">
        <v>1</v>
      </c>
      <c r="J6" s="428">
        <f>I6*$J$2</f>
        <v>4000</v>
      </c>
      <c r="K6" s="428">
        <f>H6*$K$2</f>
        <v>438.75</v>
      </c>
      <c r="L6" s="418">
        <f>SUM(J6:K6)</f>
        <v>4438.75</v>
      </c>
      <c r="M6" s="418"/>
      <c r="N6" s="433"/>
      <c r="O6" s="151"/>
    </row>
    <row r="7" spans="1:16" ht="13.5" thickBot="1" x14ac:dyDescent="0.35">
      <c r="A7" s="244">
        <v>9257011</v>
      </c>
      <c r="B7" s="237" t="s">
        <v>210</v>
      </c>
      <c r="C7" s="245">
        <v>88790.687513148558</v>
      </c>
      <c r="D7" s="287">
        <f t="shared" si="0"/>
        <v>7654.5900016752194</v>
      </c>
      <c r="F7" s="26"/>
      <c r="G7" s="153" t="s">
        <v>858</v>
      </c>
      <c r="H7" s="151">
        <v>252</v>
      </c>
      <c r="I7" s="150">
        <v>1</v>
      </c>
      <c r="J7" s="428">
        <f>I7*$J$2</f>
        <v>4000</v>
      </c>
      <c r="K7" s="428">
        <f>H7*$K$2</f>
        <v>8505</v>
      </c>
      <c r="L7" s="418">
        <f>SUM(J7:K7)</f>
        <v>12505</v>
      </c>
      <c r="M7" s="418"/>
      <c r="N7" s="433"/>
      <c r="O7" s="151"/>
    </row>
    <row r="8" spans="1:16" ht="13.5" thickBot="1" x14ac:dyDescent="0.35">
      <c r="A8" s="244">
        <v>9257024</v>
      </c>
      <c r="B8" s="237" t="s">
        <v>211</v>
      </c>
      <c r="C8" s="245">
        <v>69201.680689977453</v>
      </c>
      <c r="D8" s="287">
        <f t="shared" si="0"/>
        <v>5965.833894800965</v>
      </c>
      <c r="F8" s="26"/>
      <c r="G8" s="153"/>
      <c r="H8" s="416">
        <f>SUM(H4:H7)</f>
        <v>2100</v>
      </c>
      <c r="I8" s="151"/>
      <c r="J8" s="418">
        <f>SUM(J4:J7)</f>
        <v>84000</v>
      </c>
      <c r="K8" s="418">
        <f>SUM(K4:K7)</f>
        <v>70875</v>
      </c>
      <c r="L8" s="432">
        <f>SUM(L4:L7)</f>
        <v>154875</v>
      </c>
      <c r="M8" s="431"/>
      <c r="N8" s="433"/>
      <c r="O8" s="151"/>
    </row>
    <row r="9" spans="1:16" x14ac:dyDescent="0.25">
      <c r="A9" s="244">
        <v>9257008</v>
      </c>
      <c r="B9" s="237" t="s">
        <v>212</v>
      </c>
      <c r="C9" s="245">
        <v>88790.687513148558</v>
      </c>
      <c r="D9" s="287">
        <f t="shared" si="0"/>
        <v>7654.5900016752194</v>
      </c>
      <c r="F9" s="26"/>
      <c r="G9" s="153"/>
      <c r="H9" s="151"/>
      <c r="I9" s="151"/>
      <c r="J9" s="151"/>
      <c r="K9" s="151"/>
      <c r="L9" s="151"/>
      <c r="M9" s="151"/>
      <c r="N9" s="433"/>
      <c r="O9" s="151"/>
    </row>
    <row r="10" spans="1:16" ht="13" thickBot="1" x14ac:dyDescent="0.3">
      <c r="A10" s="244">
        <v>9257002</v>
      </c>
      <c r="B10" s="237" t="s">
        <v>213</v>
      </c>
      <c r="C10" s="245">
        <v>88790.687513148558</v>
      </c>
      <c r="D10" s="287">
        <f t="shared" si="0"/>
        <v>7654.5900016752194</v>
      </c>
      <c r="F10" s="28"/>
      <c r="G10" s="430"/>
      <c r="H10" s="430"/>
      <c r="I10" s="430"/>
      <c r="J10" s="430"/>
      <c r="K10" s="430"/>
      <c r="L10" s="430"/>
      <c r="M10" s="430"/>
      <c r="N10" s="429"/>
    </row>
    <row r="11" spans="1:16" x14ac:dyDescent="0.25">
      <c r="A11" s="244">
        <v>9257009</v>
      </c>
      <c r="B11" s="237" t="s">
        <v>214</v>
      </c>
      <c r="C11" s="245">
        <v>88790.687513148558</v>
      </c>
      <c r="D11" s="287">
        <f t="shared" si="0"/>
        <v>7654.5900016752194</v>
      </c>
      <c r="G11" s="151"/>
      <c r="H11" s="151"/>
      <c r="I11" s="151"/>
      <c r="J11" s="151"/>
      <c r="K11" s="151"/>
      <c r="L11" s="151"/>
      <c r="M11" s="151"/>
      <c r="N11" s="151"/>
    </row>
    <row r="12" spans="1:16" x14ac:dyDescent="0.25">
      <c r="A12" s="244">
        <v>9257028</v>
      </c>
      <c r="B12" s="237" t="s">
        <v>215</v>
      </c>
      <c r="C12" s="245">
        <v>88790.687513148558</v>
      </c>
      <c r="D12" s="287">
        <f t="shared" si="0"/>
        <v>7654.5900016752194</v>
      </c>
      <c r="J12" s="151" t="s">
        <v>859</v>
      </c>
      <c r="K12" s="151"/>
      <c r="L12" s="428">
        <f>'[17]Summary V8'!C17</f>
        <v>165614.38426611698</v>
      </c>
      <c r="M12" s="151"/>
      <c r="N12" s="151"/>
      <c r="O12" s="151"/>
    </row>
    <row r="13" spans="1:16" x14ac:dyDescent="0.25">
      <c r="A13" s="244">
        <v>9257021</v>
      </c>
      <c r="B13" s="237" t="s">
        <v>216</v>
      </c>
      <c r="C13" s="245">
        <v>117027.3922528728</v>
      </c>
      <c r="D13" s="287">
        <f t="shared" si="0"/>
        <v>10088.858772811171</v>
      </c>
      <c r="J13" s="151"/>
      <c r="K13" s="151"/>
      <c r="L13" s="152"/>
      <c r="M13" s="152"/>
      <c r="N13" s="151"/>
      <c r="O13" s="151"/>
    </row>
    <row r="14" spans="1:16" x14ac:dyDescent="0.25">
      <c r="A14" s="244">
        <v>9257015</v>
      </c>
      <c r="B14" s="237" t="s">
        <v>217</v>
      </c>
      <c r="C14" s="245">
        <v>131719.7894229154</v>
      </c>
      <c r="D14" s="287">
        <f t="shared" si="0"/>
        <v>11355.481203928119</v>
      </c>
      <c r="J14" s="151"/>
      <c r="K14" s="151"/>
      <c r="L14" s="427">
        <f>(L12-J8)/H8</f>
        <v>38.863992507674752</v>
      </c>
      <c r="M14" s="151" t="s">
        <v>860</v>
      </c>
      <c r="N14" s="151"/>
      <c r="O14" s="151"/>
    </row>
    <row r="15" spans="1:16" x14ac:dyDescent="0.25">
      <c r="A15" s="244">
        <v>9257016</v>
      </c>
      <c r="B15" s="237" t="s">
        <v>219</v>
      </c>
      <c r="C15" s="245">
        <v>131719.7894229154</v>
      </c>
      <c r="D15" s="287">
        <f t="shared" si="0"/>
        <v>11355.481203928119</v>
      </c>
      <c r="F15" s="151"/>
      <c r="G15" s="151"/>
      <c r="H15" s="151"/>
      <c r="I15" s="151"/>
      <c r="J15" s="151"/>
      <c r="K15" s="151"/>
      <c r="L15" s="151"/>
      <c r="M15" s="151"/>
      <c r="N15" s="151"/>
      <c r="O15" s="151"/>
      <c r="P15" s="151"/>
    </row>
    <row r="16" spans="1:16" x14ac:dyDescent="0.25">
      <c r="A16" s="244"/>
      <c r="B16" s="237"/>
      <c r="C16" s="245"/>
      <c r="D16" s="247" t="s">
        <v>861</v>
      </c>
      <c r="F16" s="151"/>
      <c r="G16" s="151"/>
      <c r="H16" s="151"/>
      <c r="I16" s="151"/>
      <c r="J16" s="151"/>
      <c r="K16" s="151"/>
      <c r="L16" s="151"/>
      <c r="M16" s="151"/>
      <c r="N16" s="151"/>
      <c r="O16" s="151"/>
      <c r="P16" s="151"/>
    </row>
    <row r="17" spans="1:16" ht="13" x14ac:dyDescent="0.3">
      <c r="A17" s="244">
        <v>9257031</v>
      </c>
      <c r="B17" s="32" t="s">
        <v>148</v>
      </c>
      <c r="C17" s="245">
        <v>55663.058379368813</v>
      </c>
      <c r="D17" s="287">
        <f>C17*$C$32</f>
        <v>4798.6776774341888</v>
      </c>
      <c r="F17" s="426"/>
      <c r="G17" s="426"/>
      <c r="H17" s="428" t="s">
        <v>128</v>
      </c>
      <c r="I17" s="428" t="s">
        <v>862</v>
      </c>
      <c r="J17" s="428" t="s">
        <v>863</v>
      </c>
      <c r="K17" s="428" t="s">
        <v>357</v>
      </c>
      <c r="L17" s="428"/>
      <c r="M17" s="428"/>
      <c r="N17" s="428"/>
      <c r="O17" s="151"/>
      <c r="P17" s="151"/>
    </row>
    <row r="18" spans="1:16" ht="13" x14ac:dyDescent="0.3">
      <c r="A18" s="244">
        <v>9257029</v>
      </c>
      <c r="B18" s="32" t="s">
        <v>149</v>
      </c>
      <c r="C18" s="245">
        <v>55663.058379368813</v>
      </c>
      <c r="D18" s="287">
        <f>C18*$C$32</f>
        <v>4798.6776774341888</v>
      </c>
      <c r="F18" s="426">
        <v>9257010</v>
      </c>
      <c r="G18" s="426" t="s">
        <v>804</v>
      </c>
      <c r="H18" s="422">
        <v>56</v>
      </c>
      <c r="I18" s="428">
        <v>4000</v>
      </c>
      <c r="J18" s="428">
        <f>H18*$I$54</f>
        <v>2176.16</v>
      </c>
      <c r="K18" s="290">
        <f>I18+J18</f>
        <v>6176.16</v>
      </c>
      <c r="L18" s="428"/>
      <c r="M18" s="428"/>
      <c r="N18" s="428"/>
      <c r="O18" s="151"/>
      <c r="P18" s="151"/>
    </row>
    <row r="19" spans="1:16" ht="13" x14ac:dyDescent="0.3">
      <c r="A19" s="244">
        <v>9257032</v>
      </c>
      <c r="B19" s="32" t="s">
        <v>150</v>
      </c>
      <c r="C19" s="245">
        <v>58044.118057617408</v>
      </c>
      <c r="D19" s="287">
        <f>C19*$C$32</f>
        <v>5003.9473528583676</v>
      </c>
      <c r="F19" s="426">
        <v>9257005</v>
      </c>
      <c r="G19" s="426" t="s">
        <v>805</v>
      </c>
      <c r="H19" s="422">
        <v>70.833333333333329</v>
      </c>
      <c r="I19" s="428">
        <v>4000</v>
      </c>
      <c r="J19" s="428">
        <f t="shared" ref="J19:J40" si="1">H19*$I$54</f>
        <v>2752.583333333333</v>
      </c>
      <c r="K19" s="290">
        <f t="shared" ref="K19:K35" si="2">I19+J19</f>
        <v>6752.583333333333</v>
      </c>
      <c r="L19" s="428"/>
      <c r="M19" s="428"/>
      <c r="N19" s="428"/>
      <c r="O19" s="151"/>
      <c r="P19" s="151"/>
    </row>
    <row r="20" spans="1:16" ht="13" x14ac:dyDescent="0.3">
      <c r="A20" s="244">
        <v>9257030</v>
      </c>
      <c r="B20" s="32" t="s">
        <v>152</v>
      </c>
      <c r="C20" s="245">
        <v>58044.118057617408</v>
      </c>
      <c r="D20" s="287">
        <f>C20*$C$32</f>
        <v>5003.9473528583676</v>
      </c>
      <c r="F20" s="426">
        <v>9257025</v>
      </c>
      <c r="G20" s="426" t="s">
        <v>806</v>
      </c>
      <c r="H20" s="422">
        <v>66.166666666666671</v>
      </c>
      <c r="I20" s="428">
        <v>4000</v>
      </c>
      <c r="J20" s="428">
        <f t="shared" si="1"/>
        <v>2571.2366666666667</v>
      </c>
      <c r="K20" s="290">
        <f t="shared" si="2"/>
        <v>6571.2366666666667</v>
      </c>
      <c r="L20" s="428"/>
      <c r="M20" s="428"/>
      <c r="N20" s="428"/>
      <c r="O20" s="151"/>
      <c r="P20" s="151"/>
    </row>
    <row r="21" spans="1:16" ht="13" x14ac:dyDescent="0.3">
      <c r="A21" s="244"/>
      <c r="B21" s="32"/>
      <c r="C21" s="245"/>
      <c r="D21" s="247" t="s">
        <v>861</v>
      </c>
      <c r="F21" s="426">
        <v>9257011</v>
      </c>
      <c r="G21" s="426" t="s">
        <v>210</v>
      </c>
      <c r="H21" s="422">
        <v>57.416666666666664</v>
      </c>
      <c r="I21" s="428">
        <v>4000</v>
      </c>
      <c r="J21" s="428">
        <f t="shared" si="1"/>
        <v>2231.2116666666666</v>
      </c>
      <c r="K21" s="290">
        <f t="shared" si="2"/>
        <v>6231.2116666666661</v>
      </c>
      <c r="L21" s="428"/>
      <c r="M21" s="428"/>
      <c r="N21" s="428"/>
      <c r="O21" s="151"/>
      <c r="P21" s="151"/>
    </row>
    <row r="22" spans="1:16" x14ac:dyDescent="0.25">
      <c r="A22" s="244">
        <v>9257033</v>
      </c>
      <c r="B22" s="237" t="s">
        <v>220</v>
      </c>
      <c r="C22" s="245">
        <v>69201.680689977453</v>
      </c>
      <c r="D22" s="287">
        <f>C22*$C$32</f>
        <v>5965.833894800965</v>
      </c>
      <c r="F22" s="426">
        <v>9257024</v>
      </c>
      <c r="G22" s="426" t="s">
        <v>807</v>
      </c>
      <c r="H22" s="422">
        <v>74.833333333333343</v>
      </c>
      <c r="I22" s="428">
        <v>4000</v>
      </c>
      <c r="J22" s="428">
        <f t="shared" si="1"/>
        <v>2908.0233333333335</v>
      </c>
      <c r="K22" s="290">
        <f t="shared" si="2"/>
        <v>6908.0233333333335</v>
      </c>
      <c r="L22" s="428"/>
      <c r="M22" s="428"/>
      <c r="N22" s="428"/>
      <c r="O22" s="151"/>
      <c r="P22" s="151"/>
    </row>
    <row r="23" spans="1:16" x14ac:dyDescent="0.25">
      <c r="A23" s="244">
        <v>9257034</v>
      </c>
      <c r="B23" s="237" t="s">
        <v>221</v>
      </c>
      <c r="C23" s="245">
        <v>117027.3922528728</v>
      </c>
      <c r="D23" s="287">
        <f>C23*$C$32</f>
        <v>10088.858772811171</v>
      </c>
      <c r="F23" s="426">
        <v>9257008</v>
      </c>
      <c r="G23" s="426" t="s">
        <v>340</v>
      </c>
      <c r="H23" s="422">
        <v>92.916666666666671</v>
      </c>
      <c r="I23" s="428">
        <v>4000</v>
      </c>
      <c r="J23" s="428">
        <f t="shared" si="1"/>
        <v>3610.7416666666668</v>
      </c>
      <c r="K23" s="290">
        <f t="shared" si="2"/>
        <v>7610.7416666666668</v>
      </c>
      <c r="L23" s="428"/>
      <c r="M23" s="428"/>
      <c r="N23" s="428"/>
      <c r="O23" s="151"/>
      <c r="P23" s="151"/>
    </row>
    <row r="24" spans="1:16" ht="14.5" x14ac:dyDescent="0.35">
      <c r="A24" s="249"/>
      <c r="B24" s="36"/>
      <c r="C24" s="235"/>
      <c r="D24" s="440"/>
      <c r="F24" s="426">
        <v>9257002</v>
      </c>
      <c r="G24" s="426" t="s">
        <v>808</v>
      </c>
      <c r="H24" s="422">
        <v>143.16666666666669</v>
      </c>
      <c r="I24" s="428">
        <v>4000</v>
      </c>
      <c r="J24" s="428">
        <f t="shared" si="1"/>
        <v>5563.4566666666669</v>
      </c>
      <c r="K24" s="290">
        <f t="shared" si="2"/>
        <v>9563.4566666666669</v>
      </c>
      <c r="L24" s="428"/>
      <c r="M24" s="428"/>
      <c r="N24" s="428"/>
      <c r="O24" s="151"/>
      <c r="P24" s="151"/>
    </row>
    <row r="25" spans="1:16" x14ac:dyDescent="0.25">
      <c r="A25" s="244">
        <v>9257012</v>
      </c>
      <c r="B25" s="237" t="s">
        <v>864</v>
      </c>
      <c r="C25" s="245">
        <v>88791</v>
      </c>
      <c r="D25" s="287">
        <f>C25*$C$32</f>
        <v>7654.6169409725226</v>
      </c>
      <c r="F25" s="426">
        <v>9257009</v>
      </c>
      <c r="G25" s="426" t="s">
        <v>546</v>
      </c>
      <c r="H25" s="422">
        <v>131.33333333333334</v>
      </c>
      <c r="I25" s="428">
        <v>4000</v>
      </c>
      <c r="J25" s="428">
        <f t="shared" si="1"/>
        <v>5103.6133333333337</v>
      </c>
      <c r="K25" s="290">
        <f t="shared" si="2"/>
        <v>9103.6133333333346</v>
      </c>
      <c r="L25" s="428"/>
      <c r="M25" s="428"/>
      <c r="N25" s="428"/>
      <c r="O25" s="151"/>
      <c r="P25" s="151"/>
    </row>
    <row r="26" spans="1:16" x14ac:dyDescent="0.25">
      <c r="A26" s="244">
        <v>9257003</v>
      </c>
      <c r="B26" s="237" t="s">
        <v>821</v>
      </c>
      <c r="C26" s="245">
        <v>18682</v>
      </c>
      <c r="D26" s="287">
        <f>C26*$C$32</f>
        <v>1610.5636122044878</v>
      </c>
      <c r="F26" s="426">
        <v>9257028</v>
      </c>
      <c r="G26" s="426" t="s">
        <v>215</v>
      </c>
      <c r="H26" s="422">
        <v>79.25</v>
      </c>
      <c r="I26" s="428">
        <v>4000</v>
      </c>
      <c r="J26" s="428">
        <f t="shared" si="1"/>
        <v>3079.6549999999997</v>
      </c>
      <c r="K26" s="290">
        <f t="shared" si="2"/>
        <v>7079.6549999999997</v>
      </c>
      <c r="L26" s="428"/>
      <c r="M26" s="428"/>
      <c r="N26" s="428"/>
      <c r="O26" s="151"/>
      <c r="P26" s="151"/>
    </row>
    <row r="27" spans="1:16" x14ac:dyDescent="0.25">
      <c r="A27" s="244">
        <v>9251105</v>
      </c>
      <c r="B27" s="237" t="s">
        <v>858</v>
      </c>
      <c r="C27" s="245">
        <v>236900</v>
      </c>
      <c r="D27" s="287">
        <f>C27*$C$32</f>
        <v>20423.001805547756</v>
      </c>
      <c r="F27" s="426">
        <v>9257021</v>
      </c>
      <c r="G27" s="426" t="s">
        <v>809</v>
      </c>
      <c r="H27" s="422">
        <v>154.5</v>
      </c>
      <c r="I27" s="428">
        <v>4000</v>
      </c>
      <c r="J27" s="428">
        <f t="shared" si="1"/>
        <v>6003.87</v>
      </c>
      <c r="K27" s="290">
        <f t="shared" si="2"/>
        <v>10003.869999999999</v>
      </c>
      <c r="L27" s="428"/>
      <c r="M27" s="428"/>
      <c r="N27" s="428"/>
      <c r="O27" s="151"/>
      <c r="P27" s="151"/>
    </row>
    <row r="28" spans="1:16" ht="14.5" x14ac:dyDescent="0.35">
      <c r="A28" s="249"/>
      <c r="B28" s="36"/>
      <c r="C28" s="235"/>
      <c r="D28" s="440"/>
      <c r="F28" s="426">
        <v>9257015</v>
      </c>
      <c r="G28" s="426" t="s">
        <v>217</v>
      </c>
      <c r="H28" s="422">
        <v>249.00000000000003</v>
      </c>
      <c r="I28" s="428">
        <v>4000</v>
      </c>
      <c r="J28" s="428">
        <f t="shared" si="1"/>
        <v>9676.1400000000012</v>
      </c>
      <c r="K28" s="290">
        <f t="shared" si="2"/>
        <v>13676.140000000001</v>
      </c>
      <c r="L28" s="428"/>
      <c r="M28" s="428"/>
      <c r="N28" s="428"/>
      <c r="O28" s="151"/>
      <c r="P28" s="151"/>
    </row>
    <row r="29" spans="1:16" ht="15" thickBot="1" x14ac:dyDescent="0.4">
      <c r="A29" s="249"/>
      <c r="B29" s="440"/>
      <c r="C29" s="250">
        <f>SUM(C4:C28)</f>
        <v>1926658.2756272454</v>
      </c>
      <c r="D29" s="250">
        <f>SUM(D4:D28)</f>
        <v>166096.01284005382</v>
      </c>
      <c r="F29" s="426">
        <v>9257016</v>
      </c>
      <c r="G29" s="426" t="s">
        <v>219</v>
      </c>
      <c r="H29" s="422">
        <v>142.5</v>
      </c>
      <c r="I29" s="428">
        <v>4000</v>
      </c>
      <c r="J29" s="428">
        <f t="shared" si="1"/>
        <v>5537.55</v>
      </c>
      <c r="K29" s="290">
        <f t="shared" si="2"/>
        <v>9537.5499999999993</v>
      </c>
      <c r="L29" s="428"/>
      <c r="M29" s="428"/>
      <c r="N29" s="428"/>
      <c r="O29" s="151"/>
      <c r="P29" s="151"/>
    </row>
    <row r="30" spans="1:16" ht="14.5" x14ac:dyDescent="0.35">
      <c r="A30" s="249"/>
      <c r="B30" s="36"/>
      <c r="C30" s="234"/>
      <c r="D30" s="440"/>
      <c r="F30" s="426">
        <v>9257031</v>
      </c>
      <c r="G30" s="426" t="s">
        <v>557</v>
      </c>
      <c r="H30" s="422">
        <v>71.166666666666671</v>
      </c>
      <c r="I30" s="428">
        <v>4000</v>
      </c>
      <c r="J30" s="428">
        <f t="shared" si="1"/>
        <v>2765.5366666666669</v>
      </c>
      <c r="K30" s="290">
        <f t="shared" si="2"/>
        <v>6765.5366666666669</v>
      </c>
      <c r="L30" s="428"/>
      <c r="M30" s="428"/>
      <c r="N30" s="428"/>
      <c r="O30" s="151"/>
      <c r="P30" s="151"/>
    </row>
    <row r="31" spans="1:16" x14ac:dyDescent="0.25">
      <c r="B31" t="s">
        <v>865</v>
      </c>
      <c r="C31" s="425">
        <f>'[17]Summary V6'!B24</f>
        <v>166096.01284005385</v>
      </c>
      <c r="F31" s="426">
        <v>9257029</v>
      </c>
      <c r="G31" s="426" t="s">
        <v>811</v>
      </c>
      <c r="H31" s="422">
        <v>41.833333333333336</v>
      </c>
      <c r="I31" s="428">
        <v>4000</v>
      </c>
      <c r="J31" s="428">
        <f t="shared" si="1"/>
        <v>1625.6433333333334</v>
      </c>
      <c r="K31" s="290">
        <f t="shared" si="2"/>
        <v>5625.6433333333334</v>
      </c>
      <c r="L31" s="428"/>
      <c r="M31" s="428"/>
      <c r="N31" s="428"/>
      <c r="O31" s="151"/>
      <c r="P31" s="151"/>
    </row>
    <row r="32" spans="1:16" x14ac:dyDescent="0.25">
      <c r="B32" t="s">
        <v>866</v>
      </c>
      <c r="C32" s="424">
        <f>C31/C29</f>
        <v>8.6209378664194827E-2</v>
      </c>
      <c r="F32" s="426">
        <v>9257032</v>
      </c>
      <c r="G32" s="426" t="s">
        <v>813</v>
      </c>
      <c r="H32" s="422">
        <v>61.166666666666671</v>
      </c>
      <c r="I32" s="428">
        <v>4000</v>
      </c>
      <c r="J32" s="428">
        <f t="shared" si="1"/>
        <v>2376.936666666667</v>
      </c>
      <c r="K32" s="290">
        <f t="shared" si="2"/>
        <v>6376.9366666666665</v>
      </c>
      <c r="L32" s="428"/>
      <c r="M32" s="428"/>
      <c r="N32" s="428"/>
      <c r="O32" s="151"/>
      <c r="P32" s="151"/>
    </row>
    <row r="33" spans="6:16" x14ac:dyDescent="0.25">
      <c r="F33" s="426">
        <v>9257030</v>
      </c>
      <c r="G33" s="426" t="s">
        <v>815</v>
      </c>
      <c r="H33" s="422">
        <v>70</v>
      </c>
      <c r="I33" s="428">
        <v>4000</v>
      </c>
      <c r="J33" s="428">
        <f t="shared" si="1"/>
        <v>2720.2</v>
      </c>
      <c r="K33" s="290">
        <f t="shared" si="2"/>
        <v>6720.2</v>
      </c>
      <c r="L33" s="428"/>
      <c r="M33" s="428"/>
      <c r="N33" s="428"/>
      <c r="O33" s="151"/>
      <c r="P33" s="151"/>
    </row>
    <row r="34" spans="6:16" x14ac:dyDescent="0.25">
      <c r="F34" s="426">
        <v>9257033</v>
      </c>
      <c r="G34" s="426" t="s">
        <v>816</v>
      </c>
      <c r="H34" s="422">
        <v>89.666666666666671</v>
      </c>
      <c r="I34" s="428">
        <v>4000</v>
      </c>
      <c r="J34" s="428">
        <f t="shared" si="1"/>
        <v>3484.4466666666667</v>
      </c>
      <c r="K34" s="290">
        <f t="shared" si="2"/>
        <v>7484.4466666666667</v>
      </c>
      <c r="L34" s="428"/>
      <c r="M34" s="428"/>
      <c r="N34" s="428"/>
      <c r="O34" s="151"/>
      <c r="P34" s="151"/>
    </row>
    <row r="35" spans="6:16" x14ac:dyDescent="0.25">
      <c r="F35" s="426">
        <v>9257034</v>
      </c>
      <c r="G35" s="426" t="s">
        <v>817</v>
      </c>
      <c r="H35" s="422">
        <v>113.33333333333334</v>
      </c>
      <c r="I35" s="428">
        <v>4000</v>
      </c>
      <c r="J35" s="428">
        <f t="shared" si="1"/>
        <v>4404.1333333333332</v>
      </c>
      <c r="K35" s="290">
        <f t="shared" si="2"/>
        <v>8404.1333333333332</v>
      </c>
      <c r="L35" s="428"/>
      <c r="M35" s="428"/>
      <c r="N35" s="428"/>
      <c r="O35" s="151"/>
      <c r="P35" s="151"/>
    </row>
    <row r="36" spans="6:16" ht="13" x14ac:dyDescent="0.3">
      <c r="F36" s="426"/>
      <c r="G36" s="426"/>
      <c r="H36" s="413">
        <f>SUM(H18:H35)</f>
        <v>1765.0833333333335</v>
      </c>
      <c r="I36" s="423">
        <f>SUM(I18:I35)</f>
        <v>72000</v>
      </c>
      <c r="J36" s="423">
        <f>SUM(J18:J35)</f>
        <v>68591.138333333336</v>
      </c>
      <c r="K36" s="423">
        <f>SUM(K18:K35)</f>
        <v>140591.13833333331</v>
      </c>
      <c r="L36" s="428"/>
      <c r="M36" s="428"/>
      <c r="N36" s="428"/>
      <c r="O36" s="151"/>
      <c r="P36" s="151"/>
    </row>
    <row r="37" spans="6:16" x14ac:dyDescent="0.25">
      <c r="F37" s="426"/>
      <c r="G37" s="426"/>
      <c r="H37" s="422"/>
      <c r="I37" s="428"/>
      <c r="J37" s="428"/>
      <c r="K37" s="428"/>
      <c r="L37" s="428"/>
      <c r="M37" s="428"/>
      <c r="N37" s="428"/>
      <c r="O37" s="151"/>
      <c r="P37" s="151"/>
    </row>
    <row r="38" spans="6:16" x14ac:dyDescent="0.25">
      <c r="F38" s="151"/>
      <c r="G38" s="426" t="s">
        <v>857</v>
      </c>
      <c r="H38" s="422">
        <v>70</v>
      </c>
      <c r="I38" s="428">
        <v>4000</v>
      </c>
      <c r="J38" s="428">
        <f t="shared" si="1"/>
        <v>2720.2</v>
      </c>
      <c r="K38" s="290">
        <f>I38+J38</f>
        <v>6720.2</v>
      </c>
      <c r="L38" s="428"/>
      <c r="M38" s="428"/>
      <c r="N38" s="428"/>
      <c r="O38" s="151"/>
      <c r="P38" s="151"/>
    </row>
    <row r="39" spans="6:16" x14ac:dyDescent="0.25">
      <c r="F39" s="151"/>
      <c r="G39" s="426" t="s">
        <v>821</v>
      </c>
      <c r="H39" s="422">
        <v>13</v>
      </c>
      <c r="I39" s="428">
        <v>4000</v>
      </c>
      <c r="J39" s="428">
        <f t="shared" si="1"/>
        <v>505.18</v>
      </c>
      <c r="K39" s="290">
        <f>I39+J39</f>
        <v>4505.18</v>
      </c>
      <c r="L39" s="428"/>
      <c r="M39" s="428"/>
      <c r="N39" s="428"/>
      <c r="O39" s="151"/>
      <c r="P39" s="151"/>
    </row>
    <row r="40" spans="6:16" x14ac:dyDescent="0.25">
      <c r="F40" s="151"/>
      <c r="G40" s="426" t="s">
        <v>858</v>
      </c>
      <c r="H40" s="422">
        <v>252</v>
      </c>
      <c r="I40" s="428">
        <v>4000</v>
      </c>
      <c r="J40" s="428">
        <f t="shared" si="1"/>
        <v>9792.7199999999993</v>
      </c>
      <c r="K40" s="290">
        <f>I40+J40</f>
        <v>13792.72</v>
      </c>
      <c r="L40" s="428"/>
      <c r="M40" s="428"/>
      <c r="N40" s="428"/>
      <c r="O40" s="151"/>
      <c r="P40" s="151"/>
    </row>
    <row r="41" spans="6:16" ht="13.5" thickBot="1" x14ac:dyDescent="0.35">
      <c r="F41" s="151"/>
      <c r="G41" s="151"/>
      <c r="H41" s="421">
        <f>SUM(H36:H40)</f>
        <v>2100.0833333333335</v>
      </c>
      <c r="I41" s="420">
        <f>SUM(I36:I40)</f>
        <v>84000</v>
      </c>
      <c r="J41" s="420">
        <f>SUM(J36:J40)</f>
        <v>81609.238333333327</v>
      </c>
      <c r="K41" s="428">
        <f>SUM(I41:J41)</f>
        <v>165609.23833333334</v>
      </c>
      <c r="L41" s="428"/>
      <c r="M41" s="428" t="s">
        <v>3</v>
      </c>
      <c r="N41" s="428">
        <f>L12-K41</f>
        <v>5.1459327836346347</v>
      </c>
      <c r="O41" s="151" t="s">
        <v>867</v>
      </c>
      <c r="P41" s="151"/>
    </row>
    <row r="42" spans="6:16" x14ac:dyDescent="0.25">
      <c r="F42" s="151"/>
      <c r="G42" s="151"/>
      <c r="H42" s="428"/>
      <c r="I42" s="428"/>
      <c r="J42" s="428"/>
      <c r="K42" s="428"/>
      <c r="L42" s="428"/>
      <c r="M42" s="428"/>
      <c r="N42" s="428"/>
      <c r="O42" s="151"/>
      <c r="P42" s="151"/>
    </row>
    <row r="43" spans="6:16" x14ac:dyDescent="0.25">
      <c r="F43" s="151"/>
      <c r="G43" s="426" t="s">
        <v>868</v>
      </c>
      <c r="H43" s="427">
        <v>33.75</v>
      </c>
      <c r="I43" s="428">
        <f>H43*H41</f>
        <v>70877.8125</v>
      </c>
      <c r="J43" s="151"/>
      <c r="K43" s="151"/>
      <c r="L43" s="151"/>
      <c r="M43" s="151"/>
      <c r="N43" s="151"/>
      <c r="O43" s="151"/>
      <c r="P43" s="151"/>
    </row>
    <row r="44" spans="6:16" x14ac:dyDescent="0.25">
      <c r="H44" s="2"/>
      <c r="I44" s="16"/>
    </row>
    <row r="45" spans="6:16" x14ac:dyDescent="0.25">
      <c r="G45" s="152" t="s">
        <v>859</v>
      </c>
      <c r="H45" s="428"/>
      <c r="I45" s="428">
        <f>I41+I43</f>
        <v>154877.8125</v>
      </c>
    </row>
    <row r="46" spans="6:16" x14ac:dyDescent="0.25">
      <c r="G46" s="152"/>
      <c r="H46" s="152"/>
      <c r="I46" s="428"/>
    </row>
    <row r="47" spans="6:16" ht="13" x14ac:dyDescent="0.3">
      <c r="G47" s="419" t="s">
        <v>869</v>
      </c>
      <c r="H47" s="419"/>
      <c r="I47" s="418">
        <f>'[17]Summary V8'!C12*'[17]Special Schools'!I45</f>
        <v>165617.39179125501</v>
      </c>
    </row>
    <row r="48" spans="6:16" x14ac:dyDescent="0.25">
      <c r="G48" s="152"/>
      <c r="H48" s="152"/>
      <c r="I48" s="152"/>
    </row>
    <row r="49" spans="7:10" x14ac:dyDescent="0.25">
      <c r="G49" s="152" t="s">
        <v>870</v>
      </c>
      <c r="H49" s="152"/>
      <c r="I49" s="428">
        <f>I47-I45</f>
        <v>10739.57929125501</v>
      </c>
    </row>
    <row r="50" spans="7:10" ht="13" thickBot="1" x14ac:dyDescent="0.3">
      <c r="G50" s="152"/>
      <c r="H50" s="152"/>
      <c r="I50" s="152"/>
    </row>
    <row r="51" spans="7:10" ht="13.5" thickBot="1" x14ac:dyDescent="0.35">
      <c r="G51" s="152" t="s">
        <v>871</v>
      </c>
      <c r="H51" s="230"/>
      <c r="I51" s="417">
        <f>I49/H41</f>
        <v>5.1138824449450464</v>
      </c>
    </row>
    <row r="52" spans="7:10" ht="13" x14ac:dyDescent="0.3">
      <c r="H52" s="416"/>
      <c r="I52" s="415"/>
    </row>
    <row r="53" spans="7:10" ht="13" thickBot="1" x14ac:dyDescent="0.3">
      <c r="G53" s="151" t="s">
        <v>872</v>
      </c>
      <c r="H53" s="151"/>
      <c r="I53" s="427">
        <f>I51+H43</f>
        <v>38.863882444945048</v>
      </c>
      <c r="J53" s="151"/>
    </row>
    <row r="54" spans="7:10" ht="13.5" thickBot="1" x14ac:dyDescent="0.35">
      <c r="G54" s="151"/>
      <c r="H54" s="151" t="s">
        <v>873</v>
      </c>
      <c r="I54" s="414">
        <v>38.86</v>
      </c>
      <c r="J54" s="151"/>
    </row>
    <row r="55" spans="7:10" x14ac:dyDescent="0.25">
      <c r="G55" s="151"/>
      <c r="H55" s="151"/>
      <c r="I55" s="151"/>
      <c r="J55" s="151"/>
    </row>
    <row r="56" spans="7:10" x14ac:dyDescent="0.25">
      <c r="G56" s="151"/>
      <c r="H56" s="151"/>
      <c r="I56" s="151"/>
      <c r="J56" s="151"/>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0000"/>
    <pageSetUpPr fitToPage="1"/>
  </sheetPr>
  <dimension ref="A1:N291"/>
  <sheetViews>
    <sheetView topLeftCell="A52" zoomScale="85" zoomScaleNormal="85" workbookViewId="0">
      <selection activeCell="A78" sqref="A78:E107"/>
    </sheetView>
  </sheetViews>
  <sheetFormatPr defaultColWidth="9.1796875" defaultRowHeight="12.5" x14ac:dyDescent="0.25"/>
  <cols>
    <col min="1" max="1" width="47.453125" bestFit="1" customWidth="1"/>
    <col min="2" max="2" width="30.7265625" customWidth="1"/>
    <col min="3" max="3" width="2.1796875" bestFit="1" customWidth="1"/>
    <col min="4" max="4" width="30.7265625" style="2" customWidth="1"/>
    <col min="5" max="5" width="8" style="2" customWidth="1"/>
    <col min="6" max="6" width="1.453125" style="2" customWidth="1"/>
    <col min="7" max="7" width="47.26953125" style="2" customWidth="1"/>
    <col min="8" max="8" width="30.81640625" style="2" customWidth="1"/>
    <col min="9" max="9" width="30.7265625" style="2" customWidth="1"/>
    <col min="10" max="10" width="3" style="2" customWidth="1"/>
  </cols>
  <sheetData>
    <row r="1" spans="1:14" ht="18" x14ac:dyDescent="0.4">
      <c r="A1" s="112" t="s">
        <v>93</v>
      </c>
      <c r="B1" s="113"/>
      <c r="C1" s="113"/>
      <c r="D1" s="1134"/>
      <c r="E1" s="114"/>
      <c r="F1" s="114"/>
      <c r="G1" s="1134"/>
      <c r="H1" s="1134"/>
      <c r="I1" s="1134"/>
      <c r="J1" s="1134"/>
      <c r="K1" s="1135"/>
      <c r="L1" s="1135"/>
      <c r="M1" s="1135"/>
      <c r="N1" s="1134"/>
    </row>
    <row r="2" spans="1:14" ht="15" customHeight="1" x14ac:dyDescent="0.4">
      <c r="A2" s="112"/>
      <c r="B2" s="113"/>
      <c r="C2" s="113"/>
      <c r="D2" s="1134"/>
      <c r="E2" s="114"/>
      <c r="F2" s="114"/>
      <c r="G2" s="1134"/>
      <c r="H2" s="1134"/>
      <c r="I2" s="1134"/>
      <c r="J2" s="1134"/>
      <c r="K2" s="1135"/>
      <c r="L2" s="1135"/>
      <c r="M2" s="1135"/>
      <c r="N2" s="1134"/>
    </row>
    <row r="3" spans="1:14" ht="14" x14ac:dyDescent="0.3">
      <c r="A3" s="115" t="s">
        <v>94</v>
      </c>
      <c r="D3" s="1134"/>
      <c r="E3" s="1134"/>
      <c r="F3" s="1134"/>
      <c r="G3" s="1134"/>
      <c r="H3" s="116"/>
      <c r="I3" s="1134"/>
      <c r="J3" s="1134"/>
      <c r="K3" s="1135"/>
      <c r="L3" s="115"/>
      <c r="M3" s="1135"/>
      <c r="N3" s="568"/>
    </row>
    <row r="4" spans="1:14" ht="13" x14ac:dyDescent="0.3">
      <c r="A4" s="113"/>
      <c r="H4" s="117"/>
      <c r="I4" s="1134"/>
      <c r="J4" s="1134"/>
      <c r="K4" s="1135"/>
      <c r="L4" s="113"/>
      <c r="M4" s="1135"/>
      <c r="N4" s="1134"/>
    </row>
    <row r="5" spans="1:14" ht="13" x14ac:dyDescent="0.3">
      <c r="A5" s="118" t="s">
        <v>95</v>
      </c>
      <c r="B5" s="1136">
        <v>9257010</v>
      </c>
      <c r="C5" s="1134"/>
      <c r="D5" s="123" t="str">
        <f>VLOOKUP(B5,'2014-15 Funding Detail'!A3:AH23,2,FALSE)</f>
        <v>Boston John Fielding</v>
      </c>
      <c r="E5" s="119"/>
      <c r="F5" s="119"/>
      <c r="G5" s="114"/>
      <c r="H5" s="117"/>
      <c r="I5" s="1134"/>
      <c r="J5" s="1134"/>
      <c r="K5" s="1135"/>
      <c r="L5" s="113"/>
      <c r="M5" s="1135"/>
      <c r="N5" s="1134"/>
    </row>
    <row r="6" spans="1:14" ht="13" x14ac:dyDescent="0.3">
      <c r="A6" s="118"/>
      <c r="B6" s="1134"/>
      <c r="C6" s="1134"/>
      <c r="D6" s="114"/>
      <c r="E6" s="119"/>
      <c r="F6" s="119"/>
      <c r="G6" s="114"/>
      <c r="H6" s="117"/>
      <c r="I6" s="1134"/>
      <c r="J6" s="1134"/>
      <c r="K6" s="1135"/>
      <c r="L6" s="113"/>
      <c r="M6" s="1135"/>
      <c r="N6" s="1134"/>
    </row>
    <row r="7" spans="1:14" s="124" customFormat="1" ht="13" x14ac:dyDescent="0.3">
      <c r="A7" s="254"/>
      <c r="B7" s="1415" t="s">
        <v>96</v>
      </c>
      <c r="C7" s="1415"/>
      <c r="D7" s="1415"/>
      <c r="E7" s="1137"/>
      <c r="F7" s="1137"/>
      <c r="G7" s="1415" t="s">
        <v>97</v>
      </c>
      <c r="H7" s="1415"/>
      <c r="I7" s="1137"/>
      <c r="J7" s="1137"/>
      <c r="K7" s="1138"/>
      <c r="L7" s="254"/>
      <c r="M7" s="254"/>
      <c r="N7" s="1137"/>
    </row>
    <row r="8" spans="1:14" s="124" customFormat="1" ht="13" x14ac:dyDescent="0.3">
      <c r="A8" s="254"/>
      <c r="B8" s="123"/>
      <c r="C8" s="123"/>
      <c r="D8" s="123"/>
      <c r="E8" s="1137"/>
      <c r="F8" s="1137"/>
      <c r="G8" s="1137"/>
      <c r="H8" s="1137"/>
      <c r="I8" s="1137"/>
      <c r="J8" s="1137"/>
      <c r="K8" s="1138"/>
      <c r="L8" s="254"/>
      <c r="M8" s="254"/>
      <c r="N8" s="1137"/>
    </row>
    <row r="9" spans="1:14" s="124" customFormat="1" ht="13" x14ac:dyDescent="0.3">
      <c r="A9" s="125" t="s">
        <v>98</v>
      </c>
      <c r="B9" s="123" t="s">
        <v>99</v>
      </c>
      <c r="C9" s="1137"/>
      <c r="D9" s="123" t="s">
        <v>100</v>
      </c>
      <c r="E9" s="1137"/>
      <c r="F9" s="1137"/>
      <c r="G9" s="125" t="s">
        <v>98</v>
      </c>
      <c r="H9" s="123" t="s">
        <v>101</v>
      </c>
      <c r="I9" s="1137"/>
      <c r="J9" s="1137"/>
      <c r="K9" s="1138"/>
      <c r="L9" s="254"/>
      <c r="M9" s="254"/>
      <c r="N9" s="1137"/>
    </row>
    <row r="10" spans="1:14" s="124" customFormat="1" x14ac:dyDescent="0.25">
      <c r="A10" s="254" t="s">
        <v>58</v>
      </c>
      <c r="B10" s="1139">
        <f>VLOOKUP(B5,'2015-16 Funding Detail'!$A$4:$X$23,4,FALSE)</f>
        <v>314686.51772419503</v>
      </c>
      <c r="C10" s="1139"/>
      <c r="D10" s="1139">
        <f>VLOOKUP(B5,'2016-17 Funding Detail'!$A$4:$X$24,4,FALSE)</f>
        <v>314686.51772419503</v>
      </c>
      <c r="E10" s="126"/>
      <c r="F10" s="126"/>
      <c r="G10" s="254" t="s">
        <v>58</v>
      </c>
      <c r="H10" s="138">
        <f>VLOOKUP(B5,'2016-17 Funding Detail'!$A$4:$X$24,4,FALSE)</f>
        <v>314686.51772419503</v>
      </c>
      <c r="I10" s="1140"/>
      <c r="J10" s="1137"/>
      <c r="K10" s="1138"/>
      <c r="L10" s="254"/>
      <c r="M10" s="254"/>
      <c r="N10" s="1137"/>
    </row>
    <row r="11" spans="1:14" s="124" customFormat="1" x14ac:dyDescent="0.25">
      <c r="A11" s="254" t="s">
        <v>59</v>
      </c>
      <c r="B11" s="1139">
        <f>VLOOKUP(B5,'2015-16 Funding Detail'!$A$4:$X$23,5,FALSE)</f>
        <v>69201.680689977453</v>
      </c>
      <c r="C11" s="1139"/>
      <c r="D11" s="1139">
        <f>VLOOKUP(B5,'2016-17 Funding Detail'!$A$4:$X$24,5,FALSE)</f>
        <v>69201.680689977453</v>
      </c>
      <c r="E11" s="126"/>
      <c r="F11" s="126"/>
      <c r="G11" s="254" t="s">
        <v>59</v>
      </c>
      <c r="H11" s="138">
        <f>VLOOKUP(B5,'2016-17 Funding Detail'!$A$4:$X$24,5,FALSE)</f>
        <v>69201.680689977453</v>
      </c>
      <c r="I11" s="1140"/>
      <c r="J11" s="1137"/>
      <c r="K11" s="1138"/>
      <c r="L11" s="254"/>
      <c r="M11" s="254"/>
      <c r="N11" s="1137"/>
    </row>
    <row r="12" spans="1:14" s="124" customFormat="1" x14ac:dyDescent="0.25">
      <c r="A12" s="254" t="s">
        <v>102</v>
      </c>
      <c r="B12" s="1139">
        <f>VLOOKUP(B5,'2015-16 Funding Detail'!$A$4:$X$23,8,FALSE)</f>
        <v>0</v>
      </c>
      <c r="C12" s="1139"/>
      <c r="D12" s="1139">
        <f>VLOOKUP(B5,'2016-17 Funding Detail'!$A$4:$X$24,8,FALSE)</f>
        <v>0</v>
      </c>
      <c r="E12" s="1141">
        <v>2</v>
      </c>
      <c r="F12" s="1137"/>
      <c r="G12" s="254" t="s">
        <v>102</v>
      </c>
      <c r="H12" s="138">
        <f>VLOOKUP(B5,'2016-17 Funding Detail'!$A$4:$X$24,8,FALSE)</f>
        <v>0</v>
      </c>
      <c r="I12" s="1140"/>
      <c r="J12" s="1137"/>
      <c r="K12" s="1138"/>
      <c r="L12" s="254"/>
      <c r="M12" s="254"/>
      <c r="N12" s="1137"/>
    </row>
    <row r="13" spans="1:14" s="124" customFormat="1" x14ac:dyDescent="0.25">
      <c r="A13" s="254" t="s">
        <v>103</v>
      </c>
      <c r="B13" s="1139">
        <f>VLOOKUP(B5,'2015-16 Funding Detail'!$A$4:$X$23,9,FALSE)</f>
        <v>431326.5961502117</v>
      </c>
      <c r="C13" s="1139"/>
      <c r="D13" s="1139">
        <f>VLOOKUP(B5,'2016-17 Funding Detail'!$A$4:$X$24,9,FALSE)</f>
        <v>459918.32127380528</v>
      </c>
      <c r="E13" s="1137"/>
      <c r="F13" s="1137"/>
      <c r="G13" s="254" t="s">
        <v>103</v>
      </c>
      <c r="H13" s="138">
        <f>VLOOKUP(B5,'2016-17 Funding Detail'!$A$4:$X$24,9,FALSE)</f>
        <v>459918.32127380528</v>
      </c>
      <c r="I13" s="1140"/>
      <c r="J13" s="1137"/>
      <c r="K13" s="1138"/>
      <c r="L13" s="254"/>
      <c r="M13" s="254"/>
      <c r="N13" s="1137"/>
    </row>
    <row r="14" spans="1:14" s="124" customFormat="1" x14ac:dyDescent="0.25">
      <c r="A14" s="254" t="s">
        <v>104</v>
      </c>
      <c r="B14" s="1139">
        <f>VLOOKUP(B5,'2015-16 Funding Detail'!$A$4:$X$23,10,FALSE)</f>
        <v>8281.5790802392894</v>
      </c>
      <c r="C14" s="1139"/>
      <c r="D14" s="1139">
        <f>VLOOKUP(B5,'2016-17 Funding Detail'!$A$4:$X$24,10,FALSE)</f>
        <v>8830.547390482423</v>
      </c>
      <c r="E14" s="1137"/>
      <c r="F14" s="1137"/>
      <c r="G14" s="254" t="s">
        <v>104</v>
      </c>
      <c r="H14" s="138">
        <f>VLOOKUP(B5,'2016-17 Funding Detail'!$A$4:$X$24,10,FALSE)</f>
        <v>8830.547390482423</v>
      </c>
      <c r="I14" s="1140"/>
      <c r="J14" s="1137"/>
      <c r="K14" s="1138"/>
      <c r="L14" s="254"/>
      <c r="M14" s="254"/>
      <c r="N14" s="1137"/>
    </row>
    <row r="15" spans="1:14" s="124" customFormat="1" x14ac:dyDescent="0.25">
      <c r="A15" s="254" t="s">
        <v>105</v>
      </c>
      <c r="B15" s="1139">
        <f>VLOOKUP(B5,'2015-16 Funding Detail'!$A$4:$X$23,11,FALSE)</f>
        <v>3572</v>
      </c>
      <c r="C15" s="1139"/>
      <c r="D15" s="1139">
        <f>VLOOKUP(B5,'2016-17 Funding Detail'!$A$4:$X$24,11,FALSE)</f>
        <v>3572</v>
      </c>
      <c r="E15" s="1137"/>
      <c r="F15" s="1137"/>
      <c r="G15" s="254" t="s">
        <v>105</v>
      </c>
      <c r="H15" s="138">
        <f>VLOOKUP(B5,'2016-17 Funding Detail'!$A$4:$X$24,11,FALSE)</f>
        <v>3572</v>
      </c>
      <c r="I15" s="1140"/>
      <c r="J15" s="1137"/>
      <c r="K15" s="1138"/>
      <c r="L15" s="254"/>
      <c r="M15" s="254"/>
      <c r="N15" s="1137"/>
    </row>
    <row r="16" spans="1:14" s="124" customFormat="1" x14ac:dyDescent="0.25">
      <c r="A16" s="254" t="s">
        <v>106</v>
      </c>
      <c r="B16" s="1139">
        <f>VLOOKUP(B5,'2015-16 Funding Detail'!$A$4:$X$23,12,FALSE)</f>
        <v>616.77824313180849</v>
      </c>
      <c r="C16" s="1139"/>
      <c r="D16" s="1139">
        <f>VLOOKUP(B5,'2016-17 Funding Detail'!$A$4:$X$24,12,FALSE)</f>
        <v>616.77824313180849</v>
      </c>
      <c r="E16" s="1137"/>
      <c r="F16" s="1137"/>
      <c r="G16" s="254" t="s">
        <v>106</v>
      </c>
      <c r="H16" s="138">
        <f>VLOOKUP(B5,'2016-17 Funding Detail'!$A$4:$X$24,12,FALSE)</f>
        <v>616.77824313180849</v>
      </c>
      <c r="I16" s="1140"/>
      <c r="J16" s="1137"/>
      <c r="K16" s="1138"/>
      <c r="L16" s="254"/>
      <c r="M16" s="254"/>
      <c r="N16" s="1137"/>
    </row>
    <row r="17" spans="1:14" s="124" customFormat="1" x14ac:dyDescent="0.25">
      <c r="A17" s="254" t="s">
        <v>107</v>
      </c>
      <c r="B17" s="1139">
        <f>VLOOKUP(B5,'2015-16 Funding Detail'!$A$4:$X$23,23,FALSE)</f>
        <v>0</v>
      </c>
      <c r="C17" s="1139"/>
      <c r="D17" s="1142"/>
      <c r="E17" s="1137"/>
      <c r="F17" s="1137"/>
      <c r="G17" s="254" t="s">
        <v>107</v>
      </c>
      <c r="H17" s="138">
        <f>VLOOKUP(B5,'2016-17 Funding Detail'!$A$4:$X$24,23,FALSE)</f>
        <v>12486.539915366648</v>
      </c>
      <c r="I17" s="1140"/>
      <c r="J17" s="1137"/>
      <c r="K17" s="1138"/>
      <c r="L17" s="254"/>
      <c r="M17" s="254"/>
      <c r="N17" s="1137"/>
    </row>
    <row r="18" spans="1:14" s="124" customFormat="1" x14ac:dyDescent="0.25">
      <c r="A18" s="254" t="s">
        <v>108</v>
      </c>
      <c r="B18" s="187">
        <f>VLOOKUP(B5,'2015-16 Funding Detail'!A4:AK23,24,FALSE)</f>
        <v>827685.15188775538</v>
      </c>
      <c r="C18" s="1143">
        <v>1</v>
      </c>
      <c r="D18" s="1144">
        <f>VLOOKUP(B5,'2016-17 Funding Detail'!A4:X24,14,FALSE)</f>
        <v>856825.84532159206</v>
      </c>
      <c r="E18" s="1141">
        <v>3</v>
      </c>
      <c r="F18" s="1137"/>
      <c r="G18" s="254" t="s">
        <v>109</v>
      </c>
      <c r="H18" s="1144">
        <f>VLOOKUP(B5,'2016-17 Funding Detail'!A4:X23,24,FALSE)</f>
        <v>869312.38523695874</v>
      </c>
      <c r="I18" s="1141">
        <v>11</v>
      </c>
      <c r="J18" s="1137"/>
      <c r="K18" s="1138"/>
      <c r="L18" s="254"/>
      <c r="M18" s="254"/>
      <c r="N18" s="1137"/>
    </row>
    <row r="19" spans="1:14" s="124" customFormat="1" x14ac:dyDescent="0.25">
      <c r="A19" s="254"/>
      <c r="B19" s="1139"/>
      <c r="C19" s="1139"/>
      <c r="D19" s="1139"/>
      <c r="E19" s="1141"/>
      <c r="F19" s="1137"/>
      <c r="G19" s="138"/>
      <c r="H19" s="1139"/>
      <c r="I19" s="1139"/>
      <c r="J19" s="1137"/>
      <c r="K19" s="1138"/>
      <c r="L19" s="254"/>
      <c r="M19" s="254"/>
      <c r="N19" s="1137"/>
    </row>
    <row r="20" spans="1:14" s="124" customFormat="1" x14ac:dyDescent="0.25">
      <c r="A20" s="254" t="s">
        <v>110</v>
      </c>
      <c r="B20" s="1139">
        <f>VLOOKUP(B5,'2015-16 Funding Detail'!A4:AK23,25,FALSE)</f>
        <v>815269.87460943905</v>
      </c>
      <c r="C20" s="1139"/>
      <c r="D20" s="1139"/>
      <c r="E20" s="1141">
        <v>4</v>
      </c>
      <c r="F20" s="1137"/>
      <c r="G20" s="189" t="s">
        <v>111</v>
      </c>
      <c r="H20" s="1139"/>
      <c r="I20" s="1137"/>
      <c r="J20" s="1137"/>
      <c r="K20" s="1138"/>
      <c r="L20" s="254"/>
      <c r="M20" s="254"/>
      <c r="N20" s="1137"/>
    </row>
    <row r="21" spans="1:14" s="124" customFormat="1" ht="13" x14ac:dyDescent="0.3">
      <c r="A21" s="254"/>
      <c r="B21" s="1139"/>
      <c r="C21" s="1139"/>
      <c r="D21" s="1139"/>
      <c r="E21" s="1141"/>
      <c r="F21" s="1137"/>
      <c r="G21" s="190" t="s">
        <v>112</v>
      </c>
      <c r="H21" s="1139"/>
      <c r="I21" s="1145"/>
      <c r="J21" s="1137"/>
      <c r="K21" s="1138"/>
      <c r="L21" s="254"/>
      <c r="M21" s="254"/>
      <c r="N21" s="1137"/>
    </row>
    <row r="22" spans="1:14" s="124" customFormat="1" ht="13" x14ac:dyDescent="0.3">
      <c r="A22" s="254"/>
      <c r="B22" s="188" t="s">
        <v>113</v>
      </c>
      <c r="C22" s="1139"/>
      <c r="D22" s="127" t="s">
        <v>28</v>
      </c>
      <c r="E22" s="1141"/>
      <c r="F22" s="1137"/>
      <c r="G22" s="259" t="s">
        <v>114</v>
      </c>
      <c r="H22" s="1139">
        <f>VLOOKUP(B5,'2016-17 Funding Detail'!A4:X23,6,FALSE)</f>
        <v>0</v>
      </c>
      <c r="I22" s="1146">
        <v>12</v>
      </c>
      <c r="J22" s="1137"/>
      <c r="K22" s="1138"/>
      <c r="L22" s="254"/>
      <c r="M22" s="254"/>
      <c r="N22" s="1137"/>
    </row>
    <row r="23" spans="1:14" s="124" customFormat="1" x14ac:dyDescent="0.25">
      <c r="A23" s="254" t="s">
        <v>115</v>
      </c>
      <c r="B23" s="1147">
        <f>VLOOKUP(B5,'2015-16 Funding Detail'!A4:AK23,15,FALSE)</f>
        <v>44</v>
      </c>
      <c r="C23" s="1148"/>
      <c r="D23" s="1147">
        <f>VLOOKUP(B5,'2016-17 Funding Detail'!A4:X23,15,FALSE)</f>
        <v>46.916666666666671</v>
      </c>
      <c r="E23" s="1141">
        <v>5</v>
      </c>
      <c r="F23" s="1137"/>
      <c r="G23" s="259" t="s">
        <v>116</v>
      </c>
      <c r="H23" s="1139">
        <f>VLOOKUP(B5,'2016-17 Funding Detail'!A4:X23,7,FALSE)</f>
        <v>0</v>
      </c>
      <c r="I23" s="1146">
        <v>13</v>
      </c>
      <c r="J23" s="1137"/>
      <c r="K23" s="1138"/>
      <c r="L23" s="254"/>
      <c r="M23" s="254"/>
      <c r="N23" s="1137"/>
    </row>
    <row r="24" spans="1:14" s="124" customFormat="1" x14ac:dyDescent="0.25">
      <c r="A24" s="254"/>
      <c r="B24" s="1145"/>
      <c r="C24" s="1139"/>
      <c r="D24" s="1139"/>
      <c r="E24" s="1141"/>
      <c r="F24" s="1137"/>
      <c r="J24" s="1137"/>
      <c r="K24" s="1138"/>
      <c r="L24" s="254"/>
      <c r="M24" s="254"/>
      <c r="N24" s="1137"/>
    </row>
    <row r="25" spans="1:14" s="124" customFormat="1" ht="13" x14ac:dyDescent="0.3">
      <c r="A25" s="254" t="s">
        <v>117</v>
      </c>
      <c r="B25" s="128">
        <f>VLOOKUP(B5,'2015-16 Funding Detail'!A4:AK23,26,FALSE)</f>
        <v>18528.86078657816</v>
      </c>
      <c r="C25" s="1139"/>
      <c r="D25" s="1139">
        <f>VLOOKUP(B5,'2016-17 Funding Detail'!A3:X23,17,FALSE)</f>
        <v>18262.717839891837</v>
      </c>
      <c r="E25" s="1141">
        <v>6</v>
      </c>
      <c r="F25" s="1137"/>
      <c r="G25" s="190" t="s">
        <v>118</v>
      </c>
      <c r="H25" s="1139"/>
      <c r="I25" s="1149"/>
      <c r="J25" s="1137"/>
      <c r="K25" s="1138"/>
      <c r="L25" s="254"/>
      <c r="M25" s="254"/>
      <c r="N25" s="1137"/>
    </row>
    <row r="26" spans="1:14" s="124" customFormat="1" ht="13" x14ac:dyDescent="0.3">
      <c r="A26" s="254"/>
      <c r="B26" s="128"/>
      <c r="C26" s="1139"/>
      <c r="D26" s="1139"/>
      <c r="E26" s="1141"/>
      <c r="F26" s="1137"/>
      <c r="G26" s="259" t="s">
        <v>10</v>
      </c>
      <c r="H26" s="1139">
        <f>VLOOKUP(B5,'2016-17 Other Funding'!A7:AL25,33,FALSE)</f>
        <v>35258</v>
      </c>
      <c r="I26" s="1146">
        <v>14</v>
      </c>
      <c r="J26" s="1137"/>
      <c r="K26" s="1138"/>
      <c r="L26" s="254"/>
      <c r="M26" s="254"/>
      <c r="N26" s="1137"/>
    </row>
    <row r="27" spans="1:14" s="124" customFormat="1" ht="13" x14ac:dyDescent="0.3">
      <c r="A27" s="254" t="s">
        <v>119</v>
      </c>
      <c r="B27" s="128">
        <f>10000</f>
        <v>10000</v>
      </c>
      <c r="C27" s="1139"/>
      <c r="D27" s="1139">
        <v>10000</v>
      </c>
      <c r="E27" s="1141">
        <v>7</v>
      </c>
      <c r="F27" s="1137"/>
      <c r="G27" s="259" t="s">
        <v>8</v>
      </c>
      <c r="H27" s="1139">
        <f>VLOOKUP(B5,'2016-17 Other Funding'!A7:AL25,35,FALSE)</f>
        <v>0</v>
      </c>
      <c r="I27" s="1146">
        <v>15</v>
      </c>
      <c r="J27" s="1137"/>
      <c r="K27" s="1138"/>
      <c r="L27" s="254"/>
      <c r="M27" s="254"/>
      <c r="N27" s="1137"/>
    </row>
    <row r="28" spans="1:14" s="124" customFormat="1" ht="13" x14ac:dyDescent="0.3">
      <c r="A28" s="254"/>
      <c r="B28" s="128"/>
      <c r="C28" s="1139"/>
      <c r="D28" s="1139"/>
      <c r="E28" s="1141"/>
      <c r="F28" s="1137"/>
      <c r="G28" s="1150" t="s">
        <v>11</v>
      </c>
      <c r="H28" s="1139">
        <f>VLOOKUP(B5,'2016-17 Other Funding'!A7:AL25,37,FALSE)</f>
        <v>0</v>
      </c>
      <c r="I28" s="1146">
        <v>16</v>
      </c>
      <c r="J28" s="1137"/>
      <c r="K28" s="1138"/>
      <c r="L28" s="254"/>
      <c r="M28" s="254"/>
      <c r="N28" s="1137"/>
    </row>
    <row r="29" spans="1:14" s="124" customFormat="1" ht="13" x14ac:dyDescent="0.3">
      <c r="A29" s="254" t="s">
        <v>120</v>
      </c>
      <c r="B29" s="128">
        <f>VLOOKUP(B5,'2015-16 Funding Detail'!A4:AK23,27,FALSE)</f>
        <v>8528.8607865781596</v>
      </c>
      <c r="C29" s="1139"/>
      <c r="D29" s="1139">
        <f>VLOOKUP(B5,'2016-17 Funding Detail'!A4:AH23,19,FALSE)</f>
        <v>8262.7178398918368</v>
      </c>
      <c r="E29" s="1141">
        <v>8</v>
      </c>
      <c r="F29" s="1137"/>
      <c r="G29" s="1151"/>
      <c r="H29" s="138"/>
      <c r="I29" s="1141"/>
      <c r="J29" s="1137"/>
      <c r="K29" s="1138"/>
      <c r="L29" s="254"/>
      <c r="M29" s="254"/>
      <c r="N29" s="1137"/>
    </row>
    <row r="30" spans="1:14" s="124" customFormat="1" ht="13" x14ac:dyDescent="0.3">
      <c r="A30" s="254"/>
      <c r="B30" s="128"/>
      <c r="C30" s="1139"/>
      <c r="D30" s="1139"/>
      <c r="E30" s="1141"/>
      <c r="F30" s="1137"/>
      <c r="G30" s="259" t="s">
        <v>121</v>
      </c>
      <c r="H30" s="1144">
        <f>SUM(H22:H29)</f>
        <v>35258</v>
      </c>
      <c r="I30" s="1141">
        <v>17</v>
      </c>
      <c r="J30" s="1137"/>
      <c r="K30" s="1138"/>
      <c r="L30" s="254"/>
      <c r="M30" s="254"/>
      <c r="N30" s="1137"/>
    </row>
    <row r="31" spans="1:14" s="124" customFormat="1" ht="13" x14ac:dyDescent="0.3">
      <c r="A31" s="254" t="s">
        <v>122</v>
      </c>
      <c r="B31" s="128"/>
      <c r="C31" s="1139"/>
      <c r="D31" s="1139">
        <f>VLOOKUP(B5,'2016-17 Funding Detail'!A3:X23,21,FALSE)</f>
        <v>8528.8607865781596</v>
      </c>
      <c r="E31" s="1141">
        <v>9</v>
      </c>
      <c r="F31" s="1137"/>
      <c r="G31" s="138"/>
      <c r="H31" s="1139"/>
      <c r="I31" s="1141"/>
      <c r="J31" s="1137"/>
      <c r="K31" s="1138"/>
      <c r="L31" s="254"/>
      <c r="M31" s="254"/>
      <c r="N31" s="1137"/>
    </row>
    <row r="32" spans="1:14" s="124" customFormat="1" ht="13" x14ac:dyDescent="0.3">
      <c r="A32" s="254"/>
      <c r="B32" s="128"/>
      <c r="C32" s="1139"/>
      <c r="D32" s="1139"/>
      <c r="E32" s="1141"/>
      <c r="F32" s="1137"/>
      <c r="G32" s="191" t="s">
        <v>123</v>
      </c>
      <c r="H32" s="188">
        <f>H18+H30</f>
        <v>904570.38523695874</v>
      </c>
      <c r="I32" s="1141">
        <v>18</v>
      </c>
      <c r="J32" s="1137"/>
      <c r="K32" s="1138"/>
      <c r="L32" s="254"/>
      <c r="M32" s="254"/>
      <c r="N32" s="1137"/>
    </row>
    <row r="33" spans="1:14" s="124" customFormat="1" x14ac:dyDescent="0.25">
      <c r="A33" s="254" t="s">
        <v>124</v>
      </c>
      <c r="B33" s="1139"/>
      <c r="C33" s="1139"/>
      <c r="D33" s="1139">
        <f>VLOOKUP(B5,'2016-17 Funding Detail'!A4:X23,23,FALSE)</f>
        <v>12486.539915366648</v>
      </c>
      <c r="E33" s="1141">
        <v>10</v>
      </c>
      <c r="F33" s="1137"/>
      <c r="J33" s="1137"/>
      <c r="K33" s="1138"/>
      <c r="L33" s="254"/>
      <c r="M33" s="254"/>
      <c r="N33" s="1137"/>
    </row>
    <row r="34" spans="1:14" s="124" customFormat="1" x14ac:dyDescent="0.25">
      <c r="A34" s="254"/>
      <c r="B34" s="1139"/>
      <c r="C34" s="1139"/>
      <c r="D34" s="1139"/>
      <c r="E34" s="1141"/>
      <c r="F34" s="1137"/>
      <c r="J34" s="1137"/>
      <c r="K34" s="1138"/>
      <c r="L34" s="254"/>
      <c r="M34" s="254"/>
      <c r="N34" s="1137"/>
    </row>
    <row r="35" spans="1:14" s="124" customFormat="1" ht="13.5" thickBot="1" x14ac:dyDescent="0.35">
      <c r="A35" s="254"/>
      <c r="B35" s="1139"/>
      <c r="C35" s="1139"/>
      <c r="D35" s="1139"/>
      <c r="E35" s="1141"/>
      <c r="F35" s="1137"/>
      <c r="G35" s="191"/>
      <c r="H35" s="188"/>
      <c r="I35" s="1141"/>
      <c r="J35" s="1137"/>
      <c r="K35" s="1138"/>
      <c r="L35" s="254"/>
      <c r="M35" s="254"/>
      <c r="N35" s="1137"/>
    </row>
    <row r="36" spans="1:14" s="124" customFormat="1" ht="13" x14ac:dyDescent="0.3">
      <c r="B36" s="204" t="s">
        <v>125</v>
      </c>
      <c r="C36" s="1152"/>
      <c r="D36" s="205" t="s">
        <v>126</v>
      </c>
      <c r="E36" s="1141">
        <v>19</v>
      </c>
      <c r="F36" s="1137"/>
      <c r="G36" s="129" t="s">
        <v>127</v>
      </c>
      <c r="H36" s="192" t="s">
        <v>128</v>
      </c>
      <c r="I36" s="193"/>
      <c r="J36" s="1137"/>
      <c r="K36" s="1138"/>
      <c r="L36" s="254"/>
      <c r="M36" s="254"/>
      <c r="N36" s="1137"/>
    </row>
    <row r="37" spans="1:14" s="124" customFormat="1" ht="13" x14ac:dyDescent="0.3">
      <c r="A37" s="254"/>
      <c r="B37" s="1153" t="s">
        <v>39</v>
      </c>
      <c r="C37" s="1154"/>
      <c r="D37" s="206">
        <f>VLOOKUP(B5,'Band Calculations 1617'!A6:H23,4,FALSE)</f>
        <v>0.40476190476190477</v>
      </c>
      <c r="E37" s="1141"/>
      <c r="F37" s="1137"/>
      <c r="G37" s="256" t="s">
        <v>129</v>
      </c>
      <c r="H37" s="194">
        <f>VLOOKUP(B5,'Band Calculations 1617'!A6:K23,9,FALSE)</f>
        <v>0</v>
      </c>
      <c r="I37" s="1141">
        <v>21</v>
      </c>
      <c r="J37" s="1137"/>
      <c r="K37" s="1138"/>
      <c r="L37" s="254"/>
      <c r="M37" s="254"/>
      <c r="N37" s="1137"/>
    </row>
    <row r="38" spans="1:14" s="124" customFormat="1" ht="13" x14ac:dyDescent="0.3">
      <c r="A38" s="254"/>
      <c r="B38" s="1153" t="s">
        <v>42</v>
      </c>
      <c r="C38" s="1154"/>
      <c r="D38" s="206">
        <f>VLOOKUP(B5,'Band Calculations 1617'!A6:H23,5,FALSE)</f>
        <v>0.2857142857142857</v>
      </c>
      <c r="E38" s="1141"/>
      <c r="F38" s="1137"/>
      <c r="G38" s="256" t="s">
        <v>130</v>
      </c>
      <c r="H38" s="194">
        <f>VLOOKUP(B5,'Band Calculations 1617'!A50:K67,9,FALSE)</f>
        <v>0</v>
      </c>
      <c r="I38" s="1141"/>
      <c r="J38" s="1137"/>
      <c r="K38" s="1138"/>
      <c r="L38" s="254"/>
      <c r="M38" s="254"/>
      <c r="N38" s="1137"/>
    </row>
    <row r="39" spans="1:14" s="124" customFormat="1" ht="13" x14ac:dyDescent="0.3">
      <c r="A39" s="254"/>
      <c r="B39" s="1153" t="s">
        <v>45</v>
      </c>
      <c r="C39" s="1154"/>
      <c r="D39" s="206">
        <f>VLOOKUP(B5,'Band Calculations 1617'!A6:H23,6,FALSE)</f>
        <v>0.11904761904761904</v>
      </c>
      <c r="E39" s="1141"/>
      <c r="F39" s="1137"/>
      <c r="G39" s="135"/>
      <c r="H39" s="195"/>
      <c r="I39" s="1141"/>
      <c r="J39" s="1137"/>
      <c r="K39" s="1138"/>
      <c r="L39" s="254"/>
      <c r="M39" s="254"/>
      <c r="N39" s="1137"/>
    </row>
    <row r="40" spans="1:14" s="124" customFormat="1" ht="13" x14ac:dyDescent="0.3">
      <c r="A40" s="254"/>
      <c r="B40" s="1153" t="s">
        <v>48</v>
      </c>
      <c r="C40" s="1154"/>
      <c r="D40" s="206">
        <f>VLOOKUP(B5,'Band Calculations 1617'!A6:H23,7,FALSE)</f>
        <v>0.11904761904761904</v>
      </c>
      <c r="E40" s="1141"/>
      <c r="F40" s="1137"/>
      <c r="G40" s="257" t="s">
        <v>131</v>
      </c>
      <c r="H40" s="1155">
        <f>VLOOKUP(B5,'Band Calculations 1617'!A6:K23,10,FALSE)</f>
        <v>34</v>
      </c>
      <c r="I40" s="1141">
        <v>22</v>
      </c>
      <c r="J40" s="1137"/>
      <c r="K40" s="1138"/>
      <c r="L40" s="254"/>
      <c r="M40" s="254"/>
      <c r="N40" s="1137"/>
    </row>
    <row r="41" spans="1:14" s="124" customFormat="1" ht="13.5" thickBot="1" x14ac:dyDescent="0.35">
      <c r="A41" s="254"/>
      <c r="B41" s="1156" t="s">
        <v>51</v>
      </c>
      <c r="C41" s="1157"/>
      <c r="D41" s="303">
        <f>VLOOKUP(B5,'Band Calculations 1617'!A6:H23,8,FALSE)</f>
        <v>7.1428571428571425E-2</v>
      </c>
      <c r="E41" s="1141"/>
      <c r="F41" s="1137"/>
      <c r="G41" s="257" t="s">
        <v>132</v>
      </c>
      <c r="H41" s="1155">
        <f>VLOOKUP(B5,'Band Calculations 1617'!A50:K67,10,FALSE)</f>
        <v>39</v>
      </c>
      <c r="I41" s="1141"/>
      <c r="J41" s="1137"/>
      <c r="K41" s="1138"/>
      <c r="L41" s="254"/>
      <c r="M41" s="254"/>
      <c r="N41" s="1137"/>
    </row>
    <row r="42" spans="1:14" s="124" customFormat="1" ht="13.5" thickBot="1" x14ac:dyDescent="0.35">
      <c r="A42" s="254"/>
      <c r="B42" s="1158"/>
      <c r="C42" s="1139"/>
      <c r="D42" s="207"/>
      <c r="E42" s="1141"/>
      <c r="F42" s="1137"/>
      <c r="G42" s="257"/>
      <c r="H42" s="1155"/>
      <c r="I42" s="1141"/>
      <c r="J42" s="1137"/>
      <c r="K42" s="1138"/>
      <c r="L42" s="254"/>
      <c r="M42" s="254"/>
      <c r="N42" s="1137"/>
    </row>
    <row r="43" spans="1:14" s="124" customFormat="1" ht="12.75" customHeight="1" x14ac:dyDescent="0.3">
      <c r="A43" s="254"/>
      <c r="B43" s="208" t="s">
        <v>133</v>
      </c>
      <c r="C43" s="1152"/>
      <c r="D43" s="209" t="s">
        <v>134</v>
      </c>
      <c r="E43" s="1141"/>
      <c r="F43" s="1137"/>
      <c r="G43" s="257" t="s">
        <v>135</v>
      </c>
      <c r="H43" s="1155">
        <f>VLOOKUP(B5,'Band Calculations 1617'!A28:I45,9,FALSE)</f>
        <v>10</v>
      </c>
      <c r="I43" s="1141">
        <v>23</v>
      </c>
      <c r="J43" s="1137"/>
      <c r="K43" s="1138"/>
      <c r="L43" s="254"/>
      <c r="M43" s="254"/>
      <c r="N43" s="1137"/>
    </row>
    <row r="44" spans="1:14" s="124" customFormat="1" ht="13.5" thickBot="1" x14ac:dyDescent="0.35">
      <c r="A44" s="254"/>
      <c r="B44" s="1156" t="s">
        <v>136</v>
      </c>
      <c r="C44" s="1157"/>
      <c r="D44" s="210">
        <f>VLOOKUP(B5,'Band Calculations 1617'!A108:W125,23,FALSE)</f>
        <v>9991.0948916011566</v>
      </c>
      <c r="E44" s="1141">
        <v>20</v>
      </c>
      <c r="F44" s="1137"/>
      <c r="G44" s="258" t="s">
        <v>137</v>
      </c>
      <c r="H44" s="1159">
        <f>VLOOKUP(B5,'Band Calculations 1617'!A72:I89,9,FALSE)</f>
        <v>10</v>
      </c>
      <c r="I44" s="1141"/>
      <c r="J44" s="1137"/>
      <c r="K44" s="1138"/>
      <c r="L44" s="254"/>
      <c r="M44" s="254"/>
      <c r="N44" s="1137"/>
    </row>
    <row r="45" spans="1:14" s="124" customFormat="1" ht="13" thickBot="1" x14ac:dyDescent="0.3">
      <c r="A45" s="1141"/>
      <c r="B45" s="1160"/>
      <c r="C45" s="1160"/>
      <c r="D45" s="1139"/>
      <c r="E45" s="1141"/>
      <c r="F45" s="1137"/>
      <c r="G45" s="1137"/>
      <c r="H45" s="1139"/>
      <c r="I45" s="1161"/>
      <c r="J45" s="1137"/>
      <c r="K45" s="1138"/>
      <c r="L45" s="254"/>
      <c r="M45" s="254"/>
      <c r="N45" s="1137"/>
    </row>
    <row r="46" spans="1:14" s="124" customFormat="1" ht="13" x14ac:dyDescent="0.3">
      <c r="A46" s="177" t="s">
        <v>138</v>
      </c>
      <c r="B46" s="211"/>
      <c r="C46" s="211"/>
      <c r="D46" s="212"/>
      <c r="E46" s="1425"/>
      <c r="F46" s="1426"/>
      <c r="G46" s="1426"/>
      <c r="H46" s="1427"/>
      <c r="I46" s="131">
        <v>24</v>
      </c>
    </row>
    <row r="47" spans="1:14" s="124" customFormat="1" ht="13" x14ac:dyDescent="0.3">
      <c r="A47" s="178" t="s">
        <v>139</v>
      </c>
      <c r="B47" s="213" t="s">
        <v>35</v>
      </c>
      <c r="C47" s="214"/>
      <c r="D47" s="213" t="s">
        <v>36</v>
      </c>
      <c r="E47" s="1419" t="s">
        <v>140</v>
      </c>
      <c r="F47" s="1420"/>
      <c r="G47" s="1420"/>
      <c r="H47" s="1421"/>
      <c r="I47" s="174"/>
      <c r="J47" s="126"/>
    </row>
    <row r="48" spans="1:14" s="124" customFormat="1" x14ac:dyDescent="0.25">
      <c r="A48" s="179"/>
      <c r="B48" s="215"/>
      <c r="C48" s="214"/>
      <c r="D48" s="216"/>
      <c r="E48" s="1422"/>
      <c r="F48" s="1423"/>
      <c r="G48" s="1423"/>
      <c r="H48" s="1424"/>
      <c r="I48" s="138"/>
      <c r="J48" s="126"/>
    </row>
    <row r="49" spans="1:10" s="124" customFormat="1" x14ac:dyDescent="0.25">
      <c r="A49" s="134" t="s">
        <v>39</v>
      </c>
      <c r="B49" s="217" t="s">
        <v>40</v>
      </c>
      <c r="C49" s="218"/>
      <c r="D49" s="219">
        <v>11692.020638096787</v>
      </c>
      <c r="E49" s="1416" t="s">
        <v>141</v>
      </c>
      <c r="F49" s="1417"/>
      <c r="G49" s="1417"/>
      <c r="H49" s="1418"/>
      <c r="I49" s="138"/>
      <c r="J49" s="126"/>
    </row>
    <row r="50" spans="1:10" s="124" customFormat="1" x14ac:dyDescent="0.25">
      <c r="A50" s="135"/>
      <c r="B50" s="220"/>
      <c r="C50" s="218"/>
      <c r="D50" s="219"/>
      <c r="E50" s="1412"/>
      <c r="F50" s="1413"/>
      <c r="G50" s="1413"/>
      <c r="H50" s="1414"/>
      <c r="I50" s="138"/>
      <c r="J50" s="126"/>
    </row>
    <row r="51" spans="1:10" s="124" customFormat="1" x14ac:dyDescent="0.25">
      <c r="A51" s="134" t="s">
        <v>42</v>
      </c>
      <c r="B51" s="220" t="s">
        <v>43</v>
      </c>
      <c r="C51" s="218"/>
      <c r="D51" s="219">
        <v>7350.1419469065795</v>
      </c>
      <c r="E51" s="1416" t="s">
        <v>142</v>
      </c>
      <c r="F51" s="1417"/>
      <c r="G51" s="1417"/>
      <c r="H51" s="1418"/>
      <c r="I51" s="138"/>
      <c r="J51" s="126"/>
    </row>
    <row r="52" spans="1:10" s="124" customFormat="1" x14ac:dyDescent="0.25">
      <c r="A52" s="135"/>
      <c r="B52" s="220"/>
      <c r="C52" s="218"/>
      <c r="D52" s="219"/>
      <c r="E52" s="1428"/>
      <c r="F52" s="1429"/>
      <c r="G52" s="1429"/>
      <c r="H52" s="1430"/>
      <c r="I52" s="175"/>
      <c r="J52" s="126"/>
    </row>
    <row r="53" spans="1:10" s="124" customFormat="1" x14ac:dyDescent="0.25">
      <c r="A53" s="134" t="s">
        <v>45</v>
      </c>
      <c r="B53" s="220" t="s">
        <v>46</v>
      </c>
      <c r="C53" s="218"/>
      <c r="D53" s="219">
        <v>6243.7244928897762</v>
      </c>
      <c r="E53" s="1416" t="s">
        <v>143</v>
      </c>
      <c r="F53" s="1417"/>
      <c r="G53" s="1417"/>
      <c r="H53" s="1418"/>
      <c r="I53" s="175"/>
      <c r="J53" s="126"/>
    </row>
    <row r="54" spans="1:10" s="124" customFormat="1" x14ac:dyDescent="0.25">
      <c r="A54" s="135"/>
      <c r="B54" s="220"/>
      <c r="C54" s="218"/>
      <c r="D54" s="219"/>
      <c r="E54" s="1412"/>
      <c r="F54" s="1413"/>
      <c r="G54" s="1413"/>
      <c r="H54" s="1414"/>
      <c r="I54" s="137"/>
      <c r="J54" s="126"/>
    </row>
    <row r="55" spans="1:10" s="124" customFormat="1" x14ac:dyDescent="0.25">
      <c r="A55" s="134" t="s">
        <v>48</v>
      </c>
      <c r="B55" s="220" t="s">
        <v>40</v>
      </c>
      <c r="C55" s="218"/>
      <c r="D55" s="219">
        <v>11692.020638096787</v>
      </c>
      <c r="E55" s="1416" t="s">
        <v>141</v>
      </c>
      <c r="F55" s="1417"/>
      <c r="G55" s="1417"/>
      <c r="H55" s="1418"/>
      <c r="I55" s="137"/>
      <c r="J55" s="126"/>
    </row>
    <row r="56" spans="1:10" s="124" customFormat="1" ht="12" customHeight="1" x14ac:dyDescent="0.25">
      <c r="A56" s="135"/>
      <c r="B56" s="220"/>
      <c r="C56" s="218"/>
      <c r="D56" s="219"/>
      <c r="E56" s="1412"/>
      <c r="F56" s="1413"/>
      <c r="G56" s="1413"/>
      <c r="H56" s="1414"/>
      <c r="I56" s="137"/>
      <c r="J56" s="126"/>
    </row>
    <row r="57" spans="1:10" s="124" customFormat="1" ht="12" customHeight="1" x14ac:dyDescent="0.25">
      <c r="A57" s="134" t="s">
        <v>51</v>
      </c>
      <c r="B57" s="221" t="s">
        <v>40</v>
      </c>
      <c r="C57" s="218"/>
      <c r="D57" s="219">
        <v>11692.020638096787</v>
      </c>
      <c r="E57" s="1416" t="s">
        <v>141</v>
      </c>
      <c r="F57" s="1417"/>
      <c r="G57" s="1417"/>
      <c r="H57" s="1418"/>
      <c r="I57" s="137"/>
      <c r="J57" s="126"/>
    </row>
    <row r="58" spans="1:10" s="124" customFormat="1" ht="12" customHeight="1" x14ac:dyDescent="0.25">
      <c r="A58" s="135"/>
      <c r="B58" s="221"/>
      <c r="C58" s="218"/>
      <c r="D58" s="219"/>
      <c r="E58" s="1412"/>
      <c r="F58" s="1413"/>
      <c r="G58" s="1413"/>
      <c r="H58" s="1414"/>
      <c r="I58" s="137"/>
      <c r="J58" s="126"/>
    </row>
    <row r="59" spans="1:10" s="124" customFormat="1" ht="12" customHeight="1" thickBot="1" x14ac:dyDescent="0.3">
      <c r="A59" s="176" t="s">
        <v>51</v>
      </c>
      <c r="B59" s="222" t="s">
        <v>144</v>
      </c>
      <c r="C59" s="223"/>
      <c r="D59" s="224">
        <v>2635.0478891670464</v>
      </c>
      <c r="E59" s="1434" t="s">
        <v>145</v>
      </c>
      <c r="F59" s="1435"/>
      <c r="G59" s="1435"/>
      <c r="H59" s="1436"/>
      <c r="I59" s="137"/>
      <c r="J59" s="126"/>
    </row>
    <row r="60" spans="1:10" s="124" customFormat="1" ht="12" customHeight="1" thickBot="1" x14ac:dyDescent="0.3">
      <c r="B60" s="126"/>
      <c r="D60" s="126"/>
      <c r="E60" s="131"/>
      <c r="F60" s="126"/>
      <c r="G60" s="126"/>
      <c r="H60" s="126"/>
      <c r="I60" s="126"/>
      <c r="J60" s="126"/>
    </row>
    <row r="61" spans="1:10" s="124" customFormat="1" ht="12" customHeight="1" x14ac:dyDescent="0.3">
      <c r="A61" s="130" t="s">
        <v>56</v>
      </c>
      <c r="B61" s="225"/>
      <c r="C61" s="225"/>
      <c r="D61" s="197"/>
      <c r="E61" s="196"/>
      <c r="F61" s="197"/>
      <c r="G61" s="197"/>
      <c r="H61" s="198"/>
      <c r="I61" s="126"/>
      <c r="J61" s="126"/>
    </row>
    <row r="62" spans="1:10" s="124" customFormat="1" ht="12" customHeight="1" x14ac:dyDescent="0.3">
      <c r="A62" s="132" t="s">
        <v>57</v>
      </c>
      <c r="B62" s="226" t="s">
        <v>58</v>
      </c>
      <c r="C62" s="218"/>
      <c r="D62" s="227" t="s">
        <v>59</v>
      </c>
      <c r="E62" s="131">
        <v>25</v>
      </c>
      <c r="F62" s="126"/>
      <c r="G62" s="199" t="s">
        <v>146</v>
      </c>
      <c r="H62" s="180" t="s">
        <v>147</v>
      </c>
      <c r="I62" s="131"/>
      <c r="J62" s="126"/>
    </row>
    <row r="63" spans="1:10" s="124" customFormat="1" ht="12" customHeight="1" x14ac:dyDescent="0.25">
      <c r="A63" s="133" t="s">
        <v>62</v>
      </c>
      <c r="B63" s="219">
        <v>314686.51772419503</v>
      </c>
      <c r="C63" s="218"/>
      <c r="D63" s="219">
        <v>69201.680689977453</v>
      </c>
      <c r="E63" s="131"/>
      <c r="F63" s="126"/>
      <c r="G63" s="183" t="s">
        <v>148</v>
      </c>
      <c r="H63" s="1165">
        <f>'2016-17 Funding Detail'!$F$17</f>
        <v>164817</v>
      </c>
      <c r="I63" s="126"/>
      <c r="J63" s="126"/>
    </row>
    <row r="64" spans="1:10" s="124" customFormat="1" ht="12" customHeight="1" x14ac:dyDescent="0.25">
      <c r="A64" s="133" t="s">
        <v>65</v>
      </c>
      <c r="B64" s="219">
        <v>405763.82046267512</v>
      </c>
      <c r="C64" s="218"/>
      <c r="D64" s="219">
        <v>88790.687513148558</v>
      </c>
      <c r="E64" s="131"/>
      <c r="F64" s="126"/>
      <c r="G64" s="183" t="s">
        <v>149</v>
      </c>
      <c r="H64" s="1165">
        <f>'2016-17 Funding Detail'!$F$18</f>
        <v>233134</v>
      </c>
      <c r="I64" s="126"/>
      <c r="J64" s="126"/>
    </row>
    <row r="65" spans="1:12" s="124" customFormat="1" ht="12" customHeight="1" x14ac:dyDescent="0.25">
      <c r="A65" s="133" t="s">
        <v>68</v>
      </c>
      <c r="B65" s="219">
        <v>418723.18610831723</v>
      </c>
      <c r="C65" s="218"/>
      <c r="D65" s="219">
        <v>117027.3922528728</v>
      </c>
      <c r="E65" s="131"/>
      <c r="F65" s="126"/>
      <c r="G65" s="183" t="s">
        <v>150</v>
      </c>
      <c r="H65" s="1165">
        <f>'2016-17 Funding Detail'!$F$19</f>
        <v>206948</v>
      </c>
      <c r="I65" s="126"/>
      <c r="J65" s="126"/>
    </row>
    <row r="66" spans="1:12" s="124" customFormat="1" ht="12" customHeight="1" x14ac:dyDescent="0.25">
      <c r="A66" s="410" t="s">
        <v>151</v>
      </c>
      <c r="B66" s="219">
        <v>493762.11190507573</v>
      </c>
      <c r="C66" s="218"/>
      <c r="D66" s="219">
        <v>131719.7894229154</v>
      </c>
      <c r="E66" s="131"/>
      <c r="F66" s="126"/>
      <c r="G66" s="183" t="s">
        <v>152</v>
      </c>
      <c r="H66" s="1165">
        <f>'2016-17 Funding Detail'!$F$20</f>
        <v>254108</v>
      </c>
      <c r="I66" s="126"/>
      <c r="J66" s="126"/>
    </row>
    <row r="67" spans="1:12" s="124" customFormat="1" ht="12" customHeight="1" x14ac:dyDescent="0.25">
      <c r="A67" s="136" t="s">
        <v>74</v>
      </c>
      <c r="B67" s="228">
        <v>280697.16623783787</v>
      </c>
      <c r="C67" s="218"/>
      <c r="D67" s="228">
        <v>55663.058379368813</v>
      </c>
      <c r="E67" s="131"/>
      <c r="F67" s="126"/>
      <c r="G67" s="126"/>
      <c r="H67" s="200"/>
      <c r="I67" s="126"/>
      <c r="J67" s="126"/>
    </row>
    <row r="68" spans="1:12" s="124" customFormat="1" ht="12" customHeight="1" thickBot="1" x14ac:dyDescent="0.3">
      <c r="A68" s="181" t="s">
        <v>77</v>
      </c>
      <c r="B68" s="229">
        <v>360067.26321081078</v>
      </c>
      <c r="C68" s="223"/>
      <c r="D68" s="229">
        <v>58044.118057617408</v>
      </c>
      <c r="E68" s="201"/>
      <c r="F68" s="202"/>
      <c r="G68" s="202"/>
      <c r="H68" s="203"/>
      <c r="I68" s="126"/>
      <c r="J68" s="126"/>
    </row>
    <row r="69" spans="1:12" s="124" customFormat="1" ht="12" customHeight="1" x14ac:dyDescent="0.25">
      <c r="A69" s="131"/>
      <c r="B69" s="137"/>
      <c r="C69" s="137"/>
      <c r="D69" s="126"/>
      <c r="E69" s="131"/>
      <c r="F69" s="126"/>
      <c r="G69" s="126"/>
      <c r="H69" s="126"/>
      <c r="I69" s="126"/>
      <c r="J69" s="126"/>
    </row>
    <row r="70" spans="1:12" s="124" customFormat="1" ht="12" customHeight="1" x14ac:dyDescent="0.25">
      <c r="A70" s="131"/>
      <c r="B70" s="137"/>
      <c r="C70" s="137"/>
      <c r="D70" s="126"/>
      <c r="E70" s="131"/>
      <c r="F70" s="126"/>
      <c r="G70" s="126"/>
      <c r="H70" s="126"/>
      <c r="I70" s="126"/>
      <c r="J70" s="126"/>
    </row>
    <row r="71" spans="1:12" s="124" customFormat="1" ht="12" customHeight="1" x14ac:dyDescent="0.25">
      <c r="B71" s="126"/>
      <c r="D71" s="126"/>
      <c r="E71" s="131"/>
      <c r="F71" s="126"/>
      <c r="G71" s="126"/>
      <c r="H71" s="126"/>
      <c r="I71" s="126"/>
      <c r="J71" s="126"/>
    </row>
    <row r="72" spans="1:12" s="124" customFormat="1" ht="12" customHeight="1" x14ac:dyDescent="0.25">
      <c r="D72" s="126"/>
      <c r="E72" s="126"/>
      <c r="F72" s="126"/>
      <c r="G72" s="126"/>
      <c r="H72" s="126"/>
      <c r="I72" s="126"/>
      <c r="J72" s="126"/>
    </row>
    <row r="73" spans="1:12" s="124" customFormat="1" ht="12" customHeight="1" x14ac:dyDescent="0.25">
      <c r="A73" s="1437" t="s">
        <v>153</v>
      </c>
      <c r="B73" s="1437"/>
      <c r="C73" s="1437"/>
      <c r="D73" s="1437"/>
      <c r="E73" s="1437"/>
      <c r="F73" s="126"/>
      <c r="G73" s="1431" t="s">
        <v>154</v>
      </c>
      <c r="H73" s="1431"/>
      <c r="I73" s="1431"/>
      <c r="J73" s="307"/>
      <c r="K73" s="307"/>
    </row>
    <row r="74" spans="1:12" s="124" customFormat="1" x14ac:dyDescent="0.25">
      <c r="A74" s="1437"/>
      <c r="B74" s="1437"/>
      <c r="C74" s="1437"/>
      <c r="D74" s="1437"/>
      <c r="E74" s="1437"/>
      <c r="F74" s="126"/>
      <c r="G74" s="1431"/>
      <c r="H74" s="1431"/>
      <c r="I74" s="1431"/>
      <c r="J74" s="307"/>
      <c r="K74" s="307"/>
    </row>
    <row r="75" spans="1:12" s="124" customFormat="1" ht="12" customHeight="1" x14ac:dyDescent="0.25">
      <c r="A75" s="1437"/>
      <c r="B75" s="1437"/>
      <c r="C75" s="1437"/>
      <c r="D75" s="1437"/>
      <c r="E75" s="1437"/>
      <c r="F75" s="126"/>
      <c r="G75" s="1431"/>
      <c r="H75" s="1431"/>
      <c r="I75" s="1431"/>
      <c r="J75" s="126"/>
    </row>
    <row r="76" spans="1:12" s="124" customFormat="1" ht="15.75" customHeight="1" x14ac:dyDescent="0.25">
      <c r="A76" s="1437"/>
      <c r="B76" s="1437"/>
      <c r="C76" s="1437"/>
      <c r="D76" s="1437"/>
      <c r="E76" s="1437"/>
      <c r="F76" s="126"/>
      <c r="G76" s="1431"/>
      <c r="H76" s="1431"/>
      <c r="I76" s="1431"/>
      <c r="J76" s="126"/>
    </row>
    <row r="77" spans="1:12" s="124" customFormat="1" ht="12.75" customHeight="1" x14ac:dyDescent="0.25">
      <c r="B77" s="306"/>
      <c r="C77" s="306"/>
      <c r="D77" s="306"/>
      <c r="E77" s="306"/>
      <c r="F77" s="126"/>
      <c r="G77" s="307"/>
      <c r="H77" s="307"/>
      <c r="I77" s="307"/>
      <c r="J77" s="126"/>
    </row>
    <row r="78" spans="1:12" s="124" customFormat="1" ht="12" customHeight="1" x14ac:dyDescent="0.25">
      <c r="A78" s="1433" t="s">
        <v>155</v>
      </c>
      <c r="B78" s="1433"/>
      <c r="C78" s="1433"/>
      <c r="D78" s="1433"/>
      <c r="E78" s="1433"/>
      <c r="F78" s="126"/>
      <c r="G78" s="1431" t="s">
        <v>156</v>
      </c>
      <c r="H78" s="1431"/>
      <c r="I78" s="1431"/>
      <c r="J78" s="126"/>
    </row>
    <row r="79" spans="1:12" s="124" customFormat="1" ht="12" customHeight="1" x14ac:dyDescent="0.25">
      <c r="A79" s="1433"/>
      <c r="B79" s="1433"/>
      <c r="C79" s="1433"/>
      <c r="D79" s="1433"/>
      <c r="E79" s="1433"/>
      <c r="F79" s="1129"/>
      <c r="G79" s="1431"/>
      <c r="H79" s="1431"/>
      <c r="I79" s="1431"/>
      <c r="J79" s="126"/>
    </row>
    <row r="80" spans="1:12" s="124" customFormat="1" ht="12" customHeight="1" x14ac:dyDescent="0.25">
      <c r="A80" s="1433"/>
      <c r="B80" s="1433"/>
      <c r="C80" s="1433"/>
      <c r="D80" s="1433"/>
      <c r="E80" s="1433"/>
      <c r="F80" s="1129"/>
      <c r="G80" s="1431"/>
      <c r="H80" s="1431"/>
      <c r="I80" s="1431"/>
      <c r="J80" s="126"/>
      <c r="L80" s="308"/>
    </row>
    <row r="81" spans="1:10" s="124" customFormat="1" ht="12" customHeight="1" x14ac:dyDescent="0.25">
      <c r="A81" s="1433"/>
      <c r="B81" s="1433"/>
      <c r="C81" s="1433"/>
      <c r="D81" s="1433"/>
      <c r="E81" s="1433"/>
      <c r="F81" s="1129"/>
      <c r="G81" s="1431"/>
      <c r="H81" s="1431"/>
      <c r="I81" s="1431"/>
      <c r="J81" s="126"/>
    </row>
    <row r="82" spans="1:10" s="124" customFormat="1" ht="12" customHeight="1" x14ac:dyDescent="0.25">
      <c r="A82" s="1433"/>
      <c r="B82" s="1433"/>
      <c r="C82" s="1433"/>
      <c r="D82" s="1433"/>
      <c r="E82" s="1433"/>
      <c r="F82" s="1129"/>
      <c r="G82" s="307"/>
      <c r="H82" s="307"/>
      <c r="I82" s="307"/>
      <c r="J82" s="126"/>
    </row>
    <row r="83" spans="1:10" s="124" customFormat="1" ht="12" customHeight="1" x14ac:dyDescent="0.25">
      <c r="A83" s="1433"/>
      <c r="B83" s="1433"/>
      <c r="C83" s="1433"/>
      <c r="D83" s="1433"/>
      <c r="E83" s="1433"/>
      <c r="F83" s="1129"/>
      <c r="G83" s="1438" t="s">
        <v>157</v>
      </c>
      <c r="H83" s="1438"/>
      <c r="I83" s="1438"/>
      <c r="J83" s="126"/>
    </row>
    <row r="84" spans="1:10" s="124" customFormat="1" ht="12" customHeight="1" x14ac:dyDescent="0.25">
      <c r="A84" s="1433"/>
      <c r="B84" s="1433"/>
      <c r="C84" s="1433"/>
      <c r="D84" s="1433"/>
      <c r="E84" s="1433"/>
      <c r="F84" s="1129"/>
      <c r="G84" s="1438"/>
      <c r="H84" s="1438"/>
      <c r="I84" s="1438"/>
      <c r="J84" s="126"/>
    </row>
    <row r="85" spans="1:10" s="124" customFormat="1" ht="12" customHeight="1" x14ac:dyDescent="0.25">
      <c r="A85" s="1433"/>
      <c r="B85" s="1433"/>
      <c r="C85" s="1433"/>
      <c r="D85" s="1433"/>
      <c r="E85" s="1433"/>
      <c r="F85" s="1129"/>
      <c r="G85" s="307"/>
      <c r="H85" s="307"/>
      <c r="I85" s="307"/>
      <c r="J85" s="126"/>
    </row>
    <row r="86" spans="1:10" s="124" customFormat="1" ht="12" customHeight="1" x14ac:dyDescent="0.25">
      <c r="A86" s="1433"/>
      <c r="B86" s="1433"/>
      <c r="C86" s="1433"/>
      <c r="D86" s="1433"/>
      <c r="E86" s="1433"/>
      <c r="F86" s="1129"/>
      <c r="G86" s="1431" t="s">
        <v>158</v>
      </c>
      <c r="H86" s="1431"/>
      <c r="I86" s="1431"/>
      <c r="J86" s="126"/>
    </row>
    <row r="87" spans="1:10" s="124" customFormat="1" ht="12" customHeight="1" x14ac:dyDescent="0.25">
      <c r="A87" s="1433"/>
      <c r="B87" s="1433"/>
      <c r="C87" s="1433"/>
      <c r="D87" s="1433"/>
      <c r="E87" s="1433"/>
      <c r="F87" s="1129"/>
      <c r="G87" s="1431"/>
      <c r="H87" s="1431"/>
      <c r="I87" s="1431"/>
      <c r="J87" s="126"/>
    </row>
    <row r="88" spans="1:10" s="124" customFormat="1" ht="12" customHeight="1" x14ac:dyDescent="0.25">
      <c r="A88" s="1433"/>
      <c r="B88" s="1433"/>
      <c r="C88" s="1433"/>
      <c r="D88" s="1433"/>
      <c r="E88" s="1433"/>
      <c r="F88" s="1129"/>
      <c r="G88" s="1431"/>
      <c r="H88" s="1431"/>
      <c r="I88" s="1431"/>
      <c r="J88" s="126"/>
    </row>
    <row r="89" spans="1:10" s="124" customFormat="1" ht="12" customHeight="1" x14ac:dyDescent="0.25">
      <c r="A89" s="1433"/>
      <c r="B89" s="1433"/>
      <c r="C89" s="1433"/>
      <c r="D89" s="1433"/>
      <c r="E89" s="1433"/>
      <c r="F89" s="1129"/>
      <c r="G89" s="306"/>
      <c r="H89" s="306"/>
      <c r="I89" s="306"/>
      <c r="J89" s="126"/>
    </row>
    <row r="90" spans="1:10" s="124" customFormat="1" ht="12" customHeight="1" x14ac:dyDescent="0.25">
      <c r="A90" s="1433"/>
      <c r="B90" s="1433"/>
      <c r="C90" s="1433"/>
      <c r="D90" s="1433"/>
      <c r="E90" s="1433"/>
      <c r="F90" s="1129"/>
      <c r="G90" s="1432" t="s">
        <v>159</v>
      </c>
      <c r="H90" s="1432"/>
      <c r="I90" s="1432"/>
      <c r="J90" s="126"/>
    </row>
    <row r="91" spans="1:10" s="124" customFormat="1" ht="12" customHeight="1" x14ac:dyDescent="0.25">
      <c r="A91" s="1433"/>
      <c r="B91" s="1433"/>
      <c r="C91" s="1433"/>
      <c r="D91" s="1433"/>
      <c r="E91" s="1433"/>
      <c r="F91" s="1129"/>
      <c r="G91" s="1432"/>
      <c r="H91" s="1432"/>
      <c r="I91" s="1432"/>
      <c r="J91" s="126"/>
    </row>
    <row r="92" spans="1:10" s="124" customFormat="1" ht="12" customHeight="1" x14ac:dyDescent="0.25">
      <c r="A92" s="1433"/>
      <c r="B92" s="1433"/>
      <c r="C92" s="1433"/>
      <c r="D92" s="1433"/>
      <c r="E92" s="1433"/>
      <c r="F92" s="1129"/>
      <c r="G92" s="1432"/>
      <c r="H92" s="1432"/>
      <c r="I92" s="1432"/>
      <c r="J92" s="126"/>
    </row>
    <row r="93" spans="1:10" s="124" customFormat="1" ht="12" customHeight="1" x14ac:dyDescent="0.25">
      <c r="A93" s="1433"/>
      <c r="B93" s="1433"/>
      <c r="C93" s="1433"/>
      <c r="D93" s="1433"/>
      <c r="E93" s="1433"/>
      <c r="F93" s="1129"/>
      <c r="G93" s="306"/>
      <c r="H93" s="306"/>
      <c r="I93" s="306"/>
    </row>
    <row r="94" spans="1:10" s="124" customFormat="1" ht="12" customHeight="1" x14ac:dyDescent="0.25">
      <c r="A94" s="1433"/>
      <c r="B94" s="1433"/>
      <c r="C94" s="1433"/>
      <c r="D94" s="1433"/>
      <c r="E94" s="1433"/>
      <c r="F94" s="1129"/>
      <c r="G94" s="1432" t="s">
        <v>160</v>
      </c>
      <c r="H94" s="1432"/>
      <c r="I94" s="1432"/>
    </row>
    <row r="95" spans="1:10" s="124" customFormat="1" ht="12" customHeight="1" x14ac:dyDescent="0.25">
      <c r="A95" s="1433"/>
      <c r="B95" s="1433"/>
      <c r="C95" s="1433"/>
      <c r="D95" s="1433"/>
      <c r="E95" s="1433"/>
      <c r="F95" s="1129"/>
      <c r="G95" s="1432"/>
      <c r="H95" s="1432"/>
      <c r="I95" s="1432"/>
      <c r="J95" s="126"/>
    </row>
    <row r="96" spans="1:10" s="124" customFormat="1" ht="12" customHeight="1" x14ac:dyDescent="0.25">
      <c r="A96" s="1433"/>
      <c r="B96" s="1433"/>
      <c r="C96" s="1433"/>
      <c r="D96" s="1433"/>
      <c r="E96" s="1433"/>
      <c r="F96" s="1129"/>
      <c r="G96" s="311"/>
      <c r="H96" s="311"/>
      <c r="I96" s="311"/>
      <c r="J96" s="126"/>
    </row>
    <row r="97" spans="1:10" s="124" customFormat="1" ht="12" customHeight="1" x14ac:dyDescent="0.25">
      <c r="A97" s="1433"/>
      <c r="B97" s="1433"/>
      <c r="C97" s="1433"/>
      <c r="D97" s="1433"/>
      <c r="E97" s="1433"/>
      <c r="F97" s="1129"/>
      <c r="G97" s="1431" t="s">
        <v>161</v>
      </c>
      <c r="H97" s="1431"/>
      <c r="I97" s="1431"/>
      <c r="J97" s="126"/>
    </row>
    <row r="98" spans="1:10" s="124" customFormat="1" ht="12" customHeight="1" x14ac:dyDescent="0.25">
      <c r="A98" s="1433"/>
      <c r="B98" s="1433"/>
      <c r="C98" s="1433"/>
      <c r="D98" s="1433"/>
      <c r="E98" s="1433"/>
      <c r="F98" s="1129"/>
      <c r="G98" s="1431"/>
      <c r="H98" s="1431"/>
      <c r="I98" s="1431"/>
      <c r="J98" s="126"/>
    </row>
    <row r="99" spans="1:10" s="124" customFormat="1" ht="12" customHeight="1" x14ac:dyDescent="0.25">
      <c r="A99" s="1433"/>
      <c r="B99" s="1433"/>
      <c r="C99" s="1433"/>
      <c r="D99" s="1433"/>
      <c r="E99" s="1433"/>
      <c r="F99" s="1129"/>
      <c r="G99" s="1431"/>
      <c r="H99" s="1431"/>
      <c r="I99" s="1431"/>
      <c r="J99" s="126"/>
    </row>
    <row r="100" spans="1:10" s="124" customFormat="1" ht="12" customHeight="1" x14ac:dyDescent="0.25">
      <c r="A100" s="1433"/>
      <c r="B100" s="1433"/>
      <c r="C100" s="1433"/>
      <c r="D100" s="1433"/>
      <c r="E100" s="1433"/>
      <c r="F100" s="1129"/>
      <c r="H100" s="126"/>
      <c r="I100" s="126"/>
      <c r="J100" s="126"/>
    </row>
    <row r="101" spans="1:10" s="124" customFormat="1" ht="12" customHeight="1" x14ac:dyDescent="0.25">
      <c r="A101" s="1433"/>
      <c r="B101" s="1433"/>
      <c r="C101" s="1433"/>
      <c r="D101" s="1433"/>
      <c r="E101" s="1433"/>
      <c r="F101" s="1129"/>
      <c r="G101" s="1431" t="s">
        <v>162</v>
      </c>
      <c r="H101" s="1431"/>
      <c r="I101" s="1431"/>
      <c r="J101" s="126"/>
    </row>
    <row r="102" spans="1:10" s="124" customFormat="1" ht="12" customHeight="1" x14ac:dyDescent="0.25">
      <c r="A102" s="1433"/>
      <c r="B102" s="1433"/>
      <c r="C102" s="1433"/>
      <c r="D102" s="1433"/>
      <c r="E102" s="1433"/>
      <c r="F102" s="1129"/>
      <c r="G102" s="1431"/>
      <c r="H102" s="1431"/>
      <c r="I102" s="1431"/>
      <c r="J102" s="126"/>
    </row>
    <row r="103" spans="1:10" s="124" customFormat="1" ht="12" customHeight="1" x14ac:dyDescent="0.25">
      <c r="A103" s="1433"/>
      <c r="B103" s="1433"/>
      <c r="C103" s="1433"/>
      <c r="D103" s="1433"/>
      <c r="E103" s="1433"/>
      <c r="F103" s="1129"/>
      <c r="G103" s="1431"/>
      <c r="H103" s="1431"/>
      <c r="I103" s="1431"/>
      <c r="J103" s="126"/>
    </row>
    <row r="104" spans="1:10" s="124" customFormat="1" ht="12" customHeight="1" x14ac:dyDescent="0.25">
      <c r="A104" s="1433"/>
      <c r="B104" s="1433"/>
      <c r="C104" s="1433"/>
      <c r="D104" s="1433"/>
      <c r="E104" s="1433"/>
      <c r="F104" s="1129"/>
      <c r="H104" s="1129"/>
      <c r="I104" s="1129"/>
      <c r="J104" s="126"/>
    </row>
    <row r="105" spans="1:10" s="124" customFormat="1" ht="12" customHeight="1" x14ac:dyDescent="0.25">
      <c r="A105" s="1433"/>
      <c r="B105" s="1433"/>
      <c r="C105" s="1433"/>
      <c r="D105" s="1433"/>
      <c r="E105" s="1433"/>
      <c r="F105" s="1129"/>
      <c r="G105" s="1431" t="s">
        <v>163</v>
      </c>
      <c r="H105" s="1431"/>
      <c r="I105" s="1431"/>
      <c r="J105" s="126"/>
    </row>
    <row r="106" spans="1:10" s="124" customFormat="1" ht="12" customHeight="1" x14ac:dyDescent="0.25">
      <c r="A106" s="1433"/>
      <c r="B106" s="1433"/>
      <c r="C106" s="1433"/>
      <c r="D106" s="1433"/>
      <c r="E106" s="1433"/>
      <c r="F106" s="1129"/>
      <c r="G106" s="1431"/>
      <c r="H106" s="1431"/>
      <c r="I106" s="1431"/>
      <c r="J106" s="126"/>
    </row>
    <row r="107" spans="1:10" s="124" customFormat="1" ht="17.25" customHeight="1" x14ac:dyDescent="0.25">
      <c r="A107" s="1433"/>
      <c r="B107" s="1433"/>
      <c r="C107" s="1433"/>
      <c r="D107" s="1433"/>
      <c r="E107" s="1433"/>
      <c r="F107" s="1129"/>
      <c r="G107" s="1431"/>
      <c r="H107" s="1431"/>
      <c r="I107" s="1431"/>
      <c r="J107" s="126"/>
    </row>
    <row r="108" spans="1:10" s="124" customFormat="1" ht="12" customHeight="1" x14ac:dyDescent="0.25">
      <c r="B108" s="307"/>
      <c r="C108" s="307"/>
      <c r="D108" s="307"/>
      <c r="E108" s="307"/>
      <c r="F108" s="1129"/>
      <c r="G108" s="126"/>
      <c r="H108" s="126"/>
      <c r="I108" s="126"/>
      <c r="J108" s="126"/>
    </row>
    <row r="109" spans="1:10" s="124" customFormat="1" ht="12" customHeight="1" x14ac:dyDescent="0.25">
      <c r="A109" s="1431" t="s">
        <v>164</v>
      </c>
      <c r="B109" s="1431"/>
      <c r="C109" s="1431"/>
      <c r="D109" s="1431"/>
      <c r="E109" s="1431"/>
      <c r="F109" s="1129"/>
      <c r="G109" s="1431" t="s">
        <v>165</v>
      </c>
      <c r="H109" s="1431"/>
      <c r="I109" s="1431"/>
      <c r="J109" s="126"/>
    </row>
    <row r="110" spans="1:10" s="124" customFormat="1" ht="12.75" customHeight="1" x14ac:dyDescent="0.25">
      <c r="A110" s="1431"/>
      <c r="B110" s="1431"/>
      <c r="C110" s="1431"/>
      <c r="D110" s="1431"/>
      <c r="E110" s="1431"/>
      <c r="F110" s="1129"/>
      <c r="G110" s="1431"/>
      <c r="H110" s="1431"/>
      <c r="I110" s="1431"/>
      <c r="J110" s="126"/>
    </row>
    <row r="111" spans="1:10" s="124" customFormat="1" ht="12.75" customHeight="1" x14ac:dyDescent="0.25">
      <c r="A111" s="1431"/>
      <c r="B111" s="1431"/>
      <c r="C111" s="1431"/>
      <c r="D111" s="1431"/>
      <c r="E111" s="1431"/>
      <c r="F111" s="1129"/>
      <c r="G111" s="1431"/>
      <c r="H111" s="1431"/>
      <c r="I111" s="1431"/>
      <c r="J111" s="126"/>
    </row>
    <row r="112" spans="1:10" s="124" customFormat="1" ht="12.75" customHeight="1" x14ac:dyDescent="0.25">
      <c r="B112" s="307"/>
      <c r="C112" s="307"/>
      <c r="D112" s="307"/>
      <c r="E112" s="307"/>
      <c r="F112" s="1129"/>
      <c r="G112" s="1431"/>
      <c r="H112" s="1431"/>
      <c r="I112" s="1431"/>
      <c r="J112" s="126"/>
    </row>
    <row r="113" spans="1:10" s="124" customFormat="1" ht="12.75" customHeight="1" x14ac:dyDescent="0.25">
      <c r="A113" s="1431" t="s">
        <v>166</v>
      </c>
      <c r="B113" s="1431"/>
      <c r="C113" s="1431"/>
      <c r="D113" s="1431"/>
      <c r="E113" s="1431"/>
      <c r="F113" s="1129"/>
      <c r="G113" s="1431"/>
      <c r="H113" s="1431"/>
      <c r="I113" s="1431"/>
      <c r="J113" s="126"/>
    </row>
    <row r="114" spans="1:10" s="124" customFormat="1" ht="12.75" customHeight="1" x14ac:dyDescent="0.25">
      <c r="A114" s="1431"/>
      <c r="B114" s="1431"/>
      <c r="C114" s="1431"/>
      <c r="D114" s="1431"/>
      <c r="E114" s="1431"/>
      <c r="F114" s="1129"/>
      <c r="G114" s="1431"/>
      <c r="H114" s="1431"/>
      <c r="I114" s="1431"/>
      <c r="J114" s="126"/>
    </row>
    <row r="115" spans="1:10" s="124" customFormat="1" ht="12.75" customHeight="1" x14ac:dyDescent="0.25">
      <c r="B115" s="307"/>
      <c r="C115" s="307"/>
      <c r="D115" s="307"/>
      <c r="E115" s="307"/>
      <c r="F115" s="1129"/>
      <c r="G115" s="1431"/>
      <c r="H115" s="1431"/>
      <c r="I115" s="1431"/>
      <c r="J115" s="126"/>
    </row>
    <row r="116" spans="1:10" s="124" customFormat="1" ht="12.75" customHeight="1" x14ac:dyDescent="0.25">
      <c r="A116" s="1431" t="s">
        <v>167</v>
      </c>
      <c r="B116" s="1431"/>
      <c r="C116" s="1431"/>
      <c r="D116" s="1431"/>
      <c r="E116" s="1431"/>
      <c r="F116" s="1129"/>
      <c r="G116" s="1431"/>
      <c r="H116" s="1431"/>
      <c r="I116" s="1431"/>
      <c r="J116" s="126"/>
    </row>
    <row r="117" spans="1:10" s="124" customFormat="1" x14ac:dyDescent="0.25">
      <c r="A117" s="1431"/>
      <c r="B117" s="1431"/>
      <c r="C117" s="1431"/>
      <c r="D117" s="1431"/>
      <c r="E117" s="1431"/>
      <c r="F117" s="1129"/>
      <c r="G117" s="307"/>
      <c r="H117" s="307"/>
      <c r="I117" s="307"/>
      <c r="J117" s="126"/>
    </row>
    <row r="118" spans="1:10" s="124" customFormat="1" ht="12.75" customHeight="1" x14ac:dyDescent="0.25">
      <c r="A118" s="1431"/>
      <c r="B118" s="1431"/>
      <c r="C118" s="1431"/>
      <c r="D118" s="1431"/>
      <c r="E118" s="1431"/>
      <c r="F118" s="1151"/>
      <c r="G118" s="1432" t="s">
        <v>168</v>
      </c>
      <c r="H118" s="1432"/>
      <c r="I118" s="1432"/>
      <c r="J118" s="126"/>
    </row>
    <row r="119" spans="1:10" s="124" customFormat="1" ht="12.75" customHeight="1" x14ac:dyDescent="0.25">
      <c r="A119" s="1431"/>
      <c r="B119" s="1431"/>
      <c r="C119" s="1431"/>
      <c r="D119" s="1431"/>
      <c r="E119" s="1431"/>
      <c r="F119" s="1151"/>
      <c r="G119" s="1432"/>
      <c r="H119" s="1432"/>
      <c r="I119" s="1432"/>
      <c r="J119" s="126"/>
    </row>
    <row r="120" spans="1:10" s="124" customFormat="1" ht="12.75" customHeight="1" x14ac:dyDescent="0.25">
      <c r="B120" s="306"/>
      <c r="C120" s="306"/>
      <c r="D120" s="306"/>
      <c r="E120" s="306"/>
      <c r="F120" s="126"/>
      <c r="G120" s="1432"/>
      <c r="H120" s="1432"/>
      <c r="I120" s="1432"/>
      <c r="J120" s="126"/>
    </row>
    <row r="121" spans="1:10" s="124" customFormat="1" x14ac:dyDescent="0.25">
      <c r="A121" s="1432" t="s">
        <v>169</v>
      </c>
      <c r="B121" s="1432"/>
      <c r="C121" s="1432"/>
      <c r="D121" s="1432"/>
      <c r="E121" s="1432"/>
      <c r="F121" s="126"/>
      <c r="G121" s="306"/>
      <c r="H121" s="306"/>
      <c r="I121" s="306"/>
      <c r="J121" s="126"/>
    </row>
    <row r="122" spans="1:10" s="124" customFormat="1" ht="12.75" customHeight="1" x14ac:dyDescent="0.25">
      <c r="A122" s="1432"/>
      <c r="B122" s="1432"/>
      <c r="C122" s="1432"/>
      <c r="D122" s="1432"/>
      <c r="E122" s="1432"/>
      <c r="F122" s="126"/>
      <c r="G122" s="1431" t="s">
        <v>170</v>
      </c>
      <c r="H122" s="1431"/>
      <c r="I122" s="1431"/>
      <c r="J122" s="126"/>
    </row>
    <row r="123" spans="1:10" s="124" customFormat="1" ht="12.75" customHeight="1" x14ac:dyDescent="0.25">
      <c r="B123" s="307"/>
      <c r="C123" s="307"/>
      <c r="D123" s="307"/>
      <c r="E123" s="307"/>
      <c r="F123" s="126"/>
      <c r="G123" s="1431"/>
      <c r="H123" s="1431"/>
      <c r="I123" s="1431"/>
      <c r="J123" s="126"/>
    </row>
    <row r="124" spans="1:10" s="124" customFormat="1" ht="12.75" customHeight="1" x14ac:dyDescent="0.25">
      <c r="A124" s="1431" t="s">
        <v>171</v>
      </c>
      <c r="B124" s="1431"/>
      <c r="C124" s="1431"/>
      <c r="D124" s="1431"/>
      <c r="E124" s="1431"/>
      <c r="F124" s="126"/>
      <c r="G124" s="1431"/>
      <c r="H124" s="1431"/>
      <c r="I124" s="1431"/>
      <c r="J124" s="126"/>
    </row>
    <row r="125" spans="1:10" s="124" customFormat="1" ht="12.75" customHeight="1" x14ac:dyDescent="0.25">
      <c r="A125" s="1431"/>
      <c r="B125" s="1431"/>
      <c r="C125" s="1431"/>
      <c r="D125" s="1431"/>
      <c r="E125" s="1431"/>
      <c r="F125" s="126"/>
      <c r="G125" s="1431"/>
      <c r="H125" s="1431"/>
      <c r="I125" s="1431"/>
      <c r="J125" s="126"/>
    </row>
    <row r="126" spans="1:10" s="124" customFormat="1" ht="12.75" customHeight="1" x14ac:dyDescent="0.25">
      <c r="B126" s="311"/>
      <c r="C126" s="311"/>
      <c r="D126" s="311"/>
      <c r="E126" s="311"/>
      <c r="F126" s="1129"/>
      <c r="G126" s="1431"/>
      <c r="H126" s="1431"/>
      <c r="I126" s="1431"/>
      <c r="J126" s="126"/>
    </row>
    <row r="127" spans="1:10" s="124" customFormat="1" ht="12.75" customHeight="1" x14ac:dyDescent="0.25">
      <c r="A127" s="1431" t="s">
        <v>172</v>
      </c>
      <c r="B127" s="1431"/>
      <c r="C127" s="1431"/>
      <c r="D127" s="1431"/>
      <c r="E127" s="1431"/>
      <c r="F127" s="1129"/>
      <c r="G127" s="1431"/>
      <c r="H127" s="1431"/>
      <c r="I127" s="1431"/>
      <c r="J127" s="126"/>
    </row>
    <row r="128" spans="1:10" s="124" customFormat="1" ht="12.75" customHeight="1" x14ac:dyDescent="0.25">
      <c r="A128" s="1431"/>
      <c r="B128" s="1431"/>
      <c r="C128" s="1431"/>
      <c r="D128" s="1431"/>
      <c r="E128" s="1431"/>
      <c r="F128" s="307"/>
      <c r="G128" s="1431"/>
      <c r="H128" s="1431"/>
      <c r="I128" s="1431"/>
      <c r="J128" s="126"/>
    </row>
    <row r="129" spans="1:10" s="124" customFormat="1" ht="12.75" customHeight="1" x14ac:dyDescent="0.25">
      <c r="A129" s="1431"/>
      <c r="B129" s="1431"/>
      <c r="C129" s="1431"/>
      <c r="D129" s="1431"/>
      <c r="E129" s="1431"/>
      <c r="F129" s="311"/>
      <c r="G129" s="307"/>
      <c r="H129" s="307"/>
      <c r="I129" s="307"/>
      <c r="J129" s="126"/>
    </row>
    <row r="130" spans="1:10" s="124" customFormat="1" ht="12.75" customHeight="1" x14ac:dyDescent="0.25">
      <c r="A130" s="308"/>
      <c r="B130" s="311"/>
      <c r="C130" s="311"/>
      <c r="D130" s="311"/>
      <c r="E130" s="311"/>
      <c r="F130" s="311"/>
      <c r="G130" s="1431" t="s">
        <v>173</v>
      </c>
      <c r="H130" s="1431"/>
      <c r="I130" s="1431"/>
      <c r="J130" s="126"/>
    </row>
    <row r="131" spans="1:10" s="124" customFormat="1" x14ac:dyDescent="0.25">
      <c r="A131" s="1431" t="s">
        <v>174</v>
      </c>
      <c r="B131" s="1431"/>
      <c r="C131" s="1431"/>
      <c r="D131" s="1431"/>
      <c r="E131" s="1431"/>
      <c r="F131" s="311"/>
      <c r="G131" s="1431"/>
      <c r="H131" s="1431"/>
      <c r="I131" s="1431"/>
      <c r="J131" s="126"/>
    </row>
    <row r="132" spans="1:10" s="124" customFormat="1" ht="12.75" customHeight="1" x14ac:dyDescent="0.25">
      <c r="A132" s="1431"/>
      <c r="B132" s="1431"/>
      <c r="C132" s="1431"/>
      <c r="D132" s="1431"/>
      <c r="E132" s="1431"/>
      <c r="F132" s="311"/>
      <c r="G132" s="1431"/>
      <c r="H132" s="1431"/>
      <c r="I132" s="1431"/>
      <c r="J132" s="126"/>
    </row>
    <row r="133" spans="1:10" s="124" customFormat="1" ht="12.75" customHeight="1" x14ac:dyDescent="0.25">
      <c r="A133" s="1431"/>
      <c r="B133" s="1431"/>
      <c r="C133" s="1431"/>
      <c r="D133" s="1431"/>
      <c r="E133" s="1431"/>
      <c r="F133" s="126"/>
      <c r="G133" s="1431"/>
      <c r="H133" s="1431"/>
      <c r="I133" s="1431"/>
      <c r="J133" s="126"/>
    </row>
    <row r="134" spans="1:10" s="124" customFormat="1" ht="12.75" customHeight="1" x14ac:dyDescent="0.25">
      <c r="A134" s="307"/>
      <c r="B134" s="311"/>
      <c r="C134" s="311"/>
      <c r="D134" s="311"/>
      <c r="E134" s="311"/>
      <c r="F134" s="126"/>
      <c r="G134" s="307"/>
      <c r="H134" s="307"/>
      <c r="I134" s="307"/>
      <c r="J134" s="126"/>
    </row>
    <row r="135" spans="1:10" s="124" customFormat="1" ht="12.75" customHeight="1" x14ac:dyDescent="0.25">
      <c r="A135" s="1431" t="s">
        <v>175</v>
      </c>
      <c r="B135" s="1431"/>
      <c r="C135" s="1431"/>
      <c r="D135" s="1431"/>
      <c r="E135" s="1431"/>
      <c r="F135" s="126"/>
      <c r="G135" s="1431" t="s">
        <v>176</v>
      </c>
      <c r="H135" s="1431"/>
      <c r="I135" s="1431"/>
      <c r="J135" s="126"/>
    </row>
    <row r="136" spans="1:10" s="124" customFormat="1" ht="12.75" customHeight="1" x14ac:dyDescent="0.25">
      <c r="A136" s="1431"/>
      <c r="B136" s="1431"/>
      <c r="C136" s="1431"/>
      <c r="D136" s="1431"/>
      <c r="E136" s="1431"/>
      <c r="F136" s="126"/>
      <c r="G136" s="1431"/>
      <c r="H136" s="1431"/>
      <c r="I136" s="1431"/>
      <c r="J136" s="126"/>
    </row>
    <row r="137" spans="1:10" s="124" customFormat="1" ht="12.75" customHeight="1" x14ac:dyDescent="0.25">
      <c r="A137" s="1431"/>
      <c r="B137" s="1431"/>
      <c r="C137" s="1431"/>
      <c r="D137" s="1431"/>
      <c r="E137" s="1431"/>
      <c r="F137" s="126"/>
      <c r="G137" s="1431"/>
      <c r="H137" s="1431"/>
      <c r="I137" s="1431"/>
      <c r="J137" s="126"/>
    </row>
    <row r="138" spans="1:10" s="124" customFormat="1" ht="12.75" customHeight="1" x14ac:dyDescent="0.25">
      <c r="A138" s="1431"/>
      <c r="B138" s="1431"/>
      <c r="C138" s="1431"/>
      <c r="D138" s="1431"/>
      <c r="E138" s="1431"/>
      <c r="F138" s="126"/>
      <c r="G138" s="1431"/>
      <c r="H138" s="1431"/>
      <c r="I138" s="1431"/>
      <c r="J138" s="126"/>
    </row>
    <row r="139" spans="1:10" s="124" customFormat="1" ht="12.75" customHeight="1" x14ac:dyDescent="0.25">
      <c r="A139" s="1431"/>
      <c r="B139" s="1431"/>
      <c r="C139" s="1431"/>
      <c r="D139" s="1431"/>
      <c r="E139" s="1431"/>
      <c r="F139" s="126"/>
      <c r="G139" s="307"/>
      <c r="H139" s="307"/>
      <c r="I139" s="307"/>
      <c r="J139" s="126"/>
    </row>
    <row r="140" spans="1:10" s="124" customFormat="1" x14ac:dyDescent="0.25">
      <c r="A140" s="1431"/>
      <c r="B140" s="1431"/>
      <c r="C140" s="1431"/>
      <c r="D140" s="1431"/>
      <c r="E140" s="1431"/>
      <c r="F140" s="126"/>
      <c r="G140" s="1431" t="s">
        <v>177</v>
      </c>
      <c r="H140" s="1431"/>
      <c r="I140" s="1431"/>
      <c r="J140" s="126"/>
    </row>
    <row r="141" spans="1:10" s="124" customFormat="1" ht="12.75" customHeight="1" x14ac:dyDescent="0.25">
      <c r="A141" s="1431"/>
      <c r="B141" s="1431"/>
      <c r="C141" s="1431"/>
      <c r="D141" s="1431"/>
      <c r="E141" s="1431"/>
      <c r="F141" s="126"/>
      <c r="G141" s="1431"/>
      <c r="H141" s="1431"/>
      <c r="I141" s="1431"/>
      <c r="J141" s="126"/>
    </row>
    <row r="142" spans="1:10" s="124" customFormat="1" ht="12.75" customHeight="1" x14ac:dyDescent="0.25">
      <c r="F142" s="126"/>
      <c r="H142" s="311"/>
      <c r="I142" s="311"/>
      <c r="J142" s="126"/>
    </row>
    <row r="143" spans="1:10" s="124" customFormat="1" ht="12.75" customHeight="1" x14ac:dyDescent="0.25">
      <c r="A143" s="1431" t="s">
        <v>178</v>
      </c>
      <c r="B143" s="1431"/>
      <c r="C143" s="1431"/>
      <c r="D143" s="1431"/>
      <c r="E143" s="1431"/>
      <c r="F143" s="126"/>
      <c r="H143" s="307"/>
      <c r="I143" s="307"/>
      <c r="J143" s="126"/>
    </row>
    <row r="144" spans="1:10" s="124" customFormat="1" x14ac:dyDescent="0.25">
      <c r="A144" s="1431"/>
      <c r="B144" s="1431"/>
      <c r="C144" s="1431"/>
      <c r="D144" s="1431"/>
      <c r="E144" s="1431"/>
      <c r="F144" s="126"/>
      <c r="G144" s="307"/>
      <c r="H144" s="307"/>
      <c r="I144" s="307"/>
      <c r="J144" s="126"/>
    </row>
    <row r="145" spans="1:10" s="124" customFormat="1" ht="12.75" customHeight="1" x14ac:dyDescent="0.25">
      <c r="A145" s="1431"/>
      <c r="B145" s="1431"/>
      <c r="C145" s="1431"/>
      <c r="D145" s="1431"/>
      <c r="E145" s="1431"/>
      <c r="F145" s="126"/>
      <c r="J145" s="126"/>
    </row>
    <row r="146" spans="1:10" s="124" customFormat="1" ht="12.75" customHeight="1" x14ac:dyDescent="0.25">
      <c r="A146" s="1431"/>
      <c r="B146" s="1431"/>
      <c r="C146" s="1431"/>
      <c r="D146" s="1431"/>
      <c r="E146" s="1431"/>
      <c r="F146" s="126"/>
      <c r="J146" s="126"/>
    </row>
    <row r="147" spans="1:10" s="124" customFormat="1" ht="12.75" customHeight="1" x14ac:dyDescent="0.25">
      <c r="B147" s="307"/>
      <c r="C147" s="307"/>
      <c r="D147" s="307"/>
      <c r="E147" s="307"/>
      <c r="F147" s="126"/>
      <c r="G147" s="311"/>
      <c r="H147" s="311"/>
      <c r="I147" s="311"/>
      <c r="J147" s="126"/>
    </row>
    <row r="148" spans="1:10" s="124" customFormat="1" ht="12.75" customHeight="1" x14ac:dyDescent="0.25">
      <c r="A148" s="307"/>
      <c r="B148" s="307"/>
      <c r="C148" s="307"/>
      <c r="D148" s="307"/>
      <c r="E148" s="307"/>
      <c r="F148" s="126"/>
      <c r="J148" s="126"/>
    </row>
    <row r="149" spans="1:10" s="124" customFormat="1" ht="12.75" customHeight="1" x14ac:dyDescent="0.25">
      <c r="A149" s="307"/>
      <c r="B149" s="307"/>
      <c r="C149" s="307"/>
      <c r="D149" s="307"/>
      <c r="E149" s="307"/>
      <c r="F149" s="126"/>
      <c r="J149" s="126"/>
    </row>
    <row r="150" spans="1:10" s="124" customFormat="1" x14ac:dyDescent="0.25">
      <c r="A150" s="307"/>
      <c r="B150" s="307"/>
      <c r="C150" s="307"/>
      <c r="D150" s="307"/>
      <c r="E150" s="307"/>
      <c r="F150" s="126"/>
      <c r="J150" s="126"/>
    </row>
    <row r="151" spans="1:10" s="124" customFormat="1" x14ac:dyDescent="0.25">
      <c r="F151" s="126"/>
      <c r="G151" s="126"/>
      <c r="H151" s="126"/>
      <c r="I151" s="126"/>
      <c r="J151" s="126"/>
    </row>
    <row r="152" spans="1:10" s="124" customFormat="1" x14ac:dyDescent="0.25">
      <c r="F152" s="126"/>
      <c r="G152" s="126"/>
      <c r="H152" s="126"/>
      <c r="I152" s="126"/>
      <c r="J152" s="126"/>
    </row>
    <row r="153" spans="1:10" s="124" customFormat="1" x14ac:dyDescent="0.25">
      <c r="D153" s="126"/>
      <c r="E153" s="126"/>
      <c r="F153" s="126"/>
      <c r="G153" s="126"/>
      <c r="H153" s="126"/>
      <c r="I153" s="126"/>
      <c r="J153" s="126"/>
    </row>
    <row r="154" spans="1:10" s="124" customFormat="1" x14ac:dyDescent="0.25">
      <c r="D154" s="126"/>
      <c r="E154" s="126"/>
      <c r="F154" s="126"/>
      <c r="G154" s="126"/>
      <c r="H154" s="126"/>
      <c r="I154" s="126"/>
      <c r="J154" s="126"/>
    </row>
    <row r="155" spans="1:10" s="124" customFormat="1" x14ac:dyDescent="0.25">
      <c r="D155" s="126"/>
      <c r="E155" s="126"/>
      <c r="F155" s="126"/>
      <c r="G155" s="126"/>
      <c r="H155" s="126"/>
      <c r="I155" s="126"/>
      <c r="J155" s="126"/>
    </row>
    <row r="156" spans="1:10" s="124" customFormat="1" x14ac:dyDescent="0.25">
      <c r="D156" s="126"/>
      <c r="E156" s="126"/>
      <c r="F156" s="126"/>
      <c r="G156" s="126"/>
      <c r="H156" s="126"/>
      <c r="I156" s="126"/>
      <c r="J156" s="126"/>
    </row>
    <row r="157" spans="1:10" s="124" customFormat="1" x14ac:dyDescent="0.25">
      <c r="D157" s="126"/>
      <c r="E157" s="126"/>
      <c r="F157" s="126"/>
      <c r="G157" s="126"/>
      <c r="H157" s="126"/>
      <c r="I157" s="126"/>
      <c r="J157" s="126"/>
    </row>
    <row r="158" spans="1:10" s="124" customFormat="1" x14ac:dyDescent="0.25">
      <c r="D158" s="126"/>
      <c r="E158" s="126"/>
      <c r="F158" s="126"/>
      <c r="G158" s="126"/>
      <c r="H158" s="126"/>
      <c r="I158" s="126"/>
      <c r="J158" s="126"/>
    </row>
    <row r="159" spans="1:10" s="124" customFormat="1" x14ac:dyDescent="0.25">
      <c r="D159" s="126"/>
      <c r="E159" s="126"/>
      <c r="F159" s="126"/>
      <c r="G159" s="126"/>
      <c r="H159" s="126"/>
      <c r="I159" s="126"/>
      <c r="J159" s="126"/>
    </row>
    <row r="160" spans="1:10" s="124" customFormat="1" x14ac:dyDescent="0.25">
      <c r="D160" s="126"/>
      <c r="E160" s="126"/>
      <c r="F160" s="126"/>
      <c r="G160" s="126"/>
      <c r="H160" s="126"/>
      <c r="I160" s="126"/>
      <c r="J160" s="126"/>
    </row>
    <row r="161" spans="4:10" s="124" customFormat="1" x14ac:dyDescent="0.25">
      <c r="D161" s="126"/>
      <c r="E161" s="126"/>
      <c r="F161" s="126"/>
      <c r="G161" s="126"/>
      <c r="H161" s="126"/>
      <c r="I161" s="126"/>
      <c r="J161" s="126"/>
    </row>
    <row r="162" spans="4:10" s="124" customFormat="1" x14ac:dyDescent="0.25">
      <c r="D162" s="126"/>
      <c r="E162" s="126"/>
      <c r="F162" s="126"/>
      <c r="G162" s="126"/>
      <c r="H162" s="126"/>
      <c r="I162" s="126"/>
      <c r="J162" s="126"/>
    </row>
    <row r="163" spans="4:10" s="124" customFormat="1" x14ac:dyDescent="0.25">
      <c r="D163" s="126"/>
      <c r="E163" s="126"/>
      <c r="F163" s="126"/>
      <c r="G163" s="126"/>
      <c r="H163" s="126"/>
      <c r="I163" s="126"/>
      <c r="J163" s="126"/>
    </row>
    <row r="164" spans="4:10" s="124" customFormat="1" x14ac:dyDescent="0.25">
      <c r="D164" s="126"/>
      <c r="E164" s="126"/>
      <c r="F164" s="126"/>
      <c r="G164" s="126"/>
      <c r="H164" s="126"/>
      <c r="I164" s="126"/>
      <c r="J164" s="126"/>
    </row>
    <row r="165" spans="4:10" s="124" customFormat="1" x14ac:dyDescent="0.25">
      <c r="D165" s="126"/>
      <c r="E165" s="126"/>
      <c r="F165" s="126"/>
      <c r="G165" s="126"/>
      <c r="H165" s="126"/>
      <c r="I165" s="126"/>
      <c r="J165" s="126"/>
    </row>
    <row r="166" spans="4:10" s="124" customFormat="1" x14ac:dyDescent="0.25">
      <c r="D166" s="126"/>
      <c r="E166" s="126"/>
      <c r="F166" s="126"/>
      <c r="G166" s="126"/>
      <c r="H166" s="126"/>
      <c r="I166" s="126"/>
      <c r="J166" s="126"/>
    </row>
    <row r="167" spans="4:10" s="124" customFormat="1" x14ac:dyDescent="0.25">
      <c r="D167" s="126"/>
      <c r="E167" s="126"/>
      <c r="F167" s="126"/>
      <c r="G167" s="126"/>
      <c r="H167" s="126"/>
      <c r="I167" s="126"/>
      <c r="J167" s="126"/>
    </row>
    <row r="168" spans="4:10" s="124" customFormat="1" x14ac:dyDescent="0.25">
      <c r="D168" s="126"/>
      <c r="E168" s="126"/>
      <c r="F168" s="126"/>
      <c r="G168" s="126"/>
      <c r="H168" s="126"/>
      <c r="I168" s="126"/>
      <c r="J168" s="126"/>
    </row>
    <row r="169" spans="4:10" s="124" customFormat="1" x14ac:dyDescent="0.25">
      <c r="D169" s="126"/>
      <c r="E169" s="126"/>
      <c r="F169" s="126"/>
      <c r="G169" s="126"/>
      <c r="H169" s="126"/>
      <c r="I169" s="126"/>
      <c r="J169" s="126"/>
    </row>
    <row r="170" spans="4:10" s="124" customFormat="1" x14ac:dyDescent="0.25">
      <c r="D170" s="126"/>
      <c r="E170" s="126"/>
      <c r="F170" s="126"/>
      <c r="G170" s="126"/>
      <c r="H170" s="126"/>
      <c r="I170" s="126"/>
      <c r="J170" s="126"/>
    </row>
    <row r="171" spans="4:10" s="124" customFormat="1" x14ac:dyDescent="0.25">
      <c r="D171" s="126"/>
      <c r="E171" s="126"/>
      <c r="F171" s="126"/>
      <c r="G171" s="126"/>
      <c r="H171" s="126"/>
      <c r="I171" s="126"/>
      <c r="J171" s="126"/>
    </row>
    <row r="172" spans="4:10" s="124" customFormat="1" x14ac:dyDescent="0.25">
      <c r="D172" s="126"/>
      <c r="E172" s="126"/>
      <c r="F172" s="126"/>
      <c r="G172" s="126"/>
      <c r="H172" s="126"/>
      <c r="I172" s="126"/>
      <c r="J172" s="126"/>
    </row>
    <row r="173" spans="4:10" s="124" customFormat="1" x14ac:dyDescent="0.25">
      <c r="D173" s="126"/>
      <c r="E173" s="126"/>
      <c r="F173" s="126"/>
      <c r="G173" s="126"/>
      <c r="H173" s="126"/>
      <c r="I173" s="126"/>
      <c r="J173" s="126"/>
    </row>
    <row r="174" spans="4:10" s="124" customFormat="1" x14ac:dyDescent="0.25">
      <c r="D174" s="126"/>
      <c r="E174" s="126"/>
      <c r="F174" s="126"/>
      <c r="G174" s="126"/>
      <c r="H174" s="126"/>
      <c r="I174" s="126"/>
      <c r="J174" s="126"/>
    </row>
    <row r="175" spans="4:10" s="124" customFormat="1" x14ac:dyDescent="0.25">
      <c r="D175" s="126"/>
      <c r="E175" s="126"/>
      <c r="F175" s="126"/>
      <c r="G175" s="126"/>
      <c r="H175" s="126"/>
      <c r="I175" s="126"/>
      <c r="J175" s="126"/>
    </row>
    <row r="176" spans="4:10" s="124" customFormat="1" x14ac:dyDescent="0.25">
      <c r="D176" s="126"/>
      <c r="E176" s="126"/>
      <c r="F176" s="126"/>
      <c r="G176" s="126"/>
      <c r="H176" s="126"/>
      <c r="I176" s="126"/>
      <c r="J176" s="126"/>
    </row>
    <row r="177" spans="4:10" s="124" customFormat="1" x14ac:dyDescent="0.25">
      <c r="D177" s="126"/>
      <c r="E177" s="126"/>
      <c r="F177" s="126"/>
      <c r="G177" s="126"/>
      <c r="H177" s="126"/>
      <c r="I177" s="126"/>
      <c r="J177" s="126"/>
    </row>
    <row r="178" spans="4:10" s="124" customFormat="1" x14ac:dyDescent="0.25">
      <c r="D178" s="126"/>
      <c r="E178" s="126"/>
      <c r="F178" s="126"/>
      <c r="G178" s="126"/>
      <c r="H178" s="126"/>
      <c r="I178" s="126"/>
      <c r="J178" s="126"/>
    </row>
    <row r="179" spans="4:10" s="124" customFormat="1" x14ac:dyDescent="0.25">
      <c r="D179" s="126"/>
      <c r="E179" s="126"/>
      <c r="F179" s="126"/>
      <c r="G179" s="126"/>
      <c r="H179" s="126"/>
      <c r="I179" s="126"/>
      <c r="J179" s="126"/>
    </row>
    <row r="180" spans="4:10" s="124" customFormat="1" x14ac:dyDescent="0.25">
      <c r="D180" s="126"/>
      <c r="E180" s="126"/>
      <c r="F180" s="126"/>
      <c r="G180" s="126"/>
      <c r="H180" s="126"/>
      <c r="I180" s="126"/>
      <c r="J180" s="126"/>
    </row>
    <row r="181" spans="4:10" s="124" customFormat="1" x14ac:dyDescent="0.25">
      <c r="D181" s="126"/>
      <c r="E181" s="126"/>
      <c r="F181" s="126"/>
      <c r="G181" s="126"/>
      <c r="H181" s="126"/>
      <c r="I181" s="126"/>
      <c r="J181" s="126"/>
    </row>
    <row r="182" spans="4:10" s="124" customFormat="1" x14ac:dyDescent="0.25">
      <c r="D182" s="126"/>
      <c r="E182" s="126"/>
      <c r="F182" s="126"/>
      <c r="G182" s="126"/>
      <c r="H182" s="126"/>
      <c r="I182" s="126"/>
      <c r="J182" s="126"/>
    </row>
    <row r="183" spans="4:10" s="124" customFormat="1" x14ac:dyDescent="0.25">
      <c r="D183" s="126"/>
      <c r="E183" s="126"/>
      <c r="F183" s="126"/>
      <c r="G183" s="126"/>
      <c r="H183" s="126"/>
      <c r="I183" s="126"/>
      <c r="J183" s="126"/>
    </row>
    <row r="184" spans="4:10" s="124" customFormat="1" x14ac:dyDescent="0.25">
      <c r="D184" s="126"/>
      <c r="E184" s="126"/>
      <c r="F184" s="126"/>
      <c r="G184" s="126"/>
      <c r="H184" s="126"/>
      <c r="I184" s="126"/>
      <c r="J184" s="126"/>
    </row>
    <row r="185" spans="4:10" s="124" customFormat="1" x14ac:dyDescent="0.25">
      <c r="D185" s="126"/>
      <c r="E185" s="126"/>
      <c r="F185" s="126"/>
      <c r="G185" s="126"/>
      <c r="H185" s="126"/>
      <c r="I185" s="126"/>
      <c r="J185" s="126"/>
    </row>
    <row r="186" spans="4:10" s="124" customFormat="1" x14ac:dyDescent="0.25">
      <c r="D186" s="126"/>
      <c r="E186" s="126"/>
      <c r="F186" s="126"/>
      <c r="G186" s="126"/>
      <c r="H186" s="126"/>
      <c r="I186" s="126"/>
      <c r="J186" s="126"/>
    </row>
    <row r="187" spans="4:10" s="124" customFormat="1" x14ac:dyDescent="0.25">
      <c r="D187" s="126"/>
      <c r="E187" s="126"/>
      <c r="F187" s="126"/>
      <c r="G187" s="126"/>
      <c r="H187" s="126"/>
      <c r="I187" s="126"/>
      <c r="J187" s="126"/>
    </row>
    <row r="188" spans="4:10" s="124" customFormat="1" x14ac:dyDescent="0.25">
      <c r="D188" s="126"/>
      <c r="E188" s="126"/>
      <c r="F188" s="126"/>
      <c r="G188" s="126"/>
      <c r="H188" s="126"/>
      <c r="I188" s="126"/>
      <c r="J188" s="126"/>
    </row>
    <row r="189" spans="4:10" s="124" customFormat="1" x14ac:dyDescent="0.25">
      <c r="D189" s="126"/>
      <c r="E189" s="126"/>
      <c r="F189" s="126"/>
      <c r="G189" s="126"/>
      <c r="H189" s="126"/>
      <c r="I189" s="126"/>
      <c r="J189" s="126"/>
    </row>
    <row r="190" spans="4:10" s="124" customFormat="1" x14ac:dyDescent="0.25">
      <c r="D190" s="126"/>
      <c r="E190" s="126"/>
      <c r="F190" s="126"/>
      <c r="G190" s="126"/>
      <c r="H190" s="126"/>
      <c r="I190" s="126"/>
      <c r="J190" s="126"/>
    </row>
    <row r="191" spans="4:10" s="124" customFormat="1" x14ac:dyDescent="0.25">
      <c r="D191" s="126"/>
      <c r="E191" s="126"/>
      <c r="F191" s="126"/>
      <c r="G191" s="126"/>
      <c r="H191" s="126"/>
      <c r="I191" s="126"/>
      <c r="J191" s="126"/>
    </row>
    <row r="192" spans="4:10" s="124" customFormat="1" x14ac:dyDescent="0.25">
      <c r="D192" s="126"/>
      <c r="E192" s="126"/>
      <c r="F192" s="126"/>
      <c r="G192" s="126"/>
      <c r="H192" s="126"/>
      <c r="I192" s="126"/>
      <c r="J192" s="126"/>
    </row>
    <row r="193" spans="4:10" s="124" customFormat="1" x14ac:dyDescent="0.25">
      <c r="D193" s="126"/>
      <c r="E193" s="126"/>
      <c r="F193" s="126"/>
      <c r="G193" s="126"/>
      <c r="H193" s="126"/>
      <c r="I193" s="126"/>
      <c r="J193" s="126"/>
    </row>
    <row r="194" spans="4:10" s="124" customFormat="1" x14ac:dyDescent="0.25">
      <c r="D194" s="126"/>
      <c r="E194" s="126"/>
      <c r="F194" s="126"/>
      <c r="G194" s="126"/>
      <c r="H194" s="126"/>
      <c r="I194" s="126"/>
      <c r="J194" s="126"/>
    </row>
    <row r="195" spans="4:10" s="124" customFormat="1" x14ac:dyDescent="0.25">
      <c r="D195" s="126"/>
      <c r="E195" s="126"/>
      <c r="F195" s="126"/>
      <c r="G195" s="126"/>
      <c r="H195" s="126"/>
      <c r="I195" s="126"/>
      <c r="J195" s="126"/>
    </row>
    <row r="196" spans="4:10" s="124" customFormat="1" x14ac:dyDescent="0.25">
      <c r="D196" s="126"/>
      <c r="E196" s="126"/>
      <c r="F196" s="126"/>
      <c r="G196" s="126"/>
      <c r="H196" s="126"/>
      <c r="I196" s="126"/>
      <c r="J196" s="126"/>
    </row>
    <row r="197" spans="4:10" s="124" customFormat="1" x14ac:dyDescent="0.25">
      <c r="D197" s="126"/>
      <c r="E197" s="126"/>
      <c r="F197" s="126"/>
      <c r="G197" s="126"/>
      <c r="H197" s="126"/>
      <c r="I197" s="126"/>
      <c r="J197" s="126"/>
    </row>
    <row r="198" spans="4:10" s="124" customFormat="1" x14ac:dyDescent="0.25">
      <c r="D198" s="126"/>
      <c r="E198" s="126"/>
      <c r="F198" s="126"/>
      <c r="G198" s="126"/>
      <c r="H198" s="126"/>
      <c r="I198" s="126"/>
      <c r="J198" s="126"/>
    </row>
    <row r="199" spans="4:10" s="124" customFormat="1" x14ac:dyDescent="0.25">
      <c r="D199" s="126"/>
      <c r="E199" s="126"/>
      <c r="F199" s="126"/>
      <c r="G199" s="126"/>
      <c r="H199" s="126"/>
      <c r="I199" s="126"/>
      <c r="J199" s="126"/>
    </row>
    <row r="200" spans="4:10" s="124" customFormat="1" x14ac:dyDescent="0.25">
      <c r="D200" s="126"/>
      <c r="E200" s="126"/>
      <c r="F200" s="126"/>
      <c r="G200" s="126"/>
      <c r="H200" s="126"/>
      <c r="I200" s="126"/>
      <c r="J200" s="126"/>
    </row>
    <row r="201" spans="4:10" s="124" customFormat="1" x14ac:dyDescent="0.25">
      <c r="D201" s="126"/>
      <c r="E201" s="126"/>
      <c r="F201" s="126"/>
      <c r="G201" s="126"/>
      <c r="H201" s="126"/>
      <c r="I201" s="126"/>
      <c r="J201" s="126"/>
    </row>
    <row r="202" spans="4:10" s="124" customFormat="1" x14ac:dyDescent="0.25">
      <c r="D202" s="126"/>
      <c r="E202" s="126"/>
      <c r="F202" s="126"/>
      <c r="G202" s="126"/>
      <c r="H202" s="126"/>
      <c r="I202" s="126"/>
      <c r="J202" s="126"/>
    </row>
    <row r="203" spans="4:10" s="124" customFormat="1" x14ac:dyDescent="0.25">
      <c r="D203" s="126"/>
      <c r="E203" s="126"/>
      <c r="F203" s="126"/>
      <c r="G203" s="126"/>
      <c r="H203" s="126"/>
      <c r="I203" s="126"/>
      <c r="J203" s="126"/>
    </row>
    <row r="204" spans="4:10" s="124" customFormat="1" x14ac:dyDescent="0.25">
      <c r="D204" s="126"/>
      <c r="E204" s="126"/>
      <c r="F204" s="126"/>
      <c r="G204" s="126"/>
      <c r="H204" s="126"/>
      <c r="I204" s="126"/>
      <c r="J204" s="126"/>
    </row>
    <row r="205" spans="4:10" s="124" customFormat="1" x14ac:dyDescent="0.25">
      <c r="D205" s="126"/>
      <c r="E205" s="126"/>
      <c r="F205" s="126"/>
      <c r="G205" s="126"/>
      <c r="H205" s="126"/>
      <c r="I205" s="126"/>
      <c r="J205" s="126"/>
    </row>
    <row r="206" spans="4:10" s="124" customFormat="1" x14ac:dyDescent="0.25">
      <c r="D206" s="126"/>
      <c r="E206" s="126"/>
      <c r="F206" s="126"/>
      <c r="G206" s="126"/>
      <c r="H206" s="126"/>
      <c r="I206" s="126"/>
      <c r="J206" s="126"/>
    </row>
    <row r="207" spans="4:10" s="124" customFormat="1" x14ac:dyDescent="0.25">
      <c r="D207" s="126"/>
      <c r="E207" s="126"/>
      <c r="F207" s="126"/>
      <c r="G207" s="126"/>
      <c r="H207" s="126"/>
      <c r="I207" s="126"/>
      <c r="J207" s="126"/>
    </row>
    <row r="208" spans="4:10" s="124" customFormat="1" x14ac:dyDescent="0.25">
      <c r="D208" s="126"/>
      <c r="E208" s="126"/>
      <c r="F208" s="126"/>
      <c r="G208" s="126"/>
      <c r="H208" s="126"/>
      <c r="I208" s="126"/>
      <c r="J208" s="126"/>
    </row>
    <row r="209" spans="4:10" s="124" customFormat="1" x14ac:dyDescent="0.25">
      <c r="D209" s="126"/>
      <c r="E209" s="126"/>
      <c r="F209" s="126"/>
      <c r="G209" s="126"/>
      <c r="H209" s="126"/>
      <c r="I209" s="126"/>
      <c r="J209" s="126"/>
    </row>
    <row r="210" spans="4:10" s="124" customFormat="1" x14ac:dyDescent="0.25">
      <c r="D210" s="126"/>
      <c r="E210" s="126"/>
      <c r="F210" s="126"/>
      <c r="G210" s="126"/>
      <c r="H210" s="126"/>
      <c r="I210" s="126"/>
      <c r="J210" s="126"/>
    </row>
    <row r="211" spans="4:10" s="124" customFormat="1" x14ac:dyDescent="0.25">
      <c r="D211" s="126"/>
      <c r="E211" s="126"/>
      <c r="F211" s="126"/>
      <c r="G211" s="126"/>
      <c r="H211" s="126"/>
      <c r="I211" s="126"/>
      <c r="J211" s="126"/>
    </row>
    <row r="212" spans="4:10" s="124" customFormat="1" x14ac:dyDescent="0.25">
      <c r="D212" s="126"/>
      <c r="E212" s="126"/>
      <c r="F212" s="126"/>
      <c r="G212" s="126"/>
      <c r="H212" s="126"/>
      <c r="I212" s="126"/>
      <c r="J212" s="126"/>
    </row>
    <row r="213" spans="4:10" s="124" customFormat="1" x14ac:dyDescent="0.25">
      <c r="D213" s="126"/>
      <c r="E213" s="126"/>
      <c r="F213" s="126"/>
      <c r="G213" s="126"/>
      <c r="H213" s="126"/>
      <c r="I213" s="126"/>
      <c r="J213" s="126"/>
    </row>
    <row r="214" spans="4:10" s="124" customFormat="1" x14ac:dyDescent="0.25">
      <c r="D214" s="126"/>
      <c r="E214" s="126"/>
      <c r="F214" s="126"/>
      <c r="G214" s="126"/>
      <c r="H214" s="126"/>
      <c r="I214" s="126"/>
      <c r="J214" s="126"/>
    </row>
    <row r="215" spans="4:10" s="124" customFormat="1" x14ac:dyDescent="0.25">
      <c r="D215" s="126"/>
      <c r="E215" s="126"/>
      <c r="F215" s="126"/>
      <c r="G215" s="126"/>
      <c r="H215" s="126"/>
      <c r="I215" s="126"/>
      <c r="J215" s="126"/>
    </row>
    <row r="216" spans="4:10" s="124" customFormat="1" x14ac:dyDescent="0.25">
      <c r="D216" s="126"/>
      <c r="E216" s="126"/>
      <c r="F216" s="126"/>
      <c r="G216" s="126"/>
      <c r="H216" s="126"/>
      <c r="I216" s="126"/>
      <c r="J216" s="126"/>
    </row>
    <row r="217" spans="4:10" s="124" customFormat="1" x14ac:dyDescent="0.25">
      <c r="D217" s="126"/>
      <c r="E217" s="126"/>
      <c r="F217" s="126"/>
      <c r="G217" s="126"/>
      <c r="H217" s="126"/>
      <c r="I217" s="126"/>
      <c r="J217" s="126"/>
    </row>
    <row r="218" spans="4:10" s="124" customFormat="1" x14ac:dyDescent="0.25">
      <c r="D218" s="126"/>
      <c r="E218" s="126"/>
      <c r="F218" s="126"/>
      <c r="G218" s="126"/>
      <c r="H218" s="126"/>
      <c r="I218" s="126"/>
      <c r="J218" s="126"/>
    </row>
    <row r="219" spans="4:10" s="124" customFormat="1" x14ac:dyDescent="0.25">
      <c r="D219" s="126"/>
      <c r="E219" s="126"/>
      <c r="F219" s="126"/>
      <c r="G219" s="126"/>
      <c r="H219" s="126"/>
      <c r="I219" s="126"/>
      <c r="J219" s="126"/>
    </row>
    <row r="220" spans="4:10" s="124" customFormat="1" x14ac:dyDescent="0.25">
      <c r="D220" s="126"/>
      <c r="E220" s="126"/>
      <c r="F220" s="126"/>
      <c r="G220" s="126"/>
      <c r="H220" s="126"/>
      <c r="I220" s="126"/>
      <c r="J220" s="126"/>
    </row>
    <row r="221" spans="4:10" s="124" customFormat="1" x14ac:dyDescent="0.25">
      <c r="D221" s="126"/>
      <c r="E221" s="126"/>
      <c r="F221" s="126"/>
      <c r="G221" s="126"/>
      <c r="H221" s="126"/>
      <c r="I221" s="126"/>
      <c r="J221" s="126"/>
    </row>
    <row r="222" spans="4:10" s="124" customFormat="1" x14ac:dyDescent="0.25">
      <c r="D222" s="126"/>
      <c r="E222" s="126"/>
      <c r="F222" s="126"/>
      <c r="G222" s="126"/>
      <c r="H222" s="126"/>
      <c r="I222" s="126"/>
      <c r="J222" s="126"/>
    </row>
    <row r="223" spans="4:10" s="124" customFormat="1" x14ac:dyDescent="0.25">
      <c r="D223" s="126"/>
      <c r="E223" s="126"/>
      <c r="F223" s="126"/>
      <c r="G223" s="126"/>
      <c r="H223" s="126"/>
      <c r="I223" s="126"/>
      <c r="J223" s="126"/>
    </row>
    <row r="224" spans="4:10" s="124" customFormat="1" x14ac:dyDescent="0.25">
      <c r="D224" s="126"/>
      <c r="E224" s="126"/>
      <c r="F224" s="126"/>
      <c r="G224" s="126"/>
      <c r="H224" s="126"/>
      <c r="I224" s="126"/>
      <c r="J224" s="126"/>
    </row>
    <row r="225" spans="4:10" s="124" customFormat="1" x14ac:dyDescent="0.25">
      <c r="D225" s="126"/>
      <c r="E225" s="126"/>
      <c r="F225" s="126"/>
      <c r="G225" s="126"/>
      <c r="H225" s="126"/>
      <c r="I225" s="126"/>
      <c r="J225" s="126"/>
    </row>
    <row r="226" spans="4:10" s="124" customFormat="1" x14ac:dyDescent="0.25">
      <c r="D226" s="126"/>
      <c r="E226" s="126"/>
      <c r="F226" s="126"/>
      <c r="G226" s="126"/>
      <c r="H226" s="126"/>
      <c r="I226" s="126"/>
      <c r="J226" s="126"/>
    </row>
    <row r="227" spans="4:10" s="124" customFormat="1" x14ac:dyDescent="0.25">
      <c r="D227" s="126"/>
      <c r="E227" s="126"/>
      <c r="F227" s="126"/>
      <c r="G227" s="126"/>
      <c r="H227" s="126"/>
      <c r="I227" s="126"/>
      <c r="J227" s="126"/>
    </row>
    <row r="228" spans="4:10" s="124" customFormat="1" x14ac:dyDescent="0.25">
      <c r="D228" s="126"/>
      <c r="E228" s="126"/>
      <c r="F228" s="126"/>
      <c r="G228" s="126"/>
      <c r="H228" s="126"/>
      <c r="I228" s="126"/>
      <c r="J228" s="126"/>
    </row>
    <row r="229" spans="4:10" s="124" customFormat="1" x14ac:dyDescent="0.25">
      <c r="D229" s="126"/>
      <c r="E229" s="126"/>
      <c r="F229" s="126"/>
      <c r="G229" s="126"/>
      <c r="H229" s="126"/>
      <c r="I229" s="126"/>
      <c r="J229" s="126"/>
    </row>
    <row r="230" spans="4:10" s="124" customFormat="1" x14ac:dyDescent="0.25">
      <c r="D230" s="126"/>
      <c r="E230" s="126"/>
      <c r="F230" s="126"/>
      <c r="G230" s="126"/>
      <c r="H230" s="126"/>
      <c r="I230" s="126"/>
      <c r="J230" s="126"/>
    </row>
    <row r="231" spans="4:10" s="124" customFormat="1" x14ac:dyDescent="0.25">
      <c r="D231" s="126"/>
      <c r="E231" s="126"/>
      <c r="F231" s="126"/>
      <c r="G231" s="126"/>
      <c r="H231" s="126"/>
      <c r="I231" s="126"/>
      <c r="J231" s="126"/>
    </row>
    <row r="232" spans="4:10" s="124" customFormat="1" x14ac:dyDescent="0.25">
      <c r="D232" s="126"/>
      <c r="E232" s="126"/>
      <c r="F232" s="126"/>
      <c r="G232" s="126"/>
      <c r="H232" s="126"/>
      <c r="I232" s="126"/>
      <c r="J232" s="126"/>
    </row>
    <row r="233" spans="4:10" s="124" customFormat="1" x14ac:dyDescent="0.25">
      <c r="D233" s="126"/>
      <c r="E233" s="126"/>
      <c r="F233" s="126"/>
      <c r="G233" s="126"/>
      <c r="H233" s="126"/>
      <c r="I233" s="126"/>
      <c r="J233" s="126"/>
    </row>
    <row r="234" spans="4:10" s="124" customFormat="1" x14ac:dyDescent="0.25">
      <c r="D234" s="126"/>
      <c r="E234" s="126"/>
      <c r="F234" s="126"/>
      <c r="G234" s="126"/>
      <c r="H234" s="126"/>
      <c r="I234" s="126"/>
      <c r="J234" s="126"/>
    </row>
    <row r="235" spans="4:10" s="124" customFormat="1" x14ac:dyDescent="0.25">
      <c r="D235" s="126"/>
      <c r="E235" s="126"/>
      <c r="F235" s="126"/>
      <c r="G235" s="126"/>
      <c r="H235" s="126"/>
      <c r="I235" s="126"/>
      <c r="J235" s="126"/>
    </row>
    <row r="236" spans="4:10" s="124" customFormat="1" x14ac:dyDescent="0.25">
      <c r="D236" s="126"/>
      <c r="E236" s="126"/>
      <c r="F236" s="126"/>
      <c r="G236" s="126"/>
      <c r="H236" s="126"/>
      <c r="I236" s="126"/>
      <c r="J236" s="126"/>
    </row>
    <row r="237" spans="4:10" s="124" customFormat="1" x14ac:dyDescent="0.25">
      <c r="D237" s="126"/>
      <c r="E237" s="126"/>
      <c r="F237" s="126"/>
      <c r="G237" s="126"/>
      <c r="H237" s="126"/>
      <c r="I237" s="126"/>
      <c r="J237" s="126"/>
    </row>
    <row r="238" spans="4:10" s="124" customFormat="1" x14ac:dyDescent="0.25">
      <c r="D238" s="126"/>
      <c r="E238" s="126"/>
      <c r="F238" s="126"/>
      <c r="G238" s="126"/>
      <c r="H238" s="126"/>
      <c r="I238" s="126"/>
      <c r="J238" s="126"/>
    </row>
    <row r="239" spans="4:10" s="124" customFormat="1" x14ac:dyDescent="0.25">
      <c r="D239" s="126"/>
      <c r="E239" s="126"/>
      <c r="F239" s="126"/>
      <c r="G239" s="126"/>
      <c r="H239" s="126"/>
      <c r="I239" s="126"/>
      <c r="J239" s="126"/>
    </row>
    <row r="240" spans="4:10" s="124" customFormat="1" x14ac:dyDescent="0.25">
      <c r="D240" s="126"/>
      <c r="E240" s="126"/>
      <c r="F240" s="126"/>
      <c r="G240" s="126"/>
      <c r="H240" s="126"/>
      <c r="I240" s="126"/>
      <c r="J240" s="126"/>
    </row>
    <row r="241" spans="4:10" s="124" customFormat="1" x14ac:dyDescent="0.25">
      <c r="D241" s="126"/>
      <c r="E241" s="126"/>
      <c r="F241" s="126"/>
      <c r="G241" s="126"/>
      <c r="H241" s="126"/>
      <c r="I241" s="126"/>
      <c r="J241" s="126"/>
    </row>
    <row r="242" spans="4:10" s="124" customFormat="1" x14ac:dyDescent="0.25">
      <c r="D242" s="126"/>
      <c r="E242" s="126"/>
      <c r="F242" s="126"/>
      <c r="G242" s="126"/>
      <c r="H242" s="126"/>
      <c r="I242" s="126"/>
      <c r="J242" s="126"/>
    </row>
    <row r="243" spans="4:10" s="124" customFormat="1" x14ac:dyDescent="0.25">
      <c r="D243" s="126"/>
      <c r="E243" s="126"/>
      <c r="F243" s="126"/>
      <c r="G243" s="126"/>
      <c r="H243" s="126"/>
      <c r="I243" s="126"/>
      <c r="J243" s="126"/>
    </row>
    <row r="244" spans="4:10" s="124" customFormat="1" x14ac:dyDescent="0.25">
      <c r="D244" s="126"/>
      <c r="E244" s="126"/>
      <c r="F244" s="126"/>
      <c r="G244" s="126"/>
      <c r="H244" s="126"/>
      <c r="I244" s="126"/>
      <c r="J244" s="126"/>
    </row>
    <row r="245" spans="4:10" s="124" customFormat="1" x14ac:dyDescent="0.25">
      <c r="D245" s="126"/>
      <c r="E245" s="126"/>
      <c r="F245" s="126"/>
      <c r="G245" s="126"/>
      <c r="H245" s="126"/>
      <c r="I245" s="126"/>
      <c r="J245" s="126"/>
    </row>
    <row r="246" spans="4:10" s="124" customFormat="1" x14ac:dyDescent="0.25">
      <c r="D246" s="126"/>
      <c r="E246" s="126"/>
      <c r="F246" s="126"/>
      <c r="G246" s="126"/>
      <c r="H246" s="126"/>
      <c r="I246" s="126"/>
      <c r="J246" s="126"/>
    </row>
    <row r="247" spans="4:10" s="124" customFormat="1" x14ac:dyDescent="0.25">
      <c r="D247" s="126"/>
      <c r="E247" s="126"/>
      <c r="F247" s="126"/>
      <c r="G247" s="126"/>
      <c r="H247" s="126"/>
      <c r="I247" s="126"/>
      <c r="J247" s="126"/>
    </row>
    <row r="248" spans="4:10" s="124" customFormat="1" x14ac:dyDescent="0.25">
      <c r="D248" s="126"/>
      <c r="E248" s="126"/>
      <c r="F248" s="126"/>
      <c r="G248" s="126"/>
      <c r="H248" s="126"/>
      <c r="I248" s="126"/>
      <c r="J248" s="126"/>
    </row>
    <row r="249" spans="4:10" s="124" customFormat="1" x14ac:dyDescent="0.25">
      <c r="D249" s="126"/>
      <c r="E249" s="126"/>
      <c r="F249" s="126"/>
      <c r="G249" s="126"/>
      <c r="H249" s="126"/>
      <c r="I249" s="126"/>
      <c r="J249" s="126"/>
    </row>
    <row r="250" spans="4:10" s="124" customFormat="1" x14ac:dyDescent="0.25">
      <c r="D250" s="126"/>
      <c r="E250" s="126"/>
      <c r="F250" s="126"/>
      <c r="G250" s="126"/>
      <c r="H250" s="126"/>
      <c r="I250" s="126"/>
      <c r="J250" s="126"/>
    </row>
    <row r="251" spans="4:10" s="124" customFormat="1" x14ac:dyDescent="0.25">
      <c r="D251" s="126"/>
      <c r="E251" s="126"/>
      <c r="F251" s="126"/>
      <c r="G251" s="126"/>
      <c r="H251" s="126"/>
      <c r="I251" s="126"/>
      <c r="J251" s="126"/>
    </row>
    <row r="252" spans="4:10" s="124" customFormat="1" x14ac:dyDescent="0.25">
      <c r="D252" s="126"/>
      <c r="E252" s="126"/>
      <c r="F252" s="126"/>
      <c r="G252" s="126"/>
      <c r="H252" s="126"/>
      <c r="I252" s="126"/>
      <c r="J252" s="126"/>
    </row>
    <row r="253" spans="4:10" s="124" customFormat="1" x14ac:dyDescent="0.25">
      <c r="D253" s="126"/>
      <c r="E253" s="126"/>
      <c r="F253" s="126"/>
      <c r="G253" s="126"/>
      <c r="H253" s="126"/>
      <c r="I253" s="126"/>
      <c r="J253" s="126"/>
    </row>
    <row r="254" spans="4:10" s="124" customFormat="1" x14ac:dyDescent="0.25">
      <c r="D254" s="126"/>
      <c r="E254" s="126"/>
      <c r="F254" s="126"/>
      <c r="G254" s="126"/>
      <c r="H254" s="126"/>
      <c r="I254" s="126"/>
      <c r="J254" s="126"/>
    </row>
    <row r="255" spans="4:10" s="124" customFormat="1" x14ac:dyDescent="0.25">
      <c r="D255" s="126"/>
      <c r="E255" s="126"/>
      <c r="F255" s="126"/>
      <c r="G255" s="126"/>
      <c r="H255" s="126"/>
      <c r="I255" s="126"/>
      <c r="J255" s="126"/>
    </row>
    <row r="256" spans="4:10" s="124" customFormat="1" x14ac:dyDescent="0.25">
      <c r="D256" s="126"/>
      <c r="E256" s="126"/>
      <c r="F256" s="126"/>
      <c r="G256" s="126"/>
      <c r="H256" s="126"/>
      <c r="I256" s="126"/>
      <c r="J256" s="126"/>
    </row>
    <row r="257" spans="4:10" s="124" customFormat="1" x14ac:dyDescent="0.25">
      <c r="D257" s="126"/>
      <c r="E257" s="126"/>
      <c r="F257" s="126"/>
      <c r="G257" s="126"/>
      <c r="H257" s="126"/>
      <c r="I257" s="126"/>
      <c r="J257" s="126"/>
    </row>
    <row r="258" spans="4:10" s="124" customFormat="1" x14ac:dyDescent="0.25">
      <c r="D258" s="126"/>
      <c r="E258" s="126"/>
      <c r="F258" s="126"/>
      <c r="G258" s="126"/>
      <c r="H258" s="126"/>
      <c r="I258" s="126"/>
      <c r="J258" s="126"/>
    </row>
    <row r="259" spans="4:10" s="124" customFormat="1" x14ac:dyDescent="0.25">
      <c r="D259" s="126"/>
      <c r="E259" s="126"/>
      <c r="F259" s="126"/>
      <c r="G259" s="126"/>
      <c r="H259" s="126"/>
      <c r="I259" s="126"/>
      <c r="J259" s="126"/>
    </row>
    <row r="260" spans="4:10" s="124" customFormat="1" x14ac:dyDescent="0.25">
      <c r="D260" s="126"/>
      <c r="E260" s="126"/>
      <c r="F260" s="126"/>
      <c r="G260" s="126"/>
      <c r="H260" s="126"/>
      <c r="I260" s="126"/>
      <c r="J260" s="126"/>
    </row>
    <row r="261" spans="4:10" s="124" customFormat="1" x14ac:dyDescent="0.25">
      <c r="D261" s="126"/>
      <c r="E261" s="126"/>
      <c r="F261" s="126"/>
      <c r="G261" s="126"/>
      <c r="H261" s="126"/>
      <c r="I261" s="126"/>
      <c r="J261" s="126"/>
    </row>
    <row r="262" spans="4:10" s="124" customFormat="1" x14ac:dyDescent="0.25">
      <c r="D262" s="126"/>
      <c r="E262" s="126"/>
      <c r="F262" s="126"/>
      <c r="G262" s="126"/>
      <c r="H262" s="126"/>
      <c r="I262" s="126"/>
      <c r="J262" s="126"/>
    </row>
    <row r="263" spans="4:10" s="124" customFormat="1" x14ac:dyDescent="0.25">
      <c r="D263" s="126"/>
      <c r="E263" s="126"/>
      <c r="F263" s="126"/>
      <c r="G263" s="126"/>
      <c r="H263" s="126"/>
      <c r="I263" s="126"/>
      <c r="J263" s="126"/>
    </row>
    <row r="264" spans="4:10" s="124" customFormat="1" x14ac:dyDescent="0.25">
      <c r="D264" s="126"/>
      <c r="E264" s="126"/>
      <c r="F264" s="126"/>
      <c r="G264" s="126"/>
      <c r="H264" s="126"/>
      <c r="I264" s="126"/>
      <c r="J264" s="126"/>
    </row>
    <row r="265" spans="4:10" s="124" customFormat="1" x14ac:dyDescent="0.25">
      <c r="D265" s="126"/>
      <c r="E265" s="126"/>
      <c r="F265" s="126"/>
      <c r="G265" s="126"/>
      <c r="H265" s="126"/>
      <c r="I265" s="126"/>
      <c r="J265" s="126"/>
    </row>
    <row r="266" spans="4:10" s="124" customFormat="1" x14ac:dyDescent="0.25">
      <c r="D266" s="126"/>
      <c r="E266" s="126"/>
      <c r="F266" s="126"/>
      <c r="G266" s="126"/>
      <c r="H266" s="126"/>
      <c r="I266" s="126"/>
      <c r="J266" s="126"/>
    </row>
    <row r="267" spans="4:10" s="124" customFormat="1" x14ac:dyDescent="0.25">
      <c r="D267" s="126"/>
      <c r="E267" s="126"/>
      <c r="F267" s="126"/>
      <c r="G267" s="126"/>
      <c r="H267" s="126"/>
      <c r="I267" s="126"/>
      <c r="J267" s="126"/>
    </row>
    <row r="268" spans="4:10" s="124" customFormat="1" x14ac:dyDescent="0.25">
      <c r="D268" s="126"/>
      <c r="E268" s="126"/>
      <c r="F268" s="126"/>
      <c r="G268" s="126"/>
      <c r="H268" s="126"/>
      <c r="I268" s="126"/>
      <c r="J268" s="126"/>
    </row>
    <row r="269" spans="4:10" s="124" customFormat="1" x14ac:dyDescent="0.25">
      <c r="D269" s="126"/>
      <c r="E269" s="126"/>
      <c r="F269" s="126"/>
      <c r="G269" s="126"/>
      <c r="H269" s="126"/>
      <c r="I269" s="126"/>
      <c r="J269" s="126"/>
    </row>
    <row r="270" spans="4:10" s="124" customFormat="1" x14ac:dyDescent="0.25">
      <c r="D270" s="126"/>
      <c r="E270" s="126"/>
      <c r="F270" s="126"/>
      <c r="G270" s="126"/>
      <c r="H270" s="126"/>
      <c r="I270" s="126"/>
      <c r="J270" s="126"/>
    </row>
    <row r="271" spans="4:10" s="124" customFormat="1" x14ac:dyDescent="0.25">
      <c r="D271" s="126"/>
      <c r="E271" s="126"/>
      <c r="F271" s="126"/>
      <c r="G271" s="126"/>
      <c r="H271" s="126"/>
      <c r="I271" s="126"/>
      <c r="J271" s="126"/>
    </row>
    <row r="272" spans="4:10" s="124" customFormat="1" x14ac:dyDescent="0.25">
      <c r="D272" s="126"/>
      <c r="E272" s="126"/>
      <c r="F272" s="126"/>
      <c r="G272" s="126"/>
      <c r="H272" s="126"/>
      <c r="I272" s="126"/>
      <c r="J272" s="126"/>
    </row>
    <row r="273" spans="4:10" s="124" customFormat="1" x14ac:dyDescent="0.25">
      <c r="D273" s="126"/>
      <c r="E273" s="126"/>
      <c r="F273" s="126"/>
      <c r="G273" s="126"/>
      <c r="H273" s="126"/>
      <c r="I273" s="126"/>
      <c r="J273" s="126"/>
    </row>
    <row r="274" spans="4:10" s="124" customFormat="1" x14ac:dyDescent="0.25">
      <c r="D274" s="126"/>
      <c r="E274" s="126"/>
      <c r="F274" s="126"/>
      <c r="G274" s="126"/>
      <c r="H274" s="126"/>
      <c r="I274" s="126"/>
      <c r="J274" s="126"/>
    </row>
    <row r="275" spans="4:10" s="124" customFormat="1" x14ac:dyDescent="0.25">
      <c r="D275" s="126"/>
      <c r="E275" s="126"/>
      <c r="F275" s="126"/>
      <c r="G275" s="126"/>
      <c r="H275" s="126"/>
      <c r="I275" s="126"/>
      <c r="J275" s="126"/>
    </row>
    <row r="276" spans="4:10" s="124" customFormat="1" x14ac:dyDescent="0.25">
      <c r="D276" s="126"/>
      <c r="E276" s="126"/>
      <c r="F276" s="126"/>
      <c r="G276" s="126"/>
      <c r="H276" s="126"/>
      <c r="I276" s="126"/>
      <c r="J276" s="126"/>
    </row>
    <row r="277" spans="4:10" s="124" customFormat="1" x14ac:dyDescent="0.25">
      <c r="D277" s="126"/>
      <c r="E277" s="126"/>
      <c r="F277" s="126"/>
      <c r="G277" s="126"/>
      <c r="H277" s="126"/>
      <c r="I277" s="126"/>
      <c r="J277" s="126"/>
    </row>
    <row r="278" spans="4:10" s="124" customFormat="1" x14ac:dyDescent="0.25">
      <c r="D278" s="126"/>
      <c r="E278" s="126"/>
      <c r="F278" s="126"/>
      <c r="G278" s="126"/>
      <c r="H278" s="126"/>
      <c r="I278" s="126"/>
      <c r="J278" s="126"/>
    </row>
    <row r="279" spans="4:10" s="124" customFormat="1" x14ac:dyDescent="0.25">
      <c r="D279" s="126"/>
      <c r="E279" s="126"/>
      <c r="F279" s="126"/>
      <c r="G279" s="126"/>
      <c r="H279" s="126"/>
      <c r="I279" s="126"/>
      <c r="J279" s="126"/>
    </row>
    <row r="280" spans="4:10" s="124" customFormat="1" x14ac:dyDescent="0.25">
      <c r="D280" s="126"/>
      <c r="E280" s="126"/>
      <c r="F280" s="126"/>
      <c r="G280" s="126"/>
      <c r="H280" s="126"/>
      <c r="I280" s="126"/>
      <c r="J280" s="126"/>
    </row>
    <row r="281" spans="4:10" s="124" customFormat="1" x14ac:dyDescent="0.25">
      <c r="D281" s="126"/>
      <c r="E281" s="126"/>
      <c r="F281" s="126"/>
      <c r="G281" s="126"/>
      <c r="H281" s="126"/>
      <c r="I281" s="126"/>
      <c r="J281" s="126"/>
    </row>
    <row r="282" spans="4:10" s="124" customFormat="1" x14ac:dyDescent="0.25">
      <c r="D282" s="126"/>
      <c r="E282" s="126"/>
      <c r="F282" s="126"/>
      <c r="G282" s="126"/>
      <c r="H282" s="126"/>
      <c r="I282" s="126"/>
      <c r="J282" s="126"/>
    </row>
    <row r="283" spans="4:10" s="124" customFormat="1" x14ac:dyDescent="0.25">
      <c r="D283" s="126"/>
      <c r="E283" s="126"/>
      <c r="F283" s="126"/>
      <c r="G283" s="126"/>
      <c r="H283" s="126"/>
      <c r="I283" s="126"/>
      <c r="J283" s="126"/>
    </row>
    <row r="284" spans="4:10" s="124" customFormat="1" x14ac:dyDescent="0.25">
      <c r="D284" s="126"/>
      <c r="E284" s="126"/>
      <c r="F284" s="126"/>
      <c r="G284" s="126"/>
      <c r="H284" s="126"/>
      <c r="I284" s="126"/>
      <c r="J284" s="126"/>
    </row>
    <row r="285" spans="4:10" s="124" customFormat="1" x14ac:dyDescent="0.25">
      <c r="D285" s="126"/>
      <c r="E285" s="126"/>
      <c r="F285" s="126"/>
      <c r="G285" s="126"/>
      <c r="H285" s="126"/>
      <c r="I285" s="126"/>
      <c r="J285" s="126"/>
    </row>
    <row r="286" spans="4:10" s="124" customFormat="1" x14ac:dyDescent="0.25">
      <c r="D286" s="126"/>
      <c r="E286" s="126"/>
      <c r="F286" s="126"/>
      <c r="G286" s="126"/>
      <c r="H286" s="126"/>
      <c r="I286" s="126"/>
      <c r="J286" s="126"/>
    </row>
    <row r="287" spans="4:10" s="124" customFormat="1" x14ac:dyDescent="0.25">
      <c r="D287" s="126"/>
      <c r="E287" s="126"/>
      <c r="F287" s="126"/>
      <c r="G287" s="2"/>
      <c r="H287" s="2"/>
      <c r="I287" s="2"/>
      <c r="J287" s="126"/>
    </row>
    <row r="288" spans="4:10" s="124" customFormat="1" x14ac:dyDescent="0.25">
      <c r="D288" s="126"/>
      <c r="E288" s="126"/>
      <c r="F288" s="126"/>
      <c r="G288" s="2"/>
      <c r="H288" s="2"/>
      <c r="I288" s="2"/>
      <c r="J288" s="126"/>
    </row>
    <row r="289" spans="4:10" s="124" customFormat="1" x14ac:dyDescent="0.25">
      <c r="D289" s="126"/>
      <c r="E289" s="126"/>
      <c r="F289" s="126"/>
      <c r="G289" s="2"/>
      <c r="H289" s="2"/>
      <c r="I289" s="2"/>
      <c r="J289" s="126"/>
    </row>
    <row r="290" spans="4:10" s="124" customFormat="1" x14ac:dyDescent="0.25">
      <c r="D290" s="126"/>
      <c r="E290" s="126"/>
      <c r="F290" s="126"/>
      <c r="G290" s="2"/>
      <c r="H290" s="2"/>
      <c r="I290" s="2"/>
      <c r="J290" s="126"/>
    </row>
    <row r="291" spans="4:10" s="124" customFormat="1" x14ac:dyDescent="0.25">
      <c r="D291" s="126"/>
      <c r="E291" s="126"/>
      <c r="F291" s="126"/>
      <c r="G291" s="2"/>
      <c r="H291" s="2"/>
      <c r="I291" s="2"/>
      <c r="J291" s="126"/>
    </row>
  </sheetData>
  <mergeCells count="42">
    <mergeCell ref="G135:I138"/>
    <mergeCell ref="G140:I141"/>
    <mergeCell ref="A135:E141"/>
    <mergeCell ref="A143:E146"/>
    <mergeCell ref="A73:E76"/>
    <mergeCell ref="A127:E129"/>
    <mergeCell ref="A131:E133"/>
    <mergeCell ref="G130:I133"/>
    <mergeCell ref="G118:I120"/>
    <mergeCell ref="G122:I128"/>
    <mergeCell ref="G83:I84"/>
    <mergeCell ref="G86:I88"/>
    <mergeCell ref="G90:I92"/>
    <mergeCell ref="A124:E125"/>
    <mergeCell ref="A121:E122"/>
    <mergeCell ref="A116:E119"/>
    <mergeCell ref="G109:I116"/>
    <mergeCell ref="G73:I76"/>
    <mergeCell ref="G78:I81"/>
    <mergeCell ref="G94:I95"/>
    <mergeCell ref="E55:H55"/>
    <mergeCell ref="E56:H56"/>
    <mergeCell ref="A113:E114"/>
    <mergeCell ref="A78:E107"/>
    <mergeCell ref="G105:I107"/>
    <mergeCell ref="G101:I103"/>
    <mergeCell ref="A109:E111"/>
    <mergeCell ref="G97:I99"/>
    <mergeCell ref="E57:H57"/>
    <mergeCell ref="E59:H59"/>
    <mergeCell ref="E58:H58"/>
    <mergeCell ref="E54:H54"/>
    <mergeCell ref="B7:D7"/>
    <mergeCell ref="G7:H7"/>
    <mergeCell ref="E49:H49"/>
    <mergeCell ref="E51:H51"/>
    <mergeCell ref="E53:H53"/>
    <mergeCell ref="E47:H47"/>
    <mergeCell ref="E48:H48"/>
    <mergeCell ref="E50:H50"/>
    <mergeCell ref="E46:H46"/>
    <mergeCell ref="E52:H52"/>
  </mergeCells>
  <phoneticPr fontId="60" type="noConversion"/>
  <pageMargins left="0.70866141732283472" right="0.70866141732283472" top="0.74803149606299213" bottom="0.74803149606299213" header="0.31496062992125984" footer="0.31496062992125984"/>
  <pageSetup paperSize="9" scale="54" fitToHeight="2" orientation="landscape" r:id="rId1"/>
  <headerFooter>
    <oddHeader xml:space="preserve">&amp;CLincolnshire County Council </oddHeader>
    <oddFooter>&amp;C2016/17 Special School Budget Share Calculation
2016/17 Funding Summary</oddFooter>
  </headerFooter>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2:H13"/>
  <sheetViews>
    <sheetView workbookViewId="0">
      <selection sqref="A1:XFD1048576"/>
    </sheetView>
  </sheetViews>
  <sheetFormatPr defaultRowHeight="12.5" x14ac:dyDescent="0.25"/>
  <cols>
    <col min="1" max="1" width="29.453125" bestFit="1" customWidth="1"/>
    <col min="2" max="2" width="11.1796875" bestFit="1" customWidth="1"/>
    <col min="4" max="4" width="11.1796875" bestFit="1" customWidth="1"/>
    <col min="6" max="6" width="10.1796875" bestFit="1" customWidth="1"/>
  </cols>
  <sheetData>
    <row r="2" spans="1:8" ht="13" x14ac:dyDescent="0.3">
      <c r="A2" s="1" t="s">
        <v>0</v>
      </c>
      <c r="B2" s="231" t="s">
        <v>874</v>
      </c>
      <c r="C2" s="231"/>
      <c r="D2" s="231" t="s">
        <v>717</v>
      </c>
      <c r="E2" s="232"/>
      <c r="F2" s="231" t="s">
        <v>3</v>
      </c>
    </row>
    <row r="3" spans="1:8" x14ac:dyDescent="0.25">
      <c r="B3" s="16"/>
      <c r="C3" s="2"/>
      <c r="D3" s="2"/>
      <c r="F3" s="2"/>
    </row>
    <row r="4" spans="1:8" x14ac:dyDescent="0.25">
      <c r="A4" s="289" t="s">
        <v>4</v>
      </c>
      <c r="B4" s="16">
        <f>'1819 Funding Detail'!AI25</f>
        <v>28123653.133561216</v>
      </c>
      <c r="C4" s="2"/>
      <c r="D4" s="16">
        <v>25776508.120230969</v>
      </c>
      <c r="E4" s="230"/>
      <c r="F4" s="16">
        <f>B4-D4</f>
        <v>2347145.0133302473</v>
      </c>
      <c r="H4" s="289" t="s">
        <v>875</v>
      </c>
    </row>
    <row r="5" spans="1:8" x14ac:dyDescent="0.25">
      <c r="A5" s="289" t="s">
        <v>6</v>
      </c>
      <c r="B5" s="16">
        <f>'1819 Funding Detail'!F25</f>
        <v>909110</v>
      </c>
      <c r="C5" s="2"/>
      <c r="D5" s="16">
        <v>889975.85</v>
      </c>
      <c r="E5" s="230"/>
      <c r="F5" s="16">
        <f t="shared" ref="F5:F11" si="0">B5-D5</f>
        <v>19134.150000000023</v>
      </c>
      <c r="H5" s="289" t="s">
        <v>876</v>
      </c>
    </row>
    <row r="6" spans="1:8" x14ac:dyDescent="0.25">
      <c r="A6" s="289" t="s">
        <v>383</v>
      </c>
      <c r="B6" s="16">
        <f>'1819 Funding Detail'!G25</f>
        <v>41787</v>
      </c>
      <c r="C6" s="2"/>
      <c r="D6" s="16">
        <v>41787</v>
      </c>
      <c r="E6" s="230"/>
      <c r="F6" s="16">
        <f t="shared" si="0"/>
        <v>0</v>
      </c>
      <c r="H6" s="289"/>
    </row>
    <row r="7" spans="1:8" x14ac:dyDescent="0.25">
      <c r="A7" s="289" t="s">
        <v>8</v>
      </c>
      <c r="B7" s="16">
        <f>SUM('2018-19 Other Funding'!AW26)</f>
        <v>757936</v>
      </c>
      <c r="C7" s="2"/>
      <c r="D7" s="16">
        <v>757936</v>
      </c>
      <c r="E7" s="230"/>
      <c r="F7" s="16">
        <f t="shared" si="0"/>
        <v>0</v>
      </c>
      <c r="H7" s="289"/>
    </row>
    <row r="8" spans="1:8" ht="13" x14ac:dyDescent="0.3">
      <c r="A8" s="289" t="s">
        <v>10</v>
      </c>
      <c r="B8" s="16">
        <f>'2018-19 Other Funding'!AU26</f>
        <v>317322</v>
      </c>
      <c r="C8" s="2"/>
      <c r="D8" s="16">
        <v>317322</v>
      </c>
      <c r="E8" s="230"/>
      <c r="F8" s="16">
        <f t="shared" si="0"/>
        <v>0</v>
      </c>
      <c r="H8" s="184"/>
    </row>
    <row r="9" spans="1:8" x14ac:dyDescent="0.25">
      <c r="A9" s="289" t="s">
        <v>11</v>
      </c>
      <c r="B9" s="16">
        <f>'2018-19 Other Funding'!AY26</f>
        <v>1119519</v>
      </c>
      <c r="C9" s="2"/>
      <c r="D9" s="16">
        <v>1119519</v>
      </c>
      <c r="E9" s="230"/>
      <c r="F9" s="16">
        <f t="shared" si="0"/>
        <v>0</v>
      </c>
    </row>
    <row r="10" spans="1:8" x14ac:dyDescent="0.25">
      <c r="A10" s="289" t="s">
        <v>12</v>
      </c>
      <c r="B10" s="315">
        <v>1326280</v>
      </c>
      <c r="C10" s="2"/>
      <c r="D10" s="16">
        <v>1312995</v>
      </c>
      <c r="E10" s="230"/>
      <c r="F10" s="16">
        <f t="shared" si="0"/>
        <v>13285</v>
      </c>
      <c r="H10" s="289" t="s">
        <v>877</v>
      </c>
    </row>
    <row r="11" spans="1:8" x14ac:dyDescent="0.25">
      <c r="A11" s="289" t="s">
        <v>14</v>
      </c>
      <c r="B11" s="315">
        <v>297956</v>
      </c>
      <c r="C11" s="2"/>
      <c r="D11" s="16">
        <v>291991</v>
      </c>
      <c r="E11" s="230"/>
      <c r="F11" s="16">
        <f t="shared" si="0"/>
        <v>5965</v>
      </c>
      <c r="H11" s="289" t="s">
        <v>877</v>
      </c>
    </row>
    <row r="12" spans="1:8" ht="13" x14ac:dyDescent="0.3">
      <c r="A12" s="289"/>
      <c r="B12" s="16"/>
      <c r="C12" s="2"/>
      <c r="D12" s="16"/>
      <c r="E12" s="230"/>
      <c r="F12" s="72"/>
    </row>
    <row r="13" spans="1:8" ht="13" x14ac:dyDescent="0.3">
      <c r="A13" s="186" t="s">
        <v>878</v>
      </c>
      <c r="B13" s="72">
        <f>SUM(B4:B11)</f>
        <v>32893563.133561216</v>
      </c>
      <c r="C13" s="2"/>
      <c r="D13" s="72">
        <v>30508033.970230971</v>
      </c>
      <c r="E13" s="72"/>
      <c r="F13" s="72">
        <f>SUM(F4:F12)</f>
        <v>2385529.1633302472</v>
      </c>
      <c r="H13" s="184"/>
    </row>
  </sheetData>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2:H16"/>
  <sheetViews>
    <sheetView workbookViewId="0">
      <selection sqref="A1:XFD1048576"/>
    </sheetView>
  </sheetViews>
  <sheetFormatPr defaultRowHeight="12.5" x14ac:dyDescent="0.25"/>
  <cols>
    <col min="1" max="1" width="29.453125" bestFit="1" customWidth="1"/>
    <col min="2" max="2" width="11.1796875" bestFit="1" customWidth="1"/>
    <col min="4" max="4" width="11.1796875" bestFit="1" customWidth="1"/>
    <col min="6" max="6" width="10.1796875" bestFit="1" customWidth="1"/>
  </cols>
  <sheetData>
    <row r="2" spans="1:8" ht="13" x14ac:dyDescent="0.3">
      <c r="A2" s="1" t="s">
        <v>0</v>
      </c>
      <c r="B2" s="231" t="s">
        <v>879</v>
      </c>
      <c r="C2" s="231"/>
      <c r="D2" s="231" t="s">
        <v>874</v>
      </c>
      <c r="E2" s="232"/>
      <c r="F2" s="231" t="s">
        <v>3</v>
      </c>
    </row>
    <row r="3" spans="1:8" x14ac:dyDescent="0.25">
      <c r="B3" s="16"/>
      <c r="C3" s="2"/>
      <c r="D3" s="2"/>
      <c r="F3" s="2"/>
    </row>
    <row r="4" spans="1:8" x14ac:dyDescent="0.25">
      <c r="A4" s="289" t="s">
        <v>4</v>
      </c>
      <c r="B4" s="16">
        <f>'1920 Funding Detail'!AG25</f>
        <v>28779099.21874008</v>
      </c>
      <c r="C4" s="2"/>
      <c r="D4" s="16">
        <f>'1819 Funding Detail'!AI25</f>
        <v>28123653.133561216</v>
      </c>
      <c r="E4" s="230"/>
      <c r="F4" s="16">
        <f>B4-D4</f>
        <v>655446.08517886326</v>
      </c>
      <c r="H4" s="289" t="s">
        <v>880</v>
      </c>
    </row>
    <row r="5" spans="1:8" x14ac:dyDescent="0.25">
      <c r="A5" s="289" t="s">
        <v>6</v>
      </c>
      <c r="B5" s="16">
        <f>'1920 Funding Detail'!F25</f>
        <v>939529</v>
      </c>
      <c r="C5" s="2"/>
      <c r="D5" s="16">
        <f>SUM('1819 Funding Detail'!F25)</f>
        <v>909110</v>
      </c>
      <c r="E5" s="230"/>
      <c r="F5" s="16">
        <f t="shared" ref="F5:F11" si="0">B5-D5</f>
        <v>30419</v>
      </c>
      <c r="H5" s="289" t="s">
        <v>876</v>
      </c>
    </row>
    <row r="6" spans="1:8" x14ac:dyDescent="0.25">
      <c r="A6" s="289" t="s">
        <v>383</v>
      </c>
      <c r="B6" s="16">
        <f>'1920 Funding Detail'!G25</f>
        <v>41787</v>
      </c>
      <c r="C6" s="2"/>
      <c r="D6" s="16">
        <f>'1819 Funding Detail'!G25</f>
        <v>41787</v>
      </c>
      <c r="E6" s="230"/>
      <c r="F6" s="16">
        <f t="shared" si="0"/>
        <v>0</v>
      </c>
      <c r="H6" s="289"/>
    </row>
    <row r="7" spans="1:8" x14ac:dyDescent="0.25">
      <c r="A7" s="289" t="s">
        <v>8</v>
      </c>
      <c r="B7" s="16">
        <f>SUM('1920 Other Funding'!BC26)</f>
        <v>757936</v>
      </c>
      <c r="C7" s="2"/>
      <c r="D7" s="16">
        <f>'1920 Other Funding'!AW26</f>
        <v>757936</v>
      </c>
      <c r="E7" s="230"/>
      <c r="F7" s="16">
        <f t="shared" si="0"/>
        <v>0</v>
      </c>
      <c r="H7" s="289"/>
    </row>
    <row r="8" spans="1:8" ht="13" x14ac:dyDescent="0.3">
      <c r="A8" s="289" t="s">
        <v>10</v>
      </c>
      <c r="B8" s="16">
        <f>'1920 Other Funding'!BB26</f>
        <v>317322</v>
      </c>
      <c r="C8" s="2"/>
      <c r="D8" s="16">
        <f>'1920 Other Funding'!AU26</f>
        <v>317322</v>
      </c>
      <c r="E8" s="230"/>
      <c r="F8" s="16">
        <f t="shared" si="0"/>
        <v>0</v>
      </c>
      <c r="H8" s="184"/>
    </row>
    <row r="9" spans="1:8" x14ac:dyDescent="0.25">
      <c r="A9" s="289" t="s">
        <v>11</v>
      </c>
      <c r="B9" s="16">
        <f>'1920 Other Funding'!BD26</f>
        <v>1119519</v>
      </c>
      <c r="C9" s="2"/>
      <c r="D9" s="16">
        <f>'1920 Other Funding'!AY26</f>
        <v>1119519</v>
      </c>
      <c r="E9" s="230"/>
      <c r="F9" s="16">
        <f t="shared" si="0"/>
        <v>0</v>
      </c>
    </row>
    <row r="10" spans="1:8" x14ac:dyDescent="0.25">
      <c r="A10" s="289" t="s">
        <v>12</v>
      </c>
      <c r="B10" s="315">
        <v>1326125</v>
      </c>
      <c r="C10" s="2"/>
      <c r="D10" s="16">
        <v>1326280</v>
      </c>
      <c r="E10" s="230"/>
      <c r="F10" s="16">
        <f t="shared" si="0"/>
        <v>-155</v>
      </c>
      <c r="H10" s="289" t="s">
        <v>881</v>
      </c>
    </row>
    <row r="11" spans="1:8" x14ac:dyDescent="0.25">
      <c r="A11" s="289" t="s">
        <v>14</v>
      </c>
      <c r="B11" s="315">
        <v>294911</v>
      </c>
      <c r="C11" s="2"/>
      <c r="D11" s="16">
        <v>297956</v>
      </c>
      <c r="E11" s="230"/>
      <c r="F11" s="16">
        <f t="shared" si="0"/>
        <v>-3045</v>
      </c>
      <c r="H11" s="289" t="s">
        <v>881</v>
      </c>
    </row>
    <row r="12" spans="1:8" ht="13" x14ac:dyDescent="0.3">
      <c r="A12" s="289"/>
      <c r="B12" s="16"/>
      <c r="C12" s="2"/>
      <c r="D12" s="16"/>
      <c r="E12" s="230"/>
      <c r="F12" s="72"/>
    </row>
    <row r="13" spans="1:8" ht="13" x14ac:dyDescent="0.3">
      <c r="A13" s="186" t="s">
        <v>882</v>
      </c>
      <c r="B13" s="72">
        <f>SUM(B4:B11)</f>
        <v>33576228.218740076</v>
      </c>
      <c r="C13" s="2"/>
      <c r="D13" s="72">
        <f>SUM(D4:D11)</f>
        <v>32893563.133561216</v>
      </c>
      <c r="E13" s="72"/>
      <c r="F13" s="72">
        <f>SUM(F4:F12)</f>
        <v>682665.08517886326</v>
      </c>
      <c r="H13" s="184"/>
    </row>
    <row r="15" spans="1:8" x14ac:dyDescent="0.25">
      <c r="A15" s="289" t="s">
        <v>883</v>
      </c>
      <c r="B15" s="230">
        <f>'1920 Funding Detail'!AJ25+700000+130000</f>
        <v>19005833.333333332</v>
      </c>
    </row>
    <row r="16" spans="1:8" x14ac:dyDescent="0.25">
      <c r="A16" s="289" t="s">
        <v>884</v>
      </c>
      <c r="B16" s="230">
        <f>B13-B15</f>
        <v>14570394.885406744</v>
      </c>
    </row>
  </sheetData>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X52"/>
  <sheetViews>
    <sheetView topLeftCell="AA1" workbookViewId="0">
      <selection activeCell="AN30" sqref="AN30"/>
    </sheetView>
  </sheetViews>
  <sheetFormatPr defaultColWidth="10.26953125" defaultRowHeight="12.5" x14ac:dyDescent="0.25"/>
  <cols>
    <col min="1" max="1" width="10.26953125" style="29"/>
    <col min="2" max="2" width="31.54296875" style="29" customWidth="1"/>
    <col min="3" max="3" width="26.54296875" style="29" customWidth="1"/>
    <col min="4" max="7" width="15.7265625" style="30" customWidth="1"/>
    <col min="8" max="10" width="15.7265625" style="29" customWidth="1"/>
    <col min="11" max="11" width="15.7265625" style="30" customWidth="1"/>
    <col min="12" max="12" width="17.26953125" style="29" customWidth="1"/>
    <col min="13" max="13" width="10.26953125" style="30" customWidth="1"/>
    <col min="14" max="14" width="13.81640625" style="29" customWidth="1"/>
    <col min="15" max="15" width="13" style="30" customWidth="1"/>
    <col min="16" max="16" width="12.1796875" style="30" customWidth="1"/>
    <col min="17" max="17" width="11.26953125" style="29" customWidth="1"/>
    <col min="18" max="22" width="10.26953125" style="29" customWidth="1"/>
    <col min="23" max="24" width="11.1796875" style="29" customWidth="1"/>
    <col min="25" max="25" width="10.26953125" style="29" customWidth="1"/>
    <col min="26" max="26" width="10.26953125" style="31" customWidth="1"/>
    <col min="27" max="27" width="11.81640625" style="30" customWidth="1"/>
    <col min="28" max="28" width="10.26953125" style="30" customWidth="1"/>
    <col min="29" max="30" width="10.26953125" style="29" customWidth="1"/>
    <col min="31" max="31" width="9.54296875" style="30" customWidth="1"/>
    <col min="32" max="32" width="10.26953125" style="30" customWidth="1"/>
    <col min="33" max="39" width="10.81640625" style="30" customWidth="1"/>
    <col min="40" max="40" width="10.26953125" style="29" customWidth="1"/>
    <col min="41" max="45" width="10.26953125" style="29"/>
    <col min="46" max="48" width="14.453125" style="29" bestFit="1" customWidth="1"/>
    <col min="49" max="16384" width="10.26953125" style="29"/>
  </cols>
  <sheetData>
    <row r="1" spans="1:50" ht="17.5" x14ac:dyDescent="0.35">
      <c r="A1" s="36"/>
      <c r="B1" s="33" t="s">
        <v>885</v>
      </c>
      <c r="C1" s="36"/>
      <c r="D1" s="234"/>
      <c r="E1" s="234"/>
      <c r="F1" s="234"/>
      <c r="G1" s="234"/>
      <c r="H1" s="36"/>
      <c r="I1" s="36"/>
      <c r="J1" s="36"/>
      <c r="K1" s="234"/>
      <c r="L1" s="36"/>
      <c r="M1" s="234"/>
      <c r="N1" s="36"/>
      <c r="O1" s="234"/>
      <c r="P1" s="234"/>
      <c r="Q1" s="36"/>
      <c r="R1" s="36"/>
      <c r="S1" s="36"/>
      <c r="T1" s="268">
        <v>0</v>
      </c>
      <c r="U1" s="36"/>
      <c r="V1" s="36"/>
      <c r="W1" s="36"/>
      <c r="X1" s="36"/>
      <c r="Y1" s="36"/>
      <c r="Z1" s="235"/>
      <c r="AA1" s="234"/>
      <c r="AB1" s="234"/>
      <c r="AC1" s="36"/>
      <c r="AD1" s="36"/>
      <c r="AE1" s="234"/>
      <c r="AF1" s="234"/>
      <c r="AG1" s="234"/>
      <c r="AH1" s="234"/>
      <c r="AI1" s="234"/>
      <c r="AJ1" s="234"/>
      <c r="AK1" s="234"/>
      <c r="AL1" s="234"/>
      <c r="AM1" s="234"/>
      <c r="AN1" s="36"/>
      <c r="AO1" s="36"/>
      <c r="AP1" s="94" t="s">
        <v>180</v>
      </c>
      <c r="AQ1" s="94"/>
      <c r="AR1" s="94"/>
      <c r="AS1" s="36"/>
      <c r="AT1" s="36"/>
      <c r="AU1" s="36"/>
      <c r="AV1" s="36"/>
      <c r="AW1" s="36"/>
      <c r="AX1" s="36"/>
    </row>
    <row r="2" spans="1:50" x14ac:dyDescent="0.25">
      <c r="A2" s="36"/>
      <c r="B2" s="36"/>
      <c r="C2" s="36"/>
      <c r="D2" s="234"/>
      <c r="E2" s="234"/>
      <c r="F2" s="234"/>
      <c r="G2" s="234"/>
      <c r="H2" s="36"/>
      <c r="I2" s="36"/>
      <c r="J2" s="36"/>
      <c r="K2" s="234"/>
      <c r="L2" s="36"/>
      <c r="M2" s="234"/>
      <c r="N2" s="36"/>
      <c r="O2" s="234"/>
      <c r="P2" s="234"/>
      <c r="Q2" s="36"/>
      <c r="R2" s="1242"/>
      <c r="S2" s="1242"/>
      <c r="T2" s="1510" t="s">
        <v>181</v>
      </c>
      <c r="U2" s="36"/>
      <c r="V2" s="36"/>
      <c r="W2" s="36"/>
      <c r="X2" s="36"/>
      <c r="Y2" s="36"/>
      <c r="Z2" s="235"/>
      <c r="AA2" s="234"/>
      <c r="AB2" s="234"/>
      <c r="AC2" s="36"/>
      <c r="AD2" s="36"/>
      <c r="AE2" s="234"/>
      <c r="AF2" s="234"/>
      <c r="AG2" s="234"/>
      <c r="AH2" s="234"/>
      <c r="AI2" s="234"/>
      <c r="AJ2" s="234"/>
      <c r="AK2" s="234"/>
      <c r="AL2" s="234"/>
      <c r="AM2" s="234"/>
      <c r="AN2" s="234"/>
      <c r="AO2" s="36"/>
      <c r="AP2" s="234"/>
      <c r="AQ2" s="234"/>
      <c r="AR2" s="1441" t="s">
        <v>181</v>
      </c>
      <c r="AS2" s="36"/>
      <c r="AT2" s="36"/>
      <c r="AU2" s="36"/>
      <c r="AV2" s="36"/>
      <c r="AW2" s="36"/>
      <c r="AX2" s="36"/>
    </row>
    <row r="3" spans="1:50" ht="39" customHeight="1" x14ac:dyDescent="0.25">
      <c r="A3" s="236" t="s">
        <v>182</v>
      </c>
      <c r="B3" s="237" t="s">
        <v>183</v>
      </c>
      <c r="C3" s="238" t="s">
        <v>184</v>
      </c>
      <c r="D3" s="240" t="s">
        <v>797</v>
      </c>
      <c r="E3" s="240" t="s">
        <v>59</v>
      </c>
      <c r="F3" s="238" t="s">
        <v>147</v>
      </c>
      <c r="G3" s="238" t="s">
        <v>185</v>
      </c>
      <c r="H3" s="241" t="s">
        <v>186</v>
      </c>
      <c r="I3" s="241" t="s">
        <v>104</v>
      </c>
      <c r="J3" s="241" t="s">
        <v>187</v>
      </c>
      <c r="K3" s="238" t="s">
        <v>189</v>
      </c>
      <c r="L3" s="241" t="s">
        <v>190</v>
      </c>
      <c r="M3" s="241" t="s">
        <v>886</v>
      </c>
      <c r="N3" s="36"/>
      <c r="O3" s="243" t="s">
        <v>887</v>
      </c>
      <c r="P3" s="243" t="s">
        <v>800</v>
      </c>
      <c r="Q3" s="241" t="s">
        <v>888</v>
      </c>
      <c r="R3" s="321" t="s">
        <v>203</v>
      </c>
      <c r="S3" s="321" t="s">
        <v>204</v>
      </c>
      <c r="T3" s="1510"/>
      <c r="U3" s="322" t="s">
        <v>19</v>
      </c>
      <c r="V3" s="321" t="s">
        <v>697</v>
      </c>
      <c r="W3" s="321" t="s">
        <v>698</v>
      </c>
      <c r="X3" s="321" t="s">
        <v>699</v>
      </c>
      <c r="Y3" s="321" t="s">
        <v>700</v>
      </c>
      <c r="Z3" s="241" t="s">
        <v>192</v>
      </c>
      <c r="AA3" s="242" t="s">
        <v>193</v>
      </c>
      <c r="AB3" s="242" t="s">
        <v>194</v>
      </c>
      <c r="AC3" s="242" t="s">
        <v>195</v>
      </c>
      <c r="AD3" s="242" t="s">
        <v>196</v>
      </c>
      <c r="AE3" s="241" t="s">
        <v>197</v>
      </c>
      <c r="AF3" s="1243" t="s">
        <v>198</v>
      </c>
      <c r="AG3" s="324" t="s">
        <v>199</v>
      </c>
      <c r="AH3" s="326" t="s">
        <v>701</v>
      </c>
      <c r="AI3" s="326" t="s">
        <v>3</v>
      </c>
      <c r="AJ3" s="325" t="s">
        <v>296</v>
      </c>
      <c r="AK3" s="325" t="s">
        <v>702</v>
      </c>
      <c r="AL3" s="325" t="s">
        <v>703</v>
      </c>
      <c r="AM3" s="325" t="s">
        <v>704</v>
      </c>
      <c r="AN3" s="243"/>
      <c r="AO3" s="36"/>
      <c r="AP3" s="320" t="s">
        <v>203</v>
      </c>
      <c r="AQ3" s="320" t="s">
        <v>204</v>
      </c>
      <c r="AR3" s="1441"/>
      <c r="AS3" s="36"/>
      <c r="AT3" s="243" t="s">
        <v>801</v>
      </c>
      <c r="AU3" s="243" t="s">
        <v>802</v>
      </c>
      <c r="AV3" s="272" t="s">
        <v>803</v>
      </c>
      <c r="AW3" s="36"/>
      <c r="AX3" s="243" t="s">
        <v>889</v>
      </c>
    </row>
    <row r="4" spans="1:50" ht="13" x14ac:dyDescent="0.3">
      <c r="A4" s="244">
        <v>9257010</v>
      </c>
      <c r="B4" s="237" t="s">
        <v>804</v>
      </c>
      <c r="C4" s="1038" t="s">
        <v>758</v>
      </c>
      <c r="D4" s="245">
        <v>340000</v>
      </c>
      <c r="E4" s="245">
        <v>105000</v>
      </c>
      <c r="F4" s="245"/>
      <c r="G4" s="245"/>
      <c r="H4" s="248">
        <f>VLOOKUP(A4,'1920 Band Calculations'!$A$112:$T$129,10,FALSE)</f>
        <v>711642.87323168188</v>
      </c>
      <c r="I4" s="248">
        <f>VLOOKUP(A4,'1920 Band Calculations'!$A$112:$T$129,17,FALSE)</f>
        <v>10349.694444444445</v>
      </c>
      <c r="J4" s="245">
        <f>VLOOKUP(A4,'1920 FSM Calculation'!$A$4:$D$21,4,FALSE)</f>
        <v>6732.75</v>
      </c>
      <c r="K4" s="245">
        <f t="shared" ref="K4:K15" si="0">SUM(D4:J4)</f>
        <v>1173725.3176761265</v>
      </c>
      <c r="L4" s="248">
        <f t="shared" ref="L4:L13" si="1">K4-F4</f>
        <v>1173725.3176761265</v>
      </c>
      <c r="M4" s="1036">
        <f>VLOOKUP(A4,'1920 Band Calculations'!$A$112:$T$129,19,FALSE)</f>
        <v>58.916666666666671</v>
      </c>
      <c r="N4" s="36"/>
      <c r="O4" s="253">
        <f>M4-(M4*'1920 Band Calculations'!J6)</f>
        <v>52.043055555555561</v>
      </c>
      <c r="P4" s="235">
        <f>'1920 Band Calculations'!AV112</f>
        <v>154743.89373670361</v>
      </c>
      <c r="Q4" s="235">
        <f>(H4+I4-P4)/O4</f>
        <v>10899.603566394926</v>
      </c>
      <c r="R4" s="1026">
        <f>L4-D4-E4-P4</f>
        <v>573981.42393942294</v>
      </c>
      <c r="S4" s="1026">
        <f>R4/O4</f>
        <v>11028.97241163525</v>
      </c>
      <c r="T4" s="1026">
        <f>VLOOKUP(A4,'1819 Funding Detail'!$A$4:$AX$23,45,(FALSE))</f>
        <v>11382.677297146334</v>
      </c>
      <c r="U4" s="235">
        <f>S4-T4</f>
        <v>-353.70488551108429</v>
      </c>
      <c r="V4" s="1026">
        <f>IF(U4&lt;0,((U4*O4)*-1),(0))</f>
        <v>18407.883006924778</v>
      </c>
      <c r="W4" s="1026">
        <f>L4+V4</f>
        <v>1192133.2006830513</v>
      </c>
      <c r="X4" s="235">
        <f>M4*10000</f>
        <v>589166.66666666674</v>
      </c>
      <c r="Y4" s="235">
        <f>IF(X4&gt;W4,(X4-W4),(0))</f>
        <v>0</v>
      </c>
      <c r="Z4" s="242">
        <f>L4/M4</f>
        <v>19921.787570174707</v>
      </c>
      <c r="AA4" s="242">
        <f t="shared" ref="AA4:AA15" si="2">M4*10000</f>
        <v>589166.66666666674</v>
      </c>
      <c r="AB4" s="242">
        <f t="shared" ref="AB4:AB15" si="3">Z4-10000</f>
        <v>9921.7875701747071</v>
      </c>
      <c r="AC4" s="1244">
        <f>VLOOKUP(A4,'1819 Funding Detail'!$A$4:$AK$23,27,FALSE)</f>
        <v>0</v>
      </c>
      <c r="AD4" s="245">
        <f>IF(AB4&gt;AC4,(AB4),(AC4))</f>
        <v>9921.7875701747071</v>
      </c>
      <c r="AE4" s="245">
        <f>10000+AD4</f>
        <v>19921.787570174707</v>
      </c>
      <c r="AF4" s="1029">
        <f t="shared" ref="AF4:AF15" si="4">V4+Y4</f>
        <v>18407.883006924778</v>
      </c>
      <c r="AG4" s="346">
        <f t="shared" ref="AG4:AG15" si="5">L4+AF4</f>
        <v>1192133.2006830513</v>
      </c>
      <c r="AH4" s="235">
        <f>VLOOKUP(A4,'1819 Funding Detail'!$A$4:$AJ$23,32,(FALSE))</f>
        <v>11041.424862213076</v>
      </c>
      <c r="AI4" s="235">
        <f>AG4-AH4</f>
        <v>1181091.7758208383</v>
      </c>
      <c r="AJ4" s="42">
        <f>M4*10000</f>
        <v>589166.66666666674</v>
      </c>
      <c r="AK4" s="42">
        <f>AG4-AJ4</f>
        <v>602966.53401638451</v>
      </c>
      <c r="AL4" s="42">
        <f>AK4/M4</f>
        <v>10234.226885709495</v>
      </c>
      <c r="AM4" s="327">
        <f t="shared" ref="AM4:AM15" si="6">AG4/M4</f>
        <v>20234.226885709497</v>
      </c>
      <c r="AN4" s="235" t="s">
        <v>206</v>
      </c>
      <c r="AO4" s="36"/>
      <c r="AP4" s="1251">
        <f>SUM(AG4-'2021 Funding Detail'!D4-'2021 Funding Detail'!E4-P4)</f>
        <v>592389.3069463477</v>
      </c>
      <c r="AQ4" s="1026">
        <f>AP4/O4</f>
        <v>11382.677297146334</v>
      </c>
      <c r="AR4" s="1026">
        <f>AQ4*98.5%</f>
        <v>11211.937137689139</v>
      </c>
      <c r="AS4" s="247"/>
      <c r="AT4" s="387">
        <f>(S4-T4)/T4</f>
        <v>-3.1073962326926285E-2</v>
      </c>
      <c r="AU4" s="387">
        <f>IF(AT4&gt;=0,(AT4),(AT4*-1))</f>
        <v>3.1073962326926285E-2</v>
      </c>
      <c r="AV4" s="387">
        <f>IF(AT4&lt;0,(AT4+AU4),(AT4))</f>
        <v>0</v>
      </c>
      <c r="AW4" s="1037"/>
      <c r="AX4" s="247"/>
    </row>
    <row r="5" spans="1:50" ht="13" x14ac:dyDescent="0.3">
      <c r="A5" s="244">
        <v>9257005</v>
      </c>
      <c r="B5" s="237" t="s">
        <v>805</v>
      </c>
      <c r="C5" s="1038" t="s">
        <v>758</v>
      </c>
      <c r="D5" s="245">
        <v>340000</v>
      </c>
      <c r="E5" s="245">
        <v>105000</v>
      </c>
      <c r="F5" s="245"/>
      <c r="G5" s="245"/>
      <c r="H5" s="248">
        <f>VLOOKUP(A5,'1920 Band Calculations'!$A$112:$T$129,10,FALSE)</f>
        <v>876979.64353980159</v>
      </c>
      <c r="I5" s="248">
        <f>VLOOKUP(A5,'1920 Band Calculations'!$A$112:$T$129,17,FALSE)</f>
        <v>23474.64527027027</v>
      </c>
      <c r="J5" s="245">
        <f>VLOOKUP(A5,'1920 FSM Calculation'!$A$4:$D$21,4,FALSE)</f>
        <v>7181.6</v>
      </c>
      <c r="K5" s="245">
        <f t="shared" si="0"/>
        <v>1352635.8888100721</v>
      </c>
      <c r="L5" s="248">
        <f t="shared" si="1"/>
        <v>1352635.8888100721</v>
      </c>
      <c r="M5" s="1036">
        <f>VLOOKUP(A5,'1920 Band Calculations'!$A$112:$T$129,19,FALSE)</f>
        <v>73.25</v>
      </c>
      <c r="N5" s="36"/>
      <c r="O5" s="253">
        <f>M5-(M5*'1920 Band Calculations'!J7)</f>
        <v>67.310810810810807</v>
      </c>
      <c r="P5" s="235">
        <f>'1920 Band Calculations'!AV113</f>
        <v>133707.485907725</v>
      </c>
      <c r="Q5" s="235">
        <f t="shared" ref="Q5:Q23" si="7">(H5+I5-P5)/O5</f>
        <v>11391.139011197285</v>
      </c>
      <c r="R5" s="1026">
        <f t="shared" ref="R5:R23" si="8">L5-D5-E5-P5</f>
        <v>773928.40290234704</v>
      </c>
      <c r="S5" s="1026">
        <f t="shared" ref="S5:S23" si="9">R5/O5</f>
        <v>11497.83212502985</v>
      </c>
      <c r="T5" s="1026">
        <f>VLOOKUP(A5,'1819 Funding Detail'!$A$4:$AX$23,45,(FALSE))</f>
        <v>11628.385009411224</v>
      </c>
      <c r="U5" s="235">
        <f t="shared" ref="U5:U23" si="10">S5-T5</f>
        <v>-130.55288438137359</v>
      </c>
      <c r="V5" s="1026">
        <f t="shared" ref="V5:V23" si="11">IF(U5&lt;0,((U5*O5)*-1),(0))</f>
        <v>8787.6205014002953</v>
      </c>
      <c r="W5" s="1026">
        <f t="shared" ref="W5:W23" si="12">L5+V5</f>
        <v>1361423.5093114723</v>
      </c>
      <c r="X5" s="235">
        <f t="shared" ref="X5:X23" si="13">M5*10000</f>
        <v>732500</v>
      </c>
      <c r="Y5" s="235">
        <f t="shared" ref="Y5:Y23" si="14">IF(X5&gt;W5,(X5-W5),(0))</f>
        <v>0</v>
      </c>
      <c r="Z5" s="242">
        <f t="shared" ref="Z5:Z23" si="15">L5/M5</f>
        <v>18466.018959864465</v>
      </c>
      <c r="AA5" s="242">
        <f t="shared" si="2"/>
        <v>732500</v>
      </c>
      <c r="AB5" s="242">
        <f t="shared" si="3"/>
        <v>8466.0189598644647</v>
      </c>
      <c r="AC5" s="1244">
        <f>VLOOKUP(A5,'1819 Funding Detail'!$A$4:$AK$23,27,FALSE)</f>
        <v>0</v>
      </c>
      <c r="AD5" s="245">
        <f>IF(AB5&gt;AC5,(AB5),(AC5))</f>
        <v>8466.0189598644647</v>
      </c>
      <c r="AE5" s="245">
        <f t="shared" ref="AE5:AE23" si="16">10000+AD5</f>
        <v>18466.018959864465</v>
      </c>
      <c r="AF5" s="1029">
        <f t="shared" si="4"/>
        <v>8787.6205014002953</v>
      </c>
      <c r="AG5" s="346">
        <f t="shared" si="5"/>
        <v>1361423.5093114723</v>
      </c>
      <c r="AH5" s="235">
        <f>VLOOKUP(A5,'1819 Funding Detail'!$A$4:$AJ$23,32,(FALSE))</f>
        <v>8726.2637015489781</v>
      </c>
      <c r="AI5" s="235">
        <f>AG5-AH5</f>
        <v>1352697.2456099233</v>
      </c>
      <c r="AJ5" s="42">
        <f t="shared" ref="AJ5:AJ15" si="17">M5*10000</f>
        <v>732500</v>
      </c>
      <c r="AK5" s="42">
        <f t="shared" ref="AK5:AK15" si="18">AG5-AJ5</f>
        <v>628923.5093114723</v>
      </c>
      <c r="AL5" s="42">
        <f t="shared" ref="AL5:AL15" si="19">AK5/M5</f>
        <v>8585.9864752419435</v>
      </c>
      <c r="AM5" s="327">
        <f t="shared" si="6"/>
        <v>18585.986475241942</v>
      </c>
      <c r="AN5" s="235" t="s">
        <v>206</v>
      </c>
      <c r="AO5" s="36"/>
      <c r="AP5" s="1251">
        <f>SUM(AG5-'2021 Funding Detail'!D5-'2021 Funding Detail'!E5-P5)</f>
        <v>782716.02340374724</v>
      </c>
      <c r="AQ5" s="1026">
        <f t="shared" ref="AQ5:AQ23" si="20">AP5/O5</f>
        <v>11628.385009411222</v>
      </c>
      <c r="AR5" s="1026">
        <f t="shared" ref="AR5:AR23" si="21">AQ5*98.5%</f>
        <v>11453.959234270054</v>
      </c>
      <c r="AS5" s="247"/>
      <c r="AT5" s="387">
        <f t="shared" ref="AT5:AT23" si="22">(S5-T5)/T5</f>
        <v>-1.1227086502185209E-2</v>
      </c>
      <c r="AU5" s="387">
        <f t="shared" ref="AU5:AU23" si="23">IF(AT5&gt;=0,(AT5),(AT5*-1))</f>
        <v>1.1227086502185209E-2</v>
      </c>
      <c r="AV5" s="387">
        <f t="shared" ref="AV5:AV23" si="24">IF(AT5&lt;0,(AT5+AU5),(AT5))</f>
        <v>0</v>
      </c>
      <c r="AW5" s="1037"/>
      <c r="AX5" s="36"/>
    </row>
    <row r="6" spans="1:50" ht="13" x14ac:dyDescent="0.3">
      <c r="A6" s="244">
        <v>9257025</v>
      </c>
      <c r="B6" s="237" t="s">
        <v>806</v>
      </c>
      <c r="C6" s="1038" t="s">
        <v>758</v>
      </c>
      <c r="D6" s="245">
        <v>340000</v>
      </c>
      <c r="E6" s="245">
        <v>105000</v>
      </c>
      <c r="F6" s="245"/>
      <c r="G6" s="245"/>
      <c r="H6" s="248">
        <f>VLOOKUP(A6,'1920 Band Calculations'!$A$112:$T$129,10,FALSE)</f>
        <v>719787.34726412012</v>
      </c>
      <c r="I6" s="248">
        <f>VLOOKUP(A6,'1920 Band Calculations'!$A$112:$T$129,17,FALSE)</f>
        <v>22887.111486486487</v>
      </c>
      <c r="J6" s="245">
        <f>VLOOKUP(A6,'1920 FSM Calculation'!$A$4:$D$21,4,FALSE)</f>
        <v>8528.15</v>
      </c>
      <c r="K6" s="245">
        <f t="shared" si="0"/>
        <v>1196202.6087506064</v>
      </c>
      <c r="L6" s="248">
        <f t="shared" si="1"/>
        <v>1196202.6087506064</v>
      </c>
      <c r="M6" s="1036">
        <f>VLOOKUP(A6,'1920 Band Calculations'!$A$112:$T$129,19,FALSE)</f>
        <v>71.416666666666686</v>
      </c>
      <c r="N6" s="36"/>
      <c r="O6" s="253">
        <f>M6-(M6*'1920 Band Calculations'!J8)</f>
        <v>68.521396396396412</v>
      </c>
      <c r="P6" s="235">
        <f>'1920 Band Calculations'!AV114</f>
        <v>65180.497965256167</v>
      </c>
      <c r="Q6" s="235">
        <f t="shared" si="7"/>
        <v>9887.3344154582974</v>
      </c>
      <c r="R6" s="1026">
        <f t="shared" si="8"/>
        <v>686022.1107853502</v>
      </c>
      <c r="S6" s="1026">
        <f t="shared" si="9"/>
        <v>10011.794079862455</v>
      </c>
      <c r="T6" s="1026">
        <f>VLOOKUP(A6,'1819 Funding Detail'!$A$4:$AX$23,45,(FALSE))</f>
        <v>10507.537783550193</v>
      </c>
      <c r="U6" s="235">
        <f t="shared" si="10"/>
        <v>-495.74370368773816</v>
      </c>
      <c r="V6" s="1026">
        <f t="shared" si="11"/>
        <v>33969.050831405191</v>
      </c>
      <c r="W6" s="1026">
        <f t="shared" si="12"/>
        <v>1230171.6595820116</v>
      </c>
      <c r="X6" s="235">
        <f t="shared" si="13"/>
        <v>714166.66666666686</v>
      </c>
      <c r="Y6" s="235">
        <f t="shared" si="14"/>
        <v>0</v>
      </c>
      <c r="Z6" s="242">
        <f t="shared" si="15"/>
        <v>16749.628127196353</v>
      </c>
      <c r="AA6" s="242">
        <f t="shared" si="2"/>
        <v>714166.66666666686</v>
      </c>
      <c r="AB6" s="242">
        <f t="shared" si="3"/>
        <v>6749.6281271963526</v>
      </c>
      <c r="AC6" s="1244">
        <f>VLOOKUP(A6,'1819 Funding Detail'!$A$4:$AK$23,27,FALSE)</f>
        <v>0</v>
      </c>
      <c r="AD6" s="245">
        <f t="shared" ref="AD6:AD23" si="25">IF(AB6&gt;AC6,(AB6),(AC6))</f>
        <v>6749.6281271963526</v>
      </c>
      <c r="AE6" s="245">
        <f t="shared" si="16"/>
        <v>16749.628127196353</v>
      </c>
      <c r="AF6" s="1029">
        <f t="shared" si="4"/>
        <v>33969.050831405191</v>
      </c>
      <c r="AG6" s="346">
        <f t="shared" si="5"/>
        <v>1230171.6595820116</v>
      </c>
      <c r="AH6" s="235">
        <f>VLOOKUP(A6,'1819 Funding Detail'!$A$4:$AJ$23,32,(FALSE))</f>
        <v>8308.0722886024778</v>
      </c>
      <c r="AI6" s="235">
        <f t="shared" ref="AI6:AI23" si="26">AG6-AH6</f>
        <v>1221863.587293409</v>
      </c>
      <c r="AJ6" s="42">
        <f t="shared" si="17"/>
        <v>714166.66666666686</v>
      </c>
      <c r="AK6" s="42">
        <f t="shared" si="18"/>
        <v>516004.99291534477</v>
      </c>
      <c r="AL6" s="42">
        <f t="shared" si="19"/>
        <v>7225.2741131670191</v>
      </c>
      <c r="AM6" s="327">
        <f t="shared" si="6"/>
        <v>17225.274113167019</v>
      </c>
      <c r="AN6" s="235" t="s">
        <v>206</v>
      </c>
      <c r="AO6" s="36"/>
      <c r="AP6" s="1251">
        <f>SUM(AG6-'2021 Funding Detail'!D6-'2021 Funding Detail'!E6-P6)</f>
        <v>719991.16161675542</v>
      </c>
      <c r="AQ6" s="1026">
        <f t="shared" si="20"/>
        <v>10507.537783550195</v>
      </c>
      <c r="AR6" s="1026">
        <f t="shared" si="21"/>
        <v>10349.924716796942</v>
      </c>
      <c r="AS6" s="247"/>
      <c r="AT6" s="387">
        <f>(S6-T6)/T6</f>
        <v>-4.717981642320021E-2</v>
      </c>
      <c r="AU6" s="387">
        <f t="shared" si="23"/>
        <v>4.717981642320021E-2</v>
      </c>
      <c r="AV6" s="387">
        <f t="shared" si="24"/>
        <v>0</v>
      </c>
      <c r="AW6" s="1037"/>
      <c r="AX6" s="36"/>
    </row>
    <row r="7" spans="1:50" ht="13" x14ac:dyDescent="0.3">
      <c r="A7" s="244">
        <v>9257011</v>
      </c>
      <c r="B7" s="237" t="s">
        <v>210</v>
      </c>
      <c r="C7" s="1038" t="s">
        <v>758</v>
      </c>
      <c r="D7" s="245">
        <v>340000</v>
      </c>
      <c r="E7" s="245">
        <v>105000</v>
      </c>
      <c r="F7" s="245"/>
      <c r="G7" s="245"/>
      <c r="H7" s="248">
        <f>VLOOKUP(A7,'1920 Band Calculations'!$A$112:$T$129,10,FALSE)</f>
        <v>722584.22589407419</v>
      </c>
      <c r="I7" s="248">
        <f>VLOOKUP(A7,'1920 Band Calculations'!$A$112:$T$129,17,FALSE)</f>
        <v>5653.272727272727</v>
      </c>
      <c r="J7" s="245">
        <f>VLOOKUP(A7,'1920 FSM Calculation'!$A$4:$D$21,4,FALSE)</f>
        <v>7630.4500000000007</v>
      </c>
      <c r="K7" s="245">
        <f t="shared" si="0"/>
        <v>1180867.9486213468</v>
      </c>
      <c r="L7" s="248">
        <f t="shared" si="1"/>
        <v>1180867.9486213468</v>
      </c>
      <c r="M7" s="1036">
        <f>VLOOKUP(A7,'1920 Band Calculations'!$A$112:$T$129,19,FALSE)</f>
        <v>59</v>
      </c>
      <c r="N7" s="36"/>
      <c r="O7" s="253">
        <f>M7-(M7*'1920 Band Calculations'!J9)</f>
        <v>53.636363636363633</v>
      </c>
      <c r="P7" s="235">
        <f>'1920 Band Calculations'!AV115</f>
        <v>120750.20859926101</v>
      </c>
      <c r="Q7" s="235">
        <f t="shared" si="7"/>
        <v>11326.034220750755</v>
      </c>
      <c r="R7" s="1026">
        <f t="shared" si="8"/>
        <v>615117.74002208584</v>
      </c>
      <c r="S7" s="1026">
        <f t="shared" si="9"/>
        <v>11468.296847869398</v>
      </c>
      <c r="T7" s="1026">
        <f>VLOOKUP(A7,'1819 Funding Detail'!$A$4:$AX$23,45,(FALSE))</f>
        <v>10249.415392652634</v>
      </c>
      <c r="U7" s="235">
        <f t="shared" si="10"/>
        <v>1218.8814552167642</v>
      </c>
      <c r="V7" s="1026">
        <f t="shared" si="11"/>
        <v>0</v>
      </c>
      <c r="W7" s="1026">
        <f t="shared" si="12"/>
        <v>1180867.9486213468</v>
      </c>
      <c r="X7" s="235">
        <f t="shared" si="13"/>
        <v>590000</v>
      </c>
      <c r="Y7" s="235">
        <f t="shared" si="14"/>
        <v>0</v>
      </c>
      <c r="Z7" s="242">
        <f>L7/M7</f>
        <v>20014.71099358215</v>
      </c>
      <c r="AA7" s="242">
        <f t="shared" si="2"/>
        <v>590000</v>
      </c>
      <c r="AB7" s="242">
        <f t="shared" si="3"/>
        <v>10014.71099358215</v>
      </c>
      <c r="AC7" s="1244">
        <f>VLOOKUP(A7,'1819 Funding Detail'!$A$4:$AK$23,27,FALSE)</f>
        <v>0</v>
      </c>
      <c r="AD7" s="245">
        <f t="shared" si="25"/>
        <v>10014.71099358215</v>
      </c>
      <c r="AE7" s="245">
        <f t="shared" si="16"/>
        <v>20014.71099358215</v>
      </c>
      <c r="AF7" s="1029">
        <f t="shared" si="4"/>
        <v>0</v>
      </c>
      <c r="AG7" s="346">
        <f t="shared" si="5"/>
        <v>1180867.9486213468</v>
      </c>
      <c r="AH7" s="235">
        <f>VLOOKUP(A7,'1819 Funding Detail'!$A$4:$AJ$23,32,(FALSE))</f>
        <v>9591.2097629556192</v>
      </c>
      <c r="AI7" s="235">
        <f t="shared" si="26"/>
        <v>1171276.7388583913</v>
      </c>
      <c r="AJ7" s="42">
        <f t="shared" si="17"/>
        <v>590000</v>
      </c>
      <c r="AK7" s="42">
        <f t="shared" si="18"/>
        <v>590867.94862134685</v>
      </c>
      <c r="AL7" s="42">
        <f t="shared" si="19"/>
        <v>10014.71099358215</v>
      </c>
      <c r="AM7" s="327">
        <f t="shared" si="6"/>
        <v>20014.71099358215</v>
      </c>
      <c r="AN7" s="235" t="s">
        <v>206</v>
      </c>
      <c r="AO7" s="36"/>
      <c r="AP7" s="1251">
        <f>SUM(AG7-'2021 Funding Detail'!D7-'2021 Funding Detail'!E7-P7)</f>
        <v>615117.74002208584</v>
      </c>
      <c r="AQ7" s="1026">
        <f t="shared" si="20"/>
        <v>11468.296847869398</v>
      </c>
      <c r="AR7" s="1026">
        <f t="shared" si="21"/>
        <v>11296.272395151358</v>
      </c>
      <c r="AS7" s="247"/>
      <c r="AT7" s="387">
        <f t="shared" si="22"/>
        <v>0.11892204662624251</v>
      </c>
      <c r="AU7" s="387">
        <f t="shared" si="23"/>
        <v>0.11892204662624251</v>
      </c>
      <c r="AV7" s="387">
        <f t="shared" si="24"/>
        <v>0.11892204662624251</v>
      </c>
      <c r="AW7" s="1037"/>
      <c r="AX7" s="36"/>
    </row>
    <row r="8" spans="1:50" ht="13" x14ac:dyDescent="0.3">
      <c r="A8" s="244">
        <v>9257024</v>
      </c>
      <c r="B8" s="237" t="s">
        <v>807</v>
      </c>
      <c r="C8" s="1038" t="s">
        <v>758</v>
      </c>
      <c r="D8" s="245">
        <v>340000</v>
      </c>
      <c r="E8" s="245">
        <v>105000</v>
      </c>
      <c r="F8" s="245"/>
      <c r="G8" s="245"/>
      <c r="H8" s="248">
        <f>VLOOKUP(A8,'1920 Band Calculations'!$A$112:$T$129,10,FALSE)</f>
        <v>904635.27602180501</v>
      </c>
      <c r="I8" s="248">
        <f>VLOOKUP(A8,'1920 Band Calculations'!$A$112:$T$129,17,FALSE)</f>
        <v>5211.0873983739839</v>
      </c>
      <c r="J8" s="245">
        <f>VLOOKUP(A8,'1920 FSM Calculation'!$A$4:$D$21,4,FALSE)</f>
        <v>14812.050000000001</v>
      </c>
      <c r="K8" s="245">
        <f t="shared" si="0"/>
        <v>1369658.4134201792</v>
      </c>
      <c r="L8" s="248">
        <f t="shared" si="1"/>
        <v>1369658.4134201792</v>
      </c>
      <c r="M8" s="1036">
        <f>VLOOKUP(A8,'1920 Band Calculations'!$A$112:$T$129,19,FALSE)</f>
        <v>81.083333333333343</v>
      </c>
      <c r="N8" s="36"/>
      <c r="O8" s="253">
        <f>M8-(M8*'1920 Band Calculations'!J10)</f>
        <v>71.195121951219519</v>
      </c>
      <c r="P8" s="235">
        <f>'1920 Band Calculations'!AV116</f>
        <v>222610.83826613796</v>
      </c>
      <c r="Q8" s="235">
        <f t="shared" si="7"/>
        <v>9652.8456770523044</v>
      </c>
      <c r="R8" s="1026">
        <f t="shared" si="8"/>
        <v>702047.57515404117</v>
      </c>
      <c r="S8" s="1026">
        <f t="shared" si="9"/>
        <v>9860.8943409783096</v>
      </c>
      <c r="T8" s="1026">
        <f>VLOOKUP(A8,'1819 Funding Detail'!$A$4:$AX$23,45,(FALSE))</f>
        <v>10327.200186912145</v>
      </c>
      <c r="U8" s="235">
        <f t="shared" si="10"/>
        <v>-466.30584593383537</v>
      </c>
      <c r="V8" s="1026">
        <f t="shared" si="11"/>
        <v>33198.701567825992</v>
      </c>
      <c r="W8" s="1026">
        <f t="shared" si="12"/>
        <v>1402857.1149880053</v>
      </c>
      <c r="X8" s="235">
        <f t="shared" si="13"/>
        <v>810833.33333333337</v>
      </c>
      <c r="Y8" s="235">
        <f t="shared" si="14"/>
        <v>0</v>
      </c>
      <c r="Z8" s="242">
        <f t="shared" si="15"/>
        <v>16891.984543722661</v>
      </c>
      <c r="AA8" s="242">
        <f t="shared" si="2"/>
        <v>810833.33333333337</v>
      </c>
      <c r="AB8" s="242">
        <f t="shared" si="3"/>
        <v>6891.9845437226613</v>
      </c>
      <c r="AC8" s="1244">
        <f>VLOOKUP(A8,'1819 Funding Detail'!$A$4:$AK$23,27,FALSE)</f>
        <v>0</v>
      </c>
      <c r="AD8" s="245">
        <f t="shared" si="25"/>
        <v>6891.9845437226613</v>
      </c>
      <c r="AE8" s="245">
        <f t="shared" si="16"/>
        <v>16891.984543722661</v>
      </c>
      <c r="AF8" s="1029">
        <f t="shared" si="4"/>
        <v>33198.701567825992</v>
      </c>
      <c r="AG8" s="346">
        <f t="shared" si="5"/>
        <v>1402857.1149880053</v>
      </c>
      <c r="AH8" s="235">
        <f>VLOOKUP(A8,'1819 Funding Detail'!$A$4:$AJ$23,32,(FALSE))</f>
        <v>7863.1677105186536</v>
      </c>
      <c r="AI8" s="235">
        <f t="shared" si="26"/>
        <v>1394993.9472774866</v>
      </c>
      <c r="AJ8" s="42">
        <f t="shared" si="17"/>
        <v>810833.33333333337</v>
      </c>
      <c r="AK8" s="42">
        <f t="shared" si="18"/>
        <v>592023.78165467188</v>
      </c>
      <c r="AL8" s="42">
        <f t="shared" si="19"/>
        <v>7301.4238230791998</v>
      </c>
      <c r="AM8" s="327">
        <f t="shared" si="6"/>
        <v>17301.4238230792</v>
      </c>
      <c r="AN8" s="235" t="s">
        <v>206</v>
      </c>
      <c r="AO8" s="36"/>
      <c r="AP8" s="1251">
        <f>SUM(AG8-'2021 Funding Detail'!D8-'2021 Funding Detail'!E8-P8)</f>
        <v>735246.27672186727</v>
      </c>
      <c r="AQ8" s="1026">
        <f t="shared" si="20"/>
        <v>10327.200186912147</v>
      </c>
      <c r="AR8" s="1026">
        <f t="shared" si="21"/>
        <v>10172.292184108464</v>
      </c>
      <c r="AS8" s="247"/>
      <c r="AT8" s="387">
        <f t="shared" si="22"/>
        <v>-4.5153171962793316E-2</v>
      </c>
      <c r="AU8" s="387">
        <f t="shared" si="23"/>
        <v>4.5153171962793316E-2</v>
      </c>
      <c r="AV8" s="387">
        <f t="shared" si="24"/>
        <v>0</v>
      </c>
      <c r="AW8" s="1037"/>
      <c r="AX8" s="36"/>
    </row>
    <row r="9" spans="1:50" ht="13" x14ac:dyDescent="0.3">
      <c r="A9" s="244">
        <v>9257008</v>
      </c>
      <c r="B9" s="237" t="s">
        <v>340</v>
      </c>
      <c r="C9" s="1038" t="s">
        <v>758</v>
      </c>
      <c r="D9" s="245">
        <v>340000</v>
      </c>
      <c r="E9" s="245">
        <v>105000</v>
      </c>
      <c r="F9" s="245"/>
      <c r="G9" s="245"/>
      <c r="H9" s="248">
        <f>VLOOKUP(A9,'1920 Band Calculations'!$A$112:$T$129,10,FALSE)</f>
        <v>874490.6248268527</v>
      </c>
      <c r="I9" s="248">
        <f>VLOOKUP(A9,'1920 Band Calculations'!$A$112:$T$129,17,FALSE)</f>
        <v>26350</v>
      </c>
      <c r="J9" s="245">
        <f>VLOOKUP(A9,'1920 FSM Calculation'!$A$4:$D$21,4,FALSE)</f>
        <v>8528.15</v>
      </c>
      <c r="K9" s="245">
        <f t="shared" si="0"/>
        <v>1354368.7748268526</v>
      </c>
      <c r="L9" s="248">
        <f t="shared" si="1"/>
        <v>1354368.7748268526</v>
      </c>
      <c r="M9" s="1036">
        <f>VLOOKUP(A9,'1920 Band Calculations'!$A$112:$T$129,19,FALSE)</f>
        <v>95</v>
      </c>
      <c r="N9" s="36"/>
      <c r="O9" s="253">
        <f>M9-(M9*'1920 Band Calculations'!J13)</f>
        <v>95</v>
      </c>
      <c r="P9" s="235">
        <f>'1920 Band Calculations'!AV119</f>
        <v>0</v>
      </c>
      <c r="Q9" s="235">
        <f t="shared" si="7"/>
        <v>9482.5328929142397</v>
      </c>
      <c r="R9" s="1026">
        <f t="shared" si="8"/>
        <v>909368.7748268526</v>
      </c>
      <c r="S9" s="1026">
        <f t="shared" si="9"/>
        <v>9572.3028929142383</v>
      </c>
      <c r="T9" s="1026">
        <f>VLOOKUP(A9,'1819 Funding Detail'!$A$4:$AX$23,45,(FALSE))</f>
        <v>9498.1773555098825</v>
      </c>
      <c r="U9" s="235">
        <f t="shared" si="10"/>
        <v>74.125537404355782</v>
      </c>
      <c r="V9" s="1026">
        <f t="shared" si="11"/>
        <v>0</v>
      </c>
      <c r="W9" s="1026">
        <f t="shared" si="12"/>
        <v>1354368.7748268526</v>
      </c>
      <c r="X9" s="235">
        <f t="shared" si="13"/>
        <v>950000</v>
      </c>
      <c r="Y9" s="235">
        <f t="shared" si="14"/>
        <v>0</v>
      </c>
      <c r="Z9" s="242">
        <f t="shared" si="15"/>
        <v>14256.513419230027</v>
      </c>
      <c r="AA9" s="242">
        <f t="shared" si="2"/>
        <v>950000</v>
      </c>
      <c r="AB9" s="242">
        <f t="shared" si="3"/>
        <v>4256.5134192300266</v>
      </c>
      <c r="AC9" s="1244">
        <f>VLOOKUP(A9,'1819 Funding Detail'!$A$4:$AK$23,27,FALSE)</f>
        <v>0</v>
      </c>
      <c r="AD9" s="245">
        <f t="shared" si="25"/>
        <v>4256.5134192300266</v>
      </c>
      <c r="AE9" s="245">
        <f t="shared" si="16"/>
        <v>14256.513419230027</v>
      </c>
      <c r="AF9" s="1029">
        <f t="shared" si="4"/>
        <v>0</v>
      </c>
      <c r="AG9" s="346">
        <f t="shared" si="5"/>
        <v>1354368.7748268526</v>
      </c>
      <c r="AH9" s="235">
        <f>VLOOKUP(A9,'1819 Funding Detail'!$A$4:$AJ$23,32,(FALSE))</f>
        <v>4377.6275882339796</v>
      </c>
      <c r="AI9" s="235">
        <f t="shared" si="26"/>
        <v>1349991.1472386187</v>
      </c>
      <c r="AJ9" s="42">
        <f t="shared" si="17"/>
        <v>950000</v>
      </c>
      <c r="AK9" s="42">
        <f t="shared" si="18"/>
        <v>404368.7748268526</v>
      </c>
      <c r="AL9" s="42">
        <f t="shared" si="19"/>
        <v>4256.5134192300275</v>
      </c>
      <c r="AM9" s="327">
        <f t="shared" si="6"/>
        <v>14256.513419230027</v>
      </c>
      <c r="AN9" s="235" t="s">
        <v>206</v>
      </c>
      <c r="AO9" s="36"/>
      <c r="AP9" s="1251">
        <f>SUM(AG9-'2021 Funding Detail'!D9-'2021 Funding Detail'!E9-P9)</f>
        <v>909368.7748268526</v>
      </c>
      <c r="AQ9" s="1026">
        <f t="shared" si="20"/>
        <v>9572.3028929142383</v>
      </c>
      <c r="AR9" s="1026">
        <f t="shared" si="21"/>
        <v>9428.7183495205245</v>
      </c>
      <c r="AS9" s="247"/>
      <c r="AT9" s="387">
        <f t="shared" si="22"/>
        <v>7.8041854378888423E-3</v>
      </c>
      <c r="AU9" s="387">
        <f t="shared" si="23"/>
        <v>7.8041854378888423E-3</v>
      </c>
      <c r="AV9" s="387">
        <f t="shared" si="24"/>
        <v>7.8041854378888423E-3</v>
      </c>
      <c r="AW9" s="1037"/>
      <c r="AX9" s="36"/>
    </row>
    <row r="10" spans="1:50" ht="13" x14ac:dyDescent="0.3">
      <c r="A10" s="244">
        <v>9257002</v>
      </c>
      <c r="B10" s="237" t="s">
        <v>808</v>
      </c>
      <c r="C10" s="1038" t="s">
        <v>760</v>
      </c>
      <c r="D10" s="245">
        <v>385000</v>
      </c>
      <c r="E10" s="245">
        <v>115000</v>
      </c>
      <c r="F10" s="245"/>
      <c r="G10" s="245"/>
      <c r="H10" s="248">
        <f>VLOOKUP(A10,'1920 Band Calculations'!$A$112:$T$129,10,FALSE)</f>
        <v>1244254.8092614776</v>
      </c>
      <c r="I10" s="248">
        <f>VLOOKUP(A10,'1920 Band Calculations'!$A$112:$T$129,17,FALSE)</f>
        <v>71433.203125</v>
      </c>
      <c r="J10" s="245">
        <f>VLOOKUP(A10,'1920 FSM Calculation'!$A$4:$D$21,4,FALSE)</f>
        <v>23789.050000000003</v>
      </c>
      <c r="K10" s="245">
        <f t="shared" si="0"/>
        <v>1839477.0623864776</v>
      </c>
      <c r="L10" s="248">
        <f t="shared" si="1"/>
        <v>1839477.0623864776</v>
      </c>
      <c r="M10" s="1036">
        <f>VLOOKUP(A10,'1920 Band Calculations'!$A$112:$T$129,19,FALSE)</f>
        <v>144.58333333333334</v>
      </c>
      <c r="N10" s="36"/>
      <c r="O10" s="253">
        <f>M10-(M10*'1920 Band Calculations'!J15)</f>
        <v>143.57928240740742</v>
      </c>
      <c r="P10" s="235">
        <f>'1920 Band Calculations'!AV121</f>
        <v>22603.948241494982</v>
      </c>
      <c r="Q10" s="235">
        <f t="shared" si="7"/>
        <v>9006.0630089781735</v>
      </c>
      <c r="R10" s="1026">
        <f t="shared" si="8"/>
        <v>1316873.1141449825</v>
      </c>
      <c r="S10" s="1026">
        <f t="shared" si="9"/>
        <v>9171.7488210335523</v>
      </c>
      <c r="T10" s="1026">
        <f>VLOOKUP(A10,'1819 Funding Detail'!$A$4:$AX$23,45,(FALSE))</f>
        <v>8847.9673194464194</v>
      </c>
      <c r="U10" s="235">
        <f t="shared" si="10"/>
        <v>323.78150158713288</v>
      </c>
      <c r="V10" s="1026">
        <f t="shared" si="11"/>
        <v>0</v>
      </c>
      <c r="W10" s="1026">
        <f t="shared" si="12"/>
        <v>1839477.0623864776</v>
      </c>
      <c r="X10" s="235">
        <f t="shared" si="13"/>
        <v>1445833.3333333335</v>
      </c>
      <c r="Y10" s="235">
        <f t="shared" si="14"/>
        <v>0</v>
      </c>
      <c r="Z10" s="242">
        <f t="shared" si="15"/>
        <v>12722.607924286876</v>
      </c>
      <c r="AA10" s="242">
        <f t="shared" si="2"/>
        <v>1445833.3333333335</v>
      </c>
      <c r="AB10" s="242">
        <f t="shared" si="3"/>
        <v>2722.6079242868764</v>
      </c>
      <c r="AC10" s="1244">
        <f>VLOOKUP(A10,'1819 Funding Detail'!$A$4:$AK$23,27,FALSE)</f>
        <v>0</v>
      </c>
      <c r="AD10" s="245">
        <f t="shared" si="25"/>
        <v>2722.6079242868764</v>
      </c>
      <c r="AE10" s="245">
        <f t="shared" si="16"/>
        <v>12722.607924286876</v>
      </c>
      <c r="AF10" s="1029">
        <f t="shared" si="4"/>
        <v>0</v>
      </c>
      <c r="AG10" s="346">
        <f t="shared" si="5"/>
        <v>1839477.0623864776</v>
      </c>
      <c r="AH10" s="235">
        <f>VLOOKUP(A10,'1819 Funding Detail'!$A$4:$AJ$23,32,(FALSE))</f>
        <v>2438.7081756521693</v>
      </c>
      <c r="AI10" s="235">
        <f t="shared" si="26"/>
        <v>1837038.3542108254</v>
      </c>
      <c r="AJ10" s="42">
        <f t="shared" si="17"/>
        <v>1445833.3333333335</v>
      </c>
      <c r="AK10" s="42">
        <f t="shared" si="18"/>
        <v>393643.72905314411</v>
      </c>
      <c r="AL10" s="42">
        <f t="shared" si="19"/>
        <v>2722.6079242868755</v>
      </c>
      <c r="AM10" s="327">
        <f t="shared" si="6"/>
        <v>12722.607924286876</v>
      </c>
      <c r="AN10" s="235" t="s">
        <v>206</v>
      </c>
      <c r="AO10" s="36"/>
      <c r="AP10" s="1251">
        <f>SUM(AG10-'2021 Funding Detail'!D10-'2021 Funding Detail'!E10-P10)</f>
        <v>1316873.1141449825</v>
      </c>
      <c r="AQ10" s="1026">
        <f t="shared" si="20"/>
        <v>9171.7488210335523</v>
      </c>
      <c r="AR10" s="1026">
        <f t="shared" si="21"/>
        <v>9034.1725887180492</v>
      </c>
      <c r="AS10" s="247"/>
      <c r="AT10" s="387">
        <f t="shared" si="22"/>
        <v>3.6593885340818658E-2</v>
      </c>
      <c r="AU10" s="387">
        <f t="shared" si="23"/>
        <v>3.6593885340818658E-2</v>
      </c>
      <c r="AV10" s="387">
        <f t="shared" si="24"/>
        <v>3.6593885340818658E-2</v>
      </c>
      <c r="AW10" s="1037"/>
      <c r="AX10" s="36"/>
    </row>
    <row r="11" spans="1:50" ht="13" x14ac:dyDescent="0.3">
      <c r="A11" s="244">
        <v>9257009</v>
      </c>
      <c r="B11" s="237" t="s">
        <v>546</v>
      </c>
      <c r="C11" s="1038" t="s">
        <v>760</v>
      </c>
      <c r="D11" s="245">
        <v>385000</v>
      </c>
      <c r="E11" s="245">
        <v>115000</v>
      </c>
      <c r="F11" s="245"/>
      <c r="G11" s="245"/>
      <c r="H11" s="248">
        <f>VLOOKUP(A11,'1920 Band Calculations'!$A$112:$T$129,10,FALSE)</f>
        <v>1164513.6027981231</v>
      </c>
      <c r="I11" s="248">
        <f>VLOOKUP(A11,'1920 Band Calculations'!$A$112:$T$129,17,FALSE)</f>
        <v>42212.437810945274</v>
      </c>
      <c r="J11" s="245">
        <f>VLOOKUP(A11,'1920 FSM Calculation'!$A$4:$D$21,4,FALSE)</f>
        <v>12118.95</v>
      </c>
      <c r="K11" s="245">
        <f t="shared" si="0"/>
        <v>1718844.9906090684</v>
      </c>
      <c r="L11" s="248">
        <f t="shared" si="1"/>
        <v>1718844.9906090684</v>
      </c>
      <c r="M11" s="1036">
        <f>VLOOKUP(A11,'1920 Band Calculations'!$A$112:$T$129,19,FALSE)</f>
        <v>134.16666666666669</v>
      </c>
      <c r="N11" s="36"/>
      <c r="O11" s="253">
        <f>M11-(M11*'1920 Band Calculations'!J16)</f>
        <v>134.16666666666669</v>
      </c>
      <c r="P11" s="235">
        <f>'1920 Band Calculations'!AV122</f>
        <v>0</v>
      </c>
      <c r="Q11" s="235">
        <f t="shared" si="7"/>
        <v>8994.2313585769061</v>
      </c>
      <c r="R11" s="1026">
        <f t="shared" si="8"/>
        <v>1218844.9906090684</v>
      </c>
      <c r="S11" s="1026">
        <f t="shared" si="9"/>
        <v>9084.5589362166575</v>
      </c>
      <c r="T11" s="1026">
        <f>VLOOKUP(A11,'1819 Funding Detail'!$A$4:$AX$23,45,(FALSE))</f>
        <v>9704.7517502975679</v>
      </c>
      <c r="U11" s="235">
        <f t="shared" si="10"/>
        <v>-620.19281408091047</v>
      </c>
      <c r="V11" s="1026">
        <f t="shared" si="11"/>
        <v>83209.202555855503</v>
      </c>
      <c r="W11" s="1026">
        <f t="shared" si="12"/>
        <v>1802054.1931649239</v>
      </c>
      <c r="X11" s="235">
        <f t="shared" si="13"/>
        <v>1341666.6666666667</v>
      </c>
      <c r="Y11" s="235">
        <f t="shared" si="14"/>
        <v>0</v>
      </c>
      <c r="Z11" s="242">
        <f t="shared" si="15"/>
        <v>12811.267010750818</v>
      </c>
      <c r="AA11" s="242">
        <f t="shared" si="2"/>
        <v>1341666.6666666667</v>
      </c>
      <c r="AB11" s="242">
        <f t="shared" si="3"/>
        <v>2811.2670107508184</v>
      </c>
      <c r="AC11" s="1244">
        <f>VLOOKUP(A11,'1819 Funding Detail'!$A$4:$AK$23,27,FALSE)</f>
        <v>0</v>
      </c>
      <c r="AD11" s="245">
        <f t="shared" si="25"/>
        <v>2811.2670107508184</v>
      </c>
      <c r="AE11" s="245">
        <f t="shared" si="16"/>
        <v>12811.267010750818</v>
      </c>
      <c r="AF11" s="1029">
        <f t="shared" si="4"/>
        <v>83209.202555855503</v>
      </c>
      <c r="AG11" s="346">
        <f t="shared" si="5"/>
        <v>1802054.1931649239</v>
      </c>
      <c r="AH11" s="235">
        <f>VLOOKUP(A11,'1819 Funding Detail'!$A$4:$AJ$23,32,(FALSE))</f>
        <v>3511.8583492823382</v>
      </c>
      <c r="AI11" s="235">
        <f>AG11-AH11</f>
        <v>1798542.3348156416</v>
      </c>
      <c r="AJ11" s="42">
        <f t="shared" si="17"/>
        <v>1341666.6666666667</v>
      </c>
      <c r="AK11" s="42">
        <f t="shared" si="18"/>
        <v>460387.52649825718</v>
      </c>
      <c r="AL11" s="42">
        <f t="shared" si="19"/>
        <v>3431.4598248317302</v>
      </c>
      <c r="AM11" s="327">
        <f t="shared" si="6"/>
        <v>13431.459824831729</v>
      </c>
      <c r="AN11" s="235" t="s">
        <v>206</v>
      </c>
      <c r="AO11" s="36"/>
      <c r="AP11" s="1251">
        <f>SUM(AG11-'2021 Funding Detail'!D11-'2021 Funding Detail'!E11-P11)</f>
        <v>1302054.1931649239</v>
      </c>
      <c r="AQ11" s="1026">
        <f t="shared" si="20"/>
        <v>9704.7517502975679</v>
      </c>
      <c r="AR11" s="1026">
        <f t="shared" si="21"/>
        <v>9559.1804740431035</v>
      </c>
      <c r="AS11" s="247"/>
      <c r="AT11" s="387">
        <f t="shared" si="22"/>
        <v>-6.3906097758955463E-2</v>
      </c>
      <c r="AU11" s="387">
        <f t="shared" si="23"/>
        <v>6.3906097758955463E-2</v>
      </c>
      <c r="AV11" s="387">
        <f t="shared" si="24"/>
        <v>0</v>
      </c>
      <c r="AW11" s="1037"/>
      <c r="AX11" s="36"/>
    </row>
    <row r="12" spans="1:50" ht="13" x14ac:dyDescent="0.3">
      <c r="A12" s="244">
        <v>9257028</v>
      </c>
      <c r="B12" s="237" t="s">
        <v>215</v>
      </c>
      <c r="C12" s="1038" t="s">
        <v>759</v>
      </c>
      <c r="D12" s="245">
        <v>362500</v>
      </c>
      <c r="E12" s="245">
        <v>110000</v>
      </c>
      <c r="F12" s="245"/>
      <c r="G12" s="245"/>
      <c r="H12" s="248">
        <f>VLOOKUP(A12,'1920 Band Calculations'!$A$112:$T$129,10,FALSE)</f>
        <v>1054921.6462914483</v>
      </c>
      <c r="I12" s="248">
        <f>VLOOKUP(A12,'1920 Band Calculations'!$A$112:$T$129,17,FALSE)</f>
        <v>7659.8837209302328</v>
      </c>
      <c r="J12" s="245">
        <f>VLOOKUP(A12,'1920 FSM Calculation'!$A$4:$D$21,4,FALSE)</f>
        <v>8977</v>
      </c>
      <c r="K12" s="245">
        <f t="shared" si="0"/>
        <v>1544058.5300123785</v>
      </c>
      <c r="L12" s="248">
        <f t="shared" si="1"/>
        <v>1544058.5300123785</v>
      </c>
      <c r="M12" s="1036">
        <f>VLOOKUP(A12,'1920 Band Calculations'!$A$112:$T$129,19,FALSE)</f>
        <v>83.333333333333343</v>
      </c>
      <c r="N12" s="36"/>
      <c r="O12" s="253">
        <f>M12-(M12*'1920 Band Calculations'!J20)</f>
        <v>71.705426356589157</v>
      </c>
      <c r="P12" s="235">
        <f>'1920 Band Calculations'!AV126</f>
        <v>261776.17157900496</v>
      </c>
      <c r="Q12" s="235">
        <f t="shared" si="7"/>
        <v>11167.988241935695</v>
      </c>
      <c r="R12" s="1026">
        <f t="shared" si="8"/>
        <v>809782.35843337351</v>
      </c>
      <c r="S12" s="1026">
        <f t="shared" si="9"/>
        <v>11293.180998692451</v>
      </c>
      <c r="T12" s="1026">
        <f>VLOOKUP(A12,'1819 Funding Detail'!$A$4:$AX$23,45,(FALSE))</f>
        <v>11030.352475573123</v>
      </c>
      <c r="U12" s="235">
        <f t="shared" si="10"/>
        <v>262.82852311932766</v>
      </c>
      <c r="V12" s="1026">
        <f t="shared" si="11"/>
        <v>0</v>
      </c>
      <c r="W12" s="1026">
        <f t="shared" si="12"/>
        <v>1544058.5300123785</v>
      </c>
      <c r="X12" s="235">
        <f t="shared" si="13"/>
        <v>833333.33333333337</v>
      </c>
      <c r="Y12" s="235">
        <f t="shared" si="14"/>
        <v>0</v>
      </c>
      <c r="Z12" s="242">
        <f t="shared" si="15"/>
        <v>18528.702360148538</v>
      </c>
      <c r="AA12" s="242">
        <f t="shared" si="2"/>
        <v>833333.33333333337</v>
      </c>
      <c r="AB12" s="242">
        <f t="shared" si="3"/>
        <v>8528.702360148538</v>
      </c>
      <c r="AC12" s="1244">
        <f>VLOOKUP(A12,'1819 Funding Detail'!$A$4:$AK$23,27,FALSE)</f>
        <v>0</v>
      </c>
      <c r="AD12" s="245">
        <f t="shared" si="25"/>
        <v>8528.702360148538</v>
      </c>
      <c r="AE12" s="245">
        <f t="shared" si="16"/>
        <v>18528.702360148538</v>
      </c>
      <c r="AF12" s="1029">
        <f t="shared" si="4"/>
        <v>0</v>
      </c>
      <c r="AG12" s="346">
        <f t="shared" si="5"/>
        <v>1544058.5300123785</v>
      </c>
      <c r="AH12" s="235">
        <f>VLOOKUP(A12,'1819 Funding Detail'!$A$4:$AJ$23,32,(FALSE))</f>
        <v>9172.6997910885293</v>
      </c>
      <c r="AI12" s="235">
        <f t="shared" si="26"/>
        <v>1534885.83022129</v>
      </c>
      <c r="AJ12" s="42">
        <f t="shared" si="17"/>
        <v>833333.33333333337</v>
      </c>
      <c r="AK12" s="42">
        <f t="shared" si="18"/>
        <v>710725.1966790451</v>
      </c>
      <c r="AL12" s="42">
        <f t="shared" si="19"/>
        <v>8528.7023601485398</v>
      </c>
      <c r="AM12" s="327">
        <f t="shared" si="6"/>
        <v>18528.702360148538</v>
      </c>
      <c r="AN12" s="235" t="s">
        <v>206</v>
      </c>
      <c r="AO12" s="36"/>
      <c r="AP12" s="1251">
        <f>SUM(AG12-'2021 Funding Detail'!D12-'2021 Funding Detail'!E12-P12)</f>
        <v>782282.35843337351</v>
      </c>
      <c r="AQ12" s="1026">
        <f t="shared" si="20"/>
        <v>10909.667485178938</v>
      </c>
      <c r="AR12" s="1026">
        <f t="shared" si="21"/>
        <v>10746.022472901253</v>
      </c>
      <c r="AS12" s="247"/>
      <c r="AT12" s="387">
        <f t="shared" si="22"/>
        <v>2.3827753800376304E-2</v>
      </c>
      <c r="AU12" s="387">
        <f t="shared" si="23"/>
        <v>2.3827753800376304E-2</v>
      </c>
      <c r="AV12" s="387">
        <f t="shared" si="24"/>
        <v>2.3827753800376304E-2</v>
      </c>
      <c r="AW12" s="1037"/>
      <c r="AX12" s="36"/>
    </row>
    <row r="13" spans="1:50" ht="13" x14ac:dyDescent="0.3">
      <c r="A13" s="244">
        <v>9257021</v>
      </c>
      <c r="B13" s="237" t="s">
        <v>809</v>
      </c>
      <c r="C13" s="1038" t="s">
        <v>761</v>
      </c>
      <c r="D13" s="245">
        <v>407500</v>
      </c>
      <c r="E13" s="245">
        <v>120000</v>
      </c>
      <c r="F13" s="245"/>
      <c r="G13" s="245"/>
      <c r="H13" s="248">
        <f>VLOOKUP(A13,'1920 Band Calculations'!$A$112:$T$129,10,FALSE)</f>
        <v>1446926.7822392527</v>
      </c>
      <c r="I13" s="248">
        <f>VLOOKUP(A13,'1920 Band Calculations'!$A$112:$T$129,17,FALSE)</f>
        <v>41400.946502057617</v>
      </c>
      <c r="J13" s="245">
        <f>VLOOKUP(A13,'1920 FSM Calculation'!$A$4:$D$21,4,FALSE)</f>
        <v>27828.7</v>
      </c>
      <c r="K13" s="245">
        <f t="shared" si="0"/>
        <v>2043656.4287413103</v>
      </c>
      <c r="L13" s="248">
        <f t="shared" si="1"/>
        <v>2043656.4287413103</v>
      </c>
      <c r="M13" s="1036">
        <f>VLOOKUP(A13,'1920 Band Calculations'!$A$112:$T$129,19,FALSE)</f>
        <v>159.08333333333334</v>
      </c>
      <c r="N13" s="36"/>
      <c r="O13" s="253">
        <f>M13-(M13*'1920 Band Calculations'!J21)</f>
        <v>158.10133744855969</v>
      </c>
      <c r="P13" s="235">
        <f>'1920 Band Calculations'!AV127</f>
        <v>22107.42859712529</v>
      </c>
      <c r="Q13" s="235">
        <f t="shared" si="7"/>
        <v>9273.9272406296932</v>
      </c>
      <c r="R13" s="1026">
        <f t="shared" si="8"/>
        <v>1494049.000144185</v>
      </c>
      <c r="S13" s="1026">
        <f t="shared" si="9"/>
        <v>9449.9453594457609</v>
      </c>
      <c r="T13" s="1026">
        <f>VLOOKUP(A13,'1819 Funding Detail'!$A$4:$AX$23,45,(FALSE))</f>
        <v>9644.3828677192814</v>
      </c>
      <c r="U13" s="235">
        <f t="shared" si="10"/>
        <v>-194.43750827352051</v>
      </c>
      <c r="V13" s="1026">
        <f t="shared" si="11"/>
        <v>30740.830108208982</v>
      </c>
      <c r="W13" s="1026">
        <f t="shared" si="12"/>
        <v>2074397.2588495193</v>
      </c>
      <c r="X13" s="235">
        <f t="shared" si="13"/>
        <v>1590833.3333333335</v>
      </c>
      <c r="Y13" s="235">
        <f t="shared" si="14"/>
        <v>0</v>
      </c>
      <c r="Z13" s="242">
        <f t="shared" si="15"/>
        <v>12846.452145047522</v>
      </c>
      <c r="AA13" s="242">
        <f t="shared" si="2"/>
        <v>1590833.3333333335</v>
      </c>
      <c r="AB13" s="242">
        <f t="shared" si="3"/>
        <v>2846.4521450475222</v>
      </c>
      <c r="AC13" s="1244">
        <f>VLOOKUP(A13,'1819 Funding Detail'!$A$4:$AK$23,27,FALSE)</f>
        <v>0</v>
      </c>
      <c r="AD13" s="245">
        <f t="shared" si="25"/>
        <v>2846.4521450475222</v>
      </c>
      <c r="AE13" s="245">
        <f t="shared" si="16"/>
        <v>12846.452145047522</v>
      </c>
      <c r="AF13" s="1029">
        <f t="shared" si="4"/>
        <v>30740.830108208982</v>
      </c>
      <c r="AG13" s="346">
        <f t="shared" si="5"/>
        <v>2074397.2588495193</v>
      </c>
      <c r="AH13" s="235">
        <f>VLOOKUP(A13,'1819 Funding Detail'!$A$4:$AJ$23,32,(FALSE))</f>
        <v>3199.0772879370379</v>
      </c>
      <c r="AI13" s="235">
        <f t="shared" si="26"/>
        <v>2071198.1815615823</v>
      </c>
      <c r="AJ13" s="42">
        <f t="shared" si="17"/>
        <v>1590833.3333333335</v>
      </c>
      <c r="AK13" s="42">
        <f t="shared" si="18"/>
        <v>483563.92551618582</v>
      </c>
      <c r="AL13" s="42">
        <f t="shared" si="19"/>
        <v>3039.689421788491</v>
      </c>
      <c r="AM13" s="327">
        <f t="shared" si="6"/>
        <v>13039.689421788491</v>
      </c>
      <c r="AN13" s="235" t="s">
        <v>206</v>
      </c>
      <c r="AO13" s="36"/>
      <c r="AP13" s="1251">
        <f>SUM(AG13-'2021 Funding Detail'!D13-'2021 Funding Detail'!E13-P13)</f>
        <v>1524789.8302523941</v>
      </c>
      <c r="AQ13" s="1026">
        <f t="shared" si="20"/>
        <v>9644.3828677192832</v>
      </c>
      <c r="AR13" s="1026">
        <f t="shared" si="21"/>
        <v>9499.717124703493</v>
      </c>
      <c r="AS13" s="247"/>
      <c r="AT13" s="387">
        <f t="shared" si="22"/>
        <v>-2.0160699854038601E-2</v>
      </c>
      <c r="AU13" s="387">
        <f t="shared" si="23"/>
        <v>2.0160699854038601E-2</v>
      </c>
      <c r="AV13" s="387">
        <f t="shared" si="24"/>
        <v>0</v>
      </c>
      <c r="AW13" s="1037"/>
      <c r="AX13" s="36"/>
    </row>
    <row r="14" spans="1:50" ht="12.75" customHeight="1" x14ac:dyDescent="0.3">
      <c r="A14" s="244">
        <v>9257015</v>
      </c>
      <c r="B14" s="237" t="s">
        <v>217</v>
      </c>
      <c r="C14" s="1038" t="s">
        <v>763</v>
      </c>
      <c r="D14" s="245">
        <v>452500</v>
      </c>
      <c r="E14" s="245">
        <v>130000</v>
      </c>
      <c r="F14" s="245"/>
      <c r="G14" s="302">
        <v>41787</v>
      </c>
      <c r="H14" s="248">
        <f>VLOOKUP(A14,'1920 Band Calculations'!$A$112:$T$129,10,FALSE)</f>
        <v>2052191.2153002319</v>
      </c>
      <c r="I14" s="248">
        <f>VLOOKUP(A14,'1920 Band Calculations'!$A$112:$T$129,17,FALSE)</f>
        <v>18522.827004219413</v>
      </c>
      <c r="J14" s="245">
        <f>VLOOKUP(A14,'1920 FSM Calculation'!$A$4:$D$21,4,FALSE)</f>
        <v>31868.350000000002</v>
      </c>
      <c r="K14" s="245">
        <f t="shared" si="0"/>
        <v>2726869.3923044517</v>
      </c>
      <c r="L14" s="248">
        <f>K14-F14-G14</f>
        <v>2685082.3923044517</v>
      </c>
      <c r="M14" s="1036">
        <f>VLOOKUP(A14,'1920 Band Calculations'!$A$112:$T$129,19,FALSE)</f>
        <v>238.00000000000003</v>
      </c>
      <c r="N14" s="36"/>
      <c r="O14" s="253">
        <f>M14-(M14*'1920 Band Calculations'!J22)</f>
        <v>235.99156118143463</v>
      </c>
      <c r="P14" s="235">
        <f>'1920 Band Calculations'!AV128</f>
        <v>45215.482530625093</v>
      </c>
      <c r="Q14" s="235">
        <f t="shared" si="7"/>
        <v>8582.9279218021948</v>
      </c>
      <c r="R14" s="1026">
        <f t="shared" si="8"/>
        <v>2057366.9097738266</v>
      </c>
      <c r="S14" s="1026">
        <f t="shared" si="9"/>
        <v>8717.9681318862295</v>
      </c>
      <c r="T14" s="1026">
        <f>VLOOKUP(A14,'1819 Funding Detail'!$A$4:$AX$23,45,(FALSE))</f>
        <v>8584.53665478722</v>
      </c>
      <c r="U14" s="235">
        <f t="shared" si="10"/>
        <v>133.4314770990095</v>
      </c>
      <c r="V14" s="1026">
        <f t="shared" si="11"/>
        <v>0</v>
      </c>
      <c r="W14" s="1026">
        <f t="shared" si="12"/>
        <v>2685082.3923044517</v>
      </c>
      <c r="X14" s="235">
        <f t="shared" si="13"/>
        <v>2380000.0000000005</v>
      </c>
      <c r="Y14" s="235">
        <f t="shared" si="14"/>
        <v>0</v>
      </c>
      <c r="Z14" s="242">
        <f t="shared" si="15"/>
        <v>11281.858791195174</v>
      </c>
      <c r="AA14" s="242">
        <f t="shared" si="2"/>
        <v>2380000.0000000005</v>
      </c>
      <c r="AB14" s="242">
        <f t="shared" si="3"/>
        <v>1281.8587911951745</v>
      </c>
      <c r="AC14" s="1244">
        <f>VLOOKUP(A14,'1819 Funding Detail'!$A$4:$AK$23,27,FALSE)</f>
        <v>0</v>
      </c>
      <c r="AD14" s="245">
        <f t="shared" si="25"/>
        <v>1281.8587911951745</v>
      </c>
      <c r="AE14" s="245">
        <f t="shared" si="16"/>
        <v>11281.858791195174</v>
      </c>
      <c r="AF14" s="1029">
        <f t="shared" si="4"/>
        <v>0</v>
      </c>
      <c r="AG14" s="346">
        <f t="shared" si="5"/>
        <v>2685082.3923044517</v>
      </c>
      <c r="AH14" s="235">
        <f>VLOOKUP(A14,'1819 Funding Detail'!$A$4:$AJ$23,32,(FALSE))</f>
        <v>0</v>
      </c>
      <c r="AI14" s="235">
        <f t="shared" si="26"/>
        <v>2685082.3923044517</v>
      </c>
      <c r="AJ14" s="42">
        <f t="shared" si="17"/>
        <v>2380000.0000000005</v>
      </c>
      <c r="AK14" s="42">
        <f t="shared" si="18"/>
        <v>305082.3923044512</v>
      </c>
      <c r="AL14" s="42">
        <f t="shared" si="19"/>
        <v>1281.8587911951729</v>
      </c>
      <c r="AM14" s="327">
        <f t="shared" si="6"/>
        <v>11281.858791195174</v>
      </c>
      <c r="AN14" s="235" t="s">
        <v>206</v>
      </c>
      <c r="AO14" s="36"/>
      <c r="AP14" s="1251">
        <f>SUM(AG14-'2021 Funding Detail'!D14-'2021 Funding Detail'!E14-P14)</f>
        <v>2057366.9097738266</v>
      </c>
      <c r="AQ14" s="1026">
        <f t="shared" si="20"/>
        <v>8717.9681318862295</v>
      </c>
      <c r="AR14" s="1026">
        <f t="shared" si="21"/>
        <v>8587.1986099079368</v>
      </c>
      <c r="AS14" s="247"/>
      <c r="AT14" s="387">
        <f t="shared" si="22"/>
        <v>1.5543235758053477E-2</v>
      </c>
      <c r="AU14" s="387">
        <f t="shared" si="23"/>
        <v>1.5543235758053477E-2</v>
      </c>
      <c r="AV14" s="387">
        <f t="shared" si="24"/>
        <v>1.5543235758053477E-2</v>
      </c>
      <c r="AW14" s="1037"/>
      <c r="AX14" s="36"/>
    </row>
    <row r="15" spans="1:50" ht="13" x14ac:dyDescent="0.3">
      <c r="A15" s="244">
        <v>9257016</v>
      </c>
      <c r="B15" s="237" t="s">
        <v>219</v>
      </c>
      <c r="C15" s="1038" t="s">
        <v>762</v>
      </c>
      <c r="D15" s="245">
        <v>430000</v>
      </c>
      <c r="E15" s="245">
        <v>125000</v>
      </c>
      <c r="F15" s="245"/>
      <c r="G15" s="245"/>
      <c r="H15" s="248">
        <f>VLOOKUP(A15,'1920 Band Calculations'!$A$112:$T$129,10,FALSE)</f>
        <v>1910747.5024720924</v>
      </c>
      <c r="I15" s="248">
        <f>VLOOKUP(A15,'1920 Band Calculations'!$A$112:$T$129,17,FALSE)</f>
        <v>2655.9895833333335</v>
      </c>
      <c r="J15" s="245">
        <f>VLOOKUP(A15,'1920 FSM Calculation'!$A$4:$D$21,4,FALSE)</f>
        <v>15709.75</v>
      </c>
      <c r="K15" s="245">
        <f t="shared" si="0"/>
        <v>2484113.2420554259</v>
      </c>
      <c r="L15" s="248">
        <f>K15-F15</f>
        <v>2484113.2420554259</v>
      </c>
      <c r="M15" s="1036">
        <f>VLOOKUP(A15,'1920 Band Calculations'!$A$112:$T$129,19,FALSE)</f>
        <v>137.08333333333334</v>
      </c>
      <c r="N15" s="36"/>
      <c r="O15" s="253">
        <f>M15-(M15*'1920 Band Calculations'!J23)</f>
        <v>101.8045343137255</v>
      </c>
      <c r="P15" s="235">
        <f>'1920 Band Calculations'!AV129</f>
        <v>794222.80929219606</v>
      </c>
      <c r="Q15" s="235">
        <f t="shared" si="7"/>
        <v>10993.426671098081</v>
      </c>
      <c r="R15" s="1026">
        <f t="shared" si="8"/>
        <v>1134890.4327632298</v>
      </c>
      <c r="S15" s="1026">
        <f t="shared" si="9"/>
        <v>11147.739542385212</v>
      </c>
      <c r="T15" s="1026">
        <f>VLOOKUP(A15,'1819 Funding Detail'!$A$4:$AX$23,45,(FALSE))</f>
        <v>10701.919253835529</v>
      </c>
      <c r="U15" s="235">
        <f t="shared" si="10"/>
        <v>445.82028854968303</v>
      </c>
      <c r="V15" s="1026">
        <f t="shared" si="11"/>
        <v>0</v>
      </c>
      <c r="W15" s="1026">
        <f t="shared" si="12"/>
        <v>2484113.2420554259</v>
      </c>
      <c r="X15" s="235">
        <f t="shared" si="13"/>
        <v>1370833.3333333335</v>
      </c>
      <c r="Y15" s="235">
        <f t="shared" si="14"/>
        <v>0</v>
      </c>
      <c r="Z15" s="242">
        <f t="shared" si="15"/>
        <v>18121.190823504625</v>
      </c>
      <c r="AA15" s="242">
        <f t="shared" si="2"/>
        <v>1370833.3333333335</v>
      </c>
      <c r="AB15" s="242">
        <f t="shared" si="3"/>
        <v>8121.1908235046249</v>
      </c>
      <c r="AC15" s="1244">
        <f>VLOOKUP(A15,'1819 Funding Detail'!$A$4:$AK$23,27,FALSE)</f>
        <v>0</v>
      </c>
      <c r="AD15" s="245">
        <f t="shared" si="25"/>
        <v>8121.1908235046249</v>
      </c>
      <c r="AE15" s="245">
        <f t="shared" si="16"/>
        <v>18121.190823504625</v>
      </c>
      <c r="AF15" s="1029">
        <f t="shared" si="4"/>
        <v>0</v>
      </c>
      <c r="AG15" s="346">
        <f t="shared" si="5"/>
        <v>2484113.2420554259</v>
      </c>
      <c r="AH15" s="235">
        <f>VLOOKUP(A15,'1819 Funding Detail'!$A$4:$AJ$23,32,(FALSE))</f>
        <v>7649.7962120934317</v>
      </c>
      <c r="AI15" s="235">
        <f t="shared" si="26"/>
        <v>2476463.4458433324</v>
      </c>
      <c r="AJ15" s="42">
        <f t="shared" si="17"/>
        <v>1370833.3333333335</v>
      </c>
      <c r="AK15" s="42">
        <f t="shared" si="18"/>
        <v>1113279.9087220924</v>
      </c>
      <c r="AL15" s="42">
        <f t="shared" si="19"/>
        <v>8121.1908235046249</v>
      </c>
      <c r="AM15" s="327">
        <f t="shared" si="6"/>
        <v>18121.190823504625</v>
      </c>
      <c r="AN15" s="235" t="s">
        <v>206</v>
      </c>
      <c r="AO15" s="36"/>
      <c r="AP15" s="1251">
        <f>SUM(AG15-'2021 Funding Detail'!D15-'2021 Funding Detail'!E15-P15)</f>
        <v>1107390.4327632298</v>
      </c>
      <c r="AQ15" s="1026">
        <f t="shared" si="20"/>
        <v>10877.61404959277</v>
      </c>
      <c r="AR15" s="1026">
        <f t="shared" si="21"/>
        <v>10714.449838848879</v>
      </c>
      <c r="AS15" s="247"/>
      <c r="AT15" s="387">
        <f t="shared" si="22"/>
        <v>4.1657975357074634E-2</v>
      </c>
      <c r="AU15" s="387">
        <f t="shared" si="23"/>
        <v>4.1657975357074634E-2</v>
      </c>
      <c r="AV15" s="387">
        <f t="shared" si="24"/>
        <v>4.1657975357074634E-2</v>
      </c>
      <c r="AW15" s="1037"/>
      <c r="AX15" s="36"/>
    </row>
    <row r="16" spans="1:50" ht="13" x14ac:dyDescent="0.3">
      <c r="A16" s="244"/>
      <c r="B16" s="237"/>
      <c r="C16" s="244"/>
      <c r="D16" s="245"/>
      <c r="E16" s="245"/>
      <c r="F16" s="245"/>
      <c r="G16" s="245"/>
      <c r="H16" s="248"/>
      <c r="I16" s="248"/>
      <c r="J16" s="245"/>
      <c r="K16" s="245"/>
      <c r="L16" s="248"/>
      <c r="M16" s="1036"/>
      <c r="N16" s="36"/>
      <c r="O16" s="234"/>
      <c r="P16" s="235"/>
      <c r="Q16" s="235"/>
      <c r="R16" s="235"/>
      <c r="S16" s="235"/>
      <c r="T16" s="235"/>
      <c r="U16" s="235"/>
      <c r="V16" s="235"/>
      <c r="W16" s="235"/>
      <c r="X16" s="235"/>
      <c r="Y16" s="235"/>
      <c r="Z16" s="242"/>
      <c r="AA16" s="242"/>
      <c r="AB16" s="242"/>
      <c r="AC16" s="245"/>
      <c r="AD16" s="245"/>
      <c r="AE16" s="245"/>
      <c r="AF16" s="245"/>
      <c r="AG16" s="68"/>
      <c r="AH16" s="235"/>
      <c r="AI16" s="235"/>
      <c r="AJ16" s="42"/>
      <c r="AK16" s="42"/>
      <c r="AL16" s="42"/>
      <c r="AM16" s="327"/>
      <c r="AN16" s="234"/>
      <c r="AO16" s="36"/>
      <c r="AP16" s="1251"/>
      <c r="AQ16" s="1026"/>
      <c r="AR16" s="235"/>
      <c r="AS16" s="247"/>
      <c r="AT16" s="387"/>
      <c r="AU16" s="387"/>
      <c r="AV16" s="387"/>
      <c r="AW16" s="1037"/>
      <c r="AX16" s="36"/>
    </row>
    <row r="17" spans="1:50" ht="13" x14ac:dyDescent="0.3">
      <c r="A17" s="244">
        <v>9257031</v>
      </c>
      <c r="B17" s="32" t="s">
        <v>557</v>
      </c>
      <c r="C17" s="1038" t="s">
        <v>810</v>
      </c>
      <c r="D17" s="245">
        <v>332500</v>
      </c>
      <c r="E17" s="245">
        <v>80000</v>
      </c>
      <c r="F17" s="245">
        <v>180269</v>
      </c>
      <c r="G17" s="245"/>
      <c r="H17" s="248">
        <f>VLOOKUP(A17,'1920 Band Calculations'!$A$112:$T$129,10,FALSE)</f>
        <v>830676.65839235869</v>
      </c>
      <c r="I17" s="248">
        <f>VLOOKUP(A17,'1920 Band Calculations'!$A$112:$T$129,17,FALSE)</f>
        <v>194331.25</v>
      </c>
      <c r="J17" s="245">
        <f>VLOOKUP(A17,'1920 FSM Calculation'!$A$4:$D$21,4,FALSE)</f>
        <v>13016.650000000001</v>
      </c>
      <c r="K17" s="245">
        <f>SUM(D17:J17)</f>
        <v>1630793.5583923585</v>
      </c>
      <c r="L17" s="248">
        <f>K17-F17</f>
        <v>1450524.5583923585</v>
      </c>
      <c r="M17" s="1036">
        <f>VLOOKUP(A17,'1920 Band Calculations'!$A$112:$T$129,19,FALSE)</f>
        <v>73.75</v>
      </c>
      <c r="N17" s="36"/>
      <c r="O17" s="253">
        <f>M17-(M17*'1920 Band Calculations'!J11)</f>
        <v>73.75</v>
      </c>
      <c r="P17" s="235">
        <f>'1920 Band Calculations'!AV117</f>
        <v>0</v>
      </c>
      <c r="Q17" s="235">
        <f t="shared" si="7"/>
        <v>13898.412317184524</v>
      </c>
      <c r="R17" s="1026">
        <f>L17-D17-E17-P17</f>
        <v>1038024.5583923585</v>
      </c>
      <c r="S17" s="1026">
        <f t="shared" si="9"/>
        <v>14074.909266337065</v>
      </c>
      <c r="T17" s="1026">
        <f>VLOOKUP(A17,'1819 Funding Detail'!$A$4:$AX$23,45,(FALSE))</f>
        <v>14527.623652186257</v>
      </c>
      <c r="U17" s="235">
        <f t="shared" si="10"/>
        <v>-452.71438584919269</v>
      </c>
      <c r="V17" s="1026">
        <f t="shared" si="11"/>
        <v>33387.685956377958</v>
      </c>
      <c r="W17" s="1026">
        <f t="shared" si="12"/>
        <v>1483912.2443487365</v>
      </c>
      <c r="X17" s="235">
        <f t="shared" si="13"/>
        <v>737500</v>
      </c>
      <c r="Y17" s="235">
        <f t="shared" si="14"/>
        <v>0</v>
      </c>
      <c r="Z17" s="242">
        <f t="shared" si="15"/>
        <v>19668.129605320115</v>
      </c>
      <c r="AA17" s="242">
        <f>M17*10000</f>
        <v>737500</v>
      </c>
      <c r="AB17" s="242">
        <f>Z17-10000</f>
        <v>9668.1296053201149</v>
      </c>
      <c r="AC17" s="1244">
        <f>VLOOKUP(A17,'1819 Funding Detail'!$A$4:$AK$23,27,FALSE)</f>
        <v>0</v>
      </c>
      <c r="AD17" s="245">
        <f t="shared" si="25"/>
        <v>9668.1296053201149</v>
      </c>
      <c r="AE17" s="245">
        <f t="shared" si="16"/>
        <v>19668.129605320115</v>
      </c>
      <c r="AF17" s="1029">
        <f>V17+Y17</f>
        <v>33387.685956377958</v>
      </c>
      <c r="AG17" s="346">
        <f>L17+AF17</f>
        <v>1483912.2443487365</v>
      </c>
      <c r="AH17" s="235">
        <f>VLOOKUP(A17,'1819 Funding Detail'!$A$4:$AJ$23,32,(FALSE))</f>
        <v>10491.479073873004</v>
      </c>
      <c r="AI17" s="235">
        <f>AG17-AH17</f>
        <v>1473420.7652748635</v>
      </c>
      <c r="AJ17" s="42">
        <f>M17*10000</f>
        <v>737500</v>
      </c>
      <c r="AK17" s="42">
        <f>AG17-AJ17</f>
        <v>746412.24434873648</v>
      </c>
      <c r="AL17" s="42">
        <f>AK17/M17</f>
        <v>10120.843991169308</v>
      </c>
      <c r="AM17" s="327">
        <f>AG17/M17</f>
        <v>20120.843991169309</v>
      </c>
      <c r="AN17" s="235" t="s">
        <v>206</v>
      </c>
      <c r="AO17" s="36"/>
      <c r="AP17" s="1251">
        <f>SUM(AG17-'2021 Funding Detail'!D17-'2021 Funding Detail'!E17-P17)</f>
        <v>1071412.2443487365</v>
      </c>
      <c r="AQ17" s="1026">
        <f t="shared" si="20"/>
        <v>14527.623652186257</v>
      </c>
      <c r="AR17" s="1026">
        <f t="shared" si="21"/>
        <v>14309.709297403464</v>
      </c>
      <c r="AS17" s="247"/>
      <c r="AT17" s="387">
        <f t="shared" si="22"/>
        <v>-3.1162315096252089E-2</v>
      </c>
      <c r="AU17" s="387">
        <f t="shared" si="23"/>
        <v>3.1162315096252089E-2</v>
      </c>
      <c r="AV17" s="387">
        <f t="shared" si="24"/>
        <v>0</v>
      </c>
      <c r="AW17" s="1037"/>
      <c r="AX17" s="36"/>
    </row>
    <row r="18" spans="1:50" ht="13" x14ac:dyDescent="0.3">
      <c r="A18" s="244">
        <v>9257029</v>
      </c>
      <c r="B18" s="32" t="s">
        <v>890</v>
      </c>
      <c r="C18" s="1038" t="s">
        <v>814</v>
      </c>
      <c r="D18" s="245">
        <v>325000</v>
      </c>
      <c r="E18" s="245">
        <v>80000</v>
      </c>
      <c r="F18" s="245">
        <v>254986</v>
      </c>
      <c r="G18" s="245"/>
      <c r="H18" s="248">
        <f>VLOOKUP(A18,'1920 Band Calculations'!$A$112:$T$129,10,FALSE)</f>
        <v>639198.64900022175</v>
      </c>
      <c r="I18" s="248">
        <f>VLOOKUP(A18,'1920 Band Calculations'!$A$112:$T$129,17,FALSE)</f>
        <v>149536.25</v>
      </c>
      <c r="J18" s="245">
        <f>VLOOKUP(A18,'1920 FSM Calculation'!$A$4:$D$21,4,FALSE)</f>
        <v>9874.7000000000007</v>
      </c>
      <c r="K18" s="245">
        <f>SUM(D18:J18)</f>
        <v>1458595.5990002218</v>
      </c>
      <c r="L18" s="248">
        <f>K18-F18</f>
        <v>1203609.5990002218</v>
      </c>
      <c r="M18" s="1036">
        <f>VLOOKUP(A18,'1920 Band Calculations'!$A$112:$T$129,19,FALSE)</f>
        <v>56.750000000000007</v>
      </c>
      <c r="N18" s="36"/>
      <c r="O18" s="253">
        <f>M18-(M18*'1920 Band Calculations'!J17)</f>
        <v>56.750000000000007</v>
      </c>
      <c r="P18" s="235">
        <f>'1920 Band Calculations'!AV123</f>
        <v>0</v>
      </c>
      <c r="Q18" s="235">
        <f t="shared" si="7"/>
        <v>13898.412317184522</v>
      </c>
      <c r="R18" s="1026">
        <f t="shared" si="8"/>
        <v>798609.59900022182</v>
      </c>
      <c r="S18" s="1026">
        <f t="shared" si="9"/>
        <v>14072.415841413598</v>
      </c>
      <c r="T18" s="1026">
        <f>S18+'1819 Funding Detail'!AU18</f>
        <v>14371.333215172823</v>
      </c>
      <c r="U18" s="235">
        <f t="shared" si="10"/>
        <v>-298.91737375922457</v>
      </c>
      <c r="V18" s="1026">
        <f t="shared" si="11"/>
        <v>16963.560960835996</v>
      </c>
      <c r="W18" s="1026">
        <f t="shared" si="12"/>
        <v>1220573.1599610578</v>
      </c>
      <c r="X18" s="235">
        <f t="shared" si="13"/>
        <v>567500.00000000012</v>
      </c>
      <c r="Y18" s="235">
        <f t="shared" si="14"/>
        <v>0</v>
      </c>
      <c r="Z18" s="242">
        <f t="shared" si="15"/>
        <v>21208.979718065581</v>
      </c>
      <c r="AA18" s="242">
        <f>M18*10000</f>
        <v>567500.00000000012</v>
      </c>
      <c r="AB18" s="242">
        <f>Z18-10000</f>
        <v>11208.979718065581</v>
      </c>
      <c r="AC18" s="1244">
        <f>VLOOKUP(A18,'1819 Funding Detail'!$A$4:$AK$23,27,FALSE)</f>
        <v>0</v>
      </c>
      <c r="AD18" s="245">
        <f t="shared" si="25"/>
        <v>11208.979718065581</v>
      </c>
      <c r="AE18" s="245">
        <f t="shared" si="16"/>
        <v>21208.979718065581</v>
      </c>
      <c r="AF18" s="1029">
        <f>V18+Y18</f>
        <v>16963.560960835996</v>
      </c>
      <c r="AG18" s="346">
        <f>L18+AF18</f>
        <v>1220573.1599610578</v>
      </c>
      <c r="AH18" s="235">
        <f>VLOOKUP(A18,'1819 Funding Detail'!$A$4:$AJ$23,32,(FALSE))</f>
        <v>12285.222565355547</v>
      </c>
      <c r="AI18" s="235">
        <f t="shared" si="26"/>
        <v>1208287.9373957023</v>
      </c>
      <c r="AJ18" s="42">
        <f>M18*10000</f>
        <v>567500.00000000012</v>
      </c>
      <c r="AK18" s="42">
        <f>AG18-AJ18</f>
        <v>653073.15996105771</v>
      </c>
      <c r="AL18" s="42">
        <f>AK18/M18</f>
        <v>11507.897091824803</v>
      </c>
      <c r="AM18" s="327">
        <f>AG18/M18</f>
        <v>21507.897091824805</v>
      </c>
      <c r="AN18" s="235" t="s">
        <v>206</v>
      </c>
      <c r="AO18" s="36"/>
      <c r="AP18" s="1251">
        <f>SUM(AG18-'2021 Funding Detail'!D18-'2021 Funding Detail'!E18-P18)</f>
        <v>808073.15996105783</v>
      </c>
      <c r="AQ18" s="1026">
        <f t="shared" si="20"/>
        <v>14239.174624864454</v>
      </c>
      <c r="AR18" s="1026">
        <f t="shared" si="21"/>
        <v>14025.587005491487</v>
      </c>
      <c r="AS18" s="247"/>
      <c r="AT18" s="387">
        <f t="shared" si="22"/>
        <v>-2.0799557652983549E-2</v>
      </c>
      <c r="AU18" s="387">
        <f t="shared" si="23"/>
        <v>2.0799557652983549E-2</v>
      </c>
      <c r="AV18" s="387">
        <f t="shared" si="24"/>
        <v>0</v>
      </c>
      <c r="AW18" s="1037"/>
      <c r="AX18" s="235">
        <f>D18+E18-'1819 Funding Detail'!D18-'1819 Funding Detail'!E18</f>
        <v>65000</v>
      </c>
    </row>
    <row r="19" spans="1:50" ht="13" x14ac:dyDescent="0.3">
      <c r="A19" s="244">
        <v>9257032</v>
      </c>
      <c r="B19" s="32" t="s">
        <v>813</v>
      </c>
      <c r="C19" s="1038" t="s">
        <v>810</v>
      </c>
      <c r="D19" s="245">
        <v>332500</v>
      </c>
      <c r="E19" s="245">
        <v>80000</v>
      </c>
      <c r="F19" s="245">
        <v>226348</v>
      </c>
      <c r="G19" s="245"/>
      <c r="H19" s="248">
        <f>VLOOKUP(A19,'1920 Band Calculations'!$A$112:$T$129,10,FALSE)</f>
        <v>804395.3629855949</v>
      </c>
      <c r="I19" s="248">
        <f>VLOOKUP(A19,'1920 Band Calculations'!$A$112:$T$129,17,FALSE)</f>
        <v>188182.91666666669</v>
      </c>
      <c r="J19" s="245">
        <f>VLOOKUP(A19,'1920 FSM Calculation'!$A$4:$D$21,4,FALSE)</f>
        <v>9425.85</v>
      </c>
      <c r="K19" s="245">
        <f>SUM(D19:J19)</f>
        <v>1640852.1296522617</v>
      </c>
      <c r="L19" s="248">
        <f>K19-F19</f>
        <v>1414504.1296522617</v>
      </c>
      <c r="M19" s="1036">
        <f>VLOOKUP(A19,'1920 Band Calculations'!$A$112:$T$129,19,FALSE)</f>
        <v>71.416666666666671</v>
      </c>
      <c r="N19" s="36"/>
      <c r="O19" s="253">
        <f>M19-(M19*'1920 Band Calculations'!J18)</f>
        <v>71.416666666666671</v>
      </c>
      <c r="P19" s="235">
        <f>'1920 Band Calculations'!AV124</f>
        <v>0</v>
      </c>
      <c r="Q19" s="235">
        <f t="shared" si="7"/>
        <v>13898.412317184526</v>
      </c>
      <c r="R19" s="1026">
        <f t="shared" si="8"/>
        <v>1002004.1296522617</v>
      </c>
      <c r="S19" s="1026">
        <f t="shared" si="9"/>
        <v>14030.396214500746</v>
      </c>
      <c r="T19" s="1026">
        <f>S19+'1819 Funding Detail'!AU19</f>
        <v>14617.884840609951</v>
      </c>
      <c r="U19" s="235">
        <f t="shared" si="10"/>
        <v>-587.48862610920514</v>
      </c>
      <c r="V19" s="1026">
        <f t="shared" si="11"/>
        <v>41956.479381299068</v>
      </c>
      <c r="W19" s="1026">
        <f t="shared" si="12"/>
        <v>1456460.6090335608</v>
      </c>
      <c r="X19" s="235">
        <f t="shared" si="13"/>
        <v>714166.66666666674</v>
      </c>
      <c r="Y19" s="235">
        <f t="shared" si="14"/>
        <v>0</v>
      </c>
      <c r="Z19" s="242">
        <f t="shared" si="15"/>
        <v>19806.358874944155</v>
      </c>
      <c r="AA19" s="242">
        <f>M19*10000</f>
        <v>714166.66666666674</v>
      </c>
      <c r="AB19" s="242">
        <f>Z19-10000</f>
        <v>9806.3588749441551</v>
      </c>
      <c r="AC19" s="1244">
        <f>VLOOKUP(A19,'1819 Funding Detail'!$A$4:$AK$23,27,FALSE)</f>
        <v>0</v>
      </c>
      <c r="AD19" s="245">
        <f t="shared" si="25"/>
        <v>9806.3588749441551</v>
      </c>
      <c r="AE19" s="245">
        <f t="shared" si="16"/>
        <v>19806.358874944155</v>
      </c>
      <c r="AF19" s="1029">
        <f>V19+Y19</f>
        <v>41956.479381299068</v>
      </c>
      <c r="AG19" s="346">
        <f>L19+AF19</f>
        <v>1456460.6090335608</v>
      </c>
      <c r="AH19" s="235">
        <f>VLOOKUP(A19,'1819 Funding Detail'!$A$4:$AJ$23,32,(FALSE))</f>
        <v>11388.515740785999</v>
      </c>
      <c r="AI19" s="235">
        <f t="shared" si="26"/>
        <v>1445072.0932927749</v>
      </c>
      <c r="AJ19" s="42">
        <f>M19*10000</f>
        <v>714166.66666666674</v>
      </c>
      <c r="AK19" s="42">
        <f>AG19-AJ19</f>
        <v>742293.9423668941</v>
      </c>
      <c r="AL19" s="42">
        <f>AK19/M19</f>
        <v>10393.847501053358</v>
      </c>
      <c r="AM19" s="327">
        <f>AG19/M19</f>
        <v>20393.847501053358</v>
      </c>
      <c r="AN19" s="235" t="s">
        <v>206</v>
      </c>
      <c r="AO19" s="36"/>
      <c r="AP19" s="1251">
        <f>SUM(AG19-'2021 Funding Detail'!D19-'2021 Funding Detail'!E19-P19)</f>
        <v>1043960.6090335608</v>
      </c>
      <c r="AQ19" s="1026">
        <f t="shared" si="20"/>
        <v>14617.884840609953</v>
      </c>
      <c r="AR19" s="1026">
        <f t="shared" si="21"/>
        <v>14398.616568000803</v>
      </c>
      <c r="AS19" s="247"/>
      <c r="AT19" s="387">
        <f t="shared" si="22"/>
        <v>-4.0189715031623642E-2</v>
      </c>
      <c r="AU19" s="387">
        <f t="shared" si="23"/>
        <v>4.0189715031623642E-2</v>
      </c>
      <c r="AV19" s="387">
        <f t="shared" si="24"/>
        <v>0</v>
      </c>
      <c r="AW19" s="1037"/>
      <c r="AX19" s="235">
        <f>D19+E19-'1819 Funding Detail'!D19-'1819 Funding Detail'!E19</f>
        <v>7500</v>
      </c>
    </row>
    <row r="20" spans="1:50" ht="13" x14ac:dyDescent="0.3">
      <c r="A20" s="244">
        <v>9257030</v>
      </c>
      <c r="B20" s="32" t="s">
        <v>815</v>
      </c>
      <c r="C20" s="1038" t="s">
        <v>810</v>
      </c>
      <c r="D20" s="245">
        <v>332500</v>
      </c>
      <c r="E20" s="245">
        <v>80000</v>
      </c>
      <c r="F20" s="245">
        <v>277926</v>
      </c>
      <c r="G20" s="245"/>
      <c r="H20" s="248">
        <f>VLOOKUP(A20,'1920 Band Calculations'!$A$112:$T$129,10,FALSE)</f>
        <v>814720.15760968067</v>
      </c>
      <c r="I20" s="248">
        <f>VLOOKUP(A20,'1920 Band Calculations'!$A$112:$T$129,17,FALSE)</f>
        <v>190598.33333333334</v>
      </c>
      <c r="J20" s="245">
        <f>VLOOKUP(A20,'1920 FSM Calculation'!$A$4:$D$21,4,FALSE)</f>
        <v>7181.6</v>
      </c>
      <c r="K20" s="245">
        <f>SUM(D20:J20)</f>
        <v>1702926.090943014</v>
      </c>
      <c r="L20" s="248">
        <f>K20-F20</f>
        <v>1425000.090943014</v>
      </c>
      <c r="M20" s="1036">
        <f>VLOOKUP(A20,'1920 Band Calculations'!$A$112:$T$129,19,FALSE)</f>
        <v>72.333333333333343</v>
      </c>
      <c r="N20" s="36"/>
      <c r="O20" s="253">
        <f>M20-(M20*'1920 Band Calculations'!J19)</f>
        <v>72.333333333333343</v>
      </c>
      <c r="P20" s="235">
        <f>'1920 Band Calculations'!AV125</f>
        <v>0</v>
      </c>
      <c r="Q20" s="235">
        <f t="shared" si="7"/>
        <v>13898.412317184524</v>
      </c>
      <c r="R20" s="1026">
        <f t="shared" si="8"/>
        <v>1012500.090943014</v>
      </c>
      <c r="S20" s="1026">
        <f t="shared" si="9"/>
        <v>13997.697109811252</v>
      </c>
      <c r="T20" s="1026">
        <f>VLOOKUP(A20,'1819 Funding Detail'!$A$4:$AX$23,45,(FALSE))</f>
        <v>14668.774640558368</v>
      </c>
      <c r="U20" s="235">
        <f t="shared" si="10"/>
        <v>-671.07753074711582</v>
      </c>
      <c r="V20" s="1026">
        <f t="shared" si="11"/>
        <v>48541.274724041381</v>
      </c>
      <c r="W20" s="1026">
        <f t="shared" si="12"/>
        <v>1473541.3656670554</v>
      </c>
      <c r="X20" s="235">
        <f t="shared" si="13"/>
        <v>723333.33333333337</v>
      </c>
      <c r="Y20" s="235">
        <f t="shared" si="14"/>
        <v>0</v>
      </c>
      <c r="Z20" s="242">
        <f t="shared" si="15"/>
        <v>19700.462086769778</v>
      </c>
      <c r="AA20" s="242">
        <f>M20*10000</f>
        <v>723333.33333333337</v>
      </c>
      <c r="AB20" s="242">
        <f>Z20-10000</f>
        <v>9700.4620867697777</v>
      </c>
      <c r="AC20" s="1244">
        <f>VLOOKUP(A20,'1819 Funding Detail'!$A$4:$AK$23,27,FALSE)</f>
        <v>0</v>
      </c>
      <c r="AD20" s="245">
        <f t="shared" si="25"/>
        <v>9700.4620867697777</v>
      </c>
      <c r="AE20" s="245">
        <f t="shared" si="16"/>
        <v>19700.462086769778</v>
      </c>
      <c r="AF20" s="1029">
        <f>V20+Y20</f>
        <v>48541.274724041381</v>
      </c>
      <c r="AG20" s="346">
        <f>L20+AF20</f>
        <v>1473541.3656670554</v>
      </c>
      <c r="AH20" s="235">
        <f>VLOOKUP(A20,'1819 Funding Detail'!$A$4:$AJ$23,32,(FALSE))</f>
        <v>10624.396716020456</v>
      </c>
      <c r="AI20" s="235">
        <f t="shared" si="26"/>
        <v>1462916.9689510348</v>
      </c>
      <c r="AJ20" s="42">
        <f>M20*10000</f>
        <v>723333.33333333337</v>
      </c>
      <c r="AK20" s="42">
        <f>AG20-AJ20</f>
        <v>750208.03233372199</v>
      </c>
      <c r="AL20" s="42">
        <f>AK20/M20</f>
        <v>10371.539617516892</v>
      </c>
      <c r="AM20" s="327">
        <f>AG20/M20</f>
        <v>20371.539617516893</v>
      </c>
      <c r="AN20" s="235" t="s">
        <v>206</v>
      </c>
      <c r="AO20" s="36"/>
      <c r="AP20" s="1251">
        <f>SUM(AG20-'2021 Funding Detail'!D20-'2021 Funding Detail'!E20-P20)</f>
        <v>1061041.3656670554</v>
      </c>
      <c r="AQ20" s="1026">
        <f t="shared" si="20"/>
        <v>14668.774640558368</v>
      </c>
      <c r="AR20" s="1026">
        <f t="shared" si="21"/>
        <v>14448.743020949993</v>
      </c>
      <c r="AS20" s="247"/>
      <c r="AT20" s="387">
        <f t="shared" si="22"/>
        <v>-4.5748710931288204E-2</v>
      </c>
      <c r="AU20" s="387">
        <f t="shared" si="23"/>
        <v>4.5748710931288204E-2</v>
      </c>
      <c r="AV20" s="387">
        <f t="shared" si="24"/>
        <v>0</v>
      </c>
      <c r="AW20" s="1037"/>
      <c r="AX20" s="36"/>
    </row>
    <row r="21" spans="1:50" ht="13" x14ac:dyDescent="0.3">
      <c r="A21" s="244"/>
      <c r="B21" s="32"/>
      <c r="C21" s="244"/>
      <c r="D21" s="245"/>
      <c r="E21" s="245"/>
      <c r="F21" s="245"/>
      <c r="G21" s="245"/>
      <c r="H21" s="248"/>
      <c r="I21" s="248"/>
      <c r="J21" s="245"/>
      <c r="K21" s="245"/>
      <c r="L21" s="248"/>
      <c r="M21" s="1036"/>
      <c r="N21" s="36"/>
      <c r="O21" s="234"/>
      <c r="P21" s="235"/>
      <c r="Q21" s="235"/>
      <c r="R21" s="235"/>
      <c r="S21" s="235"/>
      <c r="T21" s="235"/>
      <c r="U21" s="235"/>
      <c r="V21" s="235"/>
      <c r="W21" s="235"/>
      <c r="X21" s="235"/>
      <c r="Y21" s="235"/>
      <c r="Z21" s="242"/>
      <c r="AA21" s="242"/>
      <c r="AB21" s="242"/>
      <c r="AC21" s="245"/>
      <c r="AD21" s="245"/>
      <c r="AE21" s="245"/>
      <c r="AF21" s="245"/>
      <c r="AG21" s="68"/>
      <c r="AH21" s="235"/>
      <c r="AI21" s="235"/>
      <c r="AJ21" s="42"/>
      <c r="AK21" s="42"/>
      <c r="AL21" s="42"/>
      <c r="AM21" s="327"/>
      <c r="AN21" s="234"/>
      <c r="AO21" s="36"/>
      <c r="AP21" s="1251"/>
      <c r="AQ21" s="1026"/>
      <c r="AR21" s="235"/>
      <c r="AS21" s="247"/>
      <c r="AT21" s="387"/>
      <c r="AU21" s="387"/>
      <c r="AV21" s="387"/>
      <c r="AW21" s="1037"/>
      <c r="AX21" s="36"/>
    </row>
    <row r="22" spans="1:50" ht="13" x14ac:dyDescent="0.3">
      <c r="A22" s="244">
        <v>9257033</v>
      </c>
      <c r="B22" s="237" t="s">
        <v>816</v>
      </c>
      <c r="C22" s="1038" t="s">
        <v>758</v>
      </c>
      <c r="D22" s="245">
        <v>340000</v>
      </c>
      <c r="E22" s="245">
        <v>105000</v>
      </c>
      <c r="F22" s="245"/>
      <c r="G22" s="245"/>
      <c r="H22" s="248">
        <f>VLOOKUP(A22,'1920 Band Calculations'!$A$112:$T$129,10,FALSE)</f>
        <v>900485.17247202341</v>
      </c>
      <c r="I22" s="248">
        <f>VLOOKUP(A22,'1920 Band Calculations'!$A$112:$T$129,17,FALSE)</f>
        <v>46746.297348484848</v>
      </c>
      <c r="J22" s="245">
        <f>VLOOKUP(A22,'1920 FSM Calculation'!$A$4:$D$21,4,FALSE)</f>
        <v>19749.400000000001</v>
      </c>
      <c r="K22" s="245">
        <f>SUM(D22:J22)</f>
        <v>1411980.8698205082</v>
      </c>
      <c r="L22" s="248">
        <f>K22-F22</f>
        <v>1411980.8698205082</v>
      </c>
      <c r="M22" s="1036">
        <f>VLOOKUP(A22,'1920 Band Calculations'!$A$112:$T$129,19,FALSE)</f>
        <v>91.833333333333343</v>
      </c>
      <c r="N22" s="36"/>
      <c r="O22" s="253">
        <f>M22-(M22*'1920 Band Calculations'!J12)</f>
        <v>91.833333333333343</v>
      </c>
      <c r="P22" s="235">
        <f>'1920 Band Calculations'!AV118</f>
        <v>0</v>
      </c>
      <c r="Q22" s="235">
        <f t="shared" si="7"/>
        <v>10314.680252128946</v>
      </c>
      <c r="R22" s="1026">
        <f t="shared" si="8"/>
        <v>966980.86982050817</v>
      </c>
      <c r="S22" s="1026">
        <f t="shared" si="9"/>
        <v>10529.73723942477</v>
      </c>
      <c r="T22" s="1026">
        <f>VLOOKUP(A22,'1819 Funding Detail'!$A$4:$AX$23,45,(FALSE))</f>
        <v>10249.633642632873</v>
      </c>
      <c r="U22" s="235">
        <f t="shared" si="10"/>
        <v>280.10359679189787</v>
      </c>
      <c r="V22" s="1026">
        <f t="shared" si="11"/>
        <v>0</v>
      </c>
      <c r="W22" s="1026">
        <f t="shared" si="12"/>
        <v>1411980.8698205082</v>
      </c>
      <c r="X22" s="235">
        <f t="shared" si="13"/>
        <v>918333.33333333337</v>
      </c>
      <c r="Y22" s="235">
        <f t="shared" si="14"/>
        <v>0</v>
      </c>
      <c r="Z22" s="242">
        <f t="shared" si="15"/>
        <v>15375.472266648001</v>
      </c>
      <c r="AA22" s="242">
        <f>M22*10000</f>
        <v>918333.33333333337</v>
      </c>
      <c r="AB22" s="242">
        <f>Z22-10000</f>
        <v>5375.4722666480011</v>
      </c>
      <c r="AC22" s="1244">
        <f>VLOOKUP(A22,'1819 Funding Detail'!$A$4:$AK$23,27,FALSE)</f>
        <v>0</v>
      </c>
      <c r="AD22" s="245">
        <f t="shared" si="25"/>
        <v>5375.4722666480011</v>
      </c>
      <c r="AE22" s="245">
        <f t="shared" si="16"/>
        <v>15375.472266648001</v>
      </c>
      <c r="AF22" s="1029">
        <f>V22+Y22</f>
        <v>0</v>
      </c>
      <c r="AG22" s="346">
        <f>L22+AF22</f>
        <v>1411980.8698205082</v>
      </c>
      <c r="AH22" s="235">
        <f>VLOOKUP(A22,'1819 Funding Detail'!$A$4:$AJ$23,32,(FALSE))</f>
        <v>5292.088499428748</v>
      </c>
      <c r="AI22" s="235">
        <f t="shared" si="26"/>
        <v>1406688.7813210795</v>
      </c>
      <c r="AJ22" s="42">
        <f>M22*10000</f>
        <v>918333.33333333337</v>
      </c>
      <c r="AK22" s="42">
        <f>AG22-AJ22</f>
        <v>493647.5364871748</v>
      </c>
      <c r="AL22" s="42">
        <f>AK22/M22</f>
        <v>5375.4722666480011</v>
      </c>
      <c r="AM22" s="327">
        <f>AG22/M22</f>
        <v>15375.472266648001</v>
      </c>
      <c r="AN22" s="235" t="s">
        <v>206</v>
      </c>
      <c r="AO22" s="36"/>
      <c r="AP22" s="1251">
        <f>SUM(AG22-'2021 Funding Detail'!D22-'2021 Funding Detail'!E22-P22)</f>
        <v>966980.86982050817</v>
      </c>
      <c r="AQ22" s="1026">
        <f t="shared" si="20"/>
        <v>10529.73723942477</v>
      </c>
      <c r="AR22" s="1026">
        <f t="shared" si="21"/>
        <v>10371.791180833399</v>
      </c>
      <c r="AS22" s="247"/>
      <c r="AT22" s="387">
        <f t="shared" si="22"/>
        <v>2.7328156942782816E-2</v>
      </c>
      <c r="AU22" s="387">
        <f t="shared" si="23"/>
        <v>2.7328156942782816E-2</v>
      </c>
      <c r="AV22" s="387">
        <f t="shared" si="24"/>
        <v>2.7328156942782816E-2</v>
      </c>
      <c r="AW22" s="1037"/>
      <c r="AX22" s="36"/>
    </row>
    <row r="23" spans="1:50" ht="13" x14ac:dyDescent="0.3">
      <c r="A23" s="244">
        <v>9257034</v>
      </c>
      <c r="B23" s="237" t="s">
        <v>817</v>
      </c>
      <c r="C23" s="1038" t="s">
        <v>759</v>
      </c>
      <c r="D23" s="245">
        <v>362500</v>
      </c>
      <c r="E23" s="245">
        <v>110000</v>
      </c>
      <c r="F23" s="245"/>
      <c r="G23" s="245"/>
      <c r="H23" s="248">
        <f>VLOOKUP(A23,'1920 Band Calculations'!$A$112:$T$129,10,FALSE)</f>
        <v>960667.40981999482</v>
      </c>
      <c r="I23" s="248">
        <f>VLOOKUP(A23,'1920 Band Calculations'!$A$112:$T$129,17,FALSE)</f>
        <v>54856.622023809527</v>
      </c>
      <c r="J23" s="245">
        <f>VLOOKUP(A23,'1920 FSM Calculation'!$A$4:$D$21,4,FALSE)</f>
        <v>18851.7</v>
      </c>
      <c r="K23" s="245">
        <f>SUM(D23:J23)</f>
        <v>1506875.7318438042</v>
      </c>
      <c r="L23" s="248">
        <f>K23-F23</f>
        <v>1506875.7318438042</v>
      </c>
      <c r="M23" s="1036">
        <f>VLOOKUP(A23,'1920 Band Calculations'!$A$112:$T$129,19,FALSE)</f>
        <v>116.58333333333334</v>
      </c>
      <c r="N23" s="36"/>
      <c r="O23" s="253">
        <f>M23-(M23*'1920 Band Calculations'!J14)</f>
        <v>115.54241071428572</v>
      </c>
      <c r="P23" s="235">
        <f>'1920 Band Calculations'!AV120</f>
        <v>23434.031478687801</v>
      </c>
      <c r="Q23" s="235">
        <f t="shared" si="7"/>
        <v>8586.370963112111</v>
      </c>
      <c r="R23" s="1026">
        <f t="shared" si="8"/>
        <v>1010941.7003651165</v>
      </c>
      <c r="S23" s="1026">
        <f t="shared" si="9"/>
        <v>8749.5292344642348</v>
      </c>
      <c r="T23" s="1026">
        <f>VLOOKUP(A23,'1819 Funding Detail'!$A$4:$AX$23,45,(FALSE))</f>
        <v>9396.4808673523366</v>
      </c>
      <c r="U23" s="235">
        <f t="shared" si="10"/>
        <v>-646.95163288810181</v>
      </c>
      <c r="V23" s="1026">
        <f t="shared" si="11"/>
        <v>74750.351279434864</v>
      </c>
      <c r="W23" s="1026">
        <f t="shared" si="12"/>
        <v>1581626.0831232392</v>
      </c>
      <c r="X23" s="235">
        <f t="shared" si="13"/>
        <v>1165833.3333333335</v>
      </c>
      <c r="Y23" s="235">
        <f t="shared" si="14"/>
        <v>0</v>
      </c>
      <c r="Z23" s="242">
        <f t="shared" si="15"/>
        <v>12925.310065851072</v>
      </c>
      <c r="AA23" s="242">
        <f>M23*10000</f>
        <v>1165833.3333333335</v>
      </c>
      <c r="AB23" s="242">
        <f>Z23-10000</f>
        <v>2925.3100658510721</v>
      </c>
      <c r="AC23" s="1244">
        <f>VLOOKUP(A23,'1819 Funding Detail'!$A$4:$AK$23,27,FALSE)</f>
        <v>0</v>
      </c>
      <c r="AD23" s="245">
        <f t="shared" si="25"/>
        <v>2925.3100658510721</v>
      </c>
      <c r="AE23" s="245">
        <f t="shared" si="16"/>
        <v>12925.310065851072</v>
      </c>
      <c r="AF23" s="1029">
        <f>V23+Y23</f>
        <v>74750.351279434864</v>
      </c>
      <c r="AG23" s="346">
        <f>L23+AF23</f>
        <v>1581626.0831232392</v>
      </c>
      <c r="AH23" s="235">
        <f>VLOOKUP(A23,'1819 Funding Detail'!$A$4:$AJ$23,32,(FALSE))</f>
        <v>3910.7635114754248</v>
      </c>
      <c r="AI23" s="235">
        <f t="shared" si="26"/>
        <v>1577715.3196117638</v>
      </c>
      <c r="AJ23" s="42">
        <f>M23*10000</f>
        <v>1165833.3333333335</v>
      </c>
      <c r="AK23" s="42">
        <f>AG23-AJ23</f>
        <v>415792.74978990573</v>
      </c>
      <c r="AL23" s="42">
        <f>AK23/M23</f>
        <v>3566.4853448741019</v>
      </c>
      <c r="AM23" s="327">
        <f>AG23/M23</f>
        <v>13566.485344874101</v>
      </c>
      <c r="AN23" s="235" t="s">
        <v>206</v>
      </c>
      <c r="AO23" s="36"/>
      <c r="AP23" s="1251">
        <f>SUM(AG23-'2021 Funding Detail'!D23-'2021 Funding Detail'!E23-P23)</f>
        <v>1085692.0516445513</v>
      </c>
      <c r="AQ23" s="1026">
        <f t="shared" si="20"/>
        <v>9396.4808673523366</v>
      </c>
      <c r="AR23" s="1026">
        <f t="shared" si="21"/>
        <v>9255.5336543420508</v>
      </c>
      <c r="AS23" s="247"/>
      <c r="AT23" s="387">
        <f t="shared" si="22"/>
        <v>-6.8850417727758809E-2</v>
      </c>
      <c r="AU23" s="387">
        <f t="shared" si="23"/>
        <v>6.8850417727758809E-2</v>
      </c>
      <c r="AV23" s="387">
        <f t="shared" si="24"/>
        <v>0</v>
      </c>
      <c r="AW23" s="1037"/>
      <c r="AX23" s="36"/>
    </row>
    <row r="24" spans="1:50" x14ac:dyDescent="0.25">
      <c r="A24" s="249"/>
      <c r="B24" s="36"/>
      <c r="C24" s="234"/>
      <c r="D24" s="235"/>
      <c r="E24" s="235"/>
      <c r="F24" s="235"/>
      <c r="G24" s="235"/>
      <c r="H24" s="235"/>
      <c r="I24" s="235"/>
      <c r="J24" s="235"/>
      <c r="K24" s="234"/>
      <c r="L24" s="36"/>
      <c r="M24" s="234"/>
      <c r="N24" s="36"/>
      <c r="O24" s="234"/>
      <c r="P24" s="234"/>
      <c r="Q24" s="36"/>
      <c r="R24" s="36"/>
      <c r="S24" s="36"/>
      <c r="T24" s="36"/>
      <c r="U24" s="36"/>
      <c r="V24" s="36"/>
      <c r="W24" s="36"/>
      <c r="X24" s="36"/>
      <c r="Y24" s="36"/>
      <c r="Z24" s="235"/>
      <c r="AA24" s="234"/>
      <c r="AB24" s="234"/>
      <c r="AC24" s="36"/>
      <c r="AD24" s="36"/>
      <c r="AE24" s="234"/>
      <c r="AF24" s="234"/>
      <c r="AG24" s="234"/>
      <c r="AH24" s="234"/>
      <c r="AI24" s="234"/>
      <c r="AJ24" s="234"/>
      <c r="AK24" s="234"/>
      <c r="AL24" s="234"/>
      <c r="AM24" s="234"/>
      <c r="AN24" s="36"/>
      <c r="AO24" s="36"/>
      <c r="AP24" s="36"/>
      <c r="AQ24" s="36"/>
      <c r="AR24" s="36"/>
      <c r="AS24" s="247"/>
      <c r="AT24" s="36"/>
      <c r="AU24" s="36"/>
      <c r="AV24" s="36"/>
      <c r="AW24" s="36"/>
      <c r="AX24" s="36"/>
    </row>
    <row r="25" spans="1:50" ht="13.5" customHeight="1" thickBot="1" x14ac:dyDescent="0.3">
      <c r="A25" s="249"/>
      <c r="B25" s="36"/>
      <c r="C25" s="36"/>
      <c r="D25" s="250">
        <f t="shared" ref="D25:K25" si="27">SUM(D4:D23)</f>
        <v>6487500</v>
      </c>
      <c r="E25" s="250">
        <f t="shared" si="27"/>
        <v>1880000</v>
      </c>
      <c r="F25" s="250">
        <f t="shared" si="27"/>
        <v>939529</v>
      </c>
      <c r="G25" s="250">
        <f t="shared" si="27"/>
        <v>41787</v>
      </c>
      <c r="H25" s="250">
        <f t="shared" si="27"/>
        <v>18633818.959420834</v>
      </c>
      <c r="I25" s="250">
        <f t="shared" si="27"/>
        <v>1102062.7684456282</v>
      </c>
      <c r="J25" s="250">
        <f t="shared" si="27"/>
        <v>251804.85000000003</v>
      </c>
      <c r="K25" s="250">
        <f t="shared" si="27"/>
        <v>29336502.577866461</v>
      </c>
      <c r="L25" s="250">
        <f>SUM(L4:L23)</f>
        <v>28355186.577866461</v>
      </c>
      <c r="M25" s="251">
        <f>SUM(M4:M23)</f>
        <v>1817.5833333333333</v>
      </c>
      <c r="N25" s="36"/>
      <c r="O25" s="234"/>
      <c r="P25" s="234"/>
      <c r="Q25" s="36"/>
      <c r="R25" s="36"/>
      <c r="S25" s="36"/>
      <c r="T25" s="36"/>
      <c r="U25" s="36"/>
      <c r="V25" s="250">
        <f>SUM(V4:V23)</f>
        <v>423912.64087361004</v>
      </c>
      <c r="W25" s="250">
        <f>SUM(W4:W23)</f>
        <v>28779099.21874008</v>
      </c>
      <c r="X25" s="235"/>
      <c r="Y25" s="36"/>
      <c r="Z25" s="235"/>
      <c r="AA25" s="235"/>
      <c r="AB25" s="249"/>
      <c r="AC25" s="36"/>
      <c r="AD25" s="36"/>
      <c r="AE25" s="234"/>
      <c r="AF25" s="250">
        <f>SUM(AF4:AF23)</f>
        <v>423912.64087361004</v>
      </c>
      <c r="AG25" s="250">
        <f>SUM(AG4:AG23)</f>
        <v>28779099.21874008</v>
      </c>
      <c r="AH25" s="235"/>
      <c r="AI25" s="235"/>
      <c r="AJ25" s="250">
        <f>SUM(AJ4:AJ23)</f>
        <v>18175833.333333332</v>
      </c>
      <c r="AK25" s="250">
        <f>SUM(AK4:AK23)</f>
        <v>10603265.88540674</v>
      </c>
      <c r="AL25" s="235"/>
      <c r="AM25" s="235"/>
      <c r="AN25" s="36"/>
      <c r="AO25" s="36"/>
      <c r="AP25" s="36"/>
      <c r="AQ25" s="36"/>
      <c r="AR25" s="36"/>
      <c r="AS25" s="36"/>
      <c r="AT25" s="36"/>
      <c r="AU25" s="36"/>
      <c r="AV25" s="36"/>
      <c r="AW25" s="36"/>
      <c r="AX25" s="36"/>
    </row>
    <row r="26" spans="1:50" x14ac:dyDescent="0.25">
      <c r="A26" s="249"/>
      <c r="B26" s="36"/>
      <c r="C26" s="36"/>
      <c r="D26" s="234"/>
      <c r="E26" s="234"/>
      <c r="F26" s="234"/>
      <c r="G26" s="234"/>
      <c r="H26" s="36"/>
      <c r="I26" s="36"/>
      <c r="J26" s="36"/>
      <c r="K26" s="234"/>
      <c r="L26" s="252"/>
      <c r="M26" s="252"/>
      <c r="N26" s="36"/>
      <c r="O26" s="234"/>
      <c r="P26" s="234"/>
      <c r="Q26" s="36"/>
      <c r="R26" s="36"/>
      <c r="S26" s="36"/>
      <c r="T26" s="36"/>
      <c r="U26" s="36"/>
      <c r="V26" s="36"/>
      <c r="W26" s="36"/>
      <c r="X26" s="36"/>
      <c r="Y26" s="36"/>
      <c r="Z26" s="235"/>
      <c r="AA26" s="235"/>
      <c r="AB26" s="249"/>
      <c r="AC26" s="36"/>
      <c r="AD26" s="36"/>
      <c r="AE26" s="234"/>
      <c r="AF26" s="234"/>
      <c r="AG26" s="234"/>
      <c r="AH26" s="234"/>
      <c r="AI26" s="234"/>
      <c r="AJ26" s="234"/>
      <c r="AK26" s="234"/>
      <c r="AL26" s="234"/>
      <c r="AM26" s="234"/>
      <c r="AN26" s="36"/>
      <c r="AO26" s="36"/>
      <c r="AP26" s="36"/>
      <c r="AQ26" s="36"/>
      <c r="AR26" s="36"/>
      <c r="AS26" s="36"/>
      <c r="AT26" s="36"/>
      <c r="AU26" s="36"/>
      <c r="AV26" s="36"/>
      <c r="AW26" s="36"/>
      <c r="AX26" s="249" t="s">
        <v>891</v>
      </c>
    </row>
    <row r="27" spans="1:50" x14ac:dyDescent="0.25">
      <c r="A27" s="36"/>
      <c r="B27" s="234"/>
      <c r="C27" s="234"/>
      <c r="D27" s="235">
        <v>7154980.4209501101</v>
      </c>
      <c r="E27" s="235">
        <v>1632492.0468683892</v>
      </c>
      <c r="F27" s="235"/>
      <c r="G27" s="235"/>
      <c r="H27" s="235"/>
      <c r="I27" s="235"/>
      <c r="J27" s="235"/>
      <c r="K27" s="235"/>
      <c r="L27" s="235"/>
      <c r="M27" s="253"/>
      <c r="N27" s="36"/>
      <c r="O27" s="234"/>
      <c r="P27" s="234"/>
      <c r="Q27" s="36"/>
      <c r="R27" s="36"/>
      <c r="S27" s="36"/>
      <c r="T27" s="36"/>
      <c r="U27" s="36"/>
      <c r="V27" s="36"/>
      <c r="W27" s="36"/>
      <c r="X27" s="36"/>
      <c r="Y27" s="36"/>
      <c r="Z27" s="235"/>
      <c r="AA27" s="234"/>
      <c r="AB27" s="234"/>
      <c r="AC27" s="234"/>
      <c r="AD27" s="234"/>
      <c r="AE27" s="234"/>
      <c r="AF27" s="235" t="s">
        <v>790</v>
      </c>
      <c r="AG27" s="235">
        <v>28123653</v>
      </c>
      <c r="AH27" s="234" t="s">
        <v>892</v>
      </c>
      <c r="AI27" s="234"/>
      <c r="AJ27" s="234"/>
      <c r="AK27" s="235"/>
      <c r="AL27" s="234"/>
      <c r="AM27" s="234"/>
      <c r="AN27" s="36"/>
      <c r="AO27" s="36"/>
      <c r="AP27" s="36"/>
      <c r="AQ27" s="36"/>
      <c r="AR27" s="36"/>
      <c r="AS27" s="36"/>
      <c r="AT27" s="36"/>
      <c r="AU27" s="36"/>
      <c r="AV27" s="36"/>
      <c r="AW27" s="36"/>
      <c r="AX27" s="36"/>
    </row>
    <row r="28" spans="1:50" x14ac:dyDescent="0.25">
      <c r="A28" s="36"/>
      <c r="B28" s="234"/>
      <c r="C28" s="36"/>
      <c r="D28" s="235">
        <f>SUM(D27:E27)</f>
        <v>8787472.4678184986</v>
      </c>
      <c r="E28" s="234"/>
      <c r="F28" s="234"/>
      <c r="G28" s="234"/>
      <c r="H28" s="36"/>
      <c r="I28" s="36"/>
      <c r="J28" s="36"/>
      <c r="K28" s="234"/>
      <c r="L28" s="36"/>
      <c r="M28" s="253"/>
      <c r="N28" s="36"/>
      <c r="O28" s="234"/>
      <c r="P28" s="234"/>
      <c r="Q28" s="36"/>
      <c r="R28" s="36"/>
      <c r="S28" s="36"/>
      <c r="T28" s="36"/>
      <c r="U28" s="36"/>
      <c r="V28" s="36"/>
      <c r="W28" s="36"/>
      <c r="X28" s="36"/>
      <c r="Y28" s="36"/>
      <c r="Z28" s="235"/>
      <c r="AA28" s="234"/>
      <c r="AB28" s="234"/>
      <c r="AC28" s="234"/>
      <c r="AD28" s="36"/>
      <c r="AE28" s="234"/>
      <c r="AF28" s="234"/>
      <c r="AG28" s="235"/>
      <c r="AH28" s="235"/>
      <c r="AI28" s="234"/>
      <c r="AJ28" s="235"/>
      <c r="AK28" s="234"/>
      <c r="AL28" s="234"/>
      <c r="AM28" s="234"/>
      <c r="AN28" s="36"/>
      <c r="AO28" s="36"/>
      <c r="AP28" s="36"/>
      <c r="AQ28" s="36"/>
      <c r="AR28" s="36"/>
      <c r="AS28" s="36"/>
      <c r="AT28" s="36"/>
      <c r="AU28" s="36"/>
      <c r="AV28" s="36"/>
      <c r="AW28" s="36"/>
      <c r="AX28" s="36"/>
    </row>
    <row r="29" spans="1:50" x14ac:dyDescent="0.25">
      <c r="A29" s="36"/>
      <c r="B29" s="234"/>
      <c r="C29" s="36"/>
      <c r="D29" s="235"/>
      <c r="E29" s="234"/>
      <c r="F29" s="234"/>
      <c r="G29" s="234"/>
      <c r="H29" s="36"/>
      <c r="I29" s="36"/>
      <c r="J29" s="36"/>
      <c r="K29" s="234"/>
      <c r="L29" s="36"/>
      <c r="M29" s="253"/>
      <c r="N29" s="36"/>
      <c r="O29" s="234"/>
      <c r="P29" s="234"/>
      <c r="Q29" s="36"/>
      <c r="R29" s="36"/>
      <c r="S29" s="36"/>
      <c r="T29" s="36"/>
      <c r="U29" s="36"/>
      <c r="V29" s="36"/>
      <c r="W29" s="36"/>
      <c r="X29" s="36"/>
      <c r="Y29" s="36"/>
      <c r="Z29" s="235"/>
      <c r="AA29" s="234"/>
      <c r="AB29" s="234"/>
      <c r="AC29" s="234"/>
      <c r="AD29" s="36"/>
      <c r="AE29" s="234"/>
      <c r="AF29" s="234"/>
      <c r="AG29" s="235">
        <f>AG25-AG27</f>
        <v>655446.21874007955</v>
      </c>
      <c r="AH29" s="235"/>
      <c r="AI29" s="235"/>
      <c r="AJ29" s="235"/>
      <c r="AK29" s="234"/>
      <c r="AL29" s="234"/>
      <c r="AM29" s="234"/>
      <c r="AN29" s="36"/>
      <c r="AO29" s="36"/>
      <c r="AP29" s="36"/>
      <c r="AQ29" s="36"/>
      <c r="AR29" s="36"/>
      <c r="AS29" s="36"/>
      <c r="AT29" s="36"/>
      <c r="AU29" s="36"/>
      <c r="AV29" s="36"/>
      <c r="AW29" s="36"/>
      <c r="AX29" s="36"/>
    </row>
    <row r="30" spans="1:50" x14ac:dyDescent="0.25">
      <c r="A30" s="36"/>
      <c r="B30" s="234"/>
      <c r="C30" s="36"/>
      <c r="D30" s="235">
        <f>D28-D25</f>
        <v>2299972.4678184986</v>
      </c>
      <c r="E30" s="234"/>
      <c r="F30" s="234"/>
      <c r="G30" s="234"/>
      <c r="H30" s="36"/>
      <c r="I30" s="36"/>
      <c r="J30" s="36"/>
      <c r="K30" s="234"/>
      <c r="L30" s="36"/>
      <c r="M30" s="253"/>
      <c r="N30" s="36"/>
      <c r="O30" s="234"/>
      <c r="P30" s="234"/>
      <c r="Q30" s="36"/>
      <c r="R30" s="36"/>
      <c r="S30" s="36"/>
      <c r="T30" s="36"/>
      <c r="U30" s="36"/>
      <c r="V30" s="36"/>
      <c r="W30" s="36"/>
      <c r="X30" s="36"/>
      <c r="Y30" s="36"/>
      <c r="Z30" s="235"/>
      <c r="AA30" s="234"/>
      <c r="AB30" s="234"/>
      <c r="AC30" s="234"/>
      <c r="AD30" s="36"/>
      <c r="AE30" s="234"/>
      <c r="AF30" s="234"/>
      <c r="AG30" s="235"/>
      <c r="AH30" s="235"/>
      <c r="AI30" s="234"/>
      <c r="AJ30" s="235"/>
      <c r="AK30" s="234"/>
      <c r="AL30" s="234"/>
      <c r="AM30" s="234"/>
      <c r="AN30" s="36"/>
      <c r="AO30" s="36"/>
      <c r="AP30" s="36"/>
      <c r="AQ30" s="36"/>
      <c r="AR30" s="36"/>
      <c r="AS30" s="36"/>
      <c r="AT30" s="36"/>
      <c r="AU30" s="36"/>
      <c r="AV30" s="36"/>
      <c r="AW30" s="36"/>
      <c r="AX30" s="36"/>
    </row>
    <row r="31" spans="1:50" x14ac:dyDescent="0.25">
      <c r="A31" s="36"/>
      <c r="B31" s="234"/>
      <c r="C31" s="36"/>
      <c r="D31" s="235"/>
      <c r="E31" s="235"/>
      <c r="F31" s="235"/>
      <c r="G31" s="235"/>
      <c r="H31" s="235"/>
      <c r="I31" s="235"/>
      <c r="J31" s="235"/>
      <c r="K31" s="235"/>
      <c r="L31" s="235"/>
      <c r="M31" s="253"/>
      <c r="N31" s="235"/>
      <c r="O31" s="235"/>
      <c r="P31" s="235"/>
      <c r="Q31" s="235"/>
      <c r="R31" s="235"/>
      <c r="S31" s="235"/>
      <c r="T31" s="235"/>
      <c r="U31" s="235"/>
      <c r="V31" s="235"/>
      <c r="W31" s="235"/>
      <c r="X31" s="235"/>
      <c r="Y31" s="235"/>
      <c r="Z31" s="235"/>
      <c r="AA31" s="234"/>
      <c r="AB31" s="234"/>
      <c r="AC31" s="36"/>
      <c r="AD31" s="36"/>
      <c r="AE31" s="234"/>
      <c r="AF31" s="234"/>
      <c r="AG31" s="235">
        <v>696729</v>
      </c>
      <c r="AH31" s="247" t="s">
        <v>893</v>
      </c>
      <c r="AI31" s="235"/>
      <c r="AJ31" s="234"/>
      <c r="AK31" s="234"/>
      <c r="AL31" s="234"/>
      <c r="AM31" s="234"/>
      <c r="AN31" s="36"/>
      <c r="AO31" s="36"/>
      <c r="AP31" s="36"/>
      <c r="AQ31" s="36"/>
      <c r="AR31" s="36"/>
      <c r="AS31" s="36"/>
      <c r="AT31" s="36"/>
      <c r="AU31" s="36"/>
      <c r="AV31" s="36"/>
      <c r="AW31" s="36"/>
      <c r="AX31" s="36"/>
    </row>
    <row r="32" spans="1:50" x14ac:dyDescent="0.25">
      <c r="A32" s="36"/>
      <c r="B32" s="234"/>
      <c r="C32" s="36"/>
      <c r="D32" s="235"/>
      <c r="E32" s="235"/>
      <c r="F32" s="235"/>
      <c r="G32" s="235"/>
      <c r="H32" s="235"/>
      <c r="I32" s="235"/>
      <c r="J32" s="235"/>
      <c r="K32" s="235"/>
      <c r="L32" s="235"/>
      <c r="M32" s="253"/>
      <c r="N32" s="235"/>
      <c r="O32" s="235"/>
      <c r="P32" s="235"/>
      <c r="Q32" s="235"/>
      <c r="R32" s="235"/>
      <c r="S32" s="235"/>
      <c r="T32" s="235"/>
      <c r="U32" s="235"/>
      <c r="V32" s="235"/>
      <c r="W32" s="235"/>
      <c r="X32" s="235"/>
      <c r="Y32" s="235"/>
      <c r="Z32" s="235"/>
      <c r="AA32" s="234"/>
      <c r="AB32" s="234"/>
      <c r="AC32" s="36"/>
      <c r="AD32" s="36"/>
      <c r="AE32" s="234"/>
      <c r="AF32" s="234"/>
      <c r="AG32" s="235">
        <f>717627-AG31</f>
        <v>20898</v>
      </c>
      <c r="AH32" s="247" t="s">
        <v>894</v>
      </c>
      <c r="AI32" s="235"/>
      <c r="AJ32" s="234"/>
      <c r="AK32" s="234"/>
      <c r="AL32" s="234"/>
      <c r="AM32" s="234"/>
      <c r="AN32" s="36"/>
      <c r="AO32" s="36"/>
      <c r="AP32" s="36"/>
      <c r="AQ32" s="36"/>
      <c r="AR32" s="36"/>
      <c r="AS32" s="36"/>
      <c r="AT32" s="36"/>
      <c r="AU32" s="36"/>
      <c r="AV32" s="36"/>
      <c r="AW32" s="36"/>
      <c r="AX32" s="36"/>
    </row>
    <row r="33" spans="1:39" x14ac:dyDescent="0.25">
      <c r="A33" s="36"/>
      <c r="B33" s="234"/>
      <c r="C33" s="36"/>
      <c r="D33" s="235"/>
      <c r="E33" s="235"/>
      <c r="F33" s="235"/>
      <c r="G33" s="235"/>
      <c r="H33" s="235"/>
      <c r="I33" s="235"/>
      <c r="J33" s="235"/>
      <c r="K33" s="235"/>
      <c r="L33" s="235"/>
      <c r="M33" s="253"/>
      <c r="N33" s="235"/>
      <c r="O33" s="235"/>
      <c r="P33" s="235"/>
      <c r="Q33" s="235"/>
      <c r="R33" s="235"/>
      <c r="S33" s="235"/>
      <c r="T33" s="235"/>
      <c r="U33" s="235"/>
      <c r="V33" s="235"/>
      <c r="W33" s="235"/>
      <c r="X33" s="235"/>
      <c r="Y33" s="235"/>
      <c r="Z33" s="235"/>
      <c r="AA33" s="234"/>
      <c r="AB33" s="234"/>
      <c r="AC33" s="36"/>
      <c r="AD33" s="36"/>
      <c r="AE33" s="234"/>
      <c r="AF33" s="234"/>
      <c r="AG33" s="235">
        <f>718076-AG31-AG32</f>
        <v>449</v>
      </c>
      <c r="AH33" s="247" t="s">
        <v>105</v>
      </c>
      <c r="AI33" s="235"/>
      <c r="AJ33" s="234"/>
      <c r="AK33" s="234"/>
      <c r="AL33" s="234"/>
      <c r="AM33" s="234"/>
    </row>
    <row r="34" spans="1:39" x14ac:dyDescent="0.25">
      <c r="A34" s="36"/>
      <c r="B34" s="234"/>
      <c r="C34" s="36"/>
      <c r="D34" s="235"/>
      <c r="E34" s="235"/>
      <c r="F34" s="235"/>
      <c r="G34" s="235"/>
      <c r="H34" s="235"/>
      <c r="I34" s="235"/>
      <c r="J34" s="235"/>
      <c r="K34" s="235"/>
      <c r="L34" s="235"/>
      <c r="M34" s="253"/>
      <c r="N34" s="235"/>
      <c r="O34" s="235"/>
      <c r="P34" s="235"/>
      <c r="Q34" s="235"/>
      <c r="R34" s="235"/>
      <c r="S34" s="235"/>
      <c r="T34" s="235"/>
      <c r="U34" s="235"/>
      <c r="V34" s="235"/>
      <c r="W34" s="235"/>
      <c r="X34" s="235"/>
      <c r="Y34" s="235"/>
      <c r="Z34" s="235"/>
      <c r="AA34" s="234"/>
      <c r="AB34" s="234"/>
      <c r="AC34" s="36"/>
      <c r="AD34" s="36"/>
      <c r="AE34" s="234"/>
      <c r="AF34" s="234"/>
      <c r="AG34" s="235">
        <f>790242-(AG31+AG32+AG33)</f>
        <v>72166</v>
      </c>
      <c r="AH34" s="247" t="s">
        <v>895</v>
      </c>
      <c r="AI34" s="235"/>
      <c r="AJ34" s="234"/>
      <c r="AK34" s="234"/>
      <c r="AL34" s="234"/>
      <c r="AM34" s="234"/>
    </row>
    <row r="35" spans="1:39" x14ac:dyDescent="0.25">
      <c r="A35" s="36"/>
      <c r="B35" s="234"/>
      <c r="C35" s="36"/>
      <c r="D35" s="235"/>
      <c r="E35" s="235"/>
      <c r="F35" s="235"/>
      <c r="G35" s="235"/>
      <c r="H35" s="235"/>
      <c r="I35" s="235"/>
      <c r="J35" s="235"/>
      <c r="K35" s="235"/>
      <c r="L35" s="235"/>
      <c r="M35" s="253"/>
      <c r="N35" s="235"/>
      <c r="O35" s="235"/>
      <c r="P35" s="235"/>
      <c r="Q35" s="235"/>
      <c r="R35" s="235"/>
      <c r="S35" s="235"/>
      <c r="T35" s="235"/>
      <c r="U35" s="235"/>
      <c r="V35" s="235"/>
      <c r="W35" s="235"/>
      <c r="X35" s="235"/>
      <c r="Y35" s="235"/>
      <c r="Z35" s="235"/>
      <c r="AA35" s="234"/>
      <c r="AB35" s="234"/>
      <c r="AC35" s="36"/>
      <c r="AD35" s="36"/>
      <c r="AE35" s="234"/>
      <c r="AF35" s="234"/>
      <c r="AG35" s="235">
        <f>495751-SUM(AG31:AG34)</f>
        <v>-294491</v>
      </c>
      <c r="AH35" s="247" t="s">
        <v>896</v>
      </c>
      <c r="AI35" s="235"/>
      <c r="AJ35" s="234"/>
      <c r="AK35" s="234"/>
      <c r="AL35" s="234"/>
      <c r="AM35" s="234"/>
    </row>
    <row r="36" spans="1:39" x14ac:dyDescent="0.25">
      <c r="A36" s="36"/>
      <c r="B36" s="234"/>
      <c r="C36" s="36"/>
      <c r="D36" s="235"/>
      <c r="E36" s="235"/>
      <c r="F36" s="235"/>
      <c r="G36" s="235"/>
      <c r="H36" s="235"/>
      <c r="I36" s="235"/>
      <c r="J36" s="235"/>
      <c r="K36" s="235"/>
      <c r="L36" s="235"/>
      <c r="M36" s="253"/>
      <c r="N36" s="235"/>
      <c r="O36" s="235"/>
      <c r="P36" s="235"/>
      <c r="Q36" s="235"/>
      <c r="R36" s="235"/>
      <c r="S36" s="235"/>
      <c r="T36" s="235"/>
      <c r="U36" s="235"/>
      <c r="V36" s="235"/>
      <c r="W36" s="235"/>
      <c r="X36" s="235"/>
      <c r="Y36" s="235"/>
      <c r="Z36" s="235"/>
      <c r="AA36" s="234"/>
      <c r="AB36" s="234"/>
      <c r="AC36" s="36"/>
      <c r="AD36" s="36"/>
      <c r="AE36" s="234"/>
      <c r="AF36" s="234"/>
      <c r="AG36" s="235">
        <f>613115-SUM(AG31:AG35)</f>
        <v>117364</v>
      </c>
      <c r="AH36" s="247" t="s">
        <v>897</v>
      </c>
      <c r="AI36" s="235"/>
      <c r="AJ36" s="234"/>
      <c r="AK36" s="234"/>
      <c r="AL36" s="234"/>
      <c r="AM36" s="234"/>
    </row>
    <row r="37" spans="1:39" x14ac:dyDescent="0.25">
      <c r="A37" s="36"/>
      <c r="B37" s="234"/>
      <c r="C37" s="36"/>
      <c r="D37" s="235"/>
      <c r="E37" s="235"/>
      <c r="F37" s="235"/>
      <c r="G37" s="235"/>
      <c r="H37" s="235"/>
      <c r="I37" s="235"/>
      <c r="J37" s="235"/>
      <c r="K37" s="235"/>
      <c r="L37" s="235"/>
      <c r="M37" s="253"/>
      <c r="N37" s="235"/>
      <c r="O37" s="235"/>
      <c r="P37" s="235"/>
      <c r="Q37" s="235"/>
      <c r="R37" s="235"/>
      <c r="S37" s="235"/>
      <c r="T37" s="235"/>
      <c r="U37" s="235"/>
      <c r="V37" s="235"/>
      <c r="W37" s="235"/>
      <c r="X37" s="235"/>
      <c r="Y37" s="235"/>
      <c r="Z37" s="235"/>
      <c r="AA37" s="234"/>
      <c r="AB37" s="234"/>
      <c r="AC37" s="36"/>
      <c r="AD37" s="36"/>
      <c r="AE37" s="234"/>
      <c r="AF37" s="234"/>
      <c r="AG37" s="235">
        <f>631962-SUM(AG31,AG32,AG33,AG34,AG35,AG36)</f>
        <v>18847</v>
      </c>
      <c r="AH37" s="247" t="s">
        <v>898</v>
      </c>
      <c r="AI37" s="235"/>
      <c r="AJ37" s="234"/>
      <c r="AK37" s="234"/>
      <c r="AL37" s="234"/>
      <c r="AM37" s="234"/>
    </row>
    <row r="38" spans="1:39" x14ac:dyDescent="0.25">
      <c r="A38" s="234"/>
      <c r="B38" s="234"/>
      <c r="C38" s="36"/>
      <c r="D38" s="235"/>
      <c r="E38" s="235"/>
      <c r="F38" s="235"/>
      <c r="G38" s="235"/>
      <c r="H38" s="235"/>
      <c r="I38" s="235"/>
      <c r="J38" s="235"/>
      <c r="K38" s="235"/>
      <c r="L38" s="247"/>
      <c r="M38" s="253"/>
      <c r="N38" s="36"/>
      <c r="O38" s="234"/>
      <c r="P38" s="234"/>
      <c r="Q38" s="36"/>
      <c r="R38" s="36"/>
      <c r="S38" s="36"/>
      <c r="T38" s="36"/>
      <c r="U38" s="36"/>
      <c r="V38" s="36"/>
      <c r="W38" s="36"/>
      <c r="X38" s="36"/>
      <c r="Y38" s="36"/>
      <c r="Z38" s="235"/>
      <c r="AA38" s="234"/>
      <c r="AB38" s="234"/>
      <c r="AC38" s="36"/>
      <c r="AD38" s="36"/>
      <c r="AE38" s="234"/>
      <c r="AF38" s="406"/>
      <c r="AG38" s="235"/>
      <c r="AH38" s="405"/>
      <c r="AI38" s="235"/>
      <c r="AJ38" s="235"/>
      <c r="AK38" s="235"/>
      <c r="AL38" s="235"/>
      <c r="AM38" s="235"/>
    </row>
    <row r="39" spans="1:39" ht="13" x14ac:dyDescent="0.3">
      <c r="A39" s="36"/>
      <c r="B39" s="249" t="s">
        <v>706</v>
      </c>
      <c r="C39" s="36"/>
      <c r="D39" s="245">
        <f>IF(H39+I39&lt;'2122 Group Sizes'!$B$46,'2122 Group Sizes'!$F$46,IF('1819 Funding Detail'!I33+I39&lt;'2122 Group Sizes'!$B$47,'2122 Group Sizes'!$F$47,IF('1819 Funding Detail'!I33+I39&lt;'2122 Group Sizes'!$B$48,'2122 Group Sizes'!$F$48,IF(H39+I39&lt;'2122 Group Sizes'!$B$49,'2122 Group Sizes'!$F$49,IF(H39+I39&lt;'2122 Group Sizes'!$B$50,'2122 Group Sizes'!$F$50,IF(H39+I39&lt;'2122 Group Sizes'!$B$51,'2122 Group Sizes'!$F$51,IF(H39+I39&lt;'2122 Group Sizes'!$B$52,'2122 Group Sizes'!$F$52,IF(H39+I39&lt;'2122 Group Sizes'!$B$53,'2122 Group Sizes'!$F$53,IF(H39+I39&lt;'2122 Group Sizes'!$B$54,'2122 Group Sizes'!$F$54,IF(H39+I39&lt;'2122 Group Sizes'!$B$55,'2122 Group Sizes'!$F$55,IF(H39+I39&lt;'2122 Group Sizes'!$B$56,'2122 Group Sizes'!$F$56)))))))))))</f>
        <v>505000</v>
      </c>
      <c r="E39" s="235"/>
      <c r="F39" s="235"/>
      <c r="G39" s="235"/>
      <c r="H39" s="235">
        <f>70*'1920 Band Calculations'!G100</f>
        <v>980296.51667889929</v>
      </c>
      <c r="I39" s="235">
        <v>0</v>
      </c>
      <c r="J39" s="1026"/>
      <c r="K39" s="245">
        <f>SUM(D39:J39)</f>
        <v>1485296.5166788993</v>
      </c>
      <c r="L39" s="248">
        <f>K39-F39</f>
        <v>1485296.5166788993</v>
      </c>
      <c r="M39" s="1036">
        <v>70</v>
      </c>
      <c r="N39" s="36"/>
      <c r="O39" s="234"/>
      <c r="P39" s="234"/>
      <c r="Q39" s="36"/>
      <c r="R39" s="1026">
        <f>L39-D39-E39</f>
        <v>980296.51667889929</v>
      </c>
      <c r="S39" s="1026">
        <f>R39/M39</f>
        <v>14004.235952555704</v>
      </c>
      <c r="T39" s="1026">
        <f>'1819 Funding Detail'!AW31</f>
        <v>0</v>
      </c>
      <c r="U39" s="235">
        <f>S39-T39</f>
        <v>14004.235952555704</v>
      </c>
      <c r="V39" s="1026">
        <f>IF(U39&lt;0,((U39*M39)*-1),(0))</f>
        <v>0</v>
      </c>
      <c r="W39" s="1026">
        <f>L39+V39</f>
        <v>1485296.5166788993</v>
      </c>
      <c r="X39" s="235">
        <f>M39*10000</f>
        <v>700000</v>
      </c>
      <c r="Y39" s="235">
        <f>IF(X39&gt;W39,(X39-W39),(0))</f>
        <v>0</v>
      </c>
      <c r="Z39" s="242">
        <f>L39/M39</f>
        <v>21218.521666841418</v>
      </c>
      <c r="AA39" s="242">
        <f>M39*10000</f>
        <v>700000</v>
      </c>
      <c r="AB39" s="242">
        <f>Z39-10000</f>
        <v>11218.521666841418</v>
      </c>
      <c r="AC39" s="1244" t="e">
        <f>VLOOKUP(A39,'1819 Funding Detail'!$A$4:$AK$23,27,FALSE)</f>
        <v>#N/A</v>
      </c>
      <c r="AD39" s="245" t="e">
        <f>IF(AB39&gt;AC39,(AB39),(AC39))</f>
        <v>#N/A</v>
      </c>
      <c r="AE39" s="245" t="e">
        <f>10000+AD39</f>
        <v>#N/A</v>
      </c>
      <c r="AF39" s="1029">
        <f>V39+Y39</f>
        <v>0</v>
      </c>
      <c r="AG39" s="346">
        <f>L39+AF39</f>
        <v>1485296.5166788993</v>
      </c>
      <c r="AH39" s="235">
        <v>1312995</v>
      </c>
      <c r="AI39" s="235">
        <f>AG39-AH39</f>
        <v>172301.51667889929</v>
      </c>
      <c r="AJ39" s="234"/>
      <c r="AK39" s="234"/>
      <c r="AL39" s="234"/>
      <c r="AM39" s="234"/>
    </row>
    <row r="40" spans="1:39" x14ac:dyDescent="0.25">
      <c r="A40" s="36"/>
      <c r="B40" s="249" t="s">
        <v>821</v>
      </c>
      <c r="C40" s="36"/>
      <c r="D40" s="235"/>
      <c r="E40" s="235"/>
      <c r="F40" s="235"/>
      <c r="G40" s="235"/>
      <c r="H40" s="235">
        <f>13*'1920 Band Calculations'!G100</f>
        <v>182055.06738322414</v>
      </c>
      <c r="I40" s="235">
        <v>0</v>
      </c>
      <c r="J40" s="1026"/>
      <c r="K40" s="235"/>
      <c r="L40" s="234"/>
      <c r="M40" s="234"/>
      <c r="N40" s="36"/>
      <c r="O40" s="234"/>
      <c r="P40" s="234"/>
      <c r="Q40" s="36"/>
      <c r="R40" s="36"/>
      <c r="S40" s="36"/>
      <c r="T40" s="36"/>
      <c r="U40" s="36"/>
      <c r="V40" s="36"/>
      <c r="W40" s="36"/>
      <c r="X40" s="36"/>
      <c r="Y40" s="36"/>
      <c r="Z40" s="235"/>
      <c r="AA40" s="234"/>
      <c r="AB40" s="234"/>
      <c r="AC40" s="36"/>
      <c r="AD40" s="36"/>
      <c r="AE40" s="234"/>
      <c r="AF40" s="235"/>
      <c r="AG40" s="235"/>
      <c r="AH40" s="405"/>
      <c r="AI40" s="235"/>
      <c r="AJ40" s="235"/>
      <c r="AK40" s="235"/>
      <c r="AL40" s="235"/>
      <c r="AM40" s="235"/>
    </row>
    <row r="41" spans="1:39" x14ac:dyDescent="0.25">
      <c r="A41" s="36"/>
      <c r="B41" s="234"/>
      <c r="C41" s="36"/>
      <c r="D41" s="1439"/>
      <c r="E41" s="1439"/>
      <c r="F41" s="234"/>
      <c r="G41" s="234"/>
      <c r="H41" s="36"/>
      <c r="I41" s="243"/>
      <c r="J41" s="36"/>
      <c r="K41" s="234"/>
      <c r="L41" s="36"/>
      <c r="M41" s="234"/>
      <c r="N41" s="36"/>
      <c r="O41" s="234"/>
      <c r="P41" s="234"/>
      <c r="Q41" s="36"/>
      <c r="R41" s="36"/>
      <c r="S41" s="36"/>
      <c r="T41" s="36"/>
      <c r="U41" s="36"/>
      <c r="V41" s="36"/>
      <c r="W41" s="36"/>
      <c r="X41" s="36"/>
      <c r="Y41" s="36"/>
      <c r="Z41" s="235"/>
      <c r="AA41" s="234"/>
      <c r="AB41" s="234"/>
      <c r="AC41" s="36"/>
      <c r="AD41" s="36"/>
      <c r="AE41" s="234"/>
      <c r="AF41" s="234"/>
      <c r="AG41" s="235"/>
      <c r="AH41" s="235"/>
      <c r="AI41" s="234"/>
      <c r="AJ41" s="234"/>
      <c r="AK41" s="234"/>
      <c r="AL41" s="234"/>
      <c r="AM41" s="234"/>
    </row>
    <row r="42" spans="1:39" x14ac:dyDescent="0.25">
      <c r="A42" s="36"/>
      <c r="B42" s="234"/>
      <c r="C42" s="36"/>
      <c r="D42" s="298"/>
      <c r="E42" s="298"/>
      <c r="F42" s="298"/>
      <c r="G42" s="298"/>
      <c r="H42" s="298"/>
      <c r="I42" s="298"/>
      <c r="J42" s="298"/>
      <c r="K42" s="298"/>
      <c r="L42" s="298"/>
      <c r="M42" s="298"/>
      <c r="N42" s="298"/>
      <c r="O42" s="298"/>
      <c r="P42" s="298"/>
      <c r="Q42" s="298"/>
      <c r="R42" s="298"/>
      <c r="S42" s="298"/>
      <c r="T42" s="298"/>
      <c r="U42" s="298"/>
      <c r="V42" s="298"/>
      <c r="W42" s="298"/>
      <c r="X42" s="298"/>
      <c r="Y42" s="298"/>
      <c r="Z42" s="298"/>
      <c r="AA42" s="298"/>
      <c r="AB42" s="298"/>
      <c r="AC42" s="298"/>
      <c r="AD42" s="298"/>
      <c r="AE42" s="298"/>
      <c r="AF42" s="298"/>
      <c r="AG42" s="235"/>
      <c r="AH42" s="235"/>
      <c r="AI42" s="298"/>
      <c r="AJ42" s="297"/>
      <c r="AK42" s="298"/>
      <c r="AL42" s="298"/>
      <c r="AM42" s="298"/>
    </row>
    <row r="43" spans="1:39" x14ac:dyDescent="0.25">
      <c r="A43" s="36"/>
      <c r="B43" s="36"/>
      <c r="C43" s="36"/>
      <c r="D43" s="234"/>
      <c r="E43" s="234"/>
      <c r="F43" s="234"/>
      <c r="G43" s="234"/>
      <c r="H43" s="36"/>
      <c r="I43" s="36"/>
      <c r="J43" s="36"/>
      <c r="K43" s="234"/>
      <c r="L43" s="36"/>
      <c r="M43" s="234"/>
      <c r="N43" s="36"/>
      <c r="O43" s="234"/>
      <c r="P43" s="234"/>
      <c r="Q43" s="36"/>
      <c r="R43" s="36"/>
      <c r="S43" s="36"/>
      <c r="T43" s="36"/>
      <c r="U43" s="36"/>
      <c r="V43" s="36"/>
      <c r="W43" s="36"/>
      <c r="X43" s="36"/>
      <c r="Y43" s="36"/>
      <c r="Z43" s="235"/>
      <c r="AA43" s="234"/>
      <c r="AB43" s="234"/>
      <c r="AC43" s="36"/>
      <c r="AD43" s="36"/>
      <c r="AE43" s="234"/>
      <c r="AF43" s="234"/>
      <c r="AG43" s="235"/>
      <c r="AH43" s="235"/>
      <c r="AI43" s="234"/>
      <c r="AJ43" s="234"/>
      <c r="AK43" s="234"/>
      <c r="AL43" s="234"/>
      <c r="AM43" s="234"/>
    </row>
    <row r="44" spans="1:39" x14ac:dyDescent="0.25">
      <c r="A44" s="36"/>
      <c r="B44" s="36"/>
      <c r="C44" s="36"/>
      <c r="D44" s="234"/>
      <c r="E44" s="234"/>
      <c r="F44" s="234"/>
      <c r="G44" s="234"/>
      <c r="H44" s="36"/>
      <c r="I44" s="36"/>
      <c r="J44" s="36"/>
      <c r="K44" s="234"/>
      <c r="L44" s="36"/>
      <c r="M44" s="234"/>
      <c r="N44" s="36"/>
      <c r="O44" s="234"/>
      <c r="P44" s="234"/>
      <c r="Q44" s="36"/>
      <c r="R44" s="36"/>
      <c r="S44" s="36"/>
      <c r="T44" s="36"/>
      <c r="U44" s="36"/>
      <c r="V44" s="36"/>
      <c r="W44" s="36"/>
      <c r="X44" s="36"/>
      <c r="Y44" s="36"/>
      <c r="Z44" s="235"/>
      <c r="AA44" s="234"/>
      <c r="AB44" s="234"/>
      <c r="AC44" s="36"/>
      <c r="AD44" s="36"/>
      <c r="AE44" s="234"/>
      <c r="AF44" s="234"/>
      <c r="AG44" s="235"/>
      <c r="AH44" s="235"/>
      <c r="AI44" s="234"/>
      <c r="AJ44" s="234"/>
      <c r="AK44" s="234"/>
      <c r="AL44" s="234"/>
      <c r="AM44" s="234"/>
    </row>
    <row r="45" spans="1:39" x14ac:dyDescent="0.25">
      <c r="A45" s="36"/>
      <c r="B45" s="36"/>
      <c r="C45" s="36"/>
      <c r="D45" s="234"/>
      <c r="E45" s="234"/>
      <c r="F45" s="234"/>
      <c r="G45" s="234"/>
      <c r="H45" s="36"/>
      <c r="I45" s="36"/>
      <c r="J45" s="36"/>
      <c r="K45" s="234"/>
      <c r="L45" s="36"/>
      <c r="M45" s="234"/>
      <c r="N45" s="36"/>
      <c r="O45" s="234"/>
      <c r="P45" s="234"/>
      <c r="Q45" s="36"/>
      <c r="R45" s="36"/>
      <c r="S45" s="36"/>
      <c r="T45" s="36"/>
      <c r="U45" s="36"/>
      <c r="V45" s="36"/>
      <c r="W45" s="36"/>
      <c r="X45" s="36"/>
      <c r="Y45" s="36"/>
      <c r="Z45" s="235"/>
      <c r="AA45" s="234"/>
      <c r="AB45" s="234"/>
      <c r="AC45" s="36"/>
      <c r="AD45" s="36"/>
      <c r="AE45" s="234"/>
      <c r="AF45" s="234"/>
      <c r="AG45" s="235"/>
      <c r="AH45" s="235"/>
      <c r="AI45" s="234"/>
      <c r="AJ45" s="234"/>
      <c r="AK45" s="234"/>
      <c r="AL45" s="234"/>
      <c r="AM45" s="234"/>
    </row>
    <row r="46" spans="1:39" x14ac:dyDescent="0.25">
      <c r="A46" s="36"/>
      <c r="B46" s="36"/>
      <c r="C46" s="36"/>
      <c r="D46" s="234"/>
      <c r="E46" s="234"/>
      <c r="F46" s="234"/>
      <c r="G46" s="234"/>
      <c r="H46" s="297"/>
      <c r="I46" s="296"/>
      <c r="J46" s="36"/>
      <c r="K46" s="234"/>
      <c r="L46" s="36"/>
      <c r="M46" s="234"/>
      <c r="N46" s="36"/>
      <c r="O46" s="234"/>
      <c r="P46" s="234"/>
      <c r="Q46" s="36"/>
      <c r="R46" s="36"/>
      <c r="S46" s="36"/>
      <c r="T46" s="36"/>
      <c r="U46" s="36"/>
      <c r="V46" s="36"/>
      <c r="W46" s="36"/>
      <c r="X46" s="36"/>
      <c r="Y46" s="36"/>
      <c r="Z46" s="235"/>
      <c r="AA46" s="234"/>
      <c r="AB46" s="234"/>
      <c r="AC46" s="36"/>
      <c r="AD46" s="36"/>
      <c r="AE46" s="234"/>
      <c r="AF46" s="234"/>
      <c r="AG46" s="235"/>
      <c r="AH46" s="235"/>
      <c r="AI46" s="234"/>
      <c r="AJ46" s="234"/>
      <c r="AK46" s="234"/>
      <c r="AL46" s="234"/>
      <c r="AM46" s="234"/>
    </row>
    <row r="47" spans="1:39" x14ac:dyDescent="0.25">
      <c r="A47" s="36"/>
      <c r="B47" s="36"/>
      <c r="C47" s="36"/>
      <c r="D47" s="234"/>
      <c r="E47" s="234"/>
      <c r="F47" s="234"/>
      <c r="G47" s="234"/>
      <c r="H47" s="296"/>
      <c r="I47" s="296"/>
      <c r="J47" s="36"/>
      <c r="K47" s="234"/>
      <c r="L47" s="36"/>
      <c r="M47" s="234"/>
      <c r="N47" s="36"/>
      <c r="O47" s="234"/>
      <c r="P47" s="234"/>
      <c r="Q47" s="36"/>
      <c r="R47" s="36"/>
      <c r="S47" s="36"/>
      <c r="T47" s="36"/>
      <c r="U47" s="36"/>
      <c r="V47" s="36"/>
      <c r="W47" s="36"/>
      <c r="X47" s="36"/>
      <c r="Y47" s="36"/>
      <c r="Z47" s="235"/>
      <c r="AA47" s="234"/>
      <c r="AB47" s="234"/>
      <c r="AC47" s="36"/>
      <c r="AD47" s="36"/>
      <c r="AE47" s="234"/>
      <c r="AF47" s="234"/>
      <c r="AG47" s="234"/>
      <c r="AH47" s="234"/>
      <c r="AI47" s="234"/>
      <c r="AJ47" s="234"/>
      <c r="AK47" s="234"/>
      <c r="AL47" s="234"/>
      <c r="AM47" s="234"/>
    </row>
    <row r="48" spans="1:39" x14ac:dyDescent="0.25">
      <c r="A48" s="36"/>
      <c r="B48" s="36"/>
      <c r="C48" s="36"/>
      <c r="D48" s="234"/>
      <c r="E48" s="234"/>
      <c r="F48" s="234"/>
      <c r="G48" s="234"/>
      <c r="H48" s="305"/>
      <c r="I48" s="296"/>
      <c r="J48" s="36"/>
      <c r="K48" s="234"/>
      <c r="L48" s="36"/>
      <c r="M48" s="234"/>
      <c r="N48" s="36"/>
      <c r="O48" s="234"/>
      <c r="P48" s="234"/>
      <c r="Q48" s="36"/>
      <c r="R48" s="36"/>
      <c r="S48" s="36"/>
      <c r="T48" s="36"/>
      <c r="U48" s="36"/>
      <c r="V48" s="36"/>
      <c r="W48" s="36"/>
      <c r="X48" s="36"/>
      <c r="Y48" s="36"/>
      <c r="Z48" s="235"/>
      <c r="AA48" s="234"/>
      <c r="AB48" s="234"/>
      <c r="AC48" s="36"/>
      <c r="AD48" s="36"/>
      <c r="AE48" s="234"/>
      <c r="AF48" s="234"/>
      <c r="AG48" s="234"/>
      <c r="AH48" s="234"/>
      <c r="AI48" s="234"/>
      <c r="AJ48" s="234"/>
      <c r="AK48" s="234"/>
      <c r="AL48" s="234"/>
      <c r="AM48" s="234"/>
    </row>
    <row r="49" spans="2:39" x14ac:dyDescent="0.25">
      <c r="B49" s="36"/>
      <c r="C49" s="36"/>
      <c r="D49" s="234"/>
      <c r="E49" s="234"/>
      <c r="F49" s="234"/>
      <c r="G49" s="234"/>
      <c r="H49" s="296"/>
      <c r="I49" s="296"/>
      <c r="J49" s="36"/>
      <c r="K49" s="234"/>
      <c r="L49" s="36"/>
      <c r="M49" s="234"/>
      <c r="N49" s="36"/>
      <c r="O49" s="234"/>
      <c r="P49" s="234"/>
      <c r="Q49" s="36"/>
      <c r="R49" s="36"/>
      <c r="S49" s="36"/>
      <c r="T49" s="36"/>
      <c r="U49" s="36"/>
      <c r="V49" s="36"/>
      <c r="W49" s="36"/>
      <c r="X49" s="36"/>
      <c r="Y49" s="36"/>
      <c r="Z49" s="36"/>
      <c r="AA49" s="36"/>
      <c r="AB49" s="36"/>
      <c r="AC49" s="36"/>
      <c r="AD49" s="36"/>
      <c r="AE49" s="36"/>
      <c r="AF49" s="36"/>
      <c r="AG49" s="36"/>
      <c r="AH49" s="36"/>
      <c r="AI49" s="36"/>
      <c r="AJ49" s="36"/>
      <c r="AK49" s="36"/>
      <c r="AL49" s="36"/>
      <c r="AM49" s="36"/>
    </row>
    <row r="50" spans="2:39" x14ac:dyDescent="0.25">
      <c r="B50" s="36"/>
      <c r="C50" s="36"/>
      <c r="D50" s="234"/>
      <c r="E50" s="234"/>
      <c r="F50" s="234"/>
      <c r="G50" s="234"/>
      <c r="H50" s="297"/>
      <c r="I50" s="296"/>
      <c r="J50" s="36"/>
      <c r="K50" s="234"/>
      <c r="L50" s="36"/>
      <c r="M50" s="234"/>
      <c r="N50" s="36"/>
      <c r="O50" s="234"/>
      <c r="P50" s="234"/>
      <c r="Q50" s="36"/>
      <c r="R50" s="36"/>
      <c r="S50" s="36"/>
      <c r="T50" s="36"/>
      <c r="U50" s="36"/>
      <c r="V50" s="36"/>
      <c r="W50" s="36"/>
      <c r="X50" s="36"/>
      <c r="Y50" s="36"/>
      <c r="Z50" s="36"/>
      <c r="AA50" s="36"/>
      <c r="AB50" s="36"/>
      <c r="AC50" s="36"/>
      <c r="AD50" s="36"/>
      <c r="AE50" s="36"/>
      <c r="AF50" s="36"/>
      <c r="AG50" s="36"/>
      <c r="AH50" s="36"/>
      <c r="AI50" s="36"/>
      <c r="AJ50" s="36"/>
      <c r="AK50" s="36"/>
      <c r="AL50" s="36"/>
      <c r="AM50" s="36"/>
    </row>
    <row r="51" spans="2:39" x14ac:dyDescent="0.25">
      <c r="B51" s="36"/>
      <c r="C51" s="36"/>
      <c r="D51" s="234"/>
      <c r="E51" s="234"/>
      <c r="F51" s="234"/>
      <c r="G51" s="234"/>
      <c r="H51" s="296"/>
      <c r="I51" s="296"/>
      <c r="J51" s="36"/>
      <c r="K51" s="234"/>
      <c r="L51" s="36"/>
      <c r="M51" s="234"/>
      <c r="N51" s="36"/>
      <c r="O51" s="234"/>
      <c r="P51" s="234"/>
      <c r="Q51" s="36"/>
      <c r="R51" s="36"/>
      <c r="S51" s="36"/>
      <c r="T51" s="36"/>
      <c r="U51" s="36"/>
      <c r="V51" s="36"/>
      <c r="W51" s="36"/>
      <c r="X51" s="36"/>
      <c r="Y51" s="36"/>
      <c r="Z51" s="36"/>
      <c r="AA51" s="36"/>
      <c r="AB51" s="36"/>
      <c r="AC51" s="36"/>
      <c r="AD51" s="36"/>
      <c r="AE51" s="36"/>
      <c r="AF51" s="36"/>
      <c r="AG51" s="36"/>
      <c r="AH51" s="36"/>
      <c r="AI51" s="36"/>
      <c r="AJ51" s="36"/>
      <c r="AK51" s="36"/>
      <c r="AL51" s="36"/>
      <c r="AM51" s="36"/>
    </row>
    <row r="52" spans="2:39" x14ac:dyDescent="0.25">
      <c r="B52" s="36"/>
      <c r="C52" s="36"/>
      <c r="D52" s="234"/>
      <c r="E52" s="234"/>
      <c r="F52" s="234"/>
      <c r="G52" s="234"/>
      <c r="H52" s="36"/>
      <c r="I52" s="36"/>
      <c r="J52" s="36"/>
      <c r="K52" s="234"/>
      <c r="L52" s="36"/>
      <c r="M52" s="234"/>
      <c r="N52" s="36"/>
      <c r="O52" s="234"/>
      <c r="P52" s="234"/>
      <c r="Q52" s="36"/>
      <c r="R52" s="36"/>
      <c r="S52" s="36"/>
      <c r="T52" s="36"/>
      <c r="U52" s="36"/>
      <c r="V52" s="36"/>
      <c r="W52" s="36"/>
      <c r="X52" s="36"/>
      <c r="Y52" s="36"/>
      <c r="Z52" s="36"/>
      <c r="AA52" s="36"/>
      <c r="AB52" s="36"/>
      <c r="AC52" s="36"/>
      <c r="AD52" s="36"/>
      <c r="AE52" s="36"/>
      <c r="AF52" s="36"/>
      <c r="AG52" s="36"/>
      <c r="AH52" s="36"/>
      <c r="AI52" s="36"/>
      <c r="AJ52" s="36"/>
      <c r="AK52" s="36"/>
      <c r="AL52" s="36"/>
      <c r="AM52" s="36"/>
    </row>
  </sheetData>
  <mergeCells count="3">
    <mergeCell ref="T2:T3"/>
    <mergeCell ref="D41:E41"/>
    <mergeCell ref="AR2:AR3"/>
  </mergeCell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BB133"/>
  <sheetViews>
    <sheetView topLeftCell="C1" zoomScaleNormal="100" workbookViewId="0">
      <selection activeCell="Y112" sqref="Y112"/>
    </sheetView>
  </sheetViews>
  <sheetFormatPr defaultColWidth="10.26953125" defaultRowHeight="12.5" x14ac:dyDescent="0.25"/>
  <cols>
    <col min="1" max="1" width="9.1796875" style="29" customWidth="1"/>
    <col min="2" max="2" width="26.7265625" style="29" customWidth="1"/>
    <col min="3" max="3" width="6.26953125" style="29" customWidth="1"/>
    <col min="4" max="4" width="12.1796875" style="29" bestFit="1" customWidth="1"/>
    <col min="5" max="5" width="16.453125" style="29" customWidth="1"/>
    <col min="6" max="6" width="12.7265625" style="29" customWidth="1"/>
    <col min="7" max="7" width="14.54296875" style="29" customWidth="1"/>
    <col min="8" max="8" width="13.26953125" style="29" customWidth="1"/>
    <col min="9" max="9" width="13" style="30" customWidth="1"/>
    <col min="10" max="10" width="12.81640625" style="30" customWidth="1"/>
    <col min="11" max="11" width="12.26953125" style="29" customWidth="1"/>
    <col min="12" max="12" width="11.1796875" style="29" customWidth="1"/>
    <col min="13" max="13" width="13.26953125" style="29" customWidth="1"/>
    <col min="14" max="14" width="11.453125" style="29" customWidth="1"/>
    <col min="15" max="15" width="12.81640625" style="29" customWidth="1"/>
    <col min="16" max="16" width="12.453125" style="29" customWidth="1"/>
    <col min="17" max="17" width="12.453125" style="29" bestFit="1" customWidth="1"/>
    <col min="18" max="18" width="11.54296875" style="29" customWidth="1"/>
    <col min="19" max="19" width="12.453125" style="140" customWidth="1"/>
    <col min="20" max="20" width="12.26953125" style="29" customWidth="1"/>
    <col min="21" max="22" width="11.26953125" style="29" customWidth="1"/>
    <col min="23" max="23" width="10.26953125" style="29" customWidth="1"/>
    <col min="24" max="24" width="11.1796875" style="29" bestFit="1" customWidth="1"/>
    <col min="25" max="25" width="11.1796875" style="29" customWidth="1"/>
    <col min="26" max="26" width="12.81640625" style="29" customWidth="1"/>
    <col min="27" max="27" width="11" style="29" customWidth="1"/>
    <col min="28" max="28" width="12.7265625" style="29" customWidth="1"/>
    <col min="29" max="29" width="13.1796875" style="29" customWidth="1"/>
    <col min="30" max="30" width="12.1796875" style="29" customWidth="1"/>
    <col min="31" max="31" width="11" style="29" customWidth="1"/>
    <col min="32" max="32" width="10.54296875" style="29" bestFit="1" customWidth="1"/>
    <col min="33" max="33" width="12.453125" style="29" customWidth="1"/>
    <col min="34" max="34" width="10.26953125" style="29" customWidth="1"/>
    <col min="35" max="35" width="28.54296875" style="29" bestFit="1" customWidth="1"/>
    <col min="36" max="36" width="11.1796875" style="29" customWidth="1"/>
    <col min="37" max="37" width="2" style="29" customWidth="1"/>
    <col min="38" max="38" width="11" style="29" customWidth="1"/>
    <col min="39" max="42" width="10.26953125" style="29" customWidth="1"/>
    <col min="43" max="47" width="10.26953125" style="29"/>
    <col min="48" max="48" width="14.7265625" style="30" customWidth="1"/>
    <col min="49" max="49" width="13.26953125" style="30" customWidth="1"/>
    <col min="50" max="51" width="10.26953125" style="29"/>
    <col min="52" max="52" width="19" style="30" bestFit="1" customWidth="1"/>
    <col min="53" max="53" width="16.81640625" style="30" customWidth="1"/>
    <col min="54" max="54" width="10.26953125" style="30"/>
    <col min="55" max="16384" width="10.26953125" style="29"/>
  </cols>
  <sheetData>
    <row r="1" spans="1:54" x14ac:dyDescent="0.25">
      <c r="A1" s="94" t="s">
        <v>230</v>
      </c>
      <c r="B1" s="36"/>
      <c r="C1" s="36"/>
      <c r="D1" s="36"/>
      <c r="E1" s="36"/>
      <c r="F1" s="36"/>
      <c r="G1" s="36"/>
      <c r="H1" s="36"/>
      <c r="I1" s="234"/>
      <c r="J1" s="234"/>
      <c r="K1" s="36"/>
      <c r="L1" s="36"/>
      <c r="M1" s="36"/>
      <c r="N1" s="36"/>
      <c r="O1" s="36"/>
      <c r="P1" s="36"/>
      <c r="Q1" s="36"/>
      <c r="R1" s="36"/>
      <c r="S1" s="1023"/>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row>
    <row r="2" spans="1:54" ht="13" x14ac:dyDescent="0.3">
      <c r="A2" s="94"/>
      <c r="B2" s="36"/>
      <c r="C2" s="36"/>
      <c r="D2" s="36"/>
      <c r="E2" s="139" t="s">
        <v>899</v>
      </c>
      <c r="F2" s="36"/>
      <c r="G2" s="36"/>
      <c r="H2" s="36"/>
      <c r="I2" s="234"/>
      <c r="J2" s="234"/>
      <c r="K2" s="36"/>
      <c r="L2" s="36"/>
      <c r="M2" s="36"/>
      <c r="N2" s="36"/>
      <c r="O2" s="36"/>
      <c r="P2" s="36"/>
      <c r="Q2" s="36"/>
      <c r="R2" s="36"/>
      <c r="S2" s="1023"/>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row>
    <row r="3" spans="1:54" ht="13" x14ac:dyDescent="0.3">
      <c r="A3" s="93" t="s">
        <v>900</v>
      </c>
      <c r="B3" s="36"/>
      <c r="C3" s="36"/>
      <c r="D3" s="36"/>
      <c r="E3" s="36"/>
      <c r="F3" s="36"/>
      <c r="G3" s="36"/>
      <c r="H3" s="36"/>
      <c r="I3" s="94" t="s">
        <v>830</v>
      </c>
      <c r="J3" s="234"/>
      <c r="K3" s="36"/>
      <c r="L3" s="36"/>
      <c r="M3" s="36"/>
      <c r="N3" s="36"/>
      <c r="O3" s="36"/>
      <c r="P3" s="36"/>
      <c r="Q3" s="36"/>
      <c r="R3" s="36"/>
      <c r="S3" s="1023"/>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row>
    <row r="4" spans="1:54" x14ac:dyDescent="0.25">
      <c r="A4" s="36"/>
      <c r="B4" s="263"/>
      <c r="C4" s="263"/>
      <c r="D4" s="36"/>
      <c r="E4" s="36"/>
      <c r="F4" s="36"/>
      <c r="G4" s="36"/>
      <c r="H4" s="36"/>
      <c r="I4" s="234"/>
      <c r="J4" s="234"/>
      <c r="K4" s="36"/>
      <c r="L4" s="36"/>
      <c r="M4" s="36"/>
      <c r="N4" s="36"/>
      <c r="O4" s="1445" t="s">
        <v>238</v>
      </c>
      <c r="P4" s="1446"/>
      <c r="Q4" s="36"/>
      <c r="R4" s="1023"/>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row>
    <row r="5" spans="1:54" ht="37.5" x14ac:dyDescent="0.25">
      <c r="A5" s="265" t="s">
        <v>182</v>
      </c>
      <c r="B5" s="237" t="s">
        <v>183</v>
      </c>
      <c r="C5" s="238" t="s">
        <v>184</v>
      </c>
      <c r="D5" s="234" t="s">
        <v>901</v>
      </c>
      <c r="E5" s="234" t="s">
        <v>902</v>
      </c>
      <c r="F5" s="234" t="s">
        <v>903</v>
      </c>
      <c r="G5" s="234" t="s">
        <v>904</v>
      </c>
      <c r="H5" s="234" t="s">
        <v>905</v>
      </c>
      <c r="I5" s="234" t="s">
        <v>906</v>
      </c>
      <c r="J5" s="234" t="s">
        <v>907</v>
      </c>
      <c r="K5" s="243" t="s">
        <v>246</v>
      </c>
      <c r="L5" s="243" t="s">
        <v>249</v>
      </c>
      <c r="M5" s="243" t="s">
        <v>250</v>
      </c>
      <c r="N5" s="243" t="s">
        <v>251</v>
      </c>
      <c r="O5" s="266" t="s">
        <v>252</v>
      </c>
      <c r="P5" s="320" t="s">
        <v>253</v>
      </c>
      <c r="Q5" s="36"/>
      <c r="R5" s="449" t="s">
        <v>908</v>
      </c>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row>
    <row r="6" spans="1:54" x14ac:dyDescent="0.25">
      <c r="A6" s="244">
        <v>9257010</v>
      </c>
      <c r="B6" s="237" t="s">
        <v>205</v>
      </c>
      <c r="C6" s="238">
        <v>4</v>
      </c>
      <c r="D6" s="1024">
        <f>VLOOKUP(A6,'1920 Band Moderations'!$A$181:$R$198,6,(FALSE))</f>
        <v>0.05</v>
      </c>
      <c r="E6" s="1024">
        <f>VLOOKUP(A6,'1920 Band Moderations'!$A$181:$R$198,8,(FALSE))</f>
        <v>0.35</v>
      </c>
      <c r="F6" s="1024">
        <f>VLOOKUP(A6,'1920 Band Moderations'!$A$181:$R$198,10,(FALSE))</f>
        <v>6.6666666666666666E-2</v>
      </c>
      <c r="G6" s="1024">
        <f>VLOOKUP(A6,'1920 Band Moderations'!$A$181:$R$198,12,(FALSE))</f>
        <v>0.15</v>
      </c>
      <c r="H6" s="1024">
        <f>VLOOKUP(A6,'1920 Band Moderations'!$A$181:$R$198,14,(FALSE))</f>
        <v>0.05</v>
      </c>
      <c r="I6" s="1024">
        <f>VLOOKUP(A6,'1920 Band Moderations'!$A$181:$R$198,16,(FALSE))</f>
        <v>0.21666666666666667</v>
      </c>
      <c r="J6" s="1024">
        <f>VLOOKUP(A6,'1920 Band Moderations'!$A$181:$R$198,18,(FALSE))</f>
        <v>0.11666666666666667</v>
      </c>
      <c r="K6" s="233">
        <v>47</v>
      </c>
      <c r="L6" s="1025">
        <f t="shared" ref="L6:L23" si="0">((((K6*D6)*$G$92)+((K6*E6)*$G$94)+((K6*F6)*$G$96)+((K6*G6)*$G$98)+((K6*H6)*$G$100)+((K6*I6)*$G$102)+((K6*J6)*$G$104))*(5/12))</f>
        <v>236543.24640657037</v>
      </c>
      <c r="M6" s="1025">
        <f>((K6*F6)*$G$106)*(5/12)</f>
        <v>3440.1388888888891</v>
      </c>
      <c r="N6" s="1025">
        <f t="shared" ref="N6:N23" si="1">SUM(L6:M6)</f>
        <v>239983.38529545924</v>
      </c>
      <c r="O6" s="1026">
        <f>(K6*(5/12))*10000</f>
        <v>195833.33333333334</v>
      </c>
      <c r="P6" s="1026">
        <f>(VLOOKUP(A6,'1920 Funding Detail'!$A$4:$AN$23,38,FALSE)*5/12)*K6</f>
        <v>200420.27651181092</v>
      </c>
      <c r="Q6" s="235"/>
      <c r="R6" s="235">
        <f t="shared" ref="R6:R23" si="2">(J6*K6*$G$104)*5/12</f>
        <v>51435.381935113655</v>
      </c>
      <c r="S6" s="269"/>
      <c r="T6" s="295"/>
      <c r="U6" s="36"/>
      <c r="V6" s="36"/>
      <c r="W6" s="235"/>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row>
    <row r="7" spans="1:54" ht="12.75" customHeight="1" x14ac:dyDescent="0.25">
      <c r="A7" s="244">
        <v>9257005</v>
      </c>
      <c r="B7" s="237" t="s">
        <v>208</v>
      </c>
      <c r="C7" s="238">
        <v>4</v>
      </c>
      <c r="D7" s="1024">
        <f>VLOOKUP(A7,'1920 Band Moderations'!$A$181:$R$198,6,(FALSE))</f>
        <v>0.10810810810810811</v>
      </c>
      <c r="E7" s="1024">
        <f>VLOOKUP(A7,'1920 Band Moderations'!$A$181:$R$198,8,(FALSE))</f>
        <v>0.22972972972972974</v>
      </c>
      <c r="F7" s="1024">
        <f>VLOOKUP(A7,'1920 Band Moderations'!$A$181:$R$198,10,(FALSE))</f>
        <v>0.12162162162162163</v>
      </c>
      <c r="G7" s="1024">
        <f>VLOOKUP(A7,'1920 Band Moderations'!$A$181:$R$198,12,(FALSE))</f>
        <v>0.14864864864864866</v>
      </c>
      <c r="H7" s="1024">
        <f>VLOOKUP(A7,'1920 Band Moderations'!$A$181:$R$198,14,(FALSE))</f>
        <v>0.13513513513513514</v>
      </c>
      <c r="I7" s="1024">
        <f>VLOOKUP(A7,'1920 Band Moderations'!$A$181:$R$198,16,(FALSE))</f>
        <v>0.17567567567567569</v>
      </c>
      <c r="J7" s="1024">
        <f>VLOOKUP(A7,'1920 Band Moderations'!$A$181:$R$198,18,(FALSE))</f>
        <v>8.1081081081081086E-2</v>
      </c>
      <c r="K7" s="233">
        <v>43</v>
      </c>
      <c r="L7" s="1025">
        <f t="shared" si="0"/>
        <v>214505.82862463864</v>
      </c>
      <c r="M7" s="1025">
        <f t="shared" ref="M7:M23" si="3">((K7*F7)*$G$106)*(5/12)</f>
        <v>5741.8074324324325</v>
      </c>
      <c r="N7" s="1025">
        <f t="shared" si="1"/>
        <v>220247.63605707107</v>
      </c>
      <c r="O7" s="1026">
        <f t="shared" ref="O7:O23" si="4">(K7*(5/12))*10000</f>
        <v>179166.66666666669</v>
      </c>
      <c r="P7" s="1026">
        <f>(VLOOKUP(A7,'1920 Funding Detail'!$A$4:$AN$23,38,FALSE)*5/12)*K7</f>
        <v>153832.25768141818</v>
      </c>
      <c r="Q7" s="235"/>
      <c r="R7" s="235">
        <f t="shared" si="2"/>
        <v>32704.333868214879</v>
      </c>
      <c r="S7" s="233"/>
      <c r="T7" s="296"/>
      <c r="U7" s="36"/>
      <c r="V7" s="36"/>
      <c r="W7" s="235"/>
      <c r="X7" s="234"/>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row>
    <row r="8" spans="1:54" ht="12.75" customHeight="1" x14ac:dyDescent="0.25">
      <c r="A8" s="244">
        <v>9257025</v>
      </c>
      <c r="B8" s="237" t="s">
        <v>209</v>
      </c>
      <c r="C8" s="238">
        <v>4</v>
      </c>
      <c r="D8" s="1024">
        <f>VLOOKUP(A8,'1920 Band Moderations'!$A$181:$R$198,6,(FALSE))</f>
        <v>0.22972972972972974</v>
      </c>
      <c r="E8" s="1024">
        <f>VLOOKUP(A8,'1920 Band Moderations'!$A$181:$R$198,8,(FALSE))</f>
        <v>0.29729729729729731</v>
      </c>
      <c r="F8" s="1024">
        <f>VLOOKUP(A8,'1920 Band Moderations'!$A$181:$R$198,10,(FALSE))</f>
        <v>0.12162162162162163</v>
      </c>
      <c r="G8" s="1024">
        <f>VLOOKUP(A8,'1920 Band Moderations'!$A$181:$R$198,12,(FALSE))</f>
        <v>0.12162162162162163</v>
      </c>
      <c r="H8" s="1024">
        <f>VLOOKUP(A8,'1920 Band Moderations'!$A$181:$R$198,14,(FALSE))</f>
        <v>8.1081081081081086E-2</v>
      </c>
      <c r="I8" s="1024">
        <f>VLOOKUP(A8,'1920 Band Moderations'!$A$181:$R$198,16,(FALSE))</f>
        <v>0.10810810810810811</v>
      </c>
      <c r="J8" s="1024">
        <f>VLOOKUP(A8,'1920 Band Moderations'!$A$181:$R$198,18,(FALSE))</f>
        <v>4.0540540540540543E-2</v>
      </c>
      <c r="K8" s="233">
        <v>49</v>
      </c>
      <c r="L8" s="1025">
        <f t="shared" si="0"/>
        <v>205773.51234505183</v>
      </c>
      <c r="M8" s="1025">
        <f t="shared" si="3"/>
        <v>6542.9898648648659</v>
      </c>
      <c r="N8" s="1025">
        <f t="shared" si="1"/>
        <v>212316.50220991668</v>
      </c>
      <c r="O8" s="1026">
        <f t="shared" si="4"/>
        <v>204166.66666666669</v>
      </c>
      <c r="P8" s="1026">
        <f>(VLOOKUP(A8,'1920 Funding Detail'!$A$4:$AN$23,38,FALSE)*5/12)*K8</f>
        <v>147516.01314382663</v>
      </c>
      <c r="Q8" s="235"/>
      <c r="R8" s="235">
        <f t="shared" si="2"/>
        <v>18633.864645843361</v>
      </c>
      <c r="S8" s="233"/>
      <c r="T8" s="380"/>
      <c r="U8" s="380"/>
      <c r="V8" s="380"/>
      <c r="W8" s="380"/>
      <c r="X8" s="380"/>
      <c r="Y8" s="380"/>
      <c r="Z8" s="380"/>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row>
    <row r="9" spans="1:54" x14ac:dyDescent="0.25">
      <c r="A9" s="244">
        <v>9257011</v>
      </c>
      <c r="B9" s="237" t="s">
        <v>210</v>
      </c>
      <c r="C9" s="238">
        <v>4</v>
      </c>
      <c r="D9" s="1024">
        <f>VLOOKUP(A9,'1920 Band Moderations'!$A$181:$R$198,6,(FALSE))</f>
        <v>7.2727272727272724E-2</v>
      </c>
      <c r="E9" s="1024">
        <f>VLOOKUP(A9,'1920 Band Moderations'!$A$181:$R$198,8,(FALSE))</f>
        <v>0.27272727272727271</v>
      </c>
      <c r="F9" s="1024">
        <f>VLOOKUP(A9,'1920 Band Moderations'!$A$181:$R$198,10,(FALSE))</f>
        <v>3.6363636363636362E-2</v>
      </c>
      <c r="G9" s="1024">
        <f>VLOOKUP(A9,'1920 Band Moderations'!$A$181:$R$198,12,(FALSE))</f>
        <v>0.23636363636363636</v>
      </c>
      <c r="H9" s="1024">
        <f>VLOOKUP(A9,'1920 Band Moderations'!$A$181:$R$198,14,(FALSE))</f>
        <v>0.14545454545454545</v>
      </c>
      <c r="I9" s="1024">
        <f>VLOOKUP(A9,'1920 Band Moderations'!$A$181:$R$198,16,(FALSE))</f>
        <v>0.14545454545454545</v>
      </c>
      <c r="J9" s="1024">
        <f>VLOOKUP(A9,'1920 Band Moderations'!$A$181:$R$198,18,(FALSE))</f>
        <v>9.0909090909090912E-2</v>
      </c>
      <c r="K9" s="233">
        <v>44</v>
      </c>
      <c r="L9" s="1025">
        <f t="shared" si="0"/>
        <v>224531.82160550327</v>
      </c>
      <c r="M9" s="1025">
        <f t="shared" si="3"/>
        <v>1756.6666666666667</v>
      </c>
      <c r="N9" s="1025">
        <f t="shared" si="1"/>
        <v>226288.48827216993</v>
      </c>
      <c r="O9" s="1026">
        <f t="shared" si="4"/>
        <v>183333.33333333334</v>
      </c>
      <c r="P9" s="1026">
        <f>(VLOOKUP(A9,'1920 Funding Detail'!$A$4:$AN$23,38,FALSE)*5/12)*K9</f>
        <v>183603.03488233942</v>
      </c>
      <c r="Q9" s="235"/>
      <c r="R9" s="235">
        <f t="shared" si="2"/>
        <v>37521.25125965738</v>
      </c>
      <c r="S9" s="233"/>
      <c r="T9" s="380"/>
      <c r="U9" s="380"/>
      <c r="V9" s="380"/>
      <c r="W9" s="380"/>
      <c r="X9" s="380"/>
      <c r="Y9" s="380"/>
      <c r="Z9" s="380"/>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row>
    <row r="10" spans="1:54" x14ac:dyDescent="0.25">
      <c r="A10" s="244">
        <v>9257024</v>
      </c>
      <c r="B10" s="237" t="s">
        <v>211</v>
      </c>
      <c r="C10" s="238">
        <v>3</v>
      </c>
      <c r="D10" s="1024">
        <f>VLOOKUP(A10,'1920 Band Moderations'!$A$181:$R$198,6,(FALSE))</f>
        <v>0.10975609756097561</v>
      </c>
      <c r="E10" s="1024">
        <f>VLOOKUP(A10,'1920 Band Moderations'!$A$181:$R$198,8,(FALSE))</f>
        <v>0.41463414634146339</v>
      </c>
      <c r="F10" s="1024">
        <f>VLOOKUP(A10,'1920 Band Moderations'!$A$181:$R$198,10,(FALSE))</f>
        <v>2.4390243902439025E-2</v>
      </c>
      <c r="G10" s="1024">
        <f>VLOOKUP(A10,'1920 Band Moderations'!$A$181:$R$198,12,(FALSE))</f>
        <v>0.13414634146341464</v>
      </c>
      <c r="H10" s="1024">
        <f>VLOOKUP(A10,'1920 Band Moderations'!$A$181:$R$198,14,(FALSE))</f>
        <v>0.12195121951219512</v>
      </c>
      <c r="I10" s="1024">
        <f>VLOOKUP(A10,'1920 Band Moderations'!$A$181:$R$198,16,(FALSE))</f>
        <v>7.3170731707317069E-2</v>
      </c>
      <c r="J10" s="1024">
        <f>VLOOKUP(A10,'1920 Band Moderations'!$A$181:$R$198,18,(FALSE))</f>
        <v>0.12195121951219512</v>
      </c>
      <c r="K10" s="233">
        <v>68</v>
      </c>
      <c r="L10" s="1025">
        <f t="shared" si="0"/>
        <v>316110.99059343652</v>
      </c>
      <c r="M10" s="1025">
        <f t="shared" si="3"/>
        <v>1820.9349593495938</v>
      </c>
      <c r="N10" s="1025">
        <f t="shared" si="1"/>
        <v>317931.9255527861</v>
      </c>
      <c r="O10" s="1026">
        <f t="shared" si="4"/>
        <v>283333.33333333337</v>
      </c>
      <c r="P10" s="1026">
        <f>(VLOOKUP(A10,'1920 Funding Detail'!$A$4:$AN$23,38,FALSE)*5/12)*K10</f>
        <v>206873.67498724395</v>
      </c>
      <c r="Q10" s="235"/>
      <c r="R10" s="235">
        <f t="shared" si="2"/>
        <v>77787.959928557975</v>
      </c>
      <c r="S10" s="233"/>
      <c r="T10" s="380"/>
      <c r="U10" s="380"/>
      <c r="V10" s="380"/>
      <c r="W10" s="380"/>
      <c r="X10" s="380"/>
      <c r="Y10" s="380"/>
      <c r="Z10" s="380"/>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row>
    <row r="11" spans="1:54" ht="12.75" customHeight="1" x14ac:dyDescent="0.25">
      <c r="A11" s="244">
        <v>9257031</v>
      </c>
      <c r="B11" s="237" t="s">
        <v>257</v>
      </c>
      <c r="C11" s="238">
        <v>4</v>
      </c>
      <c r="D11" s="1024">
        <f>VLOOKUP(A11,'1920 Band Moderations'!$A$181:$R$198,6,(FALSE))</f>
        <v>0</v>
      </c>
      <c r="E11" s="1024">
        <f>VLOOKUP(A11,'1920 Band Moderations'!$A$181:$R$198,8,(FALSE))</f>
        <v>0</v>
      </c>
      <c r="F11" s="1024">
        <f>VLOOKUP(A11,'1920 Band Moderations'!$A$181:$R$198,10,(FALSE))</f>
        <v>1</v>
      </c>
      <c r="G11" s="1024">
        <f>VLOOKUP(A11,'1920 Band Moderations'!$A$181:$R$198,12,(FALSE))</f>
        <v>0</v>
      </c>
      <c r="H11" s="1024">
        <f>VLOOKUP(A11,'1920 Band Moderations'!$A$181:$R$198,14,(FALSE))</f>
        <v>0</v>
      </c>
      <c r="I11" s="1024">
        <f>VLOOKUP(A11,'1920 Band Moderations'!$A$181:$R$198,16,(FALSE))</f>
        <v>0</v>
      </c>
      <c r="J11" s="1024">
        <f>VLOOKUP(A11,'1920 Band Moderations'!$A$181:$R$198,18,(FALSE))</f>
        <v>0</v>
      </c>
      <c r="K11" s="233">
        <v>72</v>
      </c>
      <c r="L11" s="1025">
        <f t="shared" si="0"/>
        <v>337902.36951553577</v>
      </c>
      <c r="M11" s="1025">
        <f t="shared" si="3"/>
        <v>79050</v>
      </c>
      <c r="N11" s="1025">
        <f t="shared" si="1"/>
        <v>416952.36951553577</v>
      </c>
      <c r="O11" s="1026">
        <f t="shared" si="4"/>
        <v>300000</v>
      </c>
      <c r="P11" s="1026">
        <f>(VLOOKUP(A11,'1920 Funding Detail'!$A$4:$AN$23,38,FALSE)*5/12)*K11</f>
        <v>303625.31973507919</v>
      </c>
      <c r="Q11" s="235"/>
      <c r="R11" s="235">
        <f t="shared" si="2"/>
        <v>0</v>
      </c>
      <c r="S11" s="233"/>
      <c r="T11" s="380"/>
      <c r="U11" s="380"/>
      <c r="V11" s="380"/>
      <c r="W11" s="380"/>
      <c r="X11" s="380"/>
      <c r="Y11" s="380"/>
      <c r="Z11" s="380"/>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row>
    <row r="12" spans="1:54" x14ac:dyDescent="0.25">
      <c r="A12" s="244">
        <v>9257033</v>
      </c>
      <c r="B12" s="237" t="s">
        <v>220</v>
      </c>
      <c r="C12" s="238">
        <v>3</v>
      </c>
      <c r="D12" s="1024">
        <f>VLOOKUP(A12,'1920 Band Moderations'!$A$181:$R$198,6,(FALSE))</f>
        <v>0.20454545454545456</v>
      </c>
      <c r="E12" s="1024">
        <f>VLOOKUP(A12,'1920 Band Moderations'!$A$181:$R$198,8,(FALSE))</f>
        <v>0.28409090909090912</v>
      </c>
      <c r="F12" s="1024">
        <f>VLOOKUP(A12,'1920 Band Moderations'!$A$181:$R$198,10,(FALSE))</f>
        <v>0.19318181818181818</v>
      </c>
      <c r="G12" s="1024">
        <f>VLOOKUP(A12,'1920 Band Moderations'!$A$181:$R$198,12,(FALSE))</f>
        <v>0.17045454545454544</v>
      </c>
      <c r="H12" s="1024">
        <f>VLOOKUP(A12,'1920 Band Moderations'!$A$181:$R$198,14,(FALSE))</f>
        <v>7.9545454545454544E-2</v>
      </c>
      <c r="I12" s="1024">
        <f>VLOOKUP(A12,'1920 Band Moderations'!$A$181:$R$198,16,(FALSE))</f>
        <v>6.8181818181818177E-2</v>
      </c>
      <c r="J12" s="1024">
        <f>VLOOKUP(A12,'1920 Band Moderations'!$A$181:$R$198,18,(FALSE))</f>
        <v>0</v>
      </c>
      <c r="K12" s="233">
        <v>93</v>
      </c>
      <c r="L12" s="1025">
        <f t="shared" si="0"/>
        <v>379968.78874726937</v>
      </c>
      <c r="M12" s="1025">
        <f t="shared" si="3"/>
        <v>19725.071022727272</v>
      </c>
      <c r="N12" s="1025">
        <f t="shared" si="1"/>
        <v>399693.85976999666</v>
      </c>
      <c r="O12" s="1026">
        <f t="shared" si="4"/>
        <v>387500</v>
      </c>
      <c r="P12" s="1026">
        <f>(VLOOKUP(A12,'1920 Funding Detail'!$A$4:$AN$23,38,FALSE)*5/12)*K12</f>
        <v>208299.55033261003</v>
      </c>
      <c r="Q12" s="235"/>
      <c r="R12" s="235">
        <f t="shared" si="2"/>
        <v>0</v>
      </c>
      <c r="S12" s="233"/>
      <c r="T12" s="380"/>
      <c r="U12" s="380"/>
      <c r="V12" s="380"/>
      <c r="W12" s="380"/>
      <c r="X12" s="380"/>
      <c r="Y12" s="380"/>
      <c r="Z12" s="380"/>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row>
    <row r="13" spans="1:54" x14ac:dyDescent="0.25">
      <c r="A13" s="244">
        <v>9257008</v>
      </c>
      <c r="B13" s="237" t="s">
        <v>212</v>
      </c>
      <c r="C13" s="238">
        <v>4</v>
      </c>
      <c r="D13" s="1024">
        <f>VLOOKUP(A13,'1920 Band Moderations'!$A$181:$R$198,6,(FALSE))</f>
        <v>6.3157894736842107E-2</v>
      </c>
      <c r="E13" s="1024">
        <f>VLOOKUP(A13,'1920 Band Moderations'!$A$181:$R$198,8,(FALSE))</f>
        <v>0.57894736842105265</v>
      </c>
      <c r="F13" s="1024">
        <f>VLOOKUP(A13,'1920 Band Moderations'!$A$181:$R$198,10,(FALSE))</f>
        <v>0.10526315789473684</v>
      </c>
      <c r="G13" s="1024">
        <f>VLOOKUP(A13,'1920 Band Moderations'!$A$181:$R$198,12,(FALSE))</f>
        <v>5.2631578947368418E-2</v>
      </c>
      <c r="H13" s="1024">
        <f>VLOOKUP(A13,'1920 Band Moderations'!$A$181:$R$198,14,(FALSE))</f>
        <v>1.0526315789473684E-2</v>
      </c>
      <c r="I13" s="1024">
        <f>VLOOKUP(A13,'1920 Band Moderations'!$A$181:$R$198,16,(FALSE))</f>
        <v>0.18947368421052632</v>
      </c>
      <c r="J13" s="1024">
        <f>VLOOKUP(A13,'1920 Band Moderations'!$A$181:$R$198,18,(FALSE))</f>
        <v>0</v>
      </c>
      <c r="K13" s="233">
        <v>95</v>
      </c>
      <c r="L13" s="1025">
        <f t="shared" si="0"/>
        <v>364371.09367785533</v>
      </c>
      <c r="M13" s="1025">
        <f t="shared" si="3"/>
        <v>10979.166666666668</v>
      </c>
      <c r="N13" s="1025">
        <f t="shared" si="1"/>
        <v>375350.26034452202</v>
      </c>
      <c r="O13" s="1026">
        <f t="shared" si="4"/>
        <v>395833.33333333337</v>
      </c>
      <c r="P13" s="1026">
        <f>(VLOOKUP(A13,'1920 Funding Detail'!$A$4:$AN$23,38,FALSE)*5/12)*K13</f>
        <v>168486.98951118859</v>
      </c>
      <c r="Q13" s="235"/>
      <c r="R13" s="235">
        <f t="shared" si="2"/>
        <v>0</v>
      </c>
      <c r="S13" s="233"/>
      <c r="T13" s="380"/>
      <c r="U13" s="380"/>
      <c r="V13" s="380"/>
      <c r="W13" s="380"/>
      <c r="X13" s="380"/>
      <c r="Y13" s="380"/>
      <c r="Z13" s="380"/>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row>
    <row r="14" spans="1:54" x14ac:dyDescent="0.25">
      <c r="A14" s="244">
        <v>9257034</v>
      </c>
      <c r="B14" s="237" t="s">
        <v>221</v>
      </c>
      <c r="C14" s="238">
        <v>5</v>
      </c>
      <c r="D14" s="1024">
        <f>VLOOKUP(A14,'1920 Band Moderations'!$A$181:$R$198,6,(FALSE))</f>
        <v>0.41964285714285715</v>
      </c>
      <c r="E14" s="1024">
        <f>VLOOKUP(A14,'1920 Band Moderations'!$A$181:$R$198,8,(FALSE))</f>
        <v>0.26785714285714285</v>
      </c>
      <c r="F14" s="1024">
        <f>VLOOKUP(A14,'1920 Band Moderations'!$A$181:$R$198,10,(FALSE))</f>
        <v>0.17857142857142858</v>
      </c>
      <c r="G14" s="1024">
        <f>VLOOKUP(A14,'1920 Band Moderations'!$A$181:$R$198,12,(FALSE))</f>
        <v>4.4642857142857144E-2</v>
      </c>
      <c r="H14" s="1024">
        <f>VLOOKUP(A14,'1920 Band Moderations'!$A$181:$R$198,14,(FALSE))</f>
        <v>3.5714285714285712E-2</v>
      </c>
      <c r="I14" s="1024">
        <f>VLOOKUP(A14,'1920 Band Moderations'!$A$181:$R$198,16,(FALSE))</f>
        <v>4.4642857142857144E-2</v>
      </c>
      <c r="J14" s="1024">
        <f>VLOOKUP(A14,'1920 Band Moderations'!$A$181:$R$198,18,(FALSE))</f>
        <v>8.9285714285714281E-3</v>
      </c>
      <c r="K14" s="233">
        <v>78</v>
      </c>
      <c r="L14" s="1025">
        <f t="shared" si="0"/>
        <v>267805.7825802702</v>
      </c>
      <c r="M14" s="1025">
        <f t="shared" si="3"/>
        <v>15292.410714285716</v>
      </c>
      <c r="N14" s="1025">
        <f t="shared" si="1"/>
        <v>283098.19329455594</v>
      </c>
      <c r="O14" s="1026">
        <f t="shared" si="4"/>
        <v>325000</v>
      </c>
      <c r="P14" s="1026">
        <f>(VLOOKUP(A14,'1920 Funding Detail'!$A$4:$AN$23,38,FALSE)*5/12)*K14</f>
        <v>115910.77370840832</v>
      </c>
      <c r="Q14" s="235"/>
      <c r="R14" s="235">
        <f t="shared" si="2"/>
        <v>6532.7178532439184</v>
      </c>
      <c r="S14" s="233"/>
      <c r="T14" s="380"/>
      <c r="U14" s="380"/>
      <c r="V14" s="380"/>
      <c r="W14" s="380"/>
      <c r="X14" s="380"/>
      <c r="Y14" s="380"/>
      <c r="Z14" s="380"/>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row>
    <row r="15" spans="1:54" x14ac:dyDescent="0.25">
      <c r="A15" s="244">
        <v>9257002</v>
      </c>
      <c r="B15" s="237" t="s">
        <v>213</v>
      </c>
      <c r="C15" s="238">
        <v>5</v>
      </c>
      <c r="D15" s="1024">
        <f>VLOOKUP(A15,'1920 Band Moderations'!$A$181:$R$198,6,(FALSE))</f>
        <v>0.46527777777777779</v>
      </c>
      <c r="E15" s="1024">
        <f>VLOOKUP(A15,'1920 Band Moderations'!$A$181:$R$198,8,(FALSE))</f>
        <v>0.16666666666666666</v>
      </c>
      <c r="F15" s="1024">
        <f>VLOOKUP(A15,'1920 Band Moderations'!$A$181:$R$198,10,(FALSE))</f>
        <v>0.1875</v>
      </c>
      <c r="G15" s="1024">
        <f>VLOOKUP(A15,'1920 Band Moderations'!$A$181:$R$198,12,(FALSE))</f>
        <v>1.3888888888888888E-2</v>
      </c>
      <c r="H15" s="1024">
        <f>VLOOKUP(A15,'1920 Band Moderations'!$A$181:$R$198,14,(FALSE))</f>
        <v>4.8611111111111112E-2</v>
      </c>
      <c r="I15" s="1024">
        <f>VLOOKUP(A15,'1920 Band Moderations'!$A$181:$R$198,16,(FALSE))</f>
        <v>0.1111111111111111</v>
      </c>
      <c r="J15" s="1024">
        <f>VLOOKUP(A15,'1920 Band Moderations'!$A$181:$R$198,18,(FALSE))</f>
        <v>6.9444444444444441E-3</v>
      </c>
      <c r="K15" s="233">
        <v>144</v>
      </c>
      <c r="L15" s="1025">
        <f t="shared" si="0"/>
        <v>516347.8170998639</v>
      </c>
      <c r="M15" s="1025">
        <f t="shared" si="3"/>
        <v>29643.75</v>
      </c>
      <c r="N15" s="1025">
        <f t="shared" si="1"/>
        <v>545991.5670998639</v>
      </c>
      <c r="O15" s="1026">
        <f t="shared" si="4"/>
        <v>600000</v>
      </c>
      <c r="P15" s="1026">
        <f>(VLOOKUP(A15,'1920 Funding Detail'!$A$4:$AN$23,38,FALSE)*5/12)*K15</f>
        <v>163356.47545721254</v>
      </c>
      <c r="Q15" s="235"/>
      <c r="R15" s="235">
        <f t="shared" si="2"/>
        <v>9380.3128149143449</v>
      </c>
      <c r="S15" s="233"/>
      <c r="T15" s="380"/>
      <c r="U15" s="380"/>
      <c r="V15" s="380"/>
      <c r="W15" s="380"/>
      <c r="X15" s="380"/>
      <c r="Y15" s="380"/>
      <c r="Z15" s="380"/>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row>
    <row r="16" spans="1:54" x14ac:dyDescent="0.25">
      <c r="A16" s="244">
        <v>9257009</v>
      </c>
      <c r="B16" s="237" t="s">
        <v>214</v>
      </c>
      <c r="C16" s="238">
        <v>4</v>
      </c>
      <c r="D16" s="1024">
        <f>VLOOKUP(A16,'1920 Band Moderations'!$A$181:$R$198,6,(FALSE))</f>
        <v>0.17910447761194029</v>
      </c>
      <c r="E16" s="1024">
        <f>VLOOKUP(A16,'1920 Band Moderations'!$A$181:$R$198,8,(FALSE))</f>
        <v>0.5074626865671642</v>
      </c>
      <c r="F16" s="1024">
        <f>VLOOKUP(A16,'1920 Band Moderations'!$A$181:$R$198,10,(FALSE))</f>
        <v>0.11940298507462686</v>
      </c>
      <c r="G16" s="1024">
        <f>VLOOKUP(A16,'1920 Band Moderations'!$A$181:$R$198,12,(FALSE))</f>
        <v>1.4925373134328358E-2</v>
      </c>
      <c r="H16" s="1024">
        <f>VLOOKUP(A16,'1920 Band Moderations'!$A$181:$R$198,14,(FALSE))</f>
        <v>3.7313432835820892E-2</v>
      </c>
      <c r="I16" s="1024">
        <f>VLOOKUP(A16,'1920 Band Moderations'!$A$181:$R$198,16,(FALSE))</f>
        <v>0.1417910447761194</v>
      </c>
      <c r="J16" s="1024">
        <f>VLOOKUP(A16,'1920 Band Moderations'!$A$181:$R$198,18,(FALSE))</f>
        <v>0</v>
      </c>
      <c r="K16" s="233">
        <v>133</v>
      </c>
      <c r="L16" s="1025">
        <f t="shared" si="0"/>
        <v>480994.7489818334</v>
      </c>
      <c r="M16" s="1025">
        <f t="shared" si="3"/>
        <v>17435.572139303484</v>
      </c>
      <c r="N16" s="1025">
        <f t="shared" si="1"/>
        <v>498430.32112113689</v>
      </c>
      <c r="O16" s="1026">
        <f t="shared" si="4"/>
        <v>554166.66666666674</v>
      </c>
      <c r="P16" s="1026">
        <f>(VLOOKUP(A16,'1920 Funding Detail'!$A$4:$AN$23,38,FALSE)*5/12)*K16</f>
        <v>190160.06529275837</v>
      </c>
      <c r="Q16" s="235"/>
      <c r="R16" s="235">
        <f t="shared" si="2"/>
        <v>0</v>
      </c>
      <c r="S16" s="233"/>
      <c r="T16" s="380"/>
      <c r="U16" s="380"/>
      <c r="V16" s="380"/>
      <c r="W16" s="380"/>
      <c r="X16" s="380"/>
      <c r="Y16" s="380"/>
      <c r="Z16" s="380"/>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row>
    <row r="17" spans="1:23" s="29" customFormat="1" x14ac:dyDescent="0.25">
      <c r="A17" s="244">
        <v>9257029</v>
      </c>
      <c r="B17" s="237" t="s">
        <v>890</v>
      </c>
      <c r="C17" s="238">
        <v>3</v>
      </c>
      <c r="D17" s="1024">
        <f>VLOOKUP(A17,'1920 Band Moderations'!$A$181:$R$198,6,(FALSE))</f>
        <v>0</v>
      </c>
      <c r="E17" s="1024">
        <f>VLOOKUP(A17,'1920 Band Moderations'!$A$181:$R$198,8,(FALSE))</f>
        <v>0</v>
      </c>
      <c r="F17" s="1024">
        <f>VLOOKUP(A17,'1920 Band Moderations'!$A$181:$R$198,10,(FALSE))</f>
        <v>1</v>
      </c>
      <c r="G17" s="1024">
        <f>VLOOKUP(A17,'1920 Band Moderations'!$A$181:$R$198,12,(FALSE))</f>
        <v>0</v>
      </c>
      <c r="H17" s="1024">
        <f>VLOOKUP(A17,'1920 Band Moderations'!$A$181:$R$198,14,(FALSE))</f>
        <v>0</v>
      </c>
      <c r="I17" s="1024">
        <f>VLOOKUP(A17,'1920 Band Moderations'!$A$181:$R$198,16,(FALSE))</f>
        <v>0</v>
      </c>
      <c r="J17" s="1024">
        <f>VLOOKUP(A17,'1920 Band Moderations'!$A$181:$R$198,18,(FALSE))</f>
        <v>0</v>
      </c>
      <c r="K17" s="233">
        <v>41</v>
      </c>
      <c r="L17" s="1025">
        <f t="shared" si="0"/>
        <v>192416.62708523564</v>
      </c>
      <c r="M17" s="1025">
        <f t="shared" si="3"/>
        <v>45014.583333333336</v>
      </c>
      <c r="N17" s="1025">
        <f t="shared" si="1"/>
        <v>237431.21041856898</v>
      </c>
      <c r="O17" s="1026">
        <f t="shared" si="4"/>
        <v>170833.33333333334</v>
      </c>
      <c r="P17" s="1026">
        <f>(VLOOKUP(A17,'1920 Funding Detail'!$A$4:$AN$23,38,FALSE)*5/12)*K17</f>
        <v>196593.24198534037</v>
      </c>
      <c r="Q17" s="235"/>
      <c r="R17" s="235">
        <f t="shared" si="2"/>
        <v>0</v>
      </c>
      <c r="S17" s="233"/>
      <c r="T17" s="296"/>
      <c r="U17" s="36"/>
      <c r="V17" s="36"/>
      <c r="W17" s="235"/>
    </row>
    <row r="18" spans="1:23" s="29" customFormat="1" x14ac:dyDescent="0.25">
      <c r="A18" s="244">
        <v>9257032</v>
      </c>
      <c r="B18" s="237" t="s">
        <v>261</v>
      </c>
      <c r="C18" s="238">
        <v>4</v>
      </c>
      <c r="D18" s="1024">
        <f>VLOOKUP(A18,'1920 Band Moderations'!$A$181:$R$198,6,(FALSE))</f>
        <v>0</v>
      </c>
      <c r="E18" s="1024">
        <f>VLOOKUP(A18,'1920 Band Moderations'!$A$181:$R$198,8,(FALSE))</f>
        <v>0</v>
      </c>
      <c r="F18" s="1024">
        <f>VLOOKUP(A18,'1920 Band Moderations'!$A$181:$R$198,10,(FALSE))</f>
        <v>1</v>
      </c>
      <c r="G18" s="1024">
        <f>VLOOKUP(A18,'1920 Band Moderations'!$A$181:$R$198,12,(FALSE))</f>
        <v>0</v>
      </c>
      <c r="H18" s="1024">
        <f>VLOOKUP(A18,'1920 Band Moderations'!$A$181:$R$198,14,(FALSE))</f>
        <v>0</v>
      </c>
      <c r="I18" s="1024">
        <f>VLOOKUP(A18,'1920 Band Moderations'!$A$181:$R$198,16,(FALSE))</f>
        <v>0</v>
      </c>
      <c r="J18" s="1024">
        <f>VLOOKUP(A18,'1920 Band Moderations'!$A$181:$R$198,18,(FALSE))</f>
        <v>0</v>
      </c>
      <c r="K18" s="233">
        <v>72</v>
      </c>
      <c r="L18" s="1025">
        <f t="shared" si="0"/>
        <v>337902.36951553577</v>
      </c>
      <c r="M18" s="1025">
        <f t="shared" si="3"/>
        <v>79050</v>
      </c>
      <c r="N18" s="1025">
        <f t="shared" si="1"/>
        <v>416952.36951553577</v>
      </c>
      <c r="O18" s="1026">
        <f t="shared" si="4"/>
        <v>300000</v>
      </c>
      <c r="P18" s="1026">
        <f>(VLOOKUP(A18,'1920 Funding Detail'!$A$4:$AN$23,38,FALSE)*5/12)*K18</f>
        <v>311815.42503160075</v>
      </c>
      <c r="Q18" s="235"/>
      <c r="R18" s="235">
        <f t="shared" si="2"/>
        <v>0</v>
      </c>
      <c r="S18" s="269"/>
      <c r="T18" s="36"/>
      <c r="U18" s="36"/>
      <c r="V18" s="36"/>
      <c r="W18" s="235"/>
    </row>
    <row r="19" spans="1:23" s="29" customFormat="1" x14ac:dyDescent="0.25">
      <c r="A19" s="244">
        <v>9257030</v>
      </c>
      <c r="B19" s="237" t="s">
        <v>262</v>
      </c>
      <c r="C19" s="238">
        <v>4</v>
      </c>
      <c r="D19" s="1024">
        <f>VLOOKUP(A19,'1920 Band Moderations'!$A$181:$R$198,6,(FALSE))</f>
        <v>0</v>
      </c>
      <c r="E19" s="1024">
        <f>VLOOKUP(A19,'1920 Band Moderations'!$A$181:$R$198,8,(FALSE))</f>
        <v>0</v>
      </c>
      <c r="F19" s="1024">
        <f>VLOOKUP(A19,'1920 Band Moderations'!$A$181:$R$198,10,(FALSE))</f>
        <v>1</v>
      </c>
      <c r="G19" s="1024">
        <f>VLOOKUP(A19,'1920 Band Moderations'!$A$181:$R$198,12,(FALSE))</f>
        <v>0</v>
      </c>
      <c r="H19" s="1024">
        <f>VLOOKUP(A19,'1920 Band Moderations'!$A$181:$R$198,14,(FALSE))</f>
        <v>0</v>
      </c>
      <c r="I19" s="1024">
        <f>VLOOKUP(A19,'1920 Band Moderations'!$A$181:$R$198,16,(FALSE))</f>
        <v>0</v>
      </c>
      <c r="J19" s="1024">
        <f>VLOOKUP(A19,'1920 Band Moderations'!$A$181:$R$198,18,(FALSE))</f>
        <v>0</v>
      </c>
      <c r="K19" s="233">
        <v>70</v>
      </c>
      <c r="L19" s="1025">
        <f t="shared" si="0"/>
        <v>328516.19258454861</v>
      </c>
      <c r="M19" s="1025">
        <f t="shared" si="3"/>
        <v>76854.166666666672</v>
      </c>
      <c r="N19" s="1025">
        <f t="shared" si="1"/>
        <v>405370.3592512153</v>
      </c>
      <c r="O19" s="1026">
        <f t="shared" si="4"/>
        <v>291666.66666666669</v>
      </c>
      <c r="P19" s="1026">
        <f>(VLOOKUP(A19,'1920 Funding Detail'!$A$4:$AN$23,38,FALSE)*5/12)*K19</f>
        <v>302503.2388442427</v>
      </c>
      <c r="Q19" s="235"/>
      <c r="R19" s="235">
        <f t="shared" si="2"/>
        <v>0</v>
      </c>
      <c r="S19" s="269"/>
      <c r="T19" s="36"/>
      <c r="U19" s="36"/>
      <c r="V19" s="36"/>
      <c r="W19" s="235"/>
    </row>
    <row r="20" spans="1:23" s="29" customFormat="1" x14ac:dyDescent="0.25">
      <c r="A20" s="244">
        <v>9257028</v>
      </c>
      <c r="B20" s="237" t="s">
        <v>215</v>
      </c>
      <c r="C20" s="238">
        <v>5</v>
      </c>
      <c r="D20" s="1024">
        <f>VLOOKUP(A20,'1920 Band Moderations'!$A$181:$R$198,6,(FALSE))</f>
        <v>6.9767441860465115E-2</v>
      </c>
      <c r="E20" s="1024">
        <f>VLOOKUP(A20,'1920 Band Moderations'!$A$181:$R$198,8,(FALSE))</f>
        <v>0.27906976744186046</v>
      </c>
      <c r="F20" s="1024">
        <f>VLOOKUP(A20,'1920 Band Moderations'!$A$181:$R$198,10,(FALSE))</f>
        <v>3.4883720930232558E-2</v>
      </c>
      <c r="G20" s="1024">
        <f>VLOOKUP(A20,'1920 Band Moderations'!$A$181:$R$198,12,(FALSE))</f>
        <v>0.12790697674418605</v>
      </c>
      <c r="H20" s="1024">
        <f>VLOOKUP(A20,'1920 Band Moderations'!$A$181:$R$198,14,(FALSE))</f>
        <v>0.18604651162790697</v>
      </c>
      <c r="I20" s="1024">
        <f>VLOOKUP(A20,'1920 Band Moderations'!$A$181:$R$198,16,(FALSE))</f>
        <v>0.16279069767441862</v>
      </c>
      <c r="J20" s="1024">
        <f>VLOOKUP(A20,'1920 Band Moderations'!$A$181:$R$198,18,(FALSE))</f>
        <v>0.13953488372093023</v>
      </c>
      <c r="K20" s="233">
        <v>66</v>
      </c>
      <c r="L20" s="1025">
        <f t="shared" si="0"/>
        <v>348124.14327617787</v>
      </c>
      <c r="M20" s="1025">
        <f t="shared" si="3"/>
        <v>2527.7616279069771</v>
      </c>
      <c r="N20" s="1025">
        <f t="shared" si="1"/>
        <v>350651.90490408486</v>
      </c>
      <c r="O20" s="1026">
        <f t="shared" si="4"/>
        <v>275000</v>
      </c>
      <c r="P20" s="1026">
        <f>(VLOOKUP(A20,'1920 Funding Detail'!$A$4:$AN$23,38,FALSE)*5/12)*K20</f>
        <v>234539.31490408484</v>
      </c>
      <c r="Q20" s="235"/>
      <c r="R20" s="235">
        <f t="shared" si="2"/>
        <v>86386.136621071637</v>
      </c>
      <c r="S20" s="269"/>
      <c r="T20" s="36"/>
      <c r="U20" s="36"/>
      <c r="V20" s="36"/>
      <c r="W20" s="235"/>
    </row>
    <row r="21" spans="1:23" s="29" customFormat="1" x14ac:dyDescent="0.25">
      <c r="A21" s="244">
        <v>9257021</v>
      </c>
      <c r="B21" s="237" t="s">
        <v>216</v>
      </c>
      <c r="C21" s="238">
        <v>5</v>
      </c>
      <c r="D21" s="1024">
        <f>VLOOKUP(A21,'1920 Band Moderations'!$A$181:$R$198,6,(FALSE))</f>
        <v>0.27777777777777779</v>
      </c>
      <c r="E21" s="1024">
        <f>VLOOKUP(A21,'1920 Band Moderations'!$A$181:$R$198,8,(FALSE))</f>
        <v>0.35185185185185186</v>
      </c>
      <c r="F21" s="1024">
        <f>VLOOKUP(A21,'1920 Band Moderations'!$A$181:$R$198,10,(FALSE))</f>
        <v>9.8765432098765427E-2</v>
      </c>
      <c r="G21" s="1024">
        <f>VLOOKUP(A21,'1920 Band Moderations'!$A$181:$R$198,12,(FALSE))</f>
        <v>4.3209876543209874E-2</v>
      </c>
      <c r="H21" s="1024">
        <f>VLOOKUP(A21,'1920 Band Moderations'!$A$181:$R$198,14,(FALSE))</f>
        <v>7.407407407407407E-2</v>
      </c>
      <c r="I21" s="1024">
        <f>VLOOKUP(A21,'1920 Band Moderations'!$A$181:$R$198,16,(FALSE))</f>
        <v>0.14814814814814814</v>
      </c>
      <c r="J21" s="1024">
        <f>VLOOKUP(A21,'1920 Band Moderations'!$A$181:$R$198,18,(FALSE))</f>
        <v>6.1728395061728392E-3</v>
      </c>
      <c r="K21" s="233">
        <v>155</v>
      </c>
      <c r="L21" s="1025">
        <f t="shared" si="0"/>
        <v>587411.34428256727</v>
      </c>
      <c r="M21" s="1025">
        <f t="shared" si="3"/>
        <v>16807.613168724278</v>
      </c>
      <c r="N21" s="1025">
        <f t="shared" si="1"/>
        <v>604218.9574512915</v>
      </c>
      <c r="O21" s="1026">
        <f t="shared" si="4"/>
        <v>645833.33333333337</v>
      </c>
      <c r="P21" s="1026">
        <f>(VLOOKUP(A21,'1920 Funding Detail'!$A$4:$AN$23,38,FALSE)*5/12)*K21</f>
        <v>196313.2751571734</v>
      </c>
      <c r="Q21" s="235"/>
      <c r="R21" s="235">
        <f t="shared" si="2"/>
        <v>8974.990656245207</v>
      </c>
      <c r="S21" s="269"/>
      <c r="T21" s="36"/>
      <c r="U21" s="36"/>
      <c r="V21" s="36"/>
      <c r="W21" s="235"/>
    </row>
    <row r="22" spans="1:23" s="29" customFormat="1" x14ac:dyDescent="0.25">
      <c r="A22" s="244">
        <v>9257015</v>
      </c>
      <c r="B22" s="237" t="s">
        <v>217</v>
      </c>
      <c r="C22" s="238">
        <v>6</v>
      </c>
      <c r="D22" s="1024">
        <f>VLOOKUP(A22,'1920 Band Moderations'!$A$181:$R$198,6,(FALSE))</f>
        <v>0.43037974683544306</v>
      </c>
      <c r="E22" s="1024">
        <f>VLOOKUP(A22,'1920 Band Moderations'!$A$181:$R$198,8,(FALSE))</f>
        <v>0.27004219409282698</v>
      </c>
      <c r="F22" s="1024">
        <f>VLOOKUP(A22,'1920 Band Moderations'!$A$181:$R$198,10,(FALSE))</f>
        <v>2.9535864978902954E-2</v>
      </c>
      <c r="G22" s="1024">
        <f>VLOOKUP(A22,'1920 Band Moderations'!$A$181:$R$198,12,(FALSE))</f>
        <v>6.3291139240506333E-2</v>
      </c>
      <c r="H22" s="1024">
        <f>VLOOKUP(A22,'1920 Band Moderations'!$A$181:$R$198,14,(FALSE))</f>
        <v>5.9071729957805907E-2</v>
      </c>
      <c r="I22" s="1024">
        <f>VLOOKUP(A22,'1920 Band Moderations'!$A$181:$R$198,16,(FALSE))</f>
        <v>0.13924050632911392</v>
      </c>
      <c r="J22" s="1024">
        <f>VLOOKUP(A22,'1920 Band Moderations'!$A$181:$R$198,18,(FALSE))</f>
        <v>8.4388185654008432E-3</v>
      </c>
      <c r="K22" s="233">
        <v>217</v>
      </c>
      <c r="L22" s="1025">
        <f t="shared" si="0"/>
        <v>779631.46659690177</v>
      </c>
      <c r="M22" s="1025">
        <f t="shared" si="3"/>
        <v>7036.858298171589</v>
      </c>
      <c r="N22" s="1025">
        <f t="shared" si="1"/>
        <v>786668.32489507331</v>
      </c>
      <c r="O22" s="1026">
        <f t="shared" si="4"/>
        <v>904166.66666666674</v>
      </c>
      <c r="P22" s="1026">
        <f>(VLOOKUP(A22,'1920 Funding Detail'!$A$4:$AN$23,38,FALSE)*5/12)*K22</f>
        <v>115901.39903723021</v>
      </c>
      <c r="Q22" s="235"/>
      <c r="R22" s="235">
        <f t="shared" si="2"/>
        <v>17177.450471193355</v>
      </c>
      <c r="S22" s="269"/>
      <c r="T22" s="36"/>
      <c r="U22" s="36"/>
      <c r="V22" s="36"/>
      <c r="W22" s="235"/>
    </row>
    <row r="23" spans="1:23" s="29" customFormat="1" x14ac:dyDescent="0.25">
      <c r="A23" s="244">
        <v>9257016</v>
      </c>
      <c r="B23" s="237" t="s">
        <v>219</v>
      </c>
      <c r="C23" s="238">
        <v>6</v>
      </c>
      <c r="D23" s="1024">
        <f>VLOOKUP(A23,'1920 Band Moderations'!$A$181:$R$198,6,(FALSE))</f>
        <v>0.16911764705882354</v>
      </c>
      <c r="E23" s="1024">
        <f>VLOOKUP(A23,'1920 Band Moderations'!$A$181:$R$198,8,(FALSE))</f>
        <v>0.11764705882352941</v>
      </c>
      <c r="F23" s="1024">
        <f>VLOOKUP(A23,'1920 Band Moderations'!$A$181:$R$198,10,(FALSE))</f>
        <v>7.3529411764705881E-3</v>
      </c>
      <c r="G23" s="1024">
        <f>VLOOKUP(A23,'1920 Band Moderations'!$A$181:$R$198,12,(FALSE))</f>
        <v>0.20588235294117646</v>
      </c>
      <c r="H23" s="1024">
        <f>VLOOKUP(A23,'1920 Band Moderations'!$A$181:$R$198,14,(FALSE))</f>
        <v>0.23529411764705882</v>
      </c>
      <c r="I23" s="1024">
        <f>VLOOKUP(A23,'1920 Band Moderations'!$A$181:$R$198,16,(FALSE))</f>
        <v>7.3529411764705881E-3</v>
      </c>
      <c r="J23" s="1024">
        <f>VLOOKUP(A23,'1920 Band Moderations'!$A$181:$R$198,18,(FALSE))</f>
        <v>0.25735294117647056</v>
      </c>
      <c r="K23" s="233">
        <v>83</v>
      </c>
      <c r="L23" s="1025">
        <f t="shared" si="0"/>
        <v>482042.68299447926</v>
      </c>
      <c r="M23" s="1025">
        <f t="shared" si="3"/>
        <v>670.05208333333326</v>
      </c>
      <c r="N23" s="1025">
        <f t="shared" si="1"/>
        <v>482712.73507781257</v>
      </c>
      <c r="O23" s="1026">
        <f t="shared" si="4"/>
        <v>345833.33333333337</v>
      </c>
      <c r="P23" s="1026">
        <f>(VLOOKUP(A23,'1920 Funding Detail'!$A$4:$AN$23,38,FALSE)*5/12)*K23</f>
        <v>280857.84931286826</v>
      </c>
      <c r="Q23" s="299" t="s">
        <v>207</v>
      </c>
      <c r="R23" s="235">
        <f t="shared" si="2"/>
        <v>200366.24064210418</v>
      </c>
      <c r="S23" s="269"/>
      <c r="T23" s="36"/>
      <c r="U23" s="36"/>
      <c r="V23" s="36"/>
      <c r="W23" s="235"/>
    </row>
    <row r="24" spans="1:23" s="29" customFormat="1" x14ac:dyDescent="0.25">
      <c r="A24" s="249"/>
      <c r="B24" s="36"/>
      <c r="C24" s="234"/>
      <c r="D24" s="268"/>
      <c r="E24" s="268"/>
      <c r="F24" s="36"/>
      <c r="G24" s="299"/>
      <c r="H24" s="268"/>
      <c r="I24" s="268"/>
      <c r="J24" s="299"/>
      <c r="K24" s="299"/>
      <c r="L24" s="269"/>
      <c r="M24" s="299" t="s">
        <v>207</v>
      </c>
      <c r="N24" s="235"/>
      <c r="O24" s="235"/>
      <c r="P24" s="235"/>
      <c r="Q24" s="299" t="s">
        <v>207</v>
      </c>
      <c r="R24" s="269"/>
      <c r="S24" s="269"/>
      <c r="T24" s="36"/>
      <c r="U24" s="36"/>
      <c r="V24" s="36"/>
      <c r="W24" s="36"/>
    </row>
    <row r="25" spans="1:23" s="29" customFormat="1" ht="13" x14ac:dyDescent="0.3">
      <c r="A25" s="93" t="s">
        <v>909</v>
      </c>
      <c r="B25" s="36"/>
      <c r="C25" s="234"/>
      <c r="D25" s="268"/>
      <c r="E25" s="268"/>
      <c r="F25" s="36"/>
      <c r="G25" s="268"/>
      <c r="H25" s="268"/>
      <c r="I25" s="268"/>
      <c r="J25" s="268"/>
      <c r="K25" s="269"/>
      <c r="L25" s="269"/>
      <c r="M25" s="269"/>
      <c r="N25" s="235"/>
      <c r="O25" s="235"/>
      <c r="P25" s="235"/>
      <c r="Q25" s="235"/>
      <c r="R25" s="269"/>
      <c r="S25" s="269"/>
      <c r="T25" s="36"/>
      <c r="U25" s="36"/>
      <c r="V25" s="36"/>
      <c r="W25" s="36"/>
    </row>
    <row r="26" spans="1:23" s="29" customFormat="1" x14ac:dyDescent="0.25">
      <c r="A26" s="249"/>
      <c r="B26" s="36"/>
      <c r="C26" s="234"/>
      <c r="D26" s="268"/>
      <c r="E26" s="268"/>
      <c r="F26" s="36"/>
      <c r="G26" s="268"/>
      <c r="H26" s="268"/>
      <c r="I26" s="268"/>
      <c r="J26" s="268"/>
      <c r="K26" s="94" t="s">
        <v>830</v>
      </c>
      <c r="L26" s="269"/>
      <c r="M26" s="269"/>
      <c r="N26" s="235"/>
      <c r="O26" s="1445" t="s">
        <v>238</v>
      </c>
      <c r="P26" s="1446"/>
      <c r="Q26" s="235"/>
      <c r="R26" s="269"/>
      <c r="S26" s="269"/>
      <c r="T26" s="36"/>
      <c r="U26" s="36"/>
      <c r="V26" s="36"/>
      <c r="W26" s="36"/>
    </row>
    <row r="27" spans="1:23" s="29" customFormat="1" ht="37.5" x14ac:dyDescent="0.25">
      <c r="A27" s="265" t="s">
        <v>182</v>
      </c>
      <c r="B27" s="237" t="s">
        <v>183</v>
      </c>
      <c r="C27" s="238" t="s">
        <v>184</v>
      </c>
      <c r="D27" s="234" t="s">
        <v>901</v>
      </c>
      <c r="E27" s="234" t="s">
        <v>902</v>
      </c>
      <c r="F27" s="234" t="s">
        <v>903</v>
      </c>
      <c r="G27" s="234" t="s">
        <v>904</v>
      </c>
      <c r="H27" s="234" t="s">
        <v>905</v>
      </c>
      <c r="I27" s="234" t="s">
        <v>906</v>
      </c>
      <c r="J27" s="234" t="s">
        <v>907</v>
      </c>
      <c r="K27" s="243" t="s">
        <v>264</v>
      </c>
      <c r="L27" s="243" t="s">
        <v>265</v>
      </c>
      <c r="M27" s="243" t="s">
        <v>266</v>
      </c>
      <c r="N27" s="243" t="s">
        <v>265</v>
      </c>
      <c r="O27" s="276" t="s">
        <v>267</v>
      </c>
      <c r="P27" s="320" t="s">
        <v>268</v>
      </c>
      <c r="Q27" s="243"/>
      <c r="R27" s="243"/>
      <c r="S27" s="276"/>
      <c r="T27" s="36"/>
      <c r="U27" s="36"/>
      <c r="V27" s="36"/>
      <c r="W27" s="36"/>
    </row>
    <row r="28" spans="1:23" s="29" customFormat="1" x14ac:dyDescent="0.25">
      <c r="A28" s="244">
        <v>9257010</v>
      </c>
      <c r="B28" s="237" t="s">
        <v>205</v>
      </c>
      <c r="C28" s="238">
        <v>4</v>
      </c>
      <c r="D28" s="1024">
        <f>VLOOKUP(A28,'1920 Band Moderations'!$A$181:$R$198,6,(FALSE))</f>
        <v>0.05</v>
      </c>
      <c r="E28" s="1024">
        <f>VLOOKUP(A28,'1920 Band Moderations'!$A$181:$R$198,8,(FALSE))</f>
        <v>0.35</v>
      </c>
      <c r="F28" s="1024">
        <f>VLOOKUP(A28,'1920 Band Moderations'!$A$181:$R$198,10,(FALSE))</f>
        <v>6.6666666666666666E-2</v>
      </c>
      <c r="G28" s="1024">
        <f>VLOOKUP(A28,'1920 Band Moderations'!$A$181:$R$198,12,(FALSE))</f>
        <v>0.15</v>
      </c>
      <c r="H28" s="1024">
        <f>VLOOKUP(A28,'1920 Band Moderations'!$A$181:$R$198,14,(FALSE))</f>
        <v>0.05</v>
      </c>
      <c r="I28" s="1024">
        <f>VLOOKUP(A28,'1920 Band Moderations'!$A$181:$R$198,16,(FALSE))</f>
        <v>0.21666666666666667</v>
      </c>
      <c r="J28" s="1024">
        <f>VLOOKUP(A28,'1920 Band Moderations'!$A$181:$R$198,18,(FALSE))</f>
        <v>0.11666666666666667</v>
      </c>
      <c r="K28" s="233">
        <v>11</v>
      </c>
      <c r="L28" s="1025">
        <f>((((K28*D28)*$G$92)+((K28*E28)*$G$94)+((K28*F28)*$G$96)+((K28*G28)*$G$98)+((K28*H28)*$G$100)+((K28*I28)*$G$102)+((K28*J28)*$G$104)))*(4/12)</f>
        <v>44288.948263357845</v>
      </c>
      <c r="M28" s="1025">
        <f t="shared" ref="M28:M45" si="5">((K28*F28)*$G$106)*(4/12)</f>
        <v>644.11111111111109</v>
      </c>
      <c r="N28" s="1025">
        <f>SUM(L28:M28)</f>
        <v>44933.059374468954</v>
      </c>
      <c r="O28" s="1026">
        <f>(K28*(4/12))*10000</f>
        <v>36666.666666666664</v>
      </c>
      <c r="P28" s="1026">
        <f>(VLOOKUP(A28,'1920 Funding Detail'!$A$4:$AN$23,38,FALSE)*4/12)*K28</f>
        <v>37525.498580934815</v>
      </c>
      <c r="Q28" s="235"/>
      <c r="R28" s="235">
        <f t="shared" ref="R28:R45" si="6">(J28*K28*$G$104)*4/12</f>
        <v>9630.454489978727</v>
      </c>
      <c r="S28" s="269"/>
      <c r="T28" s="235"/>
      <c r="U28" s="235"/>
      <c r="V28" s="297"/>
      <c r="W28" s="296"/>
    </row>
    <row r="29" spans="1:23" s="29" customFormat="1" x14ac:dyDescent="0.25">
      <c r="A29" s="244">
        <v>9257005</v>
      </c>
      <c r="B29" s="237" t="s">
        <v>208</v>
      </c>
      <c r="C29" s="238">
        <v>4</v>
      </c>
      <c r="D29" s="1024">
        <f>VLOOKUP(A29,'1920 Band Moderations'!$A$181:$R$198,6,(FALSE))</f>
        <v>0.10810810810810811</v>
      </c>
      <c r="E29" s="1024">
        <f>VLOOKUP(A29,'1920 Band Moderations'!$A$181:$R$198,8,(FALSE))</f>
        <v>0.22972972972972974</v>
      </c>
      <c r="F29" s="1024">
        <f>VLOOKUP(A29,'1920 Band Moderations'!$A$181:$R$198,10,(FALSE))</f>
        <v>0.12162162162162163</v>
      </c>
      <c r="G29" s="1024">
        <f>VLOOKUP(A29,'1920 Band Moderations'!$A$181:$R$198,12,(FALSE))</f>
        <v>0.14864864864864866</v>
      </c>
      <c r="H29" s="1024">
        <f>VLOOKUP(A29,'1920 Band Moderations'!$A$181:$R$198,14,(FALSE))</f>
        <v>0.13513513513513514</v>
      </c>
      <c r="I29" s="1024">
        <f>VLOOKUP(A29,'1920 Band Moderations'!$A$181:$R$198,16,(FALSE))</f>
        <v>0.17567567567567569</v>
      </c>
      <c r="J29" s="1024">
        <f>VLOOKUP(A29,'1920 Band Moderations'!$A$181:$R$198,18,(FALSE))</f>
        <v>8.1081081081081086E-2</v>
      </c>
      <c r="K29" s="233">
        <v>29</v>
      </c>
      <c r="L29" s="1025">
        <f t="shared" ref="L29:L45" si="7">((((K29*D29)*$G$92)+((K29*E29)*$G$94)+((K29*F29)*$G$96)+((K29*G29)*$G$98)+((K29*H29)*$G$100)+((K29*I29)*$G$102)+((K29*J29)*$G$104)))*(4/12)</f>
        <v>115733.37730445617</v>
      </c>
      <c r="M29" s="1025">
        <f t="shared" si="5"/>
        <v>3097.9054054054054</v>
      </c>
      <c r="N29" s="1025">
        <f>SUM(L29:M29)</f>
        <v>118831.28270986157</v>
      </c>
      <c r="O29" s="1026">
        <f>(K29*(4/12))*10000</f>
        <v>96666.666666666657</v>
      </c>
      <c r="P29" s="1026">
        <f>(VLOOKUP(A29,'1920 Funding Detail'!$A$4:$AN$23,38,FALSE)*4/12)*K29</f>
        <v>82997.869260672131</v>
      </c>
      <c r="Q29" s="235"/>
      <c r="R29" s="235">
        <f t="shared" si="6"/>
        <v>17645.128970757793</v>
      </c>
      <c r="S29" s="269"/>
      <c r="T29" s="235"/>
      <c r="U29" s="235"/>
      <c r="V29" s="235"/>
      <c r="W29" s="36"/>
    </row>
    <row r="30" spans="1:23" s="29" customFormat="1" x14ac:dyDescent="0.25">
      <c r="A30" s="244">
        <v>9257025</v>
      </c>
      <c r="B30" s="237" t="s">
        <v>209</v>
      </c>
      <c r="C30" s="238">
        <v>4</v>
      </c>
      <c r="D30" s="1024">
        <f>VLOOKUP(A30,'1920 Band Moderations'!$A$181:$R$198,6,(FALSE))</f>
        <v>0.22972972972972974</v>
      </c>
      <c r="E30" s="1024">
        <f>VLOOKUP(A30,'1920 Band Moderations'!$A$181:$R$198,8,(FALSE))</f>
        <v>0.29729729729729731</v>
      </c>
      <c r="F30" s="1024">
        <f>VLOOKUP(A30,'1920 Band Moderations'!$A$181:$R$198,10,(FALSE))</f>
        <v>0.12162162162162163</v>
      </c>
      <c r="G30" s="1024">
        <f>VLOOKUP(A30,'1920 Band Moderations'!$A$181:$R$198,12,(FALSE))</f>
        <v>0.12162162162162163</v>
      </c>
      <c r="H30" s="1024">
        <f>VLOOKUP(A30,'1920 Band Moderations'!$A$181:$R$198,14,(FALSE))</f>
        <v>8.1081081081081086E-2</v>
      </c>
      <c r="I30" s="1024">
        <f>VLOOKUP(A30,'1920 Band Moderations'!$A$181:$R$198,16,(FALSE))</f>
        <v>0.10810810810810811</v>
      </c>
      <c r="J30" s="1024">
        <f>VLOOKUP(A30,'1920 Band Moderations'!$A$181:$R$198,18,(FALSE))</f>
        <v>4.0540540540540543E-2</v>
      </c>
      <c r="K30" s="233">
        <v>19</v>
      </c>
      <c r="L30" s="1025">
        <f t="shared" si="7"/>
        <v>63831.783421322209</v>
      </c>
      <c r="M30" s="1025">
        <f t="shared" si="5"/>
        <v>2029.6621621621621</v>
      </c>
      <c r="N30" s="1025">
        <f t="shared" ref="N30:N45" si="8">SUM(L30:M30)</f>
        <v>65861.445583484368</v>
      </c>
      <c r="O30" s="1026">
        <f t="shared" ref="O30:O45" si="9">(K30*(4/12))*10000</f>
        <v>63333.333333333328</v>
      </c>
      <c r="P30" s="1026">
        <f>(VLOOKUP(A30,'1920 Funding Detail'!$A$4:$AN$23,38,FALSE)*4/12)*K30</f>
        <v>45760.069383391121</v>
      </c>
      <c r="Q30" s="235"/>
      <c r="R30" s="235">
        <f t="shared" si="6"/>
        <v>5780.3008697310006</v>
      </c>
      <c r="S30" s="269"/>
      <c r="T30" s="235"/>
      <c r="U30" s="235"/>
      <c r="V30" s="235"/>
      <c r="W30" s="36"/>
    </row>
    <row r="31" spans="1:23" s="29" customFormat="1" x14ac:dyDescent="0.25">
      <c r="A31" s="244">
        <v>9257011</v>
      </c>
      <c r="B31" s="237" t="s">
        <v>210</v>
      </c>
      <c r="C31" s="238">
        <v>4</v>
      </c>
      <c r="D31" s="1024">
        <f>VLOOKUP(A31,'1920 Band Moderations'!$A$181:$R$198,6,(FALSE))</f>
        <v>7.2727272727272724E-2</v>
      </c>
      <c r="E31" s="1024">
        <f>VLOOKUP(A31,'1920 Band Moderations'!$A$181:$R$198,8,(FALSE))</f>
        <v>0.27272727272727271</v>
      </c>
      <c r="F31" s="1024">
        <f>VLOOKUP(A31,'1920 Band Moderations'!$A$181:$R$198,10,(FALSE))</f>
        <v>3.6363636363636362E-2</v>
      </c>
      <c r="G31" s="1024">
        <f>VLOOKUP(A31,'1920 Band Moderations'!$A$181:$R$198,12,(FALSE))</f>
        <v>0.23636363636363636</v>
      </c>
      <c r="H31" s="1024">
        <f>VLOOKUP(A31,'1920 Band Moderations'!$A$181:$R$198,14,(FALSE))</f>
        <v>0.14545454545454545</v>
      </c>
      <c r="I31" s="1024">
        <f>VLOOKUP(A31,'1920 Band Moderations'!$A$181:$R$198,16,(FALSE))</f>
        <v>0.14545454545454545</v>
      </c>
      <c r="J31" s="1024">
        <f>VLOOKUP(A31,'1920 Band Moderations'!$A$181:$R$198,18,(FALSE))</f>
        <v>9.0909090909090912E-2</v>
      </c>
      <c r="K31" s="233">
        <v>15</v>
      </c>
      <c r="L31" s="1025">
        <f t="shared" si="7"/>
        <v>61235.951346955437</v>
      </c>
      <c r="M31" s="1025">
        <f t="shared" si="5"/>
        <v>479.09090909090907</v>
      </c>
      <c r="N31" s="1025">
        <f t="shared" si="8"/>
        <v>61715.042256046348</v>
      </c>
      <c r="O31" s="1026">
        <f t="shared" si="9"/>
        <v>50000</v>
      </c>
      <c r="P31" s="1026">
        <f>(VLOOKUP(A31,'1920 Funding Detail'!$A$4:$AN$23,38,FALSE)*4/12)*K31</f>
        <v>50073.55496791075</v>
      </c>
      <c r="Q31" s="235"/>
      <c r="R31" s="235">
        <f t="shared" si="6"/>
        <v>10233.068525361103</v>
      </c>
      <c r="S31" s="269"/>
      <c r="T31" s="235"/>
      <c r="U31" s="235"/>
      <c r="V31" s="235"/>
      <c r="W31" s="36"/>
    </row>
    <row r="32" spans="1:23" s="29" customFormat="1" x14ac:dyDescent="0.25">
      <c r="A32" s="244">
        <v>9257024</v>
      </c>
      <c r="B32" s="237" t="s">
        <v>211</v>
      </c>
      <c r="C32" s="238">
        <v>3</v>
      </c>
      <c r="D32" s="1024">
        <f>VLOOKUP(A32,'1920 Band Moderations'!$A$181:$R$198,6,(FALSE))</f>
        <v>0.10975609756097561</v>
      </c>
      <c r="E32" s="1024">
        <f>VLOOKUP(A32,'1920 Band Moderations'!$A$181:$R$198,8,(FALSE))</f>
        <v>0.41463414634146339</v>
      </c>
      <c r="F32" s="1024">
        <f>VLOOKUP(A32,'1920 Band Moderations'!$A$181:$R$198,10,(FALSE))</f>
        <v>2.4390243902439025E-2</v>
      </c>
      <c r="G32" s="1024">
        <f>VLOOKUP(A32,'1920 Band Moderations'!$A$181:$R$198,12,(FALSE))</f>
        <v>0.13414634146341464</v>
      </c>
      <c r="H32" s="1024">
        <f>VLOOKUP(A32,'1920 Band Moderations'!$A$181:$R$198,14,(FALSE))</f>
        <v>0.12195121951219512</v>
      </c>
      <c r="I32" s="1024">
        <f>VLOOKUP(A32,'1920 Band Moderations'!$A$181:$R$198,16,(FALSE))</f>
        <v>7.3170731707317069E-2</v>
      </c>
      <c r="J32" s="1024">
        <f>VLOOKUP(A32,'1920 Band Moderations'!$A$181:$R$198,18,(FALSE))</f>
        <v>0.12195121951219512</v>
      </c>
      <c r="K32" s="233">
        <v>11</v>
      </c>
      <c r="L32" s="1025">
        <f t="shared" si="7"/>
        <v>40908.481135621187</v>
      </c>
      <c r="M32" s="1025">
        <f t="shared" si="5"/>
        <v>235.65040650406505</v>
      </c>
      <c r="N32" s="1025">
        <f t="shared" si="8"/>
        <v>41144.131542125251</v>
      </c>
      <c r="O32" s="1026">
        <f t="shared" si="9"/>
        <v>36666.666666666664</v>
      </c>
      <c r="P32" s="1026">
        <f>(VLOOKUP(A32,'1920 Funding Detail'!$A$4:$AN$23,38,FALSE)*4/12)*K32</f>
        <v>26771.887351290399</v>
      </c>
      <c r="Q32" s="235"/>
      <c r="R32" s="235">
        <f t="shared" si="6"/>
        <v>10066.677167225149</v>
      </c>
      <c r="S32" s="269"/>
      <c r="T32" s="235"/>
      <c r="U32" s="235"/>
      <c r="V32" s="235"/>
      <c r="W32" s="36"/>
    </row>
    <row r="33" spans="1:54" x14ac:dyDescent="0.25">
      <c r="A33" s="244">
        <v>9257031</v>
      </c>
      <c r="B33" s="237" t="s">
        <v>257</v>
      </c>
      <c r="C33" s="238">
        <v>4</v>
      </c>
      <c r="D33" s="1024">
        <f>VLOOKUP(A33,'1920 Band Moderations'!$A$181:$R$198,6,(FALSE))</f>
        <v>0</v>
      </c>
      <c r="E33" s="1024">
        <f>VLOOKUP(A33,'1920 Band Moderations'!$A$181:$R$198,8,(FALSE))</f>
        <v>0</v>
      </c>
      <c r="F33" s="1024">
        <f>VLOOKUP(A33,'1920 Band Moderations'!$A$181:$R$198,10,(FALSE))</f>
        <v>1</v>
      </c>
      <c r="G33" s="1024">
        <f>VLOOKUP(A33,'1920 Band Moderations'!$A$181:$R$198,12,(FALSE))</f>
        <v>0</v>
      </c>
      <c r="H33" s="1024">
        <f>VLOOKUP(A33,'1920 Band Moderations'!$A$181:$R$198,14,(FALSE))</f>
        <v>0</v>
      </c>
      <c r="I33" s="1024">
        <f>VLOOKUP(A33,'1920 Band Moderations'!$A$181:$R$198,16,(FALSE))</f>
        <v>0</v>
      </c>
      <c r="J33" s="1024">
        <f>VLOOKUP(A33,'1920 Band Moderations'!$A$181:$R$198,18,(FALSE))</f>
        <v>0</v>
      </c>
      <c r="K33" s="233">
        <v>0</v>
      </c>
      <c r="L33" s="1025">
        <f t="shared" si="7"/>
        <v>0</v>
      </c>
      <c r="M33" s="1025">
        <f t="shared" si="5"/>
        <v>0</v>
      </c>
      <c r="N33" s="1025">
        <f t="shared" si="8"/>
        <v>0</v>
      </c>
      <c r="O33" s="1026">
        <f t="shared" si="9"/>
        <v>0</v>
      </c>
      <c r="P33" s="1026">
        <f>(VLOOKUP(A33,'1920 Funding Detail'!$A$4:$AN$23,38,FALSE)*4/12)*K33</f>
        <v>0</v>
      </c>
      <c r="Q33" s="235"/>
      <c r="R33" s="235">
        <f t="shared" si="6"/>
        <v>0</v>
      </c>
      <c r="S33" s="269"/>
      <c r="T33" s="235"/>
      <c r="U33" s="235"/>
      <c r="V33" s="235"/>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row>
    <row r="34" spans="1:54" x14ac:dyDescent="0.25">
      <c r="A34" s="244">
        <v>9257033</v>
      </c>
      <c r="B34" s="237" t="s">
        <v>220</v>
      </c>
      <c r="C34" s="238">
        <v>3</v>
      </c>
      <c r="D34" s="1024">
        <f>VLOOKUP(A34,'1920 Band Moderations'!$A$181:$R$198,6,(FALSE))</f>
        <v>0.20454545454545456</v>
      </c>
      <c r="E34" s="1024">
        <f>VLOOKUP(A34,'1920 Band Moderations'!$A$181:$R$198,8,(FALSE))</f>
        <v>0.28409090909090912</v>
      </c>
      <c r="F34" s="1024">
        <f>VLOOKUP(A34,'1920 Band Moderations'!$A$181:$R$198,10,(FALSE))</f>
        <v>0.19318181818181818</v>
      </c>
      <c r="G34" s="1024">
        <f>VLOOKUP(A34,'1920 Band Moderations'!$A$181:$R$198,12,(FALSE))</f>
        <v>0.17045454545454544</v>
      </c>
      <c r="H34" s="1024">
        <f>VLOOKUP(A34,'1920 Band Moderations'!$A$181:$R$198,14,(FALSE))</f>
        <v>7.9545454545454544E-2</v>
      </c>
      <c r="I34" s="1024">
        <f>VLOOKUP(A34,'1920 Band Moderations'!$A$181:$R$198,16,(FALSE))</f>
        <v>6.8181818181818177E-2</v>
      </c>
      <c r="J34" s="1024">
        <f>VLOOKUP(A34,'1920 Band Moderations'!$A$181:$R$198,18,(FALSE))</f>
        <v>0</v>
      </c>
      <c r="K34" s="233">
        <v>0</v>
      </c>
      <c r="L34" s="1025">
        <f t="shared" si="7"/>
        <v>0</v>
      </c>
      <c r="M34" s="1025">
        <f t="shared" si="5"/>
        <v>0</v>
      </c>
      <c r="N34" s="1025">
        <f t="shared" si="8"/>
        <v>0</v>
      </c>
      <c r="O34" s="1026">
        <f t="shared" si="9"/>
        <v>0</v>
      </c>
      <c r="P34" s="1026">
        <f>(VLOOKUP(A34,'1920 Funding Detail'!$A$4:$AN$23,38,FALSE)*4/12)*K34</f>
        <v>0</v>
      </c>
      <c r="Q34" s="235"/>
      <c r="R34" s="235">
        <f t="shared" si="6"/>
        <v>0</v>
      </c>
      <c r="S34" s="269"/>
      <c r="T34" s="235"/>
      <c r="U34" s="235"/>
      <c r="V34" s="235"/>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row>
    <row r="35" spans="1:54" x14ac:dyDescent="0.25">
      <c r="A35" s="244">
        <v>9257008</v>
      </c>
      <c r="B35" s="237" t="s">
        <v>212</v>
      </c>
      <c r="C35" s="238">
        <v>4</v>
      </c>
      <c r="D35" s="1024">
        <f>VLOOKUP(A35,'1920 Band Moderations'!$A$181:$R$198,6,(FALSE))</f>
        <v>6.3157894736842107E-2</v>
      </c>
      <c r="E35" s="1024">
        <f>VLOOKUP(A35,'1920 Band Moderations'!$A$181:$R$198,8,(FALSE))</f>
        <v>0.57894736842105265</v>
      </c>
      <c r="F35" s="1024">
        <f>VLOOKUP(A35,'1920 Band Moderations'!$A$181:$R$198,10,(FALSE))</f>
        <v>0.10526315789473684</v>
      </c>
      <c r="G35" s="1024">
        <f>VLOOKUP(A35,'1920 Band Moderations'!$A$181:$R$198,12,(FALSE))</f>
        <v>5.2631578947368418E-2</v>
      </c>
      <c r="H35" s="1024">
        <f>VLOOKUP(A35,'1920 Band Moderations'!$A$181:$R$198,14,(FALSE))</f>
        <v>1.0526315789473684E-2</v>
      </c>
      <c r="I35" s="1024">
        <f>VLOOKUP(A35,'1920 Band Moderations'!$A$181:$R$198,16,(FALSE))</f>
        <v>0.18947368421052632</v>
      </c>
      <c r="J35" s="1024">
        <f>VLOOKUP(A35,'1920 Band Moderations'!$A$181:$R$198,18,(FALSE))</f>
        <v>0</v>
      </c>
      <c r="K35" s="233">
        <v>0</v>
      </c>
      <c r="L35" s="1025">
        <f t="shared" si="7"/>
        <v>0</v>
      </c>
      <c r="M35" s="1025">
        <f t="shared" si="5"/>
        <v>0</v>
      </c>
      <c r="N35" s="1025">
        <f t="shared" si="8"/>
        <v>0</v>
      </c>
      <c r="O35" s="1026">
        <f t="shared" si="9"/>
        <v>0</v>
      </c>
      <c r="P35" s="1026">
        <f>(VLOOKUP(A35,'1920 Funding Detail'!$A$4:$AN$23,38,FALSE)*4/12)*K35</f>
        <v>0</v>
      </c>
      <c r="Q35" s="235"/>
      <c r="R35" s="235">
        <f t="shared" si="6"/>
        <v>0</v>
      </c>
      <c r="S35" s="269"/>
      <c r="T35" s="235"/>
      <c r="U35" s="235"/>
      <c r="V35" s="235"/>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row>
    <row r="36" spans="1:54" x14ac:dyDescent="0.25">
      <c r="A36" s="244">
        <v>9257034</v>
      </c>
      <c r="B36" s="237" t="s">
        <v>221</v>
      </c>
      <c r="C36" s="238">
        <v>5</v>
      </c>
      <c r="D36" s="1024">
        <f>VLOOKUP(A36,'1920 Band Moderations'!$A$181:$R$198,6,(FALSE))</f>
        <v>0.41964285714285715</v>
      </c>
      <c r="E36" s="1024">
        <f>VLOOKUP(A36,'1920 Band Moderations'!$A$181:$R$198,8,(FALSE))</f>
        <v>0.26785714285714285</v>
      </c>
      <c r="F36" s="1024">
        <f>VLOOKUP(A36,'1920 Band Moderations'!$A$181:$R$198,10,(FALSE))</f>
        <v>0.17857142857142858</v>
      </c>
      <c r="G36" s="1024">
        <f>VLOOKUP(A36,'1920 Band Moderations'!$A$181:$R$198,12,(FALSE))</f>
        <v>4.4642857142857144E-2</v>
      </c>
      <c r="H36" s="1024">
        <f>VLOOKUP(A36,'1920 Band Moderations'!$A$181:$R$198,14,(FALSE))</f>
        <v>3.5714285714285712E-2</v>
      </c>
      <c r="I36" s="1024">
        <f>VLOOKUP(A36,'1920 Band Moderations'!$A$181:$R$198,16,(FALSE))</f>
        <v>4.4642857142857144E-2</v>
      </c>
      <c r="J36" s="1024">
        <f>VLOOKUP(A36,'1920 Band Moderations'!$A$181:$R$198,18,(FALSE))</f>
        <v>8.9285714285714281E-3</v>
      </c>
      <c r="K36" s="233">
        <v>33</v>
      </c>
      <c r="L36" s="1025">
        <f t="shared" si="7"/>
        <v>90641.957181014528</v>
      </c>
      <c r="M36" s="1025">
        <f t="shared" si="5"/>
        <v>5175.8928571428569</v>
      </c>
      <c r="N36" s="1025">
        <f t="shared" si="8"/>
        <v>95817.850038157383</v>
      </c>
      <c r="O36" s="1026">
        <f t="shared" si="9"/>
        <v>110000</v>
      </c>
      <c r="P36" s="1026">
        <f>(VLOOKUP(A36,'1920 Funding Detail'!$A$4:$AN$23,38,FALSE)*4/12)*K36</f>
        <v>39231.338793615119</v>
      </c>
      <c r="Q36" s="235"/>
      <c r="R36" s="235">
        <f t="shared" si="6"/>
        <v>2211.0737349440956</v>
      </c>
      <c r="S36" s="269"/>
      <c r="T36" s="235"/>
      <c r="U36" s="235"/>
      <c r="V36" s="235"/>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row>
    <row r="37" spans="1:54" x14ac:dyDescent="0.25">
      <c r="A37" s="244">
        <v>9257002</v>
      </c>
      <c r="B37" s="237" t="s">
        <v>213</v>
      </c>
      <c r="C37" s="238">
        <v>5</v>
      </c>
      <c r="D37" s="1024">
        <f>VLOOKUP(A37,'1920 Band Moderations'!$A$181:$R$198,6,(FALSE))</f>
        <v>0.46527777777777779</v>
      </c>
      <c r="E37" s="1024">
        <f>VLOOKUP(A37,'1920 Band Moderations'!$A$181:$R$198,8,(FALSE))</f>
        <v>0.16666666666666666</v>
      </c>
      <c r="F37" s="1024">
        <f>VLOOKUP(A37,'1920 Band Moderations'!$A$181:$R$198,10,(FALSE))</f>
        <v>0.1875</v>
      </c>
      <c r="G37" s="1024">
        <f>VLOOKUP(A37,'1920 Band Moderations'!$A$181:$R$198,12,(FALSE))</f>
        <v>1.3888888888888888E-2</v>
      </c>
      <c r="H37" s="1024">
        <f>VLOOKUP(A37,'1920 Band Moderations'!$A$181:$R$198,14,(FALSE))</f>
        <v>4.8611111111111112E-2</v>
      </c>
      <c r="I37" s="1024">
        <f>VLOOKUP(A37,'1920 Band Moderations'!$A$181:$R$198,16,(FALSE))</f>
        <v>0.1111111111111111</v>
      </c>
      <c r="J37" s="1024">
        <f>VLOOKUP(A37,'1920 Band Moderations'!$A$181:$R$198,18,(FALSE))</f>
        <v>6.9444444444444441E-3</v>
      </c>
      <c r="K37" s="233">
        <v>0</v>
      </c>
      <c r="L37" s="1025">
        <f t="shared" si="7"/>
        <v>0</v>
      </c>
      <c r="M37" s="1025">
        <f t="shared" si="5"/>
        <v>0</v>
      </c>
      <c r="N37" s="1025">
        <f t="shared" si="8"/>
        <v>0</v>
      </c>
      <c r="O37" s="1026">
        <f t="shared" si="9"/>
        <v>0</v>
      </c>
      <c r="P37" s="1026">
        <f>(VLOOKUP(A37,'1920 Funding Detail'!$A$4:$AN$23,38,FALSE)*4/12)*K37</f>
        <v>0</v>
      </c>
      <c r="Q37" s="235"/>
      <c r="R37" s="235">
        <f t="shared" si="6"/>
        <v>0</v>
      </c>
      <c r="S37" s="269"/>
      <c r="T37" s="235"/>
      <c r="U37" s="235"/>
      <c r="V37" s="235"/>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row>
    <row r="38" spans="1:54" x14ac:dyDescent="0.25">
      <c r="A38" s="244">
        <v>9257009</v>
      </c>
      <c r="B38" s="237" t="s">
        <v>214</v>
      </c>
      <c r="C38" s="238">
        <v>4</v>
      </c>
      <c r="D38" s="1024">
        <f>VLOOKUP(A38,'1920 Band Moderations'!$A$181:$R$198,6,(FALSE))</f>
        <v>0.17910447761194029</v>
      </c>
      <c r="E38" s="1024">
        <f>VLOOKUP(A38,'1920 Band Moderations'!$A$181:$R$198,8,(FALSE))</f>
        <v>0.5074626865671642</v>
      </c>
      <c r="F38" s="1024">
        <f>VLOOKUP(A38,'1920 Band Moderations'!$A$181:$R$198,10,(FALSE))</f>
        <v>0.11940298507462686</v>
      </c>
      <c r="G38" s="1024">
        <f>VLOOKUP(A38,'1920 Band Moderations'!$A$181:$R$198,12,(FALSE))</f>
        <v>1.4925373134328358E-2</v>
      </c>
      <c r="H38" s="1024">
        <f>VLOOKUP(A38,'1920 Band Moderations'!$A$181:$R$198,14,(FALSE))</f>
        <v>3.7313432835820892E-2</v>
      </c>
      <c r="I38" s="1024">
        <f>VLOOKUP(A38,'1920 Band Moderations'!$A$181:$R$198,16,(FALSE))</f>
        <v>0.1417910447761194</v>
      </c>
      <c r="J38" s="1024">
        <f>VLOOKUP(A38,'1920 Band Moderations'!$A$181:$R$198,18,(FALSE))</f>
        <v>0</v>
      </c>
      <c r="K38" s="233">
        <v>0</v>
      </c>
      <c r="L38" s="1025">
        <f t="shared" si="7"/>
        <v>0</v>
      </c>
      <c r="M38" s="1025">
        <f t="shared" si="5"/>
        <v>0</v>
      </c>
      <c r="N38" s="1025">
        <f t="shared" si="8"/>
        <v>0</v>
      </c>
      <c r="O38" s="1026">
        <f t="shared" si="9"/>
        <v>0</v>
      </c>
      <c r="P38" s="1026">
        <f>(VLOOKUP(A38,'1920 Funding Detail'!$A$4:$AN$23,38,FALSE)*4/12)*K38</f>
        <v>0</v>
      </c>
      <c r="Q38" s="235"/>
      <c r="R38" s="235">
        <f t="shared" si="6"/>
        <v>0</v>
      </c>
      <c r="S38" s="269"/>
      <c r="T38" s="235"/>
      <c r="U38" s="235"/>
      <c r="V38" s="235"/>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row>
    <row r="39" spans="1:54" x14ac:dyDescent="0.25">
      <c r="A39" s="244">
        <v>9257029</v>
      </c>
      <c r="B39" s="237" t="s">
        <v>890</v>
      </c>
      <c r="C39" s="238">
        <v>3</v>
      </c>
      <c r="D39" s="1024">
        <f>VLOOKUP(A39,'1920 Band Moderations'!$A$181:$R$198,6,(FALSE))</f>
        <v>0</v>
      </c>
      <c r="E39" s="1024">
        <f>VLOOKUP(A39,'1920 Band Moderations'!$A$181:$R$198,8,(FALSE))</f>
        <v>0</v>
      </c>
      <c r="F39" s="1024">
        <f>VLOOKUP(A39,'1920 Band Moderations'!$A$181:$R$198,10,(FALSE))</f>
        <v>1</v>
      </c>
      <c r="G39" s="1024">
        <f>VLOOKUP(A39,'1920 Band Moderations'!$A$181:$R$198,12,(FALSE))</f>
        <v>0</v>
      </c>
      <c r="H39" s="1024">
        <f>VLOOKUP(A39,'1920 Band Moderations'!$A$181:$R$198,14,(FALSE))</f>
        <v>0</v>
      </c>
      <c r="I39" s="1024">
        <f>VLOOKUP(A39,'1920 Band Moderations'!$A$181:$R$198,16,(FALSE))</f>
        <v>0</v>
      </c>
      <c r="J39" s="1024">
        <f>VLOOKUP(A39,'1920 Band Moderations'!$A$181:$R$198,18,(FALSE))</f>
        <v>0</v>
      </c>
      <c r="K39" s="233">
        <v>0</v>
      </c>
      <c r="L39" s="1025">
        <f t="shared" si="7"/>
        <v>0</v>
      </c>
      <c r="M39" s="1025">
        <f t="shared" si="5"/>
        <v>0</v>
      </c>
      <c r="N39" s="1025">
        <f t="shared" si="8"/>
        <v>0</v>
      </c>
      <c r="O39" s="1026">
        <f t="shared" si="9"/>
        <v>0</v>
      </c>
      <c r="P39" s="1026">
        <f>(VLOOKUP(A39,'1920 Funding Detail'!$A$4:$AN$23,38,FALSE)*4/12)*K39</f>
        <v>0</v>
      </c>
      <c r="Q39" s="235"/>
      <c r="R39" s="235">
        <f t="shared" si="6"/>
        <v>0</v>
      </c>
      <c r="S39" s="269"/>
      <c r="T39" s="235"/>
      <c r="U39" s="235"/>
      <c r="V39" s="235"/>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row>
    <row r="40" spans="1:54" x14ac:dyDescent="0.25">
      <c r="A40" s="244">
        <v>9257032</v>
      </c>
      <c r="B40" s="237" t="s">
        <v>261</v>
      </c>
      <c r="C40" s="238">
        <v>4</v>
      </c>
      <c r="D40" s="1024">
        <f>VLOOKUP(A40,'1920 Band Moderations'!$A$181:$R$198,6,(FALSE))</f>
        <v>0</v>
      </c>
      <c r="E40" s="1024">
        <f>VLOOKUP(A40,'1920 Band Moderations'!$A$181:$R$198,8,(FALSE))</f>
        <v>0</v>
      </c>
      <c r="F40" s="1024">
        <f>VLOOKUP(A40,'1920 Band Moderations'!$A$181:$R$198,10,(FALSE))</f>
        <v>1</v>
      </c>
      <c r="G40" s="1024">
        <f>VLOOKUP(A40,'1920 Band Moderations'!$A$181:$R$198,12,(FALSE))</f>
        <v>0</v>
      </c>
      <c r="H40" s="1024">
        <f>VLOOKUP(A40,'1920 Band Moderations'!$A$181:$R$198,14,(FALSE))</f>
        <v>0</v>
      </c>
      <c r="I40" s="1024">
        <f>VLOOKUP(A40,'1920 Band Moderations'!$A$181:$R$198,16,(FALSE))</f>
        <v>0</v>
      </c>
      <c r="J40" s="1024">
        <f>VLOOKUP(A40,'1920 Band Moderations'!$A$181:$R$198,18,(FALSE))</f>
        <v>0</v>
      </c>
      <c r="K40" s="233">
        <v>0</v>
      </c>
      <c r="L40" s="1025">
        <f t="shared" si="7"/>
        <v>0</v>
      </c>
      <c r="M40" s="1025">
        <f t="shared" si="5"/>
        <v>0</v>
      </c>
      <c r="N40" s="1025">
        <f t="shared" si="8"/>
        <v>0</v>
      </c>
      <c r="O40" s="1026">
        <f t="shared" si="9"/>
        <v>0</v>
      </c>
      <c r="P40" s="1026">
        <f>(VLOOKUP(A40,'1920 Funding Detail'!$A$4:$AN$23,38,FALSE)*4/12)*K40</f>
        <v>0</v>
      </c>
      <c r="Q40" s="235"/>
      <c r="R40" s="235">
        <f t="shared" si="6"/>
        <v>0</v>
      </c>
      <c r="S40" s="269"/>
      <c r="T40" s="235"/>
      <c r="U40" s="235"/>
      <c r="V40" s="235"/>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row>
    <row r="41" spans="1:54" x14ac:dyDescent="0.25">
      <c r="A41" s="244">
        <v>9257030</v>
      </c>
      <c r="B41" s="237" t="s">
        <v>262</v>
      </c>
      <c r="C41" s="238">
        <v>4</v>
      </c>
      <c r="D41" s="1024">
        <f>VLOOKUP(A41,'1920 Band Moderations'!$A$181:$R$198,6,(FALSE))</f>
        <v>0</v>
      </c>
      <c r="E41" s="1024">
        <f>VLOOKUP(A41,'1920 Band Moderations'!$A$181:$R$198,8,(FALSE))</f>
        <v>0</v>
      </c>
      <c r="F41" s="1024">
        <f>VLOOKUP(A41,'1920 Band Moderations'!$A$181:$R$198,10,(FALSE))</f>
        <v>1</v>
      </c>
      <c r="G41" s="1024">
        <f>VLOOKUP(A41,'1920 Band Moderations'!$A$181:$R$198,12,(FALSE))</f>
        <v>0</v>
      </c>
      <c r="H41" s="1024">
        <f>VLOOKUP(A41,'1920 Band Moderations'!$A$181:$R$198,14,(FALSE))</f>
        <v>0</v>
      </c>
      <c r="I41" s="1024">
        <f>VLOOKUP(A41,'1920 Band Moderations'!$A$181:$R$198,16,(FALSE))</f>
        <v>0</v>
      </c>
      <c r="J41" s="1024">
        <f>VLOOKUP(A41,'1920 Band Moderations'!$A$181:$R$198,18,(FALSE))</f>
        <v>0</v>
      </c>
      <c r="K41" s="233">
        <v>0</v>
      </c>
      <c r="L41" s="1025">
        <f t="shared" si="7"/>
        <v>0</v>
      </c>
      <c r="M41" s="1025">
        <f t="shared" si="5"/>
        <v>0</v>
      </c>
      <c r="N41" s="1025">
        <f t="shared" si="8"/>
        <v>0</v>
      </c>
      <c r="O41" s="1026">
        <f t="shared" si="9"/>
        <v>0</v>
      </c>
      <c r="P41" s="1026">
        <f>(VLOOKUP(A41,'1920 Funding Detail'!$A$4:$AN$23,38,FALSE)*4/12)*K41</f>
        <v>0</v>
      </c>
      <c r="Q41" s="235"/>
      <c r="R41" s="235">
        <f t="shared" si="6"/>
        <v>0</v>
      </c>
      <c r="S41" s="269"/>
      <c r="T41" s="235"/>
      <c r="U41" s="235"/>
      <c r="V41" s="235"/>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row>
    <row r="42" spans="1:54" x14ac:dyDescent="0.25">
      <c r="A42" s="244">
        <v>9257028</v>
      </c>
      <c r="B42" s="237" t="s">
        <v>215</v>
      </c>
      <c r="C42" s="238">
        <v>5</v>
      </c>
      <c r="D42" s="1024">
        <f>VLOOKUP(A42,'1920 Band Moderations'!$A$181:$R$198,6,(FALSE))</f>
        <v>6.9767441860465115E-2</v>
      </c>
      <c r="E42" s="1024">
        <f>VLOOKUP(A42,'1920 Band Moderations'!$A$181:$R$198,8,(FALSE))</f>
        <v>0.27906976744186046</v>
      </c>
      <c r="F42" s="1024">
        <f>VLOOKUP(A42,'1920 Band Moderations'!$A$181:$R$198,10,(FALSE))</f>
        <v>3.4883720930232558E-2</v>
      </c>
      <c r="G42" s="1024">
        <f>VLOOKUP(A42,'1920 Band Moderations'!$A$181:$R$198,12,(FALSE))</f>
        <v>0.12790697674418605</v>
      </c>
      <c r="H42" s="1024">
        <f>VLOOKUP(A42,'1920 Band Moderations'!$A$181:$R$198,14,(FALSE))</f>
        <v>0.18604651162790697</v>
      </c>
      <c r="I42" s="1024">
        <f>VLOOKUP(A42,'1920 Band Moderations'!$A$181:$R$198,16,(FALSE))</f>
        <v>0.16279069767441862</v>
      </c>
      <c r="J42" s="1024">
        <f>VLOOKUP(A42,'1920 Band Moderations'!$A$181:$R$198,18,(FALSE))</f>
        <v>0.13953488372093023</v>
      </c>
      <c r="K42" s="233">
        <v>14</v>
      </c>
      <c r="L42" s="1025">
        <f t="shared" si="7"/>
        <v>59075.612192321089</v>
      </c>
      <c r="M42" s="1025">
        <f t="shared" si="5"/>
        <v>428.95348837209303</v>
      </c>
      <c r="N42" s="1025">
        <f t="shared" si="8"/>
        <v>59504.56568069318</v>
      </c>
      <c r="O42" s="1026">
        <f t="shared" si="9"/>
        <v>46666.666666666664</v>
      </c>
      <c r="P42" s="1026">
        <f>(VLOOKUP(A42,'1920 Funding Detail'!$A$4:$AN$23,38,FALSE)*4/12)*K42</f>
        <v>39800.611014026523</v>
      </c>
      <c r="Q42" s="235"/>
      <c r="R42" s="235">
        <f t="shared" si="6"/>
        <v>14659.465608424276</v>
      </c>
      <c r="S42" s="269"/>
      <c r="T42" s="235"/>
      <c r="U42" s="235"/>
      <c r="V42" s="235"/>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row>
    <row r="43" spans="1:54" x14ac:dyDescent="0.25">
      <c r="A43" s="244">
        <v>9257021</v>
      </c>
      <c r="B43" s="237" t="s">
        <v>216</v>
      </c>
      <c r="C43" s="238">
        <v>5</v>
      </c>
      <c r="D43" s="1024">
        <f>VLOOKUP(A43,'1920 Band Moderations'!$A$181:$R$198,6,(FALSE))</f>
        <v>0.27777777777777779</v>
      </c>
      <c r="E43" s="1024">
        <f>VLOOKUP(A43,'1920 Band Moderations'!$A$181:$R$198,8,(FALSE))</f>
        <v>0.35185185185185186</v>
      </c>
      <c r="F43" s="1024">
        <f>VLOOKUP(A43,'1920 Band Moderations'!$A$181:$R$198,10,(FALSE))</f>
        <v>9.8765432098765427E-2</v>
      </c>
      <c r="G43" s="1024">
        <f>VLOOKUP(A43,'1920 Band Moderations'!$A$181:$R$198,12,(FALSE))</f>
        <v>4.3209876543209874E-2</v>
      </c>
      <c r="H43" s="1024">
        <f>VLOOKUP(A43,'1920 Band Moderations'!$A$181:$R$198,14,(FALSE))</f>
        <v>7.407407407407407E-2</v>
      </c>
      <c r="I43" s="1024">
        <f>VLOOKUP(A43,'1920 Band Moderations'!$A$181:$R$198,16,(FALSE))</f>
        <v>0.14814814814814814</v>
      </c>
      <c r="J43" s="1024">
        <f>VLOOKUP(A43,'1920 Band Moderations'!$A$181:$R$198,18,(FALSE))</f>
        <v>6.1728395061728392E-3</v>
      </c>
      <c r="K43" s="233">
        <v>0</v>
      </c>
      <c r="L43" s="1025">
        <f t="shared" si="7"/>
        <v>0</v>
      </c>
      <c r="M43" s="1025">
        <f t="shared" si="5"/>
        <v>0</v>
      </c>
      <c r="N43" s="1025">
        <f t="shared" si="8"/>
        <v>0</v>
      </c>
      <c r="O43" s="1026">
        <f t="shared" si="9"/>
        <v>0</v>
      </c>
      <c r="P43" s="1026">
        <f>(VLOOKUP(A43,'1920 Funding Detail'!$A$4:$AN$23,38,FALSE)*4/12)*K43</f>
        <v>0</v>
      </c>
      <c r="Q43" s="235"/>
      <c r="R43" s="235">
        <f t="shared" si="6"/>
        <v>0</v>
      </c>
      <c r="S43" s="269"/>
      <c r="T43" s="235"/>
      <c r="U43" s="235"/>
      <c r="V43" s="235"/>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row>
    <row r="44" spans="1:54" x14ac:dyDescent="0.25">
      <c r="A44" s="244">
        <v>9257015</v>
      </c>
      <c r="B44" s="237" t="s">
        <v>217</v>
      </c>
      <c r="C44" s="238">
        <v>6</v>
      </c>
      <c r="D44" s="1024">
        <f>VLOOKUP(A44,'1920 Band Moderations'!$A$181:$R$198,6,(FALSE))</f>
        <v>0.43037974683544306</v>
      </c>
      <c r="E44" s="1024">
        <f>VLOOKUP(A44,'1920 Band Moderations'!$A$181:$R$198,8,(FALSE))</f>
        <v>0.27004219409282698</v>
      </c>
      <c r="F44" s="1024">
        <f>VLOOKUP(A44,'1920 Band Moderations'!$A$181:$R$198,10,(FALSE))</f>
        <v>2.9535864978902954E-2</v>
      </c>
      <c r="G44" s="1024">
        <f>VLOOKUP(A44,'1920 Band Moderations'!$A$181:$R$198,12,(FALSE))</f>
        <v>6.3291139240506333E-2</v>
      </c>
      <c r="H44" s="1024">
        <f>VLOOKUP(A44,'1920 Band Moderations'!$A$181:$R$198,14,(FALSE))</f>
        <v>5.9071729957805907E-2</v>
      </c>
      <c r="I44" s="1024">
        <f>VLOOKUP(A44,'1920 Band Moderations'!$A$181:$R$198,16,(FALSE))</f>
        <v>0.13924050632911392</v>
      </c>
      <c r="J44" s="1024">
        <f>VLOOKUP(A44,'1920 Band Moderations'!$A$181:$R$198,18,(FALSE))</f>
        <v>8.4388185654008432E-3</v>
      </c>
      <c r="K44" s="233">
        <v>24</v>
      </c>
      <c r="L44" s="1025">
        <f t="shared" si="7"/>
        <v>68981.217321016185</v>
      </c>
      <c r="M44" s="1025">
        <f t="shared" si="5"/>
        <v>622.6160337552742</v>
      </c>
      <c r="N44" s="1025">
        <f t="shared" si="8"/>
        <v>69603.833354771457</v>
      </c>
      <c r="O44" s="1026">
        <f t="shared" si="9"/>
        <v>80000</v>
      </c>
      <c r="P44" s="1026">
        <f>(VLOOKUP(A44,'1920 Funding Detail'!$A$4:$AN$23,38,FALSE)*4/12)*K44</f>
        <v>10254.870329561383</v>
      </c>
      <c r="Q44" s="235"/>
      <c r="R44" s="235">
        <f t="shared" si="6"/>
        <v>1519.848152289919</v>
      </c>
      <c r="S44" s="269"/>
      <c r="T44" s="235"/>
      <c r="U44" s="235"/>
      <c r="V44" s="235"/>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row>
    <row r="45" spans="1:54" x14ac:dyDescent="0.25">
      <c r="A45" s="244">
        <v>9257016</v>
      </c>
      <c r="B45" s="237" t="s">
        <v>219</v>
      </c>
      <c r="C45" s="238">
        <v>6</v>
      </c>
      <c r="D45" s="1024">
        <f>VLOOKUP(A45,'1920 Band Moderations'!$A$181:$R$198,6,(FALSE))</f>
        <v>0.16911764705882354</v>
      </c>
      <c r="E45" s="1024">
        <f>VLOOKUP(A45,'1920 Band Moderations'!$A$181:$R$198,8,(FALSE))</f>
        <v>0.11764705882352941</v>
      </c>
      <c r="F45" s="1024">
        <f>VLOOKUP(A45,'1920 Band Moderations'!$A$181:$R$198,10,(FALSE))</f>
        <v>7.3529411764705881E-3</v>
      </c>
      <c r="G45" s="1024">
        <f>VLOOKUP(A45,'1920 Band Moderations'!$A$181:$R$198,12,(FALSE))</f>
        <v>0.20588235294117646</v>
      </c>
      <c r="H45" s="1024">
        <f>VLOOKUP(A45,'1920 Band Moderations'!$A$181:$R$198,14,(FALSE))</f>
        <v>0.23529411764705882</v>
      </c>
      <c r="I45" s="1024">
        <f>VLOOKUP(A45,'1920 Band Moderations'!$A$181:$R$198,16,(FALSE))</f>
        <v>7.3529411764705881E-3</v>
      </c>
      <c r="J45" s="1024">
        <f>VLOOKUP(A45,'1920 Band Moderations'!$A$181:$R$198,18,(FALSE))</f>
        <v>0.25735294117647056</v>
      </c>
      <c r="K45" s="233">
        <v>57</v>
      </c>
      <c r="L45" s="1025">
        <f t="shared" si="7"/>
        <v>264833.08848853316</v>
      </c>
      <c r="M45" s="1025">
        <f t="shared" si="5"/>
        <v>368.125</v>
      </c>
      <c r="N45" s="1025">
        <f t="shared" si="8"/>
        <v>265201.21348853316</v>
      </c>
      <c r="O45" s="1026">
        <f t="shared" si="9"/>
        <v>190000</v>
      </c>
      <c r="P45" s="1026">
        <f>(VLOOKUP(A45,'1920 Funding Detail'!$A$4:$AN$23,38,FALSE)*4/12)*K45</f>
        <v>154302.62564658787</v>
      </c>
      <c r="Q45" s="299" t="s">
        <v>207</v>
      </c>
      <c r="R45" s="235">
        <f t="shared" si="6"/>
        <v>110080.72979855363</v>
      </c>
      <c r="S45" s="269"/>
      <c r="T45" s="235"/>
      <c r="U45" s="235"/>
      <c r="V45" s="235"/>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row>
    <row r="46" spans="1:54" x14ac:dyDescent="0.25">
      <c r="A46" s="249"/>
      <c r="B46" s="36"/>
      <c r="C46" s="234"/>
      <c r="D46" s="268"/>
      <c r="E46" s="268"/>
      <c r="F46" s="299" t="s">
        <v>207</v>
      </c>
      <c r="G46" s="268"/>
      <c r="H46" s="268"/>
      <c r="I46" s="268"/>
      <c r="J46" s="299" t="s">
        <v>207</v>
      </c>
      <c r="K46" s="36"/>
      <c r="L46" s="269"/>
      <c r="M46" s="269"/>
      <c r="N46" s="299" t="s">
        <v>207</v>
      </c>
      <c r="O46" s="235"/>
      <c r="P46" s="235"/>
      <c r="Q46" s="235"/>
      <c r="R46" s="269"/>
      <c r="S46" s="269"/>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row>
    <row r="47" spans="1:54" ht="13" x14ac:dyDescent="0.3">
      <c r="A47" s="93" t="s">
        <v>910</v>
      </c>
      <c r="B47" s="36"/>
      <c r="C47" s="36"/>
      <c r="D47" s="36"/>
      <c r="E47" s="36"/>
      <c r="F47" s="36"/>
      <c r="G47" s="36"/>
      <c r="H47" s="36"/>
      <c r="I47" s="36"/>
      <c r="J47" s="36"/>
      <c r="K47" s="234"/>
      <c r="L47" s="234"/>
      <c r="M47" s="36"/>
      <c r="N47" s="36"/>
      <c r="O47" s="36"/>
      <c r="P47" s="36"/>
      <c r="Q47" s="36"/>
      <c r="R47" s="36"/>
      <c r="S47" s="288"/>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c r="BA47" s="36"/>
      <c r="BB47" s="36"/>
    </row>
    <row r="48" spans="1:54" x14ac:dyDescent="0.25">
      <c r="A48" s="36"/>
      <c r="B48" s="36"/>
      <c r="C48" s="36"/>
      <c r="D48" s="36"/>
      <c r="E48" s="36"/>
      <c r="F48" s="36"/>
      <c r="G48" s="36"/>
      <c r="H48" s="36"/>
      <c r="I48" s="36"/>
      <c r="J48" s="36"/>
      <c r="K48" s="94" t="s">
        <v>911</v>
      </c>
      <c r="L48" s="234"/>
      <c r="M48" s="36"/>
      <c r="N48" s="36"/>
      <c r="O48" s="1445" t="s">
        <v>238</v>
      </c>
      <c r="P48" s="144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row>
    <row r="49" spans="1:20" s="29" customFormat="1" ht="39.75" customHeight="1" x14ac:dyDescent="0.25">
      <c r="A49" s="265" t="s">
        <v>182</v>
      </c>
      <c r="B49" s="237" t="s">
        <v>183</v>
      </c>
      <c r="C49" s="238" t="s">
        <v>184</v>
      </c>
      <c r="D49" s="234" t="s">
        <v>901</v>
      </c>
      <c r="E49" s="234" t="s">
        <v>902</v>
      </c>
      <c r="F49" s="234" t="s">
        <v>903</v>
      </c>
      <c r="G49" s="234" t="s">
        <v>904</v>
      </c>
      <c r="H49" s="234" t="s">
        <v>905</v>
      </c>
      <c r="I49" s="234" t="s">
        <v>906</v>
      </c>
      <c r="J49" s="234" t="s">
        <v>907</v>
      </c>
      <c r="K49" s="243" t="s">
        <v>246</v>
      </c>
      <c r="L49" s="243" t="s">
        <v>272</v>
      </c>
      <c r="M49" s="243" t="s">
        <v>273</v>
      </c>
      <c r="N49" s="243" t="s">
        <v>274</v>
      </c>
      <c r="O49" s="277" t="s">
        <v>275</v>
      </c>
      <c r="P49" s="320" t="s">
        <v>276</v>
      </c>
      <c r="Q49" s="36"/>
      <c r="R49" s="36"/>
      <c r="S49" s="288"/>
      <c r="T49" s="36"/>
    </row>
    <row r="50" spans="1:20" s="29" customFormat="1" x14ac:dyDescent="0.25">
      <c r="A50" s="244">
        <v>9257010</v>
      </c>
      <c r="B50" s="237" t="s">
        <v>205</v>
      </c>
      <c r="C50" s="238">
        <v>4</v>
      </c>
      <c r="D50" s="1024">
        <f>VLOOKUP(A50,'1920 Band Moderations'!$A$181:$R$198,6,(FALSE))</f>
        <v>0.05</v>
      </c>
      <c r="E50" s="1024">
        <f>VLOOKUP(A50,'1920 Band Moderations'!$A$181:$R$198,8,(FALSE))</f>
        <v>0.35</v>
      </c>
      <c r="F50" s="1024">
        <f>VLOOKUP(A50,'1920 Band Moderations'!$A$181:$R$198,10,(FALSE))</f>
        <v>6.6666666666666666E-2</v>
      </c>
      <c r="G50" s="1024">
        <f>VLOOKUP(A50,'1920 Band Moderations'!$A$181:$R$198,12,(FALSE))</f>
        <v>0.15</v>
      </c>
      <c r="H50" s="1024">
        <f>VLOOKUP(A50,'1920 Band Moderations'!$A$181:$R$198,14,(FALSE))</f>
        <v>0.05</v>
      </c>
      <c r="I50" s="1024">
        <f>VLOOKUP(A50,'1920 Band Moderations'!$A$181:$R$198,16,(FALSE))</f>
        <v>0.21666666666666667</v>
      </c>
      <c r="J50" s="1024">
        <f>VLOOKUP(A50,'1920 Band Moderations'!$A$181:$R$198,18,(FALSE))</f>
        <v>0.11666666666666667</v>
      </c>
      <c r="K50" s="233">
        <v>52</v>
      </c>
      <c r="L50" s="1025">
        <f t="shared" ref="L50:L67" si="10">((((K50*D50)*$G$92)+((K50*E50)*$G$94)+((K50*F50)*$G$96)+((K50*G50)*$G$98)+((K50*H50)*$G$100)+((K50*I50)*$G$102)+((K50*J50)*$G$104))*(7/12))</f>
        <v>366390.3901786877</v>
      </c>
      <c r="M50" s="1025">
        <f>((F50*K50)*$G$106)*(7/12)</f>
        <v>5328.5555555555566</v>
      </c>
      <c r="N50" s="1025">
        <f t="shared" ref="N50:N67" si="11">SUM(L50:M50)</f>
        <v>371718.94573424326</v>
      </c>
      <c r="O50" s="1026">
        <f>(K50*(7/12))*10000</f>
        <v>303333.33333333337</v>
      </c>
      <c r="P50" s="1026">
        <f>(VLOOKUP(A50,'1920 Funding Detail'!$A$4:$AN$23,38,FALSE)*7/12)*K50</f>
        <v>310438.21553318802</v>
      </c>
      <c r="Q50" s="235"/>
      <c r="R50" s="235">
        <f t="shared" ref="R50:R67" si="12">(J50*K50*$G$104)*7/12</f>
        <v>79670.123508005825</v>
      </c>
      <c r="S50" s="233" t="s">
        <v>207</v>
      </c>
      <c r="T50" s="296" t="s">
        <v>277</v>
      </c>
    </row>
    <row r="51" spans="1:20" s="29" customFormat="1" x14ac:dyDescent="0.25">
      <c r="A51" s="244">
        <v>9257005</v>
      </c>
      <c r="B51" s="237" t="s">
        <v>208</v>
      </c>
      <c r="C51" s="238">
        <v>4</v>
      </c>
      <c r="D51" s="1024">
        <f>VLOOKUP(A51,'1920 Band Moderations'!$A$181:$R$198,6,(FALSE))</f>
        <v>0.10810810810810811</v>
      </c>
      <c r="E51" s="1024">
        <f>VLOOKUP(A51,'1920 Band Moderations'!$A$181:$R$198,8,(FALSE))</f>
        <v>0.22972972972972974</v>
      </c>
      <c r="F51" s="1024">
        <f>VLOOKUP(A51,'1920 Band Moderations'!$A$181:$R$198,10,(FALSE))</f>
        <v>0.12162162162162163</v>
      </c>
      <c r="G51" s="1024">
        <f>VLOOKUP(A51,'1920 Band Moderations'!$A$181:$R$198,12,(FALSE))</f>
        <v>0.14864864864864866</v>
      </c>
      <c r="H51" s="1024">
        <f>VLOOKUP(A51,'1920 Band Moderations'!$A$181:$R$198,14,(FALSE))</f>
        <v>0.13513513513513514</v>
      </c>
      <c r="I51" s="1024">
        <f>VLOOKUP(A51,'1920 Band Moderations'!$A$181:$R$198,16,(FALSE))</f>
        <v>0.17567567567567569</v>
      </c>
      <c r="J51" s="1024">
        <f>VLOOKUP(A51,'1920 Band Moderations'!$A$181:$R$198,18,(FALSE))</f>
        <v>8.1081081081081086E-2</v>
      </c>
      <c r="K51" s="233">
        <v>52</v>
      </c>
      <c r="L51" s="1025">
        <f t="shared" si="10"/>
        <v>363163.35636915563</v>
      </c>
      <c r="M51" s="1025">
        <f t="shared" ref="M51:M67" si="13">((F51*K51)*$G$106)*(7/12)</f>
        <v>9721.0135135135151</v>
      </c>
      <c r="N51" s="1025">
        <f t="shared" si="11"/>
        <v>372884.36988266913</v>
      </c>
      <c r="O51" s="1026">
        <f t="shared" ref="O51:O67" si="14">(K51*(7/12))*10000</f>
        <v>303333.33333333337</v>
      </c>
      <c r="P51" s="1026">
        <f>(VLOOKUP(A51,'1920 Funding Detail'!$A$4:$AN$23,38,FALSE)*7/12)*K51</f>
        <v>260441.58974900562</v>
      </c>
      <c r="Q51" s="235"/>
      <c r="R51" s="235">
        <f t="shared" si="12"/>
        <v>55369.1978047917</v>
      </c>
      <c r="S51" s="269"/>
      <c r="T51" s="36"/>
    </row>
    <row r="52" spans="1:20" s="29" customFormat="1" x14ac:dyDescent="0.25">
      <c r="A52" s="244">
        <v>9257025</v>
      </c>
      <c r="B52" s="237" t="s">
        <v>209</v>
      </c>
      <c r="C52" s="238">
        <v>4</v>
      </c>
      <c r="D52" s="1024">
        <f>VLOOKUP(A52,'1920 Band Moderations'!$A$181:$R$198,6,(FALSE))</f>
        <v>0.22972972972972974</v>
      </c>
      <c r="E52" s="1024">
        <f>VLOOKUP(A52,'1920 Band Moderations'!$A$181:$R$198,8,(FALSE))</f>
        <v>0.29729729729729731</v>
      </c>
      <c r="F52" s="1024">
        <f>VLOOKUP(A52,'1920 Band Moderations'!$A$181:$R$198,10,(FALSE))</f>
        <v>0.12162162162162163</v>
      </c>
      <c r="G52" s="1024">
        <f>VLOOKUP(A52,'1920 Band Moderations'!$A$181:$R$198,12,(FALSE))</f>
        <v>0.12162162162162163</v>
      </c>
      <c r="H52" s="1024">
        <f>VLOOKUP(A52,'1920 Band Moderations'!$A$181:$R$198,14,(FALSE))</f>
        <v>8.1081081081081086E-2</v>
      </c>
      <c r="I52" s="1024">
        <f>VLOOKUP(A52,'1920 Band Moderations'!$A$181:$R$198,16,(FALSE))</f>
        <v>0.10810810810810811</v>
      </c>
      <c r="J52" s="1024">
        <f>VLOOKUP(A52,'1920 Band Moderations'!$A$181:$R$198,18,(FALSE))</f>
        <v>4.0540540540540543E-2</v>
      </c>
      <c r="K52" s="233">
        <v>56</v>
      </c>
      <c r="L52" s="1025">
        <f t="shared" si="10"/>
        <v>329237.61975208297</v>
      </c>
      <c r="M52" s="1025">
        <f t="shared" si="13"/>
        <v>10468.783783783785</v>
      </c>
      <c r="N52" s="1025">
        <f t="shared" si="11"/>
        <v>339706.40353586676</v>
      </c>
      <c r="O52" s="1026">
        <f t="shared" si="14"/>
        <v>326666.66666666669</v>
      </c>
      <c r="P52" s="1026">
        <f>(VLOOKUP(A52,'1920 Funding Detail'!$A$4:$AN$23,38,FALSE)*7/12)*K52</f>
        <v>236025.62103012262</v>
      </c>
      <c r="Q52" s="235"/>
      <c r="R52" s="235">
        <f t="shared" si="12"/>
        <v>29814.183433349375</v>
      </c>
      <c r="S52" s="269"/>
      <c r="T52" s="36"/>
    </row>
    <row r="53" spans="1:20" s="29" customFormat="1" x14ac:dyDescent="0.25">
      <c r="A53" s="244">
        <v>9257011</v>
      </c>
      <c r="B53" s="237" t="s">
        <v>210</v>
      </c>
      <c r="C53" s="238">
        <v>4</v>
      </c>
      <c r="D53" s="1024">
        <f>VLOOKUP(A53,'1920 Band Moderations'!$A$181:$R$198,6,(FALSE))</f>
        <v>7.2727272727272724E-2</v>
      </c>
      <c r="E53" s="1024">
        <f>VLOOKUP(A53,'1920 Band Moderations'!$A$181:$R$198,8,(FALSE))</f>
        <v>0.27272727272727271</v>
      </c>
      <c r="F53" s="1024">
        <f>VLOOKUP(A53,'1920 Band Moderations'!$A$181:$R$198,10,(FALSE))</f>
        <v>3.6363636363636362E-2</v>
      </c>
      <c r="G53" s="1024">
        <f>VLOOKUP(A53,'1920 Band Moderations'!$A$181:$R$198,12,(FALSE))</f>
        <v>0.23636363636363636</v>
      </c>
      <c r="H53" s="1024">
        <f>VLOOKUP(A53,'1920 Band Moderations'!$A$181:$R$198,14,(FALSE))</f>
        <v>0.14545454545454545</v>
      </c>
      <c r="I53" s="1024">
        <f>VLOOKUP(A53,'1920 Band Moderations'!$A$181:$R$198,16,(FALSE))</f>
        <v>0.14545454545454545</v>
      </c>
      <c r="J53" s="1024">
        <f>VLOOKUP(A53,'1920 Band Moderations'!$A$181:$R$198,18,(FALSE))</f>
        <v>9.0909090909090912E-2</v>
      </c>
      <c r="K53" s="233">
        <v>44</v>
      </c>
      <c r="L53" s="1025">
        <f t="shared" si="10"/>
        <v>314344.55024770461</v>
      </c>
      <c r="M53" s="1025">
        <f t="shared" si="13"/>
        <v>2459.3333333333335</v>
      </c>
      <c r="N53" s="1025">
        <f t="shared" si="11"/>
        <v>316803.88358103792</v>
      </c>
      <c r="O53" s="1026">
        <f t="shared" si="14"/>
        <v>256666.66666666669</v>
      </c>
      <c r="P53" s="1026">
        <f>(VLOOKUP(A53,'1920 Funding Detail'!$A$4:$AN$23,38,FALSE)*7/12)*K53</f>
        <v>257044.24883527518</v>
      </c>
      <c r="Q53" s="235"/>
      <c r="R53" s="235">
        <f t="shared" si="12"/>
        <v>52529.751763520326</v>
      </c>
      <c r="S53" s="269"/>
      <c r="T53" s="36"/>
    </row>
    <row r="54" spans="1:20" s="29" customFormat="1" x14ac:dyDescent="0.25">
      <c r="A54" s="244">
        <v>9257024</v>
      </c>
      <c r="B54" s="237" t="s">
        <v>211</v>
      </c>
      <c r="C54" s="238">
        <v>3</v>
      </c>
      <c r="D54" s="1024">
        <f>VLOOKUP(A54,'1920 Band Moderations'!$A$181:$R$198,6,(FALSE))</f>
        <v>0.10975609756097561</v>
      </c>
      <c r="E54" s="1024">
        <f>VLOOKUP(A54,'1920 Band Moderations'!$A$181:$R$198,8,(FALSE))</f>
        <v>0.41463414634146339</v>
      </c>
      <c r="F54" s="1024">
        <f>VLOOKUP(A54,'1920 Band Moderations'!$A$181:$R$198,10,(FALSE))</f>
        <v>2.4390243902439025E-2</v>
      </c>
      <c r="G54" s="1024">
        <f>VLOOKUP(A54,'1920 Band Moderations'!$A$181:$R$198,12,(FALSE))</f>
        <v>0.13414634146341464</v>
      </c>
      <c r="H54" s="1024">
        <f>VLOOKUP(A54,'1920 Band Moderations'!$A$181:$R$198,14,(FALSE))</f>
        <v>0.12195121951219512</v>
      </c>
      <c r="I54" s="1024">
        <f>VLOOKUP(A54,'1920 Band Moderations'!$A$181:$R$198,16,(FALSE))</f>
        <v>7.3170731707317069E-2</v>
      </c>
      <c r="J54" s="1024">
        <f>VLOOKUP(A54,'1920 Band Moderations'!$A$181:$R$198,18,(FALSE))</f>
        <v>0.12195121951219512</v>
      </c>
      <c r="K54" s="233">
        <v>67</v>
      </c>
      <c r="L54" s="1025">
        <f t="shared" si="10"/>
        <v>436047.21937741683</v>
      </c>
      <c r="M54" s="1025">
        <f t="shared" si="13"/>
        <v>2511.8191056910573</v>
      </c>
      <c r="N54" s="1025">
        <f t="shared" si="11"/>
        <v>438559.03848310787</v>
      </c>
      <c r="O54" s="1026">
        <f t="shared" si="14"/>
        <v>390833.33333333337</v>
      </c>
      <c r="P54" s="1026">
        <f>(VLOOKUP(A54,'1920 Funding Detail'!$A$4:$AN$23,38,FALSE)*7/12)*K54</f>
        <v>285363.98108534538</v>
      </c>
      <c r="Q54" s="235"/>
      <c r="R54" s="235">
        <f t="shared" si="12"/>
        <v>107301.62707792262</v>
      </c>
      <c r="S54" s="269"/>
      <c r="T54" s="36"/>
    </row>
    <row r="55" spans="1:20" s="29" customFormat="1" x14ac:dyDescent="0.25">
      <c r="A55" s="244">
        <v>9257031</v>
      </c>
      <c r="B55" s="237" t="s">
        <v>257</v>
      </c>
      <c r="C55" s="238">
        <v>4</v>
      </c>
      <c r="D55" s="1024">
        <f>VLOOKUP(A55,'1920 Band Moderations'!$A$181:$R$198,6,(FALSE))</f>
        <v>0</v>
      </c>
      <c r="E55" s="1024">
        <f>VLOOKUP(A55,'1920 Band Moderations'!$A$181:$R$198,8,(FALSE))</f>
        <v>0</v>
      </c>
      <c r="F55" s="1024">
        <f>VLOOKUP(A55,'1920 Band Moderations'!$A$181:$R$198,10,(FALSE))</f>
        <v>1</v>
      </c>
      <c r="G55" s="1024">
        <f>VLOOKUP(A55,'1920 Band Moderations'!$A$181:$R$198,12,(FALSE))</f>
        <v>0</v>
      </c>
      <c r="H55" s="1024">
        <f>VLOOKUP(A55,'1920 Band Moderations'!$A$181:$R$198,14,(FALSE))</f>
        <v>0</v>
      </c>
      <c r="I55" s="1024">
        <f>VLOOKUP(A55,'1920 Band Moderations'!$A$181:$R$198,16,(FALSE))</f>
        <v>0</v>
      </c>
      <c r="J55" s="1024">
        <f>VLOOKUP(A55,'1920 Band Moderations'!$A$181:$R$198,18,(FALSE))</f>
        <v>0</v>
      </c>
      <c r="K55" s="233">
        <v>75</v>
      </c>
      <c r="L55" s="1025">
        <f t="shared" si="10"/>
        <v>492774.28887682292</v>
      </c>
      <c r="M55" s="1025">
        <f t="shared" si="13"/>
        <v>115281.25000000001</v>
      </c>
      <c r="N55" s="1025">
        <f t="shared" si="11"/>
        <v>608055.53887682292</v>
      </c>
      <c r="O55" s="1026">
        <f t="shared" si="14"/>
        <v>437500</v>
      </c>
      <c r="P55" s="1026">
        <f>(VLOOKUP(A55,'1920 Funding Detail'!$A$4:$AN$23,38,FALSE)*7/12)*K55</f>
        <v>442786.92461365717</v>
      </c>
      <c r="Q55" s="235"/>
      <c r="R55" s="235">
        <f t="shared" si="12"/>
        <v>0</v>
      </c>
      <c r="S55" s="269"/>
      <c r="T55" s="36"/>
    </row>
    <row r="56" spans="1:20" s="29" customFormat="1" x14ac:dyDescent="0.25">
      <c r="A56" s="244">
        <v>9257033</v>
      </c>
      <c r="B56" s="237" t="s">
        <v>220</v>
      </c>
      <c r="C56" s="238">
        <v>3</v>
      </c>
      <c r="D56" s="1024">
        <f>VLOOKUP(A56,'1920 Band Moderations'!$A$181:$R$198,6,(FALSE))</f>
        <v>0.20454545454545456</v>
      </c>
      <c r="E56" s="1024">
        <f>VLOOKUP(A56,'1920 Band Moderations'!$A$181:$R$198,8,(FALSE))</f>
        <v>0.28409090909090912</v>
      </c>
      <c r="F56" s="1024">
        <f>VLOOKUP(A56,'1920 Band Moderations'!$A$181:$R$198,10,(FALSE))</f>
        <v>0.19318181818181818</v>
      </c>
      <c r="G56" s="1024">
        <f>VLOOKUP(A56,'1920 Band Moderations'!$A$181:$R$198,12,(FALSE))</f>
        <v>0.17045454545454544</v>
      </c>
      <c r="H56" s="1024">
        <f>VLOOKUP(A56,'1920 Band Moderations'!$A$181:$R$198,14,(FALSE))</f>
        <v>7.9545454545454544E-2</v>
      </c>
      <c r="I56" s="1024">
        <f>VLOOKUP(A56,'1920 Band Moderations'!$A$181:$R$198,16,(FALSE))</f>
        <v>6.8181818181818177E-2</v>
      </c>
      <c r="J56" s="1024">
        <f>VLOOKUP(A56,'1920 Band Moderations'!$A$181:$R$198,18,(FALSE))</f>
        <v>0</v>
      </c>
      <c r="K56" s="233">
        <v>91</v>
      </c>
      <c r="L56" s="1025">
        <f t="shared" si="10"/>
        <v>520516.38372475398</v>
      </c>
      <c r="M56" s="1025">
        <f t="shared" si="13"/>
        <v>27021.226325757576</v>
      </c>
      <c r="N56" s="1025">
        <f t="shared" si="11"/>
        <v>547537.61005051155</v>
      </c>
      <c r="O56" s="1026">
        <f t="shared" si="14"/>
        <v>530833.33333333337</v>
      </c>
      <c r="P56" s="1026">
        <f>(VLOOKUP(A56,'1920 Funding Detail'!$A$4:$AN$23,38,FALSE)*7/12)*K56</f>
        <v>285347.98615456471</v>
      </c>
      <c r="Q56" s="235"/>
      <c r="R56" s="235">
        <f t="shared" si="12"/>
        <v>0</v>
      </c>
      <c r="S56" s="269"/>
      <c r="T56" s="36"/>
    </row>
    <row r="57" spans="1:20" s="29" customFormat="1" x14ac:dyDescent="0.25">
      <c r="A57" s="244">
        <v>9257008</v>
      </c>
      <c r="B57" s="237" t="s">
        <v>212</v>
      </c>
      <c r="C57" s="238">
        <v>4</v>
      </c>
      <c r="D57" s="1024">
        <f>VLOOKUP(A57,'1920 Band Moderations'!$A$181:$R$198,6,(FALSE))</f>
        <v>6.3157894736842107E-2</v>
      </c>
      <c r="E57" s="1024">
        <f>VLOOKUP(A57,'1920 Band Moderations'!$A$181:$R$198,8,(FALSE))</f>
        <v>0.57894736842105265</v>
      </c>
      <c r="F57" s="1024">
        <f>VLOOKUP(A57,'1920 Band Moderations'!$A$181:$R$198,10,(FALSE))</f>
        <v>0.10526315789473684</v>
      </c>
      <c r="G57" s="1024">
        <f>VLOOKUP(A57,'1920 Band Moderations'!$A$181:$R$198,12,(FALSE))</f>
        <v>5.2631578947368418E-2</v>
      </c>
      <c r="H57" s="1024">
        <f>VLOOKUP(A57,'1920 Band Moderations'!$A$181:$R$198,14,(FALSE))</f>
        <v>1.0526315789473684E-2</v>
      </c>
      <c r="I57" s="1024">
        <f>VLOOKUP(A57,'1920 Band Moderations'!$A$181:$R$198,16,(FALSE))</f>
        <v>0.18947368421052632</v>
      </c>
      <c r="J57" s="1024">
        <f>VLOOKUP(A57,'1920 Band Moderations'!$A$181:$R$198,18,(FALSE))</f>
        <v>0</v>
      </c>
      <c r="K57" s="233">
        <v>95</v>
      </c>
      <c r="L57" s="1025">
        <f t="shared" si="10"/>
        <v>510119.53114899743</v>
      </c>
      <c r="M57" s="1025">
        <f t="shared" si="13"/>
        <v>15370.833333333334</v>
      </c>
      <c r="N57" s="1025">
        <f t="shared" si="11"/>
        <v>525490.36448233074</v>
      </c>
      <c r="O57" s="1026">
        <f t="shared" si="14"/>
        <v>554166.66666666674</v>
      </c>
      <c r="P57" s="1026">
        <f>(VLOOKUP(A57,'1920 Funding Detail'!$A$4:$AN$23,38,FALSE)*7/12)*K57</f>
        <v>235881.78531566402</v>
      </c>
      <c r="Q57" s="235"/>
      <c r="R57" s="235">
        <f t="shared" si="12"/>
        <v>0</v>
      </c>
      <c r="S57" s="269"/>
      <c r="T57" s="36"/>
    </row>
    <row r="58" spans="1:20" s="29" customFormat="1" x14ac:dyDescent="0.25">
      <c r="A58" s="244">
        <v>9257034</v>
      </c>
      <c r="B58" s="237" t="s">
        <v>221</v>
      </c>
      <c r="C58" s="238">
        <v>5</v>
      </c>
      <c r="D58" s="1024">
        <f>VLOOKUP(A58,'1920 Band Moderations'!$A$181:$R$198,6,(FALSE))</f>
        <v>0.41964285714285715</v>
      </c>
      <c r="E58" s="1024">
        <f>VLOOKUP(A58,'1920 Band Moderations'!$A$181:$R$198,8,(FALSE))</f>
        <v>0.26785714285714285</v>
      </c>
      <c r="F58" s="1024">
        <f>VLOOKUP(A58,'1920 Band Moderations'!$A$181:$R$198,10,(FALSE))</f>
        <v>0.17857142857142858</v>
      </c>
      <c r="G58" s="1024">
        <f>VLOOKUP(A58,'1920 Band Moderations'!$A$181:$R$198,12,(FALSE))</f>
        <v>4.4642857142857144E-2</v>
      </c>
      <c r="H58" s="1024">
        <f>VLOOKUP(A58,'1920 Band Moderations'!$A$181:$R$198,14,(FALSE))</f>
        <v>3.5714285714285712E-2</v>
      </c>
      <c r="I58" s="1024">
        <f>VLOOKUP(A58,'1920 Band Moderations'!$A$181:$R$198,16,(FALSE))</f>
        <v>4.4642857142857144E-2</v>
      </c>
      <c r="J58" s="1024">
        <f>VLOOKUP(A58,'1920 Band Moderations'!$A$181:$R$198,18,(FALSE))</f>
        <v>8.9285714285714281E-3</v>
      </c>
      <c r="K58" s="233">
        <v>83</v>
      </c>
      <c r="L58" s="1025">
        <f t="shared" si="10"/>
        <v>398961.9478952231</v>
      </c>
      <c r="M58" s="1025">
        <f t="shared" si="13"/>
        <v>22781.770833333332</v>
      </c>
      <c r="N58" s="1025">
        <f t="shared" si="11"/>
        <v>421743.71872855641</v>
      </c>
      <c r="O58" s="1026">
        <f t="shared" si="14"/>
        <v>484166.66666666669</v>
      </c>
      <c r="P58" s="1026">
        <f>(VLOOKUP(A58,'1920 Funding Detail'!$A$4:$AN$23,38,FALSE)*7/12)*K58</f>
        <v>172677.33211432109</v>
      </c>
      <c r="Q58" s="235"/>
      <c r="R58" s="235">
        <f t="shared" si="12"/>
        <v>9732.0745454736316</v>
      </c>
      <c r="S58" s="269"/>
      <c r="T58" s="36"/>
    </row>
    <row r="59" spans="1:20" s="29" customFormat="1" x14ac:dyDescent="0.25">
      <c r="A59" s="244">
        <v>9257002</v>
      </c>
      <c r="B59" s="237" t="s">
        <v>213</v>
      </c>
      <c r="C59" s="238">
        <v>5</v>
      </c>
      <c r="D59" s="1024">
        <f>VLOOKUP(A59,'1920 Band Moderations'!$A$181:$R$198,6,(FALSE))</f>
        <v>0.46527777777777779</v>
      </c>
      <c r="E59" s="1024">
        <f>VLOOKUP(A59,'1920 Band Moderations'!$A$181:$R$198,8,(FALSE))</f>
        <v>0.16666666666666666</v>
      </c>
      <c r="F59" s="1024">
        <f>VLOOKUP(A59,'1920 Band Moderations'!$A$181:$R$198,10,(FALSE))</f>
        <v>0.1875</v>
      </c>
      <c r="G59" s="1024">
        <f>VLOOKUP(A59,'1920 Band Moderations'!$A$181:$R$198,12,(FALSE))</f>
        <v>1.3888888888888888E-2</v>
      </c>
      <c r="H59" s="1024">
        <f>VLOOKUP(A59,'1920 Band Moderations'!$A$181:$R$198,14,(FALSE))</f>
        <v>4.8611111111111112E-2</v>
      </c>
      <c r="I59" s="1024">
        <f>VLOOKUP(A59,'1920 Band Moderations'!$A$181:$R$198,16,(FALSE))</f>
        <v>0.1111111111111111</v>
      </c>
      <c r="J59" s="1024">
        <f>VLOOKUP(A59,'1920 Band Moderations'!$A$181:$R$198,18,(FALSE))</f>
        <v>6.9444444444444441E-3</v>
      </c>
      <c r="K59" s="233">
        <v>145</v>
      </c>
      <c r="L59" s="1025">
        <f t="shared" si="10"/>
        <v>727906.99216161377</v>
      </c>
      <c r="M59" s="1025">
        <f t="shared" si="13"/>
        <v>41789.453125</v>
      </c>
      <c r="N59" s="1025">
        <f t="shared" si="11"/>
        <v>769696.44528661377</v>
      </c>
      <c r="O59" s="1026">
        <f t="shared" si="14"/>
        <v>845833.33333333337</v>
      </c>
      <c r="P59" s="1026">
        <f>(VLOOKUP(A59,'1920 Funding Detail'!$A$4:$AN$23,38,FALSE)*7/12)*K59</f>
        <v>230287.25359593154</v>
      </c>
      <c r="Q59" s="235"/>
      <c r="R59" s="235">
        <f t="shared" si="12"/>
        <v>13223.635426580637</v>
      </c>
      <c r="S59" s="269"/>
      <c r="T59" s="36"/>
    </row>
    <row r="60" spans="1:20" s="29" customFormat="1" x14ac:dyDescent="0.25">
      <c r="A60" s="244">
        <v>9257009</v>
      </c>
      <c r="B60" s="237" t="s">
        <v>214</v>
      </c>
      <c r="C60" s="238">
        <v>4</v>
      </c>
      <c r="D60" s="1024">
        <f>VLOOKUP(A60,'1920 Band Moderations'!$A$181:$R$198,6,(FALSE))</f>
        <v>0.17910447761194029</v>
      </c>
      <c r="E60" s="1024">
        <f>VLOOKUP(A60,'1920 Band Moderations'!$A$181:$R$198,8,(FALSE))</f>
        <v>0.5074626865671642</v>
      </c>
      <c r="F60" s="1024">
        <f>VLOOKUP(A60,'1920 Band Moderations'!$A$181:$R$198,10,(FALSE))</f>
        <v>0.11940298507462686</v>
      </c>
      <c r="G60" s="1024">
        <f>VLOOKUP(A60,'1920 Band Moderations'!$A$181:$R$198,12,(FALSE))</f>
        <v>1.4925373134328358E-2</v>
      </c>
      <c r="H60" s="1024">
        <f>VLOOKUP(A60,'1920 Band Moderations'!$A$181:$R$198,14,(FALSE))</f>
        <v>3.7313432835820892E-2</v>
      </c>
      <c r="I60" s="1024">
        <f>VLOOKUP(A60,'1920 Band Moderations'!$A$181:$R$198,16,(FALSE))</f>
        <v>0.1417910447761194</v>
      </c>
      <c r="J60" s="1024">
        <f>VLOOKUP(A60,'1920 Band Moderations'!$A$181:$R$198,18,(FALSE))</f>
        <v>0</v>
      </c>
      <c r="K60" s="233">
        <v>135</v>
      </c>
      <c r="L60" s="1025">
        <f t="shared" si="10"/>
        <v>683518.85381628969</v>
      </c>
      <c r="M60" s="1025">
        <f t="shared" si="13"/>
        <v>24776.86567164179</v>
      </c>
      <c r="N60" s="1025">
        <f t="shared" si="11"/>
        <v>708295.71948793146</v>
      </c>
      <c r="O60" s="1026">
        <f t="shared" si="14"/>
        <v>787500</v>
      </c>
      <c r="P60" s="1026">
        <f>(VLOOKUP(A60,'1920 Funding Detail'!$A$4:$AN$23,38,FALSE)*7/12)*K60</f>
        <v>270227.46120549872</v>
      </c>
      <c r="Q60" s="235"/>
      <c r="R60" s="235">
        <f t="shared" si="12"/>
        <v>0</v>
      </c>
      <c r="S60" s="269"/>
      <c r="T60" s="36"/>
    </row>
    <row r="61" spans="1:20" s="29" customFormat="1" x14ac:dyDescent="0.25">
      <c r="A61" s="244">
        <v>9257029</v>
      </c>
      <c r="B61" s="237" t="s">
        <v>890</v>
      </c>
      <c r="C61" s="238">
        <v>3</v>
      </c>
      <c r="D61" s="1024">
        <f>VLOOKUP(A61,'1920 Band Moderations'!$A$181:$R$198,6,(FALSE))</f>
        <v>0</v>
      </c>
      <c r="E61" s="1024">
        <f>VLOOKUP(A61,'1920 Band Moderations'!$A$181:$R$198,8,(FALSE))</f>
        <v>0</v>
      </c>
      <c r="F61" s="1024">
        <f>VLOOKUP(A61,'1920 Band Moderations'!$A$181:$R$198,10,(FALSE))</f>
        <v>1</v>
      </c>
      <c r="G61" s="1024">
        <f>VLOOKUP(A61,'1920 Band Moderations'!$A$181:$R$198,12,(FALSE))</f>
        <v>0</v>
      </c>
      <c r="H61" s="1024">
        <f>VLOOKUP(A61,'1920 Band Moderations'!$A$181:$R$198,14,(FALSE))</f>
        <v>0</v>
      </c>
      <c r="I61" s="1024">
        <f>VLOOKUP(A61,'1920 Band Moderations'!$A$181:$R$198,16,(FALSE))</f>
        <v>0</v>
      </c>
      <c r="J61" s="1024">
        <f>VLOOKUP(A61,'1920 Band Moderations'!$A$181:$R$198,18,(FALSE))</f>
        <v>0</v>
      </c>
      <c r="K61" s="233">
        <v>68</v>
      </c>
      <c r="L61" s="1025">
        <f t="shared" si="10"/>
        <v>446782.02191498614</v>
      </c>
      <c r="M61" s="1025">
        <f t="shared" si="13"/>
        <v>104521.66666666667</v>
      </c>
      <c r="N61" s="1025">
        <f t="shared" si="11"/>
        <v>551303.68858165282</v>
      </c>
      <c r="O61" s="1026">
        <f t="shared" si="14"/>
        <v>396666.66666666669</v>
      </c>
      <c r="P61" s="1026">
        <f>(VLOOKUP(A61,'1920 Funding Detail'!$A$4:$AN$23,38,FALSE)*7/12)*K61</f>
        <v>456479.91797571717</v>
      </c>
      <c r="Q61" s="235"/>
      <c r="R61" s="235">
        <f t="shared" si="12"/>
        <v>0</v>
      </c>
      <c r="S61" s="269"/>
      <c r="T61" s="36"/>
    </row>
    <row r="62" spans="1:20" s="29" customFormat="1" x14ac:dyDescent="0.25">
      <c r="A62" s="244">
        <v>9257032</v>
      </c>
      <c r="B62" s="237" t="s">
        <v>261</v>
      </c>
      <c r="C62" s="238">
        <v>4</v>
      </c>
      <c r="D62" s="1024">
        <f>VLOOKUP(A62,'1920 Band Moderations'!$A$181:$R$198,6,(FALSE))</f>
        <v>0</v>
      </c>
      <c r="E62" s="1024">
        <f>VLOOKUP(A62,'1920 Band Moderations'!$A$181:$R$198,8,(FALSE))</f>
        <v>0</v>
      </c>
      <c r="F62" s="1024">
        <f>VLOOKUP(A62,'1920 Band Moderations'!$A$181:$R$198,10,(FALSE))</f>
        <v>1</v>
      </c>
      <c r="G62" s="1024">
        <f>VLOOKUP(A62,'1920 Band Moderations'!$A$181:$R$198,12,(FALSE))</f>
        <v>0</v>
      </c>
      <c r="H62" s="1024">
        <f>VLOOKUP(A62,'1920 Band Moderations'!$A$181:$R$198,14,(FALSE))</f>
        <v>0</v>
      </c>
      <c r="I62" s="1024">
        <f>VLOOKUP(A62,'1920 Band Moderations'!$A$181:$R$198,16,(FALSE))</f>
        <v>0</v>
      </c>
      <c r="J62" s="1024">
        <f>VLOOKUP(A62,'1920 Band Moderations'!$A$181:$R$198,18,(FALSE))</f>
        <v>0</v>
      </c>
      <c r="K62" s="233">
        <v>71</v>
      </c>
      <c r="L62" s="1025">
        <f t="shared" si="10"/>
        <v>466492.99347005913</v>
      </c>
      <c r="M62" s="1025">
        <f t="shared" si="13"/>
        <v>109132.91666666667</v>
      </c>
      <c r="N62" s="1025">
        <f t="shared" si="11"/>
        <v>575625.91013672575</v>
      </c>
      <c r="O62" s="1026">
        <f t="shared" si="14"/>
        <v>414166.66666666669</v>
      </c>
      <c r="P62" s="1026">
        <f>(VLOOKUP(A62,'1920 Funding Detail'!$A$4:$AN$23,38,FALSE)*7/12)*K62</f>
        <v>430478.51733529323</v>
      </c>
      <c r="Q62" s="235"/>
      <c r="R62" s="235">
        <f t="shared" si="12"/>
        <v>0</v>
      </c>
      <c r="S62" s="269"/>
      <c r="T62" s="36"/>
    </row>
    <row r="63" spans="1:20" s="29" customFormat="1" x14ac:dyDescent="0.25">
      <c r="A63" s="244">
        <v>9257030</v>
      </c>
      <c r="B63" s="237" t="s">
        <v>262</v>
      </c>
      <c r="C63" s="238">
        <v>4</v>
      </c>
      <c r="D63" s="1024">
        <f>VLOOKUP(A63,'1920 Band Moderations'!$A$181:$R$198,6,(FALSE))</f>
        <v>0</v>
      </c>
      <c r="E63" s="1024">
        <f>VLOOKUP(A63,'1920 Band Moderations'!$A$181:$R$198,8,(FALSE))</f>
        <v>0</v>
      </c>
      <c r="F63" s="1024">
        <f>VLOOKUP(A63,'1920 Band Moderations'!$A$181:$R$198,10,(FALSE))</f>
        <v>1</v>
      </c>
      <c r="G63" s="1024">
        <f>VLOOKUP(A63,'1920 Band Moderations'!$A$181:$R$198,12,(FALSE))</f>
        <v>0</v>
      </c>
      <c r="H63" s="1024">
        <f>VLOOKUP(A63,'1920 Band Moderations'!$A$181:$R$198,14,(FALSE))</f>
        <v>0</v>
      </c>
      <c r="I63" s="1024">
        <f>VLOOKUP(A63,'1920 Band Moderations'!$A$181:$R$198,16,(FALSE))</f>
        <v>0</v>
      </c>
      <c r="J63" s="1024">
        <f>VLOOKUP(A63,'1920 Band Moderations'!$A$181:$R$198,18,(FALSE))</f>
        <v>0</v>
      </c>
      <c r="K63" s="233">
        <v>74</v>
      </c>
      <c r="L63" s="1025">
        <f t="shared" si="10"/>
        <v>486203.965025132</v>
      </c>
      <c r="M63" s="1025">
        <f t="shared" si="13"/>
        <v>113744.16666666667</v>
      </c>
      <c r="N63" s="1025">
        <f t="shared" si="11"/>
        <v>599948.13169179868</v>
      </c>
      <c r="O63" s="1026">
        <f t="shared" si="14"/>
        <v>431666.66666666669</v>
      </c>
      <c r="P63" s="1026">
        <f>(VLOOKUP(A63,'1920 Funding Detail'!$A$4:$AN$23,38,FALSE)*7/12)*K63</f>
        <v>447704.79348947917</v>
      </c>
      <c r="Q63" s="235"/>
      <c r="R63" s="235">
        <f t="shared" si="12"/>
        <v>0</v>
      </c>
      <c r="S63" s="269"/>
      <c r="T63" s="36"/>
    </row>
    <row r="64" spans="1:20" s="29" customFormat="1" x14ac:dyDescent="0.25">
      <c r="A64" s="244">
        <v>9257028</v>
      </c>
      <c r="B64" s="237" t="s">
        <v>215</v>
      </c>
      <c r="C64" s="238">
        <v>5</v>
      </c>
      <c r="D64" s="1024">
        <f>VLOOKUP(A64,'1920 Band Moderations'!$A$181:$R$198,6,(FALSE))</f>
        <v>6.9767441860465115E-2</v>
      </c>
      <c r="E64" s="1024">
        <f>VLOOKUP(A64,'1920 Band Moderations'!$A$181:$R$198,8,(FALSE))</f>
        <v>0.27906976744186046</v>
      </c>
      <c r="F64" s="1024">
        <f>VLOOKUP(A64,'1920 Band Moderations'!$A$181:$R$198,10,(FALSE))</f>
        <v>3.4883720930232558E-2</v>
      </c>
      <c r="G64" s="1024">
        <f>VLOOKUP(A64,'1920 Band Moderations'!$A$181:$R$198,12,(FALSE))</f>
        <v>0.12790697674418605</v>
      </c>
      <c r="H64" s="1024">
        <f>VLOOKUP(A64,'1920 Band Moderations'!$A$181:$R$198,14,(FALSE))</f>
        <v>0.18604651162790697</v>
      </c>
      <c r="I64" s="1024">
        <f>VLOOKUP(A64,'1920 Band Moderations'!$A$181:$R$198,16,(FALSE))</f>
        <v>0.16279069767441862</v>
      </c>
      <c r="J64" s="1024">
        <f>VLOOKUP(A64,'1920 Band Moderations'!$A$181:$R$198,18,(FALSE))</f>
        <v>0.13953488372093023</v>
      </c>
      <c r="K64" s="233">
        <v>74</v>
      </c>
      <c r="L64" s="1025">
        <f t="shared" si="10"/>
        <v>546449.4127789702</v>
      </c>
      <c r="M64" s="1025">
        <f t="shared" si="13"/>
        <v>3967.8197674418607</v>
      </c>
      <c r="N64" s="1025">
        <f t="shared" si="11"/>
        <v>550417.23254641204</v>
      </c>
      <c r="O64" s="1026">
        <f t="shared" si="14"/>
        <v>431666.66666666669</v>
      </c>
      <c r="P64" s="1026">
        <f>(VLOOKUP(A64,'1920 Funding Detail'!$A$4:$AN$23,38,FALSE)*7/12)*K64</f>
        <v>368155.65187974524</v>
      </c>
      <c r="Q64" s="235"/>
      <c r="R64" s="235">
        <f t="shared" si="12"/>
        <v>135600.05687792457</v>
      </c>
      <c r="S64" s="269"/>
      <c r="T64" s="36"/>
    </row>
    <row r="65" spans="1:23" s="29" customFormat="1" x14ac:dyDescent="0.25">
      <c r="A65" s="244">
        <v>9257021</v>
      </c>
      <c r="B65" s="237" t="s">
        <v>216</v>
      </c>
      <c r="C65" s="238">
        <v>5</v>
      </c>
      <c r="D65" s="1024">
        <f>VLOOKUP(A65,'1920 Band Moderations'!$A$181:$R$198,6,(FALSE))</f>
        <v>0.27777777777777779</v>
      </c>
      <c r="E65" s="1024">
        <f>VLOOKUP(A65,'1920 Band Moderations'!$A$181:$R$198,8,(FALSE))</f>
        <v>0.35185185185185186</v>
      </c>
      <c r="F65" s="1024">
        <f>VLOOKUP(A65,'1920 Band Moderations'!$A$181:$R$198,10,(FALSE))</f>
        <v>9.8765432098765427E-2</v>
      </c>
      <c r="G65" s="1024">
        <f>VLOOKUP(A65,'1920 Band Moderations'!$A$181:$R$198,12,(FALSE))</f>
        <v>4.3209876543209874E-2</v>
      </c>
      <c r="H65" s="1024">
        <f>VLOOKUP(A65,'1920 Band Moderations'!$A$181:$R$198,14,(FALSE))</f>
        <v>7.407407407407407E-2</v>
      </c>
      <c r="I65" s="1024">
        <f>VLOOKUP(A65,'1920 Band Moderations'!$A$181:$R$198,16,(FALSE))</f>
        <v>0.14814814814814814</v>
      </c>
      <c r="J65" s="1024">
        <f>VLOOKUP(A65,'1920 Band Moderations'!$A$181:$R$198,18,(FALSE))</f>
        <v>6.1728395061728392E-3</v>
      </c>
      <c r="K65" s="233">
        <v>162</v>
      </c>
      <c r="L65" s="1025">
        <f t="shared" si="10"/>
        <v>859515.43795668555</v>
      </c>
      <c r="M65" s="1025">
        <f t="shared" si="13"/>
        <v>24593.333333333336</v>
      </c>
      <c r="N65" s="1025">
        <f t="shared" si="11"/>
        <v>884108.77129001892</v>
      </c>
      <c r="O65" s="1026">
        <f t="shared" si="14"/>
        <v>945000</v>
      </c>
      <c r="P65" s="1026">
        <f>(VLOOKUP(A65,'1920 Funding Detail'!$A$4:$AN$23,38,FALSE)*7/12)*K65</f>
        <v>287250.65035901236</v>
      </c>
      <c r="Q65" s="235"/>
      <c r="R65" s="235">
        <f t="shared" si="12"/>
        <v>13132.437940880081</v>
      </c>
      <c r="S65" s="269"/>
      <c r="T65" s="36"/>
      <c r="U65" s="36"/>
      <c r="V65" s="36"/>
      <c r="W65" s="36"/>
    </row>
    <row r="66" spans="1:23" s="29" customFormat="1" x14ac:dyDescent="0.25">
      <c r="A66" s="244">
        <v>9257015</v>
      </c>
      <c r="B66" s="237" t="s">
        <v>217</v>
      </c>
      <c r="C66" s="238">
        <v>6</v>
      </c>
      <c r="D66" s="1024">
        <f>VLOOKUP(A66,'1920 Band Moderations'!$A$181:$R$198,6,(FALSE))</f>
        <v>0.43037974683544306</v>
      </c>
      <c r="E66" s="1024">
        <f>VLOOKUP(A66,'1920 Band Moderations'!$A$181:$R$198,8,(FALSE))</f>
        <v>0.27004219409282698</v>
      </c>
      <c r="F66" s="1024">
        <f>VLOOKUP(A66,'1920 Band Moderations'!$A$181:$R$198,10,(FALSE))</f>
        <v>2.9535864978902954E-2</v>
      </c>
      <c r="G66" s="1024">
        <f>VLOOKUP(A66,'1920 Band Moderations'!$A$181:$R$198,12,(FALSE))</f>
        <v>6.3291139240506333E-2</v>
      </c>
      <c r="H66" s="1024">
        <f>VLOOKUP(A66,'1920 Band Moderations'!$A$181:$R$198,14,(FALSE))</f>
        <v>5.9071729957805907E-2</v>
      </c>
      <c r="I66" s="1024">
        <f>VLOOKUP(A66,'1920 Band Moderations'!$A$181:$R$198,16,(FALSE))</f>
        <v>0.13924050632911392</v>
      </c>
      <c r="J66" s="1024">
        <f>VLOOKUP(A66,'1920 Band Moderations'!$A$181:$R$198,18,(FALSE))</f>
        <v>8.4388185654008432E-3</v>
      </c>
      <c r="K66" s="233">
        <v>221</v>
      </c>
      <c r="L66" s="1025">
        <f t="shared" si="10"/>
        <v>1111603.5749542923</v>
      </c>
      <c r="M66" s="1025">
        <f t="shared" si="13"/>
        <v>10033.197960618849</v>
      </c>
      <c r="N66" s="1025">
        <f t="shared" si="11"/>
        <v>1121636.7729149112</v>
      </c>
      <c r="O66" s="1026">
        <f t="shared" si="14"/>
        <v>1289166.6666666667</v>
      </c>
      <c r="P66" s="1026">
        <f>(VLOOKUP(A66,'1920 Funding Detail'!$A$4:$AN$23,38,FALSE)*7/12)*K66</f>
        <v>165252.96249824436</v>
      </c>
      <c r="Q66" s="235"/>
      <c r="R66" s="235">
        <f t="shared" si="12"/>
        <v>24491.719704088591</v>
      </c>
      <c r="S66" s="269"/>
      <c r="T66" s="36"/>
      <c r="U66" s="36"/>
      <c r="V66" s="36"/>
      <c r="W66" s="36"/>
    </row>
    <row r="67" spans="1:23" s="29" customFormat="1" x14ac:dyDescent="0.25">
      <c r="A67" s="244">
        <v>9257016</v>
      </c>
      <c r="B67" s="237" t="s">
        <v>219</v>
      </c>
      <c r="C67" s="238">
        <v>6</v>
      </c>
      <c r="D67" s="1024">
        <f>VLOOKUP(A67,'1920 Band Moderations'!$A$181:$R$198,6,(FALSE))</f>
        <v>0.16911764705882354</v>
      </c>
      <c r="E67" s="1024">
        <f>VLOOKUP(A67,'1920 Band Moderations'!$A$181:$R$198,8,(FALSE))</f>
        <v>0.11764705882352941</v>
      </c>
      <c r="F67" s="1024">
        <f>VLOOKUP(A67,'1920 Band Moderations'!$A$181:$R$198,10,(FALSE))</f>
        <v>7.3529411764705881E-3</v>
      </c>
      <c r="G67" s="1024">
        <f>VLOOKUP(A67,'1920 Band Moderations'!$A$181:$R$198,12,(FALSE))</f>
        <v>0.20588235294117646</v>
      </c>
      <c r="H67" s="1024">
        <f>VLOOKUP(A67,'1920 Band Moderations'!$A$181:$R$198,14,(FALSE))</f>
        <v>0.23529411764705882</v>
      </c>
      <c r="I67" s="1024">
        <f>VLOOKUP(A67,'1920 Band Moderations'!$A$181:$R$198,16,(FALSE))</f>
        <v>7.3529411764705881E-3</v>
      </c>
      <c r="J67" s="1024">
        <f>VLOOKUP(A67,'1920 Band Moderations'!$A$181:$R$198,18,(FALSE))</f>
        <v>0.25735294117647056</v>
      </c>
      <c r="K67" s="233">
        <v>94</v>
      </c>
      <c r="L67" s="1025">
        <f t="shared" si="10"/>
        <v>764299.00098883687</v>
      </c>
      <c r="M67" s="1025">
        <f t="shared" si="13"/>
        <v>1062.3958333333335</v>
      </c>
      <c r="N67" s="1025">
        <f t="shared" si="11"/>
        <v>765361.39682217024</v>
      </c>
      <c r="O67" s="1026">
        <f t="shared" si="14"/>
        <v>548333.33333333337</v>
      </c>
      <c r="P67" s="1026">
        <f>(VLOOKUP(A67,'1920 Funding Detail'!$A$4:$AN$23,38,FALSE)*7/12)*K67</f>
        <v>445311.96348883689</v>
      </c>
      <c r="Q67" s="299" t="s">
        <v>207</v>
      </c>
      <c r="R67" s="235">
        <f t="shared" si="12"/>
        <v>317689.12371687841</v>
      </c>
      <c r="S67" s="269"/>
      <c r="T67" s="36"/>
      <c r="U67" s="36"/>
      <c r="V67" s="36"/>
      <c r="W67" s="36"/>
    </row>
    <row r="68" spans="1:23" s="29" customFormat="1" x14ac:dyDescent="0.25">
      <c r="A68" s="36"/>
      <c r="B68" s="36"/>
      <c r="C68" s="36"/>
      <c r="D68" s="36"/>
      <c r="E68" s="36"/>
      <c r="F68" s="299" t="s">
        <v>207</v>
      </c>
      <c r="G68" s="36"/>
      <c r="H68" s="36"/>
      <c r="I68" s="36"/>
      <c r="J68" s="299" t="s">
        <v>207</v>
      </c>
      <c r="K68" s="234"/>
      <c r="L68" s="36"/>
      <c r="M68" s="36"/>
      <c r="N68" s="299" t="s">
        <v>207</v>
      </c>
      <c r="O68" s="36"/>
      <c r="P68" s="36"/>
      <c r="Q68" s="36"/>
      <c r="R68" s="36"/>
      <c r="S68" s="288"/>
      <c r="T68" s="36"/>
      <c r="U68" s="36"/>
      <c r="V68" s="36"/>
      <c r="W68" s="36"/>
    </row>
    <row r="69" spans="1:23" s="29" customFormat="1" ht="13" x14ac:dyDescent="0.3">
      <c r="A69" s="93" t="s">
        <v>912</v>
      </c>
      <c r="B69" s="36"/>
      <c r="C69" s="36"/>
      <c r="D69" s="36"/>
      <c r="E69" s="36"/>
      <c r="F69" s="36"/>
      <c r="G69" s="36"/>
      <c r="H69" s="36"/>
      <c r="I69" s="36"/>
      <c r="J69" s="36"/>
      <c r="K69" s="234"/>
      <c r="L69" s="234"/>
      <c r="M69" s="36"/>
      <c r="N69" s="36"/>
      <c r="O69" s="36"/>
      <c r="P69" s="36"/>
      <c r="Q69" s="36"/>
      <c r="R69" s="36"/>
      <c r="S69" s="288"/>
      <c r="T69" s="36"/>
      <c r="U69" s="36"/>
      <c r="V69" s="36"/>
      <c r="W69" s="36"/>
    </row>
    <row r="70" spans="1:23" s="29" customFormat="1" x14ac:dyDescent="0.25">
      <c r="A70" s="36"/>
      <c r="B70" s="36"/>
      <c r="C70" s="36"/>
      <c r="D70" s="36"/>
      <c r="E70" s="36"/>
      <c r="F70" s="36"/>
      <c r="G70" s="36"/>
      <c r="H70" s="36"/>
      <c r="I70" s="36"/>
      <c r="J70" s="36"/>
      <c r="K70" s="234"/>
      <c r="L70" s="234"/>
      <c r="M70" s="36"/>
      <c r="N70" s="36"/>
      <c r="O70" s="1445" t="s">
        <v>238</v>
      </c>
      <c r="P70" s="1446"/>
      <c r="Q70" s="36"/>
      <c r="R70" s="36"/>
      <c r="S70" s="288"/>
      <c r="T70" s="36"/>
      <c r="U70" s="36"/>
      <c r="V70" s="36"/>
      <c r="W70" s="36"/>
    </row>
    <row r="71" spans="1:23" s="29" customFormat="1" ht="37.5" x14ac:dyDescent="0.25">
      <c r="A71" s="265" t="s">
        <v>182</v>
      </c>
      <c r="B71" s="237" t="s">
        <v>183</v>
      </c>
      <c r="C71" s="238" t="s">
        <v>184</v>
      </c>
      <c r="D71" s="234" t="s">
        <v>901</v>
      </c>
      <c r="E71" s="234" t="s">
        <v>902</v>
      </c>
      <c r="F71" s="234" t="s">
        <v>903</v>
      </c>
      <c r="G71" s="234" t="s">
        <v>904</v>
      </c>
      <c r="H71" s="234" t="s">
        <v>905</v>
      </c>
      <c r="I71" s="234" t="s">
        <v>906</v>
      </c>
      <c r="J71" s="234" t="s">
        <v>907</v>
      </c>
      <c r="K71" s="243" t="s">
        <v>264</v>
      </c>
      <c r="L71" s="243" t="s">
        <v>279</v>
      </c>
      <c r="M71" s="243" t="s">
        <v>280</v>
      </c>
      <c r="N71" s="243" t="s">
        <v>279</v>
      </c>
      <c r="O71" s="243" t="s">
        <v>267</v>
      </c>
      <c r="P71" s="320" t="s">
        <v>281</v>
      </c>
      <c r="Q71" s="243"/>
      <c r="R71" s="243"/>
      <c r="S71" s="276"/>
      <c r="T71" s="36"/>
      <c r="U71" s="36"/>
      <c r="V71" s="36"/>
      <c r="W71" s="36"/>
    </row>
    <row r="72" spans="1:23" s="29" customFormat="1" x14ac:dyDescent="0.25">
      <c r="A72" s="244">
        <v>9257010</v>
      </c>
      <c r="B72" s="237" t="s">
        <v>205</v>
      </c>
      <c r="C72" s="238">
        <v>4</v>
      </c>
      <c r="D72" s="1024">
        <f>VLOOKUP(A72,'1920 Band Moderations'!$A$181:$R$198,6,(FALSE))</f>
        <v>0.05</v>
      </c>
      <c r="E72" s="1024">
        <f>VLOOKUP(A72,'1920 Band Moderations'!$A$181:$R$198,8,(FALSE))</f>
        <v>0.35</v>
      </c>
      <c r="F72" s="1024">
        <f>VLOOKUP(A72,'1920 Band Moderations'!$A$181:$R$198,10,(FALSE))</f>
        <v>6.6666666666666666E-2</v>
      </c>
      <c r="G72" s="1024">
        <f>VLOOKUP(A72,'1920 Band Moderations'!$A$181:$R$198,12,(FALSE))</f>
        <v>0.15</v>
      </c>
      <c r="H72" s="1024">
        <f>VLOOKUP(A72,'1920 Band Moderations'!$A$181:$R$198,14,(FALSE))</f>
        <v>0.05</v>
      </c>
      <c r="I72" s="1024">
        <f>VLOOKUP(A72,'1920 Band Moderations'!$A$181:$R$198,16,(FALSE))</f>
        <v>0.21666666666666667</v>
      </c>
      <c r="J72" s="1024">
        <f>VLOOKUP(A72,'1920 Band Moderations'!$A$181:$R$198,18,(FALSE))</f>
        <v>0.11666666666666667</v>
      </c>
      <c r="K72" s="233">
        <v>8</v>
      </c>
      <c r="L72" s="1025">
        <f>((((K72*D72)*$G$92)+((K72*E72)*$G$94)+((K72*F72)*$G$96)+((K72*G72)*$G$98)+((K72*H72)*$G$100)+((K72*I72)*$G$102)+((K72*J72)*$G$104)))*(8/12)</f>
        <v>64420.288383065963</v>
      </c>
      <c r="M72" s="1025">
        <f t="shared" ref="M72:M89" si="15">((F72*K72)*$G$106)*(8/12)</f>
        <v>936.8888888888888</v>
      </c>
      <c r="N72" s="1025">
        <f>SUM(L72:M72)</f>
        <v>65357.177271954853</v>
      </c>
      <c r="O72" s="1026">
        <f>(K72*(8/12))*10000</f>
        <v>53333.333333333328</v>
      </c>
      <c r="P72" s="1026">
        <f>(VLOOKUP(A72,'1920 Funding Detail'!$A$4:$AN$23,38,FALSE)*8/12)*K72</f>
        <v>54582.543390450643</v>
      </c>
      <c r="Q72" s="235"/>
      <c r="R72" s="235">
        <f t="shared" ref="R72:R89" si="16">(J72*K72*$G$104)*8/12</f>
        <v>14007.93380360542</v>
      </c>
      <c r="S72" s="269"/>
      <c r="T72" s="280"/>
      <c r="U72" s="36"/>
      <c r="V72" s="297" t="s">
        <v>207</v>
      </c>
      <c r="W72" s="296" t="s">
        <v>282</v>
      </c>
    </row>
    <row r="73" spans="1:23" s="29" customFormat="1" x14ac:dyDescent="0.25">
      <c r="A73" s="244">
        <v>9257005</v>
      </c>
      <c r="B73" s="237" t="s">
        <v>208</v>
      </c>
      <c r="C73" s="238">
        <v>4</v>
      </c>
      <c r="D73" s="1024">
        <f>VLOOKUP(A73,'1920 Band Moderations'!$A$181:$R$198,6,(FALSE))</f>
        <v>0.10810810810810811</v>
      </c>
      <c r="E73" s="1024">
        <f>VLOOKUP(A73,'1920 Band Moderations'!$A$181:$R$198,8,(FALSE))</f>
        <v>0.22972972972972974</v>
      </c>
      <c r="F73" s="1024">
        <f>VLOOKUP(A73,'1920 Band Moderations'!$A$181:$R$198,10,(FALSE))</f>
        <v>0.12162162162162163</v>
      </c>
      <c r="G73" s="1024">
        <f>VLOOKUP(A73,'1920 Band Moderations'!$A$181:$R$198,12,(FALSE))</f>
        <v>0.14864864864864866</v>
      </c>
      <c r="H73" s="1024">
        <f>VLOOKUP(A73,'1920 Band Moderations'!$A$181:$R$198,14,(FALSE))</f>
        <v>0.13513513513513514</v>
      </c>
      <c r="I73" s="1024">
        <f>VLOOKUP(A73,'1920 Band Moderations'!$A$181:$R$198,16,(FALSE))</f>
        <v>0.17567567567567569</v>
      </c>
      <c r="J73" s="1024">
        <f>VLOOKUP(A73,'1920 Band Moderations'!$A$181:$R$198,18,(FALSE))</f>
        <v>8.1081081081081086E-2</v>
      </c>
      <c r="K73" s="233">
        <v>23</v>
      </c>
      <c r="L73" s="1025">
        <f t="shared" ref="L73:L89" si="17">((((K73*D73)*$G$92)+((K73*E73)*$G$94)+((K73*F73)*$G$96)+((K73*G73)*$G$98)+((K73*H73)*$G$100)+((K73*I73)*$G$102)+((K73*J73)*$G$104)))*(8/12)</f>
        <v>183577.08124155115</v>
      </c>
      <c r="M73" s="1025">
        <f t="shared" si="15"/>
        <v>4913.9189189189183</v>
      </c>
      <c r="N73" s="1025">
        <f>SUM(L73:M73)</f>
        <v>188491.00016047005</v>
      </c>
      <c r="O73" s="1026">
        <f t="shared" ref="O73:O89" si="18">(K73*(8/12))*10000</f>
        <v>153333.33333333331</v>
      </c>
      <c r="P73" s="1026">
        <f>(VLOOKUP(A73,'1920 Funding Detail'!$A$4:$AN$23,38,FALSE)*8/12)*K73</f>
        <v>131651.79262037648</v>
      </c>
      <c r="Q73" s="235"/>
      <c r="R73" s="235">
        <f t="shared" si="16"/>
        <v>27988.82526396064</v>
      </c>
      <c r="S73" s="269"/>
      <c r="T73" s="280"/>
      <c r="U73" s="36"/>
      <c r="V73" s="36"/>
      <c r="W73" s="36"/>
    </row>
    <row r="74" spans="1:23" s="29" customFormat="1" x14ac:dyDescent="0.25">
      <c r="A74" s="244">
        <v>9257025</v>
      </c>
      <c r="B74" s="237" t="s">
        <v>209</v>
      </c>
      <c r="C74" s="238">
        <v>4</v>
      </c>
      <c r="D74" s="1024">
        <f>VLOOKUP(A74,'1920 Band Moderations'!$A$181:$R$198,6,(FALSE))</f>
        <v>0.22972972972972974</v>
      </c>
      <c r="E74" s="1024">
        <f>VLOOKUP(A74,'1920 Band Moderations'!$A$181:$R$198,8,(FALSE))</f>
        <v>0.29729729729729731</v>
      </c>
      <c r="F74" s="1024">
        <f>VLOOKUP(A74,'1920 Band Moderations'!$A$181:$R$198,10,(FALSE))</f>
        <v>0.12162162162162163</v>
      </c>
      <c r="G74" s="1024">
        <f>VLOOKUP(A74,'1920 Band Moderations'!$A$181:$R$198,12,(FALSE))</f>
        <v>0.12162162162162163</v>
      </c>
      <c r="H74" s="1024">
        <f>VLOOKUP(A74,'1920 Band Moderations'!$A$181:$R$198,14,(FALSE))</f>
        <v>8.1081081081081086E-2</v>
      </c>
      <c r="I74" s="1024">
        <f>VLOOKUP(A74,'1920 Band Moderations'!$A$181:$R$198,16,(FALSE))</f>
        <v>0.10810810810810811</v>
      </c>
      <c r="J74" s="1024">
        <f>VLOOKUP(A74,'1920 Band Moderations'!$A$181:$R$198,18,(FALSE))</f>
        <v>4.0540540540540543E-2</v>
      </c>
      <c r="K74" s="233">
        <v>18</v>
      </c>
      <c r="L74" s="1025">
        <f t="shared" si="17"/>
        <v>120944.43174566313</v>
      </c>
      <c r="M74" s="1025">
        <f t="shared" si="15"/>
        <v>3845.6756756756758</v>
      </c>
      <c r="N74" s="1025">
        <f t="shared" ref="N74:N89" si="19">SUM(L74:M74)</f>
        <v>124790.10742133881</v>
      </c>
      <c r="O74" s="1026">
        <f t="shared" si="18"/>
        <v>120000</v>
      </c>
      <c r="P74" s="1026">
        <f>(VLOOKUP(A74,'1920 Funding Detail'!$A$4:$AN$23,38,FALSE)*8/12)*K74</f>
        <v>86703.289358004229</v>
      </c>
      <c r="Q74" s="235"/>
      <c r="R74" s="235">
        <f t="shared" si="16"/>
        <v>10952.149016332425</v>
      </c>
      <c r="S74" s="269"/>
      <c r="T74" s="280"/>
      <c r="U74" s="36"/>
      <c r="V74" s="36"/>
      <c r="W74" s="36"/>
    </row>
    <row r="75" spans="1:23" s="29" customFormat="1" x14ac:dyDescent="0.25">
      <c r="A75" s="244">
        <v>9257011</v>
      </c>
      <c r="B75" s="237" t="s">
        <v>210</v>
      </c>
      <c r="C75" s="238">
        <v>4</v>
      </c>
      <c r="D75" s="1024">
        <f>VLOOKUP(A75,'1920 Band Moderations'!$A$181:$R$198,6,(FALSE))</f>
        <v>7.2727272727272724E-2</v>
      </c>
      <c r="E75" s="1024">
        <f>VLOOKUP(A75,'1920 Band Moderations'!$A$181:$R$198,8,(FALSE))</f>
        <v>0.27272727272727271</v>
      </c>
      <c r="F75" s="1024">
        <f>VLOOKUP(A75,'1920 Band Moderations'!$A$181:$R$198,10,(FALSE))</f>
        <v>3.6363636363636362E-2</v>
      </c>
      <c r="G75" s="1024">
        <f>VLOOKUP(A75,'1920 Band Moderations'!$A$181:$R$198,12,(FALSE))</f>
        <v>0.23636363636363636</v>
      </c>
      <c r="H75" s="1024">
        <f>VLOOKUP(A75,'1920 Band Moderations'!$A$181:$R$198,14,(FALSE))</f>
        <v>0.14545454545454545</v>
      </c>
      <c r="I75" s="1024">
        <f>VLOOKUP(A75,'1920 Band Moderations'!$A$181:$R$198,16,(FALSE))</f>
        <v>0.14545454545454545</v>
      </c>
      <c r="J75" s="1024">
        <f>VLOOKUP(A75,'1920 Band Moderations'!$A$181:$R$198,18,(FALSE))</f>
        <v>9.0909090909090912E-2</v>
      </c>
      <c r="K75" s="233">
        <v>15</v>
      </c>
      <c r="L75" s="1025">
        <f t="shared" si="17"/>
        <v>122471.90269391087</v>
      </c>
      <c r="M75" s="1025">
        <f t="shared" si="15"/>
        <v>958.18181818181813</v>
      </c>
      <c r="N75" s="1025">
        <f t="shared" si="19"/>
        <v>123430.0845120927</v>
      </c>
      <c r="O75" s="1026">
        <f t="shared" si="18"/>
        <v>100000</v>
      </c>
      <c r="P75" s="1026">
        <f>(VLOOKUP(A75,'1920 Funding Detail'!$A$4:$AN$23,38,FALSE)*8/12)*K75</f>
        <v>100147.1099358215</v>
      </c>
      <c r="Q75" s="235"/>
      <c r="R75" s="235">
        <f t="shared" si="16"/>
        <v>20466.137050722205</v>
      </c>
      <c r="S75" s="269"/>
      <c r="T75" s="280"/>
      <c r="U75" s="36"/>
      <c r="V75" s="36"/>
      <c r="W75" s="36"/>
    </row>
    <row r="76" spans="1:23" s="29" customFormat="1" x14ac:dyDescent="0.25">
      <c r="A76" s="244">
        <v>9257024</v>
      </c>
      <c r="B76" s="237" t="s">
        <v>211</v>
      </c>
      <c r="C76" s="238">
        <v>3</v>
      </c>
      <c r="D76" s="1024">
        <f>VLOOKUP(A76,'1920 Band Moderations'!$A$181:$R$198,6,(FALSE))</f>
        <v>0.10975609756097561</v>
      </c>
      <c r="E76" s="1024">
        <f>VLOOKUP(A76,'1920 Band Moderations'!$A$181:$R$198,8,(FALSE))</f>
        <v>0.41463414634146339</v>
      </c>
      <c r="F76" s="1024">
        <f>VLOOKUP(A76,'1920 Band Moderations'!$A$181:$R$198,10,(FALSE))</f>
        <v>2.4390243902439025E-2</v>
      </c>
      <c r="G76" s="1024">
        <f>VLOOKUP(A76,'1920 Band Moderations'!$A$181:$R$198,12,(FALSE))</f>
        <v>0.13414634146341464</v>
      </c>
      <c r="H76" s="1024">
        <f>VLOOKUP(A76,'1920 Band Moderations'!$A$181:$R$198,14,(FALSE))</f>
        <v>0.12195121951219512</v>
      </c>
      <c r="I76" s="1024">
        <f>VLOOKUP(A76,'1920 Band Moderations'!$A$181:$R$198,16,(FALSE))</f>
        <v>7.3170731707317069E-2</v>
      </c>
      <c r="J76" s="1024">
        <f>VLOOKUP(A76,'1920 Band Moderations'!$A$181:$R$198,18,(FALSE))</f>
        <v>0.12195121951219512</v>
      </c>
      <c r="K76" s="233">
        <v>15</v>
      </c>
      <c r="L76" s="1025">
        <f t="shared" si="17"/>
        <v>111568.58491533052</v>
      </c>
      <c r="M76" s="1025">
        <f t="shared" si="15"/>
        <v>642.68292682926824</v>
      </c>
      <c r="N76" s="1025">
        <f t="shared" si="19"/>
        <v>112211.26784215978</v>
      </c>
      <c r="O76" s="1026">
        <f t="shared" si="18"/>
        <v>100000</v>
      </c>
      <c r="P76" s="1026">
        <f>(VLOOKUP(A76,'1920 Funding Detail'!$A$4:$AN$23,38,FALSE)*8/12)*K76</f>
        <v>73014.238230791991</v>
      </c>
      <c r="Q76" s="235"/>
      <c r="R76" s="235">
        <f t="shared" si="16"/>
        <v>27454.574092432227</v>
      </c>
      <c r="S76" s="269"/>
      <c r="T76" s="280"/>
      <c r="U76" s="36"/>
      <c r="V76" s="36"/>
      <c r="W76" s="36"/>
    </row>
    <row r="77" spans="1:23" s="29" customFormat="1" x14ac:dyDescent="0.25">
      <c r="A77" s="244">
        <v>9257031</v>
      </c>
      <c r="B77" s="237" t="s">
        <v>257</v>
      </c>
      <c r="C77" s="238">
        <v>4</v>
      </c>
      <c r="D77" s="1024">
        <f>VLOOKUP(A77,'1920 Band Moderations'!$A$181:$R$198,6,(FALSE))</f>
        <v>0</v>
      </c>
      <c r="E77" s="1024">
        <f>VLOOKUP(A77,'1920 Band Moderations'!$A$181:$R$198,8,(FALSE))</f>
        <v>0</v>
      </c>
      <c r="F77" s="1024">
        <f>VLOOKUP(A77,'1920 Band Moderations'!$A$181:$R$198,10,(FALSE))</f>
        <v>1</v>
      </c>
      <c r="G77" s="1024">
        <f>VLOOKUP(A77,'1920 Band Moderations'!$A$181:$R$198,12,(FALSE))</f>
        <v>0</v>
      </c>
      <c r="H77" s="1024">
        <f>VLOOKUP(A77,'1920 Band Moderations'!$A$181:$R$198,14,(FALSE))</f>
        <v>0</v>
      </c>
      <c r="I77" s="1024">
        <f>VLOOKUP(A77,'1920 Band Moderations'!$A$181:$R$198,16,(FALSE))</f>
        <v>0</v>
      </c>
      <c r="J77" s="1024">
        <f>VLOOKUP(A77,'1920 Band Moderations'!$A$181:$R$198,18,(FALSE))</f>
        <v>0</v>
      </c>
      <c r="K77" s="233">
        <v>0</v>
      </c>
      <c r="L77" s="1025">
        <f t="shared" si="17"/>
        <v>0</v>
      </c>
      <c r="M77" s="1025">
        <f t="shared" si="15"/>
        <v>0</v>
      </c>
      <c r="N77" s="1025">
        <f t="shared" si="19"/>
        <v>0</v>
      </c>
      <c r="O77" s="1026">
        <f t="shared" si="18"/>
        <v>0</v>
      </c>
      <c r="P77" s="1026">
        <f>(VLOOKUP(A77,'1920 Funding Detail'!$A$4:$AN$23,38,FALSE)*8/12)*K77</f>
        <v>0</v>
      </c>
      <c r="Q77" s="235"/>
      <c r="R77" s="235">
        <f t="shared" si="16"/>
        <v>0</v>
      </c>
      <c r="S77" s="269"/>
      <c r="T77" s="280"/>
      <c r="U77" s="36"/>
      <c r="V77" s="36"/>
      <c r="W77" s="36"/>
    </row>
    <row r="78" spans="1:23" s="29" customFormat="1" x14ac:dyDescent="0.25">
      <c r="A78" s="244">
        <v>9257033</v>
      </c>
      <c r="B78" s="237" t="s">
        <v>220</v>
      </c>
      <c r="C78" s="238">
        <v>3</v>
      </c>
      <c r="D78" s="1024">
        <f>VLOOKUP(A78,'1920 Band Moderations'!$A$181:$R$198,6,(FALSE))</f>
        <v>0.20454545454545456</v>
      </c>
      <c r="E78" s="1024">
        <f>VLOOKUP(A78,'1920 Band Moderations'!$A$181:$R$198,8,(FALSE))</f>
        <v>0.28409090909090912</v>
      </c>
      <c r="F78" s="1024">
        <f>VLOOKUP(A78,'1920 Band Moderations'!$A$181:$R$198,10,(FALSE))</f>
        <v>0.19318181818181818</v>
      </c>
      <c r="G78" s="1024">
        <f>VLOOKUP(A78,'1920 Band Moderations'!$A$181:$R$198,12,(FALSE))</f>
        <v>0.17045454545454544</v>
      </c>
      <c r="H78" s="1024">
        <f>VLOOKUP(A78,'1920 Band Moderations'!$A$181:$R$198,14,(FALSE))</f>
        <v>7.9545454545454544E-2</v>
      </c>
      <c r="I78" s="1024">
        <f>VLOOKUP(A78,'1920 Band Moderations'!$A$181:$R$198,16,(FALSE))</f>
        <v>6.8181818181818177E-2</v>
      </c>
      <c r="J78" s="1024">
        <f>VLOOKUP(A78,'1920 Band Moderations'!$A$181:$R$198,18,(FALSE))</f>
        <v>0</v>
      </c>
      <c r="K78" s="233">
        <v>0</v>
      </c>
      <c r="L78" s="1025">
        <f t="shared" si="17"/>
        <v>0</v>
      </c>
      <c r="M78" s="1025">
        <f t="shared" si="15"/>
        <v>0</v>
      </c>
      <c r="N78" s="1025">
        <f t="shared" si="19"/>
        <v>0</v>
      </c>
      <c r="O78" s="1026">
        <f t="shared" si="18"/>
        <v>0</v>
      </c>
      <c r="P78" s="1026">
        <f>(VLOOKUP(A78,'1920 Funding Detail'!$A$4:$AN$23,38,FALSE)*8/12)*K78</f>
        <v>0</v>
      </c>
      <c r="Q78" s="235"/>
      <c r="R78" s="235">
        <f t="shared" si="16"/>
        <v>0</v>
      </c>
      <c r="S78" s="269"/>
      <c r="T78" s="280"/>
      <c r="U78" s="36"/>
      <c r="V78" s="36"/>
      <c r="W78" s="36"/>
    </row>
    <row r="79" spans="1:23" s="29" customFormat="1" x14ac:dyDescent="0.25">
      <c r="A79" s="244">
        <v>9257008</v>
      </c>
      <c r="B79" s="237" t="s">
        <v>212</v>
      </c>
      <c r="C79" s="238">
        <v>4</v>
      </c>
      <c r="D79" s="1024">
        <f>VLOOKUP(A79,'1920 Band Moderations'!$A$181:$R$198,6,(FALSE))</f>
        <v>6.3157894736842107E-2</v>
      </c>
      <c r="E79" s="1024">
        <f>VLOOKUP(A79,'1920 Band Moderations'!$A$181:$R$198,8,(FALSE))</f>
        <v>0.57894736842105265</v>
      </c>
      <c r="F79" s="1024">
        <f>VLOOKUP(A79,'1920 Band Moderations'!$A$181:$R$198,10,(FALSE))</f>
        <v>0.10526315789473684</v>
      </c>
      <c r="G79" s="1024">
        <f>VLOOKUP(A79,'1920 Band Moderations'!$A$181:$R$198,12,(FALSE))</f>
        <v>5.2631578947368418E-2</v>
      </c>
      <c r="H79" s="1024">
        <f>VLOOKUP(A79,'1920 Band Moderations'!$A$181:$R$198,14,(FALSE))</f>
        <v>1.0526315789473684E-2</v>
      </c>
      <c r="I79" s="1024">
        <f>VLOOKUP(A79,'1920 Band Moderations'!$A$181:$R$198,16,(FALSE))</f>
        <v>0.18947368421052632</v>
      </c>
      <c r="J79" s="1024">
        <f>VLOOKUP(A79,'1920 Band Moderations'!$A$181:$R$198,18,(FALSE))</f>
        <v>0</v>
      </c>
      <c r="K79" s="233">
        <v>0</v>
      </c>
      <c r="L79" s="1025">
        <f t="shared" si="17"/>
        <v>0</v>
      </c>
      <c r="M79" s="1025">
        <f t="shared" si="15"/>
        <v>0</v>
      </c>
      <c r="N79" s="1025">
        <f t="shared" si="19"/>
        <v>0</v>
      </c>
      <c r="O79" s="1026">
        <f t="shared" si="18"/>
        <v>0</v>
      </c>
      <c r="P79" s="1026">
        <f>(VLOOKUP(A79,'1920 Funding Detail'!$A$4:$AN$23,38,FALSE)*8/12)*K79</f>
        <v>0</v>
      </c>
      <c r="Q79" s="235"/>
      <c r="R79" s="235">
        <f t="shared" si="16"/>
        <v>0</v>
      </c>
      <c r="S79" s="269"/>
      <c r="T79" s="280"/>
      <c r="U79" s="36"/>
      <c r="V79" s="36"/>
      <c r="W79" s="36"/>
    </row>
    <row r="80" spans="1:23" s="29" customFormat="1" x14ac:dyDescent="0.25">
      <c r="A80" s="244">
        <v>9257034</v>
      </c>
      <c r="B80" s="237" t="s">
        <v>221</v>
      </c>
      <c r="C80" s="238">
        <v>5</v>
      </c>
      <c r="D80" s="1024">
        <f>VLOOKUP(A80,'1920 Band Moderations'!$A$181:$R$198,6,(FALSE))</f>
        <v>0.41964285714285715</v>
      </c>
      <c r="E80" s="1024">
        <f>VLOOKUP(A80,'1920 Band Moderations'!$A$181:$R$198,8,(FALSE))</f>
        <v>0.26785714285714285</v>
      </c>
      <c r="F80" s="1024">
        <f>VLOOKUP(A80,'1920 Band Moderations'!$A$181:$R$198,10,(FALSE))</f>
        <v>0.17857142857142858</v>
      </c>
      <c r="G80" s="1024">
        <f>VLOOKUP(A80,'1920 Band Moderations'!$A$181:$R$198,12,(FALSE))</f>
        <v>4.4642857142857144E-2</v>
      </c>
      <c r="H80" s="1024">
        <f>VLOOKUP(A80,'1920 Band Moderations'!$A$181:$R$198,14,(FALSE))</f>
        <v>3.5714285714285712E-2</v>
      </c>
      <c r="I80" s="1024">
        <f>VLOOKUP(A80,'1920 Band Moderations'!$A$181:$R$198,16,(FALSE))</f>
        <v>4.4642857142857144E-2</v>
      </c>
      <c r="J80" s="1024">
        <f>VLOOKUP(A80,'1920 Band Moderations'!$A$181:$R$198,18,(FALSE))</f>
        <v>8.9285714285714281E-3</v>
      </c>
      <c r="K80" s="233">
        <v>37</v>
      </c>
      <c r="L80" s="1025">
        <f t="shared" si="17"/>
        <v>203257.72216348711</v>
      </c>
      <c r="M80" s="1025">
        <f t="shared" si="15"/>
        <v>11606.54761904762</v>
      </c>
      <c r="N80" s="1025">
        <f t="shared" si="19"/>
        <v>214864.26978253474</v>
      </c>
      <c r="O80" s="1026">
        <f t="shared" si="18"/>
        <v>246666.66666666666</v>
      </c>
      <c r="P80" s="1026">
        <f>(VLOOKUP(A80,'1920 Funding Detail'!$A$4:$AN$23,38,FALSE)*8/12)*K80</f>
        <v>87973.305173561181</v>
      </c>
      <c r="Q80" s="235"/>
      <c r="R80" s="235">
        <f t="shared" si="16"/>
        <v>4958.1653450261538</v>
      </c>
      <c r="S80" s="269"/>
      <c r="T80" s="280"/>
      <c r="U80" s="36"/>
      <c r="V80" s="36"/>
      <c r="W80" s="36"/>
    </row>
    <row r="81" spans="1:20" s="29" customFormat="1" x14ac:dyDescent="0.25">
      <c r="A81" s="244">
        <v>9257002</v>
      </c>
      <c r="B81" s="237" t="s">
        <v>213</v>
      </c>
      <c r="C81" s="238">
        <v>5</v>
      </c>
      <c r="D81" s="1024">
        <f>VLOOKUP(A81,'1920 Band Moderations'!$A$181:$R$198,6,(FALSE))</f>
        <v>0.46527777777777779</v>
      </c>
      <c r="E81" s="1024">
        <f>VLOOKUP(A81,'1920 Band Moderations'!$A$181:$R$198,8,(FALSE))</f>
        <v>0.16666666666666666</v>
      </c>
      <c r="F81" s="1024">
        <f>VLOOKUP(A81,'1920 Band Moderations'!$A$181:$R$198,10,(FALSE))</f>
        <v>0.1875</v>
      </c>
      <c r="G81" s="1024">
        <f>VLOOKUP(A81,'1920 Band Moderations'!$A$181:$R$198,12,(FALSE))</f>
        <v>1.3888888888888888E-2</v>
      </c>
      <c r="H81" s="1024">
        <f>VLOOKUP(A81,'1920 Band Moderations'!$A$181:$R$198,14,(FALSE))</f>
        <v>4.8611111111111112E-2</v>
      </c>
      <c r="I81" s="1024">
        <f>VLOOKUP(A81,'1920 Band Moderations'!$A$181:$R$198,16,(FALSE))</f>
        <v>0.1111111111111111</v>
      </c>
      <c r="J81" s="1024">
        <f>VLOOKUP(A81,'1920 Band Moderations'!$A$181:$R$198,18,(FALSE))</f>
        <v>6.9444444444444441E-3</v>
      </c>
      <c r="K81" s="233">
        <v>0</v>
      </c>
      <c r="L81" s="1025">
        <f t="shared" si="17"/>
        <v>0</v>
      </c>
      <c r="M81" s="1025">
        <f t="shared" si="15"/>
        <v>0</v>
      </c>
      <c r="N81" s="1025">
        <f t="shared" si="19"/>
        <v>0</v>
      </c>
      <c r="O81" s="1026">
        <f t="shared" si="18"/>
        <v>0</v>
      </c>
      <c r="P81" s="1026">
        <f>(VLOOKUP(A81,'1920 Funding Detail'!$A$4:$AN$23,38,FALSE)*8/12)*K81</f>
        <v>0</v>
      </c>
      <c r="Q81" s="235"/>
      <c r="R81" s="235">
        <f t="shared" si="16"/>
        <v>0</v>
      </c>
      <c r="S81" s="269"/>
      <c r="T81" s="280"/>
    </row>
    <row r="82" spans="1:20" s="29" customFormat="1" x14ac:dyDescent="0.25">
      <c r="A82" s="244">
        <v>9257009</v>
      </c>
      <c r="B82" s="237" t="s">
        <v>214</v>
      </c>
      <c r="C82" s="238">
        <v>4</v>
      </c>
      <c r="D82" s="1024">
        <f>VLOOKUP(A82,'1920 Band Moderations'!$A$181:$R$198,6,(FALSE))</f>
        <v>0.17910447761194029</v>
      </c>
      <c r="E82" s="1024">
        <f>VLOOKUP(A82,'1920 Band Moderations'!$A$181:$R$198,8,(FALSE))</f>
        <v>0.5074626865671642</v>
      </c>
      <c r="F82" s="1024">
        <f>VLOOKUP(A82,'1920 Band Moderations'!$A$181:$R$198,10,(FALSE))</f>
        <v>0.11940298507462686</v>
      </c>
      <c r="G82" s="1024">
        <f>VLOOKUP(A82,'1920 Band Moderations'!$A$181:$R$198,12,(FALSE))</f>
        <v>1.4925373134328358E-2</v>
      </c>
      <c r="H82" s="1024">
        <f>VLOOKUP(A82,'1920 Band Moderations'!$A$181:$R$198,14,(FALSE))</f>
        <v>3.7313432835820892E-2</v>
      </c>
      <c r="I82" s="1024">
        <f>VLOOKUP(A82,'1920 Band Moderations'!$A$181:$R$198,16,(FALSE))</f>
        <v>0.1417910447761194</v>
      </c>
      <c r="J82" s="1024">
        <f>VLOOKUP(A82,'1920 Band Moderations'!$A$181:$R$198,18,(FALSE))</f>
        <v>0</v>
      </c>
      <c r="K82" s="233">
        <v>0</v>
      </c>
      <c r="L82" s="1025">
        <f t="shared" si="17"/>
        <v>0</v>
      </c>
      <c r="M82" s="1025">
        <f t="shared" si="15"/>
        <v>0</v>
      </c>
      <c r="N82" s="1025">
        <f t="shared" si="19"/>
        <v>0</v>
      </c>
      <c r="O82" s="1026">
        <f t="shared" si="18"/>
        <v>0</v>
      </c>
      <c r="P82" s="1026">
        <f>(VLOOKUP(A82,'1920 Funding Detail'!$A$4:$AN$23,38,FALSE)*8/12)*K82</f>
        <v>0</v>
      </c>
      <c r="Q82" s="235"/>
      <c r="R82" s="235">
        <f t="shared" si="16"/>
        <v>0</v>
      </c>
      <c r="S82" s="269"/>
      <c r="T82" s="280"/>
    </row>
    <row r="83" spans="1:20" s="29" customFormat="1" x14ac:dyDescent="0.25">
      <c r="A83" s="244">
        <v>9257029</v>
      </c>
      <c r="B83" s="237" t="s">
        <v>890</v>
      </c>
      <c r="C83" s="238">
        <v>3</v>
      </c>
      <c r="D83" s="1024">
        <f>VLOOKUP(A83,'1920 Band Moderations'!$A$181:$R$198,6,(FALSE))</f>
        <v>0</v>
      </c>
      <c r="E83" s="1024">
        <f>VLOOKUP(A83,'1920 Band Moderations'!$A$181:$R$198,8,(FALSE))</f>
        <v>0</v>
      </c>
      <c r="F83" s="1024">
        <f>VLOOKUP(A83,'1920 Band Moderations'!$A$181:$R$198,10,(FALSE))</f>
        <v>1</v>
      </c>
      <c r="G83" s="1024">
        <f>VLOOKUP(A83,'1920 Band Moderations'!$A$181:$R$198,12,(FALSE))</f>
        <v>0</v>
      </c>
      <c r="H83" s="1024">
        <f>VLOOKUP(A83,'1920 Band Moderations'!$A$181:$R$198,14,(FALSE))</f>
        <v>0</v>
      </c>
      <c r="I83" s="1024">
        <f>VLOOKUP(A83,'1920 Band Moderations'!$A$181:$R$198,16,(FALSE))</f>
        <v>0</v>
      </c>
      <c r="J83" s="1024">
        <f>VLOOKUP(A83,'1920 Band Moderations'!$A$181:$R$198,18,(FALSE))</f>
        <v>0</v>
      </c>
      <c r="K83" s="233">
        <v>0</v>
      </c>
      <c r="L83" s="1025">
        <f t="shared" si="17"/>
        <v>0</v>
      </c>
      <c r="M83" s="1025">
        <f t="shared" si="15"/>
        <v>0</v>
      </c>
      <c r="N83" s="1025">
        <f t="shared" si="19"/>
        <v>0</v>
      </c>
      <c r="O83" s="1026">
        <f t="shared" si="18"/>
        <v>0</v>
      </c>
      <c r="P83" s="1026">
        <f>(VLOOKUP(A83,'1920 Funding Detail'!$A$4:$AN$23,38,FALSE)*8/12)*K83</f>
        <v>0</v>
      </c>
      <c r="Q83" s="235"/>
      <c r="R83" s="235">
        <f t="shared" si="16"/>
        <v>0</v>
      </c>
      <c r="S83" s="269"/>
      <c r="T83" s="280"/>
    </row>
    <row r="84" spans="1:20" s="29" customFormat="1" x14ac:dyDescent="0.25">
      <c r="A84" s="244">
        <v>9257032</v>
      </c>
      <c r="B84" s="237" t="s">
        <v>261</v>
      </c>
      <c r="C84" s="238">
        <v>4</v>
      </c>
      <c r="D84" s="1024">
        <f>VLOOKUP(A84,'1920 Band Moderations'!$A$181:$R$198,6,(FALSE))</f>
        <v>0</v>
      </c>
      <c r="E84" s="1024">
        <f>VLOOKUP(A84,'1920 Band Moderations'!$A$181:$R$198,8,(FALSE))</f>
        <v>0</v>
      </c>
      <c r="F84" s="1024">
        <f>VLOOKUP(A84,'1920 Band Moderations'!$A$181:$R$198,10,(FALSE))</f>
        <v>1</v>
      </c>
      <c r="G84" s="1024">
        <f>VLOOKUP(A84,'1920 Band Moderations'!$A$181:$R$198,12,(FALSE))</f>
        <v>0</v>
      </c>
      <c r="H84" s="1024">
        <f>VLOOKUP(A84,'1920 Band Moderations'!$A$181:$R$198,14,(FALSE))</f>
        <v>0</v>
      </c>
      <c r="I84" s="1024">
        <f>VLOOKUP(A84,'1920 Band Moderations'!$A$181:$R$198,16,(FALSE))</f>
        <v>0</v>
      </c>
      <c r="J84" s="1024">
        <f>VLOOKUP(A84,'1920 Band Moderations'!$A$181:$R$198,18,(FALSE))</f>
        <v>0</v>
      </c>
      <c r="K84" s="233">
        <v>0</v>
      </c>
      <c r="L84" s="1025">
        <f t="shared" si="17"/>
        <v>0</v>
      </c>
      <c r="M84" s="1025">
        <f t="shared" si="15"/>
        <v>0</v>
      </c>
      <c r="N84" s="1025">
        <f t="shared" si="19"/>
        <v>0</v>
      </c>
      <c r="O84" s="1026">
        <f t="shared" si="18"/>
        <v>0</v>
      </c>
      <c r="P84" s="1026">
        <f>(VLOOKUP(A84,'1920 Funding Detail'!$A$4:$AN$23,38,FALSE)*8/12)*K84</f>
        <v>0</v>
      </c>
      <c r="Q84" s="235"/>
      <c r="R84" s="235">
        <f t="shared" si="16"/>
        <v>0</v>
      </c>
      <c r="S84" s="269"/>
      <c r="T84" s="280"/>
    </row>
    <row r="85" spans="1:20" s="29" customFormat="1" x14ac:dyDescent="0.25">
      <c r="A85" s="244">
        <v>9257030</v>
      </c>
      <c r="B85" s="237" t="s">
        <v>262</v>
      </c>
      <c r="C85" s="238">
        <v>4</v>
      </c>
      <c r="D85" s="1024">
        <f>VLOOKUP(A85,'1920 Band Moderations'!$A$181:$R$198,6,(FALSE))</f>
        <v>0</v>
      </c>
      <c r="E85" s="1024">
        <f>VLOOKUP(A85,'1920 Band Moderations'!$A$181:$R$198,8,(FALSE))</f>
        <v>0</v>
      </c>
      <c r="F85" s="1024">
        <f>VLOOKUP(A85,'1920 Band Moderations'!$A$181:$R$198,10,(FALSE))</f>
        <v>1</v>
      </c>
      <c r="G85" s="1024">
        <f>VLOOKUP(A85,'1920 Band Moderations'!$A$181:$R$198,12,(FALSE))</f>
        <v>0</v>
      </c>
      <c r="H85" s="1024">
        <f>VLOOKUP(A85,'1920 Band Moderations'!$A$181:$R$198,14,(FALSE))</f>
        <v>0</v>
      </c>
      <c r="I85" s="1024">
        <f>VLOOKUP(A85,'1920 Band Moderations'!$A$181:$R$198,16,(FALSE))</f>
        <v>0</v>
      </c>
      <c r="J85" s="1024">
        <f>VLOOKUP(A85,'1920 Band Moderations'!$A$181:$R$198,18,(FALSE))</f>
        <v>0</v>
      </c>
      <c r="K85" s="233">
        <v>0</v>
      </c>
      <c r="L85" s="1025">
        <f t="shared" si="17"/>
        <v>0</v>
      </c>
      <c r="M85" s="1025">
        <f t="shared" si="15"/>
        <v>0</v>
      </c>
      <c r="N85" s="1025">
        <f t="shared" si="19"/>
        <v>0</v>
      </c>
      <c r="O85" s="1026">
        <f t="shared" si="18"/>
        <v>0</v>
      </c>
      <c r="P85" s="1026">
        <f>(VLOOKUP(A85,'1920 Funding Detail'!$A$4:$AN$23,38,FALSE)*8/12)*K85</f>
        <v>0</v>
      </c>
      <c r="Q85" s="235"/>
      <c r="R85" s="235">
        <f t="shared" si="16"/>
        <v>0</v>
      </c>
      <c r="S85" s="269"/>
      <c r="T85" s="280"/>
    </row>
    <row r="86" spans="1:20" s="29" customFormat="1" x14ac:dyDescent="0.25">
      <c r="A86" s="244">
        <v>9257028</v>
      </c>
      <c r="B86" s="237" t="s">
        <v>215</v>
      </c>
      <c r="C86" s="238">
        <v>5</v>
      </c>
      <c r="D86" s="1024">
        <f>VLOOKUP(A86,'1920 Band Moderations'!$A$181:$R$198,6,(FALSE))</f>
        <v>6.9767441860465115E-2</v>
      </c>
      <c r="E86" s="1024">
        <f>VLOOKUP(A86,'1920 Band Moderations'!$A$181:$R$198,8,(FALSE))</f>
        <v>0.27906976744186046</v>
      </c>
      <c r="F86" s="1024">
        <f>VLOOKUP(A86,'1920 Band Moderations'!$A$181:$R$198,10,(FALSE))</f>
        <v>3.4883720930232558E-2</v>
      </c>
      <c r="G86" s="1024">
        <f>VLOOKUP(A86,'1920 Band Moderations'!$A$181:$R$198,12,(FALSE))</f>
        <v>0.12790697674418605</v>
      </c>
      <c r="H86" s="1024">
        <f>VLOOKUP(A86,'1920 Band Moderations'!$A$181:$R$198,14,(FALSE))</f>
        <v>0.18604651162790697</v>
      </c>
      <c r="I86" s="1024">
        <f>VLOOKUP(A86,'1920 Band Moderations'!$A$181:$R$198,16,(FALSE))</f>
        <v>0.16279069767441862</v>
      </c>
      <c r="J86" s="1024">
        <f>VLOOKUP(A86,'1920 Band Moderations'!$A$181:$R$198,18,(FALSE))</f>
        <v>0.13953488372093023</v>
      </c>
      <c r="K86" s="233">
        <v>12</v>
      </c>
      <c r="L86" s="1025">
        <f t="shared" si="17"/>
        <v>101272.478043979</v>
      </c>
      <c r="M86" s="1025">
        <f t="shared" si="15"/>
        <v>735.34883720930225</v>
      </c>
      <c r="N86" s="1025">
        <f t="shared" si="19"/>
        <v>102007.8268811883</v>
      </c>
      <c r="O86" s="1026">
        <f t="shared" si="18"/>
        <v>80000</v>
      </c>
      <c r="P86" s="1026">
        <f>(VLOOKUP(A86,'1920 Funding Detail'!$A$4:$AN$23,38,FALSE)*8/12)*K86</f>
        <v>68229.618881188318</v>
      </c>
      <c r="Q86" s="235"/>
      <c r="R86" s="235">
        <f t="shared" si="16"/>
        <v>25130.512471584472</v>
      </c>
      <c r="S86" s="269"/>
      <c r="T86" s="280"/>
    </row>
    <row r="87" spans="1:20" s="29" customFormat="1" x14ac:dyDescent="0.25">
      <c r="A87" s="244">
        <v>9257021</v>
      </c>
      <c r="B87" s="237" t="s">
        <v>216</v>
      </c>
      <c r="C87" s="238">
        <v>5</v>
      </c>
      <c r="D87" s="1024">
        <f>VLOOKUP(A87,'1920 Band Moderations'!$A$181:$R$198,6,(FALSE))</f>
        <v>0.27777777777777779</v>
      </c>
      <c r="E87" s="1024">
        <f>VLOOKUP(A87,'1920 Band Moderations'!$A$181:$R$198,8,(FALSE))</f>
        <v>0.35185185185185186</v>
      </c>
      <c r="F87" s="1024">
        <f>VLOOKUP(A87,'1920 Band Moderations'!$A$181:$R$198,10,(FALSE))</f>
        <v>9.8765432098765427E-2</v>
      </c>
      <c r="G87" s="1024">
        <f>VLOOKUP(A87,'1920 Band Moderations'!$A$181:$R$198,12,(FALSE))</f>
        <v>4.3209876543209874E-2</v>
      </c>
      <c r="H87" s="1024">
        <f>VLOOKUP(A87,'1920 Band Moderations'!$A$181:$R$198,14,(FALSE))</f>
        <v>7.407407407407407E-2</v>
      </c>
      <c r="I87" s="1024">
        <f>VLOOKUP(A87,'1920 Band Moderations'!$A$181:$R$198,16,(FALSE))</f>
        <v>0.14814814814814814</v>
      </c>
      <c r="J87" s="1024">
        <f>VLOOKUP(A87,'1920 Band Moderations'!$A$181:$R$198,18,(FALSE))</f>
        <v>6.1728395061728392E-3</v>
      </c>
      <c r="K87" s="233">
        <v>0</v>
      </c>
      <c r="L87" s="1025">
        <f t="shared" si="17"/>
        <v>0</v>
      </c>
      <c r="M87" s="1025">
        <f t="shared" si="15"/>
        <v>0</v>
      </c>
      <c r="N87" s="1025">
        <f t="shared" si="19"/>
        <v>0</v>
      </c>
      <c r="O87" s="1026">
        <f t="shared" si="18"/>
        <v>0</v>
      </c>
      <c r="P87" s="1026">
        <f>(VLOOKUP(A87,'1920 Funding Detail'!$A$4:$AN$23,38,FALSE)*8/12)*K87</f>
        <v>0</v>
      </c>
      <c r="Q87" s="235"/>
      <c r="R87" s="235">
        <f t="shared" si="16"/>
        <v>0</v>
      </c>
      <c r="S87" s="269"/>
      <c r="T87" s="280"/>
    </row>
    <row r="88" spans="1:20" s="29" customFormat="1" x14ac:dyDescent="0.25">
      <c r="A88" s="244">
        <v>9257015</v>
      </c>
      <c r="B88" s="237" t="s">
        <v>217</v>
      </c>
      <c r="C88" s="238">
        <v>6</v>
      </c>
      <c r="D88" s="1024">
        <f>VLOOKUP(A88,'1920 Band Moderations'!$A$181:$R$198,6,(FALSE))</f>
        <v>0.43037974683544306</v>
      </c>
      <c r="E88" s="1024">
        <f>VLOOKUP(A88,'1920 Band Moderations'!$A$181:$R$198,8,(FALSE))</f>
        <v>0.27004219409282698</v>
      </c>
      <c r="F88" s="1024">
        <f>VLOOKUP(A88,'1920 Band Moderations'!$A$181:$R$198,10,(FALSE))</f>
        <v>2.9535864978902954E-2</v>
      </c>
      <c r="G88" s="1024">
        <f>VLOOKUP(A88,'1920 Band Moderations'!$A$181:$R$198,12,(FALSE))</f>
        <v>6.3291139240506333E-2</v>
      </c>
      <c r="H88" s="1024">
        <f>VLOOKUP(A88,'1920 Band Moderations'!$A$181:$R$198,14,(FALSE))</f>
        <v>5.9071729957805907E-2</v>
      </c>
      <c r="I88" s="1024">
        <f>VLOOKUP(A88,'1920 Band Moderations'!$A$181:$R$198,16,(FALSE))</f>
        <v>0.13924050632911392</v>
      </c>
      <c r="J88" s="1024">
        <f>VLOOKUP(A88,'1920 Band Moderations'!$A$181:$R$198,18,(FALSE))</f>
        <v>8.4388185654008432E-3</v>
      </c>
      <c r="K88" s="233">
        <v>16</v>
      </c>
      <c r="L88" s="1025">
        <f t="shared" si="17"/>
        <v>91974.9564280216</v>
      </c>
      <c r="M88" s="1025">
        <f t="shared" si="15"/>
        <v>830.15471167369901</v>
      </c>
      <c r="N88" s="1025">
        <f t="shared" si="19"/>
        <v>92805.111139695306</v>
      </c>
      <c r="O88" s="1026">
        <f t="shared" si="18"/>
        <v>106666.66666666666</v>
      </c>
      <c r="P88" s="1026">
        <f>(VLOOKUP(A88,'1920 Funding Detail'!$A$4:$AN$23,38,FALSE)*8/12)*K88</f>
        <v>13673.160439415178</v>
      </c>
      <c r="Q88" s="235"/>
      <c r="R88" s="235">
        <f t="shared" si="16"/>
        <v>2026.4642030532252</v>
      </c>
      <c r="S88" s="269"/>
      <c r="T88" s="280"/>
    </row>
    <row r="89" spans="1:20" s="29" customFormat="1" x14ac:dyDescent="0.25">
      <c r="A89" s="244">
        <v>9257016</v>
      </c>
      <c r="B89" s="237" t="s">
        <v>219</v>
      </c>
      <c r="C89" s="238">
        <v>6</v>
      </c>
      <c r="D89" s="1024">
        <f>VLOOKUP(A89,'1920 Band Moderations'!$A$181:$R$198,6,(FALSE))</f>
        <v>0.16911764705882354</v>
      </c>
      <c r="E89" s="1024">
        <f>VLOOKUP(A89,'1920 Band Moderations'!$A$181:$R$198,8,(FALSE))</f>
        <v>0.11764705882352941</v>
      </c>
      <c r="F89" s="1024">
        <f>VLOOKUP(A89,'1920 Band Moderations'!$A$181:$R$198,10,(FALSE))</f>
        <v>7.3529411764705881E-3</v>
      </c>
      <c r="G89" s="1024">
        <f>VLOOKUP(A89,'1920 Band Moderations'!$A$181:$R$198,12,(FALSE))</f>
        <v>0.20588235294117646</v>
      </c>
      <c r="H89" s="1024">
        <f>VLOOKUP(A89,'1920 Band Moderations'!$A$181:$R$198,14,(FALSE))</f>
        <v>0.23529411764705882</v>
      </c>
      <c r="I89" s="1024">
        <f>VLOOKUP(A89,'1920 Band Moderations'!$A$181:$R$198,16,(FALSE))</f>
        <v>7.3529411764705881E-3</v>
      </c>
      <c r="J89" s="1024">
        <f>VLOOKUP(A89,'1920 Band Moderations'!$A$181:$R$198,18,(FALSE))</f>
        <v>0.25735294117647056</v>
      </c>
      <c r="K89" s="233">
        <v>43</v>
      </c>
      <c r="L89" s="1025">
        <f t="shared" si="17"/>
        <v>399572.73000024294</v>
      </c>
      <c r="M89" s="1025">
        <f t="shared" si="15"/>
        <v>555.41666666666663</v>
      </c>
      <c r="N89" s="1025">
        <f t="shared" si="19"/>
        <v>400128.14666690963</v>
      </c>
      <c r="O89" s="1026">
        <f t="shared" si="18"/>
        <v>286666.66666666663</v>
      </c>
      <c r="P89" s="1026">
        <f>(VLOOKUP(A89,'1920 Funding Detail'!$A$4:$AN$23,38,FALSE)*8/12)*K89</f>
        <v>232807.47027379923</v>
      </c>
      <c r="Q89" s="299" t="s">
        <v>207</v>
      </c>
      <c r="R89" s="235">
        <f t="shared" si="16"/>
        <v>166086.71513465984</v>
      </c>
      <c r="S89" s="269"/>
      <c r="T89" s="280"/>
    </row>
    <row r="90" spans="1:20" s="29" customFormat="1" x14ac:dyDescent="0.25">
      <c r="A90" s="36"/>
      <c r="B90" s="36"/>
      <c r="C90" s="36"/>
      <c r="D90" s="36"/>
      <c r="E90" s="36"/>
      <c r="F90" s="299" t="s">
        <v>207</v>
      </c>
      <c r="G90" s="36"/>
      <c r="H90" s="234"/>
      <c r="I90" s="299" t="s">
        <v>207</v>
      </c>
      <c r="J90" s="36"/>
      <c r="K90" s="36"/>
      <c r="L90" s="36"/>
      <c r="M90" s="36"/>
      <c r="N90" s="36"/>
      <c r="O90" s="36"/>
      <c r="P90" s="36"/>
      <c r="Q90" s="36"/>
      <c r="R90" s="36"/>
      <c r="S90" s="288"/>
      <c r="T90" s="36"/>
    </row>
    <row r="91" spans="1:20" s="29" customFormat="1" x14ac:dyDescent="0.25">
      <c r="A91" s="36"/>
      <c r="B91" s="36"/>
      <c r="C91" s="36"/>
      <c r="D91" s="36"/>
      <c r="E91" s="36"/>
      <c r="F91" s="36"/>
      <c r="G91" s="36"/>
      <c r="H91" s="36"/>
      <c r="I91" s="234"/>
      <c r="J91" s="234"/>
      <c r="K91" s="36"/>
      <c r="L91" s="36"/>
      <c r="M91" s="36"/>
      <c r="N91" s="36"/>
      <c r="O91" s="36"/>
      <c r="P91" s="36"/>
      <c r="Q91" s="36"/>
      <c r="R91" s="36"/>
      <c r="S91" s="288"/>
      <c r="T91" s="36"/>
    </row>
    <row r="92" spans="1:20" s="29" customFormat="1" x14ac:dyDescent="0.25">
      <c r="A92" s="36"/>
      <c r="B92" s="36"/>
      <c r="C92" s="36"/>
      <c r="D92" s="36"/>
      <c r="E92" s="36" t="s">
        <v>735</v>
      </c>
      <c r="F92" s="36"/>
      <c r="G92" s="235">
        <f>'Band Values'!F11</f>
        <v>5740.9218150011166</v>
      </c>
      <c r="H92" s="281"/>
      <c r="I92" s="281"/>
      <c r="J92" s="281"/>
      <c r="K92" s="281"/>
      <c r="L92" s="281"/>
      <c r="M92" s="281"/>
      <c r="N92" s="281"/>
      <c r="O92" s="281"/>
      <c r="P92" s="281"/>
      <c r="Q92" s="281"/>
      <c r="R92" s="36"/>
      <c r="S92" s="288"/>
      <c r="T92" s="36"/>
    </row>
    <row r="93" spans="1:20" s="29" customFormat="1" x14ac:dyDescent="0.25">
      <c r="A93" s="36"/>
      <c r="B93" s="36"/>
      <c r="C93" s="36"/>
      <c r="D93" s="36"/>
      <c r="E93" s="36"/>
      <c r="F93" s="36"/>
      <c r="G93" s="235"/>
      <c r="H93" s="281"/>
      <c r="I93" s="281"/>
      <c r="J93" s="281"/>
      <c r="K93" s="281"/>
      <c r="L93" s="281"/>
      <c r="M93" s="281"/>
      <c r="N93" s="281"/>
      <c r="O93" s="281"/>
      <c r="P93" s="281"/>
      <c r="Q93" s="281"/>
      <c r="R93" s="36"/>
      <c r="S93" s="288"/>
      <c r="T93" s="36"/>
    </row>
    <row r="94" spans="1:20" s="29" customFormat="1" x14ac:dyDescent="0.25">
      <c r="A94" s="36"/>
      <c r="B94" s="36"/>
      <c r="C94" s="36"/>
      <c r="D94" s="36"/>
      <c r="E94" s="36" t="s">
        <v>736</v>
      </c>
      <c r="F94" s="36"/>
      <c r="G94" s="235">
        <f>'Band Values'!F8</f>
        <v>6829.0826228613796</v>
      </c>
      <c r="H94" s="281"/>
      <c r="I94" s="281"/>
      <c r="J94" s="281"/>
      <c r="K94" s="281"/>
      <c r="L94" s="281"/>
      <c r="M94" s="281"/>
      <c r="N94" s="281"/>
      <c r="O94" s="281"/>
      <c r="P94" s="281"/>
      <c r="Q94" s="281"/>
      <c r="R94" s="36"/>
      <c r="S94" s="288"/>
      <c r="T94" s="36"/>
    </row>
    <row r="95" spans="1:20" s="29" customFormat="1" x14ac:dyDescent="0.25">
      <c r="A95" s="36"/>
      <c r="B95" s="36"/>
      <c r="C95" s="36"/>
      <c r="D95" s="36"/>
      <c r="E95" s="36"/>
      <c r="F95" s="36"/>
      <c r="G95" s="235"/>
      <c r="H95" s="281"/>
      <c r="I95" s="402"/>
      <c r="J95" s="281"/>
      <c r="K95" s="281"/>
      <c r="L95" s="281"/>
      <c r="M95" s="281"/>
      <c r="N95" s="281"/>
      <c r="O95" s="281"/>
      <c r="P95" s="281"/>
      <c r="Q95" s="281"/>
      <c r="R95" s="36"/>
      <c r="S95" s="288"/>
      <c r="T95" s="36"/>
    </row>
    <row r="96" spans="1:20" s="29" customFormat="1" x14ac:dyDescent="0.25">
      <c r="A96" s="36"/>
      <c r="B96" s="36"/>
      <c r="C96" s="36"/>
      <c r="D96" s="36"/>
      <c r="E96" s="36" t="s">
        <v>737</v>
      </c>
      <c r="F96" s="36"/>
      <c r="G96" s="235">
        <f>'Band Values'!F17</f>
        <v>11263.412317184524</v>
      </c>
      <c r="H96" s="281"/>
      <c r="I96" s="402"/>
      <c r="J96" s="281"/>
      <c r="K96" s="281"/>
      <c r="L96" s="281"/>
      <c r="M96" s="281"/>
      <c r="N96" s="281"/>
      <c r="O96" s="281"/>
      <c r="P96" s="281"/>
      <c r="Q96" s="281"/>
      <c r="R96" s="36"/>
      <c r="S96" s="288"/>
      <c r="T96" s="36"/>
    </row>
    <row r="97" spans="1:54" x14ac:dyDescent="0.25">
      <c r="A97" s="36"/>
      <c r="B97" s="36"/>
      <c r="C97" s="36"/>
      <c r="D97" s="36"/>
      <c r="E97" s="36"/>
      <c r="F97" s="36"/>
      <c r="G97" s="235"/>
      <c r="H97" s="281"/>
      <c r="I97" s="402"/>
      <c r="J97" s="281"/>
      <c r="K97" s="281"/>
      <c r="L97" s="281"/>
      <c r="M97" s="281"/>
      <c r="N97" s="281"/>
      <c r="O97" s="281"/>
      <c r="P97" s="281"/>
      <c r="Q97" s="281"/>
      <c r="R97" s="36"/>
      <c r="S97" s="288"/>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234"/>
      <c r="AW97" s="234"/>
      <c r="AX97" s="36"/>
      <c r="AY97" s="36"/>
      <c r="AZ97" s="234"/>
      <c r="BA97" s="234"/>
      <c r="BB97" s="234"/>
    </row>
    <row r="98" spans="1:54" x14ac:dyDescent="0.25">
      <c r="A98" s="36"/>
      <c r="B98" s="36"/>
      <c r="C98" s="36"/>
      <c r="D98" s="36"/>
      <c r="E98" s="36" t="s">
        <v>738</v>
      </c>
      <c r="F98" s="36"/>
      <c r="G98" s="235">
        <f>'Band Values'!F5</f>
        <v>14004.235952555704</v>
      </c>
      <c r="H98" s="281"/>
      <c r="I98" s="402"/>
      <c r="J98" s="281"/>
      <c r="K98" s="281"/>
      <c r="L98" s="281"/>
      <c r="M98" s="281"/>
      <c r="N98" s="281"/>
      <c r="O98" s="281"/>
      <c r="P98" s="281"/>
      <c r="Q98" s="281"/>
      <c r="R98" s="36"/>
      <c r="S98" s="288"/>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234"/>
      <c r="AW98" s="234"/>
      <c r="AX98" s="36"/>
      <c r="AY98" s="36"/>
      <c r="AZ98" s="234"/>
      <c r="BA98" s="234"/>
      <c r="BB98" s="234"/>
    </row>
    <row r="99" spans="1:54" x14ac:dyDescent="0.25">
      <c r="A99" s="36"/>
      <c r="B99" s="36"/>
      <c r="C99" s="36"/>
      <c r="D99" s="36"/>
      <c r="E99" s="36"/>
      <c r="F99" s="36"/>
      <c r="G99" s="235"/>
      <c r="H99" s="281"/>
      <c r="I99" s="402"/>
      <c r="J99" s="281"/>
      <c r="K99" s="281"/>
      <c r="L99" s="281"/>
      <c r="M99" s="281"/>
      <c r="N99" s="281"/>
      <c r="O99" s="281"/>
      <c r="P99" s="281"/>
      <c r="Q99" s="281"/>
      <c r="R99" s="36"/>
      <c r="S99" s="288"/>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234"/>
      <c r="AW99" s="234"/>
      <c r="AX99" s="36"/>
      <c r="AY99" s="36"/>
      <c r="AZ99" s="234"/>
      <c r="BA99" s="234"/>
      <c r="BB99" s="234"/>
    </row>
    <row r="100" spans="1:54" x14ac:dyDescent="0.25">
      <c r="A100" s="36"/>
      <c r="B100" s="36"/>
      <c r="C100" s="36"/>
      <c r="D100" s="36"/>
      <c r="E100" s="36" t="s">
        <v>739</v>
      </c>
      <c r="F100" s="36"/>
      <c r="G100" s="235">
        <f>'Band Values'!F14</f>
        <v>14004.235952555704</v>
      </c>
      <c r="H100" s="281"/>
      <c r="I100" s="402"/>
      <c r="J100" s="281"/>
      <c r="K100" s="281"/>
      <c r="L100" s="281"/>
      <c r="M100" s="281"/>
      <c r="N100" s="281"/>
      <c r="O100" s="281"/>
      <c r="P100" s="281"/>
      <c r="Q100" s="281"/>
      <c r="R100" s="36"/>
      <c r="S100" s="288"/>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234"/>
      <c r="AW100" s="234"/>
      <c r="AX100" s="36"/>
      <c r="AY100" s="36"/>
      <c r="AZ100" s="234"/>
      <c r="BA100" s="234"/>
      <c r="BB100" s="234"/>
    </row>
    <row r="101" spans="1:54" x14ac:dyDescent="0.25">
      <c r="A101" s="36"/>
      <c r="B101" s="36"/>
      <c r="C101" s="36"/>
      <c r="D101" s="36"/>
      <c r="E101" s="36"/>
      <c r="F101" s="36"/>
      <c r="G101" s="235"/>
      <c r="H101" s="281"/>
      <c r="I101" s="402"/>
      <c r="J101" s="281"/>
      <c r="K101" s="281"/>
      <c r="L101" s="281"/>
      <c r="M101" s="281"/>
      <c r="N101" s="281"/>
      <c r="O101" s="281"/>
      <c r="P101" s="281"/>
      <c r="Q101" s="281"/>
      <c r="R101" s="36"/>
      <c r="S101" s="288"/>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234"/>
      <c r="AW101" s="234"/>
      <c r="AX101" s="36"/>
      <c r="AY101" s="36"/>
      <c r="AZ101" s="234"/>
      <c r="BA101" s="234"/>
      <c r="BB101" s="234"/>
    </row>
    <row r="102" spans="1:54" x14ac:dyDescent="0.25">
      <c r="A102" s="36"/>
      <c r="B102" s="36"/>
      <c r="C102" s="36"/>
      <c r="D102" s="36"/>
      <c r="E102" s="36" t="s">
        <v>741</v>
      </c>
      <c r="F102" s="36"/>
      <c r="G102" s="235">
        <f>'Band Values'!F22</f>
        <v>14877.000599571715</v>
      </c>
      <c r="H102" s="281"/>
      <c r="I102" s="402"/>
      <c r="J102" s="281"/>
      <c r="K102" s="281"/>
      <c r="L102" s="281"/>
      <c r="M102" s="281"/>
      <c r="N102" s="281"/>
      <c r="O102" s="281"/>
      <c r="P102" s="281"/>
      <c r="Q102" s="281"/>
      <c r="R102" s="36"/>
      <c r="S102" s="288"/>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234"/>
      <c r="AW102" s="234"/>
      <c r="AX102" s="36"/>
      <c r="AY102" s="36"/>
      <c r="AZ102" s="234"/>
      <c r="BA102" s="234"/>
      <c r="BB102" s="234"/>
    </row>
    <row r="103" spans="1:54" x14ac:dyDescent="0.25">
      <c r="A103" s="36"/>
      <c r="B103" s="36"/>
      <c r="C103" s="36"/>
      <c r="D103" s="36"/>
      <c r="E103" s="36"/>
      <c r="F103" s="36"/>
      <c r="G103" s="235"/>
      <c r="H103" s="281"/>
      <c r="I103" s="402"/>
      <c r="J103" s="281"/>
      <c r="K103" s="281"/>
      <c r="L103" s="281"/>
      <c r="M103" s="281"/>
      <c r="N103" s="281"/>
      <c r="O103" s="281"/>
      <c r="P103" s="281"/>
      <c r="Q103" s="281"/>
      <c r="R103" s="36"/>
      <c r="S103" s="288"/>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234"/>
      <c r="AW103" s="234"/>
      <c r="AX103" s="36"/>
      <c r="AY103" s="36"/>
      <c r="AZ103" s="234"/>
      <c r="BA103" s="234"/>
      <c r="BB103" s="234"/>
    </row>
    <row r="104" spans="1:54" x14ac:dyDescent="0.25">
      <c r="A104" s="36"/>
      <c r="B104" s="36"/>
      <c r="C104" s="36"/>
      <c r="D104" s="36"/>
      <c r="E104" s="36" t="s">
        <v>743</v>
      </c>
      <c r="F104" s="36"/>
      <c r="G104" s="235">
        <f>'Band Values'!F24</f>
        <v>22512.750755794426</v>
      </c>
      <c r="H104" s="281"/>
      <c r="I104" s="402"/>
      <c r="J104" s="281"/>
      <c r="K104" s="281"/>
      <c r="L104" s="281"/>
      <c r="M104" s="281"/>
      <c r="N104" s="281"/>
      <c r="O104" s="281"/>
      <c r="P104" s="281"/>
      <c r="Q104" s="281"/>
      <c r="R104" s="36"/>
      <c r="S104" s="288"/>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234"/>
      <c r="AW104" s="234"/>
      <c r="AX104" s="36"/>
      <c r="AY104" s="36"/>
      <c r="AZ104" s="234"/>
      <c r="BA104" s="234"/>
      <c r="BB104" s="234"/>
    </row>
    <row r="105" spans="1:54" ht="14" x14ac:dyDescent="0.3">
      <c r="A105" s="36"/>
      <c r="B105" s="37"/>
      <c r="C105" s="38"/>
      <c r="D105" s="39"/>
      <c r="E105" s="281"/>
      <c r="F105" s="36"/>
      <c r="G105" s="36"/>
      <c r="H105" s="282"/>
      <c r="I105" s="402"/>
      <c r="J105" s="281"/>
      <c r="K105" s="282"/>
      <c r="L105" s="282"/>
      <c r="M105" s="282"/>
      <c r="N105" s="282"/>
      <c r="O105" s="282"/>
      <c r="P105" s="282"/>
      <c r="Q105" s="282"/>
      <c r="R105" s="36"/>
      <c r="S105" s="288"/>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234"/>
      <c r="AW105" s="234"/>
      <c r="AX105" s="36"/>
      <c r="AY105" s="36"/>
      <c r="AZ105" s="234"/>
      <c r="BA105" s="234"/>
      <c r="BB105" s="234"/>
    </row>
    <row r="106" spans="1:54" ht="14" x14ac:dyDescent="0.3">
      <c r="A106" s="36"/>
      <c r="B106" s="40"/>
      <c r="C106" s="38"/>
      <c r="D106" s="36"/>
      <c r="E106" s="36" t="s">
        <v>913</v>
      </c>
      <c r="F106" s="36"/>
      <c r="G106" s="235">
        <f>'Band Values'!F20</f>
        <v>2635</v>
      </c>
      <c r="H106" s="281"/>
      <c r="I106" s="402"/>
      <c r="J106" s="281"/>
      <c r="K106" s="281"/>
      <c r="L106" s="281"/>
      <c r="M106" s="281"/>
      <c r="N106" s="281"/>
      <c r="O106" s="281"/>
      <c r="P106" s="281"/>
      <c r="Q106" s="281"/>
      <c r="R106" s="36"/>
      <c r="S106" s="288"/>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234"/>
      <c r="AW106" s="234"/>
      <c r="AX106" s="36"/>
      <c r="AY106" s="36"/>
      <c r="AZ106" s="234"/>
      <c r="BA106" s="234"/>
      <c r="BB106" s="234"/>
    </row>
    <row r="107" spans="1:54" x14ac:dyDescent="0.25">
      <c r="A107" s="36"/>
      <c r="B107" s="36"/>
      <c r="C107" s="36"/>
      <c r="D107" s="36"/>
      <c r="E107" s="36"/>
      <c r="F107" s="402"/>
      <c r="G107" s="234"/>
      <c r="H107" s="36"/>
      <c r="I107" s="36"/>
      <c r="J107" s="36"/>
      <c r="K107" s="36"/>
      <c r="L107" s="36"/>
      <c r="M107" s="36"/>
      <c r="N107" s="36"/>
      <c r="O107" s="36"/>
      <c r="P107" s="36"/>
      <c r="Q107" s="36"/>
      <c r="R107" s="36"/>
      <c r="S107" s="288"/>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1439" t="s">
        <v>839</v>
      </c>
      <c r="AR107" s="1439"/>
      <c r="AS107" s="36"/>
      <c r="AT107" s="36"/>
      <c r="AU107" s="36"/>
      <c r="AV107" s="234"/>
      <c r="AW107" s="234"/>
      <c r="AX107" s="36"/>
      <c r="AY107" s="36"/>
      <c r="AZ107" s="234"/>
      <c r="BA107" s="234"/>
      <c r="BB107" s="234"/>
    </row>
    <row r="108" spans="1:54" x14ac:dyDescent="0.25">
      <c r="A108" s="36"/>
      <c r="B108" s="36"/>
      <c r="C108" s="36"/>
      <c r="D108" s="36"/>
      <c r="E108" s="36"/>
      <c r="F108" s="234"/>
      <c r="G108" s="234"/>
      <c r="H108" s="36"/>
      <c r="I108" s="36"/>
      <c r="J108" s="36"/>
      <c r="K108" s="36"/>
      <c r="L108" s="36"/>
      <c r="M108" s="36"/>
      <c r="N108" s="36"/>
      <c r="O108" s="36"/>
      <c r="P108" s="36"/>
      <c r="Q108" s="36"/>
      <c r="R108" s="36"/>
      <c r="S108" s="288"/>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234"/>
      <c r="AW108" s="234"/>
      <c r="AX108" s="36"/>
      <c r="AY108" s="36"/>
      <c r="AZ108" s="234"/>
      <c r="BA108" s="234"/>
      <c r="BB108" s="234"/>
    </row>
    <row r="109" spans="1:54" ht="12.75" customHeight="1" x14ac:dyDescent="0.25">
      <c r="A109" s="36"/>
      <c r="B109" s="36"/>
      <c r="C109" s="36"/>
      <c r="D109" s="36"/>
      <c r="E109" s="36"/>
      <c r="F109" s="234"/>
      <c r="G109" s="234"/>
      <c r="H109" s="36"/>
      <c r="I109" s="36"/>
      <c r="J109" s="36"/>
      <c r="K109" s="36"/>
      <c r="L109" s="36"/>
      <c r="M109" s="36"/>
      <c r="N109" s="36"/>
      <c r="O109" s="36"/>
      <c r="P109" s="36"/>
      <c r="Q109" s="36"/>
      <c r="R109" s="36"/>
      <c r="S109" s="288"/>
      <c r="T109" s="36"/>
      <c r="U109" s="36"/>
      <c r="V109" s="36"/>
      <c r="W109" s="36"/>
      <c r="X109" s="36"/>
      <c r="Y109" s="36"/>
      <c r="Z109" s="36"/>
      <c r="AA109" s="36"/>
      <c r="AB109" s="36"/>
      <c r="AC109" s="36"/>
      <c r="AD109" s="36"/>
      <c r="AE109" s="36"/>
      <c r="AF109" s="36"/>
      <c r="AG109" s="36"/>
      <c r="AH109" s="36"/>
      <c r="AI109" s="36"/>
      <c r="AJ109" s="36"/>
      <c r="AK109" s="36"/>
      <c r="AL109" s="36"/>
      <c r="AM109" s="36"/>
      <c r="AN109" s="1490" t="s">
        <v>787</v>
      </c>
      <c r="AO109" s="1490"/>
      <c r="AP109" s="36"/>
      <c r="AQ109" s="1490" t="s">
        <v>787</v>
      </c>
      <c r="AR109" s="1490"/>
      <c r="AS109" s="36"/>
      <c r="AT109" s="36"/>
      <c r="AU109" s="36"/>
      <c r="AV109" s="234"/>
      <c r="AW109" s="234"/>
      <c r="AX109" s="36"/>
      <c r="AY109" s="36"/>
      <c r="AZ109" s="234"/>
      <c r="BA109" s="234"/>
      <c r="BB109" s="234"/>
    </row>
    <row r="110" spans="1:54" ht="12.75" customHeight="1" x14ac:dyDescent="0.3">
      <c r="A110" s="36"/>
      <c r="B110" s="36"/>
      <c r="C110" s="36"/>
      <c r="D110" s="1448" t="s">
        <v>284</v>
      </c>
      <c r="E110" s="1449"/>
      <c r="F110" s="1450"/>
      <c r="G110" s="1448" t="s">
        <v>264</v>
      </c>
      <c r="H110" s="1449"/>
      <c r="I110" s="1450"/>
      <c r="J110" s="170" t="s">
        <v>285</v>
      </c>
      <c r="K110" s="1448" t="s">
        <v>284</v>
      </c>
      <c r="L110" s="1449"/>
      <c r="M110" s="1450"/>
      <c r="N110" s="1448" t="s">
        <v>264</v>
      </c>
      <c r="O110" s="1449"/>
      <c r="P110" s="1450"/>
      <c r="Q110" s="170" t="s">
        <v>285</v>
      </c>
      <c r="R110" s="171" t="s">
        <v>285</v>
      </c>
      <c r="S110" s="450"/>
      <c r="T110" s="173"/>
      <c r="U110" s="36"/>
      <c r="V110" s="36"/>
      <c r="W110" s="36"/>
      <c r="X110" s="36"/>
      <c r="Y110" s="36"/>
      <c r="Z110" s="36"/>
      <c r="AA110" s="36"/>
      <c r="AB110" s="36"/>
      <c r="AC110" s="36"/>
      <c r="AD110" s="36"/>
      <c r="AE110" s="36"/>
      <c r="AF110" s="36"/>
      <c r="AG110" s="36"/>
      <c r="AH110" s="36"/>
      <c r="AI110" s="1443" t="s">
        <v>286</v>
      </c>
      <c r="AJ110" s="36"/>
      <c r="AK110" s="36"/>
      <c r="AL110" s="1488" t="s">
        <v>840</v>
      </c>
      <c r="AM110" s="243"/>
      <c r="AN110" s="1488" t="s">
        <v>788</v>
      </c>
      <c r="AO110" s="36"/>
      <c r="AP110" s="36"/>
      <c r="AQ110" s="1488" t="s">
        <v>841</v>
      </c>
      <c r="AR110" s="36"/>
      <c r="AS110" s="36"/>
      <c r="AT110" s="36"/>
      <c r="AU110" s="36"/>
      <c r="AV110" s="234"/>
      <c r="AW110" s="234"/>
      <c r="AX110" s="36"/>
      <c r="AY110" s="36"/>
      <c r="AZ110" s="234"/>
      <c r="BA110" s="234"/>
      <c r="BB110" s="234"/>
    </row>
    <row r="111" spans="1:54" ht="41.25" customHeight="1" x14ac:dyDescent="0.3">
      <c r="A111" s="283" t="s">
        <v>182</v>
      </c>
      <c r="B111" s="284" t="s">
        <v>183</v>
      </c>
      <c r="C111" s="238" t="s">
        <v>184</v>
      </c>
      <c r="D111" s="241" t="str">
        <f t="shared" ref="D111:D129" si="20">L5</f>
        <v>Pre-16 Funding (Apr-Aug)</v>
      </c>
      <c r="E111" s="242" t="str">
        <f t="shared" ref="E111:E129" si="21">L49</f>
        <v>Pre-16 Funding (Sept-Mar)</v>
      </c>
      <c r="F111" s="96" t="s">
        <v>288</v>
      </c>
      <c r="G111" s="242" t="str">
        <f t="shared" ref="G111:G129" si="22">L27</f>
        <v>Post-16 Funding (Apr-Jul)</v>
      </c>
      <c r="H111" s="241" t="str">
        <f t="shared" ref="H111:H129" si="23">L71</f>
        <v>Post-16 Funding (Aug-Mar)</v>
      </c>
      <c r="I111" s="96" t="s">
        <v>289</v>
      </c>
      <c r="J111" s="96" t="s">
        <v>290</v>
      </c>
      <c r="K111" s="241" t="str">
        <f t="shared" ref="K111:K129" si="24">M5</f>
        <v>Additionality Funding (Apr-Aug)</v>
      </c>
      <c r="L111" s="241" t="str">
        <f t="shared" ref="L111:L129" si="25">M49</f>
        <v>Additionality Funding (Sept-Mar)</v>
      </c>
      <c r="M111" s="96" t="s">
        <v>291</v>
      </c>
      <c r="N111" s="241" t="str">
        <f t="shared" ref="N111:N129" si="26">M27</f>
        <v>Additionality Funding (Apr-Jul)</v>
      </c>
      <c r="O111" s="242" t="str">
        <f t="shared" ref="O111:O129" si="27">M71</f>
        <v>Additionality Funding (Aug-Mar)</v>
      </c>
      <c r="P111" s="96" t="s">
        <v>291</v>
      </c>
      <c r="Q111" s="96" t="s">
        <v>292</v>
      </c>
      <c r="R111" s="96" t="s">
        <v>189</v>
      </c>
      <c r="S111" s="1027" t="s">
        <v>293</v>
      </c>
      <c r="T111" s="241" t="s">
        <v>294</v>
      </c>
      <c r="U111" s="241" t="s">
        <v>888</v>
      </c>
      <c r="V111" s="241" t="s">
        <v>295</v>
      </c>
      <c r="W111" s="241" t="s">
        <v>267</v>
      </c>
      <c r="X111" s="96" t="s">
        <v>296</v>
      </c>
      <c r="Y111" s="323" t="s">
        <v>189</v>
      </c>
      <c r="Z111" s="241" t="s">
        <v>194</v>
      </c>
      <c r="AA111" s="241" t="s">
        <v>297</v>
      </c>
      <c r="AB111" s="241" t="s">
        <v>298</v>
      </c>
      <c r="AC111" s="96" t="s">
        <v>299</v>
      </c>
      <c r="AD111" s="241" t="s">
        <v>300</v>
      </c>
      <c r="AE111" s="241" t="s">
        <v>301</v>
      </c>
      <c r="AF111" s="96" t="s">
        <v>302</v>
      </c>
      <c r="AG111" s="96" t="s">
        <v>303</v>
      </c>
      <c r="AH111" s="284"/>
      <c r="AI111" s="1444"/>
      <c r="AJ111" s="36"/>
      <c r="AK111" s="36"/>
      <c r="AL111" s="1488"/>
      <c r="AM111" s="243"/>
      <c r="AN111" s="1488"/>
      <c r="AO111" s="36" t="s">
        <v>19</v>
      </c>
      <c r="AP111" s="36"/>
      <c r="AQ111" s="1488"/>
      <c r="AR111" s="36" t="s">
        <v>19</v>
      </c>
      <c r="AS111" s="36"/>
      <c r="AT111" s="36"/>
      <c r="AU111" s="36"/>
      <c r="AV111" s="234" t="s">
        <v>914</v>
      </c>
      <c r="AW111" s="234" t="s">
        <v>915</v>
      </c>
      <c r="AX111" s="234" t="s">
        <v>916</v>
      </c>
      <c r="AY111" s="36"/>
      <c r="AZ111" s="234" t="s">
        <v>917</v>
      </c>
      <c r="BA111" s="234" t="s">
        <v>918</v>
      </c>
      <c r="BB111" s="234" t="s">
        <v>919</v>
      </c>
    </row>
    <row r="112" spans="1:54" ht="13" x14ac:dyDescent="0.3">
      <c r="A112" s="244">
        <v>9257010</v>
      </c>
      <c r="B112" s="237" t="s">
        <v>205</v>
      </c>
      <c r="C112" s="238">
        <v>4</v>
      </c>
      <c r="D112" s="245">
        <f t="shared" si="20"/>
        <v>236543.24640657037</v>
      </c>
      <c r="E112" s="245">
        <f t="shared" si="21"/>
        <v>366390.3901786877</v>
      </c>
      <c r="F112" s="68">
        <f>SUM(D112:E112)</f>
        <v>602933.63658525806</v>
      </c>
      <c r="G112" s="245">
        <f t="shared" si="22"/>
        <v>44288.948263357845</v>
      </c>
      <c r="H112" s="245">
        <f t="shared" si="23"/>
        <v>64420.288383065963</v>
      </c>
      <c r="I112" s="68">
        <f>SUM(G112:H112)</f>
        <v>108709.23664642381</v>
      </c>
      <c r="J112" s="68">
        <f>F112+I112</f>
        <v>711642.87323168188</v>
      </c>
      <c r="K112" s="245">
        <f t="shared" si="24"/>
        <v>3440.1388888888891</v>
      </c>
      <c r="L112" s="245">
        <f t="shared" si="25"/>
        <v>5328.5555555555566</v>
      </c>
      <c r="M112" s="68">
        <f>SUM(K112:L112)</f>
        <v>8768.6944444444453</v>
      </c>
      <c r="N112" s="245">
        <f t="shared" si="26"/>
        <v>644.11111111111109</v>
      </c>
      <c r="O112" s="245">
        <f t="shared" si="27"/>
        <v>936.8888888888888</v>
      </c>
      <c r="P112" s="68">
        <f>SUM(N112:O112)</f>
        <v>1581</v>
      </c>
      <c r="Q112" s="68">
        <f>M112+P112</f>
        <v>10349.694444444445</v>
      </c>
      <c r="R112" s="68">
        <f t="shared" ref="R112:R129" si="28">F112+I112+M112+P112</f>
        <v>721992.56767612637</v>
      </c>
      <c r="S112" s="286">
        <f t="shared" ref="S112:S129" si="29">(K6*(5/12))+(K50*(7/12))+(K28*(4/12))+(K72*(8/12))</f>
        <v>58.916666666666671</v>
      </c>
      <c r="T112" s="245">
        <f>R112/S112</f>
        <v>12254.470738491536</v>
      </c>
      <c r="U112" s="237"/>
      <c r="V112" s="245">
        <f t="shared" ref="V112:V129" si="30">O6+O50</f>
        <v>499166.66666666674</v>
      </c>
      <c r="W112" s="245">
        <f t="shared" ref="W112:W129" si="31">O28+O72</f>
        <v>90000</v>
      </c>
      <c r="X112" s="245">
        <f>V112+W112</f>
        <v>589166.66666666674</v>
      </c>
      <c r="Y112" s="245">
        <f>VLOOKUP(A112,'1920 Funding Detail'!$A$4:$AN$23,33,FALSE)</f>
        <v>1192133.2006830513</v>
      </c>
      <c r="Z112" s="245">
        <f>Y112-X112</f>
        <v>602966.53401638451</v>
      </c>
      <c r="AA112" s="245">
        <f t="shared" ref="AA112:AA129" si="32">P6</f>
        <v>200420.27651181092</v>
      </c>
      <c r="AB112" s="245">
        <f t="shared" ref="AB112:AB129" si="33">P50</f>
        <v>310438.21553318802</v>
      </c>
      <c r="AC112" s="245">
        <f>AA112+AB112</f>
        <v>510858.49204499891</v>
      </c>
      <c r="AD112" s="245">
        <f t="shared" ref="AD112:AD129" si="34">P28</f>
        <v>37525.498580934815</v>
      </c>
      <c r="AE112" s="245">
        <f t="shared" ref="AE112:AE129" si="35">P72</f>
        <v>54582.543390450643</v>
      </c>
      <c r="AF112" s="245">
        <f>AD112+AE112</f>
        <v>92108.04197138545</v>
      </c>
      <c r="AG112" s="245">
        <f>AC112+AF112</f>
        <v>602966.53401638439</v>
      </c>
      <c r="AH112" s="287"/>
      <c r="AI112" s="1029">
        <f>X112+AC112+AF112</f>
        <v>1192133.2006830513</v>
      </c>
      <c r="AJ112" s="247" t="s">
        <v>207</v>
      </c>
      <c r="AK112" s="298" t="s">
        <v>207</v>
      </c>
      <c r="AL112" s="235">
        <f>T112</f>
        <v>12254.470738491536</v>
      </c>
      <c r="AM112" s="235"/>
      <c r="AN112" s="235">
        <f>VLOOKUP(A112,'Band Calculations 1718'!$A$107:$W$125,23,(FALSE))</f>
        <v>9991.0948916011566</v>
      </c>
      <c r="AO112" s="235">
        <f>T112-AN112</f>
        <v>2263.3758468903798</v>
      </c>
      <c r="AP112" s="36"/>
      <c r="AQ112" s="235">
        <f>VLOOKUP(A112,'Band Calculations - Rebase'!$A$109:$W$127,23,(FALSE))</f>
        <v>11652.177704089083</v>
      </c>
      <c r="AR112" s="235">
        <f>T112-AQ112</f>
        <v>602.29303440245349</v>
      </c>
      <c r="AS112" s="1252"/>
      <c r="AT112" s="1527" t="s">
        <v>842</v>
      </c>
      <c r="AU112" s="36"/>
      <c r="AV112" s="235">
        <f>SUM(R6,R28,R50,R72)</f>
        <v>154743.89373670361</v>
      </c>
      <c r="AW112" s="235">
        <f>SUM('1819 Band Calculations'!U6,'1819 Band Calculations'!U28,'1819 Band Calculations'!U50,'1819 Band Calculations'!U72)</f>
        <v>193956.00651145968</v>
      </c>
      <c r="AX112" s="235">
        <f>AW112-AV112</f>
        <v>39212.112774756068</v>
      </c>
      <c r="AY112" s="36"/>
      <c r="AZ112" s="275">
        <v>42788</v>
      </c>
      <c r="BA112" s="235">
        <f>'1920 Funding Detail'!AF4</f>
        <v>18407.883006924778</v>
      </c>
      <c r="BB112" s="235">
        <f>AZ112-BA112</f>
        <v>24380.116993075222</v>
      </c>
    </row>
    <row r="113" spans="1:54" ht="13" x14ac:dyDescent="0.3">
      <c r="A113" s="244">
        <v>9257005</v>
      </c>
      <c r="B113" s="237" t="s">
        <v>208</v>
      </c>
      <c r="C113" s="238">
        <v>4</v>
      </c>
      <c r="D113" s="245">
        <f t="shared" si="20"/>
        <v>214505.82862463864</v>
      </c>
      <c r="E113" s="245">
        <f t="shared" si="21"/>
        <v>363163.35636915563</v>
      </c>
      <c r="F113" s="68">
        <f t="shared" ref="F113:F129" si="36">SUM(D113:E113)</f>
        <v>577669.1849937943</v>
      </c>
      <c r="G113" s="245">
        <f t="shared" si="22"/>
        <v>115733.37730445617</v>
      </c>
      <c r="H113" s="245">
        <f t="shared" si="23"/>
        <v>183577.08124155115</v>
      </c>
      <c r="I113" s="68">
        <f t="shared" ref="I113:I129" si="37">SUM(G113:H113)</f>
        <v>299310.45854600728</v>
      </c>
      <c r="J113" s="68">
        <f t="shared" ref="J113:J128" si="38">F113+I113</f>
        <v>876979.64353980159</v>
      </c>
      <c r="K113" s="245">
        <f t="shared" si="24"/>
        <v>5741.8074324324325</v>
      </c>
      <c r="L113" s="245">
        <f t="shared" si="25"/>
        <v>9721.0135135135151</v>
      </c>
      <c r="M113" s="68">
        <f t="shared" ref="M113:M129" si="39">SUM(K113:L113)</f>
        <v>15462.820945945947</v>
      </c>
      <c r="N113" s="245">
        <f t="shared" si="26"/>
        <v>3097.9054054054054</v>
      </c>
      <c r="O113" s="245">
        <f t="shared" si="27"/>
        <v>4913.9189189189183</v>
      </c>
      <c r="P113" s="68">
        <f t="shared" ref="P113:P129" si="40">SUM(N113:O113)</f>
        <v>8011.8243243243232</v>
      </c>
      <c r="Q113" s="68">
        <f t="shared" ref="Q113:Q129" si="41">M113+P113</f>
        <v>23474.64527027027</v>
      </c>
      <c r="R113" s="68">
        <f t="shared" si="28"/>
        <v>900454.28881007188</v>
      </c>
      <c r="S113" s="286">
        <f t="shared" si="29"/>
        <v>73.25</v>
      </c>
      <c r="T113" s="245">
        <f t="shared" ref="T113:T129" si="42">R113/S113</f>
        <v>12292.891314813269</v>
      </c>
      <c r="U113" s="237"/>
      <c r="V113" s="245">
        <f t="shared" si="30"/>
        <v>482500.00000000006</v>
      </c>
      <c r="W113" s="245">
        <f t="shared" si="31"/>
        <v>249999.99999999997</v>
      </c>
      <c r="X113" s="245">
        <f t="shared" ref="X113:X129" si="43">V113+W113</f>
        <v>732500</v>
      </c>
      <c r="Y113" s="245">
        <f>VLOOKUP(A113,'1920 Funding Detail'!$A$4:$AN$23,33,FALSE)</f>
        <v>1361423.5093114723</v>
      </c>
      <c r="Z113" s="245">
        <f t="shared" ref="Z113:Z129" si="44">Y113-X113</f>
        <v>628923.5093114723</v>
      </c>
      <c r="AA113" s="245">
        <f t="shared" si="32"/>
        <v>153832.25768141818</v>
      </c>
      <c r="AB113" s="245">
        <f t="shared" si="33"/>
        <v>260441.58974900562</v>
      </c>
      <c r="AC113" s="245">
        <f t="shared" ref="AC113:AC129" si="45">AA113+AB113</f>
        <v>414273.84743042383</v>
      </c>
      <c r="AD113" s="245">
        <f t="shared" si="34"/>
        <v>82997.869260672131</v>
      </c>
      <c r="AE113" s="245">
        <f t="shared" si="35"/>
        <v>131651.79262037648</v>
      </c>
      <c r="AF113" s="245">
        <f t="shared" ref="AF113:AF129" si="46">AD113+AE113</f>
        <v>214649.66188104861</v>
      </c>
      <c r="AG113" s="245">
        <f t="shared" ref="AG113:AG129" si="47">AC113+AF113</f>
        <v>628923.50931147241</v>
      </c>
      <c r="AH113" s="287"/>
      <c r="AI113" s="1029">
        <f t="shared" ref="AI113:AI129" si="48">X113+AC113+AF113</f>
        <v>1361423.5093114725</v>
      </c>
      <c r="AJ113" s="247" t="s">
        <v>207</v>
      </c>
      <c r="AK113" s="298" t="s">
        <v>207</v>
      </c>
      <c r="AL113" s="235">
        <f t="shared" ref="AL113:AL129" si="49">T113</f>
        <v>12292.891314813269</v>
      </c>
      <c r="AM113" s="235"/>
      <c r="AN113" s="235">
        <f>VLOOKUP(A113,'Band Calculations 1718'!$A$107:$W$125,23,(FALSE))</f>
        <v>9737.6409510925641</v>
      </c>
      <c r="AO113" s="235">
        <f t="shared" ref="AO113:AO129" si="50">T113-AN113</f>
        <v>2555.2503637207046</v>
      </c>
      <c r="AP113" s="36"/>
      <c r="AQ113" s="235">
        <f>VLOOKUP(A113,'Band Calculations - Rebase'!$A$109:$W$127,23,(FALSE))</f>
        <v>10717.42026627099</v>
      </c>
      <c r="AR113" s="235">
        <f t="shared" ref="AR113:AR129" si="51">T113-AQ113</f>
        <v>1575.4710485422784</v>
      </c>
      <c r="AS113" s="1252"/>
      <c r="AT113" s="1527"/>
      <c r="AU113" s="36"/>
      <c r="AV113" s="235">
        <f t="shared" ref="AV113:AV129" si="52">SUM(R7,R29,R51,R73)</f>
        <v>133707.485907725</v>
      </c>
      <c r="AW113" s="235">
        <f>SUM('1819 Band Calculations'!U7,'1819 Band Calculations'!U29,'1819 Band Calculations'!U51,'1819 Band Calculations'!U73)</f>
        <v>153737.07349456951</v>
      </c>
      <c r="AX113" s="235">
        <f t="shared" ref="AX113:AX129" si="53">AW113-AV113</f>
        <v>20029.587586844515</v>
      </c>
      <c r="AY113" s="36"/>
      <c r="AZ113" s="275">
        <v>26736</v>
      </c>
      <c r="BA113" s="235">
        <f>'1920 Funding Detail'!AF5</f>
        <v>8787.6205014002953</v>
      </c>
      <c r="BB113" s="235">
        <f t="shared" ref="BB113:BB129" si="54">AZ113-BA113</f>
        <v>17948.379498599705</v>
      </c>
    </row>
    <row r="114" spans="1:54" ht="13" x14ac:dyDescent="0.3">
      <c r="A114" s="244">
        <v>9257025</v>
      </c>
      <c r="B114" s="237" t="s">
        <v>209</v>
      </c>
      <c r="C114" s="238">
        <v>4</v>
      </c>
      <c r="D114" s="245">
        <f t="shared" si="20"/>
        <v>205773.51234505183</v>
      </c>
      <c r="E114" s="245">
        <f t="shared" si="21"/>
        <v>329237.61975208297</v>
      </c>
      <c r="F114" s="68">
        <f t="shared" si="36"/>
        <v>535011.13209713483</v>
      </c>
      <c r="G114" s="245">
        <f t="shared" si="22"/>
        <v>63831.783421322209</v>
      </c>
      <c r="H114" s="245">
        <f t="shared" si="23"/>
        <v>120944.43174566313</v>
      </c>
      <c r="I114" s="68">
        <f t="shared" si="37"/>
        <v>184776.21516698535</v>
      </c>
      <c r="J114" s="68">
        <f t="shared" si="38"/>
        <v>719787.34726412012</v>
      </c>
      <c r="K114" s="245">
        <f t="shared" si="24"/>
        <v>6542.9898648648659</v>
      </c>
      <c r="L114" s="245">
        <f t="shared" si="25"/>
        <v>10468.783783783785</v>
      </c>
      <c r="M114" s="68">
        <f t="shared" si="39"/>
        <v>17011.77364864865</v>
      </c>
      <c r="N114" s="245">
        <f t="shared" si="26"/>
        <v>2029.6621621621621</v>
      </c>
      <c r="O114" s="245">
        <f t="shared" si="27"/>
        <v>3845.6756756756758</v>
      </c>
      <c r="P114" s="68">
        <f t="shared" si="40"/>
        <v>5875.3378378378384</v>
      </c>
      <c r="Q114" s="68">
        <f t="shared" si="41"/>
        <v>22887.111486486487</v>
      </c>
      <c r="R114" s="68">
        <f t="shared" si="28"/>
        <v>742674.45875060663</v>
      </c>
      <c r="S114" s="286">
        <f t="shared" si="29"/>
        <v>71.416666666666686</v>
      </c>
      <c r="T114" s="245">
        <f t="shared" si="42"/>
        <v>10399.175618444897</v>
      </c>
      <c r="U114" s="237"/>
      <c r="V114" s="245">
        <f t="shared" si="30"/>
        <v>530833.33333333337</v>
      </c>
      <c r="W114" s="245">
        <f t="shared" si="31"/>
        <v>183333.33333333331</v>
      </c>
      <c r="X114" s="245">
        <f t="shared" si="43"/>
        <v>714166.66666666674</v>
      </c>
      <c r="Y114" s="245">
        <f>VLOOKUP(A114,'1920 Funding Detail'!$A$4:$AN$23,33,FALSE)</f>
        <v>1230171.6595820116</v>
      </c>
      <c r="Z114" s="245">
        <f t="shared" si="44"/>
        <v>516004.99291534489</v>
      </c>
      <c r="AA114" s="245">
        <f t="shared" si="32"/>
        <v>147516.01314382663</v>
      </c>
      <c r="AB114" s="245">
        <f t="shared" si="33"/>
        <v>236025.62103012262</v>
      </c>
      <c r="AC114" s="245">
        <f t="shared" si="45"/>
        <v>383541.63417394925</v>
      </c>
      <c r="AD114" s="245">
        <f t="shared" si="34"/>
        <v>45760.069383391121</v>
      </c>
      <c r="AE114" s="245">
        <f t="shared" si="35"/>
        <v>86703.289358004229</v>
      </c>
      <c r="AF114" s="245">
        <f t="shared" si="46"/>
        <v>132463.35874139535</v>
      </c>
      <c r="AG114" s="245">
        <f t="shared" si="47"/>
        <v>516004.9929153446</v>
      </c>
      <c r="AH114" s="287"/>
      <c r="AI114" s="1029">
        <f t="shared" si="48"/>
        <v>1230171.6595820114</v>
      </c>
      <c r="AJ114" s="247" t="s">
        <v>207</v>
      </c>
      <c r="AK114" s="298" t="s">
        <v>207</v>
      </c>
      <c r="AL114" s="235">
        <f t="shared" si="49"/>
        <v>10399.175618444897</v>
      </c>
      <c r="AM114" s="235"/>
      <c r="AN114" s="235">
        <f>VLOOKUP(A114,'Band Calculations 1718'!$A$107:$W$125,23,(FALSE))</f>
        <v>10128.233980342673</v>
      </c>
      <c r="AO114" s="235">
        <f t="shared" si="50"/>
        <v>270.94163810222381</v>
      </c>
      <c r="AP114" s="36"/>
      <c r="AQ114" s="235">
        <f>VLOOKUP(A114,'Band Calculations - Rebase'!$A$109:$W$127,23,(FALSE))</f>
        <v>11126.205484397093</v>
      </c>
      <c r="AR114" s="1253">
        <f t="shared" si="51"/>
        <v>-727.02986595219591</v>
      </c>
      <c r="AS114" s="1252"/>
      <c r="AT114" s="1527"/>
      <c r="AU114" s="36"/>
      <c r="AV114" s="235">
        <f t="shared" si="52"/>
        <v>65180.497965256167</v>
      </c>
      <c r="AW114" s="235">
        <f>SUM('1819 Band Calculations'!U8,'1819 Band Calculations'!U30,'1819 Band Calculations'!U52,'1819 Band Calculations'!U74)</f>
        <v>133396.44850821473</v>
      </c>
      <c r="AX114" s="235">
        <f t="shared" si="53"/>
        <v>68215.95054295857</v>
      </c>
      <c r="AY114" s="36"/>
      <c r="AZ114" s="275">
        <v>75990</v>
      </c>
      <c r="BA114" s="235">
        <f>'1920 Funding Detail'!AF6</f>
        <v>33969.050831405191</v>
      </c>
      <c r="BB114" s="235">
        <f t="shared" si="54"/>
        <v>42020.949168594809</v>
      </c>
    </row>
    <row r="115" spans="1:54" ht="13" x14ac:dyDescent="0.3">
      <c r="A115" s="244">
        <v>9257011</v>
      </c>
      <c r="B115" s="237" t="s">
        <v>210</v>
      </c>
      <c r="C115" s="238">
        <v>4</v>
      </c>
      <c r="D115" s="245">
        <f t="shared" si="20"/>
        <v>224531.82160550327</v>
      </c>
      <c r="E115" s="245">
        <f t="shared" si="21"/>
        <v>314344.55024770461</v>
      </c>
      <c r="F115" s="68">
        <f t="shared" si="36"/>
        <v>538876.37185320794</v>
      </c>
      <c r="G115" s="245">
        <f t="shared" si="22"/>
        <v>61235.951346955437</v>
      </c>
      <c r="H115" s="245">
        <f t="shared" si="23"/>
        <v>122471.90269391087</v>
      </c>
      <c r="I115" s="68">
        <f t="shared" si="37"/>
        <v>183707.85404086631</v>
      </c>
      <c r="J115" s="68">
        <f t="shared" si="38"/>
        <v>722584.22589407419</v>
      </c>
      <c r="K115" s="245">
        <f t="shared" si="24"/>
        <v>1756.6666666666667</v>
      </c>
      <c r="L115" s="245">
        <f t="shared" si="25"/>
        <v>2459.3333333333335</v>
      </c>
      <c r="M115" s="68">
        <f t="shared" si="39"/>
        <v>4216</v>
      </c>
      <c r="N115" s="245">
        <f t="shared" si="26"/>
        <v>479.09090909090907</v>
      </c>
      <c r="O115" s="245">
        <f t="shared" si="27"/>
        <v>958.18181818181813</v>
      </c>
      <c r="P115" s="68">
        <f t="shared" si="40"/>
        <v>1437.2727272727273</v>
      </c>
      <c r="Q115" s="68">
        <f t="shared" si="41"/>
        <v>5653.272727272727</v>
      </c>
      <c r="R115" s="68">
        <f t="shared" si="28"/>
        <v>728237.49862134689</v>
      </c>
      <c r="S115" s="286">
        <f t="shared" si="29"/>
        <v>59</v>
      </c>
      <c r="T115" s="245">
        <f t="shared" si="42"/>
        <v>12343.008451209269</v>
      </c>
      <c r="U115" s="237"/>
      <c r="V115" s="245">
        <f t="shared" si="30"/>
        <v>440000</v>
      </c>
      <c r="W115" s="245">
        <f t="shared" si="31"/>
        <v>150000</v>
      </c>
      <c r="X115" s="245">
        <f t="shared" si="43"/>
        <v>590000</v>
      </c>
      <c r="Y115" s="245">
        <f>VLOOKUP(A115,'1920 Funding Detail'!$A$4:$AN$23,33,FALSE)</f>
        <v>1180867.9486213468</v>
      </c>
      <c r="Z115" s="245">
        <f t="shared" si="44"/>
        <v>590867.94862134685</v>
      </c>
      <c r="AA115" s="245">
        <f t="shared" si="32"/>
        <v>183603.03488233942</v>
      </c>
      <c r="AB115" s="245">
        <f t="shared" si="33"/>
        <v>257044.24883527518</v>
      </c>
      <c r="AC115" s="245">
        <f t="shared" si="45"/>
        <v>440647.2837176146</v>
      </c>
      <c r="AD115" s="245">
        <f t="shared" si="34"/>
        <v>50073.55496791075</v>
      </c>
      <c r="AE115" s="245">
        <f t="shared" si="35"/>
        <v>100147.1099358215</v>
      </c>
      <c r="AF115" s="245">
        <f t="shared" si="46"/>
        <v>150220.66490373225</v>
      </c>
      <c r="AG115" s="245">
        <f t="shared" si="47"/>
        <v>590867.94862134685</v>
      </c>
      <c r="AH115" s="287"/>
      <c r="AI115" s="1029">
        <f t="shared" si="48"/>
        <v>1180867.9486213468</v>
      </c>
      <c r="AJ115" s="247" t="s">
        <v>207</v>
      </c>
      <c r="AK115" s="298" t="s">
        <v>207</v>
      </c>
      <c r="AL115" s="235">
        <f t="shared" si="49"/>
        <v>12343.008451209269</v>
      </c>
      <c r="AM115" s="235"/>
      <c r="AN115" s="235">
        <f>VLOOKUP(A115,'Band Calculations 1718'!$A$107:$W$125,23,(FALSE))</f>
        <v>10268.67930679802</v>
      </c>
      <c r="AO115" s="235">
        <f t="shared" si="50"/>
        <v>2074.3291444112492</v>
      </c>
      <c r="AP115" s="36"/>
      <c r="AQ115" s="235">
        <f>VLOOKUP(A115,'Band Calculations - Rebase'!$A$109:$W$127,23,(FALSE))</f>
        <v>11433.494344038008</v>
      </c>
      <c r="AR115" s="1253">
        <f t="shared" si="51"/>
        <v>909.51410717126055</v>
      </c>
      <c r="AS115" s="1252"/>
      <c r="AT115" s="1527"/>
      <c r="AU115" s="36"/>
      <c r="AV115" s="235">
        <f t="shared" si="52"/>
        <v>120750.20859926101</v>
      </c>
      <c r="AW115" s="235">
        <f>SUM('1819 Band Calculations'!U9,'1819 Band Calculations'!U31,'1819 Band Calculations'!U53,'1819 Band Calculations'!U75)</f>
        <v>143623.01176613296</v>
      </c>
      <c r="AX115" s="235">
        <f t="shared" si="53"/>
        <v>22872.803166871949</v>
      </c>
      <c r="AY115" s="36"/>
      <c r="AZ115" s="235">
        <f>'1920 Funding Detail'!AF7</f>
        <v>0</v>
      </c>
      <c r="BA115" s="235">
        <f>'1920 Funding Detail'!AF7</f>
        <v>0</v>
      </c>
      <c r="BB115" s="235">
        <f t="shared" si="54"/>
        <v>0</v>
      </c>
    </row>
    <row r="116" spans="1:54" ht="13" x14ac:dyDescent="0.3">
      <c r="A116" s="244">
        <v>9257024</v>
      </c>
      <c r="B116" s="237" t="s">
        <v>211</v>
      </c>
      <c r="C116" s="238">
        <v>3</v>
      </c>
      <c r="D116" s="245">
        <f t="shared" si="20"/>
        <v>316110.99059343652</v>
      </c>
      <c r="E116" s="245">
        <f t="shared" si="21"/>
        <v>436047.21937741683</v>
      </c>
      <c r="F116" s="68">
        <f t="shared" si="36"/>
        <v>752158.20997085329</v>
      </c>
      <c r="G116" s="245">
        <f t="shared" si="22"/>
        <v>40908.481135621187</v>
      </c>
      <c r="H116" s="245">
        <f t="shared" si="23"/>
        <v>111568.58491533052</v>
      </c>
      <c r="I116" s="68">
        <f t="shared" si="37"/>
        <v>152477.06605095172</v>
      </c>
      <c r="J116" s="68">
        <f t="shared" si="38"/>
        <v>904635.27602180501</v>
      </c>
      <c r="K116" s="245">
        <f t="shared" si="24"/>
        <v>1820.9349593495938</v>
      </c>
      <c r="L116" s="245">
        <f t="shared" si="25"/>
        <v>2511.8191056910573</v>
      </c>
      <c r="M116" s="68">
        <f t="shared" si="39"/>
        <v>4332.7540650406509</v>
      </c>
      <c r="N116" s="245">
        <f t="shared" si="26"/>
        <v>235.65040650406505</v>
      </c>
      <c r="O116" s="245">
        <f t="shared" si="27"/>
        <v>642.68292682926824</v>
      </c>
      <c r="P116" s="68">
        <f t="shared" si="40"/>
        <v>878.33333333333326</v>
      </c>
      <c r="Q116" s="68">
        <f t="shared" si="41"/>
        <v>5211.0873983739839</v>
      </c>
      <c r="R116" s="68">
        <f t="shared" si="28"/>
        <v>909846.363420179</v>
      </c>
      <c r="S116" s="286">
        <f t="shared" si="29"/>
        <v>81.083333333333343</v>
      </c>
      <c r="T116" s="245">
        <f t="shared" si="42"/>
        <v>11221.126784215978</v>
      </c>
      <c r="U116" s="237"/>
      <c r="V116" s="245">
        <f t="shared" si="30"/>
        <v>674166.66666666674</v>
      </c>
      <c r="W116" s="245">
        <f t="shared" si="31"/>
        <v>136666.66666666666</v>
      </c>
      <c r="X116" s="245">
        <f t="shared" si="43"/>
        <v>810833.33333333337</v>
      </c>
      <c r="Y116" s="245">
        <f>VLOOKUP(A116,'1920 Funding Detail'!$A$4:$AN$23,33,FALSE)</f>
        <v>1402857.1149880053</v>
      </c>
      <c r="Z116" s="245">
        <f t="shared" si="44"/>
        <v>592023.78165467188</v>
      </c>
      <c r="AA116" s="245">
        <f t="shared" si="32"/>
        <v>206873.67498724395</v>
      </c>
      <c r="AB116" s="245">
        <f t="shared" si="33"/>
        <v>285363.98108534538</v>
      </c>
      <c r="AC116" s="245">
        <f t="shared" si="45"/>
        <v>492237.65607258934</v>
      </c>
      <c r="AD116" s="245">
        <f t="shared" si="34"/>
        <v>26771.887351290399</v>
      </c>
      <c r="AE116" s="245">
        <f t="shared" si="35"/>
        <v>73014.238230791991</v>
      </c>
      <c r="AF116" s="245">
        <f t="shared" si="46"/>
        <v>99786.125582082386</v>
      </c>
      <c r="AG116" s="245">
        <f t="shared" si="47"/>
        <v>592023.78165467177</v>
      </c>
      <c r="AH116" s="287"/>
      <c r="AI116" s="1029">
        <f t="shared" si="48"/>
        <v>1402857.114988005</v>
      </c>
      <c r="AJ116" s="247" t="s">
        <v>207</v>
      </c>
      <c r="AK116" s="298" t="s">
        <v>207</v>
      </c>
      <c r="AL116" s="235">
        <f t="shared" si="49"/>
        <v>11221.126784215978</v>
      </c>
      <c r="AM116" s="235"/>
      <c r="AN116" s="235">
        <f>VLOOKUP(A116,'Band Calculations 1718'!$A$107:$W$125,23,(FALSE))</f>
        <v>9289.4498761949271</v>
      </c>
      <c r="AO116" s="235">
        <f t="shared" si="50"/>
        <v>1931.6769080210506</v>
      </c>
      <c r="AP116" s="36"/>
      <c r="AQ116" s="235">
        <f>VLOOKUP(A116,'Band Calculations - Rebase'!$A$109:$W$127,23,(FALSE))</f>
        <v>10753.400292648294</v>
      </c>
      <c r="AR116" s="235">
        <f t="shared" si="51"/>
        <v>467.72649156768421</v>
      </c>
      <c r="AS116" s="1252"/>
      <c r="AT116" s="1527"/>
      <c r="AU116" s="36"/>
      <c r="AV116" s="235">
        <f t="shared" si="52"/>
        <v>222610.83826613796</v>
      </c>
      <c r="AW116" s="235">
        <f>SUM('1819 Band Calculations'!U10,'1819 Band Calculations'!U32,'1819 Band Calculations'!U54,'1819 Band Calculations'!U76)</f>
        <v>219744.02368155867</v>
      </c>
      <c r="AX116" s="235">
        <f t="shared" si="53"/>
        <v>-2866.8145845792897</v>
      </c>
      <c r="AY116" s="36"/>
      <c r="AZ116" s="235">
        <v>41581</v>
      </c>
      <c r="BA116" s="235">
        <f>'1920 Funding Detail'!AF8</f>
        <v>33198.701567825992</v>
      </c>
      <c r="BB116" s="235">
        <f t="shared" si="54"/>
        <v>8382.2984321740078</v>
      </c>
    </row>
    <row r="117" spans="1:54" ht="13" x14ac:dyDescent="0.3">
      <c r="A117" s="244">
        <v>9257031</v>
      </c>
      <c r="B117" s="237" t="s">
        <v>257</v>
      </c>
      <c r="C117" s="238">
        <v>4</v>
      </c>
      <c r="D117" s="245">
        <f t="shared" si="20"/>
        <v>337902.36951553577</v>
      </c>
      <c r="E117" s="245">
        <f t="shared" si="21"/>
        <v>492774.28887682292</v>
      </c>
      <c r="F117" s="68">
        <f t="shared" si="36"/>
        <v>830676.65839235869</v>
      </c>
      <c r="G117" s="245">
        <f t="shared" si="22"/>
        <v>0</v>
      </c>
      <c r="H117" s="245">
        <f t="shared" si="23"/>
        <v>0</v>
      </c>
      <c r="I117" s="68">
        <f t="shared" si="37"/>
        <v>0</v>
      </c>
      <c r="J117" s="68">
        <f t="shared" si="38"/>
        <v>830676.65839235869</v>
      </c>
      <c r="K117" s="245">
        <f t="shared" si="24"/>
        <v>79050</v>
      </c>
      <c r="L117" s="245">
        <f t="shared" si="25"/>
        <v>115281.25000000001</v>
      </c>
      <c r="M117" s="68">
        <f t="shared" si="39"/>
        <v>194331.25</v>
      </c>
      <c r="N117" s="245">
        <f t="shared" si="26"/>
        <v>0</v>
      </c>
      <c r="O117" s="245">
        <f t="shared" si="27"/>
        <v>0</v>
      </c>
      <c r="P117" s="68">
        <f t="shared" si="40"/>
        <v>0</v>
      </c>
      <c r="Q117" s="68">
        <f t="shared" si="41"/>
        <v>194331.25</v>
      </c>
      <c r="R117" s="68">
        <f t="shared" si="28"/>
        <v>1025007.9083923587</v>
      </c>
      <c r="S117" s="286">
        <f t="shared" si="29"/>
        <v>73.75</v>
      </c>
      <c r="T117" s="245">
        <f t="shared" si="42"/>
        <v>13898.412317184524</v>
      </c>
      <c r="U117" s="237"/>
      <c r="V117" s="245">
        <f t="shared" si="30"/>
        <v>737500</v>
      </c>
      <c r="W117" s="245">
        <f t="shared" si="31"/>
        <v>0</v>
      </c>
      <c r="X117" s="245">
        <f t="shared" si="43"/>
        <v>737500</v>
      </c>
      <c r="Y117" s="245">
        <f>VLOOKUP(A117,'1920 Funding Detail'!$A$4:$AN$23,33,FALSE)</f>
        <v>1483912.2443487365</v>
      </c>
      <c r="Z117" s="245">
        <f t="shared" si="44"/>
        <v>746412.24434873648</v>
      </c>
      <c r="AA117" s="245">
        <f t="shared" si="32"/>
        <v>303625.31973507919</v>
      </c>
      <c r="AB117" s="245">
        <f t="shared" si="33"/>
        <v>442786.92461365717</v>
      </c>
      <c r="AC117" s="245">
        <f t="shared" si="45"/>
        <v>746412.24434873636</v>
      </c>
      <c r="AD117" s="245">
        <f t="shared" si="34"/>
        <v>0</v>
      </c>
      <c r="AE117" s="245">
        <f t="shared" si="35"/>
        <v>0</v>
      </c>
      <c r="AF117" s="245">
        <f t="shared" si="46"/>
        <v>0</v>
      </c>
      <c r="AG117" s="245">
        <f t="shared" si="47"/>
        <v>746412.24434873636</v>
      </c>
      <c r="AH117" s="287"/>
      <c r="AI117" s="1029">
        <f t="shared" si="48"/>
        <v>1483912.2443487365</v>
      </c>
      <c r="AJ117" s="247" t="s">
        <v>207</v>
      </c>
      <c r="AK117" s="298" t="s">
        <v>207</v>
      </c>
      <c r="AL117" s="235">
        <f t="shared" si="49"/>
        <v>13898.412317184524</v>
      </c>
      <c r="AM117" s="235"/>
      <c r="AN117" s="235">
        <f>VLOOKUP(A117,'Band Calculations 1718'!$A$107:$W$125,23,(FALSE))</f>
        <v>14327.068527263833</v>
      </c>
      <c r="AO117" s="235">
        <f t="shared" si="50"/>
        <v>-428.65621007930895</v>
      </c>
      <c r="AP117" s="36"/>
      <c r="AQ117" s="235">
        <f>VLOOKUP(A117,'Band Calculations - Rebase'!$A$109:$W$127,23,(FALSE))</f>
        <v>14327.068527263833</v>
      </c>
      <c r="AR117" s="235">
        <f t="shared" si="51"/>
        <v>-428.65621007930895</v>
      </c>
      <c r="AS117" s="1252"/>
      <c r="AT117" s="1527"/>
      <c r="AU117" s="36"/>
      <c r="AV117" s="235">
        <f t="shared" si="52"/>
        <v>0</v>
      </c>
      <c r="AW117" s="235">
        <f>SUM('1819 Band Calculations'!U11,'1819 Band Calculations'!U33,'1819 Band Calculations'!U55,'1819 Band Calculations'!U77)</f>
        <v>0</v>
      </c>
      <c r="AX117" s="235">
        <f t="shared" si="53"/>
        <v>0</v>
      </c>
      <c r="AY117" s="36"/>
      <c r="AZ117" s="235">
        <v>33388</v>
      </c>
      <c r="BA117" s="235">
        <f>'1920 Funding Detail'!AF17</f>
        <v>33387.685956377958</v>
      </c>
      <c r="BB117" s="235">
        <f t="shared" si="54"/>
        <v>0.31404362204193603</v>
      </c>
    </row>
    <row r="118" spans="1:54" ht="13" x14ac:dyDescent="0.3">
      <c r="A118" s="244">
        <v>9257033</v>
      </c>
      <c r="B118" s="237" t="s">
        <v>220</v>
      </c>
      <c r="C118" s="238">
        <v>3</v>
      </c>
      <c r="D118" s="245">
        <f t="shared" si="20"/>
        <v>379968.78874726937</v>
      </c>
      <c r="E118" s="245">
        <f t="shared" si="21"/>
        <v>520516.38372475398</v>
      </c>
      <c r="F118" s="68">
        <f t="shared" si="36"/>
        <v>900485.17247202341</v>
      </c>
      <c r="G118" s="245">
        <f t="shared" si="22"/>
        <v>0</v>
      </c>
      <c r="H118" s="245">
        <f t="shared" si="23"/>
        <v>0</v>
      </c>
      <c r="I118" s="68">
        <f t="shared" si="37"/>
        <v>0</v>
      </c>
      <c r="J118" s="68">
        <f t="shared" si="38"/>
        <v>900485.17247202341</v>
      </c>
      <c r="K118" s="245">
        <f t="shared" si="24"/>
        <v>19725.071022727272</v>
      </c>
      <c r="L118" s="245">
        <f t="shared" si="25"/>
        <v>27021.226325757576</v>
      </c>
      <c r="M118" s="68">
        <f t="shared" si="39"/>
        <v>46746.297348484848</v>
      </c>
      <c r="N118" s="245">
        <f t="shared" si="26"/>
        <v>0</v>
      </c>
      <c r="O118" s="245">
        <f t="shared" si="27"/>
        <v>0</v>
      </c>
      <c r="P118" s="68">
        <f t="shared" si="40"/>
        <v>0</v>
      </c>
      <c r="Q118" s="68">
        <f t="shared" si="41"/>
        <v>46746.297348484848</v>
      </c>
      <c r="R118" s="68">
        <f t="shared" si="28"/>
        <v>947231.46982050827</v>
      </c>
      <c r="S118" s="286">
        <f t="shared" si="29"/>
        <v>91.833333333333343</v>
      </c>
      <c r="T118" s="245">
        <f t="shared" si="42"/>
        <v>10314.680252128946</v>
      </c>
      <c r="U118" s="237"/>
      <c r="V118" s="245">
        <f t="shared" si="30"/>
        <v>918333.33333333337</v>
      </c>
      <c r="W118" s="245">
        <f t="shared" si="31"/>
        <v>0</v>
      </c>
      <c r="X118" s="245">
        <f t="shared" si="43"/>
        <v>918333.33333333337</v>
      </c>
      <c r="Y118" s="245">
        <f>VLOOKUP(A118,'1920 Funding Detail'!$A$4:$AN$23,33,FALSE)</f>
        <v>1411980.8698205082</v>
      </c>
      <c r="Z118" s="245">
        <f t="shared" si="44"/>
        <v>493647.5364871748</v>
      </c>
      <c r="AA118" s="245">
        <f t="shared" si="32"/>
        <v>208299.55033261003</v>
      </c>
      <c r="AB118" s="245">
        <f t="shared" si="33"/>
        <v>285347.98615456471</v>
      </c>
      <c r="AC118" s="245">
        <f t="shared" si="45"/>
        <v>493647.53648717474</v>
      </c>
      <c r="AD118" s="245">
        <f t="shared" si="34"/>
        <v>0</v>
      </c>
      <c r="AE118" s="245">
        <f t="shared" si="35"/>
        <v>0</v>
      </c>
      <c r="AF118" s="245">
        <f t="shared" si="46"/>
        <v>0</v>
      </c>
      <c r="AG118" s="245">
        <f t="shared" si="47"/>
        <v>493647.53648717474</v>
      </c>
      <c r="AH118" s="287"/>
      <c r="AI118" s="1029">
        <f t="shared" si="48"/>
        <v>1411980.8698205082</v>
      </c>
      <c r="AJ118" s="247" t="s">
        <v>207</v>
      </c>
      <c r="AK118" s="298" t="s">
        <v>207</v>
      </c>
      <c r="AL118" s="235">
        <f t="shared" si="49"/>
        <v>10314.680252128946</v>
      </c>
      <c r="AM118" s="235"/>
      <c r="AN118" s="235">
        <f>VLOOKUP(A118,'Band Calculations 1718'!$A$107:$W$125,23,(FALSE))</f>
        <v>9853.3189773154299</v>
      </c>
      <c r="AO118" s="1253">
        <f t="shared" si="50"/>
        <v>461.3612748135165</v>
      </c>
      <c r="AP118" s="36"/>
      <c r="AQ118" s="235">
        <f>VLOOKUP(A118,'Band Calculations - Rebase'!$A$109:$W$127,23,(FALSE))</f>
        <v>9853.3189773154299</v>
      </c>
      <c r="AR118" s="1253">
        <f t="shared" si="51"/>
        <v>461.3612748135165</v>
      </c>
      <c r="AS118" s="1252"/>
      <c r="AT118" s="1527"/>
      <c r="AU118" s="36"/>
      <c r="AV118" s="235">
        <f t="shared" si="52"/>
        <v>0</v>
      </c>
      <c r="AW118" s="235">
        <f>SUM('1819 Band Calculations'!U12,'1819 Band Calculations'!U34,'1819 Band Calculations'!U56,'1819 Band Calculations'!U78)</f>
        <v>0</v>
      </c>
      <c r="AX118" s="235">
        <f t="shared" si="53"/>
        <v>0</v>
      </c>
      <c r="AY118" s="36"/>
      <c r="AZ118" s="235">
        <f>'1920 Funding Detail'!AF22</f>
        <v>0</v>
      </c>
      <c r="BA118" s="235">
        <f>'1920 Funding Detail'!AF22</f>
        <v>0</v>
      </c>
      <c r="BB118" s="235">
        <f t="shared" si="54"/>
        <v>0</v>
      </c>
    </row>
    <row r="119" spans="1:54" ht="13" x14ac:dyDescent="0.3">
      <c r="A119" s="244">
        <v>9257008</v>
      </c>
      <c r="B119" s="237" t="s">
        <v>212</v>
      </c>
      <c r="C119" s="238">
        <v>4</v>
      </c>
      <c r="D119" s="245">
        <f t="shared" si="20"/>
        <v>364371.09367785533</v>
      </c>
      <c r="E119" s="245">
        <f t="shared" si="21"/>
        <v>510119.53114899743</v>
      </c>
      <c r="F119" s="68">
        <f t="shared" si="36"/>
        <v>874490.6248268527</v>
      </c>
      <c r="G119" s="245">
        <f t="shared" si="22"/>
        <v>0</v>
      </c>
      <c r="H119" s="245">
        <f t="shared" si="23"/>
        <v>0</v>
      </c>
      <c r="I119" s="68">
        <f t="shared" si="37"/>
        <v>0</v>
      </c>
      <c r="J119" s="68">
        <f t="shared" si="38"/>
        <v>874490.6248268527</v>
      </c>
      <c r="K119" s="245">
        <f t="shared" si="24"/>
        <v>10979.166666666668</v>
      </c>
      <c r="L119" s="245">
        <f t="shared" si="25"/>
        <v>15370.833333333334</v>
      </c>
      <c r="M119" s="68">
        <f t="shared" si="39"/>
        <v>26350</v>
      </c>
      <c r="N119" s="245">
        <f t="shared" si="26"/>
        <v>0</v>
      </c>
      <c r="O119" s="245">
        <f t="shared" si="27"/>
        <v>0</v>
      </c>
      <c r="P119" s="68">
        <f t="shared" si="40"/>
        <v>0</v>
      </c>
      <c r="Q119" s="68">
        <f t="shared" si="41"/>
        <v>26350</v>
      </c>
      <c r="R119" s="68">
        <f t="shared" si="28"/>
        <v>900840.6248268527</v>
      </c>
      <c r="S119" s="286">
        <f t="shared" si="29"/>
        <v>95</v>
      </c>
      <c r="T119" s="245">
        <f t="shared" si="42"/>
        <v>9482.5328929142397</v>
      </c>
      <c r="U119" s="237"/>
      <c r="V119" s="245">
        <f t="shared" si="30"/>
        <v>950000.00000000012</v>
      </c>
      <c r="W119" s="245">
        <f t="shared" si="31"/>
        <v>0</v>
      </c>
      <c r="X119" s="245">
        <f t="shared" si="43"/>
        <v>950000.00000000012</v>
      </c>
      <c r="Y119" s="245">
        <f>VLOOKUP(A119,'1920 Funding Detail'!$A$4:$AN$23,33,FALSE)</f>
        <v>1354368.7748268526</v>
      </c>
      <c r="Z119" s="245">
        <f t="shared" si="44"/>
        <v>404368.77482685249</v>
      </c>
      <c r="AA119" s="245">
        <f t="shared" si="32"/>
        <v>168486.98951118859</v>
      </c>
      <c r="AB119" s="245">
        <f t="shared" si="33"/>
        <v>235881.78531566402</v>
      </c>
      <c r="AC119" s="245">
        <f t="shared" si="45"/>
        <v>404368.7748268526</v>
      </c>
      <c r="AD119" s="245">
        <f t="shared" si="34"/>
        <v>0</v>
      </c>
      <c r="AE119" s="245">
        <f t="shared" si="35"/>
        <v>0</v>
      </c>
      <c r="AF119" s="245">
        <f t="shared" si="46"/>
        <v>0</v>
      </c>
      <c r="AG119" s="245">
        <f t="shared" si="47"/>
        <v>404368.7748268526</v>
      </c>
      <c r="AH119" s="287"/>
      <c r="AI119" s="1029">
        <f t="shared" si="48"/>
        <v>1354368.7748268526</v>
      </c>
      <c r="AJ119" s="247" t="s">
        <v>207</v>
      </c>
      <c r="AK119" s="298" t="s">
        <v>207</v>
      </c>
      <c r="AL119" s="235">
        <f t="shared" si="49"/>
        <v>9482.5328929142397</v>
      </c>
      <c r="AM119" s="235"/>
      <c r="AN119" s="235">
        <f>VLOOKUP(A119,'Band Calculations 1718'!$A$107:$W$125,23,(FALSE))</f>
        <v>8745.392390460469</v>
      </c>
      <c r="AO119" s="235">
        <f t="shared" si="50"/>
        <v>737.14050245377075</v>
      </c>
      <c r="AP119" s="36"/>
      <c r="AQ119" s="235">
        <f>VLOOKUP(A119,'Band Calculations - Rebase'!$A$109:$W$127,23,(FALSE))</f>
        <v>8745.392390460469</v>
      </c>
      <c r="AR119" s="235">
        <f t="shared" si="51"/>
        <v>737.14050245377075</v>
      </c>
      <c r="AS119" s="1252"/>
      <c r="AT119" s="1527"/>
      <c r="AU119" s="36"/>
      <c r="AV119" s="235">
        <f t="shared" si="52"/>
        <v>0</v>
      </c>
      <c r="AW119" s="235">
        <f>SUM('1819 Band Calculations'!U13,'1819 Band Calculations'!U35,'1819 Band Calculations'!U57,'1819 Band Calculations'!U79)</f>
        <v>0</v>
      </c>
      <c r="AX119" s="235">
        <f t="shared" si="53"/>
        <v>0</v>
      </c>
      <c r="AY119" s="36"/>
      <c r="AZ119" s="235">
        <f>'1920 Funding Detail'!AF9</f>
        <v>0</v>
      </c>
      <c r="BA119" s="235">
        <f>'1920 Funding Detail'!AF9</f>
        <v>0</v>
      </c>
      <c r="BB119" s="235">
        <f t="shared" si="54"/>
        <v>0</v>
      </c>
    </row>
    <row r="120" spans="1:54" ht="13" x14ac:dyDescent="0.3">
      <c r="A120" s="244">
        <v>9257034</v>
      </c>
      <c r="B120" s="237" t="s">
        <v>221</v>
      </c>
      <c r="C120" s="238">
        <v>5</v>
      </c>
      <c r="D120" s="245">
        <f t="shared" si="20"/>
        <v>267805.7825802702</v>
      </c>
      <c r="E120" s="245">
        <f t="shared" si="21"/>
        <v>398961.9478952231</v>
      </c>
      <c r="F120" s="68">
        <f t="shared" si="36"/>
        <v>666767.73047549324</v>
      </c>
      <c r="G120" s="245">
        <f t="shared" si="22"/>
        <v>90641.957181014528</v>
      </c>
      <c r="H120" s="245">
        <f t="shared" si="23"/>
        <v>203257.72216348711</v>
      </c>
      <c r="I120" s="68">
        <f t="shared" si="37"/>
        <v>293899.67934450164</v>
      </c>
      <c r="J120" s="68">
        <f t="shared" si="38"/>
        <v>960667.40981999482</v>
      </c>
      <c r="K120" s="245">
        <f t="shared" si="24"/>
        <v>15292.410714285716</v>
      </c>
      <c r="L120" s="245">
        <f t="shared" si="25"/>
        <v>22781.770833333332</v>
      </c>
      <c r="M120" s="68">
        <f t="shared" si="39"/>
        <v>38074.181547619046</v>
      </c>
      <c r="N120" s="245">
        <f t="shared" si="26"/>
        <v>5175.8928571428569</v>
      </c>
      <c r="O120" s="245">
        <f t="shared" si="27"/>
        <v>11606.54761904762</v>
      </c>
      <c r="P120" s="68">
        <f t="shared" si="40"/>
        <v>16782.440476190477</v>
      </c>
      <c r="Q120" s="68">
        <f t="shared" si="41"/>
        <v>54856.622023809527</v>
      </c>
      <c r="R120" s="68">
        <f t="shared" si="28"/>
        <v>1015524.0318438044</v>
      </c>
      <c r="S120" s="286">
        <f t="shared" si="29"/>
        <v>116.58333333333334</v>
      </c>
      <c r="T120" s="245">
        <f t="shared" si="42"/>
        <v>8710.7136398324892</v>
      </c>
      <c r="U120" s="237"/>
      <c r="V120" s="245">
        <f t="shared" si="30"/>
        <v>809166.66666666674</v>
      </c>
      <c r="W120" s="245">
        <f t="shared" si="31"/>
        <v>356666.66666666663</v>
      </c>
      <c r="X120" s="245">
        <f t="shared" si="43"/>
        <v>1165833.3333333335</v>
      </c>
      <c r="Y120" s="245">
        <f>VLOOKUP(A120,'1920 Funding Detail'!$A$4:$AN$23,33,FALSE)</f>
        <v>1581626.0831232392</v>
      </c>
      <c r="Z120" s="245">
        <f t="shared" si="44"/>
        <v>415792.74978990573</v>
      </c>
      <c r="AA120" s="245">
        <f t="shared" si="32"/>
        <v>115910.77370840832</v>
      </c>
      <c r="AB120" s="245">
        <f t="shared" si="33"/>
        <v>172677.33211432109</v>
      </c>
      <c r="AC120" s="245">
        <f t="shared" si="45"/>
        <v>288588.10582272941</v>
      </c>
      <c r="AD120" s="245">
        <f t="shared" si="34"/>
        <v>39231.338793615119</v>
      </c>
      <c r="AE120" s="245">
        <f t="shared" si="35"/>
        <v>87973.305173561181</v>
      </c>
      <c r="AF120" s="245">
        <f t="shared" si="46"/>
        <v>127204.64396717629</v>
      </c>
      <c r="AG120" s="245">
        <f t="shared" si="47"/>
        <v>415792.74978990573</v>
      </c>
      <c r="AH120" s="287"/>
      <c r="AI120" s="1029">
        <f t="shared" si="48"/>
        <v>1581626.0831232392</v>
      </c>
      <c r="AJ120" s="247" t="s">
        <v>207</v>
      </c>
      <c r="AK120" s="298" t="s">
        <v>207</v>
      </c>
      <c r="AL120" s="235">
        <f t="shared" si="49"/>
        <v>8710.7136398324892</v>
      </c>
      <c r="AM120" s="235"/>
      <c r="AN120" s="235">
        <f>VLOOKUP(A120,'Band Calculations 1718'!$A$107:$W$125,23,(FALSE))</f>
        <v>8682.1328193541576</v>
      </c>
      <c r="AO120" s="235">
        <f t="shared" si="50"/>
        <v>28.580820478331589</v>
      </c>
      <c r="AP120" s="36"/>
      <c r="AQ120" s="235">
        <f>VLOOKUP(A120,'Band Calculations - Rebase'!$A$109:$W$127,23,(FALSE))</f>
        <v>8945.7875194442186</v>
      </c>
      <c r="AR120" s="235">
        <f t="shared" si="51"/>
        <v>-235.07387961172935</v>
      </c>
      <c r="AS120" s="1252"/>
      <c r="AT120" s="1527"/>
      <c r="AU120" s="36"/>
      <c r="AV120" s="235">
        <f t="shared" si="52"/>
        <v>23434.031478687801</v>
      </c>
      <c r="AW120" s="235">
        <f>SUM('1819 Band Calculations'!U14,'1819 Band Calculations'!U36,'1819 Band Calculations'!U58,'1819 Band Calculations'!U80)</f>
        <v>67143.29172780794</v>
      </c>
      <c r="AX120" s="235">
        <f t="shared" si="53"/>
        <v>43709.26024912014</v>
      </c>
      <c r="AY120" s="36"/>
      <c r="AZ120" s="275">
        <v>101338</v>
      </c>
      <c r="BA120" s="235">
        <f>'1920 Funding Detail'!AF23</f>
        <v>74750.351279434864</v>
      </c>
      <c r="BB120" s="235">
        <f t="shared" si="54"/>
        <v>26587.648720565136</v>
      </c>
    </row>
    <row r="121" spans="1:54" ht="13" x14ac:dyDescent="0.3">
      <c r="A121" s="244">
        <v>9257002</v>
      </c>
      <c r="B121" s="237" t="s">
        <v>213</v>
      </c>
      <c r="C121" s="238">
        <v>5</v>
      </c>
      <c r="D121" s="245">
        <f t="shared" si="20"/>
        <v>516347.8170998639</v>
      </c>
      <c r="E121" s="245">
        <f t="shared" si="21"/>
        <v>727906.99216161377</v>
      </c>
      <c r="F121" s="68">
        <f t="shared" si="36"/>
        <v>1244254.8092614776</v>
      </c>
      <c r="G121" s="245">
        <f t="shared" si="22"/>
        <v>0</v>
      </c>
      <c r="H121" s="245">
        <f t="shared" si="23"/>
        <v>0</v>
      </c>
      <c r="I121" s="68">
        <f t="shared" si="37"/>
        <v>0</v>
      </c>
      <c r="J121" s="68">
        <f t="shared" si="38"/>
        <v>1244254.8092614776</v>
      </c>
      <c r="K121" s="245">
        <f t="shared" si="24"/>
        <v>29643.75</v>
      </c>
      <c r="L121" s="245">
        <f t="shared" si="25"/>
        <v>41789.453125</v>
      </c>
      <c r="M121" s="68">
        <f t="shared" si="39"/>
        <v>71433.203125</v>
      </c>
      <c r="N121" s="245">
        <f t="shared" si="26"/>
        <v>0</v>
      </c>
      <c r="O121" s="245">
        <f t="shared" si="27"/>
        <v>0</v>
      </c>
      <c r="P121" s="68">
        <f t="shared" si="40"/>
        <v>0</v>
      </c>
      <c r="Q121" s="68">
        <f t="shared" si="41"/>
        <v>71433.203125</v>
      </c>
      <c r="R121" s="68">
        <f t="shared" si="28"/>
        <v>1315688.0123864776</v>
      </c>
      <c r="S121" s="286">
        <f t="shared" si="29"/>
        <v>144.58333333333334</v>
      </c>
      <c r="T121" s="245">
        <f t="shared" si="42"/>
        <v>9099.8594516643971</v>
      </c>
      <c r="U121" s="237"/>
      <c r="V121" s="245">
        <f t="shared" si="30"/>
        <v>1445833.3333333335</v>
      </c>
      <c r="W121" s="245">
        <f t="shared" si="31"/>
        <v>0</v>
      </c>
      <c r="X121" s="245">
        <f t="shared" si="43"/>
        <v>1445833.3333333335</v>
      </c>
      <c r="Y121" s="245">
        <f>VLOOKUP(A121,'1920 Funding Detail'!$A$4:$AN$23,33,FALSE)</f>
        <v>1839477.0623864776</v>
      </c>
      <c r="Z121" s="245">
        <f t="shared" si="44"/>
        <v>393643.72905314411</v>
      </c>
      <c r="AA121" s="245">
        <f t="shared" si="32"/>
        <v>163356.47545721254</v>
      </c>
      <c r="AB121" s="245">
        <f t="shared" si="33"/>
        <v>230287.25359593154</v>
      </c>
      <c r="AC121" s="245">
        <f t="shared" si="45"/>
        <v>393643.72905314411</v>
      </c>
      <c r="AD121" s="245">
        <f t="shared" si="34"/>
        <v>0</v>
      </c>
      <c r="AE121" s="245">
        <f t="shared" si="35"/>
        <v>0</v>
      </c>
      <c r="AF121" s="245">
        <f t="shared" si="46"/>
        <v>0</v>
      </c>
      <c r="AG121" s="245">
        <f t="shared" si="47"/>
        <v>393643.72905314411</v>
      </c>
      <c r="AH121" s="287"/>
      <c r="AI121" s="1029">
        <f t="shared" si="48"/>
        <v>1839477.0623864776</v>
      </c>
      <c r="AJ121" s="247" t="s">
        <v>207</v>
      </c>
      <c r="AK121" s="298" t="s">
        <v>207</v>
      </c>
      <c r="AL121" s="235">
        <f t="shared" si="49"/>
        <v>9099.8594516643971</v>
      </c>
      <c r="AM121" s="235"/>
      <c r="AN121" s="235">
        <f>VLOOKUP(A121,'Band Calculations 1718'!$A$107:$W$125,23,(FALSE))</f>
        <v>7480.8820134065591</v>
      </c>
      <c r="AO121" s="235">
        <f t="shared" si="50"/>
        <v>1618.977438257838</v>
      </c>
      <c r="AP121" s="36"/>
      <c r="AQ121" s="235">
        <f>VLOOKUP(A121,'Band Calculations - Rebase'!$A$109:$W$127,23,(FALSE))</f>
        <v>7558.3444916912022</v>
      </c>
      <c r="AR121" s="235">
        <f t="shared" si="51"/>
        <v>1541.5149599731949</v>
      </c>
      <c r="AS121" s="1252"/>
      <c r="AT121" s="1527"/>
      <c r="AU121" s="36"/>
      <c r="AV121" s="235">
        <f t="shared" si="52"/>
        <v>22603.948241494982</v>
      </c>
      <c r="AW121" s="235">
        <f>SUM('1819 Band Calculations'!U15,'1819 Band Calculations'!U37,'1819 Band Calculations'!U59,'1819 Band Calculations'!U81)</f>
        <v>23187.593404349416</v>
      </c>
      <c r="AX121" s="235">
        <f t="shared" si="53"/>
        <v>583.6451628544346</v>
      </c>
      <c r="AY121" s="36"/>
      <c r="AZ121" s="235">
        <f>'1920 Funding Detail'!AF10</f>
        <v>0</v>
      </c>
      <c r="BA121" s="235">
        <f>'1920 Funding Detail'!AF10</f>
        <v>0</v>
      </c>
      <c r="BB121" s="235">
        <f t="shared" si="54"/>
        <v>0</v>
      </c>
    </row>
    <row r="122" spans="1:54" ht="13" x14ac:dyDescent="0.3">
      <c r="A122" s="244">
        <v>9257009</v>
      </c>
      <c r="B122" s="237" t="s">
        <v>214</v>
      </c>
      <c r="C122" s="238">
        <v>4</v>
      </c>
      <c r="D122" s="245">
        <f t="shared" si="20"/>
        <v>480994.7489818334</v>
      </c>
      <c r="E122" s="245">
        <f t="shared" si="21"/>
        <v>683518.85381628969</v>
      </c>
      <c r="F122" s="68">
        <f t="shared" si="36"/>
        <v>1164513.6027981231</v>
      </c>
      <c r="G122" s="245">
        <f t="shared" si="22"/>
        <v>0</v>
      </c>
      <c r="H122" s="245">
        <f t="shared" si="23"/>
        <v>0</v>
      </c>
      <c r="I122" s="68">
        <f t="shared" si="37"/>
        <v>0</v>
      </c>
      <c r="J122" s="68">
        <f t="shared" si="38"/>
        <v>1164513.6027981231</v>
      </c>
      <c r="K122" s="245">
        <f t="shared" si="24"/>
        <v>17435.572139303484</v>
      </c>
      <c r="L122" s="245">
        <f t="shared" si="25"/>
        <v>24776.86567164179</v>
      </c>
      <c r="M122" s="68">
        <f t="shared" si="39"/>
        <v>42212.437810945274</v>
      </c>
      <c r="N122" s="245">
        <f t="shared" si="26"/>
        <v>0</v>
      </c>
      <c r="O122" s="245">
        <f t="shared" si="27"/>
        <v>0</v>
      </c>
      <c r="P122" s="68">
        <f t="shared" si="40"/>
        <v>0</v>
      </c>
      <c r="Q122" s="68">
        <f t="shared" si="41"/>
        <v>42212.437810945274</v>
      </c>
      <c r="R122" s="68">
        <f t="shared" si="28"/>
        <v>1206726.0406090685</v>
      </c>
      <c r="S122" s="286">
        <f t="shared" si="29"/>
        <v>134.16666666666669</v>
      </c>
      <c r="T122" s="245">
        <f t="shared" si="42"/>
        <v>8994.2313585769061</v>
      </c>
      <c r="U122" s="237"/>
      <c r="V122" s="245">
        <f t="shared" si="30"/>
        <v>1341666.6666666667</v>
      </c>
      <c r="W122" s="245">
        <f t="shared" si="31"/>
        <v>0</v>
      </c>
      <c r="X122" s="245">
        <f t="shared" si="43"/>
        <v>1341666.6666666667</v>
      </c>
      <c r="Y122" s="245">
        <f>VLOOKUP(A122,'1920 Funding Detail'!$A$4:$AN$23,33,FALSE)</f>
        <v>1802054.1931649239</v>
      </c>
      <c r="Z122" s="245">
        <f t="shared" si="44"/>
        <v>460387.52649825718</v>
      </c>
      <c r="AA122" s="245">
        <f t="shared" si="32"/>
        <v>190160.06529275837</v>
      </c>
      <c r="AB122" s="245">
        <f t="shared" si="33"/>
        <v>270227.46120549872</v>
      </c>
      <c r="AC122" s="245">
        <f t="shared" si="45"/>
        <v>460387.52649825707</v>
      </c>
      <c r="AD122" s="245">
        <f t="shared" si="34"/>
        <v>0</v>
      </c>
      <c r="AE122" s="245">
        <f t="shared" si="35"/>
        <v>0</v>
      </c>
      <c r="AF122" s="245">
        <f t="shared" si="46"/>
        <v>0</v>
      </c>
      <c r="AG122" s="245">
        <f t="shared" si="47"/>
        <v>460387.52649825707</v>
      </c>
      <c r="AH122" s="287"/>
      <c r="AI122" s="1029">
        <f t="shared" si="48"/>
        <v>1802054.1931649237</v>
      </c>
      <c r="AJ122" s="247" t="s">
        <v>207</v>
      </c>
      <c r="AK122" s="298" t="s">
        <v>207</v>
      </c>
      <c r="AL122" s="235">
        <f t="shared" si="49"/>
        <v>8994.2313585769061</v>
      </c>
      <c r="AM122" s="235"/>
      <c r="AN122" s="235">
        <f>VLOOKUP(A122,'Band Calculations 1718'!$A$107:$W$125,23,(FALSE))</f>
        <v>7608.4838508549019</v>
      </c>
      <c r="AO122" s="235">
        <f t="shared" si="50"/>
        <v>1385.7475077220042</v>
      </c>
      <c r="AP122" s="36"/>
      <c r="AQ122" s="235">
        <f>VLOOKUP(A122,'Band Calculations - Rebase'!$A$109:$W$127,23,(FALSE))</f>
        <v>7608.4838508549019</v>
      </c>
      <c r="AR122" s="1253">
        <f t="shared" si="51"/>
        <v>1385.7475077220042</v>
      </c>
      <c r="AS122" s="1252"/>
      <c r="AT122" s="1527"/>
      <c r="AU122" s="36"/>
      <c r="AV122" s="235">
        <f t="shared" si="52"/>
        <v>0</v>
      </c>
      <c r="AW122" s="235">
        <f>SUM('1819 Band Calculations'!U16,'1819 Band Calculations'!U38,'1819 Band Calculations'!U60,'1819 Band Calculations'!U82)</f>
        <v>0</v>
      </c>
      <c r="AX122" s="235">
        <f t="shared" si="53"/>
        <v>0</v>
      </c>
      <c r="AY122" s="36"/>
      <c r="AZ122" s="235">
        <v>83209</v>
      </c>
      <c r="BA122" s="235">
        <f>'1920 Funding Detail'!AF11</f>
        <v>83209.202555855503</v>
      </c>
      <c r="BB122" s="235">
        <f t="shared" si="54"/>
        <v>-0.20255585550330579</v>
      </c>
    </row>
    <row r="123" spans="1:54" ht="13" x14ac:dyDescent="0.3">
      <c r="A123" s="244">
        <v>9257029</v>
      </c>
      <c r="B123" s="237" t="s">
        <v>890</v>
      </c>
      <c r="C123" s="238">
        <v>3</v>
      </c>
      <c r="D123" s="245">
        <f t="shared" si="20"/>
        <v>192416.62708523564</v>
      </c>
      <c r="E123" s="245">
        <f t="shared" si="21"/>
        <v>446782.02191498614</v>
      </c>
      <c r="F123" s="68">
        <f t="shared" si="36"/>
        <v>639198.64900022175</v>
      </c>
      <c r="G123" s="245">
        <f t="shared" si="22"/>
        <v>0</v>
      </c>
      <c r="H123" s="245">
        <f t="shared" si="23"/>
        <v>0</v>
      </c>
      <c r="I123" s="68">
        <f t="shared" si="37"/>
        <v>0</v>
      </c>
      <c r="J123" s="68">
        <f t="shared" si="38"/>
        <v>639198.64900022175</v>
      </c>
      <c r="K123" s="245">
        <f t="shared" si="24"/>
        <v>45014.583333333336</v>
      </c>
      <c r="L123" s="245">
        <f t="shared" si="25"/>
        <v>104521.66666666667</v>
      </c>
      <c r="M123" s="68">
        <f t="shared" si="39"/>
        <v>149536.25</v>
      </c>
      <c r="N123" s="245">
        <f t="shared" si="26"/>
        <v>0</v>
      </c>
      <c r="O123" s="245">
        <f t="shared" si="27"/>
        <v>0</v>
      </c>
      <c r="P123" s="68">
        <f t="shared" si="40"/>
        <v>0</v>
      </c>
      <c r="Q123" s="68">
        <f t="shared" si="41"/>
        <v>149536.25</v>
      </c>
      <c r="R123" s="68">
        <f t="shared" si="28"/>
        <v>788734.89900022175</v>
      </c>
      <c r="S123" s="286">
        <f t="shared" si="29"/>
        <v>56.750000000000007</v>
      </c>
      <c r="T123" s="245">
        <f t="shared" si="42"/>
        <v>13898.412317184522</v>
      </c>
      <c r="U123" s="237"/>
      <c r="V123" s="245">
        <f t="shared" si="30"/>
        <v>567500</v>
      </c>
      <c r="W123" s="245">
        <f t="shared" si="31"/>
        <v>0</v>
      </c>
      <c r="X123" s="245">
        <f t="shared" si="43"/>
        <v>567500</v>
      </c>
      <c r="Y123" s="245">
        <f>VLOOKUP(A123,'1920 Funding Detail'!$A$4:$AN$23,33,FALSE)</f>
        <v>1220573.1599610578</v>
      </c>
      <c r="Z123" s="245">
        <f t="shared" si="44"/>
        <v>653073.15996105783</v>
      </c>
      <c r="AA123" s="245">
        <f t="shared" si="32"/>
        <v>196593.24198534037</v>
      </c>
      <c r="AB123" s="245">
        <f t="shared" si="33"/>
        <v>456479.91797571717</v>
      </c>
      <c r="AC123" s="245">
        <f t="shared" si="45"/>
        <v>653073.15996105759</v>
      </c>
      <c r="AD123" s="245">
        <f t="shared" si="34"/>
        <v>0</v>
      </c>
      <c r="AE123" s="245">
        <f t="shared" si="35"/>
        <v>0</v>
      </c>
      <c r="AF123" s="245">
        <f t="shared" si="46"/>
        <v>0</v>
      </c>
      <c r="AG123" s="245">
        <f t="shared" si="47"/>
        <v>653073.15996105759</v>
      </c>
      <c r="AH123" s="287"/>
      <c r="AI123" s="1029">
        <f t="shared" si="48"/>
        <v>1220573.1599610576</v>
      </c>
      <c r="AJ123" s="247" t="s">
        <v>207</v>
      </c>
      <c r="AK123" s="298" t="s">
        <v>207</v>
      </c>
      <c r="AL123" s="235">
        <f t="shared" si="49"/>
        <v>13898.412317184522</v>
      </c>
      <c r="AM123" s="235"/>
      <c r="AN123" s="235">
        <f>VLOOKUP(A123,'Band Calculations 1718'!$A$107:$W$125,23,(FALSE))</f>
        <v>14327.068527263833</v>
      </c>
      <c r="AO123" s="235">
        <f t="shared" si="50"/>
        <v>-428.65621007931077</v>
      </c>
      <c r="AP123" s="36"/>
      <c r="AQ123" s="235">
        <f>VLOOKUP(A123,'Band Calculations - Rebase'!$A$109:$W$127,23,(FALSE))</f>
        <v>14327.068527263833</v>
      </c>
      <c r="AR123" s="235">
        <f t="shared" si="51"/>
        <v>-428.65621007931077</v>
      </c>
      <c r="AS123" s="1252"/>
      <c r="AT123" s="1527"/>
      <c r="AU123" s="36"/>
      <c r="AV123" s="235">
        <f t="shared" si="52"/>
        <v>0</v>
      </c>
      <c r="AW123" s="235">
        <f>SUM('1819 Band Calculations'!U17,'1819 Band Calculations'!U39,'1819 Band Calculations'!U61,'1819 Band Calculations'!U83)</f>
        <v>0</v>
      </c>
      <c r="AX123" s="235">
        <f t="shared" si="53"/>
        <v>0</v>
      </c>
      <c r="AY123" s="36"/>
      <c r="AZ123" s="235">
        <f>'1920 Funding Detail'!AF18</f>
        <v>16963.560960835996</v>
      </c>
      <c r="BA123" s="235">
        <f>'1920 Funding Detail'!AF18</f>
        <v>16963.560960835996</v>
      </c>
      <c r="BB123" s="235">
        <f t="shared" si="54"/>
        <v>0</v>
      </c>
    </row>
    <row r="124" spans="1:54" ht="13" x14ac:dyDescent="0.3">
      <c r="A124" s="244">
        <v>9257032</v>
      </c>
      <c r="B124" s="237" t="s">
        <v>261</v>
      </c>
      <c r="C124" s="238">
        <v>4</v>
      </c>
      <c r="D124" s="245">
        <f t="shared" si="20"/>
        <v>337902.36951553577</v>
      </c>
      <c r="E124" s="245">
        <f t="shared" si="21"/>
        <v>466492.99347005913</v>
      </c>
      <c r="F124" s="68">
        <f t="shared" si="36"/>
        <v>804395.3629855949</v>
      </c>
      <c r="G124" s="245">
        <f t="shared" si="22"/>
        <v>0</v>
      </c>
      <c r="H124" s="245">
        <f t="shared" si="23"/>
        <v>0</v>
      </c>
      <c r="I124" s="68">
        <f t="shared" si="37"/>
        <v>0</v>
      </c>
      <c r="J124" s="68">
        <f t="shared" si="38"/>
        <v>804395.3629855949</v>
      </c>
      <c r="K124" s="245">
        <f t="shared" si="24"/>
        <v>79050</v>
      </c>
      <c r="L124" s="245">
        <f t="shared" si="25"/>
        <v>109132.91666666667</v>
      </c>
      <c r="M124" s="68">
        <f t="shared" si="39"/>
        <v>188182.91666666669</v>
      </c>
      <c r="N124" s="245">
        <f t="shared" si="26"/>
        <v>0</v>
      </c>
      <c r="O124" s="245">
        <f t="shared" si="27"/>
        <v>0</v>
      </c>
      <c r="P124" s="68">
        <f t="shared" si="40"/>
        <v>0</v>
      </c>
      <c r="Q124" s="68">
        <f t="shared" si="41"/>
        <v>188182.91666666669</v>
      </c>
      <c r="R124" s="68">
        <f t="shared" si="28"/>
        <v>992578.27965226164</v>
      </c>
      <c r="S124" s="286">
        <f t="shared" si="29"/>
        <v>71.416666666666671</v>
      </c>
      <c r="T124" s="245">
        <f t="shared" si="42"/>
        <v>13898.412317184526</v>
      </c>
      <c r="U124" s="237"/>
      <c r="V124" s="245">
        <f t="shared" si="30"/>
        <v>714166.66666666674</v>
      </c>
      <c r="W124" s="245">
        <f t="shared" si="31"/>
        <v>0</v>
      </c>
      <c r="X124" s="245">
        <f t="shared" si="43"/>
        <v>714166.66666666674</v>
      </c>
      <c r="Y124" s="245">
        <f>VLOOKUP(A124,'1920 Funding Detail'!$A$4:$AN$23,33,FALSE)</f>
        <v>1456460.6090335608</v>
      </c>
      <c r="Z124" s="245">
        <f t="shared" si="44"/>
        <v>742293.9423668941</v>
      </c>
      <c r="AA124" s="245">
        <f t="shared" si="32"/>
        <v>311815.42503160075</v>
      </c>
      <c r="AB124" s="245">
        <f t="shared" si="33"/>
        <v>430478.51733529323</v>
      </c>
      <c r="AC124" s="245">
        <f t="shared" si="45"/>
        <v>742293.94236689399</v>
      </c>
      <c r="AD124" s="245">
        <f t="shared" si="34"/>
        <v>0</v>
      </c>
      <c r="AE124" s="245">
        <f t="shared" si="35"/>
        <v>0</v>
      </c>
      <c r="AF124" s="245">
        <f t="shared" si="46"/>
        <v>0</v>
      </c>
      <c r="AG124" s="245">
        <f t="shared" si="47"/>
        <v>742293.94236689399</v>
      </c>
      <c r="AH124" s="287"/>
      <c r="AI124" s="1029">
        <f t="shared" si="48"/>
        <v>1456460.6090335608</v>
      </c>
      <c r="AJ124" s="247" t="s">
        <v>207</v>
      </c>
      <c r="AK124" s="298" t="s">
        <v>207</v>
      </c>
      <c r="AL124" s="235">
        <f t="shared" si="49"/>
        <v>13898.412317184526</v>
      </c>
      <c r="AM124" s="235"/>
      <c r="AN124" s="235">
        <f>VLOOKUP(A124,'Band Calculations 1718'!$A$107:$W$125,23,(FALSE))</f>
        <v>14327.068527263833</v>
      </c>
      <c r="AO124" s="235">
        <f t="shared" si="50"/>
        <v>-428.65621007930713</v>
      </c>
      <c r="AP124" s="36"/>
      <c r="AQ124" s="235">
        <f>VLOOKUP(A124,'Band Calculations - Rebase'!$A$109:$W$127,23,(FALSE))</f>
        <v>14327.068527263833</v>
      </c>
      <c r="AR124" s="235">
        <f t="shared" si="51"/>
        <v>-428.65621007930713</v>
      </c>
      <c r="AS124" s="1252"/>
      <c r="AT124" s="1527"/>
      <c r="AU124" s="36"/>
      <c r="AV124" s="235">
        <f t="shared" si="52"/>
        <v>0</v>
      </c>
      <c r="AW124" s="235">
        <f>SUM('1819 Band Calculations'!U18,'1819 Band Calculations'!U40,'1819 Band Calculations'!U62,'1819 Band Calculations'!U84)</f>
        <v>0</v>
      </c>
      <c r="AX124" s="235">
        <f t="shared" si="53"/>
        <v>0</v>
      </c>
      <c r="AY124" s="36"/>
      <c r="AZ124" s="235">
        <v>35435</v>
      </c>
      <c r="BA124" s="235">
        <f>'1920 Funding Detail'!AF19</f>
        <v>41956.479381299068</v>
      </c>
      <c r="BB124" s="235">
        <f t="shared" si="54"/>
        <v>-6521.4793812990683</v>
      </c>
    </row>
    <row r="125" spans="1:54" ht="13" x14ac:dyDescent="0.3">
      <c r="A125" s="244">
        <v>9257030</v>
      </c>
      <c r="B125" s="237" t="s">
        <v>262</v>
      </c>
      <c r="C125" s="238">
        <v>4</v>
      </c>
      <c r="D125" s="245">
        <f t="shared" si="20"/>
        <v>328516.19258454861</v>
      </c>
      <c r="E125" s="245">
        <f t="shared" si="21"/>
        <v>486203.965025132</v>
      </c>
      <c r="F125" s="68">
        <f t="shared" si="36"/>
        <v>814720.15760968067</v>
      </c>
      <c r="G125" s="245">
        <f t="shared" si="22"/>
        <v>0</v>
      </c>
      <c r="H125" s="245">
        <f t="shared" si="23"/>
        <v>0</v>
      </c>
      <c r="I125" s="68">
        <f t="shared" si="37"/>
        <v>0</v>
      </c>
      <c r="J125" s="68">
        <f t="shared" si="38"/>
        <v>814720.15760968067</v>
      </c>
      <c r="K125" s="245">
        <f t="shared" si="24"/>
        <v>76854.166666666672</v>
      </c>
      <c r="L125" s="245">
        <f t="shared" si="25"/>
        <v>113744.16666666667</v>
      </c>
      <c r="M125" s="68">
        <f t="shared" si="39"/>
        <v>190598.33333333334</v>
      </c>
      <c r="N125" s="245">
        <f t="shared" si="26"/>
        <v>0</v>
      </c>
      <c r="O125" s="245">
        <f t="shared" si="27"/>
        <v>0</v>
      </c>
      <c r="P125" s="68">
        <f t="shared" si="40"/>
        <v>0</v>
      </c>
      <c r="Q125" s="68">
        <f t="shared" si="41"/>
        <v>190598.33333333334</v>
      </c>
      <c r="R125" s="68">
        <f t="shared" si="28"/>
        <v>1005318.490943014</v>
      </c>
      <c r="S125" s="286">
        <f t="shared" si="29"/>
        <v>72.333333333333343</v>
      </c>
      <c r="T125" s="245">
        <f t="shared" si="42"/>
        <v>13898.412317184524</v>
      </c>
      <c r="U125" s="237"/>
      <c r="V125" s="245">
        <f t="shared" si="30"/>
        <v>723333.33333333337</v>
      </c>
      <c r="W125" s="245">
        <f t="shared" si="31"/>
        <v>0</v>
      </c>
      <c r="X125" s="245">
        <f t="shared" si="43"/>
        <v>723333.33333333337</v>
      </c>
      <c r="Y125" s="245">
        <f>VLOOKUP(A125,'1920 Funding Detail'!$A$4:$AN$23,33,FALSE)</f>
        <v>1473541.3656670554</v>
      </c>
      <c r="Z125" s="245">
        <f t="shared" si="44"/>
        <v>750208.03233372199</v>
      </c>
      <c r="AA125" s="245">
        <f t="shared" si="32"/>
        <v>302503.2388442427</v>
      </c>
      <c r="AB125" s="245">
        <f t="shared" si="33"/>
        <v>447704.79348947917</v>
      </c>
      <c r="AC125" s="245">
        <f t="shared" si="45"/>
        <v>750208.03233372187</v>
      </c>
      <c r="AD125" s="245">
        <f t="shared" si="34"/>
        <v>0</v>
      </c>
      <c r="AE125" s="245">
        <f t="shared" si="35"/>
        <v>0</v>
      </c>
      <c r="AF125" s="245">
        <f t="shared" si="46"/>
        <v>0</v>
      </c>
      <c r="AG125" s="245">
        <f t="shared" si="47"/>
        <v>750208.03233372187</v>
      </c>
      <c r="AH125" s="287"/>
      <c r="AI125" s="1029">
        <f t="shared" si="48"/>
        <v>1473541.3656670554</v>
      </c>
      <c r="AJ125" s="247" t="s">
        <v>207</v>
      </c>
      <c r="AK125" s="298" t="s">
        <v>207</v>
      </c>
      <c r="AL125" s="235">
        <f t="shared" si="49"/>
        <v>13898.412317184524</v>
      </c>
      <c r="AM125" s="235"/>
      <c r="AN125" s="235">
        <f>VLOOKUP(A125,'Band Calculations 1718'!$A$107:$W$125,23,(FALSE))</f>
        <v>14327.068527263831</v>
      </c>
      <c r="AO125" s="235">
        <f t="shared" si="50"/>
        <v>-428.65621007930713</v>
      </c>
      <c r="AP125" s="36"/>
      <c r="AQ125" s="235">
        <f>VLOOKUP(A125,'Band Calculations - Rebase'!$A$109:$W$127,23,(FALSE))</f>
        <v>14327.068527263831</v>
      </c>
      <c r="AR125" s="235">
        <f t="shared" si="51"/>
        <v>-428.65621007930713</v>
      </c>
      <c r="AS125" s="1252"/>
      <c r="AT125" s="1527"/>
      <c r="AU125" s="36"/>
      <c r="AV125" s="235">
        <f t="shared" si="52"/>
        <v>0</v>
      </c>
      <c r="AW125" s="235">
        <f>SUM('1819 Band Calculations'!U19,'1819 Band Calculations'!U41,'1819 Band Calculations'!U63,'1819 Band Calculations'!U85)</f>
        <v>0</v>
      </c>
      <c r="AX125" s="235">
        <f t="shared" si="53"/>
        <v>0</v>
      </c>
      <c r="AY125" s="36"/>
      <c r="AZ125" s="235">
        <v>48541</v>
      </c>
      <c r="BA125" s="235">
        <f>'1920 Funding Detail'!AF20</f>
        <v>48541.274724041381</v>
      </c>
      <c r="BB125" s="235">
        <f t="shared" si="54"/>
        <v>-0.27472404138097772</v>
      </c>
    </row>
    <row r="126" spans="1:54" ht="13" x14ac:dyDescent="0.3">
      <c r="A126" s="244">
        <v>9257028</v>
      </c>
      <c r="B126" s="237" t="s">
        <v>215</v>
      </c>
      <c r="C126" s="238">
        <v>5</v>
      </c>
      <c r="D126" s="245">
        <f t="shared" si="20"/>
        <v>348124.14327617787</v>
      </c>
      <c r="E126" s="245">
        <f t="shared" si="21"/>
        <v>546449.4127789702</v>
      </c>
      <c r="F126" s="68">
        <f t="shared" si="36"/>
        <v>894573.55605514813</v>
      </c>
      <c r="G126" s="245">
        <f t="shared" si="22"/>
        <v>59075.612192321089</v>
      </c>
      <c r="H126" s="245">
        <f t="shared" si="23"/>
        <v>101272.478043979</v>
      </c>
      <c r="I126" s="68">
        <f t="shared" si="37"/>
        <v>160348.09023630008</v>
      </c>
      <c r="J126" s="68">
        <f t="shared" si="38"/>
        <v>1054921.6462914483</v>
      </c>
      <c r="K126" s="245">
        <f t="shared" si="24"/>
        <v>2527.7616279069771</v>
      </c>
      <c r="L126" s="245">
        <f t="shared" si="25"/>
        <v>3967.8197674418607</v>
      </c>
      <c r="M126" s="68">
        <f t="shared" si="39"/>
        <v>6495.5813953488378</v>
      </c>
      <c r="N126" s="245">
        <f t="shared" si="26"/>
        <v>428.95348837209303</v>
      </c>
      <c r="O126" s="245">
        <f t="shared" si="27"/>
        <v>735.34883720930225</v>
      </c>
      <c r="P126" s="68">
        <f t="shared" si="40"/>
        <v>1164.3023255813953</v>
      </c>
      <c r="Q126" s="68">
        <f t="shared" si="41"/>
        <v>7659.8837209302328</v>
      </c>
      <c r="R126" s="68">
        <f t="shared" si="28"/>
        <v>1062581.5300123785</v>
      </c>
      <c r="S126" s="286">
        <f t="shared" si="29"/>
        <v>83.333333333333343</v>
      </c>
      <c r="T126" s="245">
        <f t="shared" si="42"/>
        <v>12750.97836014854</v>
      </c>
      <c r="U126" s="237"/>
      <c r="V126" s="245">
        <f t="shared" si="30"/>
        <v>706666.66666666674</v>
      </c>
      <c r="W126" s="245">
        <f t="shared" si="31"/>
        <v>126666.66666666666</v>
      </c>
      <c r="X126" s="245">
        <f t="shared" si="43"/>
        <v>833333.33333333337</v>
      </c>
      <c r="Y126" s="245">
        <f>VLOOKUP(A126,'1920 Funding Detail'!$A$4:$AN$23,33,FALSE)</f>
        <v>1544058.5300123785</v>
      </c>
      <c r="Z126" s="245">
        <f t="shared" si="44"/>
        <v>710725.1966790451</v>
      </c>
      <c r="AA126" s="245">
        <f t="shared" si="32"/>
        <v>234539.31490408484</v>
      </c>
      <c r="AB126" s="245">
        <f t="shared" si="33"/>
        <v>368155.65187974524</v>
      </c>
      <c r="AC126" s="245">
        <f t="shared" si="45"/>
        <v>602694.96678383008</v>
      </c>
      <c r="AD126" s="245">
        <f t="shared" si="34"/>
        <v>39800.611014026523</v>
      </c>
      <c r="AE126" s="245">
        <f t="shared" si="35"/>
        <v>68229.618881188318</v>
      </c>
      <c r="AF126" s="245">
        <f t="shared" si="46"/>
        <v>108030.22989521484</v>
      </c>
      <c r="AG126" s="245">
        <f t="shared" si="47"/>
        <v>710725.19667904498</v>
      </c>
      <c r="AH126" s="287"/>
      <c r="AI126" s="1029">
        <f t="shared" si="48"/>
        <v>1544058.5300123782</v>
      </c>
      <c r="AJ126" s="247" t="s">
        <v>207</v>
      </c>
      <c r="AK126" s="298" t="s">
        <v>207</v>
      </c>
      <c r="AL126" s="235">
        <f t="shared" si="49"/>
        <v>12750.97836014854</v>
      </c>
      <c r="AM126" s="235"/>
      <c r="AN126" s="235">
        <f>VLOOKUP(A126,'Band Calculations 1718'!$A$107:$W$125,23,(FALSE))</f>
        <v>10855.270293410516</v>
      </c>
      <c r="AO126" s="235">
        <f t="shared" si="50"/>
        <v>1895.7080667380233</v>
      </c>
      <c r="AP126" s="36"/>
      <c r="AQ126" s="235">
        <f>VLOOKUP(A126,'Band Calculations - Rebase'!$A$109:$W$127,23,(FALSE))</f>
        <v>12945.466165791158</v>
      </c>
      <c r="AR126" s="1253">
        <f t="shared" si="51"/>
        <v>-194.4878056426187</v>
      </c>
      <c r="AS126" s="1252"/>
      <c r="AT126" s="1527"/>
      <c r="AU126" s="36"/>
      <c r="AV126" s="235">
        <f t="shared" si="52"/>
        <v>261776.17157900496</v>
      </c>
      <c r="AW126" s="235">
        <f>SUM('1819 Band Calculations'!U20,'1819 Band Calculations'!U42,'1819 Band Calculations'!U64,'1819 Band Calculations'!U86)</f>
        <v>338759.90456899529</v>
      </c>
      <c r="AX126" s="235">
        <f t="shared" si="53"/>
        <v>76983.732989990327</v>
      </c>
      <c r="AY126" s="36"/>
      <c r="AZ126" s="275">
        <v>92334</v>
      </c>
      <c r="BA126" s="235">
        <f>'1920 Funding Detail'!AF12</f>
        <v>0</v>
      </c>
      <c r="BB126" s="235">
        <f t="shared" si="54"/>
        <v>92334</v>
      </c>
    </row>
    <row r="127" spans="1:54" ht="13" x14ac:dyDescent="0.3">
      <c r="A127" s="244">
        <v>9257021</v>
      </c>
      <c r="B127" s="237" t="s">
        <v>216</v>
      </c>
      <c r="C127" s="238">
        <v>5</v>
      </c>
      <c r="D127" s="245">
        <f t="shared" si="20"/>
        <v>587411.34428256727</v>
      </c>
      <c r="E127" s="245">
        <f t="shared" si="21"/>
        <v>859515.43795668555</v>
      </c>
      <c r="F127" s="68">
        <f t="shared" si="36"/>
        <v>1446926.7822392527</v>
      </c>
      <c r="G127" s="245">
        <f t="shared" si="22"/>
        <v>0</v>
      </c>
      <c r="H127" s="245">
        <f t="shared" si="23"/>
        <v>0</v>
      </c>
      <c r="I127" s="68">
        <f t="shared" si="37"/>
        <v>0</v>
      </c>
      <c r="J127" s="68">
        <f t="shared" si="38"/>
        <v>1446926.7822392527</v>
      </c>
      <c r="K127" s="245">
        <f t="shared" si="24"/>
        <v>16807.613168724278</v>
      </c>
      <c r="L127" s="245">
        <f t="shared" si="25"/>
        <v>24593.333333333336</v>
      </c>
      <c r="M127" s="68">
        <f t="shared" si="39"/>
        <v>41400.946502057617</v>
      </c>
      <c r="N127" s="245">
        <f t="shared" si="26"/>
        <v>0</v>
      </c>
      <c r="O127" s="245">
        <f t="shared" si="27"/>
        <v>0</v>
      </c>
      <c r="P127" s="68">
        <f t="shared" si="40"/>
        <v>0</v>
      </c>
      <c r="Q127" s="68">
        <f t="shared" si="41"/>
        <v>41400.946502057617</v>
      </c>
      <c r="R127" s="68">
        <f t="shared" si="28"/>
        <v>1488327.7287413103</v>
      </c>
      <c r="S127" s="286">
        <f t="shared" si="29"/>
        <v>159.08333333333334</v>
      </c>
      <c r="T127" s="245">
        <f t="shared" si="42"/>
        <v>9355.6483734393514</v>
      </c>
      <c r="U127" s="237"/>
      <c r="V127" s="245">
        <f t="shared" si="30"/>
        <v>1590833.3333333335</v>
      </c>
      <c r="W127" s="245">
        <f t="shared" si="31"/>
        <v>0</v>
      </c>
      <c r="X127" s="245">
        <f t="shared" si="43"/>
        <v>1590833.3333333335</v>
      </c>
      <c r="Y127" s="245">
        <f>VLOOKUP(A127,'1920 Funding Detail'!$A$4:$AN$23,33,FALSE)</f>
        <v>2074397.2588495193</v>
      </c>
      <c r="Z127" s="245">
        <f t="shared" si="44"/>
        <v>483563.92551618582</v>
      </c>
      <c r="AA127" s="245">
        <f t="shared" si="32"/>
        <v>196313.2751571734</v>
      </c>
      <c r="AB127" s="245">
        <f t="shared" si="33"/>
        <v>287250.65035901236</v>
      </c>
      <c r="AC127" s="245">
        <f t="shared" si="45"/>
        <v>483563.92551618576</v>
      </c>
      <c r="AD127" s="245">
        <f t="shared" si="34"/>
        <v>0</v>
      </c>
      <c r="AE127" s="245">
        <f t="shared" si="35"/>
        <v>0</v>
      </c>
      <c r="AF127" s="245">
        <f t="shared" si="46"/>
        <v>0</v>
      </c>
      <c r="AG127" s="245">
        <f t="shared" si="47"/>
        <v>483563.92551618576</v>
      </c>
      <c r="AH127" s="287"/>
      <c r="AI127" s="1029">
        <f t="shared" si="48"/>
        <v>2074397.2588495193</v>
      </c>
      <c r="AJ127" s="247" t="s">
        <v>207</v>
      </c>
      <c r="AK127" s="298" t="s">
        <v>207</v>
      </c>
      <c r="AL127" s="235">
        <f t="shared" si="49"/>
        <v>9355.6483734393514</v>
      </c>
      <c r="AM127" s="235"/>
      <c r="AN127" s="235">
        <f>VLOOKUP(A127,'Band Calculations 1718'!$A$107:$W$125,23,(FALSE))</f>
        <v>7721.5167598965245</v>
      </c>
      <c r="AO127" s="235">
        <f t="shared" si="50"/>
        <v>1634.1316135428269</v>
      </c>
      <c r="AP127" s="36"/>
      <c r="AQ127" s="235">
        <f>VLOOKUP(A127,'Band Calculations - Rebase'!$A$109:$W$127,23,(FALSE))</f>
        <v>7855.5752872539169</v>
      </c>
      <c r="AR127" s="235">
        <f t="shared" si="51"/>
        <v>1500.0730861854345</v>
      </c>
      <c r="AS127" s="1252"/>
      <c r="AT127" s="1527"/>
      <c r="AU127" s="36"/>
      <c r="AV127" s="235">
        <f t="shared" si="52"/>
        <v>22107.42859712529</v>
      </c>
      <c r="AW127" s="235">
        <f>SUM('1819 Band Calculations'!U21,'1819 Band Calculations'!U43,'1819 Band Calculations'!U65,'1819 Band Calculations'!U87)</f>
        <v>45219.159582606444</v>
      </c>
      <c r="AX127" s="235">
        <f t="shared" si="53"/>
        <v>23111.730985481154</v>
      </c>
      <c r="AY127" s="36"/>
      <c r="AZ127" s="275">
        <v>44519</v>
      </c>
      <c r="BA127" s="235">
        <f>'1920 Funding Detail'!AF13</f>
        <v>30740.830108208982</v>
      </c>
      <c r="BB127" s="235">
        <f t="shared" si="54"/>
        <v>13778.169891791018</v>
      </c>
    </row>
    <row r="128" spans="1:54" ht="13" x14ac:dyDescent="0.3">
      <c r="A128" s="244">
        <v>9257015</v>
      </c>
      <c r="B128" s="237" t="s">
        <v>217</v>
      </c>
      <c r="C128" s="238">
        <v>6</v>
      </c>
      <c r="D128" s="245">
        <f t="shared" si="20"/>
        <v>779631.46659690177</v>
      </c>
      <c r="E128" s="245">
        <f t="shared" si="21"/>
        <v>1111603.5749542923</v>
      </c>
      <c r="F128" s="68">
        <f t="shared" si="36"/>
        <v>1891235.0415511942</v>
      </c>
      <c r="G128" s="245">
        <f t="shared" si="22"/>
        <v>68981.217321016185</v>
      </c>
      <c r="H128" s="245">
        <f t="shared" si="23"/>
        <v>91974.9564280216</v>
      </c>
      <c r="I128" s="68">
        <f t="shared" si="37"/>
        <v>160956.17374903779</v>
      </c>
      <c r="J128" s="68">
        <f t="shared" si="38"/>
        <v>2052191.2153002319</v>
      </c>
      <c r="K128" s="245">
        <f t="shared" si="24"/>
        <v>7036.858298171589</v>
      </c>
      <c r="L128" s="245">
        <f t="shared" si="25"/>
        <v>10033.197960618849</v>
      </c>
      <c r="M128" s="68">
        <f t="shared" si="39"/>
        <v>17070.056258790439</v>
      </c>
      <c r="N128" s="245">
        <f t="shared" si="26"/>
        <v>622.6160337552742</v>
      </c>
      <c r="O128" s="245">
        <f t="shared" si="27"/>
        <v>830.15471167369901</v>
      </c>
      <c r="P128" s="68">
        <f t="shared" si="40"/>
        <v>1452.7707454289732</v>
      </c>
      <c r="Q128" s="68">
        <f t="shared" si="41"/>
        <v>18522.827004219413</v>
      </c>
      <c r="R128" s="68">
        <f t="shared" si="28"/>
        <v>2070714.0423044513</v>
      </c>
      <c r="S128" s="286">
        <f t="shared" si="29"/>
        <v>238.00000000000003</v>
      </c>
      <c r="T128" s="245">
        <f t="shared" si="42"/>
        <v>8700.479169346434</v>
      </c>
      <c r="U128" s="237"/>
      <c r="V128" s="245">
        <f t="shared" si="30"/>
        <v>2193333.3333333335</v>
      </c>
      <c r="W128" s="245">
        <f t="shared" si="31"/>
        <v>186666.66666666666</v>
      </c>
      <c r="X128" s="245">
        <f t="shared" si="43"/>
        <v>2380000</v>
      </c>
      <c r="Y128" s="245">
        <f>VLOOKUP(A128,'1920 Funding Detail'!$A$4:$AN$23,33,FALSE)</f>
        <v>2685082.3923044517</v>
      </c>
      <c r="Z128" s="245">
        <f t="shared" si="44"/>
        <v>305082.39230445167</v>
      </c>
      <c r="AA128" s="245">
        <f t="shared" si="32"/>
        <v>115901.39903723021</v>
      </c>
      <c r="AB128" s="245">
        <f t="shared" si="33"/>
        <v>165252.96249824436</v>
      </c>
      <c r="AC128" s="245">
        <f t="shared" si="45"/>
        <v>281154.36153547454</v>
      </c>
      <c r="AD128" s="245">
        <f t="shared" si="34"/>
        <v>10254.870329561383</v>
      </c>
      <c r="AE128" s="245">
        <f t="shared" si="35"/>
        <v>13673.160439415178</v>
      </c>
      <c r="AF128" s="245">
        <f t="shared" si="46"/>
        <v>23928.030768976561</v>
      </c>
      <c r="AG128" s="245">
        <f t="shared" si="47"/>
        <v>305082.39230445109</v>
      </c>
      <c r="AH128" s="287"/>
      <c r="AI128" s="1029">
        <f t="shared" si="48"/>
        <v>2685082.3923044512</v>
      </c>
      <c r="AJ128" s="247" t="s">
        <v>207</v>
      </c>
      <c r="AK128" s="298" t="s">
        <v>207</v>
      </c>
      <c r="AL128" s="235">
        <f t="shared" si="49"/>
        <v>8700.479169346434</v>
      </c>
      <c r="AM128" s="235"/>
      <c r="AN128" s="235">
        <f>VLOOKUP(A128,'Band Calculations 1718'!$A$107:$W$125,23,(FALSE))</f>
        <v>7340.1394392567681</v>
      </c>
      <c r="AO128" s="235">
        <f t="shared" si="50"/>
        <v>1360.3397300896659</v>
      </c>
      <c r="AP128" s="36"/>
      <c r="AQ128" s="235">
        <f>VLOOKUP(A128,'Band Calculations - Rebase'!$A$109:$W$127,23,(FALSE))</f>
        <v>7533.3183553732788</v>
      </c>
      <c r="AR128" s="235">
        <f t="shared" si="51"/>
        <v>1167.1608139731552</v>
      </c>
      <c r="AS128" s="1252"/>
      <c r="AT128" s="1527"/>
      <c r="AU128" s="36"/>
      <c r="AV128" s="235">
        <f t="shared" si="52"/>
        <v>45215.482530625093</v>
      </c>
      <c r="AW128" s="235">
        <f>SUM('1819 Band Calculations'!U22,'1819 Band Calculations'!U44,'1819 Band Calculations'!U66,'1819 Band Calculations'!U88)</f>
        <v>107388.40877764007</v>
      </c>
      <c r="AX128" s="235">
        <f t="shared" si="53"/>
        <v>62172.926247014977</v>
      </c>
      <c r="AY128" s="36"/>
      <c r="AZ128" s="275">
        <v>4041</v>
      </c>
      <c r="BA128" s="235">
        <f>'1920 Funding Detail'!AF14</f>
        <v>0</v>
      </c>
      <c r="BB128" s="235">
        <f t="shared" si="54"/>
        <v>4041</v>
      </c>
    </row>
    <row r="129" spans="1:54" ht="13" x14ac:dyDescent="0.3">
      <c r="A129" s="244">
        <v>9257016</v>
      </c>
      <c r="B129" s="237" t="s">
        <v>219</v>
      </c>
      <c r="C129" s="238">
        <v>6</v>
      </c>
      <c r="D129" s="245">
        <f t="shared" si="20"/>
        <v>482042.68299447926</v>
      </c>
      <c r="E129" s="245">
        <f t="shared" si="21"/>
        <v>764299.00098883687</v>
      </c>
      <c r="F129" s="68">
        <f t="shared" si="36"/>
        <v>1246341.6839833162</v>
      </c>
      <c r="G129" s="245">
        <f t="shared" si="22"/>
        <v>264833.08848853316</v>
      </c>
      <c r="H129" s="245">
        <f t="shared" si="23"/>
        <v>399572.73000024294</v>
      </c>
      <c r="I129" s="68">
        <f t="shared" si="37"/>
        <v>664405.8184887761</v>
      </c>
      <c r="J129" s="68">
        <f>F129+I129</f>
        <v>1910747.5024720924</v>
      </c>
      <c r="K129" s="245">
        <f t="shared" si="24"/>
        <v>670.05208333333326</v>
      </c>
      <c r="L129" s="245">
        <f t="shared" si="25"/>
        <v>1062.3958333333335</v>
      </c>
      <c r="M129" s="68">
        <f t="shared" si="39"/>
        <v>1732.4479166666667</v>
      </c>
      <c r="N129" s="245">
        <f t="shared" si="26"/>
        <v>368.125</v>
      </c>
      <c r="O129" s="245">
        <f t="shared" si="27"/>
        <v>555.41666666666663</v>
      </c>
      <c r="P129" s="68">
        <f t="shared" si="40"/>
        <v>923.54166666666663</v>
      </c>
      <c r="Q129" s="68">
        <f t="shared" si="41"/>
        <v>2655.9895833333335</v>
      </c>
      <c r="R129" s="68">
        <f t="shared" si="28"/>
        <v>1913403.4920554259</v>
      </c>
      <c r="S129" s="286">
        <f t="shared" si="29"/>
        <v>137.08333333333334</v>
      </c>
      <c r="T129" s="245">
        <f t="shared" si="42"/>
        <v>13957.958604659641</v>
      </c>
      <c r="U129" s="237"/>
      <c r="V129" s="245">
        <f t="shared" si="30"/>
        <v>894166.66666666674</v>
      </c>
      <c r="W129" s="245">
        <f t="shared" si="31"/>
        <v>476666.66666666663</v>
      </c>
      <c r="X129" s="245">
        <f t="shared" si="43"/>
        <v>1370833.3333333335</v>
      </c>
      <c r="Y129" s="245">
        <f>VLOOKUP(A129,'1920 Funding Detail'!$A$4:$AN$23,33,FALSE)</f>
        <v>2484113.2420554259</v>
      </c>
      <c r="Z129" s="245">
        <f t="shared" si="44"/>
        <v>1113279.9087220924</v>
      </c>
      <c r="AA129" s="245">
        <f t="shared" si="32"/>
        <v>280857.84931286826</v>
      </c>
      <c r="AB129" s="245">
        <f t="shared" si="33"/>
        <v>445311.96348883689</v>
      </c>
      <c r="AC129" s="245">
        <f t="shared" si="45"/>
        <v>726169.81280170521</v>
      </c>
      <c r="AD129" s="245">
        <f t="shared" si="34"/>
        <v>154302.62564658787</v>
      </c>
      <c r="AE129" s="245">
        <f t="shared" si="35"/>
        <v>232807.47027379923</v>
      </c>
      <c r="AF129" s="245">
        <f t="shared" si="46"/>
        <v>387110.09592038707</v>
      </c>
      <c r="AG129" s="245">
        <f t="shared" si="47"/>
        <v>1113279.9087220924</v>
      </c>
      <c r="AH129" s="287"/>
      <c r="AI129" s="1029">
        <f t="shared" si="48"/>
        <v>2484113.2420554259</v>
      </c>
      <c r="AJ129" s="247" t="s">
        <v>207</v>
      </c>
      <c r="AK129" s="298" t="s">
        <v>207</v>
      </c>
      <c r="AL129" s="235">
        <f t="shared" si="49"/>
        <v>13957.958604659641</v>
      </c>
      <c r="AM129" s="235"/>
      <c r="AN129" s="235">
        <f>VLOOKUP(A129,'Band Calculations 1718'!$A$107:$W$125,23,(FALSE))</f>
        <v>10118.068418370316</v>
      </c>
      <c r="AO129" s="235">
        <f t="shared" si="50"/>
        <v>3839.8901862893254</v>
      </c>
      <c r="AP129" s="36"/>
      <c r="AQ129" s="235">
        <f>VLOOKUP(A129,'Band Calculations - Rebase'!$A$109:$W$127,23,(FALSE))</f>
        <v>12795.397962767993</v>
      </c>
      <c r="AR129" s="1253">
        <f t="shared" si="51"/>
        <v>1162.5606418916486</v>
      </c>
      <c r="AS129" s="1252"/>
      <c r="AT129" s="1527"/>
      <c r="AU129" s="36"/>
      <c r="AV129" s="235">
        <f t="shared" si="52"/>
        <v>794222.80929219606</v>
      </c>
      <c r="AW129" s="235">
        <f>SUM('1819 Band Calculations'!U23,'1819 Band Calculations'!U45,'1819 Band Calculations'!U67,'1819 Band Calculations'!U89)</f>
        <v>829296.22682059056</v>
      </c>
      <c r="AX129" s="235">
        <f t="shared" si="53"/>
        <v>35073.417528394493</v>
      </c>
      <c r="AY129" s="36"/>
      <c r="AZ129" s="235">
        <f>'1920 Funding Detail'!AF15</f>
        <v>0</v>
      </c>
      <c r="BA129" s="235">
        <f>'1920 Funding Detail'!AF15</f>
        <v>0</v>
      </c>
      <c r="BB129" s="235">
        <f t="shared" si="54"/>
        <v>0</v>
      </c>
    </row>
    <row r="130" spans="1:54" x14ac:dyDescent="0.25">
      <c r="A130" s="36"/>
      <c r="B130" s="36"/>
      <c r="C130" s="36"/>
      <c r="D130" s="36"/>
      <c r="E130" s="36"/>
      <c r="F130" s="234"/>
      <c r="G130" s="234"/>
      <c r="H130" s="36"/>
      <c r="I130" s="36"/>
      <c r="J130" s="36"/>
      <c r="K130" s="36"/>
      <c r="L130" s="36"/>
      <c r="M130" s="36"/>
      <c r="N130" s="36"/>
      <c r="O130" s="36"/>
      <c r="P130" s="36"/>
      <c r="Q130" s="36"/>
      <c r="R130" s="36"/>
      <c r="S130" s="288"/>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234"/>
      <c r="AW130" s="235"/>
      <c r="AX130" s="36"/>
      <c r="AY130" s="36"/>
      <c r="AZ130" s="235"/>
      <c r="BA130" s="234"/>
      <c r="BB130" s="234"/>
    </row>
    <row r="131" spans="1:54" ht="13" thickBot="1" x14ac:dyDescent="0.3">
      <c r="A131" s="36"/>
      <c r="B131" s="36"/>
      <c r="C131" s="36"/>
      <c r="D131" s="250">
        <f t="shared" ref="D131:P131" si="55">SUM(D112:D129)</f>
        <v>6600900.8265132746</v>
      </c>
      <c r="E131" s="250">
        <f t="shared" si="55"/>
        <v>9824327.5406377092</v>
      </c>
      <c r="F131" s="250">
        <f t="shared" si="55"/>
        <v>16425228.367150983</v>
      </c>
      <c r="G131" s="250">
        <f t="shared" si="55"/>
        <v>809530.41665459785</v>
      </c>
      <c r="H131" s="250">
        <f t="shared" si="55"/>
        <v>1399060.1756152525</v>
      </c>
      <c r="I131" s="250">
        <f t="shared" si="55"/>
        <v>2208590.59226985</v>
      </c>
      <c r="J131" s="250">
        <f>SUM(J112:J129)</f>
        <v>18633818.959420834</v>
      </c>
      <c r="K131" s="250">
        <f t="shared" si="55"/>
        <v>419389.54353332182</v>
      </c>
      <c r="L131" s="250">
        <f t="shared" si="55"/>
        <v>644566.40147567075</v>
      </c>
      <c r="M131" s="250">
        <f t="shared" si="55"/>
        <v>1063955.9450089927</v>
      </c>
      <c r="N131" s="250">
        <f t="shared" si="55"/>
        <v>13082.007373543876</v>
      </c>
      <c r="O131" s="250">
        <f t="shared" si="55"/>
        <v>25024.816063091857</v>
      </c>
      <c r="P131" s="250">
        <f t="shared" si="55"/>
        <v>38106.823436635728</v>
      </c>
      <c r="Q131" s="250">
        <f>SUM(Q112:Q129)</f>
        <v>1102062.7684456282</v>
      </c>
      <c r="R131" s="250">
        <f>SUM(R112:R129)</f>
        <v>19735881.727866467</v>
      </c>
      <c r="S131" s="1031">
        <f>SUM(S112:S129)</f>
        <v>1817.5833333333333</v>
      </c>
      <c r="T131" s="250">
        <f>AVERAGE(T112:T129)</f>
        <v>11415.07801547911</v>
      </c>
      <c r="U131" s="36"/>
      <c r="V131" s="1032">
        <f>SUM(V112:V129)</f>
        <v>16219166.666666666</v>
      </c>
      <c r="W131" s="1032">
        <f t="shared" ref="W131:AI131" si="56">SUM(W112:W129)</f>
        <v>1956666.6666666665</v>
      </c>
      <c r="X131" s="1033">
        <f t="shared" si="56"/>
        <v>18175833.333333332</v>
      </c>
      <c r="Y131" s="1033">
        <f t="shared" si="56"/>
        <v>28779099.218740076</v>
      </c>
      <c r="Z131" s="1033">
        <f t="shared" si="56"/>
        <v>10603265.88540674</v>
      </c>
      <c r="AA131" s="1033">
        <f t="shared" si="56"/>
        <v>3680608.1755164368</v>
      </c>
      <c r="AB131" s="1033">
        <f t="shared" si="56"/>
        <v>5587156.8562589036</v>
      </c>
      <c r="AC131" s="1033">
        <f t="shared" si="56"/>
        <v>9267765.0317753404</v>
      </c>
      <c r="AD131" s="1033">
        <f t="shared" si="56"/>
        <v>486718.32532799017</v>
      </c>
      <c r="AE131" s="1033">
        <f t="shared" si="56"/>
        <v>848782.52830340876</v>
      </c>
      <c r="AF131" s="1033">
        <f t="shared" si="56"/>
        <v>1335500.8536313986</v>
      </c>
      <c r="AG131" s="1033">
        <f t="shared" si="56"/>
        <v>10603265.88540674</v>
      </c>
      <c r="AH131" s="1034"/>
      <c r="AI131" s="1033">
        <f t="shared" si="56"/>
        <v>28779099.218740072</v>
      </c>
      <c r="AJ131" s="36"/>
      <c r="AK131" s="36"/>
      <c r="AL131" s="36"/>
      <c r="AM131" s="36"/>
      <c r="AN131" s="36"/>
      <c r="AO131" s="36"/>
      <c r="AP131" s="36"/>
      <c r="AQ131" s="36"/>
      <c r="AR131" s="36"/>
      <c r="AS131" s="36"/>
      <c r="AT131" s="36"/>
      <c r="AU131" s="36"/>
      <c r="AV131" s="235">
        <f>SUM(AV112:AV130)</f>
        <v>1866352.7961942179</v>
      </c>
      <c r="AW131" s="235">
        <f>SUM(AW112:AW130)</f>
        <v>2255451.1488439254</v>
      </c>
      <c r="AX131" s="235">
        <f>SUM(AX112:AX130)</f>
        <v>389098.35264970729</v>
      </c>
      <c r="AY131" s="36"/>
      <c r="AZ131" s="235">
        <f>SUM(AZ112:AZ130)</f>
        <v>646863.56096083601</v>
      </c>
      <c r="BA131" s="235">
        <f>SUM(BA112:BA130)</f>
        <v>423912.64087361004</v>
      </c>
      <c r="BB131" s="235">
        <f>SUM(BB112:BB130)</f>
        <v>222950.92008722597</v>
      </c>
    </row>
    <row r="132" spans="1:54" x14ac:dyDescent="0.25">
      <c r="A132" s="36"/>
      <c r="B132" s="36"/>
      <c r="C132" s="36"/>
      <c r="D132" s="36"/>
      <c r="E132" s="36"/>
      <c r="F132" s="234"/>
      <c r="G132" s="234"/>
      <c r="H132" s="36"/>
      <c r="I132" s="36"/>
      <c r="J132" s="36"/>
      <c r="K132" s="36"/>
      <c r="L132" s="36"/>
      <c r="M132" s="36"/>
      <c r="N132" s="36"/>
      <c r="O132" s="36"/>
      <c r="P132" s="36"/>
      <c r="Q132" s="36"/>
      <c r="R132" s="36"/>
      <c r="S132" s="288"/>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234"/>
      <c r="AW132" s="234"/>
      <c r="AX132" s="36"/>
      <c r="AY132" s="36"/>
      <c r="AZ132" s="234"/>
      <c r="BA132" s="234"/>
      <c r="BB132" s="234"/>
    </row>
    <row r="133" spans="1:54" x14ac:dyDescent="0.25">
      <c r="A133" s="36"/>
      <c r="B133" s="36"/>
      <c r="C133" s="36"/>
      <c r="D133" s="381" t="s">
        <v>207</v>
      </c>
      <c r="E133" s="381" t="s">
        <v>207</v>
      </c>
      <c r="F133" s="381" t="s">
        <v>207</v>
      </c>
      <c r="G133" s="381" t="s">
        <v>207</v>
      </c>
      <c r="H133" s="381" t="s">
        <v>207</v>
      </c>
      <c r="I133" s="381" t="s">
        <v>207</v>
      </c>
      <c r="J133" s="381" t="s">
        <v>207</v>
      </c>
      <c r="K133" s="381" t="s">
        <v>207</v>
      </c>
      <c r="L133" s="381" t="s">
        <v>207</v>
      </c>
      <c r="M133" s="381" t="s">
        <v>207</v>
      </c>
      <c r="N133" s="381" t="s">
        <v>207</v>
      </c>
      <c r="O133" s="381" t="s">
        <v>207</v>
      </c>
      <c r="P133" s="381" t="s">
        <v>207</v>
      </c>
      <c r="Q133" s="381" t="s">
        <v>207</v>
      </c>
      <c r="R133" s="381" t="s">
        <v>207</v>
      </c>
      <c r="S133" s="233" t="s">
        <v>207</v>
      </c>
      <c r="T133" s="298" t="s">
        <v>207</v>
      </c>
      <c r="U133" s="36"/>
      <c r="V133" s="298" t="s">
        <v>207</v>
      </c>
      <c r="W133" s="298" t="s">
        <v>207</v>
      </c>
      <c r="X133" s="298" t="s">
        <v>207</v>
      </c>
      <c r="Y133" s="298" t="s">
        <v>207</v>
      </c>
      <c r="Z133" s="298" t="s">
        <v>207</v>
      </c>
      <c r="AA133" s="298" t="s">
        <v>207</v>
      </c>
      <c r="AB133" s="298" t="s">
        <v>207</v>
      </c>
      <c r="AC133" s="298" t="s">
        <v>207</v>
      </c>
      <c r="AD133" s="298" t="s">
        <v>207</v>
      </c>
      <c r="AE133" s="298" t="s">
        <v>207</v>
      </c>
      <c r="AF133" s="298" t="s">
        <v>207</v>
      </c>
      <c r="AG133" s="298" t="s">
        <v>207</v>
      </c>
      <c r="AH133" s="298"/>
      <c r="AI133" s="298" t="s">
        <v>207</v>
      </c>
      <c r="AJ133" s="36"/>
      <c r="AK133" s="36"/>
      <c r="AL133" s="36"/>
      <c r="AM133" s="36"/>
      <c r="AN133" s="296" t="s">
        <v>843</v>
      </c>
      <c r="AO133" s="36"/>
      <c r="AP133" s="36"/>
      <c r="AQ133" s="36"/>
      <c r="AR133" s="36"/>
      <c r="AS133" s="36"/>
      <c r="AT133" s="36"/>
      <c r="AU133" s="36"/>
      <c r="AV133" s="234"/>
      <c r="AW133" s="234"/>
      <c r="AX133" s="36"/>
      <c r="AY133" s="36"/>
      <c r="AZ133" s="234"/>
      <c r="BA133" s="234"/>
      <c r="BB133" s="234"/>
    </row>
  </sheetData>
  <mergeCells count="16">
    <mergeCell ref="AL110:AL111"/>
    <mergeCell ref="AN110:AN111"/>
    <mergeCell ref="AQ110:AQ111"/>
    <mergeCell ref="AT112:AT129"/>
    <mergeCell ref="D110:F110"/>
    <mergeCell ref="G110:I110"/>
    <mergeCell ref="K110:M110"/>
    <mergeCell ref="N110:P110"/>
    <mergeCell ref="AI110:AI111"/>
    <mergeCell ref="AN109:AO109"/>
    <mergeCell ref="AQ109:AR109"/>
    <mergeCell ref="O4:P4"/>
    <mergeCell ref="O26:P26"/>
    <mergeCell ref="O48:P48"/>
    <mergeCell ref="O70:P70"/>
    <mergeCell ref="AQ107:AR107"/>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2:W222"/>
  <sheetViews>
    <sheetView topLeftCell="A175" workbookViewId="0">
      <selection activeCell="D181" sqref="D181"/>
    </sheetView>
  </sheetViews>
  <sheetFormatPr defaultColWidth="9.1796875" defaultRowHeight="12.5" x14ac:dyDescent="0.25"/>
  <cols>
    <col min="1" max="1" width="9.1796875" style="6"/>
    <col min="2" max="2" width="33.81640625" style="6" customWidth="1"/>
    <col min="3" max="3" width="9.1796875" style="6" customWidth="1"/>
    <col min="4" max="4" width="11.7265625" style="6" customWidth="1"/>
    <col min="5" max="5" width="9.1796875" style="34"/>
    <col min="6" max="8" width="9.54296875" style="34" bestFit="1" customWidth="1"/>
    <col min="9" max="9" width="9" style="34" customWidth="1"/>
    <col min="10" max="11" width="9.54296875" style="34" bestFit="1" customWidth="1"/>
    <col min="12" max="15" width="9.1796875" style="34"/>
    <col min="16" max="16" width="9.1796875" style="6"/>
    <col min="17" max="17" width="10.81640625" style="6" customWidth="1"/>
    <col min="18" max="18" width="9.1796875" style="6"/>
    <col min="19" max="19" width="10" style="6" customWidth="1"/>
    <col min="20" max="22" width="9.1796875" style="6"/>
    <col min="23" max="23" width="10.453125" style="6" customWidth="1"/>
    <col min="24" max="16384" width="9.1796875" style="6"/>
  </cols>
  <sheetData>
    <row r="2" spans="2:17" x14ac:dyDescent="0.25">
      <c r="B2" s="1" t="s">
        <v>507</v>
      </c>
      <c r="C2" s="289"/>
      <c r="D2" s="289"/>
      <c r="E2" s="316"/>
      <c r="F2" s="316"/>
      <c r="G2" s="316"/>
      <c r="H2" s="316"/>
      <c r="I2" s="316"/>
      <c r="J2" s="316"/>
      <c r="K2" s="316"/>
      <c r="L2" s="316"/>
      <c r="M2" s="316"/>
      <c r="N2" s="316"/>
      <c r="O2" s="316"/>
      <c r="P2" s="289"/>
      <c r="Q2" s="289"/>
    </row>
    <row r="4" spans="2:17" ht="39" x14ac:dyDescent="0.25">
      <c r="B4" s="47" t="s">
        <v>183</v>
      </c>
      <c r="C4" s="47" t="s">
        <v>508</v>
      </c>
      <c r="D4" s="48" t="s">
        <v>184</v>
      </c>
      <c r="E4" s="49" t="s">
        <v>509</v>
      </c>
      <c r="F4" s="50" t="s">
        <v>510</v>
      </c>
      <c r="G4" s="51" t="s">
        <v>511</v>
      </c>
      <c r="H4" s="50" t="s">
        <v>512</v>
      </c>
      <c r="I4" s="51" t="s">
        <v>513</v>
      </c>
      <c r="J4" s="50" t="s">
        <v>514</v>
      </c>
      <c r="K4" s="51" t="s">
        <v>515</v>
      </c>
      <c r="L4" s="50" t="s">
        <v>516</v>
      </c>
      <c r="M4" s="51" t="s">
        <v>517</v>
      </c>
      <c r="N4" s="52" t="s">
        <v>518</v>
      </c>
      <c r="O4" s="53" t="s">
        <v>519</v>
      </c>
      <c r="P4" s="289"/>
      <c r="Q4" s="822" t="s">
        <v>294</v>
      </c>
    </row>
    <row r="5" spans="2:17" ht="12.75" customHeight="1" x14ac:dyDescent="0.25">
      <c r="B5" s="375" t="s">
        <v>205</v>
      </c>
      <c r="C5" s="1221" t="s">
        <v>520</v>
      </c>
      <c r="D5" s="1222">
        <v>3</v>
      </c>
      <c r="E5" s="1223">
        <f t="shared" ref="E5:E23" si="0">F5+H5+J5+L5+N5</f>
        <v>42</v>
      </c>
      <c r="F5" s="1224">
        <v>13</v>
      </c>
      <c r="G5" s="1225">
        <f>F5/E5</f>
        <v>0.30952380952380953</v>
      </c>
      <c r="H5" s="1226">
        <v>21</v>
      </c>
      <c r="I5" s="1225">
        <f t="shared" ref="I5:I23" si="1">H5/E5</f>
        <v>0.5</v>
      </c>
      <c r="J5" s="1226">
        <v>0</v>
      </c>
      <c r="K5" s="1225">
        <f t="shared" ref="K5:K23" si="2">J5/E5</f>
        <v>0</v>
      </c>
      <c r="L5" s="1226">
        <v>2</v>
      </c>
      <c r="M5" s="1225">
        <f t="shared" ref="M5:M23" si="3">L5/E5</f>
        <v>4.7619047619047616E-2</v>
      </c>
      <c r="N5" s="54">
        <v>6</v>
      </c>
      <c r="O5" s="55">
        <f t="shared" ref="O5:O23" si="4">N5/E5</f>
        <v>0.14285714285714285</v>
      </c>
      <c r="P5" s="289"/>
      <c r="Q5" s="315">
        <f t="shared" ref="Q5:Q23" si="5">(G5*$F$54)+(I5*$H$54)+(K5*$J$54)+(M5*$L$54)+(O5*$P$54)+(O5*$P$56)</f>
        <v>9897.5167052398338</v>
      </c>
    </row>
    <row r="6" spans="2:17" ht="12.75" customHeight="1" x14ac:dyDescent="0.25">
      <c r="B6" s="375" t="s">
        <v>208</v>
      </c>
      <c r="C6" s="1221" t="s">
        <v>521</v>
      </c>
      <c r="D6" s="1222">
        <v>3</v>
      </c>
      <c r="E6" s="1223">
        <f t="shared" si="0"/>
        <v>58</v>
      </c>
      <c r="F6" s="1224">
        <v>7</v>
      </c>
      <c r="G6" s="1225">
        <f t="shared" ref="G6:G23" si="6">F6/E6</f>
        <v>0.1206896551724138</v>
      </c>
      <c r="H6" s="1226">
        <v>23</v>
      </c>
      <c r="I6" s="1225">
        <f t="shared" si="1"/>
        <v>0.39655172413793105</v>
      </c>
      <c r="J6" s="1226">
        <v>16</v>
      </c>
      <c r="K6" s="1225">
        <f t="shared" si="2"/>
        <v>0.27586206896551724</v>
      </c>
      <c r="L6" s="1226">
        <v>5</v>
      </c>
      <c r="M6" s="1225">
        <f t="shared" si="3"/>
        <v>8.6206896551724144E-2</v>
      </c>
      <c r="N6" s="54">
        <v>7</v>
      </c>
      <c r="O6" s="55">
        <f t="shared" si="4"/>
        <v>0.1206896551724138</v>
      </c>
      <c r="P6" s="289"/>
      <c r="Q6" s="315">
        <f t="shared" si="5"/>
        <v>8785.2859312602777</v>
      </c>
    </row>
    <row r="7" spans="2:17" ht="12.75" customHeight="1" x14ac:dyDescent="0.25">
      <c r="B7" s="375" t="s">
        <v>209</v>
      </c>
      <c r="C7" s="1221" t="s">
        <v>522</v>
      </c>
      <c r="D7" s="1222">
        <v>3</v>
      </c>
      <c r="E7" s="1223">
        <f t="shared" si="0"/>
        <v>46</v>
      </c>
      <c r="F7" s="1224">
        <v>15</v>
      </c>
      <c r="G7" s="1225">
        <f t="shared" si="6"/>
        <v>0.32608695652173914</v>
      </c>
      <c r="H7" s="1226">
        <v>16</v>
      </c>
      <c r="I7" s="1225">
        <f t="shared" si="1"/>
        <v>0.34782608695652173</v>
      </c>
      <c r="J7" s="1226">
        <v>0</v>
      </c>
      <c r="K7" s="1225">
        <f t="shared" si="2"/>
        <v>0</v>
      </c>
      <c r="L7" s="1226">
        <v>2</v>
      </c>
      <c r="M7" s="1225">
        <f t="shared" si="3"/>
        <v>4.3478260869565216E-2</v>
      </c>
      <c r="N7" s="54">
        <v>13</v>
      </c>
      <c r="O7" s="55">
        <f t="shared" si="4"/>
        <v>0.28260869565217389</v>
      </c>
      <c r="P7" s="289"/>
      <c r="Q7" s="315">
        <f t="shared" si="5"/>
        <v>10926.489409838705</v>
      </c>
    </row>
    <row r="8" spans="2:17" ht="12.75" customHeight="1" x14ac:dyDescent="0.25">
      <c r="B8" s="375" t="s">
        <v>210</v>
      </c>
      <c r="C8" s="1221" t="s">
        <v>520</v>
      </c>
      <c r="D8" s="1222">
        <v>3</v>
      </c>
      <c r="E8" s="1223">
        <f t="shared" si="0"/>
        <v>40</v>
      </c>
      <c r="F8" s="1224">
        <v>14</v>
      </c>
      <c r="G8" s="1225">
        <f t="shared" si="6"/>
        <v>0.35</v>
      </c>
      <c r="H8" s="1226">
        <v>15</v>
      </c>
      <c r="I8" s="1225">
        <f t="shared" si="1"/>
        <v>0.375</v>
      </c>
      <c r="J8" s="1226">
        <v>1</v>
      </c>
      <c r="K8" s="1225">
        <f t="shared" si="2"/>
        <v>2.5000000000000001E-2</v>
      </c>
      <c r="L8" s="1226">
        <v>1</v>
      </c>
      <c r="M8" s="1225">
        <f t="shared" si="3"/>
        <v>2.5000000000000001E-2</v>
      </c>
      <c r="N8" s="54">
        <v>9</v>
      </c>
      <c r="O8" s="55">
        <f t="shared" si="4"/>
        <v>0.22500000000000001</v>
      </c>
      <c r="P8" s="289"/>
      <c r="Q8" s="315">
        <f t="shared" si="5"/>
        <v>10520.494500332868</v>
      </c>
    </row>
    <row r="9" spans="2:17" ht="12.75" customHeight="1" x14ac:dyDescent="0.25">
      <c r="B9" s="375" t="s">
        <v>211</v>
      </c>
      <c r="C9" s="1221" t="s">
        <v>522</v>
      </c>
      <c r="D9" s="1222">
        <v>3</v>
      </c>
      <c r="E9" s="1223">
        <f t="shared" si="0"/>
        <v>46</v>
      </c>
      <c r="F9" s="1226">
        <v>7</v>
      </c>
      <c r="G9" s="1225">
        <f t="shared" si="6"/>
        <v>0.15217391304347827</v>
      </c>
      <c r="H9" s="1226">
        <v>30</v>
      </c>
      <c r="I9" s="1225">
        <f t="shared" si="1"/>
        <v>0.65217391304347827</v>
      </c>
      <c r="J9" s="1226">
        <v>1</v>
      </c>
      <c r="K9" s="1225">
        <f t="shared" si="2"/>
        <v>2.1739130434782608E-2</v>
      </c>
      <c r="L9" s="1226">
        <v>7</v>
      </c>
      <c r="M9" s="1225">
        <f t="shared" si="3"/>
        <v>0.15217391304347827</v>
      </c>
      <c r="N9" s="54">
        <v>1</v>
      </c>
      <c r="O9" s="55">
        <f t="shared" si="4"/>
        <v>2.1739130434782608E-2</v>
      </c>
      <c r="P9" s="289"/>
      <c r="Q9" s="315">
        <f t="shared" si="5"/>
        <v>8799.2030513196951</v>
      </c>
    </row>
    <row r="10" spans="2:17" ht="12.75" customHeight="1" x14ac:dyDescent="0.25">
      <c r="B10" s="375" t="s">
        <v>257</v>
      </c>
      <c r="C10" s="1221" t="s">
        <v>523</v>
      </c>
      <c r="D10" s="1222">
        <v>3</v>
      </c>
      <c r="E10" s="1223">
        <f t="shared" si="0"/>
        <v>53</v>
      </c>
      <c r="F10" s="1226">
        <v>0</v>
      </c>
      <c r="G10" s="1225">
        <f t="shared" si="6"/>
        <v>0</v>
      </c>
      <c r="H10" s="1226">
        <v>0</v>
      </c>
      <c r="I10" s="1225">
        <f t="shared" si="1"/>
        <v>0</v>
      </c>
      <c r="J10" s="1226">
        <v>0</v>
      </c>
      <c r="K10" s="1225">
        <f t="shared" si="2"/>
        <v>0</v>
      </c>
      <c r="L10" s="1226">
        <v>0</v>
      </c>
      <c r="M10" s="1225">
        <f t="shared" si="3"/>
        <v>0</v>
      </c>
      <c r="N10" s="54">
        <v>53</v>
      </c>
      <c r="O10" s="55">
        <f t="shared" si="4"/>
        <v>1</v>
      </c>
      <c r="P10" s="289"/>
      <c r="Q10" s="315">
        <f t="shared" si="5"/>
        <v>14327.068527263833</v>
      </c>
    </row>
    <row r="11" spans="2:17" ht="12.75" customHeight="1" x14ac:dyDescent="0.25">
      <c r="B11" s="375" t="s">
        <v>220</v>
      </c>
      <c r="C11" s="1221" t="s">
        <v>521</v>
      </c>
      <c r="D11" s="1222">
        <v>3</v>
      </c>
      <c r="E11" s="1223">
        <f t="shared" si="0"/>
        <v>46</v>
      </c>
      <c r="F11" s="1226">
        <v>4</v>
      </c>
      <c r="G11" s="1225">
        <f t="shared" si="6"/>
        <v>8.6956521739130432E-2</v>
      </c>
      <c r="H11" s="1226">
        <v>10</v>
      </c>
      <c r="I11" s="1225">
        <f t="shared" si="1"/>
        <v>0.21739130434782608</v>
      </c>
      <c r="J11" s="1226">
        <v>23</v>
      </c>
      <c r="K11" s="1225">
        <f t="shared" si="2"/>
        <v>0.5</v>
      </c>
      <c r="L11" s="1227">
        <v>2</v>
      </c>
      <c r="M11" s="1225">
        <f t="shared" si="3"/>
        <v>4.3478260869565216E-2</v>
      </c>
      <c r="N11" s="54">
        <v>7</v>
      </c>
      <c r="O11" s="55">
        <f t="shared" si="4"/>
        <v>0.15217391304347827</v>
      </c>
      <c r="P11" s="289"/>
      <c r="Q11" s="315">
        <f t="shared" si="5"/>
        <v>8424.9714418469157</v>
      </c>
    </row>
    <row r="12" spans="2:17" ht="12.75" customHeight="1" x14ac:dyDescent="0.25">
      <c r="B12" s="375" t="s">
        <v>212</v>
      </c>
      <c r="C12" s="1221" t="s">
        <v>522</v>
      </c>
      <c r="D12" s="1222">
        <v>3</v>
      </c>
      <c r="E12" s="1223">
        <f t="shared" si="0"/>
        <v>76</v>
      </c>
      <c r="F12" s="1226">
        <v>0</v>
      </c>
      <c r="G12" s="1225">
        <f t="shared" si="6"/>
        <v>0</v>
      </c>
      <c r="H12" s="1226">
        <v>8</v>
      </c>
      <c r="I12" s="1225">
        <f t="shared" si="1"/>
        <v>0.10526315789473684</v>
      </c>
      <c r="J12" s="1226">
        <v>42</v>
      </c>
      <c r="K12" s="1225">
        <f t="shared" si="2"/>
        <v>0.55263157894736847</v>
      </c>
      <c r="L12" s="1226">
        <v>1</v>
      </c>
      <c r="M12" s="1225">
        <f t="shared" si="3"/>
        <v>1.3157894736842105E-2</v>
      </c>
      <c r="N12" s="1228">
        <v>25</v>
      </c>
      <c r="O12" s="55">
        <f t="shared" si="4"/>
        <v>0.32894736842105265</v>
      </c>
      <c r="P12" s="289"/>
      <c r="Q12" s="315">
        <f t="shared" si="5"/>
        <v>9090.8723433725772</v>
      </c>
    </row>
    <row r="13" spans="2:17" ht="12.75" customHeight="1" x14ac:dyDescent="0.25">
      <c r="B13" s="375" t="s">
        <v>221</v>
      </c>
      <c r="C13" s="1221" t="s">
        <v>521</v>
      </c>
      <c r="D13" s="1222">
        <v>4</v>
      </c>
      <c r="E13" s="1223">
        <f t="shared" si="0"/>
        <v>112</v>
      </c>
      <c r="F13" s="1226">
        <v>6</v>
      </c>
      <c r="G13" s="1225">
        <f t="shared" si="6"/>
        <v>5.3571428571428568E-2</v>
      </c>
      <c r="H13" s="1226">
        <v>8</v>
      </c>
      <c r="I13" s="1225">
        <f t="shared" si="1"/>
        <v>7.1428571428571425E-2</v>
      </c>
      <c r="J13" s="1226">
        <v>75</v>
      </c>
      <c r="K13" s="1225">
        <f t="shared" si="2"/>
        <v>0.6696428571428571</v>
      </c>
      <c r="L13" s="1226">
        <v>3</v>
      </c>
      <c r="M13" s="1225">
        <f t="shared" si="3"/>
        <v>2.6785714285714284E-2</v>
      </c>
      <c r="N13" s="54">
        <v>20</v>
      </c>
      <c r="O13" s="55">
        <f t="shared" si="4"/>
        <v>0.17857142857142858</v>
      </c>
      <c r="P13" s="289"/>
      <c r="Q13" s="315">
        <f t="shared" si="5"/>
        <v>8204.0181145547631</v>
      </c>
    </row>
    <row r="14" spans="2:17" ht="12.75" customHeight="1" x14ac:dyDescent="0.25">
      <c r="B14" s="375" t="s">
        <v>213</v>
      </c>
      <c r="C14" s="1221" t="s">
        <v>521</v>
      </c>
      <c r="D14" s="1222">
        <v>4</v>
      </c>
      <c r="E14" s="1223">
        <f t="shared" si="0"/>
        <v>123</v>
      </c>
      <c r="F14" s="1226">
        <v>2</v>
      </c>
      <c r="G14" s="1225">
        <f t="shared" si="6"/>
        <v>1.6260162601626018E-2</v>
      </c>
      <c r="H14" s="1226">
        <v>31</v>
      </c>
      <c r="I14" s="1225">
        <f t="shared" si="1"/>
        <v>0.25203252032520324</v>
      </c>
      <c r="J14" s="1226">
        <v>79</v>
      </c>
      <c r="K14" s="1225">
        <f t="shared" si="2"/>
        <v>0.64227642276422769</v>
      </c>
      <c r="L14" s="1226">
        <v>0</v>
      </c>
      <c r="M14" s="1225">
        <f t="shared" si="3"/>
        <v>0</v>
      </c>
      <c r="N14" s="54">
        <v>11</v>
      </c>
      <c r="O14" s="55">
        <f t="shared" si="4"/>
        <v>8.943089430894309E-2</v>
      </c>
      <c r="P14" s="289"/>
      <c r="Q14" s="315">
        <f t="shared" si="5"/>
        <v>7334.0685395812361</v>
      </c>
    </row>
    <row r="15" spans="2:17" ht="12.75" customHeight="1" x14ac:dyDescent="0.25">
      <c r="B15" s="375" t="s">
        <v>214</v>
      </c>
      <c r="C15" s="1221" t="s">
        <v>520</v>
      </c>
      <c r="D15" s="1222">
        <v>4</v>
      </c>
      <c r="E15" s="1223">
        <f t="shared" si="0"/>
        <v>125</v>
      </c>
      <c r="F15" s="1226">
        <v>0</v>
      </c>
      <c r="G15" s="1225">
        <f t="shared" si="6"/>
        <v>0</v>
      </c>
      <c r="H15" s="1226">
        <v>24</v>
      </c>
      <c r="I15" s="1225">
        <f t="shared" si="1"/>
        <v>0.192</v>
      </c>
      <c r="J15" s="1226">
        <v>83</v>
      </c>
      <c r="K15" s="1225">
        <f t="shared" si="2"/>
        <v>0.66400000000000003</v>
      </c>
      <c r="L15" s="1226">
        <v>0</v>
      </c>
      <c r="M15" s="1225">
        <f t="shared" si="3"/>
        <v>0</v>
      </c>
      <c r="N15" s="54">
        <v>18</v>
      </c>
      <c r="O15" s="55">
        <f t="shared" si="4"/>
        <v>0.14399999999999999</v>
      </c>
      <c r="P15" s="289"/>
      <c r="Q15" s="315">
        <f t="shared" si="5"/>
        <v>7620.1581850108669</v>
      </c>
    </row>
    <row r="16" spans="2:17" ht="12.75" customHeight="1" x14ac:dyDescent="0.25">
      <c r="B16" s="375" t="s">
        <v>259</v>
      </c>
      <c r="C16" s="1221" t="s">
        <v>523</v>
      </c>
      <c r="D16" s="1222">
        <v>4</v>
      </c>
      <c r="E16" s="1223">
        <f t="shared" si="0"/>
        <v>58</v>
      </c>
      <c r="F16" s="1226">
        <v>0</v>
      </c>
      <c r="G16" s="1225">
        <f t="shared" si="6"/>
        <v>0</v>
      </c>
      <c r="H16" s="1226">
        <v>0</v>
      </c>
      <c r="I16" s="1225">
        <f t="shared" si="1"/>
        <v>0</v>
      </c>
      <c r="J16" s="1226">
        <v>0</v>
      </c>
      <c r="K16" s="1225">
        <f t="shared" si="2"/>
        <v>0</v>
      </c>
      <c r="L16" s="1226">
        <v>0</v>
      </c>
      <c r="M16" s="1225">
        <f t="shared" si="3"/>
        <v>0</v>
      </c>
      <c r="N16" s="54">
        <v>58</v>
      </c>
      <c r="O16" s="55">
        <f t="shared" si="4"/>
        <v>1</v>
      </c>
      <c r="P16" s="289"/>
      <c r="Q16" s="315">
        <f t="shared" si="5"/>
        <v>14327.068527263833</v>
      </c>
    </row>
    <row r="17" spans="1:23" ht="12.75" customHeight="1" x14ac:dyDescent="0.25">
      <c r="A17" s="289"/>
      <c r="B17" s="375" t="s">
        <v>261</v>
      </c>
      <c r="C17" s="1221" t="s">
        <v>523</v>
      </c>
      <c r="D17" s="1222">
        <v>4</v>
      </c>
      <c r="E17" s="1223">
        <f t="shared" si="0"/>
        <v>67</v>
      </c>
      <c r="F17" s="1226">
        <v>0</v>
      </c>
      <c r="G17" s="1225">
        <f t="shared" si="6"/>
        <v>0</v>
      </c>
      <c r="H17" s="1226">
        <v>0</v>
      </c>
      <c r="I17" s="1225">
        <f t="shared" si="1"/>
        <v>0</v>
      </c>
      <c r="J17" s="1226">
        <v>0</v>
      </c>
      <c r="K17" s="1225">
        <f t="shared" si="2"/>
        <v>0</v>
      </c>
      <c r="L17" s="1226">
        <v>0</v>
      </c>
      <c r="M17" s="1225">
        <f t="shared" si="3"/>
        <v>0</v>
      </c>
      <c r="N17" s="54">
        <v>67</v>
      </c>
      <c r="O17" s="55">
        <f t="shared" si="4"/>
        <v>1</v>
      </c>
      <c r="P17" s="289"/>
      <c r="Q17" s="315">
        <f t="shared" si="5"/>
        <v>14327.068527263833</v>
      </c>
      <c r="R17" s="289"/>
      <c r="S17" s="289"/>
      <c r="T17" s="289"/>
      <c r="U17" s="289"/>
      <c r="V17" s="289"/>
      <c r="W17" s="289"/>
    </row>
    <row r="18" spans="1:23" ht="12.75" customHeight="1" x14ac:dyDescent="0.25">
      <c r="A18" s="289"/>
      <c r="B18" s="375" t="s">
        <v>262</v>
      </c>
      <c r="C18" s="1221" t="s">
        <v>523</v>
      </c>
      <c r="D18" s="1222">
        <v>4</v>
      </c>
      <c r="E18" s="1223">
        <f t="shared" si="0"/>
        <v>61</v>
      </c>
      <c r="F18" s="1224">
        <v>0</v>
      </c>
      <c r="G18" s="1225">
        <f t="shared" si="6"/>
        <v>0</v>
      </c>
      <c r="H18" s="1226">
        <v>0</v>
      </c>
      <c r="I18" s="1225">
        <f t="shared" si="1"/>
        <v>0</v>
      </c>
      <c r="J18" s="1229">
        <v>0</v>
      </c>
      <c r="K18" s="1225">
        <f t="shared" si="2"/>
        <v>0</v>
      </c>
      <c r="L18" s="1229">
        <v>0</v>
      </c>
      <c r="M18" s="1225">
        <f t="shared" si="3"/>
        <v>0</v>
      </c>
      <c r="N18" s="54">
        <v>61</v>
      </c>
      <c r="O18" s="55">
        <f t="shared" si="4"/>
        <v>1</v>
      </c>
      <c r="P18" s="289"/>
      <c r="Q18" s="315">
        <f t="shared" si="5"/>
        <v>14327.068527263833</v>
      </c>
      <c r="R18" s="289"/>
      <c r="S18" s="289"/>
      <c r="T18" s="289"/>
      <c r="U18" s="289"/>
      <c r="V18" s="289"/>
      <c r="W18" s="289"/>
    </row>
    <row r="19" spans="1:23" ht="12.75" customHeight="1" x14ac:dyDescent="0.25">
      <c r="A19" s="289"/>
      <c r="B19" s="375" t="s">
        <v>215</v>
      </c>
      <c r="C19" s="1221" t="s">
        <v>520</v>
      </c>
      <c r="D19" s="1222">
        <v>4</v>
      </c>
      <c r="E19" s="1223">
        <f t="shared" si="0"/>
        <v>70</v>
      </c>
      <c r="F19" s="1226">
        <v>18</v>
      </c>
      <c r="G19" s="1225">
        <f t="shared" si="6"/>
        <v>0.25714285714285712</v>
      </c>
      <c r="H19" s="1224">
        <v>22</v>
      </c>
      <c r="I19" s="1225">
        <f t="shared" si="1"/>
        <v>0.31428571428571428</v>
      </c>
      <c r="J19" s="1224">
        <v>4</v>
      </c>
      <c r="K19" s="1225">
        <f t="shared" si="2"/>
        <v>5.7142857142857141E-2</v>
      </c>
      <c r="L19" s="1224">
        <v>11</v>
      </c>
      <c r="M19" s="1225">
        <f t="shared" si="3"/>
        <v>0.15714285714285714</v>
      </c>
      <c r="N19" s="54">
        <v>15</v>
      </c>
      <c r="O19" s="55">
        <f t="shared" si="4"/>
        <v>0.21428571428571427</v>
      </c>
      <c r="P19" s="289"/>
      <c r="Q19" s="315">
        <f t="shared" si="5"/>
        <v>10580.75210310383</v>
      </c>
      <c r="R19" s="289"/>
      <c r="S19" s="289"/>
      <c r="T19" s="289"/>
      <c r="U19" s="289"/>
      <c r="V19" s="289"/>
      <c r="W19" s="289"/>
    </row>
    <row r="20" spans="1:23" ht="12.75" customHeight="1" x14ac:dyDescent="0.25">
      <c r="A20" s="289"/>
      <c r="B20" s="375" t="s">
        <v>216</v>
      </c>
      <c r="C20" s="1221" t="s">
        <v>522</v>
      </c>
      <c r="D20" s="1222">
        <v>5</v>
      </c>
      <c r="E20" s="1223">
        <f t="shared" si="0"/>
        <v>137</v>
      </c>
      <c r="F20" s="1226">
        <v>2</v>
      </c>
      <c r="G20" s="1225">
        <f t="shared" si="6"/>
        <v>1.4598540145985401E-2</v>
      </c>
      <c r="H20" s="1226">
        <v>15</v>
      </c>
      <c r="I20" s="1225">
        <f t="shared" si="1"/>
        <v>0.10948905109489052</v>
      </c>
      <c r="J20" s="1226">
        <v>102</v>
      </c>
      <c r="K20" s="1225">
        <f t="shared" si="2"/>
        <v>0.74452554744525545</v>
      </c>
      <c r="L20" s="1226">
        <v>3</v>
      </c>
      <c r="M20" s="1225">
        <f t="shared" si="3"/>
        <v>2.1897810218978103E-2</v>
      </c>
      <c r="N20" s="54">
        <v>15</v>
      </c>
      <c r="O20" s="55">
        <f t="shared" si="4"/>
        <v>0.10948905109489052</v>
      </c>
      <c r="P20" s="289"/>
      <c r="Q20" s="315">
        <f t="shared" si="5"/>
        <v>7448.7456830496158</v>
      </c>
      <c r="R20" s="289"/>
      <c r="S20" s="289"/>
      <c r="T20" s="289"/>
      <c r="U20" s="289"/>
      <c r="V20" s="289"/>
      <c r="W20" s="289"/>
    </row>
    <row r="21" spans="1:23" ht="12.75" customHeight="1" x14ac:dyDescent="0.25">
      <c r="A21" s="289"/>
      <c r="B21" s="375" t="s">
        <v>217</v>
      </c>
      <c r="C21" s="1221" t="s">
        <v>522</v>
      </c>
      <c r="D21" s="1222">
        <v>5</v>
      </c>
      <c r="E21" s="1223">
        <f t="shared" si="0"/>
        <v>181</v>
      </c>
      <c r="F21" s="1226">
        <v>9</v>
      </c>
      <c r="G21" s="1225">
        <f t="shared" si="6"/>
        <v>4.9723756906077346E-2</v>
      </c>
      <c r="H21" s="1226">
        <v>25</v>
      </c>
      <c r="I21" s="1225">
        <f t="shared" si="1"/>
        <v>0.13812154696132597</v>
      </c>
      <c r="J21" s="1226">
        <v>130</v>
      </c>
      <c r="K21" s="1225">
        <f t="shared" si="2"/>
        <v>0.71823204419889508</v>
      </c>
      <c r="L21" s="1226">
        <v>2</v>
      </c>
      <c r="M21" s="1225">
        <f t="shared" si="3"/>
        <v>1.1049723756906077E-2</v>
      </c>
      <c r="N21" s="54">
        <v>15</v>
      </c>
      <c r="O21" s="55">
        <f t="shared" si="4"/>
        <v>8.2872928176795577E-2</v>
      </c>
      <c r="P21" s="289"/>
      <c r="Q21" s="315">
        <f t="shared" si="5"/>
        <v>7397.5468932395452</v>
      </c>
      <c r="R21" s="289"/>
      <c r="S21" s="289"/>
      <c r="T21" s="289"/>
      <c r="U21" s="289"/>
      <c r="V21" s="289"/>
      <c r="W21" s="289"/>
    </row>
    <row r="22" spans="1:23" ht="12.75" customHeight="1" x14ac:dyDescent="0.25">
      <c r="A22" s="289"/>
      <c r="B22" s="375" t="s">
        <v>451</v>
      </c>
      <c r="C22" s="1221" t="s">
        <v>524</v>
      </c>
      <c r="D22" s="1222">
        <v>5</v>
      </c>
      <c r="E22" s="1223">
        <f t="shared" si="0"/>
        <v>81</v>
      </c>
      <c r="F22" s="1226">
        <v>25</v>
      </c>
      <c r="G22" s="1225">
        <f t="shared" si="6"/>
        <v>0.30864197530864196</v>
      </c>
      <c r="H22" s="1226">
        <v>46</v>
      </c>
      <c r="I22" s="1225">
        <f t="shared" si="1"/>
        <v>0.5679012345679012</v>
      </c>
      <c r="J22" s="1226">
        <v>0</v>
      </c>
      <c r="K22" s="1225">
        <f t="shared" si="2"/>
        <v>0</v>
      </c>
      <c r="L22" s="1226">
        <v>0</v>
      </c>
      <c r="M22" s="1225">
        <f t="shared" si="3"/>
        <v>0</v>
      </c>
      <c r="N22" s="54">
        <v>10</v>
      </c>
      <c r="O22" s="55">
        <f t="shared" si="4"/>
        <v>0.12345679012345678</v>
      </c>
      <c r="P22" s="289"/>
      <c r="Q22" s="315">
        <f t="shared" si="5"/>
        <v>9551.5769232439579</v>
      </c>
      <c r="R22" s="289"/>
      <c r="S22" s="289"/>
      <c r="T22" s="289"/>
      <c r="U22" s="289"/>
      <c r="V22" s="289"/>
      <c r="W22" s="289"/>
    </row>
    <row r="23" spans="1:23" ht="12.75" customHeight="1" x14ac:dyDescent="0.25">
      <c r="A23" s="289"/>
      <c r="B23" s="375" t="s">
        <v>219</v>
      </c>
      <c r="C23" s="1221" t="s">
        <v>521</v>
      </c>
      <c r="D23" s="1222">
        <v>6</v>
      </c>
      <c r="E23" s="1223">
        <f t="shared" si="0"/>
        <v>104</v>
      </c>
      <c r="F23" s="1226">
        <v>44</v>
      </c>
      <c r="G23" s="1225">
        <f t="shared" si="6"/>
        <v>0.42307692307692307</v>
      </c>
      <c r="H23" s="1226">
        <v>0</v>
      </c>
      <c r="I23" s="1225">
        <f t="shared" si="1"/>
        <v>0</v>
      </c>
      <c r="J23" s="1226">
        <v>13</v>
      </c>
      <c r="K23" s="1225">
        <f t="shared" si="2"/>
        <v>0.125</v>
      </c>
      <c r="L23" s="1226">
        <v>38</v>
      </c>
      <c r="M23" s="1225">
        <f t="shared" si="3"/>
        <v>0.36538461538461536</v>
      </c>
      <c r="N23" s="54">
        <v>9</v>
      </c>
      <c r="O23" s="55">
        <f t="shared" si="4"/>
        <v>8.6538461538461536E-2</v>
      </c>
      <c r="P23" s="289"/>
      <c r="Q23" s="315">
        <f t="shared" si="5"/>
        <v>11239.016610354596</v>
      </c>
      <c r="R23" s="289"/>
      <c r="S23" s="289"/>
      <c r="T23" s="289"/>
      <c r="U23" s="289"/>
      <c r="V23" s="289"/>
      <c r="W23" s="289"/>
    </row>
    <row r="24" spans="1:23" ht="12.75" customHeight="1" x14ac:dyDescent="0.3">
      <c r="A24" s="289"/>
      <c r="B24" s="1230" t="s">
        <v>357</v>
      </c>
      <c r="C24" s="1230"/>
      <c r="D24" s="1230"/>
      <c r="E24" s="56">
        <f>SUM(E5:E23)</f>
        <v>1526</v>
      </c>
      <c r="F24" s="57">
        <f>SUM(F5:F23)</f>
        <v>166</v>
      </c>
      <c r="G24" s="1231">
        <f>AVERAGE(G5:G23)</f>
        <v>0.1299182368291637</v>
      </c>
      <c r="H24" s="57">
        <f>SUM(H5:H23)</f>
        <v>294</v>
      </c>
      <c r="I24" s="1231">
        <f>AVERAGE(I5:I23)</f>
        <v>0.22312972763390007</v>
      </c>
      <c r="J24" s="57">
        <f>SUM(J5:J23)</f>
        <v>569</v>
      </c>
      <c r="K24" s="1231">
        <f>AVERAGE(K5:K23)</f>
        <v>0.26295013194956635</v>
      </c>
      <c r="L24" s="57">
        <f>SUM(L5:L23)</f>
        <v>77</v>
      </c>
      <c r="M24" s="1231">
        <f>AVERAGE(M5:M23)</f>
        <v>5.2282894446278594E-2</v>
      </c>
      <c r="N24" s="58">
        <f>SUM(N5:N23)</f>
        <v>420</v>
      </c>
      <c r="O24" s="1231">
        <f>AVERAGE(O5:O23)</f>
        <v>0.33171900914109131</v>
      </c>
      <c r="P24" s="289"/>
      <c r="Q24" s="316"/>
      <c r="R24" s="289"/>
      <c r="S24" s="289"/>
      <c r="T24" s="289"/>
      <c r="U24" s="289"/>
      <c r="V24" s="289"/>
      <c r="W24" s="289"/>
    </row>
    <row r="25" spans="1:23" ht="12.75" customHeight="1" x14ac:dyDescent="0.25">
      <c r="A25" s="289"/>
      <c r="B25" s="1230" t="s">
        <v>525</v>
      </c>
      <c r="C25" s="1230"/>
      <c r="D25" s="1230"/>
      <c r="E25" s="1232"/>
      <c r="F25" s="1233">
        <f>F24/E24</f>
        <v>0.10878112712975098</v>
      </c>
      <c r="G25" s="1225"/>
      <c r="H25" s="1233">
        <f>H24/E24</f>
        <v>0.19266055045871561</v>
      </c>
      <c r="I25" s="1225"/>
      <c r="J25" s="1233">
        <f>J24/E24</f>
        <v>0.37287024901703802</v>
      </c>
      <c r="K25" s="1225"/>
      <c r="L25" s="1233">
        <f>L24/E24</f>
        <v>5.0458715596330278E-2</v>
      </c>
      <c r="M25" s="1225"/>
      <c r="N25" s="60">
        <f>N24/E24</f>
        <v>0.27522935779816515</v>
      </c>
      <c r="O25" s="59"/>
      <c r="P25" s="289"/>
      <c r="Q25" s="316"/>
      <c r="R25" s="289"/>
      <c r="S25" s="289"/>
      <c r="T25" s="289"/>
      <c r="U25" s="289"/>
      <c r="V25" s="289"/>
      <c r="W25" s="289"/>
    </row>
    <row r="26" spans="1:23" ht="12.75" customHeight="1" x14ac:dyDescent="0.25">
      <c r="A26" s="289"/>
      <c r="B26" s="289"/>
      <c r="C26" s="289"/>
      <c r="D26" s="289"/>
      <c r="E26" s="316"/>
      <c r="F26" s="316"/>
      <c r="G26" s="316"/>
      <c r="H26" s="316"/>
      <c r="I26" s="316"/>
      <c r="J26" s="316"/>
      <c r="K26" s="316"/>
      <c r="L26" s="316"/>
      <c r="M26" s="316"/>
      <c r="N26" s="316"/>
      <c r="O26" s="316"/>
      <c r="P26" s="289"/>
      <c r="Q26" s="316"/>
      <c r="R26" s="289"/>
      <c r="S26" s="289"/>
      <c r="T26" s="289"/>
      <c r="U26" s="289"/>
      <c r="V26" s="289"/>
      <c r="W26" s="289"/>
    </row>
    <row r="27" spans="1:23" ht="12.75" customHeight="1" x14ac:dyDescent="0.25">
      <c r="A27" s="289"/>
      <c r="B27" s="1" t="s">
        <v>526</v>
      </c>
      <c r="C27" s="289"/>
      <c r="D27" s="289"/>
      <c r="E27" s="316"/>
      <c r="F27" s="316"/>
      <c r="G27" s="316"/>
      <c r="H27" s="316"/>
      <c r="I27" s="316"/>
      <c r="J27" s="316"/>
      <c r="K27" s="316"/>
      <c r="L27" s="316"/>
      <c r="M27" s="316"/>
      <c r="N27" s="316"/>
      <c r="O27" s="316"/>
      <c r="P27" s="289"/>
      <c r="Q27" s="316"/>
      <c r="R27" s="289"/>
      <c r="S27" s="289"/>
      <c r="T27" s="289"/>
      <c r="U27" s="289"/>
      <c r="V27" s="289"/>
      <c r="W27" s="289"/>
    </row>
    <row r="28" spans="1:23" x14ac:dyDescent="0.25">
      <c r="A28" s="289"/>
      <c r="B28" s="289"/>
      <c r="C28" s="289"/>
      <c r="D28" s="289"/>
      <c r="E28" s="316"/>
      <c r="F28" s="316"/>
      <c r="G28" s="316"/>
      <c r="H28" s="316"/>
      <c r="I28" s="316"/>
      <c r="J28" s="316"/>
      <c r="K28" s="316"/>
      <c r="L28" s="316"/>
      <c r="M28" s="316"/>
      <c r="N28" s="316"/>
      <c r="O28" s="316"/>
      <c r="P28" s="289"/>
      <c r="Q28" s="316"/>
      <c r="R28" s="289"/>
      <c r="S28" s="289"/>
      <c r="T28" s="289"/>
      <c r="U28" s="289"/>
      <c r="V28" s="289"/>
      <c r="W28" s="289"/>
    </row>
    <row r="29" spans="1:23" ht="39" x14ac:dyDescent="0.25">
      <c r="A29" s="289"/>
      <c r="B29" s="47" t="s">
        <v>183</v>
      </c>
      <c r="C29" s="47" t="s">
        <v>508</v>
      </c>
      <c r="D29" s="48" t="s">
        <v>184</v>
      </c>
      <c r="E29" s="49" t="s">
        <v>527</v>
      </c>
      <c r="F29" s="50" t="s">
        <v>528</v>
      </c>
      <c r="G29" s="51" t="s">
        <v>529</v>
      </c>
      <c r="H29" s="50" t="s">
        <v>530</v>
      </c>
      <c r="I29" s="51" t="s">
        <v>241</v>
      </c>
      <c r="J29" s="50" t="s">
        <v>531</v>
      </c>
      <c r="K29" s="51" t="s">
        <v>532</v>
      </c>
      <c r="L29" s="50" t="s">
        <v>533</v>
      </c>
      <c r="M29" s="51" t="s">
        <v>534</v>
      </c>
      <c r="N29" s="352" t="s">
        <v>668</v>
      </c>
      <c r="O29" s="51" t="s">
        <v>789</v>
      </c>
      <c r="P29" s="52" t="s">
        <v>535</v>
      </c>
      <c r="Q29" s="53" t="s">
        <v>536</v>
      </c>
      <c r="R29" s="289"/>
      <c r="S29" s="822" t="s">
        <v>294</v>
      </c>
      <c r="T29" s="289"/>
      <c r="U29" s="1234" t="s">
        <v>19</v>
      </c>
      <c r="V29" s="1132" t="s">
        <v>537</v>
      </c>
      <c r="W29" s="1235" t="s">
        <v>538</v>
      </c>
    </row>
    <row r="30" spans="1:23" x14ac:dyDescent="0.25">
      <c r="A30" s="244">
        <v>9257010</v>
      </c>
      <c r="B30" s="375" t="s">
        <v>205</v>
      </c>
      <c r="C30" s="1221" t="s">
        <v>520</v>
      </c>
      <c r="D30" s="1236">
        <v>3</v>
      </c>
      <c r="E30" s="1223">
        <f>F30+H30+J30+L30+P30+N30</f>
        <v>42</v>
      </c>
      <c r="F30" s="1224">
        <v>14</v>
      </c>
      <c r="G30" s="1225">
        <f>F30/E30</f>
        <v>0.33333333333333331</v>
      </c>
      <c r="H30" s="1226">
        <v>12</v>
      </c>
      <c r="I30" s="1225">
        <f t="shared" ref="I30:I47" si="7">H30/E30</f>
        <v>0.2857142857142857</v>
      </c>
      <c r="J30" s="1226">
        <v>5</v>
      </c>
      <c r="K30" s="1225">
        <f t="shared" ref="K30:K47" si="8">J30/E30</f>
        <v>0.11904761904761904</v>
      </c>
      <c r="L30" s="1226">
        <v>0</v>
      </c>
      <c r="M30" s="1225">
        <f t="shared" ref="M30:M47" si="9">L30/E30</f>
        <v>0</v>
      </c>
      <c r="N30" s="1248">
        <v>8</v>
      </c>
      <c r="O30" s="1225">
        <f>N30/E30</f>
        <v>0.19047619047619047</v>
      </c>
      <c r="P30" s="54">
        <v>3</v>
      </c>
      <c r="Q30" s="55">
        <f t="shared" ref="Q30:Q47" si="10">P30/E30</f>
        <v>7.1428571428571425E-2</v>
      </c>
      <c r="R30" s="289"/>
      <c r="S30" s="315">
        <f>(G30*$F$54)+(I30*$H$54)+(K30*$J$54)+(M30*$L$54)+(O30*$N$54)+(Q30*$P$54)+(Q30*$P$56)</f>
        <v>11981.75762720177</v>
      </c>
      <c r="T30" s="289"/>
      <c r="U30" s="315">
        <f>S30-Q5</f>
        <v>2084.2409219619367</v>
      </c>
      <c r="V30" s="804">
        <f>'Band Calculations'!Z5</f>
        <v>43</v>
      </c>
      <c r="W30" s="315">
        <f>U30*V30</f>
        <v>89622.359644363285</v>
      </c>
    </row>
    <row r="31" spans="1:23" x14ac:dyDescent="0.25">
      <c r="A31" s="244">
        <v>9257005</v>
      </c>
      <c r="B31" s="375" t="s">
        <v>208</v>
      </c>
      <c r="C31" s="1221" t="s">
        <v>521</v>
      </c>
      <c r="D31" s="1236">
        <v>3</v>
      </c>
      <c r="E31" s="1223">
        <f t="shared" ref="E31:E47" si="11">F31+H31+J31+L31+P31+N31</f>
        <v>76</v>
      </c>
      <c r="F31" s="1224">
        <v>10</v>
      </c>
      <c r="G31" s="1225">
        <f t="shared" ref="G31:G47" si="12">F31/E31</f>
        <v>0.13157894736842105</v>
      </c>
      <c r="H31" s="1226">
        <v>27</v>
      </c>
      <c r="I31" s="1225">
        <f t="shared" si="7"/>
        <v>0.35526315789473684</v>
      </c>
      <c r="J31" s="1226">
        <v>13</v>
      </c>
      <c r="K31" s="1225">
        <f t="shared" si="8"/>
        <v>0.17105263157894737</v>
      </c>
      <c r="L31" s="1226">
        <v>4</v>
      </c>
      <c r="M31" s="1225">
        <f t="shared" si="9"/>
        <v>5.2631578947368418E-2</v>
      </c>
      <c r="N31" s="1248">
        <v>7</v>
      </c>
      <c r="O31" s="1225">
        <f t="shared" ref="O31:O47" si="13">N31/E31</f>
        <v>9.2105263157894732E-2</v>
      </c>
      <c r="P31" s="54">
        <v>15</v>
      </c>
      <c r="Q31" s="55">
        <f t="shared" si="10"/>
        <v>0.19736842105263158</v>
      </c>
      <c r="R31" s="289"/>
      <c r="S31" s="315">
        <f t="shared" ref="S31:S47" si="14">(G31*$F$54)+(I31*$H$54)+(K31*$J$54)+(M31*$L$54)+(O31*$N$54)+(Q31*$P$54)+(Q31*$P$56)</f>
        <v>10700.231155478385</v>
      </c>
      <c r="T31" s="289"/>
      <c r="U31" s="315">
        <f t="shared" ref="U31:U46" si="15">S31-Q6</f>
        <v>1914.9452242181069</v>
      </c>
      <c r="V31" s="804">
        <f>'Band Calculations'!Z6</f>
        <v>63</v>
      </c>
      <c r="W31" s="315">
        <f t="shared" ref="W31:W47" si="16">U31*V31</f>
        <v>120641.54912574074</v>
      </c>
    </row>
    <row r="32" spans="1:23" x14ac:dyDescent="0.25">
      <c r="A32" s="244">
        <v>9257025</v>
      </c>
      <c r="B32" s="375" t="s">
        <v>209</v>
      </c>
      <c r="C32" s="1221" t="s">
        <v>522</v>
      </c>
      <c r="D32" s="1236">
        <v>3</v>
      </c>
      <c r="E32" s="1223">
        <f t="shared" si="11"/>
        <v>53</v>
      </c>
      <c r="F32" s="1224">
        <v>11</v>
      </c>
      <c r="G32" s="1225">
        <f t="shared" si="12"/>
        <v>0.20754716981132076</v>
      </c>
      <c r="H32" s="1226">
        <v>22</v>
      </c>
      <c r="I32" s="1225">
        <f t="shared" si="7"/>
        <v>0.41509433962264153</v>
      </c>
      <c r="J32" s="1226">
        <v>3</v>
      </c>
      <c r="K32" s="1225">
        <f t="shared" si="8"/>
        <v>5.6603773584905662E-2</v>
      </c>
      <c r="L32" s="1226">
        <v>0</v>
      </c>
      <c r="M32" s="1225">
        <f t="shared" si="9"/>
        <v>0</v>
      </c>
      <c r="N32" s="1248">
        <v>6</v>
      </c>
      <c r="O32" s="1225">
        <f t="shared" si="13"/>
        <v>0.11320754716981132</v>
      </c>
      <c r="P32" s="54">
        <v>11</v>
      </c>
      <c r="Q32" s="55">
        <f t="shared" si="10"/>
        <v>0.20754716981132076</v>
      </c>
      <c r="R32" s="289"/>
      <c r="S32" s="315">
        <f t="shared" si="14"/>
        <v>11311.363719426055</v>
      </c>
      <c r="T32" s="289"/>
      <c r="U32" s="315">
        <f t="shared" si="15"/>
        <v>384.87430958735058</v>
      </c>
      <c r="V32" s="804">
        <f>'Band Calculations'!Z7</f>
        <v>63</v>
      </c>
      <c r="W32" s="315">
        <f t="shared" si="16"/>
        <v>24247.081504003087</v>
      </c>
    </row>
    <row r="33" spans="1:23" x14ac:dyDescent="0.25">
      <c r="A33" s="244">
        <v>9257011</v>
      </c>
      <c r="B33" s="375" t="s">
        <v>210</v>
      </c>
      <c r="C33" s="1221" t="s">
        <v>520</v>
      </c>
      <c r="D33" s="1236">
        <v>3</v>
      </c>
      <c r="E33" s="1223">
        <f t="shared" si="11"/>
        <v>45</v>
      </c>
      <c r="F33" s="1224">
        <v>13</v>
      </c>
      <c r="G33" s="1225">
        <f t="shared" si="12"/>
        <v>0.28888888888888886</v>
      </c>
      <c r="H33" s="1226">
        <v>19</v>
      </c>
      <c r="I33" s="1225">
        <f t="shared" si="7"/>
        <v>0.42222222222222222</v>
      </c>
      <c r="J33" s="1226">
        <v>0</v>
      </c>
      <c r="K33" s="1225">
        <f t="shared" si="8"/>
        <v>0</v>
      </c>
      <c r="L33" s="1226">
        <v>0</v>
      </c>
      <c r="M33" s="1225">
        <f t="shared" si="9"/>
        <v>0</v>
      </c>
      <c r="N33" s="1248">
        <v>6</v>
      </c>
      <c r="O33" s="1225">
        <f t="shared" si="13"/>
        <v>0.13333333333333333</v>
      </c>
      <c r="P33" s="54">
        <v>7</v>
      </c>
      <c r="Q33" s="55">
        <f t="shared" si="10"/>
        <v>0.15555555555555556</v>
      </c>
      <c r="R33" s="289"/>
      <c r="S33" s="315">
        <f t="shared" si="14"/>
        <v>11662.143221718445</v>
      </c>
      <c r="T33" s="289"/>
      <c r="U33" s="315">
        <f t="shared" si="15"/>
        <v>1141.6487213855762</v>
      </c>
      <c r="V33" s="804">
        <f>'Band Calculations'!Z8</f>
        <v>41</v>
      </c>
      <c r="W33" s="315">
        <f t="shared" si="16"/>
        <v>46807.597576808621</v>
      </c>
    </row>
    <row r="34" spans="1:23" x14ac:dyDescent="0.25">
      <c r="A34" s="244">
        <v>9257024</v>
      </c>
      <c r="B34" s="375" t="s">
        <v>211</v>
      </c>
      <c r="C34" s="1221" t="s">
        <v>522</v>
      </c>
      <c r="D34" s="1236">
        <v>3</v>
      </c>
      <c r="E34" s="1223">
        <f t="shared" si="11"/>
        <v>55</v>
      </c>
      <c r="F34" s="1226">
        <v>11</v>
      </c>
      <c r="G34" s="1225">
        <f t="shared" si="12"/>
        <v>0.2</v>
      </c>
      <c r="H34" s="1226">
        <v>31</v>
      </c>
      <c r="I34" s="1225">
        <f t="shared" si="7"/>
        <v>0.5636363636363636</v>
      </c>
      <c r="J34" s="1226">
        <v>1</v>
      </c>
      <c r="K34" s="1225">
        <f t="shared" si="8"/>
        <v>1.8181818181818181E-2</v>
      </c>
      <c r="L34" s="1226">
        <v>0</v>
      </c>
      <c r="M34" s="1225">
        <f t="shared" si="9"/>
        <v>0</v>
      </c>
      <c r="N34" s="1248">
        <v>9</v>
      </c>
      <c r="O34" s="1225">
        <f t="shared" si="13"/>
        <v>0.16363636363636364</v>
      </c>
      <c r="P34" s="54">
        <v>3</v>
      </c>
      <c r="Q34" s="55">
        <f t="shared" si="10"/>
        <v>5.4545454545454543E-2</v>
      </c>
      <c r="R34" s="289"/>
      <c r="S34" s="315">
        <f t="shared" si="14"/>
        <v>10999.610135415453</v>
      </c>
      <c r="T34" s="289"/>
      <c r="U34" s="315">
        <f t="shared" si="15"/>
        <v>2200.4070840957575</v>
      </c>
      <c r="V34" s="804">
        <f>'Band Calculations'!Z9</f>
        <v>47</v>
      </c>
      <c r="W34" s="315">
        <f t="shared" si="16"/>
        <v>103419.1329525006</v>
      </c>
    </row>
    <row r="35" spans="1:23" ht="12" customHeight="1" x14ac:dyDescent="0.25">
      <c r="A35" s="244">
        <v>9257031</v>
      </c>
      <c r="B35" s="375" t="s">
        <v>257</v>
      </c>
      <c r="C35" s="1221" t="s">
        <v>523</v>
      </c>
      <c r="D35" s="1236">
        <v>3</v>
      </c>
      <c r="E35" s="1223">
        <f t="shared" si="11"/>
        <v>61</v>
      </c>
      <c r="F35" s="1226">
        <v>0</v>
      </c>
      <c r="G35" s="1225">
        <f t="shared" si="12"/>
        <v>0</v>
      </c>
      <c r="H35" s="1226">
        <v>0</v>
      </c>
      <c r="I35" s="1225">
        <f t="shared" si="7"/>
        <v>0</v>
      </c>
      <c r="J35" s="1226">
        <v>0</v>
      </c>
      <c r="K35" s="1225">
        <f t="shared" si="8"/>
        <v>0</v>
      </c>
      <c r="L35" s="1226">
        <v>0</v>
      </c>
      <c r="M35" s="1225">
        <f t="shared" si="9"/>
        <v>0</v>
      </c>
      <c r="N35" s="1248">
        <v>0</v>
      </c>
      <c r="O35" s="1225">
        <f t="shared" si="13"/>
        <v>0</v>
      </c>
      <c r="P35" s="54">
        <v>61</v>
      </c>
      <c r="Q35" s="55">
        <f t="shared" si="10"/>
        <v>1</v>
      </c>
      <c r="R35" s="289"/>
      <c r="S35" s="315">
        <f t="shared" si="14"/>
        <v>14327.068527263833</v>
      </c>
      <c r="T35" s="289"/>
      <c r="U35" s="315">
        <f t="shared" si="15"/>
        <v>0</v>
      </c>
      <c r="V35" s="804">
        <f>'Band Calculations'!Z10</f>
        <v>61</v>
      </c>
      <c r="W35" s="315">
        <f t="shared" si="16"/>
        <v>0</v>
      </c>
    </row>
    <row r="36" spans="1:23" x14ac:dyDescent="0.25">
      <c r="A36" s="244">
        <v>9257033</v>
      </c>
      <c r="B36" s="375" t="s">
        <v>220</v>
      </c>
      <c r="C36" s="1221" t="s">
        <v>521</v>
      </c>
      <c r="D36" s="1236">
        <v>3</v>
      </c>
      <c r="E36" s="1223">
        <f t="shared" si="11"/>
        <v>55</v>
      </c>
      <c r="F36" s="1226">
        <v>2</v>
      </c>
      <c r="G36" s="1225">
        <f t="shared" si="12"/>
        <v>3.6363636363636362E-2</v>
      </c>
      <c r="H36" s="1226">
        <v>16</v>
      </c>
      <c r="I36" s="1225">
        <f t="shared" si="7"/>
        <v>0.29090909090909089</v>
      </c>
      <c r="J36" s="1226">
        <v>15</v>
      </c>
      <c r="K36" s="1225">
        <f t="shared" si="8"/>
        <v>0.27272727272727271</v>
      </c>
      <c r="L36" s="1227">
        <v>3</v>
      </c>
      <c r="M36" s="1225">
        <f t="shared" si="9"/>
        <v>5.4545454545454543E-2</v>
      </c>
      <c r="N36" s="1248">
        <v>0</v>
      </c>
      <c r="O36" s="1225">
        <f t="shared" si="13"/>
        <v>0</v>
      </c>
      <c r="P36" s="54">
        <v>19</v>
      </c>
      <c r="Q36" s="55">
        <f t="shared" si="10"/>
        <v>0.34545454545454546</v>
      </c>
      <c r="R36" s="289"/>
      <c r="S36" s="315">
        <f t="shared" si="14"/>
        <v>9853.3189773154299</v>
      </c>
      <c r="T36" s="289"/>
      <c r="U36" s="315">
        <f t="shared" si="15"/>
        <v>1428.3475354685143</v>
      </c>
      <c r="V36" s="804">
        <f>'Band Calculations'!Z11</f>
        <v>60</v>
      </c>
      <c r="W36" s="315">
        <f t="shared" si="16"/>
        <v>85700.852128110855</v>
      </c>
    </row>
    <row r="37" spans="1:23" x14ac:dyDescent="0.25">
      <c r="A37" s="244">
        <v>9257008</v>
      </c>
      <c r="B37" s="375" t="s">
        <v>212</v>
      </c>
      <c r="C37" s="1221" t="s">
        <v>522</v>
      </c>
      <c r="D37" s="1236">
        <v>3</v>
      </c>
      <c r="E37" s="1223">
        <f t="shared" si="11"/>
        <v>85</v>
      </c>
      <c r="F37" s="1226">
        <v>0</v>
      </c>
      <c r="G37" s="1225">
        <f t="shared" si="12"/>
        <v>0</v>
      </c>
      <c r="H37" s="1226">
        <v>7</v>
      </c>
      <c r="I37" s="1225">
        <f t="shared" si="7"/>
        <v>8.2352941176470587E-2</v>
      </c>
      <c r="J37" s="1226">
        <v>52</v>
      </c>
      <c r="K37" s="1225">
        <f t="shared" si="8"/>
        <v>0.61176470588235299</v>
      </c>
      <c r="L37" s="1226">
        <v>2</v>
      </c>
      <c r="M37" s="1225">
        <f t="shared" si="9"/>
        <v>2.3529411764705882E-2</v>
      </c>
      <c r="N37" s="1248">
        <v>0</v>
      </c>
      <c r="O37" s="1225">
        <f t="shared" si="13"/>
        <v>0</v>
      </c>
      <c r="P37" s="1228">
        <v>24</v>
      </c>
      <c r="Q37" s="55">
        <f t="shared" si="10"/>
        <v>0.28235294117647058</v>
      </c>
      <c r="R37" s="289"/>
      <c r="S37" s="315">
        <f t="shared" si="14"/>
        <v>8745.3923904604708</v>
      </c>
      <c r="T37" s="289"/>
      <c r="U37" s="315">
        <f t="shared" si="15"/>
        <v>-345.47995291210646</v>
      </c>
      <c r="V37" s="804">
        <f>'Band Calculations'!Z12</f>
        <v>84</v>
      </c>
      <c r="W37" s="315">
        <f t="shared" si="16"/>
        <v>-29020.316044616942</v>
      </c>
    </row>
    <row r="38" spans="1:23" x14ac:dyDescent="0.25">
      <c r="A38" s="244">
        <v>9257034</v>
      </c>
      <c r="B38" s="375" t="s">
        <v>221</v>
      </c>
      <c r="C38" s="1221" t="s">
        <v>521</v>
      </c>
      <c r="D38" s="1236">
        <v>4</v>
      </c>
      <c r="E38" s="1223">
        <f t="shared" si="11"/>
        <v>127</v>
      </c>
      <c r="F38" s="1226">
        <v>9</v>
      </c>
      <c r="G38" s="1225">
        <f t="shared" si="12"/>
        <v>7.0866141732283464E-2</v>
      </c>
      <c r="H38" s="1226">
        <v>21</v>
      </c>
      <c r="I38" s="1225">
        <f t="shared" si="7"/>
        <v>0.16535433070866143</v>
      </c>
      <c r="J38" s="1226">
        <v>66</v>
      </c>
      <c r="K38" s="1225">
        <f t="shared" si="8"/>
        <v>0.51968503937007871</v>
      </c>
      <c r="L38" s="1226">
        <v>2</v>
      </c>
      <c r="M38" s="1225">
        <f t="shared" si="9"/>
        <v>1.5748031496062992E-2</v>
      </c>
      <c r="N38" s="1248">
        <v>3</v>
      </c>
      <c r="O38" s="1225">
        <f t="shared" si="13"/>
        <v>2.3622047244094488E-2</v>
      </c>
      <c r="P38" s="54">
        <v>26</v>
      </c>
      <c r="Q38" s="55">
        <f t="shared" si="10"/>
        <v>0.20472440944881889</v>
      </c>
      <c r="R38" s="289"/>
      <c r="S38" s="315">
        <f t="shared" si="14"/>
        <v>8929.0063475880906</v>
      </c>
      <c r="T38" s="289"/>
      <c r="U38" s="315">
        <f t="shared" si="15"/>
        <v>724.98823303332756</v>
      </c>
      <c r="V38" s="804">
        <f>'Band Calculations'!Z13</f>
        <v>109</v>
      </c>
      <c r="W38" s="315">
        <f t="shared" si="16"/>
        <v>79023.717400632711</v>
      </c>
    </row>
    <row r="39" spans="1:23" x14ac:dyDescent="0.25">
      <c r="A39" s="244">
        <v>9257002</v>
      </c>
      <c r="B39" s="375" t="s">
        <v>213</v>
      </c>
      <c r="C39" s="1221" t="s">
        <v>521</v>
      </c>
      <c r="D39" s="1236">
        <v>4</v>
      </c>
      <c r="E39" s="1223">
        <f t="shared" si="11"/>
        <v>119</v>
      </c>
      <c r="F39" s="1226">
        <v>1</v>
      </c>
      <c r="G39" s="1225">
        <f t="shared" si="12"/>
        <v>8.4033613445378148E-3</v>
      </c>
      <c r="H39" s="1226">
        <v>33</v>
      </c>
      <c r="I39" s="1225">
        <f t="shared" si="7"/>
        <v>0.27731092436974791</v>
      </c>
      <c r="J39" s="1226">
        <v>71</v>
      </c>
      <c r="K39" s="1225">
        <f t="shared" si="8"/>
        <v>0.59663865546218486</v>
      </c>
      <c r="L39" s="1226">
        <v>2</v>
      </c>
      <c r="M39" s="1225">
        <f t="shared" si="9"/>
        <v>1.680672268907563E-2</v>
      </c>
      <c r="N39" s="1248">
        <v>1</v>
      </c>
      <c r="O39" s="1225">
        <f t="shared" si="13"/>
        <v>8.4033613445378148E-3</v>
      </c>
      <c r="P39" s="54">
        <v>11</v>
      </c>
      <c r="Q39" s="55">
        <f t="shared" si="10"/>
        <v>9.2436974789915971E-2</v>
      </c>
      <c r="R39" s="289"/>
      <c r="S39" s="315">
        <f t="shared" si="14"/>
        <v>7568.7053693889393</v>
      </c>
      <c r="T39" s="289"/>
      <c r="U39" s="315">
        <f t="shared" si="15"/>
        <v>234.63682980770318</v>
      </c>
      <c r="V39" s="804">
        <f>'Band Calculations'!Z14</f>
        <v>130</v>
      </c>
      <c r="W39" s="315">
        <f t="shared" si="16"/>
        <v>30502.787875001413</v>
      </c>
    </row>
    <row r="40" spans="1:23" x14ac:dyDescent="0.25">
      <c r="A40" s="244">
        <v>9257009</v>
      </c>
      <c r="B40" s="375" t="s">
        <v>214</v>
      </c>
      <c r="C40" s="1221" t="s">
        <v>520</v>
      </c>
      <c r="D40" s="1236">
        <v>4</v>
      </c>
      <c r="E40" s="1223">
        <f t="shared" si="11"/>
        <v>130</v>
      </c>
      <c r="F40" s="1226">
        <v>0</v>
      </c>
      <c r="G40" s="1225">
        <f t="shared" si="12"/>
        <v>0</v>
      </c>
      <c r="H40" s="1226">
        <v>19</v>
      </c>
      <c r="I40" s="1225">
        <f t="shared" si="7"/>
        <v>0.14615384615384616</v>
      </c>
      <c r="J40" s="1226">
        <v>91</v>
      </c>
      <c r="K40" s="1225">
        <f t="shared" si="8"/>
        <v>0.7</v>
      </c>
      <c r="L40" s="1226">
        <v>2</v>
      </c>
      <c r="M40" s="1225">
        <f t="shared" si="9"/>
        <v>1.5384615384615385E-2</v>
      </c>
      <c r="N40" s="1248">
        <v>0</v>
      </c>
      <c r="O40" s="1225">
        <f t="shared" si="13"/>
        <v>0</v>
      </c>
      <c r="P40" s="54">
        <v>18</v>
      </c>
      <c r="Q40" s="55">
        <f t="shared" si="10"/>
        <v>0.13846153846153847</v>
      </c>
      <c r="R40" s="289"/>
      <c r="S40" s="315">
        <f t="shared" si="14"/>
        <v>7608.483850854901</v>
      </c>
      <c r="T40" s="289"/>
      <c r="U40" s="315">
        <f t="shared" si="15"/>
        <v>-11.67433415596588</v>
      </c>
      <c r="V40" s="804">
        <f>'Band Calculations'!Z15</f>
        <v>131</v>
      </c>
      <c r="W40" s="315">
        <f t="shared" si="16"/>
        <v>-1529.3377744315303</v>
      </c>
    </row>
    <row r="41" spans="1:23" ht="12" customHeight="1" x14ac:dyDescent="0.25">
      <c r="A41" s="244">
        <v>9257029</v>
      </c>
      <c r="B41" s="375" t="s">
        <v>259</v>
      </c>
      <c r="C41" s="1221" t="s">
        <v>523</v>
      </c>
      <c r="D41" s="1236">
        <v>4</v>
      </c>
      <c r="E41" s="1223">
        <f t="shared" si="11"/>
        <v>57</v>
      </c>
      <c r="F41" s="1226">
        <v>0</v>
      </c>
      <c r="G41" s="1225">
        <f t="shared" si="12"/>
        <v>0</v>
      </c>
      <c r="H41" s="1226">
        <v>0</v>
      </c>
      <c r="I41" s="1225">
        <f t="shared" si="7"/>
        <v>0</v>
      </c>
      <c r="J41" s="1226">
        <v>0</v>
      </c>
      <c r="K41" s="1225">
        <f t="shared" si="8"/>
        <v>0</v>
      </c>
      <c r="L41" s="1226">
        <v>0</v>
      </c>
      <c r="M41" s="1225">
        <f t="shared" si="9"/>
        <v>0</v>
      </c>
      <c r="N41" s="1248">
        <v>0</v>
      </c>
      <c r="O41" s="1225">
        <f t="shared" si="13"/>
        <v>0</v>
      </c>
      <c r="P41" s="54">
        <v>57</v>
      </c>
      <c r="Q41" s="55">
        <f t="shared" si="10"/>
        <v>1</v>
      </c>
      <c r="R41" s="289"/>
      <c r="S41" s="315">
        <f t="shared" si="14"/>
        <v>14327.068527263833</v>
      </c>
      <c r="T41" s="289"/>
      <c r="U41" s="315">
        <f t="shared" si="15"/>
        <v>0</v>
      </c>
      <c r="V41" s="804">
        <f>'Band Calculations'!Z16</f>
        <v>62.000000000000007</v>
      </c>
      <c r="W41" s="315">
        <f t="shared" si="16"/>
        <v>0</v>
      </c>
    </row>
    <row r="42" spans="1:23" ht="12" customHeight="1" x14ac:dyDescent="0.25">
      <c r="A42" s="244">
        <v>9257032</v>
      </c>
      <c r="B42" s="375" t="s">
        <v>261</v>
      </c>
      <c r="C42" s="1221" t="s">
        <v>523</v>
      </c>
      <c r="D42" s="1236">
        <v>4</v>
      </c>
      <c r="E42" s="1223">
        <f t="shared" si="11"/>
        <v>57</v>
      </c>
      <c r="F42" s="1226">
        <v>0</v>
      </c>
      <c r="G42" s="1225">
        <f t="shared" si="12"/>
        <v>0</v>
      </c>
      <c r="H42" s="1226">
        <v>0</v>
      </c>
      <c r="I42" s="1225">
        <f t="shared" si="7"/>
        <v>0</v>
      </c>
      <c r="J42" s="1226">
        <v>0</v>
      </c>
      <c r="K42" s="1225">
        <f t="shared" si="8"/>
        <v>0</v>
      </c>
      <c r="L42" s="1226">
        <v>0</v>
      </c>
      <c r="M42" s="1225">
        <f t="shared" si="9"/>
        <v>0</v>
      </c>
      <c r="N42" s="1248">
        <v>0</v>
      </c>
      <c r="O42" s="1225">
        <f t="shared" si="13"/>
        <v>0</v>
      </c>
      <c r="P42" s="54">
        <v>57</v>
      </c>
      <c r="Q42" s="55">
        <f t="shared" si="10"/>
        <v>1</v>
      </c>
      <c r="R42" s="289"/>
      <c r="S42" s="315">
        <f t="shared" si="14"/>
        <v>14327.068527263833</v>
      </c>
      <c r="T42" s="289"/>
      <c r="U42" s="315">
        <f t="shared" si="15"/>
        <v>0</v>
      </c>
      <c r="V42" s="804">
        <f>'Band Calculations'!Z17</f>
        <v>59.000000000000007</v>
      </c>
      <c r="W42" s="315">
        <f t="shared" si="16"/>
        <v>0</v>
      </c>
    </row>
    <row r="43" spans="1:23" ht="12" customHeight="1" x14ac:dyDescent="0.25">
      <c r="A43" s="244">
        <v>9257030</v>
      </c>
      <c r="B43" s="375" t="s">
        <v>262</v>
      </c>
      <c r="C43" s="1221" t="s">
        <v>523</v>
      </c>
      <c r="D43" s="1236">
        <v>4</v>
      </c>
      <c r="E43" s="1223">
        <f t="shared" si="11"/>
        <v>49</v>
      </c>
      <c r="F43" s="1224">
        <v>0</v>
      </c>
      <c r="G43" s="1225">
        <f t="shared" si="12"/>
        <v>0</v>
      </c>
      <c r="H43" s="1226">
        <v>0</v>
      </c>
      <c r="I43" s="1225">
        <f t="shared" si="7"/>
        <v>0</v>
      </c>
      <c r="J43" s="1226">
        <v>0</v>
      </c>
      <c r="K43" s="1225">
        <f t="shared" si="8"/>
        <v>0</v>
      </c>
      <c r="L43" s="1226">
        <v>0</v>
      </c>
      <c r="M43" s="1225">
        <f t="shared" si="9"/>
        <v>0</v>
      </c>
      <c r="N43" s="1248">
        <v>0</v>
      </c>
      <c r="O43" s="1225">
        <f t="shared" si="13"/>
        <v>0</v>
      </c>
      <c r="P43" s="54">
        <v>49</v>
      </c>
      <c r="Q43" s="55">
        <f t="shared" si="10"/>
        <v>1</v>
      </c>
      <c r="R43" s="289"/>
      <c r="S43" s="315">
        <f t="shared" si="14"/>
        <v>14327.068527263833</v>
      </c>
      <c r="T43" s="289"/>
      <c r="U43" s="315">
        <f t="shared" si="15"/>
        <v>0</v>
      </c>
      <c r="V43" s="804">
        <f>'Band Calculations'!Z18</f>
        <v>55</v>
      </c>
      <c r="W43" s="315">
        <f t="shared" si="16"/>
        <v>0</v>
      </c>
    </row>
    <row r="44" spans="1:23" x14ac:dyDescent="0.25">
      <c r="A44" s="244">
        <v>9257028</v>
      </c>
      <c r="B44" s="375" t="s">
        <v>215</v>
      </c>
      <c r="C44" s="1221" t="s">
        <v>520</v>
      </c>
      <c r="D44" s="1236">
        <v>4</v>
      </c>
      <c r="E44" s="1223">
        <f t="shared" si="11"/>
        <v>71</v>
      </c>
      <c r="F44" s="1226">
        <v>15</v>
      </c>
      <c r="G44" s="1225">
        <f t="shared" si="12"/>
        <v>0.21126760563380281</v>
      </c>
      <c r="H44" s="1224">
        <v>24</v>
      </c>
      <c r="I44" s="1225">
        <f t="shared" si="7"/>
        <v>0.3380281690140845</v>
      </c>
      <c r="J44" s="1224">
        <v>0</v>
      </c>
      <c r="K44" s="1225">
        <f t="shared" si="8"/>
        <v>0</v>
      </c>
      <c r="L44" s="1224">
        <v>0</v>
      </c>
      <c r="M44" s="1225">
        <f t="shared" si="9"/>
        <v>0</v>
      </c>
      <c r="N44" s="1248">
        <v>15</v>
      </c>
      <c r="O44" s="1225">
        <f t="shared" si="13"/>
        <v>0.21126760563380281</v>
      </c>
      <c r="P44" s="54">
        <v>17</v>
      </c>
      <c r="Q44" s="55">
        <f t="shared" si="10"/>
        <v>0.23943661971830985</v>
      </c>
      <c r="R44" s="289"/>
      <c r="S44" s="315">
        <f t="shared" si="14"/>
        <v>13063.223679728097</v>
      </c>
      <c r="T44" s="289"/>
      <c r="U44" s="315">
        <f t="shared" si="15"/>
        <v>2482.4715766242662</v>
      </c>
      <c r="V44" s="804">
        <f>'Band Calculations'!Z19</f>
        <v>73</v>
      </c>
      <c r="W44" s="315">
        <f t="shared" si="16"/>
        <v>181220.42509357142</v>
      </c>
    </row>
    <row r="45" spans="1:23" x14ac:dyDescent="0.25">
      <c r="A45" s="244">
        <v>9257021</v>
      </c>
      <c r="B45" s="375" t="s">
        <v>216</v>
      </c>
      <c r="C45" s="1221" t="s">
        <v>522</v>
      </c>
      <c r="D45" s="1236">
        <v>5</v>
      </c>
      <c r="E45" s="1223">
        <f t="shared" si="11"/>
        <v>142</v>
      </c>
      <c r="F45" s="1226">
        <v>0</v>
      </c>
      <c r="G45" s="1225">
        <f t="shared" si="12"/>
        <v>0</v>
      </c>
      <c r="H45" s="1226">
        <v>14</v>
      </c>
      <c r="I45" s="1225">
        <f t="shared" si="7"/>
        <v>9.8591549295774641E-2</v>
      </c>
      <c r="J45" s="1226">
        <v>102</v>
      </c>
      <c r="K45" s="1225">
        <f t="shared" si="8"/>
        <v>0.71830985915492962</v>
      </c>
      <c r="L45" s="1226">
        <v>4</v>
      </c>
      <c r="M45" s="1225">
        <f t="shared" si="9"/>
        <v>2.8169014084507043E-2</v>
      </c>
      <c r="N45" s="1248">
        <v>2</v>
      </c>
      <c r="O45" s="1225">
        <f t="shared" si="13"/>
        <v>1.4084507042253521E-2</v>
      </c>
      <c r="P45" s="54">
        <v>20</v>
      </c>
      <c r="Q45" s="55">
        <f t="shared" si="10"/>
        <v>0.14084507042253522</v>
      </c>
      <c r="R45" s="289"/>
      <c r="S45" s="315">
        <f t="shared" si="14"/>
        <v>7868.7136523176978</v>
      </c>
      <c r="T45" s="289"/>
      <c r="U45" s="315">
        <f t="shared" si="15"/>
        <v>419.96796926808202</v>
      </c>
      <c r="V45" s="804">
        <f>'Band Calculations'!Z20</f>
        <v>142</v>
      </c>
      <c r="W45" s="315">
        <f t="shared" si="16"/>
        <v>59635.45163606765</v>
      </c>
    </row>
    <row r="46" spans="1:23" x14ac:dyDescent="0.25">
      <c r="A46" s="244">
        <v>9257015</v>
      </c>
      <c r="B46" s="375" t="s">
        <v>217</v>
      </c>
      <c r="C46" s="1221" t="s">
        <v>522</v>
      </c>
      <c r="D46" s="1236">
        <v>5</v>
      </c>
      <c r="E46" s="1223">
        <f t="shared" si="11"/>
        <v>248</v>
      </c>
      <c r="F46" s="1226">
        <v>10</v>
      </c>
      <c r="G46" s="1225">
        <f t="shared" si="12"/>
        <v>4.0322580645161289E-2</v>
      </c>
      <c r="H46" s="1226">
        <v>55</v>
      </c>
      <c r="I46" s="1225">
        <f t="shared" si="7"/>
        <v>0.22177419354838709</v>
      </c>
      <c r="J46" s="1226">
        <v>162</v>
      </c>
      <c r="K46" s="1225">
        <f t="shared" si="8"/>
        <v>0.65322580645161288</v>
      </c>
      <c r="L46" s="1226">
        <v>0</v>
      </c>
      <c r="M46" s="1225">
        <f t="shared" si="9"/>
        <v>0</v>
      </c>
      <c r="N46" s="1248">
        <v>5</v>
      </c>
      <c r="O46" s="1225">
        <f t="shared" si="13"/>
        <v>2.0161290322580645E-2</v>
      </c>
      <c r="P46" s="54">
        <v>16</v>
      </c>
      <c r="Q46" s="55">
        <f t="shared" si="10"/>
        <v>6.4516129032258063E-2</v>
      </c>
      <c r="R46" s="289"/>
      <c r="S46" s="315">
        <f t="shared" si="14"/>
        <v>7550.8446683273978</v>
      </c>
      <c r="T46" s="289"/>
      <c r="U46" s="315">
        <f t="shared" si="15"/>
        <v>153.29777508785264</v>
      </c>
      <c r="V46" s="804">
        <f>'Band Calculations'!Z21</f>
        <v>230.83333333333337</v>
      </c>
      <c r="W46" s="315">
        <f t="shared" si="16"/>
        <v>35386.236416112661</v>
      </c>
    </row>
    <row r="47" spans="1:23" x14ac:dyDescent="0.25">
      <c r="A47" s="244">
        <v>9257016</v>
      </c>
      <c r="B47" s="375" t="s">
        <v>219</v>
      </c>
      <c r="C47" s="1221" t="s">
        <v>521</v>
      </c>
      <c r="D47" s="1236">
        <v>6</v>
      </c>
      <c r="E47" s="1223">
        <f t="shared" si="11"/>
        <v>135</v>
      </c>
      <c r="F47" s="1226">
        <v>58</v>
      </c>
      <c r="G47" s="1225">
        <f t="shared" si="12"/>
        <v>0.42962962962962964</v>
      </c>
      <c r="H47" s="1226">
        <v>0</v>
      </c>
      <c r="I47" s="1225">
        <f t="shared" si="7"/>
        <v>0</v>
      </c>
      <c r="J47" s="1226">
        <v>39</v>
      </c>
      <c r="K47" s="1225">
        <f t="shared" si="8"/>
        <v>0.28888888888888886</v>
      </c>
      <c r="L47" s="1226">
        <v>0</v>
      </c>
      <c r="M47" s="1225">
        <f t="shared" si="9"/>
        <v>0</v>
      </c>
      <c r="N47" s="1248">
        <v>38</v>
      </c>
      <c r="O47" s="1225">
        <f t="shared" si="13"/>
        <v>0.2814814814814815</v>
      </c>
      <c r="P47" s="54">
        <v>0</v>
      </c>
      <c r="Q47" s="55">
        <f t="shared" si="10"/>
        <v>0</v>
      </c>
      <c r="R47" s="289"/>
      <c r="S47" s="315">
        <f t="shared" si="14"/>
        <v>13059.825572091222</v>
      </c>
      <c r="T47" s="289"/>
      <c r="U47" s="315">
        <f>S47-Q23</f>
        <v>1820.8089617366259</v>
      </c>
      <c r="V47" s="804">
        <f>'Band Calculations'!Z23</f>
        <v>129</v>
      </c>
      <c r="W47" s="315">
        <f t="shared" si="16"/>
        <v>234884.35606402473</v>
      </c>
    </row>
    <row r="48" spans="1:23" ht="13" x14ac:dyDescent="0.3">
      <c r="A48" s="289"/>
      <c r="B48" s="1230" t="s">
        <v>357</v>
      </c>
      <c r="C48" s="1230"/>
      <c r="D48" s="1230"/>
      <c r="E48" s="56">
        <f>SUM(E30:E47)</f>
        <v>1607</v>
      </c>
      <c r="F48" s="57">
        <f>SUM(F30:F47)</f>
        <v>154</v>
      </c>
      <c r="G48" s="1237"/>
      <c r="H48" s="57">
        <f>SUM(H30:H47)</f>
        <v>300</v>
      </c>
      <c r="I48" s="1238"/>
      <c r="J48" s="57">
        <f>SUM(J30:J47)</f>
        <v>620</v>
      </c>
      <c r="K48" s="1238"/>
      <c r="L48" s="57">
        <f>SUM(L30:L47)</f>
        <v>19</v>
      </c>
      <c r="M48" s="1238"/>
      <c r="N48" s="353">
        <f>SUM(N30:N47)</f>
        <v>100</v>
      </c>
      <c r="O48" s="1238"/>
      <c r="P48" s="58">
        <f>SUM(P30:P47)</f>
        <v>414</v>
      </c>
      <c r="Q48" s="59"/>
      <c r="R48" s="289"/>
      <c r="S48" s="289"/>
      <c r="T48" s="289"/>
      <c r="U48" s="289"/>
      <c r="V48" s="569"/>
      <c r="W48" s="289"/>
    </row>
    <row r="49" spans="2:23" ht="13" thickBot="1" x14ac:dyDescent="0.3">
      <c r="B49" s="1230" t="s">
        <v>525</v>
      </c>
      <c r="C49" s="1230"/>
      <c r="D49" s="1230"/>
      <c r="E49" s="1232"/>
      <c r="F49" s="1233">
        <f>F48/E48</f>
        <v>9.5830740510267576E-2</v>
      </c>
      <c r="G49" s="1225"/>
      <c r="H49" s="1233">
        <f>H48/E48</f>
        <v>0.18668326073428748</v>
      </c>
      <c r="I49" s="1225"/>
      <c r="J49" s="1233">
        <f>J48/E48</f>
        <v>0.38581207218419417</v>
      </c>
      <c r="K49" s="1225"/>
      <c r="L49" s="1233">
        <f>L48/E48</f>
        <v>1.1823273179838207E-2</v>
      </c>
      <c r="M49" s="1225"/>
      <c r="N49" s="1233">
        <f>N48/E48</f>
        <v>6.2227753578095832E-2</v>
      </c>
      <c r="O49" s="1225"/>
      <c r="P49" s="60">
        <f>P48/E48</f>
        <v>0.25762289981331676</v>
      </c>
      <c r="Q49" s="59"/>
      <c r="R49" s="289"/>
      <c r="S49" s="289"/>
      <c r="T49" s="289"/>
      <c r="U49" s="289"/>
      <c r="V49" s="289"/>
      <c r="W49" s="1239">
        <f>SUM(W30:W47)</f>
        <v>1060541.8935978892</v>
      </c>
    </row>
    <row r="51" spans="2:23" hidden="1" x14ac:dyDescent="0.25">
      <c r="B51" s="289"/>
      <c r="C51" s="289"/>
      <c r="D51" s="289"/>
      <c r="E51" s="316"/>
      <c r="F51" s="316"/>
      <c r="G51" s="316"/>
      <c r="H51" s="316"/>
      <c r="I51" s="316"/>
      <c r="J51" s="316"/>
      <c r="K51" s="316"/>
      <c r="L51" s="316"/>
      <c r="M51" s="316"/>
      <c r="N51" s="316"/>
      <c r="O51" s="316"/>
      <c r="P51" s="289"/>
      <c r="Q51" s="289"/>
      <c r="R51" s="289"/>
      <c r="S51" s="289"/>
      <c r="T51" s="289"/>
      <c r="U51" s="289"/>
      <c r="V51" s="289"/>
      <c r="W51" s="289"/>
    </row>
    <row r="52" spans="2:23" hidden="1" x14ac:dyDescent="0.25">
      <c r="B52" s="1504" t="s">
        <v>539</v>
      </c>
      <c r="C52" s="1504"/>
      <c r="D52" s="1504"/>
      <c r="E52" s="1504"/>
      <c r="F52" s="379">
        <f>F49-F25</f>
        <v>-1.2950386619483403E-2</v>
      </c>
      <c r="G52" s="379"/>
      <c r="H52" s="379">
        <f>H49-H25</f>
        <v>-5.9772897244281253E-3</v>
      </c>
      <c r="I52" s="379"/>
      <c r="J52" s="379">
        <f>J49-J25</f>
        <v>1.2941823167156141E-2</v>
      </c>
      <c r="K52" s="379"/>
      <c r="L52" s="379">
        <f>L49-L25</f>
        <v>-3.8635442416492069E-2</v>
      </c>
      <c r="M52" s="379"/>
      <c r="N52" s="379">
        <f>N49</f>
        <v>6.2227753578095832E-2</v>
      </c>
      <c r="O52" s="316"/>
      <c r="P52" s="379">
        <f>P49-N25</f>
        <v>-1.7606457984848389E-2</v>
      </c>
      <c r="Q52" s="289"/>
      <c r="R52" s="289"/>
      <c r="S52" s="289"/>
      <c r="T52" s="289"/>
      <c r="U52" s="289"/>
      <c r="V52" s="289"/>
      <c r="W52" s="289"/>
    </row>
    <row r="53" spans="2:23" hidden="1" x14ac:dyDescent="0.25">
      <c r="B53" s="289"/>
      <c r="C53" s="289"/>
      <c r="D53" s="289"/>
      <c r="E53" s="316"/>
      <c r="F53" s="316"/>
      <c r="G53" s="316"/>
      <c r="H53" s="316"/>
      <c r="I53" s="316"/>
      <c r="J53" s="316"/>
      <c r="K53" s="316"/>
      <c r="L53" s="316"/>
      <c r="M53" s="316"/>
      <c r="N53" s="316"/>
      <c r="O53" s="316"/>
      <c r="P53" s="316"/>
      <c r="Q53" s="289"/>
      <c r="R53" s="289"/>
      <c r="S53" s="289"/>
      <c r="T53" s="289"/>
      <c r="U53" s="289"/>
      <c r="V53" s="289"/>
      <c r="W53" s="289"/>
    </row>
    <row r="54" spans="2:23" hidden="1" x14ac:dyDescent="0.25">
      <c r="B54" s="289"/>
      <c r="C54" s="289"/>
      <c r="D54" s="289"/>
      <c r="E54" s="316"/>
      <c r="F54" s="92">
        <v>11692.020638096787</v>
      </c>
      <c r="G54" s="316"/>
      <c r="H54" s="92">
        <v>7350.1419469065795</v>
      </c>
      <c r="I54" s="316"/>
      <c r="J54" s="92">
        <v>6243.7244928897762</v>
      </c>
      <c r="K54" s="316"/>
      <c r="L54" s="92">
        <v>11692.020638096787</v>
      </c>
      <c r="M54" s="316"/>
      <c r="N54" s="235">
        <v>22143</v>
      </c>
      <c r="O54" s="316"/>
      <c r="P54" s="92">
        <v>11692.020638096787</v>
      </c>
      <c r="Q54" s="289"/>
      <c r="R54" s="289"/>
      <c r="S54" s="289"/>
      <c r="T54" s="289"/>
      <c r="U54" s="289"/>
      <c r="V54" s="289"/>
      <c r="W54" s="289"/>
    </row>
    <row r="55" spans="2:23" hidden="1" x14ac:dyDescent="0.25">
      <c r="B55" s="289"/>
      <c r="C55" s="289"/>
      <c r="D55" s="289"/>
      <c r="E55" s="316"/>
      <c r="F55" s="316"/>
      <c r="G55" s="316"/>
      <c r="H55" s="316"/>
      <c r="I55" s="316"/>
      <c r="J55" s="316"/>
      <c r="K55" s="316"/>
      <c r="L55" s="316"/>
      <c r="M55" s="316"/>
      <c r="N55" s="316"/>
      <c r="O55" s="316"/>
      <c r="P55" s="316"/>
      <c r="Q55" s="289"/>
      <c r="R55" s="289"/>
      <c r="S55" s="289"/>
      <c r="T55" s="289"/>
      <c r="U55" s="289"/>
      <c r="V55" s="289"/>
      <c r="W55" s="289"/>
    </row>
    <row r="56" spans="2:23" hidden="1" x14ac:dyDescent="0.25">
      <c r="B56" s="289"/>
      <c r="C56" s="289"/>
      <c r="D56" s="289"/>
      <c r="E56" s="316"/>
      <c r="F56" s="316"/>
      <c r="G56" s="316"/>
      <c r="H56" s="316"/>
      <c r="I56" s="316"/>
      <c r="J56" s="316"/>
      <c r="K56" s="316"/>
      <c r="L56" s="316"/>
      <c r="M56" s="316"/>
      <c r="N56" s="316"/>
      <c r="O56" s="316"/>
      <c r="P56" s="235">
        <v>2635.0478891670464</v>
      </c>
      <c r="Q56" s="289"/>
      <c r="R56" s="289"/>
      <c r="S56" s="289"/>
      <c r="T56" s="289"/>
      <c r="U56" s="289"/>
      <c r="V56" s="289"/>
      <c r="W56" s="289"/>
    </row>
    <row r="57" spans="2:23" hidden="1" x14ac:dyDescent="0.25">
      <c r="B57" s="289"/>
      <c r="C57" s="289"/>
      <c r="D57" s="289"/>
      <c r="E57" s="316"/>
      <c r="F57" s="316"/>
      <c r="G57" s="316"/>
      <c r="H57" s="316"/>
      <c r="I57" s="316"/>
      <c r="J57" s="316"/>
      <c r="K57" s="316"/>
      <c r="L57" s="316"/>
      <c r="M57" s="316"/>
      <c r="N57" s="316"/>
      <c r="O57" s="316"/>
      <c r="P57" s="289"/>
      <c r="Q57" s="289"/>
      <c r="R57" s="289"/>
      <c r="S57" s="289"/>
      <c r="T57" s="289"/>
      <c r="U57" s="289"/>
      <c r="V57" s="289"/>
      <c r="W57" s="289"/>
    </row>
    <row r="58" spans="2:23" hidden="1" x14ac:dyDescent="0.25">
      <c r="B58" s="1"/>
      <c r="C58" s="289"/>
      <c r="D58" s="289"/>
      <c r="E58" s="316"/>
      <c r="F58" s="316" t="s">
        <v>39</v>
      </c>
      <c r="G58" s="316" t="s">
        <v>42</v>
      </c>
      <c r="H58" s="316" t="s">
        <v>45</v>
      </c>
      <c r="I58" s="316" t="s">
        <v>48</v>
      </c>
      <c r="J58" s="316" t="s">
        <v>51</v>
      </c>
      <c r="K58" s="316" t="s">
        <v>668</v>
      </c>
      <c r="L58" s="316"/>
      <c r="M58" s="316"/>
      <c r="N58" s="316"/>
      <c r="O58" s="316"/>
      <c r="P58" s="289"/>
      <c r="Q58" s="289"/>
      <c r="R58" s="289"/>
      <c r="S58" s="289"/>
      <c r="T58" s="289"/>
      <c r="U58" s="289"/>
      <c r="V58" s="289"/>
      <c r="W58" s="289"/>
    </row>
    <row r="59" spans="2:23" hidden="1" x14ac:dyDescent="0.25">
      <c r="B59" s="98"/>
      <c r="C59" s="289"/>
      <c r="D59" s="289"/>
      <c r="E59" s="316"/>
      <c r="F59" s="374">
        <f>'Band Calculations 1718'!D6</f>
        <v>0.40476190476190477</v>
      </c>
      <c r="G59" s="374">
        <f>'Band Calculations 1718'!E6</f>
        <v>0.2857142857142857</v>
      </c>
      <c r="H59" s="374">
        <f>'Band Calculations 1718'!F6</f>
        <v>0.11904761904761904</v>
      </c>
      <c r="I59" s="374">
        <f>'Band Calculations 1718'!G6</f>
        <v>0.11904761904761904</v>
      </c>
      <c r="J59" s="374">
        <f>'Band Calculations 1718'!H6</f>
        <v>7.1428571428571425E-2</v>
      </c>
      <c r="K59" s="374">
        <f>'Band Calculations 1718'!I6</f>
        <v>0</v>
      </c>
      <c r="L59" s="374"/>
      <c r="M59" s="316"/>
      <c r="N59" s="316"/>
      <c r="O59" s="316"/>
      <c r="P59" s="289"/>
      <c r="Q59" s="289"/>
      <c r="R59" s="289"/>
      <c r="S59" s="289"/>
      <c r="T59" s="289"/>
      <c r="U59" s="289"/>
      <c r="V59" s="289"/>
      <c r="W59" s="289"/>
    </row>
    <row r="60" spans="2:23" hidden="1" x14ac:dyDescent="0.25">
      <c r="B60" s="1249" t="s">
        <v>205</v>
      </c>
      <c r="C60" s="289"/>
      <c r="D60" s="289" t="s">
        <v>790</v>
      </c>
      <c r="E60" s="376">
        <f>'Band Calculations - Rebase'!V110</f>
        <v>50.333333333333343</v>
      </c>
      <c r="F60" s="377">
        <f t="shared" ref="F60:K60" si="17">$E$60*F59</f>
        <v>20.373015873015877</v>
      </c>
      <c r="G60" s="377">
        <f t="shared" si="17"/>
        <v>14.380952380952383</v>
      </c>
      <c r="H60" s="377">
        <f t="shared" si="17"/>
        <v>5.992063492063493</v>
      </c>
      <c r="I60" s="377">
        <f t="shared" si="17"/>
        <v>5.992063492063493</v>
      </c>
      <c r="J60" s="377">
        <f t="shared" si="17"/>
        <v>3.5952380952380958</v>
      </c>
      <c r="K60" s="377">
        <f t="shared" si="17"/>
        <v>0</v>
      </c>
      <c r="L60" s="376"/>
      <c r="M60" s="1250"/>
      <c r="N60" s="316"/>
      <c r="O60" s="316"/>
      <c r="P60" s="289"/>
      <c r="Q60" s="289"/>
      <c r="R60" s="289"/>
      <c r="S60" s="289"/>
      <c r="T60" s="289"/>
      <c r="U60" s="289"/>
      <c r="V60" s="289"/>
      <c r="W60" s="289"/>
    </row>
    <row r="61" spans="2:23" hidden="1" x14ac:dyDescent="0.25">
      <c r="B61" s="289"/>
      <c r="C61" s="289"/>
      <c r="D61" s="289" t="s">
        <v>791</v>
      </c>
      <c r="E61" s="376">
        <f>E60</f>
        <v>50.333333333333343</v>
      </c>
      <c r="F61" s="377">
        <f>F60-(K61-I60)</f>
        <v>18.365079365079371</v>
      </c>
      <c r="G61" s="377">
        <f>G60</f>
        <v>14.380952380952383</v>
      </c>
      <c r="H61" s="377">
        <f>H60</f>
        <v>5.992063492063493</v>
      </c>
      <c r="I61" s="316">
        <v>0</v>
      </c>
      <c r="J61" s="377">
        <f>J60</f>
        <v>3.5952380952380958</v>
      </c>
      <c r="K61" s="316">
        <v>8</v>
      </c>
      <c r="L61" s="376"/>
      <c r="M61" s="1250"/>
      <c r="N61" s="316"/>
      <c r="O61" s="316"/>
      <c r="P61" s="289"/>
      <c r="Q61" s="289"/>
      <c r="R61" s="289"/>
      <c r="S61" s="289"/>
      <c r="T61" s="289"/>
      <c r="U61" s="289"/>
      <c r="V61" s="289"/>
      <c r="W61" s="289"/>
    </row>
    <row r="62" spans="2:23" hidden="1" x14ac:dyDescent="0.25">
      <c r="B62" s="289"/>
      <c r="C62" s="289"/>
      <c r="D62" s="289"/>
      <c r="E62" s="316"/>
      <c r="F62" s="379">
        <f t="shared" ref="F62:K62" si="18">F61/$E$61</f>
        <v>0.36486912645853048</v>
      </c>
      <c r="G62" s="379">
        <f t="shared" si="18"/>
        <v>0.2857142857142857</v>
      </c>
      <c r="H62" s="379">
        <f t="shared" si="18"/>
        <v>0.11904761904761904</v>
      </c>
      <c r="I62" s="379">
        <f t="shared" si="18"/>
        <v>0</v>
      </c>
      <c r="J62" s="379">
        <f t="shared" si="18"/>
        <v>7.1428571428571425E-2</v>
      </c>
      <c r="K62" s="379">
        <f t="shared" si="18"/>
        <v>0.15894039735099336</v>
      </c>
      <c r="L62" s="316"/>
      <c r="M62" s="379">
        <f>SUM(F62:K62)</f>
        <v>1</v>
      </c>
      <c r="N62" s="316"/>
      <c r="O62" s="316"/>
      <c r="P62" s="289"/>
      <c r="Q62" s="289"/>
      <c r="R62" s="289"/>
      <c r="S62" s="289"/>
      <c r="T62" s="289"/>
      <c r="U62" s="289"/>
      <c r="V62" s="289"/>
      <c r="W62" s="289"/>
    </row>
    <row r="63" spans="2:23" hidden="1" x14ac:dyDescent="0.25">
      <c r="B63" s="289"/>
      <c r="C63" s="289"/>
      <c r="D63" s="289"/>
      <c r="E63" s="316"/>
      <c r="F63" s="316"/>
      <c r="G63" s="316"/>
      <c r="H63" s="316"/>
      <c r="I63" s="316"/>
      <c r="J63" s="316"/>
      <c r="K63" s="316"/>
      <c r="L63" s="316"/>
      <c r="M63" s="316"/>
      <c r="N63" s="316"/>
      <c r="O63" s="316"/>
      <c r="P63" s="289"/>
      <c r="Q63" s="289"/>
      <c r="R63" s="289"/>
      <c r="S63" s="289"/>
      <c r="T63" s="289"/>
      <c r="U63" s="289"/>
      <c r="V63" s="289"/>
      <c r="W63" s="289"/>
    </row>
    <row r="64" spans="2:23" hidden="1" x14ac:dyDescent="0.25">
      <c r="B64" s="289"/>
      <c r="C64" s="289"/>
      <c r="D64" s="289"/>
      <c r="E64" s="316"/>
      <c r="F64" s="374">
        <f>'Band Calculations 1718'!D7</f>
        <v>0.13157894736842105</v>
      </c>
      <c r="G64" s="374">
        <f>'Band Calculations 1718'!E7</f>
        <v>0.35526315789473684</v>
      </c>
      <c r="H64" s="374">
        <f>'Band Calculations 1718'!F7</f>
        <v>0.17105263157894737</v>
      </c>
      <c r="I64" s="374">
        <f>'Band Calculations 1718'!G7</f>
        <v>0.14473684210526316</v>
      </c>
      <c r="J64" s="374">
        <f>'Band Calculations 1718'!H7</f>
        <v>0.19736842105263158</v>
      </c>
      <c r="K64" s="374">
        <f>'Band Calculations 1718'!I7</f>
        <v>0</v>
      </c>
      <c r="L64" s="316"/>
      <c r="M64" s="316"/>
      <c r="N64" s="316"/>
      <c r="O64" s="316"/>
      <c r="P64" s="289"/>
      <c r="Q64" s="289"/>
      <c r="R64" s="289"/>
      <c r="S64" s="289"/>
      <c r="T64" s="289"/>
      <c r="U64" s="289"/>
      <c r="V64" s="289"/>
      <c r="W64" s="289"/>
    </row>
    <row r="65" spans="2:15" hidden="1" x14ac:dyDescent="0.25">
      <c r="B65" s="375" t="s">
        <v>208</v>
      </c>
      <c r="C65" s="289"/>
      <c r="D65" s="289" t="s">
        <v>790</v>
      </c>
      <c r="E65" s="376">
        <f>SUM('Band Calculations - Rebase'!V111)</f>
        <v>74.666666666666657</v>
      </c>
      <c r="F65" s="377">
        <f t="shared" ref="F65:K65" si="19">$E$65*F64</f>
        <v>9.8245614035087705</v>
      </c>
      <c r="G65" s="377">
        <f t="shared" si="19"/>
        <v>26.526315789473681</v>
      </c>
      <c r="H65" s="377">
        <f t="shared" si="19"/>
        <v>12.771929824561402</v>
      </c>
      <c r="I65" s="377">
        <f t="shared" si="19"/>
        <v>10.807017543859649</v>
      </c>
      <c r="J65" s="377">
        <f t="shared" si="19"/>
        <v>14.736842105263156</v>
      </c>
      <c r="K65" s="377">
        <f t="shared" si="19"/>
        <v>0</v>
      </c>
      <c r="L65" s="316"/>
      <c r="M65" s="316"/>
      <c r="N65" s="289"/>
      <c r="O65" s="289"/>
    </row>
    <row r="66" spans="2:15" hidden="1" x14ac:dyDescent="0.25">
      <c r="B66" s="289"/>
      <c r="C66" s="289"/>
      <c r="D66" s="289" t="s">
        <v>791</v>
      </c>
      <c r="E66" s="376">
        <f>E65</f>
        <v>74.666666666666657</v>
      </c>
      <c r="F66" s="377">
        <f>F65</f>
        <v>9.8245614035087705</v>
      </c>
      <c r="G66" s="377">
        <f>G65</f>
        <v>26.526315789473681</v>
      </c>
      <c r="H66" s="377">
        <f>H65</f>
        <v>12.771929824561402</v>
      </c>
      <c r="I66" s="377">
        <f>I65-K66</f>
        <v>3.807017543859649</v>
      </c>
      <c r="J66" s="377">
        <f>J65</f>
        <v>14.736842105263156</v>
      </c>
      <c r="K66" s="376">
        <f>N31</f>
        <v>7</v>
      </c>
      <c r="L66" s="316"/>
      <c r="M66" s="316"/>
      <c r="N66" s="289"/>
      <c r="O66" s="289"/>
    </row>
    <row r="67" spans="2:15" hidden="1" x14ac:dyDescent="0.25">
      <c r="B67" s="289"/>
      <c r="C67" s="289"/>
      <c r="D67" s="289"/>
      <c r="E67" s="376"/>
      <c r="F67" s="379">
        <f t="shared" ref="F67:K67" si="20">F66/$E$66</f>
        <v>0.13157894736842105</v>
      </c>
      <c r="G67" s="379">
        <f t="shared" si="20"/>
        <v>0.35526315789473684</v>
      </c>
      <c r="H67" s="379">
        <f t="shared" si="20"/>
        <v>0.17105263157894737</v>
      </c>
      <c r="I67" s="379">
        <f t="shared" si="20"/>
        <v>5.0986842105263164E-2</v>
      </c>
      <c r="J67" s="379">
        <f t="shared" si="20"/>
        <v>0.19736842105263158</v>
      </c>
      <c r="K67" s="379">
        <f t="shared" si="20"/>
        <v>9.3750000000000014E-2</v>
      </c>
      <c r="L67" s="316"/>
      <c r="M67" s="379">
        <f>SUM(F67:K67)</f>
        <v>1</v>
      </c>
      <c r="N67" s="289"/>
      <c r="O67" s="289"/>
    </row>
    <row r="68" spans="2:15" hidden="1" x14ac:dyDescent="0.25">
      <c r="B68" s="289"/>
      <c r="C68" s="289"/>
      <c r="D68" s="289"/>
      <c r="E68" s="316"/>
      <c r="F68" s="316"/>
      <c r="G68" s="316"/>
      <c r="H68" s="316"/>
      <c r="I68" s="316"/>
      <c r="J68" s="316"/>
      <c r="K68" s="316"/>
      <c r="L68" s="316"/>
      <c r="M68" s="316"/>
      <c r="N68" s="316"/>
      <c r="O68" s="316"/>
    </row>
    <row r="69" spans="2:15" hidden="1" x14ac:dyDescent="0.25">
      <c r="B69" s="289"/>
      <c r="C69" s="289"/>
      <c r="D69" s="289"/>
      <c r="E69" s="316"/>
      <c r="F69" s="374">
        <f>'Band Calculations 1718'!D8</f>
        <v>0.26415094339622641</v>
      </c>
      <c r="G69" s="374">
        <f>'Band Calculations 1718'!E8</f>
        <v>0.41509433962264153</v>
      </c>
      <c r="H69" s="374">
        <f>'Band Calculations 1718'!F8</f>
        <v>5.6603773584905662E-2</v>
      </c>
      <c r="I69" s="374">
        <f>'Band Calculations 1718'!G8</f>
        <v>5.6603773584905662E-2</v>
      </c>
      <c r="J69" s="374">
        <f>'Band Calculations 1718'!H8</f>
        <v>0.20754716981132076</v>
      </c>
      <c r="K69" s="374">
        <f>'Band Calculations 1718'!I8</f>
        <v>0</v>
      </c>
      <c r="L69" s="316"/>
      <c r="M69" s="316"/>
      <c r="N69" s="289"/>
      <c r="O69" s="289"/>
    </row>
    <row r="70" spans="2:15" hidden="1" x14ac:dyDescent="0.25">
      <c r="B70" s="375" t="s">
        <v>209</v>
      </c>
      <c r="C70" s="289"/>
      <c r="D70" s="289" t="s">
        <v>790</v>
      </c>
      <c r="E70" s="376">
        <f>SUM('Band Calculations - Rebase'!V112)</f>
        <v>62.833333333333336</v>
      </c>
      <c r="F70" s="377">
        <f t="shared" ref="F70:K70" si="21">$E$70*F69</f>
        <v>16.59748427672956</v>
      </c>
      <c r="G70" s="377">
        <f t="shared" si="21"/>
        <v>26.081761006289309</v>
      </c>
      <c r="H70" s="377">
        <f t="shared" si="21"/>
        <v>3.5566037735849059</v>
      </c>
      <c r="I70" s="377">
        <f t="shared" si="21"/>
        <v>3.5566037735849059</v>
      </c>
      <c r="J70" s="377">
        <f t="shared" si="21"/>
        <v>13.040880503144654</v>
      </c>
      <c r="K70" s="377">
        <f t="shared" si="21"/>
        <v>0</v>
      </c>
      <c r="L70" s="316"/>
      <c r="M70" s="316"/>
      <c r="N70" s="289"/>
      <c r="O70" s="289"/>
    </row>
    <row r="71" spans="2:15" hidden="1" x14ac:dyDescent="0.25">
      <c r="B71" s="289"/>
      <c r="C71" s="289"/>
      <c r="D71" s="289" t="s">
        <v>791</v>
      </c>
      <c r="E71" s="376">
        <f>E70</f>
        <v>62.833333333333336</v>
      </c>
      <c r="F71" s="377">
        <f>F70-(K71-I70)</f>
        <v>14.154088050314465</v>
      </c>
      <c r="G71" s="377">
        <f>G70</f>
        <v>26.081761006289309</v>
      </c>
      <c r="H71" s="377">
        <f>H70</f>
        <v>3.5566037735849059</v>
      </c>
      <c r="I71" s="377">
        <v>0</v>
      </c>
      <c r="J71" s="377">
        <f>J70</f>
        <v>13.040880503144654</v>
      </c>
      <c r="K71" s="377">
        <f>N32</f>
        <v>6</v>
      </c>
      <c r="L71" s="316"/>
      <c r="M71" s="316"/>
      <c r="N71" s="289"/>
      <c r="O71" s="289"/>
    </row>
    <row r="72" spans="2:15" hidden="1" x14ac:dyDescent="0.25">
      <c r="B72" s="289"/>
      <c r="C72" s="289"/>
      <c r="D72" s="289"/>
      <c r="E72" s="316"/>
      <c r="F72" s="379">
        <f t="shared" ref="F72:K72" si="22">F71/$E$71</f>
        <v>0.2252640008007607</v>
      </c>
      <c r="G72" s="379">
        <f t="shared" si="22"/>
        <v>0.41509433962264153</v>
      </c>
      <c r="H72" s="379">
        <f t="shared" si="22"/>
        <v>5.6603773584905662E-2</v>
      </c>
      <c r="I72" s="379">
        <f t="shared" si="22"/>
        <v>0</v>
      </c>
      <c r="J72" s="379">
        <f t="shared" si="22"/>
        <v>0.20754716981132076</v>
      </c>
      <c r="K72" s="379">
        <f t="shared" si="22"/>
        <v>9.5490716180371346E-2</v>
      </c>
      <c r="L72" s="316"/>
      <c r="M72" s="379">
        <f>SUM(F72:K72)</f>
        <v>1</v>
      </c>
      <c r="N72" s="289"/>
      <c r="O72" s="289"/>
    </row>
    <row r="73" spans="2:15" hidden="1" x14ac:dyDescent="0.25">
      <c r="B73" s="289"/>
      <c r="C73" s="289"/>
      <c r="D73" s="289"/>
      <c r="E73" s="316"/>
      <c r="F73" s="316"/>
      <c r="G73" s="316"/>
      <c r="H73" s="316"/>
      <c r="I73" s="316"/>
      <c r="J73" s="316"/>
      <c r="K73" s="316"/>
      <c r="L73" s="316"/>
      <c r="M73" s="316"/>
      <c r="N73" s="316"/>
      <c r="O73" s="316"/>
    </row>
    <row r="74" spans="2:15" hidden="1" x14ac:dyDescent="0.25">
      <c r="B74" s="289"/>
      <c r="C74" s="289"/>
      <c r="D74" s="289"/>
      <c r="E74" s="316"/>
      <c r="F74" s="374">
        <f>'Band Calculations 1718'!D9</f>
        <v>0.4</v>
      </c>
      <c r="G74" s="374">
        <f>'Band Calculations 1718'!E9</f>
        <v>0.42222222222222222</v>
      </c>
      <c r="H74" s="374">
        <f>'Band Calculations 1718'!F9</f>
        <v>0</v>
      </c>
      <c r="I74" s="374">
        <f>'Band Calculations 1718'!G9</f>
        <v>2.2222222222222223E-2</v>
      </c>
      <c r="J74" s="374">
        <f>'Band Calculations 1718'!H9</f>
        <v>0.15555555555555556</v>
      </c>
      <c r="K74" s="374">
        <f>'Band Calculations 1718'!I9</f>
        <v>0</v>
      </c>
      <c r="L74" s="316"/>
      <c r="M74" s="316"/>
      <c r="N74" s="289"/>
      <c r="O74" s="289"/>
    </row>
    <row r="75" spans="2:15" hidden="1" x14ac:dyDescent="0.25">
      <c r="B75" s="375" t="s">
        <v>210</v>
      </c>
      <c r="C75" s="289"/>
      <c r="D75" s="289" t="s">
        <v>790</v>
      </c>
      <c r="E75" s="376">
        <f>SUM('Band Calculations - Rebase'!V113)</f>
        <v>53.833333333333329</v>
      </c>
      <c r="F75" s="377">
        <f t="shared" ref="F75:K75" si="23">$E$75*F74</f>
        <v>21.533333333333331</v>
      </c>
      <c r="G75" s="377">
        <f t="shared" si="23"/>
        <v>22.729629629629628</v>
      </c>
      <c r="H75" s="377">
        <f t="shared" si="23"/>
        <v>0</v>
      </c>
      <c r="I75" s="377">
        <f t="shared" si="23"/>
        <v>1.1962962962962962</v>
      </c>
      <c r="J75" s="377">
        <f t="shared" si="23"/>
        <v>8.3740740740740733</v>
      </c>
      <c r="K75" s="377">
        <f t="shared" si="23"/>
        <v>0</v>
      </c>
      <c r="L75" s="316"/>
      <c r="M75" s="316"/>
      <c r="N75" s="289"/>
      <c r="O75" s="289"/>
    </row>
    <row r="76" spans="2:15" hidden="1" x14ac:dyDescent="0.25">
      <c r="B76" s="289"/>
      <c r="C76" s="289"/>
      <c r="D76" s="289" t="s">
        <v>791</v>
      </c>
      <c r="E76" s="376">
        <f>E75</f>
        <v>53.833333333333329</v>
      </c>
      <c r="F76" s="377">
        <f>F75-(K76-I75)</f>
        <v>16.729629629629628</v>
      </c>
      <c r="G76" s="377">
        <f>G75</f>
        <v>22.729629629629628</v>
      </c>
      <c r="H76" s="377">
        <f>H75</f>
        <v>0</v>
      </c>
      <c r="I76" s="377">
        <v>0</v>
      </c>
      <c r="J76" s="377">
        <f>J75</f>
        <v>8.3740740740740733</v>
      </c>
      <c r="K76" s="376">
        <f>N33</f>
        <v>6</v>
      </c>
      <c r="L76" s="316"/>
      <c r="M76" s="316"/>
      <c r="N76" s="289"/>
      <c r="O76" s="289"/>
    </row>
    <row r="77" spans="2:15" hidden="1" x14ac:dyDescent="0.25">
      <c r="B77" s="289"/>
      <c r="C77" s="289"/>
      <c r="D77" s="289"/>
      <c r="E77" s="316"/>
      <c r="F77" s="379">
        <f t="shared" ref="F77:K77" si="24">F76/$E$76</f>
        <v>0.31076711386308908</v>
      </c>
      <c r="G77" s="379">
        <f t="shared" si="24"/>
        <v>0.42222222222222222</v>
      </c>
      <c r="H77" s="379">
        <f t="shared" si="24"/>
        <v>0</v>
      </c>
      <c r="I77" s="379">
        <f t="shared" si="24"/>
        <v>0</v>
      </c>
      <c r="J77" s="379">
        <f t="shared" si="24"/>
        <v>0.15555555555555556</v>
      </c>
      <c r="K77" s="379">
        <f t="shared" si="24"/>
        <v>0.11145510835913314</v>
      </c>
      <c r="L77" s="316"/>
      <c r="M77" s="379">
        <f>SUM(F77:K77)</f>
        <v>1</v>
      </c>
      <c r="N77" s="289"/>
      <c r="O77" s="289"/>
    </row>
    <row r="78" spans="2:15" hidden="1" x14ac:dyDescent="0.25">
      <c r="B78" s="289"/>
      <c r="C78" s="289"/>
      <c r="D78" s="289"/>
      <c r="E78" s="316"/>
      <c r="F78" s="316"/>
      <c r="G78" s="316"/>
      <c r="H78" s="316"/>
      <c r="I78" s="316"/>
      <c r="J78" s="316"/>
      <c r="K78" s="316"/>
      <c r="L78" s="316"/>
      <c r="M78" s="316"/>
      <c r="N78" s="316"/>
      <c r="O78" s="316"/>
    </row>
    <row r="79" spans="2:15" hidden="1" x14ac:dyDescent="0.25">
      <c r="B79" s="289"/>
      <c r="C79" s="289"/>
      <c r="D79" s="289"/>
      <c r="E79" s="316"/>
      <c r="F79" s="374">
        <f>SUM('Band Calculations 1718'!D10)</f>
        <v>0.2</v>
      </c>
      <c r="G79" s="374">
        <f>SUM('Band Calculations 1718'!E10)</f>
        <v>0.5636363636363636</v>
      </c>
      <c r="H79" s="374">
        <f>SUM('Band Calculations 1718'!F10)</f>
        <v>1.8181818181818181E-2</v>
      </c>
      <c r="I79" s="374">
        <f>SUM('Band Calculations 1718'!G10)</f>
        <v>0.16363636363636364</v>
      </c>
      <c r="J79" s="374">
        <f>SUM('Band Calculations 1718'!H10)</f>
        <v>5.4545454545454543E-2</v>
      </c>
      <c r="K79" s="374">
        <f>SUM('Band Calculations 1718'!I10)</f>
        <v>0</v>
      </c>
      <c r="L79" s="316"/>
      <c r="M79" s="316"/>
      <c r="N79" s="289"/>
      <c r="O79" s="289"/>
    </row>
    <row r="80" spans="2:15" hidden="1" x14ac:dyDescent="0.25">
      <c r="B80" s="375" t="s">
        <v>211</v>
      </c>
      <c r="C80" s="289"/>
      <c r="D80" s="289" t="s">
        <v>790</v>
      </c>
      <c r="E80" s="376">
        <f>SUM('Band Calculations - Rebase'!V114)</f>
        <v>64.25</v>
      </c>
      <c r="F80" s="377">
        <f t="shared" ref="F80:K80" si="25">$E$80*F79</f>
        <v>12.850000000000001</v>
      </c>
      <c r="G80" s="377">
        <f t="shared" si="25"/>
        <v>36.213636363636361</v>
      </c>
      <c r="H80" s="377">
        <f t="shared" si="25"/>
        <v>1.1681818181818182</v>
      </c>
      <c r="I80" s="377">
        <f t="shared" si="25"/>
        <v>10.513636363636364</v>
      </c>
      <c r="J80" s="377">
        <f t="shared" si="25"/>
        <v>3.5045454545454544</v>
      </c>
      <c r="K80" s="377">
        <f t="shared" si="25"/>
        <v>0</v>
      </c>
      <c r="L80" s="316"/>
      <c r="M80" s="316"/>
      <c r="N80" s="289"/>
      <c r="O80" s="289"/>
    </row>
    <row r="81" spans="2:15" hidden="1" x14ac:dyDescent="0.25">
      <c r="B81" s="289"/>
      <c r="C81" s="289"/>
      <c r="D81" s="289" t="s">
        <v>791</v>
      </c>
      <c r="E81" s="376">
        <f>E80</f>
        <v>64.25</v>
      </c>
      <c r="F81" s="377">
        <f>F80</f>
        <v>12.850000000000001</v>
      </c>
      <c r="G81" s="377">
        <f>G80</f>
        <v>36.213636363636361</v>
      </c>
      <c r="H81" s="377">
        <f>H80</f>
        <v>1.1681818181818182</v>
      </c>
      <c r="I81" s="377">
        <f>I80-K81</f>
        <v>1.5136363636363637</v>
      </c>
      <c r="J81" s="377">
        <f>J80</f>
        <v>3.5045454545454544</v>
      </c>
      <c r="K81" s="376">
        <f>N34</f>
        <v>9</v>
      </c>
      <c r="L81" s="316"/>
      <c r="M81" s="316"/>
      <c r="N81" s="289"/>
      <c r="O81" s="289"/>
    </row>
    <row r="82" spans="2:15" hidden="1" x14ac:dyDescent="0.25">
      <c r="B82" s="289"/>
      <c r="C82" s="289"/>
      <c r="D82" s="289"/>
      <c r="E82" s="316"/>
      <c r="F82" s="379">
        <f t="shared" ref="F82:K82" si="26">F81/$E$81</f>
        <v>0.2</v>
      </c>
      <c r="G82" s="379">
        <f t="shared" si="26"/>
        <v>0.5636363636363636</v>
      </c>
      <c r="H82" s="379">
        <f t="shared" si="26"/>
        <v>1.8181818181818181E-2</v>
      </c>
      <c r="I82" s="379">
        <f t="shared" si="26"/>
        <v>2.3558542624690485E-2</v>
      </c>
      <c r="J82" s="379">
        <f t="shared" si="26"/>
        <v>5.4545454545454543E-2</v>
      </c>
      <c r="K82" s="379">
        <f t="shared" si="26"/>
        <v>0.14007782101167315</v>
      </c>
      <c r="L82" s="316"/>
      <c r="M82" s="379">
        <f>SUM(F82:K82)</f>
        <v>1</v>
      </c>
      <c r="N82" s="289"/>
      <c r="O82" s="289"/>
    </row>
    <row r="83" spans="2:15" hidden="1" x14ac:dyDescent="0.25">
      <c r="B83" s="289"/>
      <c r="C83" s="289"/>
      <c r="D83" s="289"/>
      <c r="E83" s="316"/>
      <c r="F83" s="316"/>
      <c r="G83" s="316"/>
      <c r="H83" s="316"/>
      <c r="I83" s="316"/>
      <c r="J83" s="316"/>
      <c r="K83" s="316"/>
      <c r="L83" s="316"/>
      <c r="M83" s="316"/>
      <c r="N83" s="316"/>
      <c r="O83" s="316"/>
    </row>
    <row r="84" spans="2:15" hidden="1" x14ac:dyDescent="0.25">
      <c r="B84" s="289"/>
      <c r="C84" s="289"/>
      <c r="D84" s="289"/>
      <c r="E84" s="316"/>
      <c r="F84" s="374">
        <f>'Band Calculations 1718'!D15</f>
        <v>8.4033613445378148E-3</v>
      </c>
      <c r="G84" s="374">
        <f>'Band Calculations 1718'!E15</f>
        <v>0.27731092436974791</v>
      </c>
      <c r="H84" s="374">
        <f>'Band Calculations 1718'!F15</f>
        <v>0.59663865546218486</v>
      </c>
      <c r="I84" s="374">
        <f>'Band Calculations 1718'!G15</f>
        <v>2.5210084033613446E-2</v>
      </c>
      <c r="J84" s="374">
        <f>'Band Calculations 1718'!H15</f>
        <v>9.2436974789915971E-2</v>
      </c>
      <c r="K84" s="374">
        <f>'Band Calculations 1718'!I15</f>
        <v>0</v>
      </c>
      <c r="L84" s="316"/>
      <c r="M84" s="316"/>
      <c r="N84" s="289"/>
      <c r="O84" s="289"/>
    </row>
    <row r="85" spans="2:15" hidden="1" x14ac:dyDescent="0.25">
      <c r="B85" s="375" t="s">
        <v>213</v>
      </c>
      <c r="C85" s="289"/>
      <c r="D85" s="289" t="s">
        <v>790</v>
      </c>
      <c r="E85" s="376">
        <f>'Band Calculations - Rebase'!V119</f>
        <v>134.91666666666669</v>
      </c>
      <c r="F85" s="377">
        <f t="shared" ref="F85:K85" si="27">$E$85*F84</f>
        <v>1.1337535014005604</v>
      </c>
      <c r="G85" s="377">
        <f t="shared" si="27"/>
        <v>37.413865546218496</v>
      </c>
      <c r="H85" s="377">
        <f t="shared" si="27"/>
        <v>80.496498599439789</v>
      </c>
      <c r="I85" s="377">
        <f t="shared" si="27"/>
        <v>3.401260504201681</v>
      </c>
      <c r="J85" s="377">
        <f t="shared" si="27"/>
        <v>12.471288515406165</v>
      </c>
      <c r="K85" s="377">
        <f t="shared" si="27"/>
        <v>0</v>
      </c>
      <c r="L85" s="316"/>
      <c r="M85" s="316"/>
      <c r="N85" s="289"/>
      <c r="O85" s="289"/>
    </row>
    <row r="86" spans="2:15" hidden="1" x14ac:dyDescent="0.25">
      <c r="B86" s="289"/>
      <c r="C86" s="289"/>
      <c r="D86" s="289" t="s">
        <v>791</v>
      </c>
      <c r="E86" s="376">
        <f>E85</f>
        <v>134.91666666666669</v>
      </c>
      <c r="F86" s="377">
        <f>F85</f>
        <v>1.1337535014005604</v>
      </c>
      <c r="G86" s="377">
        <f>G85</f>
        <v>37.413865546218496</v>
      </c>
      <c r="H86" s="377">
        <f>H85</f>
        <v>80.496498599439789</v>
      </c>
      <c r="I86" s="377">
        <f>I85-K86</f>
        <v>2.401260504201681</v>
      </c>
      <c r="J86" s="377">
        <f>J85</f>
        <v>12.471288515406165</v>
      </c>
      <c r="K86" s="376">
        <f>N39</f>
        <v>1</v>
      </c>
      <c r="L86" s="316"/>
      <c r="M86" s="316"/>
      <c r="N86" s="289"/>
      <c r="O86" s="289"/>
    </row>
    <row r="87" spans="2:15" hidden="1" x14ac:dyDescent="0.25">
      <c r="B87" s="289"/>
      <c r="C87" s="289"/>
      <c r="D87" s="289"/>
      <c r="E87" s="316"/>
      <c r="F87" s="379">
        <f t="shared" ref="F87:K87" si="28">F86/$E$86</f>
        <v>8.4033613445378148E-3</v>
      </c>
      <c r="G87" s="379">
        <f t="shared" si="28"/>
        <v>0.27731092436974791</v>
      </c>
      <c r="H87" s="379">
        <f t="shared" si="28"/>
        <v>0.59663865546218486</v>
      </c>
      <c r="I87" s="379">
        <f t="shared" si="28"/>
        <v>1.7798101328239758E-2</v>
      </c>
      <c r="J87" s="379">
        <f t="shared" si="28"/>
        <v>9.2436974789915971E-2</v>
      </c>
      <c r="K87" s="379">
        <f t="shared" si="28"/>
        <v>7.4119827053736867E-3</v>
      </c>
      <c r="L87" s="316"/>
      <c r="M87" s="379">
        <f>SUM(F87:K87)</f>
        <v>1</v>
      </c>
      <c r="N87" s="289"/>
      <c r="O87" s="289"/>
    </row>
    <row r="88" spans="2:15" hidden="1" x14ac:dyDescent="0.25">
      <c r="B88" s="289"/>
      <c r="C88" s="289"/>
      <c r="D88" s="289"/>
      <c r="E88" s="316"/>
      <c r="F88" s="316"/>
      <c r="G88" s="316"/>
      <c r="H88" s="316"/>
      <c r="I88" s="316"/>
      <c r="J88" s="316"/>
      <c r="K88" s="316"/>
      <c r="L88" s="316"/>
      <c r="M88" s="316"/>
      <c r="N88" s="316"/>
      <c r="O88" s="316"/>
    </row>
    <row r="89" spans="2:15" hidden="1" x14ac:dyDescent="0.25">
      <c r="B89" s="289"/>
      <c r="C89" s="289"/>
      <c r="D89" s="289"/>
      <c r="E89" s="316"/>
      <c r="F89" s="374">
        <f>'Band Calculations 1718'!D20</f>
        <v>0.23943661971830985</v>
      </c>
      <c r="G89" s="374">
        <f>'Band Calculations 1718'!E20</f>
        <v>0.3380281690140845</v>
      </c>
      <c r="H89" s="374">
        <f>'Band Calculations 1718'!F20</f>
        <v>0</v>
      </c>
      <c r="I89" s="374">
        <f>'Band Calculations 1718'!G20</f>
        <v>0.18309859154929578</v>
      </c>
      <c r="J89" s="374">
        <f>'Band Calculations 1718'!H20</f>
        <v>0.23943661971830985</v>
      </c>
      <c r="K89" s="374">
        <f>'Band Calculations 1718'!I20</f>
        <v>0</v>
      </c>
      <c r="L89" s="316"/>
      <c r="M89" s="316"/>
      <c r="N89" s="289"/>
      <c r="O89" s="289"/>
    </row>
    <row r="90" spans="2:15" hidden="1" x14ac:dyDescent="0.25">
      <c r="B90" s="375" t="s">
        <v>215</v>
      </c>
      <c r="C90" s="289"/>
      <c r="D90" s="289" t="s">
        <v>790</v>
      </c>
      <c r="E90" s="376">
        <f>'Band Calculations - Rebase'!V124</f>
        <v>75</v>
      </c>
      <c r="F90" s="377">
        <f t="shared" ref="F90:K90" si="29">$E$90*F89</f>
        <v>17.95774647887324</v>
      </c>
      <c r="G90" s="377">
        <f t="shared" si="29"/>
        <v>25.352112676056336</v>
      </c>
      <c r="H90" s="377">
        <f t="shared" si="29"/>
        <v>0</v>
      </c>
      <c r="I90" s="377">
        <f t="shared" si="29"/>
        <v>13.732394366197184</v>
      </c>
      <c r="J90" s="377">
        <f t="shared" si="29"/>
        <v>17.95774647887324</v>
      </c>
      <c r="K90" s="377">
        <f t="shared" si="29"/>
        <v>0</v>
      </c>
      <c r="L90" s="316"/>
      <c r="M90" s="316"/>
      <c r="N90" s="289"/>
      <c r="O90" s="289"/>
    </row>
    <row r="91" spans="2:15" hidden="1" x14ac:dyDescent="0.25">
      <c r="B91" s="289"/>
      <c r="C91" s="289"/>
      <c r="D91" s="289" t="s">
        <v>791</v>
      </c>
      <c r="E91" s="376">
        <f>E90</f>
        <v>75</v>
      </c>
      <c r="F91" s="377">
        <f>F90-(K91-I90)</f>
        <v>16.690140845070424</v>
      </c>
      <c r="G91" s="377">
        <f>G90</f>
        <v>25.352112676056336</v>
      </c>
      <c r="H91" s="377">
        <f>H90</f>
        <v>0</v>
      </c>
      <c r="I91" s="377">
        <v>0</v>
      </c>
      <c r="J91" s="377">
        <f>J90</f>
        <v>17.95774647887324</v>
      </c>
      <c r="K91" s="376">
        <f>N44</f>
        <v>15</v>
      </c>
      <c r="L91" s="316"/>
      <c r="M91" s="316"/>
      <c r="N91" s="289"/>
      <c r="O91" s="289"/>
    </row>
    <row r="92" spans="2:15" hidden="1" x14ac:dyDescent="0.25">
      <c r="B92" s="289"/>
      <c r="C92" s="289"/>
      <c r="D92" s="289"/>
      <c r="E92" s="316"/>
      <c r="F92" s="379">
        <f t="shared" ref="F92:K92" si="30">F91/$E$91</f>
        <v>0.22253521126760564</v>
      </c>
      <c r="G92" s="379">
        <f t="shared" si="30"/>
        <v>0.3380281690140845</v>
      </c>
      <c r="H92" s="379">
        <f t="shared" si="30"/>
        <v>0</v>
      </c>
      <c r="I92" s="379">
        <f t="shared" si="30"/>
        <v>0</v>
      </c>
      <c r="J92" s="379">
        <f t="shared" si="30"/>
        <v>0.23943661971830987</v>
      </c>
      <c r="K92" s="379">
        <f t="shared" si="30"/>
        <v>0.2</v>
      </c>
      <c r="L92" s="316"/>
      <c r="M92" s="379">
        <f>SUM(F92:K92)</f>
        <v>1</v>
      </c>
      <c r="N92" s="289"/>
      <c r="O92" s="289"/>
    </row>
    <row r="93" spans="2:15" hidden="1" x14ac:dyDescent="0.25">
      <c r="B93" s="289"/>
      <c r="C93" s="289"/>
      <c r="D93" s="289"/>
      <c r="E93" s="316"/>
      <c r="F93" s="316"/>
      <c r="G93" s="316"/>
      <c r="H93" s="316"/>
      <c r="I93" s="316"/>
      <c r="J93" s="316"/>
      <c r="K93" s="316"/>
      <c r="L93" s="316"/>
      <c r="M93" s="316"/>
      <c r="N93" s="316"/>
      <c r="O93" s="316"/>
    </row>
    <row r="94" spans="2:15" hidden="1" x14ac:dyDescent="0.25">
      <c r="B94" s="289"/>
      <c r="C94" s="289"/>
      <c r="D94" s="289"/>
      <c r="E94" s="316"/>
      <c r="F94" s="374">
        <f>'Band Calculations 1718'!D21</f>
        <v>0</v>
      </c>
      <c r="G94" s="374">
        <f>'Band Calculations 1718'!E21</f>
        <v>9.8591549295774641E-2</v>
      </c>
      <c r="H94" s="374">
        <f>'Band Calculations 1718'!F21</f>
        <v>0.71830985915492962</v>
      </c>
      <c r="I94" s="374">
        <f>'Band Calculations 1718'!G21</f>
        <v>4.2253521126760563E-2</v>
      </c>
      <c r="J94" s="374">
        <f>'Band Calculations 1718'!H21</f>
        <v>0.14084507042253522</v>
      </c>
      <c r="K94" s="374">
        <f>'Band Calculations 1718'!I21</f>
        <v>0</v>
      </c>
      <c r="L94" s="316"/>
      <c r="M94" s="316"/>
      <c r="N94" s="289"/>
      <c r="O94" s="289"/>
    </row>
    <row r="95" spans="2:15" hidden="1" x14ac:dyDescent="0.25">
      <c r="B95" s="375" t="s">
        <v>216</v>
      </c>
      <c r="C95" s="289"/>
      <c r="D95" s="289" t="s">
        <v>790</v>
      </c>
      <c r="E95" s="376">
        <f>'Band Calculations - Rebase'!V125</f>
        <v>155.91666666666669</v>
      </c>
      <c r="F95" s="377">
        <f t="shared" ref="F95:K95" si="31">$E$95*F94</f>
        <v>0</v>
      </c>
      <c r="G95" s="377">
        <f t="shared" si="31"/>
        <v>15.372065727699532</v>
      </c>
      <c r="H95" s="377">
        <f t="shared" si="31"/>
        <v>111.99647887323945</v>
      </c>
      <c r="I95" s="377">
        <f t="shared" si="31"/>
        <v>6.5880281690140849</v>
      </c>
      <c r="J95" s="377">
        <f t="shared" si="31"/>
        <v>21.960093896713619</v>
      </c>
      <c r="K95" s="377">
        <f t="shared" si="31"/>
        <v>0</v>
      </c>
      <c r="L95" s="316"/>
      <c r="M95" s="316"/>
      <c r="N95" s="289"/>
      <c r="O95" s="289"/>
    </row>
    <row r="96" spans="2:15" hidden="1" x14ac:dyDescent="0.25">
      <c r="B96" s="378"/>
      <c r="C96" s="289"/>
      <c r="D96" s="289" t="s">
        <v>791</v>
      </c>
      <c r="E96" s="376">
        <f>E95</f>
        <v>155.91666666666669</v>
      </c>
      <c r="F96" s="377">
        <f>F95</f>
        <v>0</v>
      </c>
      <c r="G96" s="377">
        <f>G95</f>
        <v>15.372065727699532</v>
      </c>
      <c r="H96" s="377">
        <f>H95</f>
        <v>111.99647887323945</v>
      </c>
      <c r="I96" s="377">
        <f>I95-K96</f>
        <v>4.5880281690140849</v>
      </c>
      <c r="J96" s="377">
        <f>J95</f>
        <v>21.960093896713619</v>
      </c>
      <c r="K96" s="376">
        <f>N45</f>
        <v>2</v>
      </c>
      <c r="L96" s="316"/>
      <c r="M96" s="316"/>
      <c r="N96" s="289"/>
      <c r="O96" s="289"/>
    </row>
    <row r="97" spans="2:13" s="6" customFormat="1" hidden="1" x14ac:dyDescent="0.25">
      <c r="B97" s="289"/>
      <c r="C97" s="289"/>
      <c r="D97" s="289"/>
      <c r="E97" s="316"/>
      <c r="F97" s="379">
        <f t="shared" ref="F97:K97" si="32">F96/$E$96</f>
        <v>0</v>
      </c>
      <c r="G97" s="379">
        <f t="shared" si="32"/>
        <v>9.8591549295774641E-2</v>
      </c>
      <c r="H97" s="379">
        <f t="shared" si="32"/>
        <v>0.71830985915492962</v>
      </c>
      <c r="I97" s="379">
        <f t="shared" si="32"/>
        <v>2.9426156081330312E-2</v>
      </c>
      <c r="J97" s="379">
        <f t="shared" si="32"/>
        <v>0.14084507042253522</v>
      </c>
      <c r="K97" s="379">
        <f t="shared" si="32"/>
        <v>1.282736504543025E-2</v>
      </c>
      <c r="L97" s="316"/>
      <c r="M97" s="379">
        <f>SUM(F97:K97)</f>
        <v>1</v>
      </c>
    </row>
    <row r="98" spans="2:13" s="6" customFormat="1" hidden="1" x14ac:dyDescent="0.25">
      <c r="B98" s="289"/>
      <c r="C98" s="289"/>
      <c r="D98" s="289"/>
      <c r="E98" s="316"/>
      <c r="F98" s="316"/>
      <c r="G98" s="316"/>
      <c r="H98" s="316"/>
      <c r="I98" s="316"/>
      <c r="J98" s="316"/>
      <c r="K98" s="316"/>
      <c r="L98" s="316"/>
      <c r="M98" s="316"/>
    </row>
    <row r="99" spans="2:13" s="6" customFormat="1" hidden="1" x14ac:dyDescent="0.25">
      <c r="B99" s="289"/>
      <c r="C99" s="289"/>
      <c r="D99" s="289"/>
      <c r="E99" s="316"/>
      <c r="F99" s="374">
        <f>'Band Calculations 1718'!D22</f>
        <v>6.0483870967741937E-2</v>
      </c>
      <c r="G99" s="374">
        <f>'Band Calculations 1718'!E22</f>
        <v>0.22177419354838709</v>
      </c>
      <c r="H99" s="374">
        <f>'Band Calculations 1718'!F22</f>
        <v>0.65322580645161288</v>
      </c>
      <c r="I99" s="374">
        <f>'Band Calculations 1718'!G22</f>
        <v>0</v>
      </c>
      <c r="J99" s="374">
        <f>'Band Calculations 1718'!H22</f>
        <v>6.4516129032258063E-2</v>
      </c>
      <c r="K99" s="374">
        <f>'Band Calculations 1718'!I22</f>
        <v>0</v>
      </c>
      <c r="L99" s="316"/>
      <c r="M99" s="316"/>
    </row>
    <row r="100" spans="2:13" s="6" customFormat="1" hidden="1" x14ac:dyDescent="0.25">
      <c r="B100" s="375" t="s">
        <v>217</v>
      </c>
      <c r="C100" s="289"/>
      <c r="D100" s="289" t="s">
        <v>790</v>
      </c>
      <c r="E100" s="376">
        <f>'Band Calculations - Rebase'!V126</f>
        <v>270.50000000000006</v>
      </c>
      <c r="F100" s="377">
        <f t="shared" ref="F100:K100" si="33">$E$100*F99</f>
        <v>16.360887096774196</v>
      </c>
      <c r="G100" s="377">
        <f t="shared" si="33"/>
        <v>59.989919354838719</v>
      </c>
      <c r="H100" s="377">
        <f t="shared" si="33"/>
        <v>176.69758064516131</v>
      </c>
      <c r="I100" s="377">
        <f t="shared" si="33"/>
        <v>0</v>
      </c>
      <c r="J100" s="377">
        <f t="shared" si="33"/>
        <v>17.451612903225811</v>
      </c>
      <c r="K100" s="377">
        <f t="shared" si="33"/>
        <v>0</v>
      </c>
      <c r="L100" s="316"/>
      <c r="M100" s="316"/>
    </row>
    <row r="101" spans="2:13" s="6" customFormat="1" hidden="1" x14ac:dyDescent="0.25">
      <c r="B101" s="289"/>
      <c r="C101" s="289"/>
      <c r="D101" s="289" t="s">
        <v>791</v>
      </c>
      <c r="E101" s="376">
        <f>E100</f>
        <v>270.50000000000006</v>
      </c>
      <c r="F101" s="377">
        <f>F100-(K101-I100)</f>
        <v>11.360887096774196</v>
      </c>
      <c r="G101" s="377">
        <f>G100</f>
        <v>59.989919354838719</v>
      </c>
      <c r="H101" s="377">
        <f>H100</f>
        <v>176.69758064516131</v>
      </c>
      <c r="I101" s="377">
        <f>I100-(N101-L100)</f>
        <v>0</v>
      </c>
      <c r="J101" s="377">
        <f>J100</f>
        <v>17.451612903225811</v>
      </c>
      <c r="K101" s="376">
        <f>N46</f>
        <v>5</v>
      </c>
      <c r="L101" s="316"/>
      <c r="M101" s="316"/>
    </row>
    <row r="102" spans="2:13" s="6" customFormat="1" hidden="1" x14ac:dyDescent="0.25">
      <c r="B102" s="289"/>
      <c r="C102" s="289"/>
      <c r="D102" s="289"/>
      <c r="E102" s="316"/>
      <c r="F102" s="379">
        <f t="shared" ref="F102:K102" si="34">F101/$E$101</f>
        <v>4.1999582612843596E-2</v>
      </c>
      <c r="G102" s="379">
        <f t="shared" si="34"/>
        <v>0.22177419354838709</v>
      </c>
      <c r="H102" s="379">
        <f t="shared" si="34"/>
        <v>0.65322580645161288</v>
      </c>
      <c r="I102" s="379">
        <f t="shared" si="34"/>
        <v>0</v>
      </c>
      <c r="J102" s="379">
        <f t="shared" si="34"/>
        <v>6.4516129032258063E-2</v>
      </c>
      <c r="K102" s="379">
        <f t="shared" si="34"/>
        <v>1.8484288354898331E-2</v>
      </c>
      <c r="L102" s="316"/>
      <c r="M102" s="379">
        <f>SUM(F102:K102)</f>
        <v>1</v>
      </c>
    </row>
    <row r="103" spans="2:13" s="6" customFormat="1" hidden="1" x14ac:dyDescent="0.25">
      <c r="B103" s="289"/>
      <c r="C103" s="289"/>
      <c r="D103" s="289"/>
      <c r="E103" s="316"/>
      <c r="F103" s="316"/>
      <c r="G103" s="316"/>
      <c r="H103" s="316"/>
      <c r="I103" s="316"/>
      <c r="J103" s="316"/>
      <c r="K103" s="316"/>
      <c r="L103" s="316"/>
      <c r="M103" s="316"/>
    </row>
    <row r="104" spans="2:13" s="6" customFormat="1" hidden="1" x14ac:dyDescent="0.25">
      <c r="B104" s="289"/>
      <c r="C104" s="289"/>
      <c r="D104" s="289"/>
      <c r="E104" s="316"/>
      <c r="F104" s="374">
        <f>'Band Calculations 1718'!D23</f>
        <v>0.50370370370370365</v>
      </c>
      <c r="G104" s="374">
        <f>'Band Calculations 1718'!E23</f>
        <v>0</v>
      </c>
      <c r="H104" s="374">
        <f>'Band Calculations 1718'!F23</f>
        <v>0.28888888888888886</v>
      </c>
      <c r="I104" s="374">
        <f>'Band Calculations 1718'!G23</f>
        <v>0.2074074074074074</v>
      </c>
      <c r="J104" s="374">
        <f>'Band Calculations 1718'!H23</f>
        <v>0</v>
      </c>
      <c r="K104" s="374">
        <f>'Band Calculations 1718'!I23</f>
        <v>0</v>
      </c>
      <c r="L104" s="316"/>
      <c r="M104" s="316"/>
    </row>
    <row r="105" spans="2:13" s="6" customFormat="1" hidden="1" x14ac:dyDescent="0.25">
      <c r="B105" s="375" t="s">
        <v>219</v>
      </c>
      <c r="C105" s="289"/>
      <c r="D105" s="289" t="s">
        <v>790</v>
      </c>
      <c r="E105" s="376">
        <f>'Band Calculations - Rebase'!V127</f>
        <v>148.33333333333334</v>
      </c>
      <c r="F105" s="377">
        <f t="shared" ref="F105:K105" si="35">$E$105*F104</f>
        <v>74.716049382716051</v>
      </c>
      <c r="G105" s="377">
        <f t="shared" si="35"/>
        <v>0</v>
      </c>
      <c r="H105" s="377">
        <f t="shared" si="35"/>
        <v>42.851851851851848</v>
      </c>
      <c r="I105" s="377">
        <f t="shared" si="35"/>
        <v>30.765432098765434</v>
      </c>
      <c r="J105" s="377">
        <f t="shared" si="35"/>
        <v>0</v>
      </c>
      <c r="K105" s="377">
        <f t="shared" si="35"/>
        <v>0</v>
      </c>
      <c r="L105" s="316"/>
      <c r="M105" s="316"/>
    </row>
    <row r="106" spans="2:13" s="6" customFormat="1" hidden="1" x14ac:dyDescent="0.25">
      <c r="B106" s="289"/>
      <c r="C106" s="289"/>
      <c r="D106" s="289" t="s">
        <v>791</v>
      </c>
      <c r="E106" s="376">
        <f>E105</f>
        <v>148.33333333333334</v>
      </c>
      <c r="F106" s="377">
        <f>F105-(K106-I105)</f>
        <v>67.481481481481481</v>
      </c>
      <c r="G106" s="377">
        <f>G105</f>
        <v>0</v>
      </c>
      <c r="H106" s="377">
        <f>H105</f>
        <v>42.851851851851848</v>
      </c>
      <c r="I106" s="377">
        <v>0</v>
      </c>
      <c r="J106" s="377">
        <f>J105</f>
        <v>0</v>
      </c>
      <c r="K106" s="376">
        <f>N47</f>
        <v>38</v>
      </c>
      <c r="L106" s="316"/>
      <c r="M106" s="316"/>
    </row>
    <row r="107" spans="2:13" s="6" customFormat="1" hidden="1" x14ac:dyDescent="0.25">
      <c r="B107" s="289"/>
      <c r="C107" s="289"/>
      <c r="D107" s="289"/>
      <c r="E107" s="316"/>
      <c r="F107" s="379">
        <f t="shared" ref="F107:K107" si="36">F106/$E$106</f>
        <v>0.45493133583021222</v>
      </c>
      <c r="G107" s="379">
        <f t="shared" si="36"/>
        <v>0</v>
      </c>
      <c r="H107" s="379">
        <f t="shared" si="36"/>
        <v>0.28888888888888886</v>
      </c>
      <c r="I107" s="379">
        <f t="shared" si="36"/>
        <v>0</v>
      </c>
      <c r="J107" s="379">
        <f t="shared" si="36"/>
        <v>0</v>
      </c>
      <c r="K107" s="379">
        <f t="shared" si="36"/>
        <v>0.25617977528089886</v>
      </c>
      <c r="L107" s="316"/>
      <c r="M107" s="379">
        <f>SUM(F107:K107)</f>
        <v>0.99999999999999989</v>
      </c>
    </row>
    <row r="108" spans="2:13" s="6" customFormat="1" hidden="1" x14ac:dyDescent="0.25">
      <c r="B108" s="289"/>
      <c r="C108" s="289"/>
      <c r="D108" s="289"/>
      <c r="E108" s="316"/>
      <c r="F108" s="379"/>
      <c r="G108" s="379"/>
      <c r="H108" s="379"/>
      <c r="I108" s="379"/>
      <c r="J108" s="379"/>
      <c r="K108" s="379"/>
      <c r="L108" s="316"/>
      <c r="M108" s="379"/>
    </row>
    <row r="109" spans="2:13" s="6" customFormat="1" hidden="1" x14ac:dyDescent="0.25">
      <c r="B109" s="289"/>
      <c r="C109" s="289"/>
      <c r="D109" s="289"/>
      <c r="E109" s="316"/>
      <c r="F109" s="374">
        <f>'Band Calculations 1718'!D14</f>
        <v>7.0866141732283464E-2</v>
      </c>
      <c r="G109" s="374">
        <f>'Band Calculations 1718'!E14</f>
        <v>0.16535433070866143</v>
      </c>
      <c r="H109" s="374">
        <f>'Band Calculations 1718'!F14</f>
        <v>0.51968503937007871</v>
      </c>
      <c r="I109" s="374">
        <f>'Band Calculations 1718'!G14</f>
        <v>3.937007874015748E-2</v>
      </c>
      <c r="J109" s="374">
        <f>'Band Calculations 1718'!H14</f>
        <v>0.20472440944881889</v>
      </c>
      <c r="K109" s="374">
        <f>'Band Calculations 1718'!I14</f>
        <v>0</v>
      </c>
      <c r="L109" s="316"/>
      <c r="M109" s="316"/>
    </row>
    <row r="110" spans="2:13" s="6" customFormat="1" hidden="1" x14ac:dyDescent="0.25">
      <c r="B110" s="375" t="s">
        <v>221</v>
      </c>
      <c r="C110" s="289"/>
      <c r="D110" s="289" t="s">
        <v>790</v>
      </c>
      <c r="E110" s="376">
        <f>'[15]Band Calculations - Rebase'!V118</f>
        <v>118.91666666666667</v>
      </c>
      <c r="F110" s="377">
        <f t="shared" ref="F110:K110" si="37">$E$110*F109</f>
        <v>8.4271653543307092</v>
      </c>
      <c r="G110" s="377">
        <f t="shared" si="37"/>
        <v>19.663385826771655</v>
      </c>
      <c r="H110" s="377">
        <f t="shared" si="37"/>
        <v>61.799212598425193</v>
      </c>
      <c r="I110" s="377">
        <f t="shared" si="37"/>
        <v>4.6817585301837275</v>
      </c>
      <c r="J110" s="377">
        <f t="shared" si="37"/>
        <v>24.34514435695538</v>
      </c>
      <c r="K110" s="377">
        <f t="shared" si="37"/>
        <v>0</v>
      </c>
      <c r="L110" s="316"/>
      <c r="M110" s="316"/>
    </row>
    <row r="111" spans="2:13" s="6" customFormat="1" hidden="1" x14ac:dyDescent="0.25">
      <c r="B111" s="378"/>
      <c r="C111" s="289"/>
      <c r="D111" s="289" t="s">
        <v>791</v>
      </c>
      <c r="E111" s="376">
        <f>E110</f>
        <v>118.91666666666667</v>
      </c>
      <c r="F111" s="377">
        <f>F110</f>
        <v>8.4271653543307092</v>
      </c>
      <c r="G111" s="377">
        <f>G110</f>
        <v>19.663385826771655</v>
      </c>
      <c r="H111" s="377">
        <f>H110</f>
        <v>61.799212598425193</v>
      </c>
      <c r="I111" s="377">
        <f>I110-K111</f>
        <v>1.6817585301837275</v>
      </c>
      <c r="J111" s="377">
        <f>J110</f>
        <v>24.34514435695538</v>
      </c>
      <c r="K111" s="376">
        <f>N38</f>
        <v>3</v>
      </c>
      <c r="L111" s="316"/>
      <c r="M111" s="316"/>
    </row>
    <row r="112" spans="2:13" s="6" customFormat="1" hidden="1" x14ac:dyDescent="0.25">
      <c r="B112" s="289"/>
      <c r="C112" s="289"/>
      <c r="D112" s="289"/>
      <c r="E112" s="316"/>
      <c r="F112" s="379">
        <f t="shared" ref="F112:K112" si="38">F111/$E$111</f>
        <v>7.0866141732283464E-2</v>
      </c>
      <c r="G112" s="379">
        <f t="shared" si="38"/>
        <v>0.16535433070866143</v>
      </c>
      <c r="H112" s="379">
        <f t="shared" si="38"/>
        <v>0.51968503937007871</v>
      </c>
      <c r="I112" s="379">
        <f t="shared" si="38"/>
        <v>1.4142328214579346E-2</v>
      </c>
      <c r="J112" s="379">
        <f t="shared" si="38"/>
        <v>0.20472440944881889</v>
      </c>
      <c r="K112" s="379">
        <f t="shared" si="38"/>
        <v>2.5227750525578133E-2</v>
      </c>
      <c r="L112" s="316"/>
      <c r="M112" s="379">
        <f>SUM(F112:K112)</f>
        <v>1</v>
      </c>
    </row>
    <row r="114" spans="1:20" x14ac:dyDescent="0.25">
      <c r="A114" s="289"/>
      <c r="B114" s="354">
        <v>43191</v>
      </c>
      <c r="C114" s="355"/>
      <c r="D114" s="355"/>
      <c r="E114" s="355"/>
      <c r="F114" s="356"/>
      <c r="G114" s="356"/>
      <c r="H114" s="356"/>
      <c r="I114" s="356"/>
      <c r="J114" s="356"/>
      <c r="K114" s="356"/>
      <c r="L114" s="356"/>
      <c r="M114" s="356"/>
      <c r="N114" s="356"/>
      <c r="O114" s="356"/>
      <c r="P114" s="356"/>
      <c r="Q114" s="356"/>
      <c r="R114" s="356"/>
      <c r="S114" s="289"/>
      <c r="T114" s="289"/>
    </row>
    <row r="115" spans="1:20" x14ac:dyDescent="0.25">
      <c r="A115" s="289"/>
      <c r="B115" s="356"/>
      <c r="C115" s="356"/>
      <c r="D115" s="356"/>
      <c r="E115" s="356"/>
      <c r="F115" s="356"/>
      <c r="G115" s="356"/>
      <c r="H115" s="356">
        <v>8</v>
      </c>
      <c r="I115" s="356">
        <v>9</v>
      </c>
      <c r="J115" s="356">
        <v>10</v>
      </c>
      <c r="K115" s="356">
        <v>11</v>
      </c>
      <c r="L115" s="356">
        <v>12</v>
      </c>
      <c r="M115" s="356">
        <v>13</v>
      </c>
      <c r="N115" s="356">
        <v>14</v>
      </c>
      <c r="O115" s="356">
        <v>15</v>
      </c>
      <c r="P115" s="356">
        <v>16</v>
      </c>
      <c r="Q115" s="356">
        <v>17</v>
      </c>
      <c r="R115" s="356">
        <v>18</v>
      </c>
      <c r="S115" s="289"/>
      <c r="T115" s="289"/>
    </row>
    <row r="116" spans="1:20" ht="21" x14ac:dyDescent="0.25">
      <c r="A116" s="289"/>
      <c r="B116" s="357" t="s">
        <v>183</v>
      </c>
      <c r="C116" s="358" t="s">
        <v>184</v>
      </c>
      <c r="D116" s="359" t="s">
        <v>792</v>
      </c>
      <c r="E116" s="360" t="s">
        <v>528</v>
      </c>
      <c r="F116" s="361" t="s">
        <v>529</v>
      </c>
      <c r="G116" s="360" t="s">
        <v>530</v>
      </c>
      <c r="H116" s="361" t="s">
        <v>241</v>
      </c>
      <c r="I116" s="360" t="s">
        <v>531</v>
      </c>
      <c r="J116" s="361" t="s">
        <v>532</v>
      </c>
      <c r="K116" s="360" t="s">
        <v>533</v>
      </c>
      <c r="L116" s="361" t="s">
        <v>534</v>
      </c>
      <c r="M116" s="362" t="s">
        <v>535</v>
      </c>
      <c r="N116" s="363" t="s">
        <v>536</v>
      </c>
      <c r="O116" s="360" t="s">
        <v>793</v>
      </c>
      <c r="P116" s="361" t="s">
        <v>794</v>
      </c>
      <c r="Q116" s="362" t="s">
        <v>668</v>
      </c>
      <c r="R116" s="363" t="s">
        <v>795</v>
      </c>
      <c r="S116" s="289"/>
      <c r="T116" s="289"/>
    </row>
    <row r="117" spans="1:20" x14ac:dyDescent="0.25">
      <c r="A117" s="244">
        <v>9257010</v>
      </c>
      <c r="B117" s="364" t="s">
        <v>205</v>
      </c>
      <c r="C117" s="365">
        <v>3</v>
      </c>
      <c r="D117" s="366">
        <f t="shared" ref="D117:D125" si="39">E117+G117+I117+K117+M117+O117+Q117</f>
        <v>52</v>
      </c>
      <c r="E117" s="367">
        <v>6</v>
      </c>
      <c r="F117" s="368">
        <f>E117/D117</f>
        <v>0.11538461538461539</v>
      </c>
      <c r="G117" s="369">
        <v>15</v>
      </c>
      <c r="H117" s="368">
        <f>G117/D117</f>
        <v>0.28846153846153844</v>
      </c>
      <c r="I117" s="369">
        <v>3</v>
      </c>
      <c r="J117" s="368">
        <f>I117/D117</f>
        <v>5.7692307692307696E-2</v>
      </c>
      <c r="K117" s="369">
        <v>2</v>
      </c>
      <c r="L117" s="368">
        <f>K117/D117</f>
        <v>3.8461538461538464E-2</v>
      </c>
      <c r="M117" s="370">
        <v>5</v>
      </c>
      <c r="N117" s="371">
        <f>M117/D117</f>
        <v>9.6153846153846159E-2</v>
      </c>
      <c r="O117" s="369">
        <v>13</v>
      </c>
      <c r="P117" s="368">
        <f>O117/D117</f>
        <v>0.25</v>
      </c>
      <c r="Q117" s="370">
        <v>8</v>
      </c>
      <c r="R117" s="371">
        <f>Q117/D117</f>
        <v>0.15384615384615385</v>
      </c>
      <c r="S117" s="289"/>
      <c r="T117" s="1254"/>
    </row>
    <row r="118" spans="1:20" x14ac:dyDescent="0.25">
      <c r="A118" s="244">
        <v>9257005</v>
      </c>
      <c r="B118" s="364" t="s">
        <v>208</v>
      </c>
      <c r="C118" s="365">
        <v>3</v>
      </c>
      <c r="D118" s="366">
        <f t="shared" si="39"/>
        <v>75</v>
      </c>
      <c r="E118" s="367">
        <v>10</v>
      </c>
      <c r="F118" s="368">
        <f t="shared" ref="F118:F134" si="40">E118/D118</f>
        <v>0.13333333333333333</v>
      </c>
      <c r="G118" s="369">
        <v>17</v>
      </c>
      <c r="H118" s="368">
        <f t="shared" ref="H118:H134" si="41">G118/D118</f>
        <v>0.22666666666666666</v>
      </c>
      <c r="I118" s="369">
        <v>7</v>
      </c>
      <c r="J118" s="368">
        <f t="shared" ref="J118:J134" si="42">I118/D118</f>
        <v>9.3333333333333338E-2</v>
      </c>
      <c r="K118" s="369">
        <v>7</v>
      </c>
      <c r="L118" s="368">
        <f t="shared" ref="L118:L134" si="43">K118/D118</f>
        <v>9.3333333333333338E-2</v>
      </c>
      <c r="M118" s="370">
        <v>12</v>
      </c>
      <c r="N118" s="371">
        <f t="shared" ref="N118:N134" si="44">M118/D118</f>
        <v>0.16</v>
      </c>
      <c r="O118" s="369">
        <v>15</v>
      </c>
      <c r="P118" s="368">
        <f t="shared" ref="P118:P134" si="45">O118/D118</f>
        <v>0.2</v>
      </c>
      <c r="Q118" s="370">
        <v>7</v>
      </c>
      <c r="R118" s="371">
        <f t="shared" ref="R118:R134" si="46">Q118/D118</f>
        <v>9.3333333333333338E-2</v>
      </c>
      <c r="S118" s="289"/>
      <c r="T118" s="1254"/>
    </row>
    <row r="119" spans="1:20" x14ac:dyDescent="0.25">
      <c r="A119" s="244">
        <v>9257025</v>
      </c>
      <c r="B119" s="364" t="s">
        <v>209</v>
      </c>
      <c r="C119" s="365">
        <v>3</v>
      </c>
      <c r="D119" s="366">
        <f t="shared" si="39"/>
        <v>67</v>
      </c>
      <c r="E119" s="367">
        <v>3</v>
      </c>
      <c r="F119" s="368">
        <f t="shared" si="40"/>
        <v>4.4776119402985072E-2</v>
      </c>
      <c r="G119" s="369">
        <v>18</v>
      </c>
      <c r="H119" s="368">
        <f t="shared" si="41"/>
        <v>0.26865671641791045</v>
      </c>
      <c r="I119" s="369">
        <v>12</v>
      </c>
      <c r="J119" s="368">
        <f t="shared" si="42"/>
        <v>0.17910447761194029</v>
      </c>
      <c r="K119" s="369">
        <v>10</v>
      </c>
      <c r="L119" s="368">
        <f t="shared" si="43"/>
        <v>0.14925373134328357</v>
      </c>
      <c r="M119" s="370">
        <v>10</v>
      </c>
      <c r="N119" s="371">
        <f t="shared" si="44"/>
        <v>0.14925373134328357</v>
      </c>
      <c r="O119" s="369">
        <v>8</v>
      </c>
      <c r="P119" s="368">
        <f t="shared" si="45"/>
        <v>0.11940298507462686</v>
      </c>
      <c r="Q119" s="370">
        <v>6</v>
      </c>
      <c r="R119" s="371">
        <f t="shared" si="46"/>
        <v>8.9552238805970144E-2</v>
      </c>
      <c r="S119" s="289"/>
      <c r="T119" s="1254"/>
    </row>
    <row r="120" spans="1:20" x14ac:dyDescent="0.25">
      <c r="A120" s="244">
        <v>9257011</v>
      </c>
      <c r="B120" s="364" t="s">
        <v>210</v>
      </c>
      <c r="C120" s="365">
        <v>3</v>
      </c>
      <c r="D120" s="366">
        <f t="shared" si="39"/>
        <v>54</v>
      </c>
      <c r="E120" s="367">
        <v>7</v>
      </c>
      <c r="F120" s="368">
        <f t="shared" si="40"/>
        <v>0.12962962962962962</v>
      </c>
      <c r="G120" s="369">
        <v>17</v>
      </c>
      <c r="H120" s="368">
        <f t="shared" si="41"/>
        <v>0.31481481481481483</v>
      </c>
      <c r="I120" s="369">
        <v>6</v>
      </c>
      <c r="J120" s="368">
        <f t="shared" si="42"/>
        <v>0.1111111111111111</v>
      </c>
      <c r="K120" s="369">
        <v>8</v>
      </c>
      <c r="L120" s="368">
        <f t="shared" si="43"/>
        <v>0.14814814814814814</v>
      </c>
      <c r="M120" s="370">
        <v>3</v>
      </c>
      <c r="N120" s="371">
        <f t="shared" si="44"/>
        <v>5.5555555555555552E-2</v>
      </c>
      <c r="O120" s="369">
        <v>7</v>
      </c>
      <c r="P120" s="368">
        <f t="shared" si="45"/>
        <v>0.12962962962962962</v>
      </c>
      <c r="Q120" s="370">
        <v>6</v>
      </c>
      <c r="R120" s="371">
        <f t="shared" si="46"/>
        <v>0.1111111111111111</v>
      </c>
      <c r="S120" s="289"/>
      <c r="T120" s="1254"/>
    </row>
    <row r="121" spans="1:20" x14ac:dyDescent="0.25">
      <c r="A121" s="244">
        <v>9257024</v>
      </c>
      <c r="B121" s="364" t="s">
        <v>211</v>
      </c>
      <c r="C121" s="365">
        <v>3</v>
      </c>
      <c r="D121" s="366">
        <f t="shared" si="39"/>
        <v>69</v>
      </c>
      <c r="E121" s="369">
        <v>6</v>
      </c>
      <c r="F121" s="368">
        <f t="shared" si="40"/>
        <v>8.6956521739130432E-2</v>
      </c>
      <c r="G121" s="369">
        <v>24</v>
      </c>
      <c r="H121" s="368">
        <f t="shared" si="41"/>
        <v>0.34782608695652173</v>
      </c>
      <c r="I121" s="369">
        <v>8</v>
      </c>
      <c r="J121" s="368">
        <f t="shared" si="42"/>
        <v>0.11594202898550725</v>
      </c>
      <c r="K121" s="369">
        <v>11</v>
      </c>
      <c r="L121" s="368">
        <f t="shared" si="43"/>
        <v>0.15942028985507245</v>
      </c>
      <c r="M121" s="370">
        <v>4</v>
      </c>
      <c r="N121" s="371">
        <f t="shared" si="44"/>
        <v>5.7971014492753624E-2</v>
      </c>
      <c r="O121" s="369">
        <v>7</v>
      </c>
      <c r="P121" s="368">
        <f t="shared" si="45"/>
        <v>0.10144927536231885</v>
      </c>
      <c r="Q121" s="370">
        <v>9</v>
      </c>
      <c r="R121" s="371">
        <f t="shared" si="46"/>
        <v>0.13043478260869565</v>
      </c>
      <c r="S121" s="289"/>
      <c r="T121" s="1254"/>
    </row>
    <row r="122" spans="1:20" x14ac:dyDescent="0.25">
      <c r="A122" s="244">
        <v>9257031</v>
      </c>
      <c r="B122" s="364" t="s">
        <v>257</v>
      </c>
      <c r="C122" s="365">
        <v>3</v>
      </c>
      <c r="D122" s="366">
        <f t="shared" si="39"/>
        <v>0</v>
      </c>
      <c r="E122" s="369">
        <v>0</v>
      </c>
      <c r="F122" s="368">
        <v>0</v>
      </c>
      <c r="G122" s="369">
        <v>0</v>
      </c>
      <c r="H122" s="368">
        <v>0</v>
      </c>
      <c r="I122" s="369">
        <v>0</v>
      </c>
      <c r="J122" s="368">
        <v>0</v>
      </c>
      <c r="K122" s="369">
        <v>0</v>
      </c>
      <c r="L122" s="368">
        <v>0</v>
      </c>
      <c r="M122" s="370">
        <v>0</v>
      </c>
      <c r="N122" s="371">
        <v>1</v>
      </c>
      <c r="O122" s="369">
        <v>0</v>
      </c>
      <c r="P122" s="368">
        <v>0</v>
      </c>
      <c r="Q122" s="370">
        <v>0</v>
      </c>
      <c r="R122" s="371">
        <v>0</v>
      </c>
      <c r="S122" s="289"/>
      <c r="T122" s="1254"/>
    </row>
    <row r="123" spans="1:20" x14ac:dyDescent="0.25">
      <c r="A123" s="244">
        <v>9257033</v>
      </c>
      <c r="B123" s="364" t="s">
        <v>220</v>
      </c>
      <c r="C123" s="365">
        <v>3</v>
      </c>
      <c r="D123" s="366">
        <f t="shared" si="39"/>
        <v>86</v>
      </c>
      <c r="E123" s="369">
        <v>6</v>
      </c>
      <c r="F123" s="368">
        <f t="shared" si="40"/>
        <v>6.9767441860465115E-2</v>
      </c>
      <c r="G123" s="369">
        <v>17</v>
      </c>
      <c r="H123" s="368">
        <f t="shared" si="41"/>
        <v>0.19767441860465115</v>
      </c>
      <c r="I123" s="369">
        <v>27</v>
      </c>
      <c r="J123" s="368">
        <f t="shared" si="42"/>
        <v>0.31395348837209303</v>
      </c>
      <c r="K123" s="372">
        <v>9</v>
      </c>
      <c r="L123" s="368">
        <f t="shared" si="43"/>
        <v>0.10465116279069768</v>
      </c>
      <c r="M123" s="370">
        <v>19</v>
      </c>
      <c r="N123" s="371">
        <f t="shared" si="44"/>
        <v>0.22093023255813954</v>
      </c>
      <c r="O123" s="372">
        <v>8</v>
      </c>
      <c r="P123" s="368">
        <f t="shared" si="45"/>
        <v>9.3023255813953487E-2</v>
      </c>
      <c r="Q123" s="370">
        <v>0</v>
      </c>
      <c r="R123" s="371">
        <f t="shared" si="46"/>
        <v>0</v>
      </c>
      <c r="S123" s="289"/>
      <c r="T123" s="1254"/>
    </row>
    <row r="124" spans="1:20" x14ac:dyDescent="0.25">
      <c r="A124" s="244">
        <v>9257008</v>
      </c>
      <c r="B124" s="364" t="s">
        <v>212</v>
      </c>
      <c r="C124" s="365">
        <v>3</v>
      </c>
      <c r="D124" s="366">
        <f t="shared" si="39"/>
        <v>91</v>
      </c>
      <c r="E124" s="369">
        <v>2</v>
      </c>
      <c r="F124" s="368">
        <f t="shared" si="40"/>
        <v>2.197802197802198E-2</v>
      </c>
      <c r="G124" s="369">
        <v>56</v>
      </c>
      <c r="H124" s="368">
        <f t="shared" si="41"/>
        <v>0.61538461538461542</v>
      </c>
      <c r="I124" s="369">
        <v>4</v>
      </c>
      <c r="J124" s="368">
        <f t="shared" si="42"/>
        <v>4.3956043956043959E-2</v>
      </c>
      <c r="K124" s="369">
        <v>2</v>
      </c>
      <c r="L124" s="368">
        <f t="shared" si="43"/>
        <v>2.197802197802198E-2</v>
      </c>
      <c r="M124" s="373">
        <v>14</v>
      </c>
      <c r="N124" s="371">
        <f t="shared" si="44"/>
        <v>0.15384615384615385</v>
      </c>
      <c r="O124" s="369">
        <v>13</v>
      </c>
      <c r="P124" s="368">
        <f t="shared" si="45"/>
        <v>0.14285714285714285</v>
      </c>
      <c r="Q124" s="373">
        <v>0</v>
      </c>
      <c r="R124" s="371">
        <f t="shared" si="46"/>
        <v>0</v>
      </c>
      <c r="S124" s="289"/>
      <c r="T124" s="1254"/>
    </row>
    <row r="125" spans="1:20" x14ac:dyDescent="0.25">
      <c r="A125" s="244">
        <v>9257034</v>
      </c>
      <c r="B125" s="364" t="s">
        <v>221</v>
      </c>
      <c r="C125" s="365">
        <v>4</v>
      </c>
      <c r="D125" s="366">
        <f t="shared" si="39"/>
        <v>114</v>
      </c>
      <c r="E125" s="369">
        <v>5</v>
      </c>
      <c r="F125" s="368">
        <f t="shared" si="40"/>
        <v>4.3859649122807015E-2</v>
      </c>
      <c r="G125" s="369">
        <v>19</v>
      </c>
      <c r="H125" s="368">
        <f t="shared" si="41"/>
        <v>0.16666666666666666</v>
      </c>
      <c r="I125" s="369">
        <v>48</v>
      </c>
      <c r="J125" s="368">
        <f t="shared" si="42"/>
        <v>0.42105263157894735</v>
      </c>
      <c r="K125" s="369">
        <v>4</v>
      </c>
      <c r="L125" s="368">
        <f t="shared" si="43"/>
        <v>3.5087719298245612E-2</v>
      </c>
      <c r="M125" s="370">
        <v>30</v>
      </c>
      <c r="N125" s="371">
        <f t="shared" si="44"/>
        <v>0.26315789473684209</v>
      </c>
      <c r="O125" s="369">
        <v>5</v>
      </c>
      <c r="P125" s="368">
        <f t="shared" si="45"/>
        <v>4.3859649122807015E-2</v>
      </c>
      <c r="Q125" s="370">
        <v>3</v>
      </c>
      <c r="R125" s="371">
        <f t="shared" si="46"/>
        <v>2.6315789473684209E-2</v>
      </c>
      <c r="S125" s="289"/>
      <c r="T125" s="1254"/>
    </row>
    <row r="126" spans="1:20" x14ac:dyDescent="0.25">
      <c r="A126" s="244">
        <v>9257002</v>
      </c>
      <c r="B126" s="364" t="s">
        <v>213</v>
      </c>
      <c r="C126" s="365">
        <v>4</v>
      </c>
      <c r="D126" s="366">
        <f>E126+G126+I126+K126+M126+O126+Q126</f>
        <v>139</v>
      </c>
      <c r="E126" s="369">
        <v>1</v>
      </c>
      <c r="F126" s="368">
        <f t="shared" si="40"/>
        <v>7.1942446043165471E-3</v>
      </c>
      <c r="G126" s="369">
        <v>18</v>
      </c>
      <c r="H126" s="368">
        <f t="shared" si="41"/>
        <v>0.12949640287769784</v>
      </c>
      <c r="I126" s="369">
        <v>74</v>
      </c>
      <c r="J126" s="368">
        <f t="shared" si="42"/>
        <v>0.53237410071942448</v>
      </c>
      <c r="K126" s="369">
        <v>9</v>
      </c>
      <c r="L126" s="368">
        <f t="shared" si="43"/>
        <v>6.4748201438848921E-2</v>
      </c>
      <c r="M126" s="370">
        <v>26</v>
      </c>
      <c r="N126" s="371">
        <f t="shared" si="44"/>
        <v>0.18705035971223022</v>
      </c>
      <c r="O126" s="369">
        <v>10</v>
      </c>
      <c r="P126" s="368">
        <f t="shared" si="45"/>
        <v>7.1942446043165464E-2</v>
      </c>
      <c r="Q126" s="370">
        <v>1</v>
      </c>
      <c r="R126" s="371">
        <f t="shared" si="46"/>
        <v>7.1942446043165471E-3</v>
      </c>
      <c r="S126" s="289"/>
      <c r="T126" s="1254"/>
    </row>
    <row r="127" spans="1:20" x14ac:dyDescent="0.25">
      <c r="A127" s="244">
        <v>9257009</v>
      </c>
      <c r="B127" s="364" t="s">
        <v>214</v>
      </c>
      <c r="C127" s="365">
        <v>4</v>
      </c>
      <c r="D127" s="366">
        <f t="shared" ref="D127:D134" si="47">E127+G127+I127+K127+M127+O127+Q127</f>
        <v>128</v>
      </c>
      <c r="E127" s="369">
        <v>0</v>
      </c>
      <c r="F127" s="368">
        <f t="shared" si="40"/>
        <v>0</v>
      </c>
      <c r="G127" s="369">
        <v>60</v>
      </c>
      <c r="H127" s="368">
        <f t="shared" si="41"/>
        <v>0.46875</v>
      </c>
      <c r="I127" s="369">
        <v>19</v>
      </c>
      <c r="J127" s="368">
        <f t="shared" si="42"/>
        <v>0.1484375</v>
      </c>
      <c r="K127" s="369">
        <v>4</v>
      </c>
      <c r="L127" s="368">
        <f t="shared" si="43"/>
        <v>3.125E-2</v>
      </c>
      <c r="M127" s="370">
        <v>16</v>
      </c>
      <c r="N127" s="371">
        <f t="shared" si="44"/>
        <v>0.125</v>
      </c>
      <c r="O127" s="369">
        <v>29</v>
      </c>
      <c r="P127" s="368">
        <f t="shared" si="45"/>
        <v>0.2265625</v>
      </c>
      <c r="Q127" s="370">
        <v>0</v>
      </c>
      <c r="R127" s="371">
        <f t="shared" si="46"/>
        <v>0</v>
      </c>
      <c r="S127" s="289"/>
      <c r="T127" s="1254"/>
    </row>
    <row r="128" spans="1:20" x14ac:dyDescent="0.25">
      <c r="A128" s="244">
        <v>9257029</v>
      </c>
      <c r="B128" s="364" t="s">
        <v>259</v>
      </c>
      <c r="C128" s="365">
        <v>4</v>
      </c>
      <c r="D128" s="366">
        <f t="shared" si="47"/>
        <v>0</v>
      </c>
      <c r="E128" s="369">
        <v>0</v>
      </c>
      <c r="F128" s="368">
        <v>0</v>
      </c>
      <c r="G128" s="369">
        <v>0</v>
      </c>
      <c r="H128" s="368">
        <v>0</v>
      </c>
      <c r="I128" s="369">
        <v>0</v>
      </c>
      <c r="J128" s="368">
        <v>0</v>
      </c>
      <c r="K128" s="369">
        <v>0</v>
      </c>
      <c r="L128" s="368">
        <v>0</v>
      </c>
      <c r="M128" s="370">
        <v>0</v>
      </c>
      <c r="N128" s="371">
        <v>1</v>
      </c>
      <c r="O128" s="369">
        <v>0</v>
      </c>
      <c r="P128" s="368">
        <v>0</v>
      </c>
      <c r="Q128" s="370">
        <v>0</v>
      </c>
      <c r="R128" s="371">
        <v>0</v>
      </c>
      <c r="S128" s="289"/>
      <c r="T128" s="1254"/>
    </row>
    <row r="129" spans="1:20" x14ac:dyDescent="0.25">
      <c r="A129" s="244">
        <v>9257032</v>
      </c>
      <c r="B129" s="364" t="s">
        <v>261</v>
      </c>
      <c r="C129" s="365">
        <v>4</v>
      </c>
      <c r="D129" s="366">
        <f t="shared" si="47"/>
        <v>0</v>
      </c>
      <c r="E129" s="369">
        <v>0</v>
      </c>
      <c r="F129" s="368">
        <v>0</v>
      </c>
      <c r="G129" s="369">
        <v>0</v>
      </c>
      <c r="H129" s="368">
        <v>0</v>
      </c>
      <c r="I129" s="369">
        <v>0</v>
      </c>
      <c r="J129" s="368">
        <v>0</v>
      </c>
      <c r="K129" s="369">
        <v>0</v>
      </c>
      <c r="L129" s="368">
        <v>0</v>
      </c>
      <c r="M129" s="370">
        <v>0</v>
      </c>
      <c r="N129" s="371">
        <v>1</v>
      </c>
      <c r="O129" s="369">
        <v>0</v>
      </c>
      <c r="P129" s="368">
        <v>0</v>
      </c>
      <c r="Q129" s="370">
        <v>0</v>
      </c>
      <c r="R129" s="371">
        <v>0</v>
      </c>
      <c r="S129" s="289"/>
      <c r="T129" s="1254"/>
    </row>
    <row r="130" spans="1:20" x14ac:dyDescent="0.25">
      <c r="A130" s="244">
        <v>9257030</v>
      </c>
      <c r="B130" s="364" t="s">
        <v>262</v>
      </c>
      <c r="C130" s="365">
        <v>4</v>
      </c>
      <c r="D130" s="366">
        <f t="shared" si="47"/>
        <v>0</v>
      </c>
      <c r="E130" s="367">
        <v>0</v>
      </c>
      <c r="F130" s="368">
        <v>0</v>
      </c>
      <c r="G130" s="369">
        <v>0</v>
      </c>
      <c r="H130" s="368">
        <v>0</v>
      </c>
      <c r="I130" s="369">
        <v>0</v>
      </c>
      <c r="J130" s="368">
        <v>0</v>
      </c>
      <c r="K130" s="369">
        <v>0</v>
      </c>
      <c r="L130" s="368">
        <v>0</v>
      </c>
      <c r="M130" s="370">
        <v>0</v>
      </c>
      <c r="N130" s="371">
        <v>1</v>
      </c>
      <c r="O130" s="369">
        <v>0</v>
      </c>
      <c r="P130" s="368">
        <v>0</v>
      </c>
      <c r="Q130" s="370">
        <v>0</v>
      </c>
      <c r="R130" s="371">
        <v>0</v>
      </c>
      <c r="S130" s="289"/>
      <c r="T130" s="1254"/>
    </row>
    <row r="131" spans="1:20" x14ac:dyDescent="0.25">
      <c r="A131" s="244">
        <v>9257028</v>
      </c>
      <c r="B131" s="364" t="s">
        <v>215</v>
      </c>
      <c r="C131" s="365">
        <v>4</v>
      </c>
      <c r="D131" s="366">
        <f t="shared" si="47"/>
        <v>79</v>
      </c>
      <c r="E131" s="369">
        <v>8</v>
      </c>
      <c r="F131" s="368">
        <f t="shared" si="40"/>
        <v>0.10126582278481013</v>
      </c>
      <c r="G131" s="367">
        <v>23</v>
      </c>
      <c r="H131" s="368">
        <f t="shared" si="41"/>
        <v>0.29113924050632911</v>
      </c>
      <c r="I131" s="367">
        <v>5</v>
      </c>
      <c r="J131" s="368">
        <f t="shared" si="42"/>
        <v>6.3291139240506333E-2</v>
      </c>
      <c r="K131" s="367">
        <v>15</v>
      </c>
      <c r="L131" s="368">
        <f t="shared" si="43"/>
        <v>0.189873417721519</v>
      </c>
      <c r="M131" s="370">
        <v>3</v>
      </c>
      <c r="N131" s="371">
        <f t="shared" si="44"/>
        <v>3.7974683544303799E-2</v>
      </c>
      <c r="O131" s="367">
        <v>10</v>
      </c>
      <c r="P131" s="368">
        <f t="shared" si="45"/>
        <v>0.12658227848101267</v>
      </c>
      <c r="Q131" s="370">
        <v>15</v>
      </c>
      <c r="R131" s="371">
        <f t="shared" si="46"/>
        <v>0.189873417721519</v>
      </c>
      <c r="S131" s="289"/>
      <c r="T131" s="1254"/>
    </row>
    <row r="132" spans="1:20" x14ac:dyDescent="0.25">
      <c r="A132" s="244">
        <v>9257021</v>
      </c>
      <c r="B132" s="364" t="s">
        <v>216</v>
      </c>
      <c r="C132" s="365">
        <v>5</v>
      </c>
      <c r="D132" s="366">
        <f t="shared" si="47"/>
        <v>155</v>
      </c>
      <c r="E132" s="369">
        <v>6</v>
      </c>
      <c r="F132" s="368">
        <f t="shared" si="40"/>
        <v>3.870967741935484E-2</v>
      </c>
      <c r="G132" s="369">
        <v>46</v>
      </c>
      <c r="H132" s="368">
        <f t="shared" si="41"/>
        <v>0.29677419354838708</v>
      </c>
      <c r="I132" s="369">
        <v>46</v>
      </c>
      <c r="J132" s="368">
        <f t="shared" si="42"/>
        <v>0.29677419354838708</v>
      </c>
      <c r="K132" s="369">
        <v>14</v>
      </c>
      <c r="L132" s="368">
        <f t="shared" si="43"/>
        <v>9.0322580645161285E-2</v>
      </c>
      <c r="M132" s="370">
        <v>19</v>
      </c>
      <c r="N132" s="371">
        <f t="shared" si="44"/>
        <v>0.12258064516129032</v>
      </c>
      <c r="O132" s="369">
        <v>22</v>
      </c>
      <c r="P132" s="368">
        <f t="shared" si="45"/>
        <v>0.14193548387096774</v>
      </c>
      <c r="Q132" s="370">
        <v>2</v>
      </c>
      <c r="R132" s="371">
        <f t="shared" si="46"/>
        <v>1.2903225806451613E-2</v>
      </c>
      <c r="S132" s="289"/>
      <c r="T132" s="1254"/>
    </row>
    <row r="133" spans="1:20" x14ac:dyDescent="0.25">
      <c r="A133" s="244">
        <v>9257015</v>
      </c>
      <c r="B133" s="364" t="s">
        <v>217</v>
      </c>
      <c r="C133" s="365">
        <v>5</v>
      </c>
      <c r="D133" s="366">
        <f t="shared" si="47"/>
        <v>261</v>
      </c>
      <c r="E133" s="369">
        <v>10</v>
      </c>
      <c r="F133" s="368">
        <f t="shared" si="40"/>
        <v>3.8314176245210725E-2</v>
      </c>
      <c r="G133" s="369">
        <v>52</v>
      </c>
      <c r="H133" s="368">
        <f t="shared" si="41"/>
        <v>0.19923371647509577</v>
      </c>
      <c r="I133" s="369">
        <v>130</v>
      </c>
      <c r="J133" s="368">
        <f t="shared" si="42"/>
        <v>0.49808429118773945</v>
      </c>
      <c r="K133" s="369">
        <v>17</v>
      </c>
      <c r="L133" s="368">
        <f t="shared" si="43"/>
        <v>6.5134099616858232E-2</v>
      </c>
      <c r="M133" s="370">
        <v>11</v>
      </c>
      <c r="N133" s="371">
        <f t="shared" si="44"/>
        <v>4.2145593869731802E-2</v>
      </c>
      <c r="O133" s="369">
        <v>36</v>
      </c>
      <c r="P133" s="368">
        <f t="shared" si="45"/>
        <v>0.13793103448275862</v>
      </c>
      <c r="Q133" s="370">
        <v>5</v>
      </c>
      <c r="R133" s="371">
        <f t="shared" si="46"/>
        <v>1.9157088122605363E-2</v>
      </c>
      <c r="S133" s="289"/>
      <c r="T133" s="1254"/>
    </row>
    <row r="134" spans="1:20" x14ac:dyDescent="0.25">
      <c r="A134" s="244">
        <v>9257016</v>
      </c>
      <c r="B134" s="364" t="s">
        <v>219</v>
      </c>
      <c r="C134" s="365">
        <v>6</v>
      </c>
      <c r="D134" s="366">
        <f t="shared" si="47"/>
        <v>147</v>
      </c>
      <c r="E134" s="369">
        <v>24</v>
      </c>
      <c r="F134" s="368">
        <f t="shared" si="40"/>
        <v>0.16326530612244897</v>
      </c>
      <c r="G134" s="369">
        <v>10</v>
      </c>
      <c r="H134" s="368">
        <f t="shared" si="41"/>
        <v>6.8027210884353748E-2</v>
      </c>
      <c r="I134" s="369">
        <v>37</v>
      </c>
      <c r="J134" s="368">
        <f t="shared" si="42"/>
        <v>0.25170068027210885</v>
      </c>
      <c r="K134" s="369">
        <v>37</v>
      </c>
      <c r="L134" s="368">
        <f t="shared" si="43"/>
        <v>0.25170068027210885</v>
      </c>
      <c r="M134" s="370">
        <v>0</v>
      </c>
      <c r="N134" s="371">
        <f t="shared" si="44"/>
        <v>0</v>
      </c>
      <c r="O134" s="369">
        <v>1</v>
      </c>
      <c r="P134" s="368">
        <f t="shared" si="45"/>
        <v>6.8027210884353739E-3</v>
      </c>
      <c r="Q134" s="370">
        <v>38</v>
      </c>
      <c r="R134" s="371">
        <f t="shared" si="46"/>
        <v>0.25850340136054423</v>
      </c>
      <c r="S134" s="289"/>
      <c r="T134" s="1254"/>
    </row>
    <row r="136" spans="1:20" x14ac:dyDescent="0.25">
      <c r="A136" s="289"/>
      <c r="B136" s="383" t="s">
        <v>844</v>
      </c>
      <c r="C136" s="289"/>
      <c r="D136" s="289"/>
      <c r="E136" s="316"/>
      <c r="F136" s="316"/>
      <c r="G136" s="316"/>
      <c r="H136" s="316"/>
      <c r="I136" s="316"/>
      <c r="J136" s="316"/>
      <c r="K136" s="316"/>
      <c r="L136" s="316"/>
      <c r="M136" s="316"/>
      <c r="N136" s="316"/>
      <c r="O136" s="316"/>
      <c r="P136" s="289"/>
      <c r="Q136" s="289"/>
      <c r="R136" s="289"/>
      <c r="S136" s="289"/>
      <c r="T136" s="289"/>
    </row>
    <row r="137" spans="1:20" x14ac:dyDescent="0.25">
      <c r="A137" s="289"/>
      <c r="B137" s="289"/>
      <c r="C137" s="289"/>
      <c r="D137" s="289"/>
      <c r="E137" s="316"/>
      <c r="F137" s="379"/>
      <c r="G137" s="316"/>
      <c r="H137" s="379"/>
      <c r="I137" s="316"/>
      <c r="J137" s="379"/>
      <c r="K137" s="316"/>
      <c r="L137" s="379"/>
      <c r="M137" s="316"/>
      <c r="N137" s="316"/>
      <c r="O137" s="316"/>
      <c r="P137" s="289"/>
      <c r="Q137" s="289"/>
      <c r="R137" s="289"/>
      <c r="S137" s="289"/>
      <c r="T137" s="289"/>
    </row>
    <row r="138" spans="1:20" ht="21" x14ac:dyDescent="0.25">
      <c r="A138" s="289"/>
      <c r="B138" s="357" t="s">
        <v>183</v>
      </c>
      <c r="C138" s="358" t="s">
        <v>184</v>
      </c>
      <c r="D138" s="359" t="s">
        <v>792</v>
      </c>
      <c r="E138" s="360" t="s">
        <v>528</v>
      </c>
      <c r="F138" s="361" t="s">
        <v>529</v>
      </c>
      <c r="G138" s="360" t="s">
        <v>530</v>
      </c>
      <c r="H138" s="361" t="s">
        <v>241</v>
      </c>
      <c r="I138" s="360" t="s">
        <v>531</v>
      </c>
      <c r="J138" s="361" t="s">
        <v>532</v>
      </c>
      <c r="K138" s="360" t="s">
        <v>533</v>
      </c>
      <c r="L138" s="361" t="s">
        <v>534</v>
      </c>
      <c r="M138" s="362" t="s">
        <v>535</v>
      </c>
      <c r="N138" s="363" t="s">
        <v>536</v>
      </c>
      <c r="O138" s="360" t="s">
        <v>793</v>
      </c>
      <c r="P138" s="361" t="s">
        <v>794</v>
      </c>
      <c r="Q138" s="362" t="s">
        <v>668</v>
      </c>
      <c r="R138" s="363" t="s">
        <v>795</v>
      </c>
      <c r="S138" s="289"/>
      <c r="T138" s="289"/>
    </row>
    <row r="139" spans="1:20" x14ac:dyDescent="0.25">
      <c r="A139" s="289"/>
      <c r="B139" s="364" t="s">
        <v>205</v>
      </c>
      <c r="C139" s="365">
        <v>3</v>
      </c>
      <c r="D139" s="366">
        <f t="shared" ref="D139:D155" si="48">D117-E30</f>
        <v>10</v>
      </c>
      <c r="E139" s="385">
        <f t="shared" ref="E139:L154" si="49">E117-F30</f>
        <v>-8</v>
      </c>
      <c r="F139" s="384">
        <f t="shared" ref="F139:F155" si="50">F117-G30</f>
        <v>-0.21794871794871792</v>
      </c>
      <c r="G139" s="385">
        <f t="shared" si="49"/>
        <v>3</v>
      </c>
      <c r="H139" s="384">
        <f t="shared" si="49"/>
        <v>2.7472527472527375E-3</v>
      </c>
      <c r="I139" s="385">
        <f t="shared" si="49"/>
        <v>-2</v>
      </c>
      <c r="J139" s="384">
        <f t="shared" si="49"/>
        <v>-6.1355311355311346E-2</v>
      </c>
      <c r="K139" s="385">
        <f t="shared" si="49"/>
        <v>2</v>
      </c>
      <c r="L139" s="384">
        <f t="shared" si="49"/>
        <v>3.8461538461538464E-2</v>
      </c>
      <c r="M139" s="385">
        <f>M117-P30</f>
        <v>2</v>
      </c>
      <c r="N139" s="384">
        <f>N117-Q30</f>
        <v>2.4725274725274735E-2</v>
      </c>
      <c r="O139" s="385">
        <f>O117</f>
        <v>13</v>
      </c>
      <c r="P139" s="384">
        <f>P117</f>
        <v>0.25</v>
      </c>
      <c r="Q139" s="385">
        <f>Q117-N30</f>
        <v>0</v>
      </c>
      <c r="R139" s="384">
        <f>R117-O30</f>
        <v>-3.6630036630036611E-2</v>
      </c>
      <c r="S139" s="289"/>
      <c r="T139" s="289"/>
    </row>
    <row r="140" spans="1:20" x14ac:dyDescent="0.25">
      <c r="A140" s="289"/>
      <c r="B140" s="364" t="s">
        <v>208</v>
      </c>
      <c r="C140" s="365">
        <v>3</v>
      </c>
      <c r="D140" s="366">
        <f t="shared" si="48"/>
        <v>-1</v>
      </c>
      <c r="E140" s="385">
        <f t="shared" ref="E140:E155" si="51">E118-F31</f>
        <v>0</v>
      </c>
      <c r="F140" s="384">
        <f t="shared" si="50"/>
        <v>1.7543859649122862E-3</v>
      </c>
      <c r="G140" s="385">
        <f t="shared" si="49"/>
        <v>-10</v>
      </c>
      <c r="H140" s="384">
        <f t="shared" si="49"/>
        <v>-0.12859649122807018</v>
      </c>
      <c r="I140" s="385">
        <f t="shared" si="49"/>
        <v>-6</v>
      </c>
      <c r="J140" s="384">
        <f t="shared" si="49"/>
        <v>-7.7719298245614035E-2</v>
      </c>
      <c r="K140" s="385">
        <f t="shared" si="49"/>
        <v>3</v>
      </c>
      <c r="L140" s="384">
        <f t="shared" si="49"/>
        <v>4.0701754385964919E-2</v>
      </c>
      <c r="M140" s="385">
        <f t="shared" ref="M140:N155" si="52">M118-P31</f>
        <v>-3</v>
      </c>
      <c r="N140" s="384">
        <f t="shared" si="52"/>
        <v>-3.7368421052631579E-2</v>
      </c>
      <c r="O140" s="385">
        <f t="shared" ref="O140:P155" si="53">O118</f>
        <v>15</v>
      </c>
      <c r="P140" s="384">
        <f t="shared" si="53"/>
        <v>0.2</v>
      </c>
      <c r="Q140" s="385">
        <f t="shared" ref="Q140:R155" si="54">Q118-N31</f>
        <v>0</v>
      </c>
      <c r="R140" s="384">
        <f t="shared" si="54"/>
        <v>1.2280701754386059E-3</v>
      </c>
      <c r="S140" s="289"/>
      <c r="T140" s="289"/>
    </row>
    <row r="141" spans="1:20" x14ac:dyDescent="0.25">
      <c r="A141" s="289"/>
      <c r="B141" s="364" t="s">
        <v>209</v>
      </c>
      <c r="C141" s="365">
        <v>3</v>
      </c>
      <c r="D141" s="366">
        <f t="shared" si="48"/>
        <v>14</v>
      </c>
      <c r="E141" s="385">
        <f t="shared" si="51"/>
        <v>-8</v>
      </c>
      <c r="F141" s="384">
        <f t="shared" si="50"/>
        <v>-0.1627710504083357</v>
      </c>
      <c r="G141" s="385">
        <f t="shared" si="49"/>
        <v>-4</v>
      </c>
      <c r="H141" s="384">
        <f t="shared" si="49"/>
        <v>-0.14643762320473108</v>
      </c>
      <c r="I141" s="385">
        <f t="shared" si="49"/>
        <v>9</v>
      </c>
      <c r="J141" s="384">
        <f t="shared" si="49"/>
        <v>0.12250070402703463</v>
      </c>
      <c r="K141" s="385">
        <f t="shared" si="49"/>
        <v>10</v>
      </c>
      <c r="L141" s="384">
        <f t="shared" si="49"/>
        <v>0.14925373134328357</v>
      </c>
      <c r="M141" s="385">
        <f t="shared" si="52"/>
        <v>-1</v>
      </c>
      <c r="N141" s="384">
        <f t="shared" si="52"/>
        <v>-5.8293438468037195E-2</v>
      </c>
      <c r="O141" s="385">
        <f t="shared" si="53"/>
        <v>8</v>
      </c>
      <c r="P141" s="384">
        <f t="shared" si="53"/>
        <v>0.11940298507462686</v>
      </c>
      <c r="Q141" s="385">
        <f t="shared" si="54"/>
        <v>0</v>
      </c>
      <c r="R141" s="384">
        <f t="shared" si="54"/>
        <v>-2.3655308363841179E-2</v>
      </c>
      <c r="S141" s="289"/>
      <c r="T141" s="289"/>
    </row>
    <row r="142" spans="1:20" x14ac:dyDescent="0.25">
      <c r="A142" s="289"/>
      <c r="B142" s="364" t="s">
        <v>210</v>
      </c>
      <c r="C142" s="365">
        <v>3</v>
      </c>
      <c r="D142" s="366">
        <f t="shared" si="48"/>
        <v>9</v>
      </c>
      <c r="E142" s="385">
        <f t="shared" si="51"/>
        <v>-6</v>
      </c>
      <c r="F142" s="384">
        <f t="shared" si="50"/>
        <v>-0.15925925925925924</v>
      </c>
      <c r="G142" s="385">
        <f t="shared" si="49"/>
        <v>-2</v>
      </c>
      <c r="H142" s="384">
        <f t="shared" si="49"/>
        <v>-0.1074074074074074</v>
      </c>
      <c r="I142" s="385">
        <f t="shared" si="49"/>
        <v>6</v>
      </c>
      <c r="J142" s="384">
        <f t="shared" si="49"/>
        <v>0.1111111111111111</v>
      </c>
      <c r="K142" s="385">
        <f t="shared" si="49"/>
        <v>8</v>
      </c>
      <c r="L142" s="384">
        <f t="shared" si="49"/>
        <v>0.14814814814814814</v>
      </c>
      <c r="M142" s="385">
        <f t="shared" si="52"/>
        <v>-4</v>
      </c>
      <c r="N142" s="384">
        <f t="shared" si="52"/>
        <v>-0.1</v>
      </c>
      <c r="O142" s="385">
        <f t="shared" si="53"/>
        <v>7</v>
      </c>
      <c r="P142" s="384">
        <f t="shared" si="53"/>
        <v>0.12962962962962962</v>
      </c>
      <c r="Q142" s="385">
        <f t="shared" si="54"/>
        <v>0</v>
      </c>
      <c r="R142" s="384">
        <f t="shared" si="54"/>
        <v>-2.2222222222222227E-2</v>
      </c>
      <c r="S142" s="289"/>
      <c r="T142" s="289"/>
    </row>
    <row r="143" spans="1:20" x14ac:dyDescent="0.25">
      <c r="A143" s="289"/>
      <c r="B143" s="364" t="s">
        <v>211</v>
      </c>
      <c r="C143" s="365">
        <v>3</v>
      </c>
      <c r="D143" s="366">
        <f t="shared" si="48"/>
        <v>14</v>
      </c>
      <c r="E143" s="385">
        <f t="shared" si="51"/>
        <v>-5</v>
      </c>
      <c r="F143" s="384">
        <f t="shared" si="50"/>
        <v>-0.11304347826086958</v>
      </c>
      <c r="G143" s="385">
        <f t="shared" si="49"/>
        <v>-7</v>
      </c>
      <c r="H143" s="384">
        <f t="shared" si="49"/>
        <v>-0.21581027667984187</v>
      </c>
      <c r="I143" s="385">
        <f t="shared" si="49"/>
        <v>7</v>
      </c>
      <c r="J143" s="384">
        <f t="shared" si="49"/>
        <v>9.7760210803689074E-2</v>
      </c>
      <c r="K143" s="385">
        <f t="shared" si="49"/>
        <v>11</v>
      </c>
      <c r="L143" s="384">
        <f t="shared" si="49"/>
        <v>0.15942028985507245</v>
      </c>
      <c r="M143" s="385">
        <f t="shared" si="52"/>
        <v>1</v>
      </c>
      <c r="N143" s="384">
        <f t="shared" si="52"/>
        <v>3.4255599472990811E-3</v>
      </c>
      <c r="O143" s="385">
        <f t="shared" si="53"/>
        <v>7</v>
      </c>
      <c r="P143" s="384">
        <f t="shared" si="53"/>
        <v>0.10144927536231885</v>
      </c>
      <c r="Q143" s="385">
        <f t="shared" si="54"/>
        <v>0</v>
      </c>
      <c r="R143" s="384">
        <f t="shared" si="54"/>
        <v>-3.3201581027667987E-2</v>
      </c>
      <c r="S143" s="289"/>
      <c r="T143" s="289"/>
    </row>
    <row r="144" spans="1:20" x14ac:dyDescent="0.25">
      <c r="A144" s="289"/>
      <c r="B144" s="364" t="s">
        <v>257</v>
      </c>
      <c r="C144" s="365">
        <v>3</v>
      </c>
      <c r="D144" s="366">
        <f t="shared" si="48"/>
        <v>-61</v>
      </c>
      <c r="E144" s="385">
        <f t="shared" si="51"/>
        <v>0</v>
      </c>
      <c r="F144" s="384">
        <f t="shared" si="50"/>
        <v>0</v>
      </c>
      <c r="G144" s="385">
        <f t="shared" si="49"/>
        <v>0</v>
      </c>
      <c r="H144" s="384">
        <f t="shared" si="49"/>
        <v>0</v>
      </c>
      <c r="I144" s="385">
        <f t="shared" si="49"/>
        <v>0</v>
      </c>
      <c r="J144" s="384">
        <f t="shared" si="49"/>
        <v>0</v>
      </c>
      <c r="K144" s="385">
        <f t="shared" si="49"/>
        <v>0</v>
      </c>
      <c r="L144" s="384">
        <f t="shared" si="49"/>
        <v>0</v>
      </c>
      <c r="M144" s="385">
        <f t="shared" si="52"/>
        <v>-61</v>
      </c>
      <c r="N144" s="384">
        <f t="shared" si="52"/>
        <v>0</v>
      </c>
      <c r="O144" s="385">
        <f t="shared" si="53"/>
        <v>0</v>
      </c>
      <c r="P144" s="384">
        <f t="shared" si="53"/>
        <v>0</v>
      </c>
      <c r="Q144" s="385">
        <f t="shared" si="54"/>
        <v>0</v>
      </c>
      <c r="R144" s="384">
        <f t="shared" si="54"/>
        <v>0</v>
      </c>
      <c r="S144" s="289"/>
      <c r="T144" s="289"/>
    </row>
    <row r="145" spans="2:23" x14ac:dyDescent="0.25">
      <c r="B145" s="364" t="s">
        <v>220</v>
      </c>
      <c r="C145" s="365">
        <v>3</v>
      </c>
      <c r="D145" s="366">
        <f t="shared" si="48"/>
        <v>31</v>
      </c>
      <c r="E145" s="385">
        <f t="shared" si="51"/>
        <v>4</v>
      </c>
      <c r="F145" s="384">
        <f t="shared" si="50"/>
        <v>3.3403805496828753E-2</v>
      </c>
      <c r="G145" s="385">
        <f t="shared" si="49"/>
        <v>1</v>
      </c>
      <c r="H145" s="384">
        <f t="shared" si="49"/>
        <v>-9.3234672304439742E-2</v>
      </c>
      <c r="I145" s="385">
        <f t="shared" si="49"/>
        <v>12</v>
      </c>
      <c r="J145" s="384">
        <f t="shared" si="49"/>
        <v>4.1226215644820319E-2</v>
      </c>
      <c r="K145" s="385">
        <f t="shared" si="49"/>
        <v>6</v>
      </c>
      <c r="L145" s="384">
        <f t="shared" si="49"/>
        <v>5.0105708245243137E-2</v>
      </c>
      <c r="M145" s="385">
        <f t="shared" si="52"/>
        <v>0</v>
      </c>
      <c r="N145" s="384">
        <f t="shared" si="52"/>
        <v>-0.12452431289640592</v>
      </c>
      <c r="O145" s="385">
        <f t="shared" si="53"/>
        <v>8</v>
      </c>
      <c r="P145" s="384">
        <f t="shared" si="53"/>
        <v>9.3023255813953487E-2</v>
      </c>
      <c r="Q145" s="385">
        <f t="shared" si="54"/>
        <v>0</v>
      </c>
      <c r="R145" s="384">
        <f t="shared" si="54"/>
        <v>0</v>
      </c>
      <c r="S145" s="289"/>
      <c r="T145" s="289"/>
      <c r="U145" s="289"/>
      <c r="V145" s="289"/>
      <c r="W145" s="289"/>
    </row>
    <row r="146" spans="2:23" x14ac:dyDescent="0.25">
      <c r="B146" s="364" t="s">
        <v>212</v>
      </c>
      <c r="C146" s="365">
        <v>3</v>
      </c>
      <c r="D146" s="366">
        <f t="shared" si="48"/>
        <v>6</v>
      </c>
      <c r="E146" s="385">
        <f t="shared" si="51"/>
        <v>2</v>
      </c>
      <c r="F146" s="384">
        <f t="shared" si="50"/>
        <v>2.197802197802198E-2</v>
      </c>
      <c r="G146" s="385">
        <f t="shared" si="49"/>
        <v>49</v>
      </c>
      <c r="H146" s="384">
        <f t="shared" si="49"/>
        <v>0.53303167420814479</v>
      </c>
      <c r="I146" s="385">
        <f t="shared" si="49"/>
        <v>-48</v>
      </c>
      <c r="J146" s="384">
        <f t="shared" si="49"/>
        <v>-0.56780866192630908</v>
      </c>
      <c r="K146" s="385">
        <f t="shared" si="49"/>
        <v>0</v>
      </c>
      <c r="L146" s="384">
        <f t="shared" si="49"/>
        <v>-1.5513897866839023E-3</v>
      </c>
      <c r="M146" s="385">
        <f t="shared" si="52"/>
        <v>-10</v>
      </c>
      <c r="N146" s="384">
        <f t="shared" si="52"/>
        <v>-0.12850678733031673</v>
      </c>
      <c r="O146" s="385">
        <f t="shared" si="53"/>
        <v>13</v>
      </c>
      <c r="P146" s="384">
        <f t="shared" si="53"/>
        <v>0.14285714285714285</v>
      </c>
      <c r="Q146" s="385">
        <f t="shared" si="54"/>
        <v>0</v>
      </c>
      <c r="R146" s="384">
        <f t="shared" si="54"/>
        <v>0</v>
      </c>
      <c r="S146" s="289"/>
      <c r="T146" s="289"/>
      <c r="U146" s="289"/>
      <c r="V146" s="289"/>
      <c r="W146" s="289"/>
    </row>
    <row r="147" spans="2:23" x14ac:dyDescent="0.25">
      <c r="B147" s="364" t="s">
        <v>221</v>
      </c>
      <c r="C147" s="365">
        <v>4</v>
      </c>
      <c r="D147" s="366">
        <f t="shared" si="48"/>
        <v>-13</v>
      </c>
      <c r="E147" s="385">
        <f t="shared" si="51"/>
        <v>-4</v>
      </c>
      <c r="F147" s="384">
        <f t="shared" si="50"/>
        <v>-2.7006492609476448E-2</v>
      </c>
      <c r="G147" s="385">
        <f t="shared" si="49"/>
        <v>-2</v>
      </c>
      <c r="H147" s="384">
        <f t="shared" si="49"/>
        <v>1.3123359580052285E-3</v>
      </c>
      <c r="I147" s="385">
        <f t="shared" si="49"/>
        <v>-18</v>
      </c>
      <c r="J147" s="384">
        <f t="shared" si="49"/>
        <v>-9.863240779113136E-2</v>
      </c>
      <c r="K147" s="385">
        <f t="shared" si="49"/>
        <v>2</v>
      </c>
      <c r="L147" s="384">
        <f t="shared" si="49"/>
        <v>1.933968780218262E-2</v>
      </c>
      <c r="M147" s="385">
        <f t="shared" si="52"/>
        <v>4</v>
      </c>
      <c r="N147" s="384">
        <f t="shared" si="52"/>
        <v>5.8433485288023196E-2</v>
      </c>
      <c r="O147" s="385">
        <f t="shared" si="53"/>
        <v>5</v>
      </c>
      <c r="P147" s="384">
        <f t="shared" si="53"/>
        <v>4.3859649122807015E-2</v>
      </c>
      <c r="Q147" s="385">
        <f t="shared" si="54"/>
        <v>0</v>
      </c>
      <c r="R147" s="384">
        <f t="shared" si="54"/>
        <v>2.6937422295897212E-3</v>
      </c>
      <c r="S147" s="289"/>
      <c r="T147" s="289"/>
      <c r="U147" s="289"/>
      <c r="V147" s="289"/>
      <c r="W147" s="289"/>
    </row>
    <row r="148" spans="2:23" x14ac:dyDescent="0.25">
      <c r="B148" s="364" t="s">
        <v>213</v>
      </c>
      <c r="C148" s="365">
        <v>4</v>
      </c>
      <c r="D148" s="366">
        <f t="shared" si="48"/>
        <v>20</v>
      </c>
      <c r="E148" s="385">
        <f t="shared" si="51"/>
        <v>0</v>
      </c>
      <c r="F148" s="384">
        <f t="shared" si="50"/>
        <v>-1.2091167402212676E-3</v>
      </c>
      <c r="G148" s="385">
        <f t="shared" si="49"/>
        <v>-15</v>
      </c>
      <c r="H148" s="384">
        <f t="shared" si="49"/>
        <v>-0.14781452149205007</v>
      </c>
      <c r="I148" s="385">
        <f t="shared" si="49"/>
        <v>3</v>
      </c>
      <c r="J148" s="384">
        <f t="shared" si="49"/>
        <v>-6.4264554742760382E-2</v>
      </c>
      <c r="K148" s="385">
        <f t="shared" si="49"/>
        <v>7</v>
      </c>
      <c r="L148" s="384">
        <f t="shared" si="49"/>
        <v>4.7941478749773295E-2</v>
      </c>
      <c r="M148" s="385">
        <f t="shared" si="52"/>
        <v>15</v>
      </c>
      <c r="N148" s="384">
        <f t="shared" si="52"/>
        <v>9.4613384922314248E-2</v>
      </c>
      <c r="O148" s="385">
        <f t="shared" si="53"/>
        <v>10</v>
      </c>
      <c r="P148" s="384">
        <f t="shared" si="53"/>
        <v>7.1942446043165464E-2</v>
      </c>
      <c r="Q148" s="385">
        <f t="shared" si="54"/>
        <v>0</v>
      </c>
      <c r="R148" s="384">
        <f t="shared" si="54"/>
        <v>-1.2091167402212676E-3</v>
      </c>
      <c r="S148" s="289"/>
      <c r="T148" s="289"/>
      <c r="U148" s="289"/>
      <c r="V148" s="289"/>
      <c r="W148" s="289"/>
    </row>
    <row r="149" spans="2:23" x14ac:dyDescent="0.25">
      <c r="B149" s="364" t="s">
        <v>214</v>
      </c>
      <c r="C149" s="365">
        <v>4</v>
      </c>
      <c r="D149" s="366">
        <f t="shared" si="48"/>
        <v>-2</v>
      </c>
      <c r="E149" s="385">
        <f t="shared" si="51"/>
        <v>0</v>
      </c>
      <c r="F149" s="384">
        <f t="shared" si="50"/>
        <v>0</v>
      </c>
      <c r="G149" s="385">
        <f t="shared" si="49"/>
        <v>41</v>
      </c>
      <c r="H149" s="384">
        <f t="shared" si="49"/>
        <v>0.32259615384615381</v>
      </c>
      <c r="I149" s="385">
        <f t="shared" si="49"/>
        <v>-72</v>
      </c>
      <c r="J149" s="384">
        <f t="shared" si="49"/>
        <v>-0.55156249999999996</v>
      </c>
      <c r="K149" s="385">
        <f t="shared" si="49"/>
        <v>2</v>
      </c>
      <c r="L149" s="384">
        <f t="shared" si="49"/>
        <v>1.5865384615384615E-2</v>
      </c>
      <c r="M149" s="385">
        <f t="shared" si="52"/>
        <v>-2</v>
      </c>
      <c r="N149" s="384">
        <f t="shared" si="52"/>
        <v>-1.3461538461538469E-2</v>
      </c>
      <c r="O149" s="385">
        <f t="shared" si="53"/>
        <v>29</v>
      </c>
      <c r="P149" s="384">
        <f t="shared" si="53"/>
        <v>0.2265625</v>
      </c>
      <c r="Q149" s="385">
        <f t="shared" si="54"/>
        <v>0</v>
      </c>
      <c r="R149" s="384">
        <f t="shared" si="54"/>
        <v>0</v>
      </c>
      <c r="S149" s="289"/>
      <c r="T149" s="289"/>
      <c r="U149" s="289"/>
      <c r="V149" s="289"/>
      <c r="W149" s="289"/>
    </row>
    <row r="150" spans="2:23" x14ac:dyDescent="0.25">
      <c r="B150" s="364" t="s">
        <v>259</v>
      </c>
      <c r="C150" s="365">
        <v>4</v>
      </c>
      <c r="D150" s="366">
        <f t="shared" si="48"/>
        <v>-57</v>
      </c>
      <c r="E150" s="385">
        <f t="shared" si="51"/>
        <v>0</v>
      </c>
      <c r="F150" s="384">
        <f t="shared" si="50"/>
        <v>0</v>
      </c>
      <c r="G150" s="385">
        <f t="shared" si="49"/>
        <v>0</v>
      </c>
      <c r="H150" s="384">
        <f t="shared" si="49"/>
        <v>0</v>
      </c>
      <c r="I150" s="385">
        <f t="shared" si="49"/>
        <v>0</v>
      </c>
      <c r="J150" s="384">
        <f t="shared" si="49"/>
        <v>0</v>
      </c>
      <c r="K150" s="385">
        <f t="shared" si="49"/>
        <v>0</v>
      </c>
      <c r="L150" s="384">
        <f t="shared" si="49"/>
        <v>0</v>
      </c>
      <c r="M150" s="385">
        <f t="shared" si="52"/>
        <v>-57</v>
      </c>
      <c r="N150" s="384">
        <f t="shared" si="52"/>
        <v>0</v>
      </c>
      <c r="O150" s="385">
        <f t="shared" si="53"/>
        <v>0</v>
      </c>
      <c r="P150" s="384">
        <f t="shared" si="53"/>
        <v>0</v>
      </c>
      <c r="Q150" s="385">
        <f t="shared" si="54"/>
        <v>0</v>
      </c>
      <c r="R150" s="384">
        <f t="shared" si="54"/>
        <v>0</v>
      </c>
      <c r="S150" s="289"/>
      <c r="T150" s="289"/>
      <c r="U150" s="289"/>
      <c r="V150" s="289"/>
      <c r="W150" s="289"/>
    </row>
    <row r="151" spans="2:23" x14ac:dyDescent="0.25">
      <c r="B151" s="364" t="s">
        <v>261</v>
      </c>
      <c r="C151" s="365">
        <v>4</v>
      </c>
      <c r="D151" s="366">
        <f t="shared" si="48"/>
        <v>-57</v>
      </c>
      <c r="E151" s="385">
        <f t="shared" si="51"/>
        <v>0</v>
      </c>
      <c r="F151" s="384">
        <f t="shared" si="50"/>
        <v>0</v>
      </c>
      <c r="G151" s="385">
        <f t="shared" si="49"/>
        <v>0</v>
      </c>
      <c r="H151" s="384">
        <f t="shared" si="49"/>
        <v>0</v>
      </c>
      <c r="I151" s="385">
        <f t="shared" si="49"/>
        <v>0</v>
      </c>
      <c r="J151" s="384">
        <f t="shared" si="49"/>
        <v>0</v>
      </c>
      <c r="K151" s="385">
        <f t="shared" si="49"/>
        <v>0</v>
      </c>
      <c r="L151" s="384">
        <f t="shared" si="49"/>
        <v>0</v>
      </c>
      <c r="M151" s="385">
        <f t="shared" si="52"/>
        <v>-57</v>
      </c>
      <c r="N151" s="384">
        <f t="shared" si="52"/>
        <v>0</v>
      </c>
      <c r="O151" s="385">
        <f t="shared" si="53"/>
        <v>0</v>
      </c>
      <c r="P151" s="384">
        <f t="shared" si="53"/>
        <v>0</v>
      </c>
      <c r="Q151" s="385">
        <f t="shared" si="54"/>
        <v>0</v>
      </c>
      <c r="R151" s="384">
        <f t="shared" si="54"/>
        <v>0</v>
      </c>
      <c r="S151" s="289"/>
      <c r="T151" s="289"/>
      <c r="U151" s="289"/>
      <c r="V151" s="289"/>
      <c r="W151" s="289"/>
    </row>
    <row r="152" spans="2:23" x14ac:dyDescent="0.25">
      <c r="B152" s="364" t="s">
        <v>262</v>
      </c>
      <c r="C152" s="365">
        <v>4</v>
      </c>
      <c r="D152" s="366">
        <f t="shared" si="48"/>
        <v>-49</v>
      </c>
      <c r="E152" s="385">
        <f t="shared" si="51"/>
        <v>0</v>
      </c>
      <c r="F152" s="384">
        <f t="shared" si="50"/>
        <v>0</v>
      </c>
      <c r="G152" s="385">
        <f t="shared" si="49"/>
        <v>0</v>
      </c>
      <c r="H152" s="384">
        <f t="shared" si="49"/>
        <v>0</v>
      </c>
      <c r="I152" s="385">
        <f t="shared" si="49"/>
        <v>0</v>
      </c>
      <c r="J152" s="384">
        <f t="shared" si="49"/>
        <v>0</v>
      </c>
      <c r="K152" s="385">
        <f t="shared" si="49"/>
        <v>0</v>
      </c>
      <c r="L152" s="384">
        <f t="shared" si="49"/>
        <v>0</v>
      </c>
      <c r="M152" s="385">
        <f t="shared" si="52"/>
        <v>-49</v>
      </c>
      <c r="N152" s="384">
        <f t="shared" si="52"/>
        <v>0</v>
      </c>
      <c r="O152" s="385">
        <f t="shared" si="53"/>
        <v>0</v>
      </c>
      <c r="P152" s="384">
        <f t="shared" si="53"/>
        <v>0</v>
      </c>
      <c r="Q152" s="385">
        <f t="shared" si="54"/>
        <v>0</v>
      </c>
      <c r="R152" s="384">
        <f t="shared" si="54"/>
        <v>0</v>
      </c>
      <c r="S152" s="289"/>
      <c r="T152" s="289"/>
      <c r="U152" s="289"/>
      <c r="V152" s="289"/>
      <c r="W152" s="289"/>
    </row>
    <row r="153" spans="2:23" x14ac:dyDescent="0.25">
      <c r="B153" s="364" t="s">
        <v>215</v>
      </c>
      <c r="C153" s="365">
        <v>4</v>
      </c>
      <c r="D153" s="366">
        <f t="shared" si="48"/>
        <v>8</v>
      </c>
      <c r="E153" s="385">
        <f t="shared" si="51"/>
        <v>-7</v>
      </c>
      <c r="F153" s="384">
        <f t="shared" si="50"/>
        <v>-0.11000178284899269</v>
      </c>
      <c r="G153" s="385">
        <f t="shared" si="49"/>
        <v>-1</v>
      </c>
      <c r="H153" s="384">
        <f t="shared" si="49"/>
        <v>-4.688892850775539E-2</v>
      </c>
      <c r="I153" s="385">
        <f t="shared" si="49"/>
        <v>5</v>
      </c>
      <c r="J153" s="384">
        <f t="shared" si="49"/>
        <v>6.3291139240506333E-2</v>
      </c>
      <c r="K153" s="385">
        <f t="shared" si="49"/>
        <v>15</v>
      </c>
      <c r="L153" s="384">
        <f t="shared" si="49"/>
        <v>0.189873417721519</v>
      </c>
      <c r="M153" s="385">
        <f t="shared" si="52"/>
        <v>-14</v>
      </c>
      <c r="N153" s="384">
        <f t="shared" si="52"/>
        <v>-0.20146193617400604</v>
      </c>
      <c r="O153" s="385">
        <f t="shared" si="53"/>
        <v>10</v>
      </c>
      <c r="P153" s="384">
        <f t="shared" si="53"/>
        <v>0.12658227848101267</v>
      </c>
      <c r="Q153" s="385">
        <f t="shared" si="54"/>
        <v>0</v>
      </c>
      <c r="R153" s="384">
        <f t="shared" si="54"/>
        <v>-2.1394187912283813E-2</v>
      </c>
      <c r="S153" s="289"/>
      <c r="T153" s="289"/>
      <c r="U153" s="289"/>
      <c r="V153" s="289"/>
      <c r="W153" s="289"/>
    </row>
    <row r="154" spans="2:23" x14ac:dyDescent="0.25">
      <c r="B154" s="364" t="s">
        <v>216</v>
      </c>
      <c r="C154" s="365">
        <v>5</v>
      </c>
      <c r="D154" s="366">
        <f t="shared" si="48"/>
        <v>13</v>
      </c>
      <c r="E154" s="385">
        <f t="shared" si="51"/>
        <v>6</v>
      </c>
      <c r="F154" s="384">
        <f t="shared" si="50"/>
        <v>3.870967741935484E-2</v>
      </c>
      <c r="G154" s="385">
        <f t="shared" si="49"/>
        <v>32</v>
      </c>
      <c r="H154" s="384">
        <f t="shared" si="49"/>
        <v>0.19818264425261245</v>
      </c>
      <c r="I154" s="385">
        <f t="shared" si="49"/>
        <v>-56</v>
      </c>
      <c r="J154" s="384">
        <f t="shared" si="49"/>
        <v>-0.42153566560654254</v>
      </c>
      <c r="K154" s="385">
        <f t="shared" si="49"/>
        <v>10</v>
      </c>
      <c r="L154" s="384">
        <f t="shared" si="49"/>
        <v>6.2153566560654239E-2</v>
      </c>
      <c r="M154" s="385">
        <f t="shared" si="52"/>
        <v>-1</v>
      </c>
      <c r="N154" s="384">
        <f t="shared" si="52"/>
        <v>-1.8264425261244902E-2</v>
      </c>
      <c r="O154" s="385">
        <f t="shared" si="53"/>
        <v>22</v>
      </c>
      <c r="P154" s="384">
        <f t="shared" si="53"/>
        <v>0.14193548387096774</v>
      </c>
      <c r="Q154" s="385">
        <f t="shared" si="54"/>
        <v>0</v>
      </c>
      <c r="R154" s="384">
        <f t="shared" si="54"/>
        <v>-1.1812812358019086E-3</v>
      </c>
      <c r="S154" s="289"/>
      <c r="T154" s="289"/>
      <c r="U154" s="289"/>
      <c r="V154" s="289"/>
      <c r="W154" s="289"/>
    </row>
    <row r="155" spans="2:23" x14ac:dyDescent="0.25">
      <c r="B155" s="364" t="s">
        <v>217</v>
      </c>
      <c r="C155" s="365">
        <v>5</v>
      </c>
      <c r="D155" s="366">
        <f t="shared" si="48"/>
        <v>13</v>
      </c>
      <c r="E155" s="385">
        <f t="shared" si="51"/>
        <v>0</v>
      </c>
      <c r="F155" s="384">
        <f t="shared" si="50"/>
        <v>-2.0084043999505641E-3</v>
      </c>
      <c r="G155" s="385">
        <f t="shared" ref="G155:L155" si="55">G133-H46</f>
        <v>-3</v>
      </c>
      <c r="H155" s="384">
        <f t="shared" si="55"/>
        <v>-2.2540477073291321E-2</v>
      </c>
      <c r="I155" s="385">
        <f t="shared" si="55"/>
        <v>-32</v>
      </c>
      <c r="J155" s="384">
        <f t="shared" si="55"/>
        <v>-0.15514151526387343</v>
      </c>
      <c r="K155" s="385">
        <f t="shared" si="55"/>
        <v>17</v>
      </c>
      <c r="L155" s="384">
        <f t="shared" si="55"/>
        <v>6.5134099616858232E-2</v>
      </c>
      <c r="M155" s="385">
        <f t="shared" si="52"/>
        <v>-5</v>
      </c>
      <c r="N155" s="384">
        <f t="shared" si="52"/>
        <v>-2.237053516252626E-2</v>
      </c>
      <c r="O155" s="385">
        <f t="shared" si="53"/>
        <v>36</v>
      </c>
      <c r="P155" s="384">
        <f t="shared" si="53"/>
        <v>0.13793103448275862</v>
      </c>
      <c r="Q155" s="385">
        <f t="shared" si="54"/>
        <v>0</v>
      </c>
      <c r="R155" s="384">
        <f t="shared" si="54"/>
        <v>-1.004202199975282E-3</v>
      </c>
      <c r="S155" s="289"/>
      <c r="T155" s="289"/>
      <c r="U155" s="289"/>
      <c r="V155" s="289"/>
      <c r="W155" s="289"/>
    </row>
    <row r="156" spans="2:23" x14ac:dyDescent="0.25">
      <c r="B156" s="364" t="s">
        <v>219</v>
      </c>
      <c r="C156" s="365">
        <v>6</v>
      </c>
      <c r="D156" s="366">
        <f t="shared" ref="D156:L156" si="56">D134-E47</f>
        <v>12</v>
      </c>
      <c r="E156" s="385">
        <f t="shared" si="56"/>
        <v>-34</v>
      </c>
      <c r="F156" s="384">
        <f t="shared" si="56"/>
        <v>-0.26636432350718064</v>
      </c>
      <c r="G156" s="385">
        <f t="shared" si="56"/>
        <v>10</v>
      </c>
      <c r="H156" s="384">
        <f t="shared" si="56"/>
        <v>6.8027210884353748E-2</v>
      </c>
      <c r="I156" s="385">
        <f t="shared" si="56"/>
        <v>-2</v>
      </c>
      <c r="J156" s="384">
        <f t="shared" si="56"/>
        <v>-3.7188208616780016E-2</v>
      </c>
      <c r="K156" s="385">
        <f t="shared" si="56"/>
        <v>37</v>
      </c>
      <c r="L156" s="384">
        <f t="shared" si="56"/>
        <v>0.25170068027210885</v>
      </c>
      <c r="M156" s="385">
        <f>M134-P47</f>
        <v>0</v>
      </c>
      <c r="N156" s="384">
        <f>N134-Q47</f>
        <v>0</v>
      </c>
      <c r="O156" s="385">
        <f>O134</f>
        <v>1</v>
      </c>
      <c r="P156" s="384">
        <f>P134</f>
        <v>6.8027210884353739E-3</v>
      </c>
      <c r="Q156" s="385">
        <f>Q134-N47</f>
        <v>0</v>
      </c>
      <c r="R156" s="384">
        <f>R134-O47</f>
        <v>-2.2978080120937272E-2</v>
      </c>
      <c r="S156" s="289"/>
      <c r="T156" s="289"/>
      <c r="U156" s="289"/>
      <c r="V156" s="289"/>
      <c r="W156" s="289"/>
    </row>
    <row r="157" spans="2:23" x14ac:dyDescent="0.25">
      <c r="B157" s="289"/>
      <c r="C157" s="289"/>
      <c r="D157" s="289"/>
      <c r="E157" s="316"/>
      <c r="F157" s="316"/>
      <c r="G157" s="316"/>
      <c r="H157" s="316"/>
      <c r="I157" s="316"/>
      <c r="J157" s="316"/>
      <c r="K157" s="316"/>
      <c r="L157" s="316"/>
      <c r="M157" s="316"/>
      <c r="N157" s="316"/>
      <c r="O157" s="316"/>
      <c r="P157" s="289"/>
      <c r="Q157" s="289"/>
      <c r="R157" s="289"/>
      <c r="S157" s="289"/>
      <c r="T157" s="289"/>
      <c r="U157" s="289"/>
      <c r="V157" s="289"/>
      <c r="W157" s="289"/>
    </row>
    <row r="158" spans="2:23" x14ac:dyDescent="0.25">
      <c r="B158" s="289"/>
      <c r="C158" s="386">
        <v>1</v>
      </c>
      <c r="D158" s="289">
        <v>2</v>
      </c>
      <c r="E158" s="316">
        <v>3</v>
      </c>
      <c r="F158" s="316">
        <v>4</v>
      </c>
      <c r="G158" s="316">
        <v>5</v>
      </c>
      <c r="H158" s="316"/>
      <c r="I158" s="316">
        <v>1</v>
      </c>
      <c r="J158" s="316">
        <v>2</v>
      </c>
      <c r="K158" s="316">
        <v>3</v>
      </c>
      <c r="L158" s="316">
        <v>4</v>
      </c>
      <c r="M158" s="316">
        <v>5</v>
      </c>
      <c r="N158" s="316" t="s">
        <v>845</v>
      </c>
      <c r="O158" s="316" t="s">
        <v>846</v>
      </c>
      <c r="P158" s="289"/>
      <c r="Q158" s="316">
        <v>1</v>
      </c>
      <c r="R158" s="316">
        <v>2</v>
      </c>
      <c r="S158" s="316">
        <v>3</v>
      </c>
      <c r="T158" s="316">
        <v>4</v>
      </c>
      <c r="U158" s="316">
        <v>5</v>
      </c>
      <c r="V158" s="316" t="s">
        <v>845</v>
      </c>
      <c r="W158" s="316" t="s">
        <v>846</v>
      </c>
    </row>
    <row r="159" spans="2:23" x14ac:dyDescent="0.25">
      <c r="B159" s="237" t="s">
        <v>205</v>
      </c>
      <c r="C159" s="268">
        <v>0.40476190476190477</v>
      </c>
      <c r="D159" s="268">
        <v>0.2857142857142857</v>
      </c>
      <c r="E159" s="268">
        <v>0.11904761904761904</v>
      </c>
      <c r="F159" s="268">
        <v>0.11904761904761904</v>
      </c>
      <c r="G159" s="268">
        <v>7.1428571428571425E-2</v>
      </c>
      <c r="H159" s="268"/>
      <c r="I159" s="387">
        <f>F117</f>
        <v>0.11538461538461539</v>
      </c>
      <c r="J159" s="1255">
        <f>H117</f>
        <v>0.28846153846153844</v>
      </c>
      <c r="K159" s="1255">
        <f>J117</f>
        <v>5.7692307692307696E-2</v>
      </c>
      <c r="L159" s="1255">
        <f>L117</f>
        <v>3.8461538461538464E-2</v>
      </c>
      <c r="M159" s="1255">
        <f>N117</f>
        <v>9.6153846153846159E-2</v>
      </c>
      <c r="N159" s="1255">
        <f>P117</f>
        <v>0.25</v>
      </c>
      <c r="O159" s="1255">
        <f>R117</f>
        <v>0.15384615384615385</v>
      </c>
      <c r="P159" s="289"/>
      <c r="Q159" s="374">
        <f t="shared" ref="Q159:Q176" si="57">I159-C159</f>
        <v>-0.28937728937728935</v>
      </c>
      <c r="R159" s="374">
        <f t="shared" ref="R159:U174" si="58">J159-D159</f>
        <v>2.7472527472527375E-3</v>
      </c>
      <c r="S159" s="374">
        <f t="shared" si="58"/>
        <v>-6.1355311355311346E-2</v>
      </c>
      <c r="T159" s="374">
        <f t="shared" si="58"/>
        <v>-8.0586080586080577E-2</v>
      </c>
      <c r="U159" s="374">
        <f t="shared" si="58"/>
        <v>2.4725274725274735E-2</v>
      </c>
      <c r="V159" s="374">
        <f>N159-0</f>
        <v>0.25</v>
      </c>
      <c r="W159" s="374">
        <f>O159-0</f>
        <v>0.15384615384615385</v>
      </c>
    </row>
    <row r="160" spans="2:23" x14ac:dyDescent="0.25">
      <c r="B160" s="237" t="s">
        <v>208</v>
      </c>
      <c r="C160" s="268">
        <v>0.13157894736842105</v>
      </c>
      <c r="D160" s="268">
        <v>0.35526315789473684</v>
      </c>
      <c r="E160" s="268">
        <v>0.17105263157894737</v>
      </c>
      <c r="F160" s="268">
        <v>0.14473684210526316</v>
      </c>
      <c r="G160" s="268">
        <v>0.19736842105263158</v>
      </c>
      <c r="H160" s="268"/>
      <c r="I160" s="387">
        <f t="shared" ref="I160:I176" si="59">F118</f>
        <v>0.13333333333333333</v>
      </c>
      <c r="J160" s="1255">
        <f t="shared" ref="J160:J176" si="60">H118</f>
        <v>0.22666666666666666</v>
      </c>
      <c r="K160" s="1255">
        <f t="shared" ref="K160:K176" si="61">J118</f>
        <v>9.3333333333333338E-2</v>
      </c>
      <c r="L160" s="1255">
        <f t="shared" ref="L160:L176" si="62">L118</f>
        <v>9.3333333333333338E-2</v>
      </c>
      <c r="M160" s="1255">
        <f t="shared" ref="M160:M176" si="63">N118</f>
        <v>0.16</v>
      </c>
      <c r="N160" s="1255">
        <f t="shared" ref="N160:N176" si="64">P118</f>
        <v>0.2</v>
      </c>
      <c r="O160" s="1255">
        <f t="shared" ref="O160:O176" si="65">R118</f>
        <v>9.3333333333333338E-2</v>
      </c>
      <c r="P160" s="289"/>
      <c r="Q160" s="374">
        <f t="shared" si="57"/>
        <v>1.7543859649122862E-3</v>
      </c>
      <c r="R160" s="374">
        <f t="shared" si="58"/>
        <v>-0.12859649122807018</v>
      </c>
      <c r="S160" s="374">
        <f t="shared" si="58"/>
        <v>-7.7719298245614035E-2</v>
      </c>
      <c r="T160" s="374">
        <f t="shared" si="58"/>
        <v>-5.1403508771929826E-2</v>
      </c>
      <c r="U160" s="374">
        <f t="shared" si="58"/>
        <v>-3.7368421052631579E-2</v>
      </c>
      <c r="V160" s="374">
        <f t="shared" ref="V160:W176" si="66">N160-0</f>
        <v>0.2</v>
      </c>
      <c r="W160" s="374">
        <f t="shared" si="66"/>
        <v>9.3333333333333338E-2</v>
      </c>
    </row>
    <row r="161" spans="2:23" x14ac:dyDescent="0.25">
      <c r="B161" s="237" t="s">
        <v>209</v>
      </c>
      <c r="C161" s="268">
        <v>0.26415094339622641</v>
      </c>
      <c r="D161" s="268">
        <v>0.41509433962264153</v>
      </c>
      <c r="E161" s="268">
        <v>5.6603773584905662E-2</v>
      </c>
      <c r="F161" s="268">
        <v>5.6603773584905662E-2</v>
      </c>
      <c r="G161" s="268">
        <v>0.20754716981132076</v>
      </c>
      <c r="H161" s="268"/>
      <c r="I161" s="387">
        <f t="shared" si="59"/>
        <v>4.4776119402985072E-2</v>
      </c>
      <c r="J161" s="1255">
        <f t="shared" si="60"/>
        <v>0.26865671641791045</v>
      </c>
      <c r="K161" s="1255">
        <f t="shared" si="61"/>
        <v>0.17910447761194029</v>
      </c>
      <c r="L161" s="1255">
        <f t="shared" si="62"/>
        <v>0.14925373134328357</v>
      </c>
      <c r="M161" s="1255">
        <f t="shared" si="63"/>
        <v>0.14925373134328357</v>
      </c>
      <c r="N161" s="1255">
        <f t="shared" si="64"/>
        <v>0.11940298507462686</v>
      </c>
      <c r="O161" s="1255">
        <f t="shared" si="65"/>
        <v>8.9552238805970144E-2</v>
      </c>
      <c r="P161" s="289"/>
      <c r="Q161" s="374">
        <f t="shared" si="57"/>
        <v>-0.21937482399324135</v>
      </c>
      <c r="R161" s="374">
        <f t="shared" si="58"/>
        <v>-0.14643762320473108</v>
      </c>
      <c r="S161" s="374">
        <f t="shared" si="58"/>
        <v>0.12250070402703463</v>
      </c>
      <c r="T161" s="374">
        <f t="shared" si="58"/>
        <v>9.2649957758377907E-2</v>
      </c>
      <c r="U161" s="374">
        <f t="shared" si="58"/>
        <v>-5.8293438468037195E-2</v>
      </c>
      <c r="V161" s="374">
        <f t="shared" si="66"/>
        <v>0.11940298507462686</v>
      </c>
      <c r="W161" s="374">
        <f t="shared" si="66"/>
        <v>8.9552238805970144E-2</v>
      </c>
    </row>
    <row r="162" spans="2:23" x14ac:dyDescent="0.25">
      <c r="B162" s="237" t="s">
        <v>210</v>
      </c>
      <c r="C162" s="268">
        <v>0.4</v>
      </c>
      <c r="D162" s="268">
        <v>0.42222222222222222</v>
      </c>
      <c r="E162" s="268">
        <v>0</v>
      </c>
      <c r="F162" s="268">
        <v>2.2222222222222223E-2</v>
      </c>
      <c r="G162" s="268">
        <v>0.15555555555555556</v>
      </c>
      <c r="H162" s="268"/>
      <c r="I162" s="387">
        <f t="shared" si="59"/>
        <v>0.12962962962962962</v>
      </c>
      <c r="J162" s="1255">
        <f t="shared" si="60"/>
        <v>0.31481481481481483</v>
      </c>
      <c r="K162" s="1255">
        <f t="shared" si="61"/>
        <v>0.1111111111111111</v>
      </c>
      <c r="L162" s="1255">
        <f t="shared" si="62"/>
        <v>0.14814814814814814</v>
      </c>
      <c r="M162" s="1255">
        <f t="shared" si="63"/>
        <v>5.5555555555555552E-2</v>
      </c>
      <c r="N162" s="1255">
        <f t="shared" si="64"/>
        <v>0.12962962962962962</v>
      </c>
      <c r="O162" s="1255">
        <f t="shared" si="65"/>
        <v>0.1111111111111111</v>
      </c>
      <c r="P162" s="289"/>
      <c r="Q162" s="374">
        <f t="shared" si="57"/>
        <v>-0.27037037037037037</v>
      </c>
      <c r="R162" s="374">
        <f t="shared" si="58"/>
        <v>-0.1074074074074074</v>
      </c>
      <c r="S162" s="374">
        <f t="shared" si="58"/>
        <v>0.1111111111111111</v>
      </c>
      <c r="T162" s="374">
        <f t="shared" si="58"/>
        <v>0.12592592592592591</v>
      </c>
      <c r="U162" s="374">
        <f t="shared" si="58"/>
        <v>-0.1</v>
      </c>
      <c r="V162" s="374">
        <f t="shared" si="66"/>
        <v>0.12962962962962962</v>
      </c>
      <c r="W162" s="374">
        <f t="shared" si="66"/>
        <v>0.1111111111111111</v>
      </c>
    </row>
    <row r="163" spans="2:23" x14ac:dyDescent="0.25">
      <c r="B163" s="237" t="s">
        <v>211</v>
      </c>
      <c r="C163" s="268">
        <v>0.2</v>
      </c>
      <c r="D163" s="268">
        <v>0.5636363636363636</v>
      </c>
      <c r="E163" s="268">
        <v>1.8181818181818181E-2</v>
      </c>
      <c r="F163" s="268">
        <v>0.16363636363636364</v>
      </c>
      <c r="G163" s="268">
        <v>5.4545454545454543E-2</v>
      </c>
      <c r="H163" s="268"/>
      <c r="I163" s="387">
        <f t="shared" si="59"/>
        <v>8.6956521739130432E-2</v>
      </c>
      <c r="J163" s="1255">
        <f t="shared" si="60"/>
        <v>0.34782608695652173</v>
      </c>
      <c r="K163" s="1255">
        <f t="shared" si="61"/>
        <v>0.11594202898550725</v>
      </c>
      <c r="L163" s="1255">
        <f t="shared" si="62"/>
        <v>0.15942028985507245</v>
      </c>
      <c r="M163" s="1255">
        <f t="shared" si="63"/>
        <v>5.7971014492753624E-2</v>
      </c>
      <c r="N163" s="1255">
        <f t="shared" si="64"/>
        <v>0.10144927536231885</v>
      </c>
      <c r="O163" s="1255">
        <f t="shared" si="65"/>
        <v>0.13043478260869565</v>
      </c>
      <c r="P163" s="289"/>
      <c r="Q163" s="374">
        <f t="shared" si="57"/>
        <v>-0.11304347826086958</v>
      </c>
      <c r="R163" s="374">
        <f t="shared" si="58"/>
        <v>-0.21581027667984187</v>
      </c>
      <c r="S163" s="374">
        <f t="shared" si="58"/>
        <v>9.7760210803689074E-2</v>
      </c>
      <c r="T163" s="374">
        <f t="shared" si="58"/>
        <v>-4.2160737812911853E-3</v>
      </c>
      <c r="U163" s="374">
        <f t="shared" si="58"/>
        <v>3.4255599472990811E-3</v>
      </c>
      <c r="V163" s="374">
        <f t="shared" si="66"/>
        <v>0.10144927536231885</v>
      </c>
      <c r="W163" s="374">
        <f t="shared" si="66"/>
        <v>0.13043478260869565</v>
      </c>
    </row>
    <row r="164" spans="2:23" x14ac:dyDescent="0.25">
      <c r="B164" s="237" t="s">
        <v>257</v>
      </c>
      <c r="C164" s="268">
        <v>0</v>
      </c>
      <c r="D164" s="268">
        <v>0</v>
      </c>
      <c r="E164" s="268">
        <v>0</v>
      </c>
      <c r="F164" s="268">
        <v>0</v>
      </c>
      <c r="G164" s="268">
        <v>1</v>
      </c>
      <c r="H164" s="268"/>
      <c r="I164" s="387">
        <f t="shared" si="59"/>
        <v>0</v>
      </c>
      <c r="J164" s="1255">
        <f t="shared" si="60"/>
        <v>0</v>
      </c>
      <c r="K164" s="1255">
        <f t="shared" si="61"/>
        <v>0</v>
      </c>
      <c r="L164" s="1255">
        <f t="shared" si="62"/>
        <v>0</v>
      </c>
      <c r="M164" s="1255">
        <f t="shared" si="63"/>
        <v>1</v>
      </c>
      <c r="N164" s="1255">
        <f t="shared" si="64"/>
        <v>0</v>
      </c>
      <c r="O164" s="1255">
        <f t="shared" si="65"/>
        <v>0</v>
      </c>
      <c r="P164" s="289"/>
      <c r="Q164" s="374">
        <f t="shared" si="57"/>
        <v>0</v>
      </c>
      <c r="R164" s="374">
        <f t="shared" si="58"/>
        <v>0</v>
      </c>
      <c r="S164" s="374">
        <f t="shared" si="58"/>
        <v>0</v>
      </c>
      <c r="T164" s="374">
        <f t="shared" si="58"/>
        <v>0</v>
      </c>
      <c r="U164" s="374">
        <f t="shared" si="58"/>
        <v>0</v>
      </c>
      <c r="V164" s="374">
        <f t="shared" si="66"/>
        <v>0</v>
      </c>
      <c r="W164" s="374">
        <f t="shared" si="66"/>
        <v>0</v>
      </c>
    </row>
    <row r="165" spans="2:23" x14ac:dyDescent="0.25">
      <c r="B165" s="237" t="s">
        <v>220</v>
      </c>
      <c r="C165" s="268">
        <v>3.6363636363636362E-2</v>
      </c>
      <c r="D165" s="268">
        <v>0.29090909090909089</v>
      </c>
      <c r="E165" s="268">
        <v>0.27272727272727271</v>
      </c>
      <c r="F165" s="268">
        <v>5.4545454545454543E-2</v>
      </c>
      <c r="G165" s="268">
        <v>0.34545454545454546</v>
      </c>
      <c r="H165" s="268"/>
      <c r="I165" s="387">
        <f t="shared" si="59"/>
        <v>6.9767441860465115E-2</v>
      </c>
      <c r="J165" s="1255">
        <f t="shared" si="60"/>
        <v>0.19767441860465115</v>
      </c>
      <c r="K165" s="1255">
        <f t="shared" si="61"/>
        <v>0.31395348837209303</v>
      </c>
      <c r="L165" s="1255">
        <f t="shared" si="62"/>
        <v>0.10465116279069768</v>
      </c>
      <c r="M165" s="1255">
        <f t="shared" si="63"/>
        <v>0.22093023255813954</v>
      </c>
      <c r="N165" s="1255">
        <f t="shared" si="64"/>
        <v>9.3023255813953487E-2</v>
      </c>
      <c r="O165" s="1255">
        <f t="shared" si="65"/>
        <v>0</v>
      </c>
      <c r="P165" s="289"/>
      <c r="Q165" s="374">
        <f t="shared" si="57"/>
        <v>3.3403805496828753E-2</v>
      </c>
      <c r="R165" s="374">
        <f t="shared" si="58"/>
        <v>-9.3234672304439742E-2</v>
      </c>
      <c r="S165" s="374">
        <f t="shared" si="58"/>
        <v>4.1226215644820319E-2</v>
      </c>
      <c r="T165" s="374">
        <f t="shared" si="58"/>
        <v>5.0105708245243137E-2</v>
      </c>
      <c r="U165" s="374">
        <f t="shared" si="58"/>
        <v>-0.12452431289640592</v>
      </c>
      <c r="V165" s="374">
        <f t="shared" si="66"/>
        <v>9.3023255813953487E-2</v>
      </c>
      <c r="W165" s="374">
        <f t="shared" si="66"/>
        <v>0</v>
      </c>
    </row>
    <row r="166" spans="2:23" x14ac:dyDescent="0.25">
      <c r="B166" s="237" t="s">
        <v>212</v>
      </c>
      <c r="C166" s="268">
        <v>0</v>
      </c>
      <c r="D166" s="268">
        <v>8.2352941176470587E-2</v>
      </c>
      <c r="E166" s="268">
        <v>0.61176470588235299</v>
      </c>
      <c r="F166" s="268">
        <v>2.3529411764705882E-2</v>
      </c>
      <c r="G166" s="268">
        <v>0.28235294117647058</v>
      </c>
      <c r="H166" s="268"/>
      <c r="I166" s="387">
        <f t="shared" si="59"/>
        <v>2.197802197802198E-2</v>
      </c>
      <c r="J166" s="1255">
        <f t="shared" si="60"/>
        <v>0.61538461538461542</v>
      </c>
      <c r="K166" s="1255">
        <f t="shared" si="61"/>
        <v>4.3956043956043959E-2</v>
      </c>
      <c r="L166" s="1255">
        <f t="shared" si="62"/>
        <v>2.197802197802198E-2</v>
      </c>
      <c r="M166" s="1255">
        <f t="shared" si="63"/>
        <v>0.15384615384615385</v>
      </c>
      <c r="N166" s="1255">
        <f t="shared" si="64"/>
        <v>0.14285714285714285</v>
      </c>
      <c r="O166" s="1255">
        <f t="shared" si="65"/>
        <v>0</v>
      </c>
      <c r="P166" s="289"/>
      <c r="Q166" s="374">
        <f t="shared" si="57"/>
        <v>2.197802197802198E-2</v>
      </c>
      <c r="R166" s="374">
        <f t="shared" si="58"/>
        <v>0.53303167420814479</v>
      </c>
      <c r="S166" s="374">
        <f t="shared" si="58"/>
        <v>-0.56780866192630908</v>
      </c>
      <c r="T166" s="374">
        <f t="shared" si="58"/>
        <v>-1.5513897866839023E-3</v>
      </c>
      <c r="U166" s="374">
        <f t="shared" si="58"/>
        <v>-0.12850678733031673</v>
      </c>
      <c r="V166" s="374">
        <f t="shared" si="66"/>
        <v>0.14285714285714285</v>
      </c>
      <c r="W166" s="374">
        <f t="shared" si="66"/>
        <v>0</v>
      </c>
    </row>
    <row r="167" spans="2:23" x14ac:dyDescent="0.25">
      <c r="B167" s="237" t="s">
        <v>221</v>
      </c>
      <c r="C167" s="268">
        <v>7.0866141732283464E-2</v>
      </c>
      <c r="D167" s="268">
        <v>0.16535433070866143</v>
      </c>
      <c r="E167" s="268">
        <v>0.51968503937007871</v>
      </c>
      <c r="F167" s="268">
        <v>3.937007874015748E-2</v>
      </c>
      <c r="G167" s="268">
        <v>0.20472440944881889</v>
      </c>
      <c r="H167" s="268"/>
      <c r="I167" s="387">
        <f t="shared" si="59"/>
        <v>4.3859649122807015E-2</v>
      </c>
      <c r="J167" s="1255">
        <f t="shared" si="60"/>
        <v>0.16666666666666666</v>
      </c>
      <c r="K167" s="1255">
        <f t="shared" si="61"/>
        <v>0.42105263157894735</v>
      </c>
      <c r="L167" s="1255">
        <f t="shared" si="62"/>
        <v>3.5087719298245612E-2</v>
      </c>
      <c r="M167" s="1255">
        <f t="shared" si="63"/>
        <v>0.26315789473684209</v>
      </c>
      <c r="N167" s="1255">
        <f t="shared" si="64"/>
        <v>4.3859649122807015E-2</v>
      </c>
      <c r="O167" s="1255">
        <f t="shared" si="65"/>
        <v>2.6315789473684209E-2</v>
      </c>
      <c r="P167" s="289"/>
      <c r="Q167" s="374">
        <f t="shared" si="57"/>
        <v>-2.7006492609476448E-2</v>
      </c>
      <c r="R167" s="374">
        <f t="shared" si="58"/>
        <v>1.3123359580052285E-3</v>
      </c>
      <c r="S167" s="374">
        <f t="shared" si="58"/>
        <v>-9.863240779113136E-2</v>
      </c>
      <c r="T167" s="374">
        <f t="shared" si="58"/>
        <v>-4.2823594419118677E-3</v>
      </c>
      <c r="U167" s="374">
        <f t="shared" si="58"/>
        <v>5.8433485288023196E-2</v>
      </c>
      <c r="V167" s="374">
        <f t="shared" si="66"/>
        <v>4.3859649122807015E-2</v>
      </c>
      <c r="W167" s="374">
        <f t="shared" si="66"/>
        <v>2.6315789473684209E-2</v>
      </c>
    </row>
    <row r="168" spans="2:23" x14ac:dyDescent="0.25">
      <c r="B168" s="237" t="s">
        <v>213</v>
      </c>
      <c r="C168" s="268">
        <v>8.4033613445378148E-3</v>
      </c>
      <c r="D168" s="268">
        <v>0.27731092436974791</v>
      </c>
      <c r="E168" s="268">
        <v>0.59663865546218486</v>
      </c>
      <c r="F168" s="268">
        <v>2.5210084033613446E-2</v>
      </c>
      <c r="G168" s="268">
        <v>9.2436974789915971E-2</v>
      </c>
      <c r="H168" s="268"/>
      <c r="I168" s="387">
        <f t="shared" si="59"/>
        <v>7.1942446043165471E-3</v>
      </c>
      <c r="J168" s="1255">
        <f t="shared" si="60"/>
        <v>0.12949640287769784</v>
      </c>
      <c r="K168" s="1255">
        <f t="shared" si="61"/>
        <v>0.53237410071942448</v>
      </c>
      <c r="L168" s="1255">
        <f t="shared" si="62"/>
        <v>6.4748201438848921E-2</v>
      </c>
      <c r="M168" s="1255">
        <f t="shared" si="63"/>
        <v>0.18705035971223022</v>
      </c>
      <c r="N168" s="1255">
        <f t="shared" si="64"/>
        <v>7.1942446043165464E-2</v>
      </c>
      <c r="O168" s="1255">
        <f t="shared" si="65"/>
        <v>7.1942446043165471E-3</v>
      </c>
      <c r="P168" s="289"/>
      <c r="Q168" s="374">
        <f t="shared" si="57"/>
        <v>-1.2091167402212676E-3</v>
      </c>
      <c r="R168" s="374">
        <f t="shared" si="58"/>
        <v>-0.14781452149205007</v>
      </c>
      <c r="S168" s="374">
        <f t="shared" si="58"/>
        <v>-6.4264554742760382E-2</v>
      </c>
      <c r="T168" s="374">
        <f t="shared" si="58"/>
        <v>3.9538117405235475E-2</v>
      </c>
      <c r="U168" s="374">
        <f t="shared" si="58"/>
        <v>9.4613384922314248E-2</v>
      </c>
      <c r="V168" s="374">
        <f t="shared" si="66"/>
        <v>7.1942446043165464E-2</v>
      </c>
      <c r="W168" s="374">
        <f t="shared" si="66"/>
        <v>7.1942446043165471E-3</v>
      </c>
    </row>
    <row r="169" spans="2:23" x14ac:dyDescent="0.25">
      <c r="B169" s="237" t="s">
        <v>214</v>
      </c>
      <c r="C169" s="268">
        <v>0</v>
      </c>
      <c r="D169" s="268">
        <v>0.14615384615384616</v>
      </c>
      <c r="E169" s="268">
        <v>0.7</v>
      </c>
      <c r="F169" s="268">
        <v>1.5384615384615385E-2</v>
      </c>
      <c r="G169" s="268">
        <v>0.13846153846153847</v>
      </c>
      <c r="H169" s="268"/>
      <c r="I169" s="387">
        <f t="shared" si="59"/>
        <v>0</v>
      </c>
      <c r="J169" s="1255">
        <f t="shared" si="60"/>
        <v>0.46875</v>
      </c>
      <c r="K169" s="1255">
        <f t="shared" si="61"/>
        <v>0.1484375</v>
      </c>
      <c r="L169" s="1255">
        <f t="shared" si="62"/>
        <v>3.125E-2</v>
      </c>
      <c r="M169" s="1255">
        <f t="shared" si="63"/>
        <v>0.125</v>
      </c>
      <c r="N169" s="1255">
        <f t="shared" si="64"/>
        <v>0.2265625</v>
      </c>
      <c r="O169" s="1255">
        <f t="shared" si="65"/>
        <v>0</v>
      </c>
      <c r="P169" s="289"/>
      <c r="Q169" s="374">
        <f t="shared" si="57"/>
        <v>0</v>
      </c>
      <c r="R169" s="374">
        <f t="shared" si="58"/>
        <v>0.32259615384615381</v>
      </c>
      <c r="S169" s="374">
        <f t="shared" si="58"/>
        <v>-0.55156249999999996</v>
      </c>
      <c r="T169" s="374">
        <f t="shared" si="58"/>
        <v>1.5865384615384615E-2</v>
      </c>
      <c r="U169" s="374">
        <f t="shared" si="58"/>
        <v>-1.3461538461538469E-2</v>
      </c>
      <c r="V169" s="374">
        <f t="shared" si="66"/>
        <v>0.2265625</v>
      </c>
      <c r="W169" s="374">
        <f t="shared" si="66"/>
        <v>0</v>
      </c>
    </row>
    <row r="170" spans="2:23" x14ac:dyDescent="0.25">
      <c r="B170" s="237" t="s">
        <v>259</v>
      </c>
      <c r="C170" s="268">
        <v>0</v>
      </c>
      <c r="D170" s="268">
        <v>0</v>
      </c>
      <c r="E170" s="268">
        <v>0</v>
      </c>
      <c r="F170" s="268">
        <v>0</v>
      </c>
      <c r="G170" s="268">
        <v>1</v>
      </c>
      <c r="H170" s="268"/>
      <c r="I170" s="387">
        <f t="shared" si="59"/>
        <v>0</v>
      </c>
      <c r="J170" s="1255">
        <f t="shared" si="60"/>
        <v>0</v>
      </c>
      <c r="K170" s="1255">
        <f t="shared" si="61"/>
        <v>0</v>
      </c>
      <c r="L170" s="1255">
        <f t="shared" si="62"/>
        <v>0</v>
      </c>
      <c r="M170" s="1255">
        <f t="shared" si="63"/>
        <v>1</v>
      </c>
      <c r="N170" s="1255">
        <f t="shared" si="64"/>
        <v>0</v>
      </c>
      <c r="O170" s="1255">
        <f t="shared" si="65"/>
        <v>0</v>
      </c>
      <c r="P170" s="289"/>
      <c r="Q170" s="374">
        <f t="shared" si="57"/>
        <v>0</v>
      </c>
      <c r="R170" s="374">
        <f t="shared" si="58"/>
        <v>0</v>
      </c>
      <c r="S170" s="374">
        <f t="shared" si="58"/>
        <v>0</v>
      </c>
      <c r="T170" s="374">
        <f t="shared" si="58"/>
        <v>0</v>
      </c>
      <c r="U170" s="374">
        <f t="shared" si="58"/>
        <v>0</v>
      </c>
      <c r="V170" s="374">
        <f t="shared" si="66"/>
        <v>0</v>
      </c>
      <c r="W170" s="374">
        <f t="shared" si="66"/>
        <v>0</v>
      </c>
    </row>
    <row r="171" spans="2:23" x14ac:dyDescent="0.25">
      <c r="B171" s="237" t="s">
        <v>261</v>
      </c>
      <c r="C171" s="268">
        <v>0</v>
      </c>
      <c r="D171" s="268">
        <v>0</v>
      </c>
      <c r="E171" s="268">
        <v>0</v>
      </c>
      <c r="F171" s="268">
        <v>0</v>
      </c>
      <c r="G171" s="268">
        <v>1</v>
      </c>
      <c r="H171" s="268"/>
      <c r="I171" s="387">
        <f t="shared" si="59"/>
        <v>0</v>
      </c>
      <c r="J171" s="1255">
        <f t="shared" si="60"/>
        <v>0</v>
      </c>
      <c r="K171" s="1255">
        <f t="shared" si="61"/>
        <v>0</v>
      </c>
      <c r="L171" s="1255">
        <f t="shared" si="62"/>
        <v>0</v>
      </c>
      <c r="M171" s="1255">
        <f t="shared" si="63"/>
        <v>1</v>
      </c>
      <c r="N171" s="1255">
        <f t="shared" si="64"/>
        <v>0</v>
      </c>
      <c r="O171" s="1255">
        <f t="shared" si="65"/>
        <v>0</v>
      </c>
      <c r="P171" s="289"/>
      <c r="Q171" s="374">
        <f t="shared" si="57"/>
        <v>0</v>
      </c>
      <c r="R171" s="374">
        <f t="shared" si="58"/>
        <v>0</v>
      </c>
      <c r="S171" s="374">
        <f t="shared" si="58"/>
        <v>0</v>
      </c>
      <c r="T171" s="374">
        <f t="shared" si="58"/>
        <v>0</v>
      </c>
      <c r="U171" s="374">
        <f t="shared" si="58"/>
        <v>0</v>
      </c>
      <c r="V171" s="374">
        <f t="shared" si="66"/>
        <v>0</v>
      </c>
      <c r="W171" s="374">
        <f t="shared" si="66"/>
        <v>0</v>
      </c>
    </row>
    <row r="172" spans="2:23" x14ac:dyDescent="0.25">
      <c r="B172" s="237" t="s">
        <v>262</v>
      </c>
      <c r="C172" s="268">
        <v>0</v>
      </c>
      <c r="D172" s="268">
        <v>0</v>
      </c>
      <c r="E172" s="268">
        <v>0</v>
      </c>
      <c r="F172" s="268">
        <v>0</v>
      </c>
      <c r="G172" s="268">
        <v>1</v>
      </c>
      <c r="H172" s="268"/>
      <c r="I172" s="387">
        <f t="shared" si="59"/>
        <v>0</v>
      </c>
      <c r="J172" s="1255">
        <f t="shared" si="60"/>
        <v>0</v>
      </c>
      <c r="K172" s="1255">
        <f t="shared" si="61"/>
        <v>0</v>
      </c>
      <c r="L172" s="1255">
        <f t="shared" si="62"/>
        <v>0</v>
      </c>
      <c r="M172" s="1255">
        <f t="shared" si="63"/>
        <v>1</v>
      </c>
      <c r="N172" s="1255">
        <f t="shared" si="64"/>
        <v>0</v>
      </c>
      <c r="O172" s="1255">
        <f t="shared" si="65"/>
        <v>0</v>
      </c>
      <c r="P172" s="289"/>
      <c r="Q172" s="374">
        <f t="shared" si="57"/>
        <v>0</v>
      </c>
      <c r="R172" s="374">
        <f t="shared" si="58"/>
        <v>0</v>
      </c>
      <c r="S172" s="374">
        <f t="shared" si="58"/>
        <v>0</v>
      </c>
      <c r="T172" s="374">
        <f t="shared" si="58"/>
        <v>0</v>
      </c>
      <c r="U172" s="374">
        <f t="shared" si="58"/>
        <v>0</v>
      </c>
      <c r="V172" s="374">
        <f t="shared" si="66"/>
        <v>0</v>
      </c>
      <c r="W172" s="374">
        <f t="shared" si="66"/>
        <v>0</v>
      </c>
    </row>
    <row r="173" spans="2:23" x14ac:dyDescent="0.25">
      <c r="B173" s="237" t="s">
        <v>215</v>
      </c>
      <c r="C173" s="268">
        <v>0.23943661971830985</v>
      </c>
      <c r="D173" s="268">
        <v>0.3380281690140845</v>
      </c>
      <c r="E173" s="268">
        <v>0</v>
      </c>
      <c r="F173" s="268">
        <v>0.18309859154929578</v>
      </c>
      <c r="G173" s="268">
        <v>0.23943661971830985</v>
      </c>
      <c r="H173" s="268"/>
      <c r="I173" s="387">
        <f t="shared" si="59"/>
        <v>0.10126582278481013</v>
      </c>
      <c r="J173" s="1255">
        <f t="shared" si="60"/>
        <v>0.29113924050632911</v>
      </c>
      <c r="K173" s="1255">
        <f t="shared" si="61"/>
        <v>6.3291139240506333E-2</v>
      </c>
      <c r="L173" s="1255">
        <f t="shared" si="62"/>
        <v>0.189873417721519</v>
      </c>
      <c r="M173" s="1255">
        <f t="shared" si="63"/>
        <v>3.7974683544303799E-2</v>
      </c>
      <c r="N173" s="1255">
        <f t="shared" si="64"/>
        <v>0.12658227848101267</v>
      </c>
      <c r="O173" s="1255">
        <f t="shared" si="65"/>
        <v>0.189873417721519</v>
      </c>
      <c r="P173" s="289"/>
      <c r="Q173" s="374">
        <f t="shared" si="57"/>
        <v>-0.13817079693349971</v>
      </c>
      <c r="R173" s="374">
        <f t="shared" si="58"/>
        <v>-4.688892850775539E-2</v>
      </c>
      <c r="S173" s="374">
        <f t="shared" si="58"/>
        <v>6.3291139240506333E-2</v>
      </c>
      <c r="T173" s="374">
        <f t="shared" si="58"/>
        <v>6.7748261722232195E-3</v>
      </c>
      <c r="U173" s="374">
        <f t="shared" si="58"/>
        <v>-0.20146193617400604</v>
      </c>
      <c r="V173" s="374">
        <f t="shared" si="66"/>
        <v>0.12658227848101267</v>
      </c>
      <c r="W173" s="374">
        <f t="shared" si="66"/>
        <v>0.189873417721519</v>
      </c>
    </row>
    <row r="174" spans="2:23" x14ac:dyDescent="0.25">
      <c r="B174" s="237" t="s">
        <v>216</v>
      </c>
      <c r="C174" s="268">
        <v>0</v>
      </c>
      <c r="D174" s="268">
        <v>9.8591549295774641E-2</v>
      </c>
      <c r="E174" s="268">
        <v>0.71830985915492962</v>
      </c>
      <c r="F174" s="268">
        <v>4.2253521126760563E-2</v>
      </c>
      <c r="G174" s="268">
        <v>0.14084507042253522</v>
      </c>
      <c r="H174" s="268"/>
      <c r="I174" s="387">
        <f t="shared" si="59"/>
        <v>3.870967741935484E-2</v>
      </c>
      <c r="J174" s="1255">
        <f t="shared" si="60"/>
        <v>0.29677419354838708</v>
      </c>
      <c r="K174" s="1255">
        <f t="shared" si="61"/>
        <v>0.29677419354838708</v>
      </c>
      <c r="L174" s="1255">
        <f t="shared" si="62"/>
        <v>9.0322580645161285E-2</v>
      </c>
      <c r="M174" s="1255">
        <f t="shared" si="63"/>
        <v>0.12258064516129032</v>
      </c>
      <c r="N174" s="1255">
        <f t="shared" si="64"/>
        <v>0.14193548387096774</v>
      </c>
      <c r="O174" s="1255">
        <f t="shared" si="65"/>
        <v>1.2903225806451613E-2</v>
      </c>
      <c r="P174" s="289"/>
      <c r="Q174" s="374">
        <f t="shared" si="57"/>
        <v>3.870967741935484E-2</v>
      </c>
      <c r="R174" s="374">
        <f t="shared" si="58"/>
        <v>0.19818264425261245</v>
      </c>
      <c r="S174" s="374">
        <f t="shared" si="58"/>
        <v>-0.42153566560654254</v>
      </c>
      <c r="T174" s="374">
        <f t="shared" si="58"/>
        <v>4.8069059518400722E-2</v>
      </c>
      <c r="U174" s="374">
        <f t="shared" si="58"/>
        <v>-1.8264425261244902E-2</v>
      </c>
      <c r="V174" s="374">
        <f t="shared" si="66"/>
        <v>0.14193548387096774</v>
      </c>
      <c r="W174" s="374">
        <f t="shared" si="66"/>
        <v>1.2903225806451613E-2</v>
      </c>
    </row>
    <row r="175" spans="2:23" x14ac:dyDescent="0.25">
      <c r="B175" s="237" t="s">
        <v>217</v>
      </c>
      <c r="C175" s="268">
        <v>6.0483870967741937E-2</v>
      </c>
      <c r="D175" s="268">
        <v>0.22177419354838709</v>
      </c>
      <c r="E175" s="268">
        <v>0.65322580645161288</v>
      </c>
      <c r="F175" s="268">
        <v>0</v>
      </c>
      <c r="G175" s="268">
        <v>6.4516129032258063E-2</v>
      </c>
      <c r="H175" s="268"/>
      <c r="I175" s="387">
        <f t="shared" si="59"/>
        <v>3.8314176245210725E-2</v>
      </c>
      <c r="J175" s="1255">
        <f t="shared" si="60"/>
        <v>0.19923371647509577</v>
      </c>
      <c r="K175" s="1255">
        <f t="shared" si="61"/>
        <v>0.49808429118773945</v>
      </c>
      <c r="L175" s="1255">
        <f t="shared" si="62"/>
        <v>6.5134099616858232E-2</v>
      </c>
      <c r="M175" s="1255">
        <f t="shared" si="63"/>
        <v>4.2145593869731802E-2</v>
      </c>
      <c r="N175" s="1255">
        <f t="shared" si="64"/>
        <v>0.13793103448275862</v>
      </c>
      <c r="O175" s="1255">
        <f t="shared" si="65"/>
        <v>1.9157088122605363E-2</v>
      </c>
      <c r="P175" s="289"/>
      <c r="Q175" s="374">
        <f t="shared" si="57"/>
        <v>-2.2169694722531212E-2</v>
      </c>
      <c r="R175" s="374">
        <f t="shared" ref="R175:U176" si="67">J175-D175</f>
        <v>-2.2540477073291321E-2</v>
      </c>
      <c r="S175" s="374">
        <f t="shared" si="67"/>
        <v>-0.15514151526387343</v>
      </c>
      <c r="T175" s="374">
        <f t="shared" si="67"/>
        <v>6.5134099616858232E-2</v>
      </c>
      <c r="U175" s="374">
        <f t="shared" si="67"/>
        <v>-2.237053516252626E-2</v>
      </c>
      <c r="V175" s="374">
        <f t="shared" si="66"/>
        <v>0.13793103448275862</v>
      </c>
      <c r="W175" s="374">
        <f t="shared" si="66"/>
        <v>1.9157088122605363E-2</v>
      </c>
    </row>
    <row r="176" spans="2:23" x14ac:dyDescent="0.25">
      <c r="B176" s="237" t="s">
        <v>219</v>
      </c>
      <c r="C176" s="268">
        <v>0.50370370370370365</v>
      </c>
      <c r="D176" s="268">
        <v>0</v>
      </c>
      <c r="E176" s="268">
        <v>0.28888888888888886</v>
      </c>
      <c r="F176" s="268">
        <v>0.2074074074074074</v>
      </c>
      <c r="G176" s="268">
        <v>0</v>
      </c>
      <c r="H176" s="268"/>
      <c r="I176" s="387">
        <f t="shared" si="59"/>
        <v>0.16326530612244897</v>
      </c>
      <c r="J176" s="1255">
        <f t="shared" si="60"/>
        <v>6.8027210884353748E-2</v>
      </c>
      <c r="K176" s="1255">
        <f t="shared" si="61"/>
        <v>0.25170068027210885</v>
      </c>
      <c r="L176" s="1255">
        <f t="shared" si="62"/>
        <v>0.25170068027210885</v>
      </c>
      <c r="M176" s="1255">
        <f t="shared" si="63"/>
        <v>0</v>
      </c>
      <c r="N176" s="1255">
        <f t="shared" si="64"/>
        <v>6.8027210884353739E-3</v>
      </c>
      <c r="O176" s="1255">
        <f t="shared" si="65"/>
        <v>0.25850340136054423</v>
      </c>
      <c r="P176" s="289"/>
      <c r="Q176" s="374">
        <f t="shared" si="57"/>
        <v>-0.34043839758125471</v>
      </c>
      <c r="R176" s="374">
        <f t="shared" si="67"/>
        <v>6.8027210884353748E-2</v>
      </c>
      <c r="S176" s="374">
        <f t="shared" si="67"/>
        <v>-3.7188208616780016E-2</v>
      </c>
      <c r="T176" s="374">
        <f t="shared" si="67"/>
        <v>4.4293272864701444E-2</v>
      </c>
      <c r="U176" s="374">
        <f t="shared" si="67"/>
        <v>0</v>
      </c>
      <c r="V176" s="374">
        <f t="shared" si="66"/>
        <v>6.8027210884353739E-3</v>
      </c>
      <c r="W176" s="374">
        <f t="shared" si="66"/>
        <v>0.25850340136054423</v>
      </c>
    </row>
    <row r="178" spans="1:18" x14ac:dyDescent="0.25">
      <c r="A178" s="289"/>
      <c r="B178" s="354">
        <v>43556</v>
      </c>
      <c r="C178" s="355"/>
      <c r="D178" s="355"/>
      <c r="E178" s="355"/>
      <c r="F178" s="356"/>
      <c r="G178" s="356"/>
      <c r="H178" s="356"/>
      <c r="I178" s="356"/>
      <c r="J178" s="356"/>
      <c r="K178" s="356"/>
      <c r="L178" s="356"/>
      <c r="M178" s="356"/>
      <c r="N178" s="356"/>
      <c r="O178" s="356"/>
      <c r="P178" s="356"/>
      <c r="Q178" s="356"/>
      <c r="R178" s="356"/>
    </row>
    <row r="179" spans="1:18" x14ac:dyDescent="0.25">
      <c r="A179" s="289"/>
      <c r="B179" s="356"/>
      <c r="C179" s="356"/>
      <c r="D179" s="356"/>
      <c r="E179" s="356"/>
      <c r="F179" s="356"/>
      <c r="G179" s="356"/>
      <c r="H179" s="356">
        <v>8</v>
      </c>
      <c r="I179" s="356">
        <v>9</v>
      </c>
      <c r="J179" s="356">
        <v>10</v>
      </c>
      <c r="K179" s="356">
        <v>11</v>
      </c>
      <c r="L179" s="356">
        <v>12</v>
      </c>
      <c r="M179" s="356">
        <v>13</v>
      </c>
      <c r="N179" s="356">
        <v>14</v>
      </c>
      <c r="O179" s="356">
        <v>15</v>
      </c>
      <c r="P179" s="356">
        <v>16</v>
      </c>
      <c r="Q179" s="356">
        <v>17</v>
      </c>
      <c r="R179" s="356">
        <v>18</v>
      </c>
    </row>
    <row r="180" spans="1:18" ht="21" x14ac:dyDescent="0.25">
      <c r="A180" s="289"/>
      <c r="B180" s="357" t="s">
        <v>183</v>
      </c>
      <c r="C180" s="358" t="s">
        <v>184</v>
      </c>
      <c r="D180" s="359" t="s">
        <v>792</v>
      </c>
      <c r="E180" s="360" t="s">
        <v>735</v>
      </c>
      <c r="F180" s="361" t="s">
        <v>901</v>
      </c>
      <c r="G180" s="360" t="s">
        <v>736</v>
      </c>
      <c r="H180" s="361" t="s">
        <v>920</v>
      </c>
      <c r="I180" s="360" t="s">
        <v>737</v>
      </c>
      <c r="J180" s="361" t="s">
        <v>921</v>
      </c>
      <c r="K180" s="360" t="s">
        <v>738</v>
      </c>
      <c r="L180" s="361" t="s">
        <v>922</v>
      </c>
      <c r="M180" s="362" t="s">
        <v>739</v>
      </c>
      <c r="N180" s="363" t="s">
        <v>923</v>
      </c>
      <c r="O180" s="360" t="s">
        <v>741</v>
      </c>
      <c r="P180" s="361" t="s">
        <v>924</v>
      </c>
      <c r="Q180" s="362" t="s">
        <v>743</v>
      </c>
      <c r="R180" s="363" t="s">
        <v>925</v>
      </c>
    </row>
    <row r="181" spans="1:18" x14ac:dyDescent="0.25">
      <c r="A181" s="244">
        <v>9257010</v>
      </c>
      <c r="B181" s="447" t="s">
        <v>205</v>
      </c>
      <c r="C181" s="365">
        <v>3</v>
      </c>
      <c r="D181" s="366">
        <f t="shared" ref="D181:D189" si="68">E181+G181+I181+K181+M181+O181+Q181</f>
        <v>60</v>
      </c>
      <c r="E181" s="367">
        <v>3</v>
      </c>
      <c r="F181" s="368">
        <f>E181/D181</f>
        <v>0.05</v>
      </c>
      <c r="G181" s="369">
        <v>21</v>
      </c>
      <c r="H181" s="368">
        <f>G181/D181</f>
        <v>0.35</v>
      </c>
      <c r="I181" s="369">
        <v>4</v>
      </c>
      <c r="J181" s="368">
        <f>I181/D181</f>
        <v>6.6666666666666666E-2</v>
      </c>
      <c r="K181" s="369">
        <v>9</v>
      </c>
      <c r="L181" s="368">
        <f>K181/D181</f>
        <v>0.15</v>
      </c>
      <c r="M181" s="370">
        <v>3</v>
      </c>
      <c r="N181" s="371">
        <f>M181/D181</f>
        <v>0.05</v>
      </c>
      <c r="O181" s="369">
        <v>13</v>
      </c>
      <c r="P181" s="368">
        <f>O181/D181</f>
        <v>0.21666666666666667</v>
      </c>
      <c r="Q181" s="370">
        <v>7</v>
      </c>
      <c r="R181" s="371">
        <f>Q181/D181</f>
        <v>0.11666666666666667</v>
      </c>
    </row>
    <row r="182" spans="1:18" x14ac:dyDescent="0.25">
      <c r="A182" s="244">
        <v>9257005</v>
      </c>
      <c r="B182" s="447" t="s">
        <v>208</v>
      </c>
      <c r="C182" s="365">
        <v>3</v>
      </c>
      <c r="D182" s="366">
        <f t="shared" si="68"/>
        <v>74</v>
      </c>
      <c r="E182" s="367">
        <v>8</v>
      </c>
      <c r="F182" s="368">
        <f>E182/D182</f>
        <v>0.10810810810810811</v>
      </c>
      <c r="G182" s="369">
        <v>17</v>
      </c>
      <c r="H182" s="368">
        <f>G182/D182</f>
        <v>0.22972972972972974</v>
      </c>
      <c r="I182" s="369">
        <v>9</v>
      </c>
      <c r="J182" s="368">
        <f>I182/D182</f>
        <v>0.12162162162162163</v>
      </c>
      <c r="K182" s="369">
        <v>11</v>
      </c>
      <c r="L182" s="368">
        <f>K182/D182</f>
        <v>0.14864864864864866</v>
      </c>
      <c r="M182" s="370">
        <v>10</v>
      </c>
      <c r="N182" s="371">
        <f>M182/D182</f>
        <v>0.13513513513513514</v>
      </c>
      <c r="O182" s="369">
        <v>13</v>
      </c>
      <c r="P182" s="368">
        <f>O182/D182</f>
        <v>0.17567567567567569</v>
      </c>
      <c r="Q182" s="370">
        <v>6</v>
      </c>
      <c r="R182" s="371">
        <f>Q182/D182</f>
        <v>8.1081081081081086E-2</v>
      </c>
    </row>
    <row r="183" spans="1:18" x14ac:dyDescent="0.25">
      <c r="A183" s="244">
        <v>9257025</v>
      </c>
      <c r="B183" s="447" t="s">
        <v>209</v>
      </c>
      <c r="C183" s="365">
        <v>3</v>
      </c>
      <c r="D183" s="366">
        <f t="shared" si="68"/>
        <v>74</v>
      </c>
      <c r="E183" s="367">
        <v>17</v>
      </c>
      <c r="F183" s="368">
        <f>E183/D183</f>
        <v>0.22972972972972974</v>
      </c>
      <c r="G183" s="369">
        <v>22</v>
      </c>
      <c r="H183" s="368">
        <f>G183/D183</f>
        <v>0.29729729729729731</v>
      </c>
      <c r="I183" s="369">
        <v>9</v>
      </c>
      <c r="J183" s="368">
        <f>I183/D183</f>
        <v>0.12162162162162163</v>
      </c>
      <c r="K183" s="369">
        <v>9</v>
      </c>
      <c r="L183" s="368">
        <f>K183/D183</f>
        <v>0.12162162162162163</v>
      </c>
      <c r="M183" s="370">
        <v>6</v>
      </c>
      <c r="N183" s="371">
        <f>M183/D183</f>
        <v>8.1081081081081086E-2</v>
      </c>
      <c r="O183" s="369">
        <v>8</v>
      </c>
      <c r="P183" s="368">
        <f>O183/D183</f>
        <v>0.10810810810810811</v>
      </c>
      <c r="Q183" s="370">
        <v>3</v>
      </c>
      <c r="R183" s="371">
        <f>Q183/D183</f>
        <v>4.0540540540540543E-2</v>
      </c>
    </row>
    <row r="184" spans="1:18" x14ac:dyDescent="0.25">
      <c r="A184" s="244">
        <v>9257011</v>
      </c>
      <c r="B184" s="447" t="s">
        <v>210</v>
      </c>
      <c r="C184" s="365">
        <v>3</v>
      </c>
      <c r="D184" s="366">
        <f t="shared" si="68"/>
        <v>55</v>
      </c>
      <c r="E184" s="367">
        <v>4</v>
      </c>
      <c r="F184" s="368">
        <f>E184/D184</f>
        <v>7.2727272727272724E-2</v>
      </c>
      <c r="G184" s="369">
        <v>15</v>
      </c>
      <c r="H184" s="368">
        <f>G184/D184</f>
        <v>0.27272727272727271</v>
      </c>
      <c r="I184" s="369">
        <v>2</v>
      </c>
      <c r="J184" s="368">
        <f>I184/D184</f>
        <v>3.6363636363636362E-2</v>
      </c>
      <c r="K184" s="369">
        <v>13</v>
      </c>
      <c r="L184" s="368">
        <f>K184/D184</f>
        <v>0.23636363636363636</v>
      </c>
      <c r="M184" s="370">
        <v>8</v>
      </c>
      <c r="N184" s="371">
        <f>M184/D184</f>
        <v>0.14545454545454545</v>
      </c>
      <c r="O184" s="369">
        <v>8</v>
      </c>
      <c r="P184" s="368">
        <f>O184/D184</f>
        <v>0.14545454545454545</v>
      </c>
      <c r="Q184" s="370">
        <v>5</v>
      </c>
      <c r="R184" s="371">
        <f>Q184/D184</f>
        <v>9.0909090909090912E-2</v>
      </c>
    </row>
    <row r="185" spans="1:18" x14ac:dyDescent="0.25">
      <c r="A185" s="244">
        <v>9257024</v>
      </c>
      <c r="B185" s="447" t="s">
        <v>211</v>
      </c>
      <c r="C185" s="365">
        <v>3</v>
      </c>
      <c r="D185" s="366">
        <f t="shared" si="68"/>
        <v>82</v>
      </c>
      <c r="E185" s="369">
        <v>9</v>
      </c>
      <c r="F185" s="368">
        <f>E185/D185</f>
        <v>0.10975609756097561</v>
      </c>
      <c r="G185" s="369">
        <v>34</v>
      </c>
      <c r="H185" s="368">
        <f>G185/D185</f>
        <v>0.41463414634146339</v>
      </c>
      <c r="I185" s="369">
        <v>2</v>
      </c>
      <c r="J185" s="368">
        <f>I185/D185</f>
        <v>2.4390243902439025E-2</v>
      </c>
      <c r="K185" s="369">
        <v>11</v>
      </c>
      <c r="L185" s="368">
        <f>K185/D185</f>
        <v>0.13414634146341464</v>
      </c>
      <c r="M185" s="370">
        <v>10</v>
      </c>
      <c r="N185" s="371">
        <f>M185/D185</f>
        <v>0.12195121951219512</v>
      </c>
      <c r="O185" s="369">
        <v>6</v>
      </c>
      <c r="P185" s="368">
        <f>O185/D185</f>
        <v>7.3170731707317069E-2</v>
      </c>
      <c r="Q185" s="370">
        <v>10</v>
      </c>
      <c r="R185" s="371">
        <f>Q185/D185</f>
        <v>0.12195121951219512</v>
      </c>
    </row>
    <row r="186" spans="1:18" x14ac:dyDescent="0.25">
      <c r="A186" s="244">
        <v>9257031</v>
      </c>
      <c r="B186" s="447" t="s">
        <v>257</v>
      </c>
      <c r="C186" s="365">
        <v>3</v>
      </c>
      <c r="D186" s="366">
        <f t="shared" si="68"/>
        <v>0</v>
      </c>
      <c r="E186" s="369">
        <v>0</v>
      </c>
      <c r="F186" s="368">
        <v>0</v>
      </c>
      <c r="G186" s="369">
        <v>0</v>
      </c>
      <c r="H186" s="368">
        <v>0</v>
      </c>
      <c r="I186" s="369">
        <v>0</v>
      </c>
      <c r="J186" s="368">
        <v>1</v>
      </c>
      <c r="K186" s="369">
        <v>0</v>
      </c>
      <c r="L186" s="368">
        <v>0</v>
      </c>
      <c r="M186" s="370">
        <v>0</v>
      </c>
      <c r="N186" s="371">
        <v>0</v>
      </c>
      <c r="O186" s="369">
        <v>0</v>
      </c>
      <c r="P186" s="368">
        <v>0</v>
      </c>
      <c r="Q186" s="370">
        <v>0</v>
      </c>
      <c r="R186" s="371">
        <v>0</v>
      </c>
    </row>
    <row r="187" spans="1:18" x14ac:dyDescent="0.25">
      <c r="A187" s="244">
        <v>9257033</v>
      </c>
      <c r="B187" s="447" t="s">
        <v>220</v>
      </c>
      <c r="C187" s="365">
        <v>3</v>
      </c>
      <c r="D187" s="366">
        <f t="shared" si="68"/>
        <v>88</v>
      </c>
      <c r="E187" s="369">
        <v>18</v>
      </c>
      <c r="F187" s="368">
        <f>E187/D187</f>
        <v>0.20454545454545456</v>
      </c>
      <c r="G187" s="369">
        <v>25</v>
      </c>
      <c r="H187" s="368">
        <f>G187/D187</f>
        <v>0.28409090909090912</v>
      </c>
      <c r="I187" s="369">
        <v>17</v>
      </c>
      <c r="J187" s="368">
        <f>I187/D187</f>
        <v>0.19318181818181818</v>
      </c>
      <c r="K187" s="372">
        <v>15</v>
      </c>
      <c r="L187" s="368">
        <f>K187/D187</f>
        <v>0.17045454545454544</v>
      </c>
      <c r="M187" s="370">
        <v>7</v>
      </c>
      <c r="N187" s="371">
        <f>M187/D187</f>
        <v>7.9545454545454544E-2</v>
      </c>
      <c r="O187" s="372">
        <v>6</v>
      </c>
      <c r="P187" s="368">
        <f>O187/D187</f>
        <v>6.8181818181818177E-2</v>
      </c>
      <c r="Q187" s="370">
        <v>0</v>
      </c>
      <c r="R187" s="371">
        <f>Q187/D187</f>
        <v>0</v>
      </c>
    </row>
    <row r="188" spans="1:18" x14ac:dyDescent="0.25">
      <c r="A188" s="244">
        <v>9257008</v>
      </c>
      <c r="B188" s="447" t="s">
        <v>212</v>
      </c>
      <c r="C188" s="365">
        <v>3</v>
      </c>
      <c r="D188" s="366">
        <f t="shared" si="68"/>
        <v>95</v>
      </c>
      <c r="E188" s="369">
        <v>6</v>
      </c>
      <c r="F188" s="368">
        <f>E188/D188</f>
        <v>6.3157894736842107E-2</v>
      </c>
      <c r="G188" s="369">
        <v>55</v>
      </c>
      <c r="H188" s="368">
        <f>G188/D188</f>
        <v>0.57894736842105265</v>
      </c>
      <c r="I188" s="369">
        <v>10</v>
      </c>
      <c r="J188" s="368">
        <f>I188/D188</f>
        <v>0.10526315789473684</v>
      </c>
      <c r="K188" s="369">
        <v>5</v>
      </c>
      <c r="L188" s="368">
        <f>K188/D188</f>
        <v>5.2631578947368418E-2</v>
      </c>
      <c r="M188" s="373">
        <v>1</v>
      </c>
      <c r="N188" s="371">
        <f>M188/D188</f>
        <v>1.0526315789473684E-2</v>
      </c>
      <c r="O188" s="369">
        <v>18</v>
      </c>
      <c r="P188" s="368">
        <f>O188/D188</f>
        <v>0.18947368421052632</v>
      </c>
      <c r="Q188" s="373">
        <v>0</v>
      </c>
      <c r="R188" s="371">
        <f>Q188/D188</f>
        <v>0</v>
      </c>
    </row>
    <row r="189" spans="1:18" x14ac:dyDescent="0.25">
      <c r="A189" s="244">
        <v>9257034</v>
      </c>
      <c r="B189" s="447" t="s">
        <v>221</v>
      </c>
      <c r="C189" s="365">
        <v>4</v>
      </c>
      <c r="D189" s="366">
        <f t="shared" si="68"/>
        <v>112</v>
      </c>
      <c r="E189" s="369">
        <v>47</v>
      </c>
      <c r="F189" s="368">
        <f>E189/D189</f>
        <v>0.41964285714285715</v>
      </c>
      <c r="G189" s="369">
        <v>30</v>
      </c>
      <c r="H189" s="368">
        <f>G189/D189</f>
        <v>0.26785714285714285</v>
      </c>
      <c r="I189" s="369">
        <v>20</v>
      </c>
      <c r="J189" s="368">
        <f>I189/D189</f>
        <v>0.17857142857142858</v>
      </c>
      <c r="K189" s="369">
        <v>5</v>
      </c>
      <c r="L189" s="368">
        <f>K189/D189</f>
        <v>4.4642857142857144E-2</v>
      </c>
      <c r="M189" s="370">
        <v>4</v>
      </c>
      <c r="N189" s="371">
        <f>M189/D189</f>
        <v>3.5714285714285712E-2</v>
      </c>
      <c r="O189" s="369">
        <v>5</v>
      </c>
      <c r="P189" s="368">
        <f>O189/D189</f>
        <v>4.4642857142857144E-2</v>
      </c>
      <c r="Q189" s="370">
        <v>1</v>
      </c>
      <c r="R189" s="371">
        <f>Q189/D189</f>
        <v>8.9285714285714281E-3</v>
      </c>
    </row>
    <row r="190" spans="1:18" x14ac:dyDescent="0.25">
      <c r="A190" s="244">
        <v>9257002</v>
      </c>
      <c r="B190" s="447" t="s">
        <v>213</v>
      </c>
      <c r="C190" s="365">
        <v>4</v>
      </c>
      <c r="D190" s="366">
        <f>E190+G190+I190+K190+M190+O190+Q190</f>
        <v>144</v>
      </c>
      <c r="E190" s="369">
        <v>67</v>
      </c>
      <c r="F190" s="368">
        <f>E190/D190</f>
        <v>0.46527777777777779</v>
      </c>
      <c r="G190" s="369">
        <v>24</v>
      </c>
      <c r="H190" s="368">
        <f>G190/D190</f>
        <v>0.16666666666666666</v>
      </c>
      <c r="I190" s="369">
        <v>27</v>
      </c>
      <c r="J190" s="368">
        <f>I190/D190</f>
        <v>0.1875</v>
      </c>
      <c r="K190" s="369">
        <v>2</v>
      </c>
      <c r="L190" s="368">
        <f>K190/D190</f>
        <v>1.3888888888888888E-2</v>
      </c>
      <c r="M190" s="370">
        <v>7</v>
      </c>
      <c r="N190" s="371">
        <f>M190/D190</f>
        <v>4.8611111111111112E-2</v>
      </c>
      <c r="O190" s="369">
        <v>16</v>
      </c>
      <c r="P190" s="368">
        <f>O190/D190</f>
        <v>0.1111111111111111</v>
      </c>
      <c r="Q190" s="370">
        <v>1</v>
      </c>
      <c r="R190" s="371">
        <f>Q190/D190</f>
        <v>6.9444444444444441E-3</v>
      </c>
    </row>
    <row r="191" spans="1:18" x14ac:dyDescent="0.25">
      <c r="A191" s="244">
        <v>9257009</v>
      </c>
      <c r="B191" s="447" t="s">
        <v>214</v>
      </c>
      <c r="C191" s="365">
        <v>4</v>
      </c>
      <c r="D191" s="366">
        <f t="shared" ref="D191:D198" si="69">E191+G191+I191+K191+M191+O191+Q191</f>
        <v>134</v>
      </c>
      <c r="E191" s="369">
        <v>24</v>
      </c>
      <c r="F191" s="368">
        <f>E191/D191</f>
        <v>0.17910447761194029</v>
      </c>
      <c r="G191" s="369">
        <v>68</v>
      </c>
      <c r="H191" s="368">
        <f>G191/D191</f>
        <v>0.5074626865671642</v>
      </c>
      <c r="I191" s="369">
        <v>16</v>
      </c>
      <c r="J191" s="368">
        <f>I191/D191</f>
        <v>0.11940298507462686</v>
      </c>
      <c r="K191" s="369">
        <v>2</v>
      </c>
      <c r="L191" s="368">
        <f>K191/D191</f>
        <v>1.4925373134328358E-2</v>
      </c>
      <c r="M191" s="370">
        <v>5</v>
      </c>
      <c r="N191" s="371">
        <f>M191/D191</f>
        <v>3.7313432835820892E-2</v>
      </c>
      <c r="O191" s="369">
        <v>19</v>
      </c>
      <c r="P191" s="368">
        <f>O191/D191</f>
        <v>0.1417910447761194</v>
      </c>
      <c r="Q191" s="370">
        <v>0</v>
      </c>
      <c r="R191" s="371">
        <f>Q191/D191</f>
        <v>0</v>
      </c>
    </row>
    <row r="192" spans="1:18" x14ac:dyDescent="0.25">
      <c r="A192" s="244">
        <v>9257029</v>
      </c>
      <c r="B192" s="447" t="s">
        <v>890</v>
      </c>
      <c r="C192" s="365">
        <v>4</v>
      </c>
      <c r="D192" s="366">
        <f t="shared" si="69"/>
        <v>0</v>
      </c>
      <c r="E192" s="369">
        <v>0</v>
      </c>
      <c r="F192" s="368">
        <v>0</v>
      </c>
      <c r="G192" s="369">
        <v>0</v>
      </c>
      <c r="H192" s="368">
        <v>0</v>
      </c>
      <c r="I192" s="369">
        <v>0</v>
      </c>
      <c r="J192" s="368">
        <v>1</v>
      </c>
      <c r="K192" s="369">
        <v>0</v>
      </c>
      <c r="L192" s="368">
        <v>0</v>
      </c>
      <c r="M192" s="370">
        <v>0</v>
      </c>
      <c r="N192" s="371">
        <v>0</v>
      </c>
      <c r="O192" s="369">
        <v>0</v>
      </c>
      <c r="P192" s="368">
        <v>0</v>
      </c>
      <c r="Q192" s="370">
        <v>0</v>
      </c>
      <c r="R192" s="371">
        <v>0</v>
      </c>
    </row>
    <row r="193" spans="1:18" x14ac:dyDescent="0.25">
      <c r="A193" s="244">
        <v>9257032</v>
      </c>
      <c r="B193" s="447" t="s">
        <v>813</v>
      </c>
      <c r="C193" s="365">
        <v>4</v>
      </c>
      <c r="D193" s="366">
        <f t="shared" si="69"/>
        <v>0</v>
      </c>
      <c r="E193" s="369">
        <v>0</v>
      </c>
      <c r="F193" s="368">
        <v>0</v>
      </c>
      <c r="G193" s="369">
        <v>0</v>
      </c>
      <c r="H193" s="368">
        <v>0</v>
      </c>
      <c r="I193" s="369">
        <v>0</v>
      </c>
      <c r="J193" s="368">
        <v>1</v>
      </c>
      <c r="K193" s="369">
        <v>0</v>
      </c>
      <c r="L193" s="368">
        <v>0</v>
      </c>
      <c r="M193" s="370">
        <v>0</v>
      </c>
      <c r="N193" s="371">
        <v>0</v>
      </c>
      <c r="O193" s="369">
        <v>0</v>
      </c>
      <c r="P193" s="368">
        <v>0</v>
      </c>
      <c r="Q193" s="370">
        <v>0</v>
      </c>
      <c r="R193" s="371">
        <v>0</v>
      </c>
    </row>
    <row r="194" spans="1:18" x14ac:dyDescent="0.25">
      <c r="A194" s="244">
        <v>9257030</v>
      </c>
      <c r="B194" s="447" t="s">
        <v>815</v>
      </c>
      <c r="C194" s="365">
        <v>4</v>
      </c>
      <c r="D194" s="366">
        <f t="shared" si="69"/>
        <v>0</v>
      </c>
      <c r="E194" s="367">
        <v>0</v>
      </c>
      <c r="F194" s="368">
        <v>0</v>
      </c>
      <c r="G194" s="369">
        <v>0</v>
      </c>
      <c r="H194" s="368">
        <v>0</v>
      </c>
      <c r="I194" s="369">
        <v>0</v>
      </c>
      <c r="J194" s="368">
        <v>1</v>
      </c>
      <c r="K194" s="369">
        <v>0</v>
      </c>
      <c r="L194" s="368">
        <v>0</v>
      </c>
      <c r="M194" s="370">
        <v>0</v>
      </c>
      <c r="N194" s="371">
        <v>0</v>
      </c>
      <c r="O194" s="369">
        <v>0</v>
      </c>
      <c r="P194" s="368">
        <v>0</v>
      </c>
      <c r="Q194" s="370">
        <v>0</v>
      </c>
      <c r="R194" s="371">
        <v>0</v>
      </c>
    </row>
    <row r="195" spans="1:18" x14ac:dyDescent="0.25">
      <c r="A195" s="244">
        <v>9257028</v>
      </c>
      <c r="B195" s="447" t="s">
        <v>215</v>
      </c>
      <c r="C195" s="365">
        <v>4</v>
      </c>
      <c r="D195" s="366">
        <f t="shared" si="69"/>
        <v>86</v>
      </c>
      <c r="E195" s="369">
        <v>6</v>
      </c>
      <c r="F195" s="368">
        <f>E195/D195</f>
        <v>6.9767441860465115E-2</v>
      </c>
      <c r="G195" s="367">
        <v>24</v>
      </c>
      <c r="H195" s="368">
        <f>G195/D195</f>
        <v>0.27906976744186046</v>
      </c>
      <c r="I195" s="367">
        <v>3</v>
      </c>
      <c r="J195" s="368">
        <f>I195/D195</f>
        <v>3.4883720930232558E-2</v>
      </c>
      <c r="K195" s="367">
        <v>11</v>
      </c>
      <c r="L195" s="368">
        <f>K195/D195</f>
        <v>0.12790697674418605</v>
      </c>
      <c r="M195" s="370">
        <v>16</v>
      </c>
      <c r="N195" s="371">
        <f>M195/D195</f>
        <v>0.18604651162790697</v>
      </c>
      <c r="O195" s="367">
        <v>14</v>
      </c>
      <c r="P195" s="368">
        <f>O195/D195</f>
        <v>0.16279069767441862</v>
      </c>
      <c r="Q195" s="370">
        <v>12</v>
      </c>
      <c r="R195" s="371">
        <f>Q195/D195</f>
        <v>0.13953488372093023</v>
      </c>
    </row>
    <row r="196" spans="1:18" x14ac:dyDescent="0.25">
      <c r="A196" s="244">
        <v>9257021</v>
      </c>
      <c r="B196" s="447" t="s">
        <v>216</v>
      </c>
      <c r="C196" s="365">
        <v>5</v>
      </c>
      <c r="D196" s="366">
        <f t="shared" si="69"/>
        <v>162</v>
      </c>
      <c r="E196" s="369">
        <v>45</v>
      </c>
      <c r="F196" s="368">
        <f>E196/D196</f>
        <v>0.27777777777777779</v>
      </c>
      <c r="G196" s="369">
        <v>57</v>
      </c>
      <c r="H196" s="368">
        <f>G196/D196</f>
        <v>0.35185185185185186</v>
      </c>
      <c r="I196" s="369">
        <v>16</v>
      </c>
      <c r="J196" s="368">
        <f>I196/D196</f>
        <v>9.8765432098765427E-2</v>
      </c>
      <c r="K196" s="369">
        <v>7</v>
      </c>
      <c r="L196" s="368">
        <f>K196/D196</f>
        <v>4.3209876543209874E-2</v>
      </c>
      <c r="M196" s="370">
        <v>12</v>
      </c>
      <c r="N196" s="371">
        <f>M196/D196</f>
        <v>7.407407407407407E-2</v>
      </c>
      <c r="O196" s="369">
        <v>24</v>
      </c>
      <c r="P196" s="368">
        <f>O196/D196</f>
        <v>0.14814814814814814</v>
      </c>
      <c r="Q196" s="370">
        <v>1</v>
      </c>
      <c r="R196" s="371">
        <f>Q196/D196</f>
        <v>6.1728395061728392E-3</v>
      </c>
    </row>
    <row r="197" spans="1:18" x14ac:dyDescent="0.25">
      <c r="A197" s="244">
        <v>9257015</v>
      </c>
      <c r="B197" s="447" t="s">
        <v>217</v>
      </c>
      <c r="C197" s="365">
        <v>5</v>
      </c>
      <c r="D197" s="366">
        <f t="shared" si="69"/>
        <v>237</v>
      </c>
      <c r="E197" s="369">
        <v>102</v>
      </c>
      <c r="F197" s="368">
        <f>E197/D197</f>
        <v>0.43037974683544306</v>
      </c>
      <c r="G197" s="369">
        <v>64</v>
      </c>
      <c r="H197" s="368">
        <f>G197/D197</f>
        <v>0.27004219409282698</v>
      </c>
      <c r="I197" s="369">
        <v>7</v>
      </c>
      <c r="J197" s="368">
        <f>I197/D197</f>
        <v>2.9535864978902954E-2</v>
      </c>
      <c r="K197" s="369">
        <v>15</v>
      </c>
      <c r="L197" s="368">
        <f>K197/D197</f>
        <v>6.3291139240506333E-2</v>
      </c>
      <c r="M197" s="370">
        <v>14</v>
      </c>
      <c r="N197" s="371">
        <f>M197/D197</f>
        <v>5.9071729957805907E-2</v>
      </c>
      <c r="O197" s="369">
        <v>33</v>
      </c>
      <c r="P197" s="368">
        <f>O197/D197</f>
        <v>0.13924050632911392</v>
      </c>
      <c r="Q197" s="370">
        <v>2</v>
      </c>
      <c r="R197" s="371">
        <f>Q197/D197</f>
        <v>8.4388185654008432E-3</v>
      </c>
    </row>
    <row r="198" spans="1:18" x14ac:dyDescent="0.25">
      <c r="A198" s="244">
        <v>9257016</v>
      </c>
      <c r="B198" s="447" t="s">
        <v>219</v>
      </c>
      <c r="C198" s="365">
        <v>6</v>
      </c>
      <c r="D198" s="366">
        <f t="shared" si="69"/>
        <v>136</v>
      </c>
      <c r="E198" s="369">
        <v>23</v>
      </c>
      <c r="F198" s="368">
        <f>E198/D198</f>
        <v>0.16911764705882354</v>
      </c>
      <c r="G198" s="369">
        <v>16</v>
      </c>
      <c r="H198" s="368">
        <f>G198/D198</f>
        <v>0.11764705882352941</v>
      </c>
      <c r="I198" s="369">
        <v>1</v>
      </c>
      <c r="J198" s="368">
        <f>I198/D198</f>
        <v>7.3529411764705881E-3</v>
      </c>
      <c r="K198" s="369">
        <v>28</v>
      </c>
      <c r="L198" s="368">
        <f>K198/D198</f>
        <v>0.20588235294117646</v>
      </c>
      <c r="M198" s="370">
        <v>32</v>
      </c>
      <c r="N198" s="371">
        <f>M198/D198</f>
        <v>0.23529411764705882</v>
      </c>
      <c r="O198" s="369">
        <v>1</v>
      </c>
      <c r="P198" s="368">
        <f>O198/D198</f>
        <v>7.3529411764705881E-3</v>
      </c>
      <c r="Q198" s="370">
        <v>35</v>
      </c>
      <c r="R198" s="371">
        <f>Q198/D198</f>
        <v>0.25735294117647056</v>
      </c>
    </row>
    <row r="200" spans="1:18" x14ac:dyDescent="0.25">
      <c r="A200" s="289"/>
      <c r="B200" s="383" t="s">
        <v>926</v>
      </c>
      <c r="C200" s="289"/>
      <c r="D200" s="289"/>
      <c r="E200" s="316"/>
      <c r="F200" s="316"/>
      <c r="G200" s="316"/>
      <c r="H200" s="316"/>
      <c r="I200" s="316"/>
      <c r="J200" s="316"/>
      <c r="K200" s="316"/>
      <c r="L200" s="316"/>
      <c r="M200" s="316"/>
      <c r="N200" s="316"/>
      <c r="O200" s="316"/>
      <c r="P200" s="289"/>
      <c r="Q200" s="289"/>
      <c r="R200" s="289"/>
    </row>
    <row r="201" spans="1:18" x14ac:dyDescent="0.25">
      <c r="A201" s="289"/>
      <c r="B201" s="289"/>
      <c r="C201" s="289"/>
      <c r="D201" s="289"/>
      <c r="E201" s="316"/>
      <c r="F201" s="379"/>
      <c r="G201" s="316"/>
      <c r="H201" s="379"/>
      <c r="I201" s="316"/>
      <c r="J201" s="379"/>
      <c r="K201" s="316"/>
      <c r="L201" s="379"/>
      <c r="M201" s="316"/>
      <c r="N201" s="316"/>
      <c r="O201" s="316"/>
      <c r="P201" s="289"/>
      <c r="Q201" s="289"/>
      <c r="R201" s="289"/>
    </row>
    <row r="202" spans="1:18" ht="21" x14ac:dyDescent="0.25">
      <c r="A202" s="289"/>
      <c r="B202" s="357" t="s">
        <v>183</v>
      </c>
      <c r="C202" s="358" t="s">
        <v>184</v>
      </c>
      <c r="D202" s="359" t="s">
        <v>792</v>
      </c>
      <c r="E202" s="360" t="s">
        <v>735</v>
      </c>
      <c r="F202" s="361" t="s">
        <v>901</v>
      </c>
      <c r="G202" s="360" t="s">
        <v>736</v>
      </c>
      <c r="H202" s="361" t="s">
        <v>920</v>
      </c>
      <c r="I202" s="360" t="s">
        <v>737</v>
      </c>
      <c r="J202" s="361" t="s">
        <v>921</v>
      </c>
      <c r="K202" s="360" t="s">
        <v>738</v>
      </c>
      <c r="L202" s="361" t="s">
        <v>922</v>
      </c>
      <c r="M202" s="362" t="s">
        <v>739</v>
      </c>
      <c r="N202" s="363" t="s">
        <v>923</v>
      </c>
      <c r="O202" s="360" t="s">
        <v>741</v>
      </c>
      <c r="P202" s="361" t="s">
        <v>924</v>
      </c>
      <c r="Q202" s="362" t="s">
        <v>743</v>
      </c>
      <c r="R202" s="363" t="s">
        <v>925</v>
      </c>
    </row>
    <row r="203" spans="1:18" x14ac:dyDescent="0.25">
      <c r="A203" s="289"/>
      <c r="B203" s="364" t="s">
        <v>205</v>
      </c>
      <c r="C203" s="365">
        <v>3</v>
      </c>
      <c r="D203" s="366">
        <f>D181-D117</f>
        <v>8</v>
      </c>
      <c r="E203" s="385">
        <f>E181-I117</f>
        <v>0</v>
      </c>
      <c r="F203" s="384">
        <f>F181-J117</f>
        <v>-7.6923076923076927E-3</v>
      </c>
      <c r="G203" s="385">
        <f>G181-G117</f>
        <v>6</v>
      </c>
      <c r="H203" s="384">
        <f>H181-H117</f>
        <v>6.1538461538461542E-2</v>
      </c>
      <c r="I203" s="385">
        <f>I181-M117</f>
        <v>-1</v>
      </c>
      <c r="J203" s="384">
        <f>J181-N117</f>
        <v>-2.9487179487179493E-2</v>
      </c>
      <c r="K203" s="385">
        <f>K181-E117</f>
        <v>3</v>
      </c>
      <c r="L203" s="384">
        <f>L181-F117</f>
        <v>3.4615384615384603E-2</v>
      </c>
      <c r="M203" s="385">
        <f>M181-K117</f>
        <v>1</v>
      </c>
      <c r="N203" s="384">
        <f>N181-L117</f>
        <v>1.1538461538461539E-2</v>
      </c>
      <c r="O203" s="385">
        <f>O181-O117</f>
        <v>0</v>
      </c>
      <c r="P203" s="384">
        <f>P181-P117</f>
        <v>-3.3333333333333326E-2</v>
      </c>
      <c r="Q203" s="385">
        <f>Q181-Q117</f>
        <v>-1</v>
      </c>
      <c r="R203" s="384">
        <f>R181-R117</f>
        <v>-3.7179487179487186E-2</v>
      </c>
    </row>
    <row r="204" spans="1:18" x14ac:dyDescent="0.25">
      <c r="A204" s="289"/>
      <c r="B204" s="364" t="s">
        <v>208</v>
      </c>
      <c r="C204" s="365">
        <v>3</v>
      </c>
      <c r="D204" s="366">
        <f t="shared" ref="D204:D220" si="70">D182-D118</f>
        <v>-1</v>
      </c>
      <c r="E204" s="385">
        <f t="shared" ref="E204:E220" si="71">E182-I118</f>
        <v>1</v>
      </c>
      <c r="F204" s="384">
        <f t="shared" ref="F204:F220" si="72">F182-J118</f>
        <v>1.4774774774774777E-2</v>
      </c>
      <c r="G204" s="385">
        <f t="shared" ref="G204:H220" si="73">G182-G118</f>
        <v>0</v>
      </c>
      <c r="H204" s="384">
        <f t="shared" si="73"/>
        <v>3.0630630630630873E-3</v>
      </c>
      <c r="I204" s="385">
        <f t="shared" ref="I204:I220" si="74">I182-M118</f>
        <v>-3</v>
      </c>
      <c r="J204" s="384">
        <f t="shared" ref="J204:J220" si="75">J182-N118</f>
        <v>-3.8378378378378375E-2</v>
      </c>
      <c r="K204" s="385">
        <f t="shared" ref="K204:K220" si="76">K182-E118</f>
        <v>1</v>
      </c>
      <c r="L204" s="384">
        <f t="shared" ref="L204:L220" si="77">L182-F118</f>
        <v>1.5315315315315325E-2</v>
      </c>
      <c r="M204" s="385">
        <f t="shared" ref="M204:M220" si="78">M182-K118</f>
        <v>3</v>
      </c>
      <c r="N204" s="384">
        <f t="shared" ref="N204:N220" si="79">N182-L118</f>
        <v>4.1801801801801805E-2</v>
      </c>
      <c r="O204" s="385">
        <f t="shared" ref="O204:R220" si="80">O182-O118</f>
        <v>-2</v>
      </c>
      <c r="P204" s="384">
        <f t="shared" si="80"/>
        <v>-2.4324324324324326E-2</v>
      </c>
      <c r="Q204" s="385">
        <f t="shared" si="80"/>
        <v>-1</v>
      </c>
      <c r="R204" s="384">
        <f t="shared" si="80"/>
        <v>-1.2252252252252252E-2</v>
      </c>
    </row>
    <row r="205" spans="1:18" x14ac:dyDescent="0.25">
      <c r="A205" s="289"/>
      <c r="B205" s="364" t="s">
        <v>209</v>
      </c>
      <c r="C205" s="365">
        <v>3</v>
      </c>
      <c r="D205" s="366">
        <f t="shared" si="70"/>
        <v>7</v>
      </c>
      <c r="E205" s="385">
        <f t="shared" si="71"/>
        <v>5</v>
      </c>
      <c r="F205" s="384">
        <f t="shared" si="72"/>
        <v>5.0625252117789454E-2</v>
      </c>
      <c r="G205" s="385">
        <f t="shared" si="73"/>
        <v>4</v>
      </c>
      <c r="H205" s="384">
        <f t="shared" si="73"/>
        <v>2.8640580879386868E-2</v>
      </c>
      <c r="I205" s="385">
        <f t="shared" si="74"/>
        <v>-1</v>
      </c>
      <c r="J205" s="384">
        <f t="shared" si="75"/>
        <v>-2.763210972166194E-2</v>
      </c>
      <c r="K205" s="385">
        <f t="shared" si="76"/>
        <v>6</v>
      </c>
      <c r="L205" s="384">
        <f t="shared" si="77"/>
        <v>7.6845502218636563E-2</v>
      </c>
      <c r="M205" s="385">
        <f t="shared" si="78"/>
        <v>-4</v>
      </c>
      <c r="N205" s="384">
        <f t="shared" si="79"/>
        <v>-6.8172650262202483E-2</v>
      </c>
      <c r="O205" s="385">
        <f t="shared" si="80"/>
        <v>0</v>
      </c>
      <c r="P205" s="384">
        <f t="shared" si="80"/>
        <v>-1.1294876966518749E-2</v>
      </c>
      <c r="Q205" s="385">
        <f t="shared" si="80"/>
        <v>-3</v>
      </c>
      <c r="R205" s="384">
        <f t="shared" si="80"/>
        <v>-4.9011698265429601E-2</v>
      </c>
    </row>
    <row r="206" spans="1:18" x14ac:dyDescent="0.25">
      <c r="A206" s="289"/>
      <c r="B206" s="364" t="s">
        <v>210</v>
      </c>
      <c r="C206" s="365">
        <v>3</v>
      </c>
      <c r="D206" s="366">
        <f t="shared" si="70"/>
        <v>1</v>
      </c>
      <c r="E206" s="385">
        <f t="shared" si="71"/>
        <v>-2</v>
      </c>
      <c r="F206" s="384">
        <f t="shared" si="72"/>
        <v>-3.8383838383838381E-2</v>
      </c>
      <c r="G206" s="385">
        <f t="shared" si="73"/>
        <v>-2</v>
      </c>
      <c r="H206" s="384">
        <f t="shared" si="73"/>
        <v>-4.2087542087542118E-2</v>
      </c>
      <c r="I206" s="385">
        <f t="shared" si="74"/>
        <v>-1</v>
      </c>
      <c r="J206" s="384">
        <f t="shared" si="75"/>
        <v>-1.9191919191919191E-2</v>
      </c>
      <c r="K206" s="385">
        <f t="shared" si="76"/>
        <v>6</v>
      </c>
      <c r="L206" s="384">
        <f t="shared" si="77"/>
        <v>0.10673400673400674</v>
      </c>
      <c r="M206" s="385">
        <f t="shared" si="78"/>
        <v>0</v>
      </c>
      <c r="N206" s="384">
        <f t="shared" si="79"/>
        <v>-2.6936026936026924E-3</v>
      </c>
      <c r="O206" s="385">
        <f t="shared" si="80"/>
        <v>1</v>
      </c>
      <c r="P206" s="384">
        <f t="shared" si="80"/>
        <v>1.5824915824915825E-2</v>
      </c>
      <c r="Q206" s="385">
        <f t="shared" si="80"/>
        <v>-1</v>
      </c>
      <c r="R206" s="384">
        <f t="shared" si="80"/>
        <v>-2.0202020202020193E-2</v>
      </c>
    </row>
    <row r="207" spans="1:18" x14ac:dyDescent="0.25">
      <c r="A207" s="289"/>
      <c r="B207" s="364" t="s">
        <v>211</v>
      </c>
      <c r="C207" s="365">
        <v>3</v>
      </c>
      <c r="D207" s="366">
        <f t="shared" si="70"/>
        <v>13</v>
      </c>
      <c r="E207" s="385">
        <f t="shared" si="71"/>
        <v>1</v>
      </c>
      <c r="F207" s="384">
        <f t="shared" si="72"/>
        <v>-6.1859314245316377E-3</v>
      </c>
      <c r="G207" s="385">
        <f t="shared" si="73"/>
        <v>10</v>
      </c>
      <c r="H207" s="384">
        <f t="shared" si="73"/>
        <v>6.6808059384941665E-2</v>
      </c>
      <c r="I207" s="385">
        <f t="shared" si="74"/>
        <v>-2</v>
      </c>
      <c r="J207" s="384">
        <f t="shared" si="75"/>
        <v>-3.3580770590314599E-2</v>
      </c>
      <c r="K207" s="385">
        <f t="shared" si="76"/>
        <v>5</v>
      </c>
      <c r="L207" s="384">
        <f t="shared" si="77"/>
        <v>4.718981972428421E-2</v>
      </c>
      <c r="M207" s="385">
        <f t="shared" si="78"/>
        <v>-1</v>
      </c>
      <c r="N207" s="384">
        <f t="shared" si="79"/>
        <v>-3.7469070342877331E-2</v>
      </c>
      <c r="O207" s="385">
        <f t="shared" si="80"/>
        <v>-1</v>
      </c>
      <c r="P207" s="384">
        <f t="shared" si="80"/>
        <v>-2.8278543655001778E-2</v>
      </c>
      <c r="Q207" s="385">
        <f t="shared" si="80"/>
        <v>1</v>
      </c>
      <c r="R207" s="384">
        <f t="shared" si="80"/>
        <v>-8.4835630965005293E-3</v>
      </c>
    </row>
    <row r="208" spans="1:18" x14ac:dyDescent="0.25">
      <c r="A208" s="289"/>
      <c r="B208" s="364" t="s">
        <v>257</v>
      </c>
      <c r="C208" s="365">
        <v>3</v>
      </c>
      <c r="D208" s="366">
        <f t="shared" si="70"/>
        <v>0</v>
      </c>
      <c r="E208" s="385">
        <f t="shared" si="71"/>
        <v>0</v>
      </c>
      <c r="F208" s="384">
        <f t="shared" si="72"/>
        <v>0</v>
      </c>
      <c r="G208" s="385">
        <f t="shared" si="73"/>
        <v>0</v>
      </c>
      <c r="H208" s="384">
        <f t="shared" si="73"/>
        <v>0</v>
      </c>
      <c r="I208" s="385">
        <f t="shared" si="74"/>
        <v>0</v>
      </c>
      <c r="J208" s="384">
        <f t="shared" si="75"/>
        <v>0</v>
      </c>
      <c r="K208" s="385">
        <f t="shared" si="76"/>
        <v>0</v>
      </c>
      <c r="L208" s="384">
        <f t="shared" si="77"/>
        <v>0</v>
      </c>
      <c r="M208" s="385">
        <f t="shared" si="78"/>
        <v>0</v>
      </c>
      <c r="N208" s="384">
        <f t="shared" si="79"/>
        <v>0</v>
      </c>
      <c r="O208" s="385">
        <f t="shared" si="80"/>
        <v>0</v>
      </c>
      <c r="P208" s="384">
        <f t="shared" si="80"/>
        <v>0</v>
      </c>
      <c r="Q208" s="385">
        <f t="shared" si="80"/>
        <v>0</v>
      </c>
      <c r="R208" s="384">
        <f t="shared" si="80"/>
        <v>0</v>
      </c>
    </row>
    <row r="209" spans="2:18" x14ac:dyDescent="0.25">
      <c r="B209" s="364" t="s">
        <v>220</v>
      </c>
      <c r="C209" s="365">
        <v>3</v>
      </c>
      <c r="D209" s="366">
        <f t="shared" si="70"/>
        <v>2</v>
      </c>
      <c r="E209" s="385">
        <f t="shared" si="71"/>
        <v>-9</v>
      </c>
      <c r="F209" s="384">
        <f t="shared" si="72"/>
        <v>-0.10940803382663847</v>
      </c>
      <c r="G209" s="385">
        <f t="shared" si="73"/>
        <v>8</v>
      </c>
      <c r="H209" s="384">
        <f t="shared" si="73"/>
        <v>8.6416490486257963E-2</v>
      </c>
      <c r="I209" s="385">
        <f t="shared" si="74"/>
        <v>-2</v>
      </c>
      <c r="J209" s="384">
        <f t="shared" si="75"/>
        <v>-2.7748414376321362E-2</v>
      </c>
      <c r="K209" s="385">
        <f t="shared" si="76"/>
        <v>9</v>
      </c>
      <c r="L209" s="384">
        <f t="shared" si="77"/>
        <v>0.10068710359408033</v>
      </c>
      <c r="M209" s="385">
        <f t="shared" si="78"/>
        <v>-2</v>
      </c>
      <c r="N209" s="384">
        <f t="shared" si="79"/>
        <v>-2.5105708245243136E-2</v>
      </c>
      <c r="O209" s="385">
        <f t="shared" si="80"/>
        <v>-2</v>
      </c>
      <c r="P209" s="384">
        <f t="shared" si="80"/>
        <v>-2.484143763213531E-2</v>
      </c>
      <c r="Q209" s="385">
        <f t="shared" si="80"/>
        <v>0</v>
      </c>
      <c r="R209" s="384">
        <f t="shared" si="80"/>
        <v>0</v>
      </c>
    </row>
    <row r="210" spans="2:18" x14ac:dyDescent="0.25">
      <c r="B210" s="364" t="s">
        <v>212</v>
      </c>
      <c r="C210" s="365">
        <v>3</v>
      </c>
      <c r="D210" s="366">
        <f t="shared" si="70"/>
        <v>4</v>
      </c>
      <c r="E210" s="385">
        <f t="shared" si="71"/>
        <v>2</v>
      </c>
      <c r="F210" s="384">
        <f t="shared" si="72"/>
        <v>1.9201850780798148E-2</v>
      </c>
      <c r="G210" s="385">
        <f t="shared" si="73"/>
        <v>-1</v>
      </c>
      <c r="H210" s="384">
        <f t="shared" si="73"/>
        <v>-3.6437246963562764E-2</v>
      </c>
      <c r="I210" s="385">
        <f t="shared" si="74"/>
        <v>-4</v>
      </c>
      <c r="J210" s="384">
        <f t="shared" si="75"/>
        <v>-4.8582995951417018E-2</v>
      </c>
      <c r="K210" s="385">
        <f t="shared" si="76"/>
        <v>3</v>
      </c>
      <c r="L210" s="384">
        <f t="shared" si="77"/>
        <v>3.0653556969346438E-2</v>
      </c>
      <c r="M210" s="385">
        <f t="shared" si="78"/>
        <v>-1</v>
      </c>
      <c r="N210" s="384">
        <f t="shared" si="79"/>
        <v>-1.1451706188548296E-2</v>
      </c>
      <c r="O210" s="385">
        <f t="shared" si="80"/>
        <v>5</v>
      </c>
      <c r="P210" s="384">
        <f t="shared" si="80"/>
        <v>4.6616541353383473E-2</v>
      </c>
      <c r="Q210" s="385">
        <f t="shared" si="80"/>
        <v>0</v>
      </c>
      <c r="R210" s="384">
        <f t="shared" si="80"/>
        <v>0</v>
      </c>
    </row>
    <row r="211" spans="2:18" x14ac:dyDescent="0.25">
      <c r="B211" s="364" t="s">
        <v>221</v>
      </c>
      <c r="C211" s="365">
        <v>4</v>
      </c>
      <c r="D211" s="366">
        <f t="shared" si="70"/>
        <v>-2</v>
      </c>
      <c r="E211" s="385">
        <f t="shared" si="71"/>
        <v>-1</v>
      </c>
      <c r="F211" s="384">
        <f t="shared" si="72"/>
        <v>-1.4097744360901943E-3</v>
      </c>
      <c r="G211" s="385">
        <f t="shared" si="73"/>
        <v>11</v>
      </c>
      <c r="H211" s="384">
        <f t="shared" si="73"/>
        <v>0.10119047619047619</v>
      </c>
      <c r="I211" s="385">
        <f t="shared" si="74"/>
        <v>-10</v>
      </c>
      <c r="J211" s="384">
        <f t="shared" si="75"/>
        <v>-8.4586466165413515E-2</v>
      </c>
      <c r="K211" s="385">
        <f t="shared" si="76"/>
        <v>0</v>
      </c>
      <c r="L211" s="384">
        <f t="shared" si="77"/>
        <v>7.8320802005012874E-4</v>
      </c>
      <c r="M211" s="385">
        <f t="shared" si="78"/>
        <v>0</v>
      </c>
      <c r="N211" s="384">
        <f t="shared" si="79"/>
        <v>6.2656641604010022E-4</v>
      </c>
      <c r="O211" s="385">
        <f t="shared" si="80"/>
        <v>0</v>
      </c>
      <c r="P211" s="384">
        <f t="shared" si="80"/>
        <v>7.8320802005012874E-4</v>
      </c>
      <c r="Q211" s="385">
        <f t="shared" si="80"/>
        <v>-2</v>
      </c>
      <c r="R211" s="384">
        <f t="shared" si="80"/>
        <v>-1.7387218045112781E-2</v>
      </c>
    </row>
    <row r="212" spans="2:18" x14ac:dyDescent="0.25">
      <c r="B212" s="364" t="s">
        <v>213</v>
      </c>
      <c r="C212" s="365">
        <v>4</v>
      </c>
      <c r="D212" s="366">
        <f t="shared" si="70"/>
        <v>5</v>
      </c>
      <c r="E212" s="385">
        <f t="shared" si="71"/>
        <v>-7</v>
      </c>
      <c r="F212" s="384">
        <f t="shared" si="72"/>
        <v>-6.7096322941646691E-2</v>
      </c>
      <c r="G212" s="385">
        <f t="shared" si="73"/>
        <v>6</v>
      </c>
      <c r="H212" s="384">
        <f t="shared" si="73"/>
        <v>3.7170263788968816E-2</v>
      </c>
      <c r="I212" s="385">
        <f t="shared" si="74"/>
        <v>1</v>
      </c>
      <c r="J212" s="384">
        <f t="shared" si="75"/>
        <v>4.4964028776978138E-4</v>
      </c>
      <c r="K212" s="385">
        <f t="shared" si="76"/>
        <v>1</v>
      </c>
      <c r="L212" s="384">
        <f t="shared" si="77"/>
        <v>6.694644284572341E-3</v>
      </c>
      <c r="M212" s="385">
        <f t="shared" si="78"/>
        <v>-2</v>
      </c>
      <c r="N212" s="384">
        <f t="shared" si="79"/>
        <v>-1.6137090327737809E-2</v>
      </c>
      <c r="O212" s="385">
        <f t="shared" si="80"/>
        <v>6</v>
      </c>
      <c r="P212" s="384">
        <f t="shared" si="80"/>
        <v>3.9168665067945641E-2</v>
      </c>
      <c r="Q212" s="385">
        <f t="shared" si="80"/>
        <v>0</v>
      </c>
      <c r="R212" s="384">
        <f t="shared" si="80"/>
        <v>-2.4980015987210308E-4</v>
      </c>
    </row>
    <row r="213" spans="2:18" x14ac:dyDescent="0.25">
      <c r="B213" s="364" t="s">
        <v>214</v>
      </c>
      <c r="C213" s="365">
        <v>4</v>
      </c>
      <c r="D213" s="366">
        <f t="shared" si="70"/>
        <v>6</v>
      </c>
      <c r="E213" s="385">
        <f t="shared" si="71"/>
        <v>5</v>
      </c>
      <c r="F213" s="384">
        <f t="shared" si="72"/>
        <v>3.0666977611940288E-2</v>
      </c>
      <c r="G213" s="385">
        <f t="shared" si="73"/>
        <v>8</v>
      </c>
      <c r="H213" s="384">
        <f t="shared" si="73"/>
        <v>3.8712686567164201E-2</v>
      </c>
      <c r="I213" s="385">
        <f t="shared" si="74"/>
        <v>0</v>
      </c>
      <c r="J213" s="384">
        <f t="shared" si="75"/>
        <v>-5.5970149253731366E-3</v>
      </c>
      <c r="K213" s="385">
        <f t="shared" si="76"/>
        <v>2</v>
      </c>
      <c r="L213" s="384">
        <f t="shared" si="77"/>
        <v>1.4925373134328358E-2</v>
      </c>
      <c r="M213" s="385">
        <f t="shared" si="78"/>
        <v>1</v>
      </c>
      <c r="N213" s="384">
        <f t="shared" si="79"/>
        <v>6.0634328358208922E-3</v>
      </c>
      <c r="O213" s="385">
        <f t="shared" si="80"/>
        <v>-10</v>
      </c>
      <c r="P213" s="384">
        <f t="shared" si="80"/>
        <v>-8.4771455223880604E-2</v>
      </c>
      <c r="Q213" s="385">
        <f t="shared" si="80"/>
        <v>0</v>
      </c>
      <c r="R213" s="384">
        <f t="shared" si="80"/>
        <v>0</v>
      </c>
    </row>
    <row r="214" spans="2:18" x14ac:dyDescent="0.25">
      <c r="B214" s="364" t="s">
        <v>259</v>
      </c>
      <c r="C214" s="365">
        <v>4</v>
      </c>
      <c r="D214" s="366">
        <f t="shared" si="70"/>
        <v>0</v>
      </c>
      <c r="E214" s="385">
        <f t="shared" si="71"/>
        <v>0</v>
      </c>
      <c r="F214" s="384">
        <f t="shared" si="72"/>
        <v>0</v>
      </c>
      <c r="G214" s="385">
        <f t="shared" si="73"/>
        <v>0</v>
      </c>
      <c r="H214" s="384">
        <f t="shared" si="73"/>
        <v>0</v>
      </c>
      <c r="I214" s="385">
        <f t="shared" si="74"/>
        <v>0</v>
      </c>
      <c r="J214" s="384">
        <f t="shared" si="75"/>
        <v>0</v>
      </c>
      <c r="K214" s="385">
        <f t="shared" si="76"/>
        <v>0</v>
      </c>
      <c r="L214" s="384">
        <f t="shared" si="77"/>
        <v>0</v>
      </c>
      <c r="M214" s="385">
        <f t="shared" si="78"/>
        <v>0</v>
      </c>
      <c r="N214" s="384">
        <f t="shared" si="79"/>
        <v>0</v>
      </c>
      <c r="O214" s="385">
        <f t="shared" si="80"/>
        <v>0</v>
      </c>
      <c r="P214" s="384">
        <f t="shared" si="80"/>
        <v>0</v>
      </c>
      <c r="Q214" s="385">
        <f t="shared" si="80"/>
        <v>0</v>
      </c>
      <c r="R214" s="384">
        <f t="shared" si="80"/>
        <v>0</v>
      </c>
    </row>
    <row r="215" spans="2:18" x14ac:dyDescent="0.25">
      <c r="B215" s="364" t="s">
        <v>261</v>
      </c>
      <c r="C215" s="365">
        <v>4</v>
      </c>
      <c r="D215" s="366">
        <f t="shared" si="70"/>
        <v>0</v>
      </c>
      <c r="E215" s="385">
        <f t="shared" si="71"/>
        <v>0</v>
      </c>
      <c r="F215" s="384">
        <f t="shared" si="72"/>
        <v>0</v>
      </c>
      <c r="G215" s="385">
        <f t="shared" si="73"/>
        <v>0</v>
      </c>
      <c r="H215" s="384">
        <f t="shared" si="73"/>
        <v>0</v>
      </c>
      <c r="I215" s="385">
        <f t="shared" si="74"/>
        <v>0</v>
      </c>
      <c r="J215" s="384">
        <f t="shared" si="75"/>
        <v>0</v>
      </c>
      <c r="K215" s="385">
        <f t="shared" si="76"/>
        <v>0</v>
      </c>
      <c r="L215" s="384">
        <f t="shared" si="77"/>
        <v>0</v>
      </c>
      <c r="M215" s="385">
        <f t="shared" si="78"/>
        <v>0</v>
      </c>
      <c r="N215" s="384">
        <f t="shared" si="79"/>
        <v>0</v>
      </c>
      <c r="O215" s="385">
        <f t="shared" si="80"/>
        <v>0</v>
      </c>
      <c r="P215" s="384">
        <f t="shared" si="80"/>
        <v>0</v>
      </c>
      <c r="Q215" s="385">
        <f t="shared" si="80"/>
        <v>0</v>
      </c>
      <c r="R215" s="384">
        <f t="shared" si="80"/>
        <v>0</v>
      </c>
    </row>
    <row r="216" spans="2:18" x14ac:dyDescent="0.25">
      <c r="B216" s="364" t="s">
        <v>262</v>
      </c>
      <c r="C216" s="365">
        <v>4</v>
      </c>
      <c r="D216" s="366">
        <f t="shared" si="70"/>
        <v>0</v>
      </c>
      <c r="E216" s="385">
        <f t="shared" si="71"/>
        <v>0</v>
      </c>
      <c r="F216" s="384">
        <f t="shared" si="72"/>
        <v>0</v>
      </c>
      <c r="G216" s="385">
        <f t="shared" si="73"/>
        <v>0</v>
      </c>
      <c r="H216" s="384">
        <f t="shared" si="73"/>
        <v>0</v>
      </c>
      <c r="I216" s="385">
        <f t="shared" si="74"/>
        <v>0</v>
      </c>
      <c r="J216" s="384">
        <f t="shared" si="75"/>
        <v>0</v>
      </c>
      <c r="K216" s="385">
        <f t="shared" si="76"/>
        <v>0</v>
      </c>
      <c r="L216" s="384">
        <f t="shared" si="77"/>
        <v>0</v>
      </c>
      <c r="M216" s="385">
        <f t="shared" si="78"/>
        <v>0</v>
      </c>
      <c r="N216" s="384">
        <f t="shared" si="79"/>
        <v>0</v>
      </c>
      <c r="O216" s="385">
        <f t="shared" si="80"/>
        <v>0</v>
      </c>
      <c r="P216" s="384">
        <f t="shared" si="80"/>
        <v>0</v>
      </c>
      <c r="Q216" s="385">
        <f t="shared" si="80"/>
        <v>0</v>
      </c>
      <c r="R216" s="384">
        <f t="shared" si="80"/>
        <v>0</v>
      </c>
    </row>
    <row r="217" spans="2:18" x14ac:dyDescent="0.25">
      <c r="B217" s="364" t="s">
        <v>215</v>
      </c>
      <c r="C217" s="365">
        <v>4</v>
      </c>
      <c r="D217" s="366">
        <f t="shared" si="70"/>
        <v>7</v>
      </c>
      <c r="E217" s="385">
        <f t="shared" si="71"/>
        <v>1</v>
      </c>
      <c r="F217" s="384">
        <f t="shared" si="72"/>
        <v>6.476302619958782E-3</v>
      </c>
      <c r="G217" s="385">
        <f t="shared" si="73"/>
        <v>1</v>
      </c>
      <c r="H217" s="384">
        <f t="shared" si="73"/>
        <v>-1.206947306446865E-2</v>
      </c>
      <c r="I217" s="385">
        <f t="shared" si="74"/>
        <v>0</v>
      </c>
      <c r="J217" s="384">
        <f t="shared" si="75"/>
        <v>-3.090962614071241E-3</v>
      </c>
      <c r="K217" s="385">
        <f t="shared" si="76"/>
        <v>3</v>
      </c>
      <c r="L217" s="384">
        <f t="shared" si="77"/>
        <v>2.6641153959375927E-2</v>
      </c>
      <c r="M217" s="385">
        <f t="shared" si="78"/>
        <v>1</v>
      </c>
      <c r="N217" s="384">
        <f t="shared" si="79"/>
        <v>-3.8269060936120258E-3</v>
      </c>
      <c r="O217" s="385">
        <f t="shared" si="80"/>
        <v>4</v>
      </c>
      <c r="P217" s="384">
        <f t="shared" si="80"/>
        <v>3.620841919340595E-2</v>
      </c>
      <c r="Q217" s="385">
        <f t="shared" si="80"/>
        <v>-3</v>
      </c>
      <c r="R217" s="384">
        <f t="shared" si="80"/>
        <v>-5.0338534000588769E-2</v>
      </c>
    </row>
    <row r="218" spans="2:18" x14ac:dyDescent="0.25">
      <c r="B218" s="364" t="s">
        <v>216</v>
      </c>
      <c r="C218" s="365">
        <v>5</v>
      </c>
      <c r="D218" s="366">
        <f t="shared" si="70"/>
        <v>7</v>
      </c>
      <c r="E218" s="385">
        <f t="shared" si="71"/>
        <v>-1</v>
      </c>
      <c r="F218" s="384">
        <f t="shared" si="72"/>
        <v>-1.8996415770609287E-2</v>
      </c>
      <c r="G218" s="385">
        <f t="shared" si="73"/>
        <v>11</v>
      </c>
      <c r="H218" s="384">
        <f t="shared" si="73"/>
        <v>5.5077658303464783E-2</v>
      </c>
      <c r="I218" s="385">
        <f t="shared" si="74"/>
        <v>-3</v>
      </c>
      <c r="J218" s="384">
        <f t="shared" si="75"/>
        <v>-2.381521306252489E-2</v>
      </c>
      <c r="K218" s="385">
        <f t="shared" si="76"/>
        <v>1</v>
      </c>
      <c r="L218" s="384">
        <f t="shared" si="77"/>
        <v>4.5001991238550337E-3</v>
      </c>
      <c r="M218" s="385">
        <f t="shared" si="78"/>
        <v>-2</v>
      </c>
      <c r="N218" s="384">
        <f t="shared" si="79"/>
        <v>-1.6248506571087215E-2</v>
      </c>
      <c r="O218" s="385">
        <f t="shared" si="80"/>
        <v>2</v>
      </c>
      <c r="P218" s="384">
        <f t="shared" si="80"/>
        <v>6.2126642771803964E-3</v>
      </c>
      <c r="Q218" s="385">
        <f t="shared" si="80"/>
        <v>-1</v>
      </c>
      <c r="R218" s="384">
        <f t="shared" si="80"/>
        <v>-6.7303863002787737E-3</v>
      </c>
    </row>
    <row r="219" spans="2:18" x14ac:dyDescent="0.25">
      <c r="B219" s="364" t="s">
        <v>217</v>
      </c>
      <c r="C219" s="365">
        <v>5</v>
      </c>
      <c r="D219" s="366">
        <f t="shared" si="70"/>
        <v>-24</v>
      </c>
      <c r="E219" s="385">
        <f t="shared" si="71"/>
        <v>-28</v>
      </c>
      <c r="F219" s="384">
        <f t="shared" si="72"/>
        <v>-6.7704544352296392E-2</v>
      </c>
      <c r="G219" s="385">
        <f t="shared" si="73"/>
        <v>12</v>
      </c>
      <c r="H219" s="384">
        <f t="shared" si="73"/>
        <v>7.0808477617731208E-2</v>
      </c>
      <c r="I219" s="385">
        <f t="shared" si="74"/>
        <v>-4</v>
      </c>
      <c r="J219" s="384">
        <f t="shared" si="75"/>
        <v>-1.2609728890828849E-2</v>
      </c>
      <c r="K219" s="385">
        <f t="shared" si="76"/>
        <v>5</v>
      </c>
      <c r="L219" s="384">
        <f t="shared" si="77"/>
        <v>2.4976962995295608E-2</v>
      </c>
      <c r="M219" s="385">
        <f t="shared" si="78"/>
        <v>-3</v>
      </c>
      <c r="N219" s="384">
        <f t="shared" si="79"/>
        <v>-6.0623696590523246E-3</v>
      </c>
      <c r="O219" s="385">
        <f t="shared" si="80"/>
        <v>-3</v>
      </c>
      <c r="P219" s="384">
        <f t="shared" si="80"/>
        <v>1.3094718463552979E-3</v>
      </c>
      <c r="Q219" s="385">
        <f t="shared" si="80"/>
        <v>-3</v>
      </c>
      <c r="R219" s="384">
        <f t="shared" si="80"/>
        <v>-1.0718269557204519E-2</v>
      </c>
    </row>
    <row r="220" spans="2:18" x14ac:dyDescent="0.25">
      <c r="B220" s="364" t="s">
        <v>219</v>
      </c>
      <c r="C220" s="365">
        <v>6</v>
      </c>
      <c r="D220" s="366">
        <f t="shared" si="70"/>
        <v>-11</v>
      </c>
      <c r="E220" s="385">
        <f t="shared" si="71"/>
        <v>-14</v>
      </c>
      <c r="F220" s="384">
        <f t="shared" si="72"/>
        <v>-8.2583033213285306E-2</v>
      </c>
      <c r="G220" s="385">
        <f t="shared" si="73"/>
        <v>6</v>
      </c>
      <c r="H220" s="384">
        <f t="shared" si="73"/>
        <v>4.9619847939175662E-2</v>
      </c>
      <c r="I220" s="385">
        <f t="shared" si="74"/>
        <v>1</v>
      </c>
      <c r="J220" s="384">
        <f t="shared" si="75"/>
        <v>7.3529411764705881E-3</v>
      </c>
      <c r="K220" s="385">
        <f t="shared" si="76"/>
        <v>4</v>
      </c>
      <c r="L220" s="384">
        <f t="shared" si="77"/>
        <v>4.2617046818727494E-2</v>
      </c>
      <c r="M220" s="385">
        <f t="shared" si="78"/>
        <v>-5</v>
      </c>
      <c r="N220" s="384">
        <f t="shared" si="79"/>
        <v>-1.6406562625050025E-2</v>
      </c>
      <c r="O220" s="385">
        <f t="shared" si="80"/>
        <v>0</v>
      </c>
      <c r="P220" s="384">
        <f t="shared" si="80"/>
        <v>5.5022008803521424E-4</v>
      </c>
      <c r="Q220" s="385">
        <f t="shared" si="80"/>
        <v>-3</v>
      </c>
      <c r="R220" s="384">
        <f t="shared" si="80"/>
        <v>-1.150460184073665E-3</v>
      </c>
    </row>
    <row r="222" spans="2:18" x14ac:dyDescent="0.25">
      <c r="B222" s="289"/>
      <c r="C222" s="289"/>
      <c r="D222" s="289"/>
      <c r="E222" s="376">
        <f>SUM(E203:E221)</f>
        <v>-47</v>
      </c>
      <c r="F222" s="376"/>
      <c r="G222" s="376">
        <f t="shared" ref="G222:Q222" si="81">SUM(G203:G221)</f>
        <v>80</v>
      </c>
      <c r="H222" s="376"/>
      <c r="I222" s="376">
        <f t="shared" si="81"/>
        <v>-29</v>
      </c>
      <c r="J222" s="376"/>
      <c r="K222" s="376">
        <f t="shared" si="81"/>
        <v>49</v>
      </c>
      <c r="L222" s="376"/>
      <c r="M222" s="376">
        <f t="shared" si="81"/>
        <v>-14</v>
      </c>
      <c r="N222" s="376"/>
      <c r="O222" s="376">
        <f t="shared" si="81"/>
        <v>0</v>
      </c>
      <c r="P222" s="376"/>
      <c r="Q222" s="376">
        <f t="shared" si="81"/>
        <v>-17</v>
      </c>
      <c r="R222" s="376"/>
    </row>
  </sheetData>
  <mergeCells count="1">
    <mergeCell ref="B52:E52"/>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2:BJ67"/>
  <sheetViews>
    <sheetView topLeftCell="AT1" workbookViewId="0">
      <selection activeCell="BE13" sqref="BE13"/>
    </sheetView>
  </sheetViews>
  <sheetFormatPr defaultColWidth="9.1796875" defaultRowHeight="15.5" x14ac:dyDescent="0.35"/>
  <cols>
    <col min="1" max="1" width="10.54296875" style="78" bestFit="1" customWidth="1"/>
    <col min="2" max="5" width="9.1796875" style="77"/>
    <col min="6" max="6" width="10.26953125" style="77" customWidth="1"/>
    <col min="7" max="8" width="9.1796875" style="77" customWidth="1"/>
    <col min="9" max="9" width="10.7265625" style="77" customWidth="1"/>
    <col min="10" max="12" width="10.7265625" style="78" customWidth="1"/>
    <col min="13" max="14" width="10.7265625" style="79" customWidth="1"/>
    <col min="15" max="19" width="10.7265625" style="77" customWidth="1"/>
    <col min="20" max="20" width="3.26953125" style="77" customWidth="1"/>
    <col min="21" max="23" width="10.7265625" style="77" customWidth="1"/>
    <col min="24" max="24" width="9.1796875" style="77" customWidth="1"/>
    <col min="25" max="25" width="10.81640625" style="78" customWidth="1"/>
    <col min="26" max="28" width="9.1796875" style="77" customWidth="1"/>
    <col min="29" max="29" width="11.26953125" style="79" customWidth="1"/>
    <col min="30" max="30" width="11.1796875" style="79" customWidth="1"/>
    <col min="31" max="31" width="14.453125" style="79" customWidth="1"/>
    <col min="32" max="32" width="9.1796875" style="79"/>
    <col min="33" max="33" width="8.81640625" style="79" bestFit="1" customWidth="1"/>
    <col min="34" max="36" width="9.1796875" style="79"/>
    <col min="37" max="37" width="10.453125" style="79" customWidth="1"/>
    <col min="38" max="38" width="13.453125" style="79" customWidth="1"/>
    <col min="39" max="43" width="9.1796875" style="79"/>
    <col min="44" max="44" width="11.1796875" style="79" customWidth="1"/>
    <col min="45" max="45" width="14.26953125" style="79" customWidth="1"/>
    <col min="46" max="50" width="9.1796875" style="79"/>
    <col min="51" max="51" width="10.1796875" style="79" bestFit="1" customWidth="1"/>
    <col min="52" max="52" width="14.26953125" style="79" customWidth="1"/>
    <col min="53" max="55" width="9.1796875" style="79"/>
    <col min="56" max="57" width="10.1796875" style="79" bestFit="1" customWidth="1"/>
    <col min="58" max="60" width="9.1796875" style="79"/>
    <col min="61" max="61" width="9.81640625" style="79" bestFit="1" customWidth="1"/>
    <col min="62" max="62" width="12.26953125" style="79" customWidth="1"/>
    <col min="63" max="16384" width="9.1796875" style="79"/>
  </cols>
  <sheetData>
    <row r="2" spans="1:62" ht="12" customHeight="1" x14ac:dyDescent="0.35">
      <c r="A2" s="293"/>
      <c r="B2" s="76" t="s">
        <v>304</v>
      </c>
      <c r="C2" s="1172"/>
      <c r="D2" s="1172"/>
      <c r="E2" s="1172"/>
      <c r="F2" s="1172"/>
      <c r="G2" s="1172"/>
      <c r="H2" s="1172"/>
      <c r="I2" s="1172"/>
      <c r="J2" s="293"/>
      <c r="K2" s="293"/>
      <c r="L2" s="293"/>
      <c r="O2" s="1172"/>
      <c r="P2" s="1172"/>
      <c r="Q2" s="1172"/>
      <c r="R2" s="1172"/>
      <c r="S2" s="1172"/>
      <c r="T2" s="1172"/>
      <c r="U2" s="1172"/>
      <c r="V2" s="1455" t="s">
        <v>305</v>
      </c>
      <c r="W2" s="1172"/>
      <c r="X2" s="1172"/>
      <c r="Y2" s="293"/>
      <c r="Z2" s="1172"/>
      <c r="AA2" s="1172"/>
      <c r="AB2" s="1172"/>
    </row>
    <row r="3" spans="1:62" ht="12" customHeight="1" x14ac:dyDescent="0.35">
      <c r="A3" s="293"/>
      <c r="B3" s="1172"/>
      <c r="C3" s="1172"/>
      <c r="D3" s="1172"/>
      <c r="E3" s="1172"/>
      <c r="F3" s="1172"/>
      <c r="G3" s="1172"/>
      <c r="H3" s="1172"/>
      <c r="I3" s="1172"/>
      <c r="J3" s="293"/>
      <c r="K3" s="293"/>
      <c r="L3" s="293"/>
      <c r="O3" s="1172"/>
      <c r="P3" s="1172"/>
      <c r="Q3" s="1172"/>
      <c r="R3" s="1172"/>
      <c r="S3" s="1172"/>
      <c r="T3" s="1172"/>
      <c r="U3" s="1172"/>
      <c r="V3" s="1456"/>
      <c r="W3" s="1172"/>
      <c r="X3" s="1174" t="s">
        <v>306</v>
      </c>
      <c r="Y3" s="293"/>
      <c r="Z3" s="1172"/>
      <c r="AA3" s="1172"/>
      <c r="AB3" s="1172"/>
    </row>
    <row r="4" spans="1:62" s="80" customFormat="1" ht="12" customHeight="1" x14ac:dyDescent="0.3">
      <c r="A4" s="293"/>
      <c r="B4" s="1172"/>
      <c r="C4" s="1172"/>
      <c r="D4" s="1172"/>
      <c r="E4" s="1172"/>
      <c r="F4" s="1457" t="s">
        <v>307</v>
      </c>
      <c r="G4" s="1457" t="s">
        <v>308</v>
      </c>
      <c r="H4" s="1457" t="s">
        <v>309</v>
      </c>
      <c r="I4" s="1458" t="s">
        <v>310</v>
      </c>
      <c r="J4" s="1459" t="s">
        <v>311</v>
      </c>
      <c r="K4" s="1459" t="s">
        <v>312</v>
      </c>
      <c r="L4" s="1459" t="s">
        <v>313</v>
      </c>
      <c r="M4" s="1459" t="s">
        <v>314</v>
      </c>
      <c r="N4" s="1459" t="s">
        <v>315</v>
      </c>
      <c r="O4" s="1459" t="s">
        <v>316</v>
      </c>
      <c r="P4" s="1459" t="s">
        <v>317</v>
      </c>
      <c r="Q4" s="1459" t="s">
        <v>318</v>
      </c>
      <c r="R4" s="1459" t="s">
        <v>319</v>
      </c>
      <c r="S4" s="1459" t="s">
        <v>320</v>
      </c>
      <c r="T4" s="1174"/>
      <c r="U4" s="1459" t="s">
        <v>321</v>
      </c>
      <c r="V4" s="1462" t="s">
        <v>322</v>
      </c>
      <c r="W4" s="1174"/>
      <c r="X4" s="1459" t="s">
        <v>323</v>
      </c>
      <c r="Y4" s="1459" t="s">
        <v>324</v>
      </c>
      <c r="Z4" s="1458" t="s">
        <v>325</v>
      </c>
      <c r="AA4" s="1459" t="s">
        <v>326</v>
      </c>
      <c r="AB4" s="1459" t="s">
        <v>327</v>
      </c>
      <c r="AC4" s="1462" t="s">
        <v>328</v>
      </c>
      <c r="AD4" s="1459" t="s">
        <v>329</v>
      </c>
      <c r="AE4" s="1459" t="s">
        <v>330</v>
      </c>
      <c r="AG4" s="1458" t="s">
        <v>331</v>
      </c>
      <c r="AH4" s="1459" t="s">
        <v>332</v>
      </c>
      <c r="AI4" s="1459" t="s">
        <v>333</v>
      </c>
      <c r="AJ4" s="1462" t="s">
        <v>334</v>
      </c>
      <c r="AK4" s="1459" t="s">
        <v>335</v>
      </c>
      <c r="AL4" s="1459" t="s">
        <v>330</v>
      </c>
      <c r="AN4" s="1458" t="s">
        <v>710</v>
      </c>
      <c r="AO4" s="1459" t="s">
        <v>711</v>
      </c>
      <c r="AP4" s="1459" t="s">
        <v>712</v>
      </c>
      <c r="AQ4" s="1462" t="s">
        <v>713</v>
      </c>
      <c r="AR4" s="1459" t="s">
        <v>714</v>
      </c>
      <c r="AS4" s="1459" t="s">
        <v>330</v>
      </c>
      <c r="AU4" s="1458" t="s">
        <v>849</v>
      </c>
      <c r="AV4" s="1459" t="s">
        <v>850</v>
      </c>
      <c r="AW4" s="1459" t="s">
        <v>851</v>
      </c>
      <c r="AX4" s="1462" t="s">
        <v>852</v>
      </c>
      <c r="AY4" s="1459" t="s">
        <v>853</v>
      </c>
      <c r="AZ4" s="1459" t="s">
        <v>330</v>
      </c>
      <c r="BB4" s="1458" t="s">
        <v>927</v>
      </c>
      <c r="BC4" s="1459" t="s">
        <v>928</v>
      </c>
      <c r="BD4" s="1459" t="s">
        <v>929</v>
      </c>
      <c r="BE4" s="1459" t="s">
        <v>330</v>
      </c>
      <c r="BG4" s="1458" t="s">
        <v>930</v>
      </c>
      <c r="BH4" s="1459" t="s">
        <v>931</v>
      </c>
      <c r="BI4" s="1459" t="s">
        <v>932</v>
      </c>
      <c r="BJ4" s="1459" t="s">
        <v>330</v>
      </c>
    </row>
    <row r="5" spans="1:62" s="80" customFormat="1" ht="12" customHeight="1" x14ac:dyDescent="0.3">
      <c r="A5" s="293"/>
      <c r="B5" s="1172"/>
      <c r="C5" s="1172"/>
      <c r="D5" s="1172"/>
      <c r="E5" s="1172"/>
      <c r="F5" s="1457"/>
      <c r="G5" s="1457"/>
      <c r="H5" s="1457"/>
      <c r="I5" s="1458"/>
      <c r="J5" s="1459"/>
      <c r="K5" s="1459"/>
      <c r="L5" s="1459"/>
      <c r="M5" s="1459"/>
      <c r="N5" s="1459"/>
      <c r="O5" s="1459"/>
      <c r="P5" s="1459"/>
      <c r="Q5" s="1459"/>
      <c r="R5" s="1459"/>
      <c r="S5" s="1459"/>
      <c r="T5" s="1174"/>
      <c r="U5" s="1459"/>
      <c r="V5" s="1463"/>
      <c r="W5" s="1174"/>
      <c r="X5" s="1459"/>
      <c r="Y5" s="1459"/>
      <c r="Z5" s="1458"/>
      <c r="AA5" s="1459"/>
      <c r="AB5" s="1459"/>
      <c r="AC5" s="1463"/>
      <c r="AD5" s="1459"/>
      <c r="AE5" s="1459"/>
      <c r="AG5" s="1458"/>
      <c r="AH5" s="1459"/>
      <c r="AI5" s="1459"/>
      <c r="AJ5" s="1463"/>
      <c r="AK5" s="1459"/>
      <c r="AL5" s="1459"/>
      <c r="AN5" s="1458"/>
      <c r="AO5" s="1459"/>
      <c r="AP5" s="1459"/>
      <c r="AQ5" s="1463"/>
      <c r="AR5" s="1459"/>
      <c r="AS5" s="1459"/>
      <c r="AU5" s="1458"/>
      <c r="AV5" s="1459"/>
      <c r="AW5" s="1459"/>
      <c r="AX5" s="1463"/>
      <c r="AY5" s="1459"/>
      <c r="AZ5" s="1459"/>
      <c r="BB5" s="1458"/>
      <c r="BC5" s="1459"/>
      <c r="BD5" s="1459"/>
      <c r="BE5" s="1459"/>
      <c r="BG5" s="1458"/>
      <c r="BH5" s="1459"/>
      <c r="BI5" s="1459"/>
      <c r="BJ5" s="1459"/>
    </row>
    <row r="6" spans="1:62" s="80" customFormat="1" ht="12" customHeight="1" x14ac:dyDescent="0.3">
      <c r="A6" s="293"/>
      <c r="B6" s="1465" t="s">
        <v>336</v>
      </c>
      <c r="C6" s="1466"/>
      <c r="D6" s="1466"/>
      <c r="E6" s="1467"/>
      <c r="F6" s="1457"/>
      <c r="G6" s="1457"/>
      <c r="H6" s="1457"/>
      <c r="I6" s="1458"/>
      <c r="J6" s="1459"/>
      <c r="K6" s="1459"/>
      <c r="L6" s="1459"/>
      <c r="M6" s="1459"/>
      <c r="N6" s="1459"/>
      <c r="O6" s="1459"/>
      <c r="P6" s="1459"/>
      <c r="Q6" s="1459"/>
      <c r="R6" s="1459"/>
      <c r="S6" s="1459"/>
      <c r="T6" s="1174"/>
      <c r="U6" s="1459"/>
      <c r="V6" s="1464"/>
      <c r="W6" s="1174"/>
      <c r="X6" s="1459"/>
      <c r="Y6" s="1459"/>
      <c r="Z6" s="1458"/>
      <c r="AA6" s="1459"/>
      <c r="AB6" s="1459"/>
      <c r="AC6" s="1464"/>
      <c r="AD6" s="1459"/>
      <c r="AE6" s="1459"/>
      <c r="AG6" s="1458"/>
      <c r="AH6" s="1459"/>
      <c r="AI6" s="1459"/>
      <c r="AJ6" s="1464"/>
      <c r="AK6" s="1459"/>
      <c r="AL6" s="1459"/>
      <c r="AN6" s="1458"/>
      <c r="AO6" s="1459"/>
      <c r="AP6" s="1459"/>
      <c r="AQ6" s="1464"/>
      <c r="AR6" s="1459"/>
      <c r="AS6" s="1459"/>
      <c r="AU6" s="1458"/>
      <c r="AV6" s="1459"/>
      <c r="AW6" s="1459"/>
      <c r="AX6" s="1464"/>
      <c r="AY6" s="1459"/>
      <c r="AZ6" s="1459"/>
      <c r="BB6" s="1458"/>
      <c r="BC6" s="1459"/>
      <c r="BD6" s="1459"/>
      <c r="BE6" s="1459"/>
      <c r="BG6" s="1458"/>
      <c r="BH6" s="1459"/>
      <c r="BI6" s="1459"/>
      <c r="BJ6" s="1459"/>
    </row>
    <row r="7" spans="1:62" ht="12" customHeight="1" x14ac:dyDescent="0.35">
      <c r="A7" s="1175">
        <v>9257010</v>
      </c>
      <c r="B7" s="1460" t="s">
        <v>337</v>
      </c>
      <c r="C7" s="1461"/>
      <c r="D7" s="1461"/>
      <c r="E7" s="1461"/>
      <c r="F7" s="1176">
        <v>35258</v>
      </c>
      <c r="G7" s="1176">
        <v>35258</v>
      </c>
      <c r="H7" s="1176">
        <v>35258</v>
      </c>
      <c r="I7" s="1176">
        <v>35258</v>
      </c>
      <c r="J7" s="1177"/>
      <c r="K7" s="1177"/>
      <c r="L7" s="1177"/>
      <c r="M7" s="1178">
        <v>0</v>
      </c>
      <c r="N7" s="1179"/>
      <c r="O7" s="1177"/>
      <c r="P7" s="86"/>
      <c r="Q7" s="86"/>
      <c r="R7" s="1174"/>
      <c r="S7" s="1174"/>
      <c r="T7" s="1174"/>
      <c r="U7" s="1174"/>
      <c r="V7" s="255">
        <f>(9/12)*51500</f>
        <v>38625</v>
      </c>
      <c r="W7" s="1174"/>
      <c r="X7" s="255">
        <f>(8/12)*864</f>
        <v>576</v>
      </c>
      <c r="Y7" s="89">
        <f>I7+L7+Q7+U7+V7</f>
        <v>73883</v>
      </c>
      <c r="Z7" s="255">
        <f>I7</f>
        <v>35258</v>
      </c>
      <c r="AA7" s="255"/>
      <c r="AB7" s="255"/>
      <c r="AC7" s="255">
        <f>51500*(5/12)</f>
        <v>21458.333333333336</v>
      </c>
      <c r="AD7" s="255"/>
      <c r="AE7" s="255">
        <f>SUM(Z7:AD7)</f>
        <v>56716.333333333336</v>
      </c>
      <c r="AG7" s="255">
        <v>35258</v>
      </c>
      <c r="AH7" s="255"/>
      <c r="AI7" s="255"/>
      <c r="AJ7" s="255">
        <v>0</v>
      </c>
      <c r="AK7" s="255"/>
      <c r="AL7" s="255">
        <f>SUM(AG7:AK7)</f>
        <v>35258</v>
      </c>
      <c r="AN7" s="255">
        <v>26443.5</v>
      </c>
      <c r="AO7" s="255"/>
      <c r="AP7" s="255"/>
      <c r="AQ7" s="255">
        <v>0</v>
      </c>
      <c r="AR7" s="255"/>
      <c r="AS7" s="255">
        <f>SUM(AN7:AR7)</f>
        <v>26443.5</v>
      </c>
      <c r="AU7" s="255">
        <v>35258</v>
      </c>
      <c r="AV7" s="255"/>
      <c r="AW7" s="255"/>
      <c r="AX7" s="255">
        <v>0</v>
      </c>
      <c r="AY7" s="255"/>
      <c r="AZ7" s="255">
        <f>SUM(AU7:AY7)</f>
        <v>35258</v>
      </c>
      <c r="BB7" s="1256">
        <v>35258</v>
      </c>
      <c r="BC7" s="255"/>
      <c r="BD7" s="255"/>
      <c r="BE7" s="255">
        <f t="shared" ref="BE7:BE26" si="0">SUM(BB7:BD7)</f>
        <v>35258</v>
      </c>
      <c r="BG7" s="1256">
        <v>35258</v>
      </c>
      <c r="BH7" s="255"/>
      <c r="BI7" s="255"/>
      <c r="BJ7" s="255">
        <f t="shared" ref="BJ7:BJ26" si="1">SUM(BG7:BI7)</f>
        <v>35258</v>
      </c>
    </row>
    <row r="8" spans="1:62" ht="12" customHeight="1" x14ac:dyDescent="0.35">
      <c r="A8" s="1175">
        <v>9257030</v>
      </c>
      <c r="B8" s="1460" t="s">
        <v>338</v>
      </c>
      <c r="C8" s="1461"/>
      <c r="D8" s="1461"/>
      <c r="E8" s="1461"/>
      <c r="F8" s="255"/>
      <c r="G8" s="255"/>
      <c r="H8" s="255"/>
      <c r="I8" s="255"/>
      <c r="J8" s="1177"/>
      <c r="K8" s="1177"/>
      <c r="L8" s="1177"/>
      <c r="M8" s="1178">
        <v>0</v>
      </c>
      <c r="N8" s="1179"/>
      <c r="O8" s="1177"/>
      <c r="P8" s="1177"/>
      <c r="Q8" s="1177"/>
      <c r="R8" s="1174"/>
      <c r="S8" s="1174"/>
      <c r="T8" s="1174"/>
      <c r="U8" s="1174"/>
      <c r="V8" s="255"/>
      <c r="W8" s="1174"/>
      <c r="X8" s="255"/>
      <c r="Y8" s="89">
        <f t="shared" ref="Y8:Y25" si="2">I8+L8+Q8+U8+V8</f>
        <v>0</v>
      </c>
      <c r="Z8" s="255"/>
      <c r="AA8" s="255"/>
      <c r="AB8" s="255"/>
      <c r="AC8" s="158"/>
      <c r="AD8" s="255"/>
      <c r="AE8" s="255">
        <f t="shared" ref="AE8:AE26" si="3">SUM(Z8:AD8)</f>
        <v>0</v>
      </c>
      <c r="AG8" s="255"/>
      <c r="AH8" s="255"/>
      <c r="AI8" s="255"/>
      <c r="AJ8" s="158"/>
      <c r="AK8" s="255"/>
      <c r="AL8" s="255">
        <f t="shared" ref="AL8:AL26" si="4">SUM(AG8:AK8)</f>
        <v>0</v>
      </c>
      <c r="AN8" s="255"/>
      <c r="AO8" s="255"/>
      <c r="AP8" s="255"/>
      <c r="AQ8" s="158"/>
      <c r="AR8" s="255"/>
      <c r="AS8" s="255">
        <f t="shared" ref="AS8:AS26" si="5">SUM(AN8:AR8)</f>
        <v>0</v>
      </c>
      <c r="AU8" s="255"/>
      <c r="AV8" s="255"/>
      <c r="AW8" s="255"/>
      <c r="AX8" s="158"/>
      <c r="AY8" s="255"/>
      <c r="AZ8" s="255">
        <f t="shared" ref="AZ8:AZ26" si="6">SUM(AU8:AY8)</f>
        <v>0</v>
      </c>
      <c r="BB8" s="1256"/>
      <c r="BC8" s="255"/>
      <c r="BD8" s="255"/>
      <c r="BE8" s="255">
        <f t="shared" si="0"/>
        <v>0</v>
      </c>
      <c r="BG8" s="1256"/>
      <c r="BH8" s="255"/>
      <c r="BI8" s="255"/>
      <c r="BJ8" s="255">
        <f t="shared" si="1"/>
        <v>0</v>
      </c>
    </row>
    <row r="9" spans="1:62" ht="12" customHeight="1" x14ac:dyDescent="0.35">
      <c r="A9" s="1175">
        <v>9257031</v>
      </c>
      <c r="B9" s="1460" t="s">
        <v>339</v>
      </c>
      <c r="C9" s="1461"/>
      <c r="D9" s="1461"/>
      <c r="E9" s="1461"/>
      <c r="F9" s="255"/>
      <c r="G9" s="255"/>
      <c r="H9" s="255"/>
      <c r="I9" s="255"/>
      <c r="J9" s="1177"/>
      <c r="K9" s="1177"/>
      <c r="L9" s="1177"/>
      <c r="M9" s="1178">
        <v>0</v>
      </c>
      <c r="N9" s="1179"/>
      <c r="O9" s="1177"/>
      <c r="P9" s="1177"/>
      <c r="Q9" s="1177"/>
      <c r="R9" s="1174"/>
      <c r="S9" s="1174"/>
      <c r="T9" s="1174"/>
      <c r="U9" s="1174"/>
      <c r="V9" s="255"/>
      <c r="W9" s="1174"/>
      <c r="X9" s="255"/>
      <c r="Y9" s="89">
        <f t="shared" si="2"/>
        <v>0</v>
      </c>
      <c r="Z9" s="255"/>
      <c r="AA9" s="255"/>
      <c r="AB9" s="255"/>
      <c r="AC9" s="158"/>
      <c r="AD9" s="255"/>
      <c r="AE9" s="255">
        <f t="shared" si="3"/>
        <v>0</v>
      </c>
      <c r="AG9" s="255"/>
      <c r="AH9" s="255"/>
      <c r="AI9" s="255"/>
      <c r="AJ9" s="158"/>
      <c r="AK9" s="255"/>
      <c r="AL9" s="255">
        <f t="shared" si="4"/>
        <v>0</v>
      </c>
      <c r="AN9" s="255"/>
      <c r="AO9" s="255"/>
      <c r="AP9" s="255"/>
      <c r="AQ9" s="158"/>
      <c r="AR9" s="255"/>
      <c r="AS9" s="255">
        <f t="shared" si="5"/>
        <v>0</v>
      </c>
      <c r="AU9" s="255"/>
      <c r="AV9" s="255"/>
      <c r="AW9" s="255"/>
      <c r="AX9" s="158"/>
      <c r="AY9" s="255"/>
      <c r="AZ9" s="255">
        <f t="shared" si="6"/>
        <v>0</v>
      </c>
      <c r="BB9" s="1256"/>
      <c r="BC9" s="255"/>
      <c r="BD9" s="255"/>
      <c r="BE9" s="255">
        <f t="shared" si="0"/>
        <v>0</v>
      </c>
      <c r="BG9" s="1256"/>
      <c r="BH9" s="255"/>
      <c r="BI9" s="255"/>
      <c r="BJ9" s="255">
        <f t="shared" si="1"/>
        <v>0</v>
      </c>
    </row>
    <row r="10" spans="1:62" ht="12" customHeight="1" x14ac:dyDescent="0.35">
      <c r="A10" s="1175">
        <v>9257008</v>
      </c>
      <c r="B10" s="1460" t="s">
        <v>340</v>
      </c>
      <c r="C10" s="1461"/>
      <c r="D10" s="1461"/>
      <c r="E10" s="1461"/>
      <c r="F10" s="255"/>
      <c r="G10" s="255"/>
      <c r="H10" s="255"/>
      <c r="I10" s="255"/>
      <c r="J10" s="255"/>
      <c r="K10" s="255"/>
      <c r="L10" s="255"/>
      <c r="M10" s="1180">
        <v>4</v>
      </c>
      <c r="N10" s="1176">
        <v>44916</v>
      </c>
      <c r="O10" s="255">
        <v>51500</v>
      </c>
      <c r="P10" s="255">
        <v>51500</v>
      </c>
      <c r="Q10" s="255">
        <v>51500</v>
      </c>
      <c r="R10" s="1174"/>
      <c r="S10" s="1174"/>
      <c r="T10" s="1174"/>
      <c r="U10" s="1174"/>
      <c r="V10" s="255"/>
      <c r="W10" s="1174"/>
      <c r="X10" s="255"/>
      <c r="Y10" s="89">
        <f t="shared" si="2"/>
        <v>51500</v>
      </c>
      <c r="Z10" s="255"/>
      <c r="AA10" s="255"/>
      <c r="AB10" s="255">
        <f>Q10*(5/12)</f>
        <v>21458.333333333336</v>
      </c>
      <c r="AC10" s="255">
        <f>51500*(5/12)</f>
        <v>21458.333333333336</v>
      </c>
      <c r="AD10" s="255"/>
      <c r="AE10" s="255">
        <f t="shared" si="3"/>
        <v>42916.666666666672</v>
      </c>
      <c r="AG10" s="255"/>
      <c r="AH10" s="255"/>
      <c r="AI10" s="255">
        <v>617500</v>
      </c>
      <c r="AJ10" s="255">
        <v>0</v>
      </c>
      <c r="AK10" s="255"/>
      <c r="AL10" s="255">
        <f t="shared" si="4"/>
        <v>617500</v>
      </c>
      <c r="AN10" s="255"/>
      <c r="AO10" s="255"/>
      <c r="AP10" s="255">
        <v>617500</v>
      </c>
      <c r="AQ10" s="255">
        <v>0</v>
      </c>
      <c r="AR10" s="255"/>
      <c r="AS10" s="255">
        <f t="shared" si="5"/>
        <v>617500</v>
      </c>
      <c r="AU10" s="255"/>
      <c r="AV10" s="255"/>
      <c r="AW10" s="255">
        <v>617500</v>
      </c>
      <c r="AX10" s="255">
        <v>0</v>
      </c>
      <c r="AY10" s="255"/>
      <c r="AZ10" s="255">
        <f t="shared" si="6"/>
        <v>617500</v>
      </c>
      <c r="BB10" s="1256"/>
      <c r="BC10" s="1257">
        <v>617500</v>
      </c>
      <c r="BD10" s="255"/>
      <c r="BE10" s="255">
        <f t="shared" si="0"/>
        <v>617500</v>
      </c>
      <c r="BG10" s="1256"/>
      <c r="BH10" s="1257">
        <v>617500</v>
      </c>
      <c r="BI10" s="255"/>
      <c r="BJ10" s="255">
        <f t="shared" si="1"/>
        <v>617500</v>
      </c>
    </row>
    <row r="11" spans="1:62" ht="12" customHeight="1" x14ac:dyDescent="0.35">
      <c r="A11" s="1175">
        <v>9257002</v>
      </c>
      <c r="B11" s="1460" t="s">
        <v>341</v>
      </c>
      <c r="C11" s="1461"/>
      <c r="D11" s="1461"/>
      <c r="E11" s="1461"/>
      <c r="F11" s="255"/>
      <c r="G11" s="255"/>
      <c r="H11" s="255"/>
      <c r="I11" s="255"/>
      <c r="J11" s="255">
        <v>60000</v>
      </c>
      <c r="K11" s="255">
        <v>60000</v>
      </c>
      <c r="L11" s="255">
        <v>60000</v>
      </c>
      <c r="M11" s="1178">
        <v>0</v>
      </c>
      <c r="N11" s="1176"/>
      <c r="O11" s="255"/>
      <c r="P11" s="255"/>
      <c r="Q11" s="255"/>
      <c r="R11" s="1174"/>
      <c r="S11" s="1174"/>
      <c r="T11" s="1174"/>
      <c r="U11" s="1174"/>
      <c r="V11" s="255"/>
      <c r="W11" s="1174"/>
      <c r="X11" s="255"/>
      <c r="Y11" s="89">
        <f t="shared" si="2"/>
        <v>60000</v>
      </c>
      <c r="Z11" s="255"/>
      <c r="AA11" s="255"/>
      <c r="AB11" s="255"/>
      <c r="AC11" s="158"/>
      <c r="AD11" s="255"/>
      <c r="AE11" s="255">
        <f t="shared" si="3"/>
        <v>0</v>
      </c>
      <c r="AG11" s="255"/>
      <c r="AH11" s="255"/>
      <c r="AI11" s="255"/>
      <c r="AJ11" s="158"/>
      <c r="AK11" s="255"/>
      <c r="AL11" s="255">
        <f t="shared" si="4"/>
        <v>0</v>
      </c>
      <c r="AN11" s="255"/>
      <c r="AO11" s="255"/>
      <c r="AP11" s="255"/>
      <c r="AQ11" s="158"/>
      <c r="AR11" s="255"/>
      <c r="AS11" s="255">
        <f t="shared" si="5"/>
        <v>0</v>
      </c>
      <c r="AU11" s="255"/>
      <c r="AV11" s="255"/>
      <c r="AW11" s="255"/>
      <c r="AX11" s="158"/>
      <c r="AY11" s="255"/>
      <c r="AZ11" s="255">
        <f t="shared" si="6"/>
        <v>0</v>
      </c>
      <c r="BB11" s="1256"/>
      <c r="BC11" s="255"/>
      <c r="BD11" s="255"/>
      <c r="BE11" s="255">
        <f t="shared" si="0"/>
        <v>0</v>
      </c>
      <c r="BG11" s="1256"/>
      <c r="BH11" s="255"/>
      <c r="BI11" s="255"/>
      <c r="BJ11" s="255">
        <f t="shared" si="1"/>
        <v>0</v>
      </c>
    </row>
    <row r="12" spans="1:62" ht="12" customHeight="1" x14ac:dyDescent="0.35">
      <c r="A12" s="1175">
        <v>9257005</v>
      </c>
      <c r="B12" s="1460" t="s">
        <v>342</v>
      </c>
      <c r="C12" s="1461"/>
      <c r="D12" s="1461"/>
      <c r="E12" s="1461"/>
      <c r="F12" s="1176">
        <v>35258</v>
      </c>
      <c r="G12" s="1176">
        <v>35258</v>
      </c>
      <c r="H12" s="1176">
        <v>35258</v>
      </c>
      <c r="I12" s="1176">
        <v>35258</v>
      </c>
      <c r="J12" s="255"/>
      <c r="K12" s="255"/>
      <c r="L12" s="255"/>
      <c r="M12" s="1178">
        <v>0</v>
      </c>
      <c r="N12" s="1176"/>
      <c r="O12" s="255"/>
      <c r="P12" s="255"/>
      <c r="Q12" s="255"/>
      <c r="R12" s="1174"/>
      <c r="S12" s="1174"/>
      <c r="T12" s="1174"/>
      <c r="U12" s="1174"/>
      <c r="V12" s="255"/>
      <c r="W12" s="1174"/>
      <c r="X12" s="255">
        <f>(8/12)*2591</f>
        <v>1727.3333333333333</v>
      </c>
      <c r="Y12" s="89">
        <f t="shared" si="2"/>
        <v>35258</v>
      </c>
      <c r="Z12" s="255">
        <f>I12</f>
        <v>35258</v>
      </c>
      <c r="AA12" s="255"/>
      <c r="AB12" s="255"/>
      <c r="AC12" s="158"/>
      <c r="AD12" s="255"/>
      <c r="AE12" s="255">
        <f t="shared" si="3"/>
        <v>35258</v>
      </c>
      <c r="AG12" s="255">
        <v>35258</v>
      </c>
      <c r="AH12" s="255"/>
      <c r="AI12" s="255"/>
      <c r="AJ12" s="158"/>
      <c r="AK12" s="255"/>
      <c r="AL12" s="255">
        <f t="shared" si="4"/>
        <v>35258</v>
      </c>
      <c r="AN12" s="255">
        <v>26443.5</v>
      </c>
      <c r="AO12" s="255"/>
      <c r="AP12" s="255"/>
      <c r="AQ12" s="158"/>
      <c r="AR12" s="255"/>
      <c r="AS12" s="255">
        <f t="shared" si="5"/>
        <v>26443.5</v>
      </c>
      <c r="AU12" s="255">
        <v>35258</v>
      </c>
      <c r="AV12" s="255"/>
      <c r="AW12" s="255"/>
      <c r="AX12" s="158"/>
      <c r="AY12" s="255"/>
      <c r="AZ12" s="255">
        <f t="shared" si="6"/>
        <v>35258</v>
      </c>
      <c r="BB12" s="1256">
        <v>35258</v>
      </c>
      <c r="BC12" s="255"/>
      <c r="BD12" s="255"/>
      <c r="BE12" s="255">
        <f t="shared" si="0"/>
        <v>35258</v>
      </c>
      <c r="BG12" s="1256">
        <v>35258</v>
      </c>
      <c r="BH12" s="255"/>
      <c r="BI12" s="255"/>
      <c r="BJ12" s="255">
        <f t="shared" si="1"/>
        <v>35258</v>
      </c>
    </row>
    <row r="13" spans="1:62" ht="12" customHeight="1" x14ac:dyDescent="0.35">
      <c r="A13" s="1175">
        <v>9257034</v>
      </c>
      <c r="B13" s="1460" t="s">
        <v>343</v>
      </c>
      <c r="C13" s="1461"/>
      <c r="D13" s="1461"/>
      <c r="E13" s="1461"/>
      <c r="F13" s="255"/>
      <c r="G13" s="255"/>
      <c r="H13" s="255"/>
      <c r="I13" s="255"/>
      <c r="J13" s="255"/>
      <c r="K13" s="255"/>
      <c r="L13" s="255"/>
      <c r="M13" s="1178">
        <v>0</v>
      </c>
      <c r="N13" s="1176"/>
      <c r="O13" s="255"/>
      <c r="P13" s="255"/>
      <c r="Q13" s="255"/>
      <c r="R13" s="1174"/>
      <c r="S13" s="1174"/>
      <c r="T13" s="1174"/>
      <c r="U13" s="1174"/>
      <c r="V13" s="255"/>
      <c r="W13" s="1174"/>
      <c r="X13" s="255">
        <f>(8/12)*3455</f>
        <v>2303.333333333333</v>
      </c>
      <c r="Y13" s="89">
        <f t="shared" si="2"/>
        <v>0</v>
      </c>
      <c r="Z13" s="255"/>
      <c r="AA13" s="255"/>
      <c r="AB13" s="255"/>
      <c r="AC13" s="158"/>
      <c r="AD13" s="255"/>
      <c r="AE13" s="255">
        <f t="shared" si="3"/>
        <v>0</v>
      </c>
      <c r="AG13" s="255"/>
      <c r="AH13" s="255"/>
      <c r="AI13" s="255"/>
      <c r="AJ13" s="158"/>
      <c r="AK13" s="255"/>
      <c r="AL13" s="255">
        <f t="shared" si="4"/>
        <v>0</v>
      </c>
      <c r="AN13" s="255"/>
      <c r="AO13" s="255"/>
      <c r="AP13" s="255"/>
      <c r="AQ13" s="158"/>
      <c r="AR13" s="255"/>
      <c r="AS13" s="255">
        <f t="shared" si="5"/>
        <v>0</v>
      </c>
      <c r="AU13" s="255"/>
      <c r="AV13" s="255"/>
      <c r="AW13" s="255"/>
      <c r="AX13" s="158"/>
      <c r="AY13" s="255"/>
      <c r="AZ13" s="255">
        <f t="shared" si="6"/>
        <v>0</v>
      </c>
      <c r="BB13" s="1256"/>
      <c r="BC13" s="255"/>
      <c r="BD13" s="255"/>
      <c r="BE13" s="255">
        <f t="shared" si="0"/>
        <v>0</v>
      </c>
      <c r="BG13" s="1256"/>
      <c r="BH13" s="255"/>
      <c r="BI13" s="255"/>
      <c r="BJ13" s="255">
        <f t="shared" si="1"/>
        <v>0</v>
      </c>
    </row>
    <row r="14" spans="1:62" ht="12" customHeight="1" x14ac:dyDescent="0.35">
      <c r="A14" s="1175">
        <v>9257021</v>
      </c>
      <c r="B14" s="1460" t="s">
        <v>344</v>
      </c>
      <c r="C14" s="1461"/>
      <c r="D14" s="1461"/>
      <c r="E14" s="1461"/>
      <c r="F14" s="255"/>
      <c r="G14" s="255"/>
      <c r="H14" s="255">
        <v>35258</v>
      </c>
      <c r="I14" s="1176">
        <v>35258</v>
      </c>
      <c r="J14" s="255"/>
      <c r="K14" s="255"/>
      <c r="L14" s="255"/>
      <c r="M14" s="1178">
        <v>0</v>
      </c>
      <c r="N14" s="1176"/>
      <c r="O14" s="255"/>
      <c r="P14" s="255"/>
      <c r="Q14" s="255"/>
      <c r="R14" s="255">
        <v>274420</v>
      </c>
      <c r="S14" s="255">
        <f>R14*(3/12)</f>
        <v>68605</v>
      </c>
      <c r="T14" s="1174" t="s">
        <v>345</v>
      </c>
      <c r="U14" s="1174"/>
      <c r="V14" s="255"/>
      <c r="W14" s="1174"/>
      <c r="X14" s="255"/>
      <c r="Y14" s="89">
        <f t="shared" si="2"/>
        <v>35258</v>
      </c>
      <c r="Z14" s="255">
        <f>I14</f>
        <v>35258</v>
      </c>
      <c r="AA14" s="255"/>
      <c r="AB14" s="255"/>
      <c r="AC14" s="158"/>
      <c r="AD14" s="255"/>
      <c r="AE14" s="255">
        <f t="shared" si="3"/>
        <v>35258</v>
      </c>
      <c r="AG14" s="255">
        <v>35258</v>
      </c>
      <c r="AH14" s="255"/>
      <c r="AI14" s="255"/>
      <c r="AJ14" s="158"/>
      <c r="AK14" s="255"/>
      <c r="AL14" s="255">
        <f t="shared" si="4"/>
        <v>35258</v>
      </c>
      <c r="AN14" s="255">
        <v>26443.5</v>
      </c>
      <c r="AO14" s="255"/>
      <c r="AP14" s="255"/>
      <c r="AQ14" s="158"/>
      <c r="AR14" s="255"/>
      <c r="AS14" s="255">
        <f t="shared" si="5"/>
        <v>26443.5</v>
      </c>
      <c r="AU14" s="255">
        <v>35258</v>
      </c>
      <c r="AV14" s="255"/>
      <c r="AW14" s="255"/>
      <c r="AX14" s="158"/>
      <c r="AY14" s="255"/>
      <c r="AZ14" s="255">
        <f t="shared" si="6"/>
        <v>35258</v>
      </c>
      <c r="BB14" s="1256">
        <v>35258</v>
      </c>
      <c r="BC14" s="255"/>
      <c r="BD14" s="255"/>
      <c r="BE14" s="255">
        <f t="shared" si="0"/>
        <v>35258</v>
      </c>
      <c r="BG14" s="1256">
        <v>35258</v>
      </c>
      <c r="BH14" s="255"/>
      <c r="BI14" s="255"/>
      <c r="BJ14" s="255">
        <f t="shared" si="1"/>
        <v>35258</v>
      </c>
    </row>
    <row r="15" spans="1:62" s="77" customFormat="1" ht="12" customHeight="1" x14ac:dyDescent="0.3">
      <c r="A15" s="1175">
        <v>9257033</v>
      </c>
      <c r="B15" s="1460" t="s">
        <v>346</v>
      </c>
      <c r="C15" s="1461"/>
      <c r="D15" s="1461"/>
      <c r="E15" s="1461"/>
      <c r="F15" s="1176">
        <v>35258</v>
      </c>
      <c r="G15" s="1176">
        <v>35258</v>
      </c>
      <c r="H15" s="1176">
        <v>35258</v>
      </c>
      <c r="I15" s="1176">
        <v>35258</v>
      </c>
      <c r="J15" s="255"/>
      <c r="K15" s="255"/>
      <c r="L15" s="255"/>
      <c r="M15" s="1178">
        <v>0</v>
      </c>
      <c r="N15" s="1176"/>
      <c r="O15" s="255"/>
      <c r="P15" s="86"/>
      <c r="Q15" s="86"/>
      <c r="R15" s="1174"/>
      <c r="S15" s="1174"/>
      <c r="T15" s="1174"/>
      <c r="U15" s="1174"/>
      <c r="V15" s="255">
        <f>(9/12)*51500</f>
        <v>38625</v>
      </c>
      <c r="W15" s="1174"/>
      <c r="X15" s="255"/>
      <c r="Y15" s="89">
        <f t="shared" si="2"/>
        <v>73883</v>
      </c>
      <c r="Z15" s="255">
        <f>I15</f>
        <v>35258</v>
      </c>
      <c r="AA15" s="255"/>
      <c r="AB15" s="255"/>
      <c r="AC15" s="255">
        <f>51500*(5/12)</f>
        <v>21458.333333333336</v>
      </c>
      <c r="AD15" s="255"/>
      <c r="AE15" s="255">
        <f t="shared" si="3"/>
        <v>56716.333333333336</v>
      </c>
      <c r="AF15" s="1172"/>
      <c r="AG15" s="255">
        <v>35258</v>
      </c>
      <c r="AH15" s="255"/>
      <c r="AI15" s="255"/>
      <c r="AJ15" s="255">
        <v>0</v>
      </c>
      <c r="AK15" s="255"/>
      <c r="AL15" s="255">
        <f t="shared" si="4"/>
        <v>35258</v>
      </c>
      <c r="AM15" s="1172"/>
      <c r="AN15" s="255">
        <v>26443.5</v>
      </c>
      <c r="AO15" s="255"/>
      <c r="AP15" s="255"/>
      <c r="AQ15" s="255">
        <v>0</v>
      </c>
      <c r="AR15" s="255"/>
      <c r="AS15" s="255">
        <f t="shared" si="5"/>
        <v>26443.5</v>
      </c>
      <c r="AT15" s="1172"/>
      <c r="AU15" s="255">
        <v>35258</v>
      </c>
      <c r="AV15" s="255"/>
      <c r="AW15" s="255"/>
      <c r="AX15" s="255">
        <v>0</v>
      </c>
      <c r="AY15" s="255"/>
      <c r="AZ15" s="255">
        <f t="shared" si="6"/>
        <v>35258</v>
      </c>
      <c r="BA15" s="1172"/>
      <c r="BB15" s="1256">
        <v>35258</v>
      </c>
      <c r="BC15" s="255"/>
      <c r="BD15" s="255"/>
      <c r="BE15" s="255">
        <f t="shared" si="0"/>
        <v>35258</v>
      </c>
      <c r="BF15" s="1172"/>
      <c r="BG15" s="1256"/>
      <c r="BH15" s="255"/>
      <c r="BI15" s="255"/>
      <c r="BJ15" s="255">
        <f t="shared" si="1"/>
        <v>0</v>
      </c>
    </row>
    <row r="16" spans="1:62" s="77" customFormat="1" ht="12" customHeight="1" x14ac:dyDescent="0.3">
      <c r="A16" s="1175">
        <v>9257017</v>
      </c>
      <c r="B16" s="1460" t="s">
        <v>347</v>
      </c>
      <c r="C16" s="1461"/>
      <c r="D16" s="1461"/>
      <c r="E16" s="1461"/>
      <c r="F16" s="1176">
        <v>55122</v>
      </c>
      <c r="G16" s="1176">
        <v>35258</v>
      </c>
      <c r="H16" s="1176">
        <v>14690.833333333334</v>
      </c>
      <c r="I16" s="1176"/>
      <c r="J16" s="255"/>
      <c r="K16" s="255"/>
      <c r="L16" s="255"/>
      <c r="M16" s="1178">
        <v>0</v>
      </c>
      <c r="N16" s="1176"/>
      <c r="O16" s="255"/>
      <c r="P16" s="255"/>
      <c r="Q16" s="255"/>
      <c r="R16" s="1174"/>
      <c r="S16" s="1174"/>
      <c r="T16" s="1174"/>
      <c r="U16" s="1174"/>
      <c r="V16" s="255"/>
      <c r="W16" s="1174"/>
      <c r="X16" s="255"/>
      <c r="Y16" s="89">
        <f t="shared" si="2"/>
        <v>0</v>
      </c>
      <c r="Z16" s="255"/>
      <c r="AA16" s="255"/>
      <c r="AB16" s="255"/>
      <c r="AC16" s="255"/>
      <c r="AD16" s="255"/>
      <c r="AE16" s="255">
        <f t="shared" si="3"/>
        <v>0</v>
      </c>
      <c r="AF16" s="1172"/>
      <c r="AG16" s="255"/>
      <c r="AH16" s="255"/>
      <c r="AI16" s="255"/>
      <c r="AJ16" s="255"/>
      <c r="AK16" s="255"/>
      <c r="AL16" s="255">
        <f t="shared" si="4"/>
        <v>0</v>
      </c>
      <c r="AM16" s="1172"/>
      <c r="AN16" s="255"/>
      <c r="AO16" s="255"/>
      <c r="AP16" s="255"/>
      <c r="AQ16" s="255"/>
      <c r="AR16" s="255"/>
      <c r="AS16" s="255">
        <f t="shared" si="5"/>
        <v>0</v>
      </c>
      <c r="AT16" s="1172"/>
      <c r="AU16" s="255"/>
      <c r="AV16" s="255"/>
      <c r="AW16" s="255"/>
      <c r="AX16" s="255"/>
      <c r="AY16" s="255"/>
      <c r="AZ16" s="255">
        <f t="shared" si="6"/>
        <v>0</v>
      </c>
      <c r="BA16" s="1172"/>
      <c r="BB16" s="1256"/>
      <c r="BC16" s="255"/>
      <c r="BD16" s="255"/>
      <c r="BE16" s="255">
        <f t="shared" si="0"/>
        <v>0</v>
      </c>
      <c r="BF16" s="1172"/>
      <c r="BG16" s="1256"/>
      <c r="BH16" s="255"/>
      <c r="BI16" s="255"/>
      <c r="BJ16" s="255">
        <f t="shared" si="1"/>
        <v>0</v>
      </c>
    </row>
    <row r="17" spans="1:62" ht="12" customHeight="1" x14ac:dyDescent="0.35">
      <c r="A17" s="1175">
        <v>9257015</v>
      </c>
      <c r="B17" s="1460" t="s">
        <v>348</v>
      </c>
      <c r="C17" s="1461"/>
      <c r="D17" s="1461"/>
      <c r="E17" s="1461"/>
      <c r="F17" s="255"/>
      <c r="G17" s="255"/>
      <c r="H17" s="255">
        <f>(7/12)*35258</f>
        <v>20567.166666666668</v>
      </c>
      <c r="I17" s="255">
        <v>35258</v>
      </c>
      <c r="J17" s="255"/>
      <c r="K17" s="255"/>
      <c r="L17" s="255"/>
      <c r="M17" s="1180">
        <v>6</v>
      </c>
      <c r="N17" s="1176">
        <v>67374</v>
      </c>
      <c r="O17" s="255">
        <v>67374</v>
      </c>
      <c r="P17" s="255">
        <v>51500</v>
      </c>
      <c r="Q17" s="255">
        <v>51500</v>
      </c>
      <c r="R17" s="1174"/>
      <c r="S17" s="1174"/>
      <c r="T17" s="1174" t="s">
        <v>9</v>
      </c>
      <c r="U17" s="1174"/>
      <c r="V17" s="255"/>
      <c r="W17" s="1174"/>
      <c r="X17" s="255">
        <f>(8/12)*2015</f>
        <v>1343.3333333333333</v>
      </c>
      <c r="Y17" s="89">
        <f t="shared" si="2"/>
        <v>86758</v>
      </c>
      <c r="Z17" s="255">
        <f>I17</f>
        <v>35258</v>
      </c>
      <c r="AA17" s="255"/>
      <c r="AB17" s="255">
        <f>Q17*(5/12)</f>
        <v>21458.333333333336</v>
      </c>
      <c r="AC17" s="158"/>
      <c r="AD17" s="255"/>
      <c r="AE17" s="255">
        <f t="shared" si="3"/>
        <v>56716.333333333336</v>
      </c>
      <c r="AG17" s="255">
        <v>35258</v>
      </c>
      <c r="AH17" s="255"/>
      <c r="AI17" s="255">
        <v>0</v>
      </c>
      <c r="AJ17" s="158"/>
      <c r="AK17" s="255"/>
      <c r="AL17" s="255">
        <f t="shared" si="4"/>
        <v>35258</v>
      </c>
      <c r="AN17" s="255">
        <v>26443.5</v>
      </c>
      <c r="AO17" s="255"/>
      <c r="AP17" s="255">
        <v>0</v>
      </c>
      <c r="AQ17" s="158"/>
      <c r="AR17" s="255"/>
      <c r="AS17" s="255">
        <f t="shared" si="5"/>
        <v>26443.5</v>
      </c>
      <c r="AU17" s="255">
        <v>35258</v>
      </c>
      <c r="AV17" s="255"/>
      <c r="AW17" s="255">
        <v>0</v>
      </c>
      <c r="AX17" s="158"/>
      <c r="AY17" s="255"/>
      <c r="AZ17" s="255">
        <f t="shared" si="6"/>
        <v>35258</v>
      </c>
      <c r="BB17" s="1256">
        <v>35258</v>
      </c>
      <c r="BC17" s="255"/>
      <c r="BD17" s="255"/>
      <c r="BE17" s="255">
        <f t="shared" si="0"/>
        <v>35258</v>
      </c>
      <c r="BG17" s="1256">
        <f>35258+8333</f>
        <v>43591</v>
      </c>
      <c r="BH17" s="255"/>
      <c r="BI17" s="255"/>
      <c r="BJ17" s="255">
        <f t="shared" si="1"/>
        <v>43591</v>
      </c>
    </row>
    <row r="18" spans="1:62" ht="12" customHeight="1" x14ac:dyDescent="0.35">
      <c r="A18" s="1175">
        <v>9257016</v>
      </c>
      <c r="B18" s="1460" t="s">
        <v>349</v>
      </c>
      <c r="C18" s="1461"/>
      <c r="D18" s="1461"/>
      <c r="E18" s="1461"/>
      <c r="F18" s="255"/>
      <c r="G18" s="255"/>
      <c r="H18" s="255"/>
      <c r="I18" s="255"/>
      <c r="J18" s="255">
        <v>60000</v>
      </c>
      <c r="K18" s="255">
        <v>60000</v>
      </c>
      <c r="L18" s="255">
        <v>60000</v>
      </c>
      <c r="M18" s="1180">
        <v>8.5</v>
      </c>
      <c r="N18" s="1176">
        <v>88935.5</v>
      </c>
      <c r="O18" s="255">
        <v>88936</v>
      </c>
      <c r="P18" s="255">
        <v>88936</v>
      </c>
      <c r="Q18" s="255">
        <v>88936</v>
      </c>
      <c r="R18" s="255">
        <v>582568</v>
      </c>
      <c r="S18" s="255">
        <v>582568</v>
      </c>
      <c r="T18" s="1174"/>
      <c r="U18" s="255">
        <v>582568</v>
      </c>
      <c r="V18" s="255"/>
      <c r="W18" s="1174"/>
      <c r="X18" s="255">
        <f>(8/12)*5470</f>
        <v>3646.6666666666665</v>
      </c>
      <c r="Y18" s="89">
        <f t="shared" si="2"/>
        <v>731504</v>
      </c>
      <c r="Z18" s="255"/>
      <c r="AA18" s="255">
        <f>L18*(5/12)</f>
        <v>25000</v>
      </c>
      <c r="AB18" s="255">
        <f>Q18*(5/12)</f>
        <v>37056.666666666672</v>
      </c>
      <c r="AC18" s="158"/>
      <c r="AD18" s="255">
        <f>U18</f>
        <v>582568</v>
      </c>
      <c r="AE18" s="255">
        <f t="shared" si="3"/>
        <v>644624.66666666663</v>
      </c>
      <c r="AG18" s="255"/>
      <c r="AH18" s="255">
        <v>0</v>
      </c>
      <c r="AI18" s="255">
        <v>140436</v>
      </c>
      <c r="AJ18" s="158"/>
      <c r="AK18" s="255">
        <v>582568</v>
      </c>
      <c r="AL18" s="255">
        <f t="shared" si="4"/>
        <v>723004</v>
      </c>
      <c r="AN18" s="255"/>
      <c r="AO18" s="255">
        <v>0</v>
      </c>
      <c r="AP18" s="255">
        <v>140436</v>
      </c>
      <c r="AQ18" s="158"/>
      <c r="AR18" s="255">
        <v>582568</v>
      </c>
      <c r="AS18" s="255">
        <f t="shared" si="5"/>
        <v>723004</v>
      </c>
      <c r="AU18" s="255"/>
      <c r="AV18" s="255">
        <v>0</v>
      </c>
      <c r="AW18" s="255">
        <v>140436</v>
      </c>
      <c r="AX18" s="158"/>
      <c r="AY18" s="255">
        <v>582568</v>
      </c>
      <c r="AZ18" s="255">
        <f t="shared" si="6"/>
        <v>723004</v>
      </c>
      <c r="BB18" s="1256"/>
      <c r="BC18" s="1257">
        <v>140436</v>
      </c>
      <c r="BD18" s="255">
        <v>582568</v>
      </c>
      <c r="BE18" s="255">
        <f t="shared" si="0"/>
        <v>723004</v>
      </c>
      <c r="BG18" s="1256"/>
      <c r="BH18" s="1257">
        <v>140436</v>
      </c>
      <c r="BI18" s="255">
        <v>582568</v>
      </c>
      <c r="BJ18" s="255">
        <f t="shared" si="1"/>
        <v>723004</v>
      </c>
    </row>
    <row r="19" spans="1:62" ht="12" customHeight="1" x14ac:dyDescent="0.35">
      <c r="A19" s="1175">
        <v>9257032</v>
      </c>
      <c r="B19" s="1468" t="s">
        <v>350</v>
      </c>
      <c r="C19" s="1469"/>
      <c r="D19" s="1469"/>
      <c r="E19" s="1470"/>
      <c r="F19" s="255"/>
      <c r="G19" s="255"/>
      <c r="H19" s="255"/>
      <c r="I19" s="255"/>
      <c r="J19" s="255">
        <v>60000</v>
      </c>
      <c r="K19" s="255">
        <v>60000</v>
      </c>
      <c r="L19" s="255">
        <v>60000</v>
      </c>
      <c r="M19" s="1178">
        <v>0</v>
      </c>
      <c r="N19" s="1176"/>
      <c r="O19" s="255"/>
      <c r="P19" s="255"/>
      <c r="Q19" s="255"/>
      <c r="R19" s="1174"/>
      <c r="S19" s="1174"/>
      <c r="T19" s="1174"/>
      <c r="U19" s="1174"/>
      <c r="V19" s="255"/>
      <c r="W19" s="1174"/>
      <c r="X19" s="255"/>
      <c r="Y19" s="89">
        <f t="shared" si="2"/>
        <v>60000</v>
      </c>
      <c r="Z19" s="255"/>
      <c r="AA19" s="255">
        <f>L19*(5/12)</f>
        <v>25000</v>
      </c>
      <c r="AB19" s="255"/>
      <c r="AC19" s="158"/>
      <c r="AD19" s="255"/>
      <c r="AE19" s="255">
        <f t="shared" si="3"/>
        <v>25000</v>
      </c>
      <c r="AG19" s="255"/>
      <c r="AH19" s="255">
        <v>0</v>
      </c>
      <c r="AI19" s="255"/>
      <c r="AJ19" s="158"/>
      <c r="AK19" s="255"/>
      <c r="AL19" s="255">
        <f t="shared" si="4"/>
        <v>0</v>
      </c>
      <c r="AN19" s="255"/>
      <c r="AO19" s="255">
        <v>0</v>
      </c>
      <c r="AP19" s="255"/>
      <c r="AQ19" s="158"/>
      <c r="AR19" s="255"/>
      <c r="AS19" s="255">
        <f t="shared" si="5"/>
        <v>0</v>
      </c>
      <c r="AU19" s="255"/>
      <c r="AV19" s="255">
        <v>0</v>
      </c>
      <c r="AW19" s="255"/>
      <c r="AX19" s="158"/>
      <c r="AY19" s="255"/>
      <c r="AZ19" s="255">
        <f t="shared" si="6"/>
        <v>0</v>
      </c>
      <c r="BB19" s="1256"/>
      <c r="BC19" s="255"/>
      <c r="BD19" s="255"/>
      <c r="BE19" s="255">
        <f t="shared" si="0"/>
        <v>0</v>
      </c>
      <c r="BG19" s="1256"/>
      <c r="BH19" s="255"/>
      <c r="BI19" s="255"/>
      <c r="BJ19" s="255">
        <f t="shared" si="1"/>
        <v>0</v>
      </c>
    </row>
    <row r="20" spans="1:62" ht="12" customHeight="1" x14ac:dyDescent="0.35">
      <c r="A20" s="1175">
        <v>9257025</v>
      </c>
      <c r="B20" s="1460" t="s">
        <v>351</v>
      </c>
      <c r="C20" s="1461"/>
      <c r="D20" s="1461"/>
      <c r="E20" s="1461"/>
      <c r="F20" s="1176">
        <v>35258</v>
      </c>
      <c r="G20" s="1176">
        <v>35258</v>
      </c>
      <c r="H20" s="1176">
        <v>35258</v>
      </c>
      <c r="I20" s="1176">
        <v>35258</v>
      </c>
      <c r="J20" s="255"/>
      <c r="K20" s="255"/>
      <c r="L20" s="255"/>
      <c r="M20" s="1178">
        <v>0</v>
      </c>
      <c r="N20" s="1176"/>
      <c r="O20" s="255"/>
      <c r="P20" s="86"/>
      <c r="Q20" s="86"/>
      <c r="R20" s="255">
        <v>327644</v>
      </c>
      <c r="S20" s="255">
        <v>327644</v>
      </c>
      <c r="T20" s="1174"/>
      <c r="U20" s="255">
        <v>327644</v>
      </c>
      <c r="V20" s="255">
        <f>(9/12)*51500</f>
        <v>38625</v>
      </c>
      <c r="W20" s="1174"/>
      <c r="X20" s="255">
        <f>(8/12)*1727</f>
        <v>1151.3333333333333</v>
      </c>
      <c r="Y20" s="89">
        <f t="shared" si="2"/>
        <v>401527</v>
      </c>
      <c r="Z20" s="255">
        <f>I20</f>
        <v>35258</v>
      </c>
      <c r="AA20" s="255"/>
      <c r="AB20" s="255"/>
      <c r="AC20" s="255">
        <f>51500*(5/12)</f>
        <v>21458.333333333336</v>
      </c>
      <c r="AD20" s="255">
        <f>U20</f>
        <v>327644</v>
      </c>
      <c r="AE20" s="255">
        <f t="shared" si="3"/>
        <v>384360.33333333331</v>
      </c>
      <c r="AG20" s="255">
        <v>35258</v>
      </c>
      <c r="AH20" s="255"/>
      <c r="AI20" s="255"/>
      <c r="AJ20" s="255">
        <v>0</v>
      </c>
      <c r="AK20" s="255">
        <f>327644+209307</f>
        <v>536951</v>
      </c>
      <c r="AL20" s="255">
        <f t="shared" si="4"/>
        <v>572209</v>
      </c>
      <c r="AN20" s="255">
        <v>26443.5</v>
      </c>
      <c r="AO20" s="255"/>
      <c r="AP20" s="255"/>
      <c r="AQ20" s="255">
        <v>0</v>
      </c>
      <c r="AR20" s="255">
        <f>327644+209307</f>
        <v>536951</v>
      </c>
      <c r="AS20" s="255">
        <f t="shared" si="5"/>
        <v>563394.5</v>
      </c>
      <c r="AU20" s="255">
        <v>35258</v>
      </c>
      <c r="AV20" s="255"/>
      <c r="AW20" s="255"/>
      <c r="AX20" s="255">
        <v>0</v>
      </c>
      <c r="AY20" s="255">
        <f>327644+209307</f>
        <v>536951</v>
      </c>
      <c r="AZ20" s="255">
        <f t="shared" si="6"/>
        <v>572209</v>
      </c>
      <c r="BB20" s="1256">
        <v>35258</v>
      </c>
      <c r="BC20" s="255"/>
      <c r="BD20" s="255">
        <f>327644+209307</f>
        <v>536951</v>
      </c>
      <c r="BE20" s="255">
        <f t="shared" si="0"/>
        <v>572209</v>
      </c>
      <c r="BG20" s="1256">
        <f>35258*2</f>
        <v>70516</v>
      </c>
      <c r="BH20" s="255"/>
      <c r="BI20" s="255">
        <f>327644+209307</f>
        <v>536951</v>
      </c>
      <c r="BJ20" s="255">
        <f t="shared" si="1"/>
        <v>607467</v>
      </c>
    </row>
    <row r="21" spans="1:62" ht="12" customHeight="1" x14ac:dyDescent="0.35">
      <c r="A21" s="1175">
        <v>9257011</v>
      </c>
      <c r="B21" s="1460" t="s">
        <v>352</v>
      </c>
      <c r="C21" s="1461"/>
      <c r="D21" s="1461"/>
      <c r="E21" s="1461"/>
      <c r="F21" s="1176">
        <v>35258</v>
      </c>
      <c r="G21" s="1176">
        <v>35258</v>
      </c>
      <c r="H21" s="1176">
        <v>35258</v>
      </c>
      <c r="I21" s="1176">
        <v>35258</v>
      </c>
      <c r="J21" s="255"/>
      <c r="K21" s="255"/>
      <c r="L21" s="255"/>
      <c r="M21" s="1178">
        <v>0</v>
      </c>
      <c r="N21" s="1176"/>
      <c r="O21" s="255"/>
      <c r="P21" s="255"/>
      <c r="Q21" s="255"/>
      <c r="R21" s="1174"/>
      <c r="S21" s="1174"/>
      <c r="T21" s="1174"/>
      <c r="U21" s="1174"/>
      <c r="V21" s="255">
        <f>((9/12)*51500)/2</f>
        <v>19312.5</v>
      </c>
      <c r="W21" s="1174"/>
      <c r="X21" s="255">
        <f>(8/12)*500</f>
        <v>333.33333333333331</v>
      </c>
      <c r="Y21" s="89">
        <f t="shared" si="2"/>
        <v>54570.5</v>
      </c>
      <c r="Z21" s="255">
        <f>I21</f>
        <v>35258</v>
      </c>
      <c r="AA21" s="255"/>
      <c r="AB21" s="255"/>
      <c r="AC21" s="255">
        <f>(51500)*(5/12)</f>
        <v>21458.333333333336</v>
      </c>
      <c r="AD21" s="255"/>
      <c r="AE21" s="255">
        <f t="shared" si="3"/>
        <v>56716.333333333336</v>
      </c>
      <c r="AG21" s="255">
        <v>35258</v>
      </c>
      <c r="AH21" s="255"/>
      <c r="AI21" s="255"/>
      <c r="AJ21" s="255">
        <v>0</v>
      </c>
      <c r="AK21" s="255"/>
      <c r="AL21" s="255">
        <f t="shared" si="4"/>
        <v>35258</v>
      </c>
      <c r="AN21" s="255">
        <v>26443.5</v>
      </c>
      <c r="AO21" s="255"/>
      <c r="AP21" s="255"/>
      <c r="AQ21" s="255">
        <v>0</v>
      </c>
      <c r="AR21" s="255"/>
      <c r="AS21" s="255">
        <f t="shared" si="5"/>
        <v>26443.5</v>
      </c>
      <c r="AU21" s="255">
        <v>35258</v>
      </c>
      <c r="AV21" s="255"/>
      <c r="AW21" s="255"/>
      <c r="AX21" s="255">
        <v>0</v>
      </c>
      <c r="AY21" s="255"/>
      <c r="AZ21" s="255">
        <f t="shared" si="6"/>
        <v>35258</v>
      </c>
      <c r="BB21" s="1256">
        <v>35258</v>
      </c>
      <c r="BC21" s="255"/>
      <c r="BD21" s="255"/>
      <c r="BE21" s="255">
        <f t="shared" si="0"/>
        <v>35258</v>
      </c>
      <c r="BG21" s="1256">
        <v>35258</v>
      </c>
      <c r="BH21" s="255"/>
      <c r="BI21" s="255"/>
      <c r="BJ21" s="255">
        <f t="shared" si="1"/>
        <v>35258</v>
      </c>
    </row>
    <row r="22" spans="1:62" ht="12" customHeight="1" x14ac:dyDescent="0.35">
      <c r="A22" s="1175">
        <v>9257009</v>
      </c>
      <c r="B22" s="1460" t="s">
        <v>353</v>
      </c>
      <c r="C22" s="1461"/>
      <c r="D22" s="1461"/>
      <c r="E22" s="1461"/>
      <c r="F22" s="255"/>
      <c r="G22" s="255"/>
      <c r="H22" s="255"/>
      <c r="I22" s="255"/>
      <c r="J22" s="255"/>
      <c r="K22" s="255"/>
      <c r="L22" s="255"/>
      <c r="M22" s="1178">
        <v>0</v>
      </c>
      <c r="N22" s="1176"/>
      <c r="O22" s="255"/>
      <c r="P22" s="86"/>
      <c r="Q22" s="86"/>
      <c r="R22" s="1174"/>
      <c r="S22" s="1174"/>
      <c r="T22" s="1174"/>
      <c r="U22" s="1174"/>
      <c r="V22" s="255">
        <f>((9/12)*51500)/2</f>
        <v>19312.5</v>
      </c>
      <c r="W22" s="1174"/>
      <c r="X22" s="255"/>
      <c r="Y22" s="89">
        <f t="shared" si="2"/>
        <v>19312.5</v>
      </c>
      <c r="Z22" s="255"/>
      <c r="AA22" s="255"/>
      <c r="AB22" s="255"/>
      <c r="AC22" s="255">
        <f>(51500)*(5/12)</f>
        <v>21458.333333333336</v>
      </c>
      <c r="AD22" s="255"/>
      <c r="AE22" s="255">
        <f t="shared" si="3"/>
        <v>21458.333333333336</v>
      </c>
      <c r="AG22" s="255"/>
      <c r="AH22" s="255"/>
      <c r="AI22" s="255"/>
      <c r="AJ22" s="255">
        <v>0</v>
      </c>
      <c r="AK22" s="255"/>
      <c r="AL22" s="255">
        <f t="shared" si="4"/>
        <v>0</v>
      </c>
      <c r="AN22" s="255"/>
      <c r="AO22" s="255"/>
      <c r="AP22" s="255"/>
      <c r="AQ22" s="255">
        <v>0</v>
      </c>
      <c r="AR22" s="255"/>
      <c r="AS22" s="255">
        <f t="shared" si="5"/>
        <v>0</v>
      </c>
      <c r="AU22" s="255"/>
      <c r="AV22" s="255"/>
      <c r="AW22" s="255"/>
      <c r="AX22" s="255">
        <v>0</v>
      </c>
      <c r="AY22" s="255"/>
      <c r="AZ22" s="255">
        <f t="shared" si="6"/>
        <v>0</v>
      </c>
      <c r="BB22" s="1256"/>
      <c r="BC22" s="255"/>
      <c r="BD22" s="255"/>
      <c r="BE22" s="255">
        <f t="shared" si="0"/>
        <v>0</v>
      </c>
      <c r="BG22" s="1256"/>
      <c r="BH22" s="255"/>
      <c r="BI22" s="255"/>
      <c r="BJ22" s="255">
        <f t="shared" si="1"/>
        <v>0</v>
      </c>
    </row>
    <row r="23" spans="1:62" ht="12" customHeight="1" x14ac:dyDescent="0.35">
      <c r="A23" s="1175">
        <v>9257024</v>
      </c>
      <c r="B23" s="1460" t="s">
        <v>354</v>
      </c>
      <c r="C23" s="1461"/>
      <c r="D23" s="1461"/>
      <c r="E23" s="1461"/>
      <c r="F23" s="1176">
        <v>35258</v>
      </c>
      <c r="G23" s="1176">
        <v>35258</v>
      </c>
      <c r="H23" s="1176">
        <v>35258</v>
      </c>
      <c r="I23" s="1176">
        <v>35258</v>
      </c>
      <c r="J23" s="255">
        <v>60000</v>
      </c>
      <c r="K23" s="255">
        <v>60000</v>
      </c>
      <c r="L23" s="255">
        <v>60000</v>
      </c>
      <c r="M23" s="1178">
        <v>0</v>
      </c>
      <c r="N23" s="1176"/>
      <c r="O23" s="255"/>
      <c r="P23" s="255"/>
      <c r="Q23" s="255"/>
      <c r="R23" s="1174"/>
      <c r="S23" s="1174"/>
      <c r="T23" s="1174"/>
      <c r="U23" s="1174"/>
      <c r="V23" s="255"/>
      <c r="W23" s="1174"/>
      <c r="X23" s="255">
        <f>(8/12)*1152</f>
        <v>768</v>
      </c>
      <c r="Y23" s="89">
        <f t="shared" si="2"/>
        <v>95258</v>
      </c>
      <c r="Z23" s="255">
        <f>I23</f>
        <v>35258</v>
      </c>
      <c r="AA23" s="255">
        <f>L23*(5/12)</f>
        <v>25000</v>
      </c>
      <c r="AB23" s="255"/>
      <c r="AC23" s="158"/>
      <c r="AD23" s="255"/>
      <c r="AE23" s="255">
        <f t="shared" si="3"/>
        <v>60258</v>
      </c>
      <c r="AG23" s="255">
        <v>35258</v>
      </c>
      <c r="AH23" s="255">
        <v>0</v>
      </c>
      <c r="AI23" s="255"/>
      <c r="AJ23" s="158"/>
      <c r="AK23" s="255"/>
      <c r="AL23" s="255">
        <f t="shared" si="4"/>
        <v>35258</v>
      </c>
      <c r="AN23" s="255">
        <v>26443.5</v>
      </c>
      <c r="AO23" s="255">
        <v>0</v>
      </c>
      <c r="AP23" s="255"/>
      <c r="AQ23" s="158"/>
      <c r="AR23" s="255"/>
      <c r="AS23" s="255">
        <f t="shared" si="5"/>
        <v>26443.5</v>
      </c>
      <c r="AU23" s="255">
        <v>35258</v>
      </c>
      <c r="AV23" s="255">
        <v>0</v>
      </c>
      <c r="AW23" s="255"/>
      <c r="AX23" s="158"/>
      <c r="AY23" s="255"/>
      <c r="AZ23" s="255">
        <f t="shared" si="6"/>
        <v>35258</v>
      </c>
      <c r="BB23" s="1256">
        <v>35258</v>
      </c>
      <c r="BC23" s="255"/>
      <c r="BD23" s="255"/>
      <c r="BE23" s="255">
        <f t="shared" si="0"/>
        <v>35258</v>
      </c>
      <c r="BG23" s="1256">
        <v>35258</v>
      </c>
      <c r="BH23" s="255"/>
      <c r="BI23" s="255"/>
      <c r="BJ23" s="255">
        <f t="shared" si="1"/>
        <v>35258</v>
      </c>
    </row>
    <row r="24" spans="1:62" ht="12" customHeight="1" x14ac:dyDescent="0.35">
      <c r="A24" s="1175">
        <v>9257028</v>
      </c>
      <c r="B24" s="1460" t="s">
        <v>355</v>
      </c>
      <c r="C24" s="1461"/>
      <c r="D24" s="1461"/>
      <c r="E24" s="1461"/>
      <c r="F24" s="1176">
        <v>35258</v>
      </c>
      <c r="G24" s="1176">
        <v>35258</v>
      </c>
      <c r="H24" s="1176">
        <v>35258</v>
      </c>
      <c r="I24" s="1176">
        <v>35258</v>
      </c>
      <c r="J24" s="255">
        <v>60000</v>
      </c>
      <c r="K24" s="255">
        <v>60000</v>
      </c>
      <c r="L24" s="255">
        <v>60000</v>
      </c>
      <c r="M24" s="1178">
        <v>0</v>
      </c>
      <c r="N24" s="1176"/>
      <c r="O24" s="255"/>
      <c r="P24" s="255"/>
      <c r="Q24" s="255"/>
      <c r="R24" s="1174"/>
      <c r="S24" s="1174"/>
      <c r="T24" s="1174"/>
      <c r="U24" s="1174"/>
      <c r="V24" s="255"/>
      <c r="W24" s="1174"/>
      <c r="X24" s="255">
        <f>(8/12)*2015</f>
        <v>1343.3333333333333</v>
      </c>
      <c r="Y24" s="89">
        <f t="shared" si="2"/>
        <v>95258</v>
      </c>
      <c r="Z24" s="255">
        <f>I24</f>
        <v>35258</v>
      </c>
      <c r="AA24" s="255"/>
      <c r="AB24" s="255"/>
      <c r="AC24" s="158"/>
      <c r="AD24" s="255"/>
      <c r="AE24" s="255">
        <f t="shared" si="3"/>
        <v>35258</v>
      </c>
      <c r="AG24" s="255">
        <v>35258</v>
      </c>
      <c r="AH24" s="255"/>
      <c r="AI24" s="255"/>
      <c r="AJ24" s="158"/>
      <c r="AK24" s="255"/>
      <c r="AL24" s="255">
        <f t="shared" si="4"/>
        <v>35258</v>
      </c>
      <c r="AN24" s="255">
        <v>26443.5</v>
      </c>
      <c r="AO24" s="255"/>
      <c r="AP24" s="255"/>
      <c r="AQ24" s="158"/>
      <c r="AR24" s="255"/>
      <c r="AS24" s="255">
        <f t="shared" si="5"/>
        <v>26443.5</v>
      </c>
      <c r="AU24" s="255">
        <v>35258</v>
      </c>
      <c r="AV24" s="255"/>
      <c r="AW24" s="255"/>
      <c r="AX24" s="158"/>
      <c r="AY24" s="255"/>
      <c r="AZ24" s="255">
        <f t="shared" si="6"/>
        <v>35258</v>
      </c>
      <c r="BB24" s="1256">
        <v>35258</v>
      </c>
      <c r="BC24" s="255"/>
      <c r="BD24" s="255"/>
      <c r="BE24" s="255">
        <f t="shared" si="0"/>
        <v>35258</v>
      </c>
      <c r="BG24" s="1256">
        <v>35258</v>
      </c>
      <c r="BH24" s="255"/>
      <c r="BI24" s="255"/>
      <c r="BJ24" s="255">
        <f t="shared" si="1"/>
        <v>35258</v>
      </c>
    </row>
    <row r="25" spans="1:62" ht="12" customHeight="1" x14ac:dyDescent="0.35">
      <c r="A25" s="1175">
        <v>9257029</v>
      </c>
      <c r="B25" s="1471" t="s">
        <v>933</v>
      </c>
      <c r="C25" s="1472"/>
      <c r="D25" s="1472"/>
      <c r="E25" s="1473"/>
      <c r="F25" s="1176"/>
      <c r="G25" s="1176"/>
      <c r="H25" s="1176"/>
      <c r="I25" s="1176"/>
      <c r="J25" s="255">
        <v>60000</v>
      </c>
      <c r="K25" s="255">
        <v>60000</v>
      </c>
      <c r="L25" s="255">
        <v>60000</v>
      </c>
      <c r="M25" s="1178">
        <v>0</v>
      </c>
      <c r="N25" s="1176"/>
      <c r="O25" s="255"/>
      <c r="P25" s="255"/>
      <c r="Q25" s="255"/>
      <c r="R25" s="1174"/>
      <c r="S25" s="1174"/>
      <c r="T25" s="1174"/>
      <c r="U25" s="1174"/>
      <c r="V25" s="255"/>
      <c r="W25" s="1174"/>
      <c r="X25" s="255"/>
      <c r="Y25" s="89">
        <f t="shared" si="2"/>
        <v>60000</v>
      </c>
      <c r="Z25" s="255"/>
      <c r="AA25" s="255">
        <f>L25*(5/12)</f>
        <v>25000</v>
      </c>
      <c r="AB25" s="255"/>
      <c r="AC25" s="158"/>
      <c r="AD25" s="255"/>
      <c r="AE25" s="255">
        <f t="shared" si="3"/>
        <v>25000</v>
      </c>
      <c r="AG25" s="255"/>
      <c r="AH25" s="255">
        <v>0</v>
      </c>
      <c r="AI25" s="255"/>
      <c r="AJ25" s="158"/>
      <c r="AK25" s="255"/>
      <c r="AL25" s="255">
        <f t="shared" si="4"/>
        <v>0</v>
      </c>
      <c r="AN25" s="255"/>
      <c r="AO25" s="255">
        <v>0</v>
      </c>
      <c r="AP25" s="255"/>
      <c r="AQ25" s="158"/>
      <c r="AR25" s="255"/>
      <c r="AS25" s="255">
        <f t="shared" si="5"/>
        <v>0</v>
      </c>
      <c r="AU25" s="255"/>
      <c r="AV25" s="255">
        <v>0</v>
      </c>
      <c r="AW25" s="255"/>
      <c r="AX25" s="158"/>
      <c r="AY25" s="255"/>
      <c r="AZ25" s="255">
        <f t="shared" si="6"/>
        <v>0</v>
      </c>
      <c r="BB25" s="255"/>
      <c r="BC25" s="255"/>
      <c r="BD25" s="255"/>
      <c r="BE25" s="255">
        <f t="shared" si="0"/>
        <v>0</v>
      </c>
      <c r="BG25" s="255"/>
      <c r="BH25" s="255"/>
      <c r="BI25" s="255"/>
      <c r="BJ25" s="255">
        <f t="shared" si="1"/>
        <v>0</v>
      </c>
    </row>
    <row r="26" spans="1:62" ht="12" customHeight="1" x14ac:dyDescent="0.35">
      <c r="A26" s="293"/>
      <c r="B26" s="1474" t="s">
        <v>357</v>
      </c>
      <c r="C26" s="1474"/>
      <c r="D26" s="1474"/>
      <c r="E26" s="1474"/>
      <c r="F26" s="81">
        <v>301928</v>
      </c>
      <c r="G26" s="81">
        <v>282064</v>
      </c>
      <c r="H26" s="81">
        <v>317322</v>
      </c>
      <c r="I26" s="81">
        <v>317322</v>
      </c>
      <c r="J26" s="81">
        <v>360000</v>
      </c>
      <c r="K26" s="81">
        <v>360000</v>
      </c>
      <c r="L26" s="81">
        <v>360000</v>
      </c>
      <c r="M26" s="82">
        <v>18.5</v>
      </c>
      <c r="N26" s="81">
        <v>201225.5</v>
      </c>
      <c r="O26" s="81">
        <v>207810</v>
      </c>
      <c r="P26" s="81">
        <v>191936</v>
      </c>
      <c r="Q26" s="81">
        <v>191936</v>
      </c>
      <c r="R26" s="81">
        <v>1184632</v>
      </c>
      <c r="S26" s="81">
        <v>978817</v>
      </c>
      <c r="T26" s="81">
        <v>0</v>
      </c>
      <c r="U26" s="81">
        <v>910212</v>
      </c>
      <c r="V26" s="81">
        <v>154500</v>
      </c>
      <c r="W26" s="1174"/>
      <c r="X26" s="89">
        <f>SUM(X7:X25)</f>
        <v>13192.666666666668</v>
      </c>
      <c r="Y26" s="89">
        <f>I26+L26+Q26+U26+V26</f>
        <v>1933970</v>
      </c>
      <c r="Z26" s="255">
        <f>SUM(Z7:Z25)</f>
        <v>317322</v>
      </c>
      <c r="AA26" s="255">
        <f>SUM(AA7:AA25)</f>
        <v>100000</v>
      </c>
      <c r="AB26" s="255">
        <f>SUM(AB7:AB25)</f>
        <v>79973.333333333343</v>
      </c>
      <c r="AC26" s="255">
        <f>SUM(AC7:AC25)</f>
        <v>128750.00000000003</v>
      </c>
      <c r="AD26" s="255">
        <f>SUM(AD7:AD25)</f>
        <v>910212</v>
      </c>
      <c r="AE26" s="255">
        <f t="shared" si="3"/>
        <v>1536257.3333333335</v>
      </c>
      <c r="AG26" s="255">
        <f>SUM(AG7:AG25)</f>
        <v>317322</v>
      </c>
      <c r="AH26" s="255">
        <f>SUM(AH7:AH25)</f>
        <v>0</v>
      </c>
      <c r="AI26" s="255">
        <f>SUM(AI7:AI25)</f>
        <v>757936</v>
      </c>
      <c r="AJ26" s="255">
        <f>SUM(AJ7:AJ25)</f>
        <v>0</v>
      </c>
      <c r="AK26" s="255">
        <f>SUM(AK7:AK25)</f>
        <v>1119519</v>
      </c>
      <c r="AL26" s="255">
        <f t="shared" si="4"/>
        <v>2194777</v>
      </c>
      <c r="AN26" s="255">
        <f>SUM(AN7:AN25)</f>
        <v>237991.5</v>
      </c>
      <c r="AO26" s="255">
        <f>SUM(AO7:AO25)</f>
        <v>0</v>
      </c>
      <c r="AP26" s="255">
        <f>SUM(AP7:AP25)</f>
        <v>757936</v>
      </c>
      <c r="AQ26" s="255">
        <f>SUM(AQ7:AQ25)</f>
        <v>0</v>
      </c>
      <c r="AR26" s="255">
        <f>SUM(AR7:AR25)</f>
        <v>1119519</v>
      </c>
      <c r="AS26" s="255">
        <f t="shared" si="5"/>
        <v>2115446.5</v>
      </c>
      <c r="AU26" s="255">
        <f>SUM(AU7:AU25)</f>
        <v>317322</v>
      </c>
      <c r="AV26" s="255">
        <f>SUM(AV7:AV25)</f>
        <v>0</v>
      </c>
      <c r="AW26" s="255">
        <f>SUM(AW7:AW25)</f>
        <v>757936</v>
      </c>
      <c r="AX26" s="255">
        <f>SUM(AX7:AX25)</f>
        <v>0</v>
      </c>
      <c r="AY26" s="255">
        <f>SUM(AY7:AY25)</f>
        <v>1119519</v>
      </c>
      <c r="AZ26" s="255">
        <f t="shared" si="6"/>
        <v>2194777</v>
      </c>
      <c r="BB26" s="255">
        <f>SUM(BB7:BB25)</f>
        <v>317322</v>
      </c>
      <c r="BC26" s="255">
        <f>SUM(BC7:BC25)</f>
        <v>757936</v>
      </c>
      <c r="BD26" s="255">
        <f>SUM(BD7:BD25)</f>
        <v>1119519</v>
      </c>
      <c r="BE26" s="255">
        <f t="shared" si="0"/>
        <v>2194777</v>
      </c>
      <c r="BG26" s="255">
        <f>SUM(BG7:BG25)</f>
        <v>325655</v>
      </c>
      <c r="BH26" s="255">
        <f>SUM(BH7:BH25)</f>
        <v>757936</v>
      </c>
      <c r="BI26" s="255">
        <f>SUM(BI7:BI25)</f>
        <v>1119519</v>
      </c>
      <c r="BJ26" s="255">
        <f t="shared" si="1"/>
        <v>2203110</v>
      </c>
    </row>
    <row r="27" spans="1:62" ht="15" customHeight="1" x14ac:dyDescent="0.35">
      <c r="A27" s="293"/>
      <c r="B27" s="1172"/>
      <c r="C27" s="1172"/>
      <c r="D27" s="1172"/>
      <c r="E27" s="1172"/>
      <c r="F27" s="1172"/>
      <c r="G27" s="1172"/>
      <c r="H27" s="1172"/>
      <c r="I27" s="1172"/>
      <c r="J27" s="293"/>
      <c r="K27" s="293"/>
      <c r="L27" s="293"/>
      <c r="O27" s="1172"/>
      <c r="P27" s="1172"/>
      <c r="Q27" s="1172"/>
      <c r="R27" s="1172"/>
      <c r="S27" s="1172"/>
      <c r="T27" s="1172"/>
      <c r="U27" s="1172"/>
      <c r="V27" s="1172"/>
      <c r="W27" s="1172"/>
      <c r="X27" s="1172"/>
      <c r="Y27" s="293"/>
      <c r="Z27" s="1172"/>
      <c r="AA27" s="1172"/>
      <c r="AB27" s="1172"/>
    </row>
    <row r="28" spans="1:62" ht="15" hidden="1" customHeight="1" x14ac:dyDescent="0.35">
      <c r="A28" s="293"/>
      <c r="B28" s="83" t="s">
        <v>358</v>
      </c>
      <c r="C28" s="1172"/>
      <c r="D28" s="1172"/>
      <c r="E28" s="1172"/>
      <c r="F28" s="1172"/>
      <c r="G28" s="1172"/>
      <c r="H28" s="1172"/>
      <c r="I28" s="1172"/>
      <c r="J28" s="293"/>
      <c r="K28" s="293"/>
      <c r="L28" s="293"/>
      <c r="O28" s="1172"/>
      <c r="P28" s="1172"/>
      <c r="Q28" s="1172"/>
      <c r="R28" s="1172"/>
      <c r="S28" s="1172"/>
      <c r="T28" s="1172"/>
      <c r="U28" s="1172"/>
      <c r="V28" s="1172"/>
      <c r="W28" s="1172"/>
      <c r="X28" s="1172"/>
      <c r="Y28" s="293"/>
      <c r="Z28" s="1172"/>
      <c r="AA28" s="1172"/>
      <c r="AB28" s="1172"/>
    </row>
    <row r="29" spans="1:62" ht="15" hidden="1" customHeight="1" x14ac:dyDescent="0.35">
      <c r="A29" s="293"/>
      <c r="B29" s="84" t="s">
        <v>359</v>
      </c>
      <c r="C29" s="1172"/>
      <c r="D29" s="1172"/>
      <c r="E29" s="1172"/>
      <c r="F29" s="1172"/>
      <c r="G29" s="1172"/>
      <c r="H29" s="1172"/>
      <c r="I29" s="1172"/>
      <c r="J29" s="293"/>
      <c r="K29" s="293"/>
      <c r="L29" s="293"/>
      <c r="O29" s="1172"/>
      <c r="P29" s="1172"/>
      <c r="Q29" s="1172"/>
      <c r="R29" s="1172"/>
      <c r="S29" s="1172"/>
      <c r="T29" s="1172"/>
      <c r="U29" s="1172"/>
      <c r="V29" s="1172"/>
      <c r="W29" s="1172"/>
      <c r="X29" s="1172"/>
      <c r="Y29" s="293"/>
      <c r="Z29" s="1172"/>
      <c r="AA29" s="1172"/>
      <c r="AB29" s="1172"/>
    </row>
    <row r="30" spans="1:62" ht="15" hidden="1" customHeight="1" x14ac:dyDescent="0.35">
      <c r="A30" s="293"/>
      <c r="B30" s="1477" t="s">
        <v>360</v>
      </c>
      <c r="C30" s="1477"/>
      <c r="D30" s="1477"/>
      <c r="E30" s="1477"/>
      <c r="F30" s="1477"/>
      <c r="G30" s="1477"/>
      <c r="H30" s="1477"/>
      <c r="I30" s="1477"/>
      <c r="J30" s="1477"/>
      <c r="K30" s="1477"/>
      <c r="L30" s="1477"/>
      <c r="M30" s="1477"/>
      <c r="N30" s="1477"/>
      <c r="O30" s="1477"/>
      <c r="P30" s="1477"/>
      <c r="Q30" s="1477"/>
      <c r="R30" s="1477"/>
      <c r="S30" s="1477"/>
      <c r="T30" s="1477"/>
      <c r="U30" s="1477"/>
      <c r="V30" s="1477"/>
      <c r="W30" s="1172"/>
      <c r="X30" s="1172"/>
      <c r="Y30" s="293"/>
      <c r="Z30" s="1172"/>
      <c r="AA30" s="1172"/>
      <c r="AB30" s="1172"/>
    </row>
    <row r="31" spans="1:62" ht="15" hidden="1" customHeight="1" x14ac:dyDescent="0.35">
      <c r="A31" s="293"/>
      <c r="B31" s="1477"/>
      <c r="C31" s="1477"/>
      <c r="D31" s="1477"/>
      <c r="E31" s="1477"/>
      <c r="F31" s="1477"/>
      <c r="G31" s="1477"/>
      <c r="H31" s="1477"/>
      <c r="I31" s="1477"/>
      <c r="J31" s="1477"/>
      <c r="K31" s="1477"/>
      <c r="L31" s="1477"/>
      <c r="M31" s="1477"/>
      <c r="N31" s="1477"/>
      <c r="O31" s="1477"/>
      <c r="P31" s="1477"/>
      <c r="Q31" s="1477"/>
      <c r="R31" s="1477"/>
      <c r="S31" s="1477"/>
      <c r="T31" s="1477"/>
      <c r="U31" s="1477"/>
      <c r="V31" s="1477"/>
      <c r="W31" s="1172"/>
      <c r="X31" s="1172"/>
      <c r="Y31" s="293"/>
      <c r="Z31" s="1172"/>
      <c r="AA31" s="1172"/>
      <c r="AB31" s="1172"/>
    </row>
    <row r="32" spans="1:62" ht="15" hidden="1" customHeight="1" x14ac:dyDescent="0.35">
      <c r="A32" s="293"/>
      <c r="B32" s="1477"/>
      <c r="C32" s="1477"/>
      <c r="D32" s="1477"/>
      <c r="E32" s="1477"/>
      <c r="F32" s="1477"/>
      <c r="G32" s="1477"/>
      <c r="H32" s="1477"/>
      <c r="I32" s="1477"/>
      <c r="J32" s="1477"/>
      <c r="K32" s="1477"/>
      <c r="L32" s="1477"/>
      <c r="M32" s="1477"/>
      <c r="N32" s="1477"/>
      <c r="O32" s="1477"/>
      <c r="P32" s="1477"/>
      <c r="Q32" s="1477"/>
      <c r="R32" s="1477"/>
      <c r="S32" s="1477"/>
      <c r="T32" s="1477"/>
      <c r="U32" s="1477"/>
      <c r="V32" s="1477"/>
      <c r="W32" s="1172"/>
      <c r="X32" s="1172"/>
      <c r="Y32" s="293"/>
      <c r="Z32" s="1172"/>
      <c r="AA32" s="1172"/>
      <c r="AB32" s="1172"/>
    </row>
    <row r="33" spans="1:28" ht="18.75" hidden="1" customHeight="1" x14ac:dyDescent="0.35">
      <c r="A33" s="293"/>
      <c r="B33" s="1477"/>
      <c r="C33" s="1477"/>
      <c r="D33" s="1477"/>
      <c r="E33" s="1477"/>
      <c r="F33" s="1477"/>
      <c r="G33" s="1477"/>
      <c r="H33" s="1477"/>
      <c r="I33" s="1477"/>
      <c r="J33" s="1477"/>
      <c r="K33" s="1477"/>
      <c r="L33" s="1477"/>
      <c r="M33" s="1477"/>
      <c r="N33" s="1477"/>
      <c r="O33" s="1477"/>
      <c r="P33" s="1477"/>
      <c r="Q33" s="1477"/>
      <c r="R33" s="1477"/>
      <c r="S33" s="1477"/>
      <c r="T33" s="1477"/>
      <c r="U33" s="1477"/>
      <c r="V33" s="1477"/>
      <c r="W33" s="1172"/>
      <c r="X33" s="1172"/>
      <c r="Y33" s="293"/>
      <c r="Z33" s="1172"/>
      <c r="AA33" s="1172"/>
      <c r="AB33" s="1172"/>
    </row>
    <row r="34" spans="1:28" ht="15" hidden="1" customHeight="1" x14ac:dyDescent="0.35">
      <c r="A34" s="293"/>
      <c r="B34" s="1181"/>
      <c r="C34" s="1181"/>
      <c r="D34" s="1181"/>
      <c r="E34" s="1181"/>
      <c r="F34" s="1181"/>
      <c r="G34" s="1181"/>
      <c r="H34" s="1181"/>
      <c r="I34" s="1181"/>
      <c r="J34" s="1173"/>
      <c r="K34" s="1173"/>
      <c r="L34" s="1173"/>
      <c r="M34" s="1181"/>
      <c r="N34" s="1181"/>
      <c r="O34" s="1172"/>
      <c r="P34" s="1172"/>
      <c r="Q34" s="1172"/>
      <c r="R34" s="1172"/>
      <c r="S34" s="1172"/>
      <c r="T34" s="1172"/>
      <c r="U34" s="1172"/>
      <c r="V34" s="1172"/>
      <c r="W34" s="1172"/>
      <c r="X34" s="1172"/>
      <c r="Y34" s="293"/>
      <c r="Z34" s="1172"/>
      <c r="AA34" s="1172"/>
      <c r="AB34" s="1172"/>
    </row>
    <row r="35" spans="1:28" ht="15" hidden="1" customHeight="1" x14ac:dyDescent="0.35">
      <c r="A35" s="293"/>
      <c r="B35" s="84" t="s">
        <v>361</v>
      </c>
      <c r="C35" s="1172"/>
      <c r="D35" s="1172"/>
      <c r="E35" s="1172"/>
      <c r="F35" s="1172"/>
      <c r="G35" s="1172"/>
      <c r="H35" s="1172"/>
      <c r="I35" s="1172"/>
      <c r="J35" s="293"/>
      <c r="K35" s="293"/>
      <c r="L35" s="293"/>
      <c r="O35" s="1172"/>
      <c r="P35" s="1172"/>
      <c r="Q35" s="1172"/>
      <c r="R35" s="1172"/>
      <c r="S35" s="1172"/>
      <c r="T35" s="1172"/>
      <c r="U35" s="1172"/>
      <c r="V35" s="1172"/>
      <c r="W35" s="1172"/>
      <c r="X35" s="1172"/>
      <c r="Y35" s="293"/>
      <c r="Z35" s="1172"/>
      <c r="AA35" s="1172"/>
      <c r="AB35" s="1172"/>
    </row>
    <row r="36" spans="1:28" ht="15" hidden="1" customHeight="1" x14ac:dyDescent="0.35">
      <c r="A36" s="293"/>
      <c r="B36" s="1477" t="s">
        <v>362</v>
      </c>
      <c r="C36" s="1477"/>
      <c r="D36" s="1477"/>
      <c r="E36" s="1477"/>
      <c r="F36" s="1477"/>
      <c r="G36" s="1477"/>
      <c r="H36" s="1477"/>
      <c r="I36" s="1477"/>
      <c r="J36" s="1477"/>
      <c r="K36" s="1477"/>
      <c r="L36" s="1477"/>
      <c r="M36" s="1477"/>
      <c r="N36" s="1477"/>
      <c r="O36" s="1477"/>
      <c r="P36" s="1477"/>
      <c r="Q36" s="1477"/>
      <c r="R36" s="1477"/>
      <c r="S36" s="1477"/>
      <c r="T36" s="1477"/>
      <c r="U36" s="1477"/>
      <c r="V36" s="1477"/>
      <c r="W36" s="1172"/>
      <c r="X36" s="1172"/>
      <c r="Y36" s="293"/>
      <c r="Z36" s="1172"/>
      <c r="AA36" s="1172"/>
      <c r="AB36" s="1172"/>
    </row>
    <row r="37" spans="1:28" ht="15" hidden="1" customHeight="1" x14ac:dyDescent="0.35">
      <c r="A37" s="293"/>
      <c r="B37" s="1477"/>
      <c r="C37" s="1477"/>
      <c r="D37" s="1477"/>
      <c r="E37" s="1477"/>
      <c r="F37" s="1477"/>
      <c r="G37" s="1477"/>
      <c r="H37" s="1477"/>
      <c r="I37" s="1477"/>
      <c r="J37" s="1477"/>
      <c r="K37" s="1477"/>
      <c r="L37" s="1477"/>
      <c r="M37" s="1477"/>
      <c r="N37" s="1477"/>
      <c r="O37" s="1477"/>
      <c r="P37" s="1477"/>
      <c r="Q37" s="1477"/>
      <c r="R37" s="1477"/>
      <c r="S37" s="1477"/>
      <c r="T37" s="1477"/>
      <c r="U37" s="1477"/>
      <c r="V37" s="1477"/>
      <c r="W37" s="1172"/>
      <c r="X37" s="1172"/>
      <c r="Y37" s="293"/>
      <c r="Z37" s="1172"/>
      <c r="AA37" s="1172"/>
      <c r="AB37" s="1172"/>
    </row>
    <row r="38" spans="1:28" ht="23.25" hidden="1" customHeight="1" x14ac:dyDescent="0.35">
      <c r="A38" s="293"/>
      <c r="B38" s="1477"/>
      <c r="C38" s="1477"/>
      <c r="D38" s="1477"/>
      <c r="E38" s="1477"/>
      <c r="F38" s="1477"/>
      <c r="G38" s="1477"/>
      <c r="H38" s="1477"/>
      <c r="I38" s="1477"/>
      <c r="J38" s="1477"/>
      <c r="K38" s="1477"/>
      <c r="L38" s="1477"/>
      <c r="M38" s="1477"/>
      <c r="N38" s="1477"/>
      <c r="O38" s="1477"/>
      <c r="P38" s="1477"/>
      <c r="Q38" s="1477"/>
      <c r="R38" s="1477"/>
      <c r="S38" s="1477"/>
      <c r="T38" s="1477"/>
      <c r="U38" s="1477"/>
      <c r="V38" s="1477"/>
      <c r="W38" s="1172"/>
      <c r="X38" s="1172"/>
      <c r="Y38" s="293"/>
      <c r="Z38" s="1172"/>
      <c r="AA38" s="1172"/>
      <c r="AB38" s="1172"/>
    </row>
    <row r="39" spans="1:28" hidden="1" x14ac:dyDescent="0.35">
      <c r="A39" s="293"/>
      <c r="B39" s="1182"/>
      <c r="C39" s="1182"/>
      <c r="D39" s="1182"/>
      <c r="E39" s="1182"/>
      <c r="F39" s="1182"/>
      <c r="G39" s="1182"/>
      <c r="H39" s="1182"/>
      <c r="I39" s="1182"/>
      <c r="J39" s="1182"/>
      <c r="K39" s="1182"/>
      <c r="L39" s="1182"/>
      <c r="M39" s="1182"/>
      <c r="N39" s="1182"/>
      <c r="O39" s="1172"/>
      <c r="P39" s="1172"/>
      <c r="Q39" s="1172"/>
      <c r="R39" s="1172"/>
      <c r="S39" s="1172"/>
      <c r="T39" s="1172"/>
      <c r="U39" s="1172"/>
      <c r="V39" s="1172"/>
      <c r="W39" s="1172"/>
      <c r="X39" s="1172"/>
      <c r="Y39" s="293"/>
      <c r="Z39" s="1172"/>
      <c r="AA39" s="1172"/>
      <c r="AB39" s="1172"/>
    </row>
    <row r="40" spans="1:28" hidden="1" x14ac:dyDescent="0.35">
      <c r="A40" s="293"/>
      <c r="B40" s="85" t="s">
        <v>363</v>
      </c>
      <c r="C40" s="1182"/>
      <c r="D40" s="1182"/>
      <c r="E40" s="1182"/>
      <c r="F40" s="1182"/>
      <c r="G40" s="1182"/>
      <c r="H40" s="1182"/>
      <c r="I40" s="1182"/>
      <c r="J40" s="1182"/>
      <c r="K40" s="1182"/>
      <c r="L40" s="1182"/>
      <c r="M40" s="1182"/>
      <c r="N40" s="1182"/>
      <c r="O40" s="1172"/>
      <c r="P40" s="1172"/>
      <c r="Q40" s="1172"/>
      <c r="R40" s="1172"/>
      <c r="S40" s="1172"/>
      <c r="T40" s="1172"/>
      <c r="U40" s="1172"/>
      <c r="V40" s="1172"/>
      <c r="W40" s="1172"/>
      <c r="X40" s="1172"/>
      <c r="Y40" s="293"/>
      <c r="Z40" s="1172"/>
      <c r="AA40" s="1172"/>
      <c r="AB40" s="1172"/>
    </row>
    <row r="41" spans="1:28" ht="15.75" hidden="1" customHeight="1" x14ac:dyDescent="0.35">
      <c r="A41" s="293"/>
      <c r="B41" s="1477" t="s">
        <v>364</v>
      </c>
      <c r="C41" s="1477"/>
      <c r="D41" s="1477"/>
      <c r="E41" s="1477"/>
      <c r="F41" s="1477"/>
      <c r="G41" s="1477"/>
      <c r="H41" s="1477"/>
      <c r="I41" s="1477"/>
      <c r="J41" s="1477"/>
      <c r="K41" s="1477"/>
      <c r="L41" s="1477"/>
      <c r="M41" s="1477"/>
      <c r="N41" s="1477"/>
      <c r="O41" s="1477"/>
      <c r="P41" s="1477"/>
      <c r="Q41" s="1477"/>
      <c r="R41" s="1477"/>
      <c r="S41" s="1477"/>
      <c r="T41" s="1477"/>
      <c r="U41" s="1477"/>
      <c r="V41" s="1477"/>
      <c r="W41" s="1172"/>
      <c r="X41" s="1172"/>
      <c r="Y41" s="293"/>
      <c r="Z41" s="1172"/>
      <c r="AA41" s="1172"/>
      <c r="AB41" s="1172"/>
    </row>
    <row r="42" spans="1:28" hidden="1" x14ac:dyDescent="0.35">
      <c r="A42" s="293"/>
      <c r="B42" s="1477"/>
      <c r="C42" s="1477"/>
      <c r="D42" s="1477"/>
      <c r="E42" s="1477"/>
      <c r="F42" s="1477"/>
      <c r="G42" s="1477"/>
      <c r="H42" s="1477"/>
      <c r="I42" s="1477"/>
      <c r="J42" s="1477"/>
      <c r="K42" s="1477"/>
      <c r="L42" s="1477"/>
      <c r="M42" s="1477"/>
      <c r="N42" s="1477"/>
      <c r="O42" s="1477"/>
      <c r="P42" s="1477"/>
      <c r="Q42" s="1477"/>
      <c r="R42" s="1477"/>
      <c r="S42" s="1477"/>
      <c r="T42" s="1477"/>
      <c r="U42" s="1477"/>
      <c r="V42" s="1477"/>
      <c r="W42" s="1172"/>
      <c r="X42" s="1172"/>
      <c r="Y42" s="293"/>
      <c r="Z42" s="1172"/>
      <c r="AA42" s="1172"/>
      <c r="AB42" s="1172"/>
    </row>
    <row r="43" spans="1:28" hidden="1" x14ac:dyDescent="0.35">
      <c r="A43" s="293"/>
      <c r="B43" s="1477"/>
      <c r="C43" s="1477"/>
      <c r="D43" s="1477"/>
      <c r="E43" s="1477"/>
      <c r="F43" s="1477"/>
      <c r="G43" s="1477"/>
      <c r="H43" s="1477"/>
      <c r="I43" s="1477"/>
      <c r="J43" s="1477"/>
      <c r="K43" s="1477"/>
      <c r="L43" s="1477"/>
      <c r="M43" s="1477"/>
      <c r="N43" s="1477"/>
      <c r="O43" s="1477"/>
      <c r="P43" s="1477"/>
      <c r="Q43" s="1477"/>
      <c r="R43" s="1477"/>
      <c r="S43" s="1477"/>
      <c r="T43" s="1477"/>
      <c r="U43" s="1477"/>
      <c r="V43" s="1477"/>
      <c r="W43" s="1172"/>
      <c r="X43" s="1172"/>
      <c r="Y43" s="293"/>
      <c r="Z43" s="1172"/>
      <c r="AA43" s="1172"/>
      <c r="AB43" s="1172"/>
    </row>
    <row r="44" spans="1:28" hidden="1" x14ac:dyDescent="0.35">
      <c r="A44" s="293"/>
      <c r="B44" s="1477"/>
      <c r="C44" s="1477"/>
      <c r="D44" s="1477"/>
      <c r="E44" s="1477"/>
      <c r="F44" s="1477"/>
      <c r="G44" s="1477"/>
      <c r="H44" s="1477"/>
      <c r="I44" s="1477"/>
      <c r="J44" s="1477"/>
      <c r="K44" s="1477"/>
      <c r="L44" s="1477"/>
      <c r="M44" s="1477"/>
      <c r="N44" s="1477"/>
      <c r="O44" s="1477"/>
      <c r="P44" s="1477"/>
      <c r="Q44" s="1477"/>
      <c r="R44" s="1477"/>
      <c r="S44" s="1477"/>
      <c r="T44" s="1477"/>
      <c r="U44" s="1477"/>
      <c r="V44" s="1477"/>
      <c r="W44" s="1172"/>
      <c r="X44" s="1172"/>
      <c r="Y44" s="293"/>
      <c r="Z44" s="1172"/>
      <c r="AA44" s="1172"/>
      <c r="AB44" s="1172"/>
    </row>
    <row r="45" spans="1:28" ht="15" hidden="1" customHeight="1" x14ac:dyDescent="0.35">
      <c r="A45" s="293"/>
      <c r="B45" s="1182"/>
      <c r="C45" s="1182"/>
      <c r="D45" s="1182"/>
      <c r="E45" s="1182"/>
      <c r="F45" s="1182"/>
      <c r="G45" s="1182"/>
      <c r="H45" s="1182"/>
      <c r="I45" s="1182"/>
      <c r="J45" s="1182"/>
      <c r="K45" s="1182"/>
      <c r="L45" s="1182"/>
      <c r="M45" s="1182"/>
      <c r="N45" s="1182"/>
      <c r="O45" s="1172"/>
      <c r="P45" s="1172"/>
      <c r="Q45" s="1172"/>
      <c r="R45" s="1172"/>
      <c r="S45" s="1172"/>
      <c r="T45" s="1172"/>
      <c r="U45" s="1172"/>
      <c r="V45" s="1172"/>
      <c r="W45" s="1172"/>
      <c r="X45" s="1172"/>
      <c r="Y45" s="293"/>
      <c r="Z45" s="1172"/>
      <c r="AA45" s="1172"/>
      <c r="AB45" s="1172"/>
    </row>
    <row r="46" spans="1:28" ht="15" hidden="1" customHeight="1" x14ac:dyDescent="0.35">
      <c r="A46" s="293"/>
      <c r="B46" s="1477" t="s">
        <v>365</v>
      </c>
      <c r="C46" s="1477"/>
      <c r="D46" s="1477"/>
      <c r="E46" s="1477"/>
      <c r="F46" s="1477"/>
      <c r="G46" s="1477"/>
      <c r="H46" s="1477"/>
      <c r="I46" s="1477"/>
      <c r="J46" s="1477"/>
      <c r="K46" s="1477"/>
      <c r="L46" s="1477"/>
      <c r="M46" s="1477"/>
      <c r="N46" s="1477"/>
      <c r="O46" s="1477"/>
      <c r="P46" s="1477"/>
      <c r="Q46" s="1477"/>
      <c r="R46" s="1477"/>
      <c r="S46" s="1477"/>
      <c r="T46" s="1477"/>
      <c r="U46" s="1477"/>
      <c r="V46" s="1477"/>
      <c r="W46" s="1172"/>
      <c r="X46" s="1172"/>
      <c r="Y46" s="293"/>
      <c r="Z46" s="1172"/>
      <c r="AA46" s="1172"/>
      <c r="AB46" s="1172"/>
    </row>
    <row r="47" spans="1:28" hidden="1" x14ac:dyDescent="0.35">
      <c r="A47" s="293"/>
      <c r="B47" s="1477"/>
      <c r="C47" s="1477"/>
      <c r="D47" s="1477"/>
      <c r="E47" s="1477"/>
      <c r="F47" s="1477"/>
      <c r="G47" s="1477"/>
      <c r="H47" s="1477"/>
      <c r="I47" s="1477"/>
      <c r="J47" s="1477"/>
      <c r="K47" s="1477"/>
      <c r="L47" s="1477"/>
      <c r="M47" s="1477"/>
      <c r="N47" s="1477"/>
      <c r="O47" s="1477"/>
      <c r="P47" s="1477"/>
      <c r="Q47" s="1477"/>
      <c r="R47" s="1477"/>
      <c r="S47" s="1477"/>
      <c r="T47" s="1477"/>
      <c r="U47" s="1477"/>
      <c r="V47" s="1477"/>
      <c r="W47" s="1172"/>
      <c r="X47" s="1172"/>
      <c r="Y47" s="293"/>
      <c r="Z47" s="1172"/>
      <c r="AA47" s="1172"/>
      <c r="AB47" s="1172"/>
    </row>
    <row r="48" spans="1:28" ht="15" hidden="1" customHeight="1" x14ac:dyDescent="0.35">
      <c r="A48" s="293"/>
      <c r="B48" s="1477" t="s">
        <v>366</v>
      </c>
      <c r="C48" s="1477"/>
      <c r="D48" s="1477"/>
      <c r="E48" s="1477"/>
      <c r="F48" s="1477"/>
      <c r="G48" s="1477"/>
      <c r="H48" s="1477"/>
      <c r="I48" s="1477"/>
      <c r="J48" s="1477"/>
      <c r="K48" s="1477"/>
      <c r="L48" s="1477"/>
      <c r="M48" s="1477"/>
      <c r="N48" s="1477"/>
      <c r="O48" s="1477"/>
      <c r="P48" s="1477"/>
      <c r="Q48" s="1477"/>
      <c r="R48" s="1477"/>
      <c r="S48" s="1477"/>
      <c r="T48" s="1477"/>
      <c r="U48" s="1477"/>
      <c r="V48" s="1477"/>
      <c r="W48" s="1172"/>
      <c r="X48" s="1172"/>
      <c r="Y48" s="293"/>
      <c r="Z48" s="1172"/>
      <c r="AA48" s="1172"/>
      <c r="AB48" s="1172"/>
    </row>
    <row r="49" spans="1:39" ht="37.5" hidden="1" customHeight="1" x14ac:dyDescent="0.35">
      <c r="A49" s="293"/>
      <c r="B49" s="1477"/>
      <c r="C49" s="1477"/>
      <c r="D49" s="1477"/>
      <c r="E49" s="1477"/>
      <c r="F49" s="1477"/>
      <c r="G49" s="1477"/>
      <c r="H49" s="1477"/>
      <c r="I49" s="1477"/>
      <c r="J49" s="1477"/>
      <c r="K49" s="1477"/>
      <c r="L49" s="1477"/>
      <c r="M49" s="1477"/>
      <c r="N49" s="1477"/>
      <c r="O49" s="1477"/>
      <c r="P49" s="1477"/>
      <c r="Q49" s="1477"/>
      <c r="R49" s="1477"/>
      <c r="S49" s="1477"/>
      <c r="T49" s="1477"/>
      <c r="U49" s="1477"/>
      <c r="V49" s="1477"/>
      <c r="W49" s="1172"/>
      <c r="X49" s="1172"/>
      <c r="Y49" s="293"/>
      <c r="Z49" s="1172"/>
      <c r="AA49" s="1172"/>
      <c r="AB49" s="1172"/>
    </row>
    <row r="50" spans="1:39" ht="15" hidden="1" customHeight="1" x14ac:dyDescent="0.35">
      <c r="A50" s="293"/>
      <c r="B50" s="1172"/>
      <c r="C50" s="1172"/>
      <c r="D50" s="1172"/>
      <c r="E50" s="1172"/>
      <c r="F50" s="1172"/>
      <c r="G50" s="1172"/>
      <c r="H50" s="1172"/>
      <c r="I50" s="1172"/>
      <c r="J50" s="293"/>
      <c r="K50" s="293"/>
      <c r="L50" s="293"/>
      <c r="O50" s="1172"/>
      <c r="P50" s="1172"/>
      <c r="Q50" s="1172"/>
      <c r="R50" s="1172"/>
      <c r="S50" s="1172"/>
      <c r="T50" s="1172"/>
      <c r="U50" s="1172"/>
      <c r="V50" s="1172"/>
      <c r="W50" s="1172"/>
      <c r="X50" s="1172"/>
      <c r="Y50" s="293"/>
      <c r="Z50" s="1172"/>
      <c r="AA50" s="1172"/>
      <c r="AB50" s="1172"/>
    </row>
    <row r="51" spans="1:39" ht="15" hidden="1" customHeight="1" x14ac:dyDescent="0.35">
      <c r="A51" s="293"/>
      <c r="B51" s="84" t="s">
        <v>11</v>
      </c>
      <c r="C51" s="1172"/>
      <c r="D51" s="1172"/>
      <c r="E51" s="1172"/>
      <c r="F51" s="88" t="s">
        <v>367</v>
      </c>
      <c r="G51" s="88" t="s">
        <v>368</v>
      </c>
      <c r="H51" s="1172"/>
      <c r="I51" s="1172"/>
      <c r="J51" s="293"/>
      <c r="K51" s="293"/>
      <c r="L51" s="293"/>
      <c r="O51" s="1172"/>
      <c r="P51" s="1172"/>
      <c r="Q51" s="1172"/>
      <c r="R51" s="1172"/>
      <c r="S51" s="1172"/>
      <c r="T51" s="1172"/>
      <c r="U51" s="1172"/>
      <c r="V51" s="1172"/>
      <c r="W51" s="1172"/>
      <c r="X51" s="1172"/>
      <c r="Y51" s="293"/>
      <c r="Z51" s="1172"/>
      <c r="AA51" s="1172"/>
      <c r="AB51" s="1172"/>
    </row>
    <row r="52" spans="1:39" ht="15" hidden="1" customHeight="1" x14ac:dyDescent="0.35">
      <c r="A52" s="293">
        <v>9257021</v>
      </c>
      <c r="B52" s="1460" t="s">
        <v>344</v>
      </c>
      <c r="C52" s="1461"/>
      <c r="D52" s="1461"/>
      <c r="E52" s="1476"/>
      <c r="F52" s="255">
        <v>274420</v>
      </c>
      <c r="G52" s="255">
        <f>F52*(3/12)</f>
        <v>68605</v>
      </c>
      <c r="H52" s="1172"/>
      <c r="I52" s="1172"/>
      <c r="J52" s="293" t="s">
        <v>369</v>
      </c>
      <c r="K52" s="293"/>
      <c r="L52" s="293"/>
      <c r="O52" s="1172"/>
      <c r="P52" s="1172"/>
      <c r="Q52" s="1172"/>
      <c r="R52" s="1172"/>
      <c r="S52" s="1172"/>
      <c r="T52" s="1172"/>
      <c r="U52" s="1172"/>
      <c r="V52" s="1172"/>
      <c r="W52" s="1172"/>
      <c r="X52" s="1172"/>
      <c r="Y52" s="293"/>
      <c r="Z52" s="1172"/>
      <c r="AA52" s="1172"/>
      <c r="AB52" s="1172"/>
    </row>
    <row r="53" spans="1:39" ht="15" hidden="1" customHeight="1" x14ac:dyDescent="0.35">
      <c r="A53" s="293">
        <v>9257016</v>
      </c>
      <c r="B53" s="1460" t="s">
        <v>349</v>
      </c>
      <c r="C53" s="1461"/>
      <c r="D53" s="1461"/>
      <c r="E53" s="1476"/>
      <c r="F53" s="255">
        <v>582568</v>
      </c>
      <c r="G53" s="255">
        <f>F53</f>
        <v>582568</v>
      </c>
      <c r="H53" s="1172"/>
      <c r="I53" s="1172"/>
      <c r="J53" s="293"/>
      <c r="K53" s="293"/>
      <c r="L53" s="293"/>
      <c r="O53" s="1172"/>
      <c r="P53" s="1172"/>
      <c r="Q53" s="1172"/>
      <c r="R53" s="1172"/>
      <c r="S53" s="1172"/>
      <c r="T53" s="1172"/>
      <c r="U53" s="1172"/>
      <c r="V53" s="1172"/>
      <c r="W53" s="1172"/>
      <c r="X53" s="1172"/>
      <c r="Y53" s="293"/>
      <c r="Z53" s="1172"/>
      <c r="AA53" s="1172"/>
      <c r="AB53" s="1172"/>
    </row>
    <row r="54" spans="1:39" ht="15" hidden="1" customHeight="1" x14ac:dyDescent="0.35">
      <c r="A54" s="293">
        <v>9257025</v>
      </c>
      <c r="B54" s="1460" t="s">
        <v>351</v>
      </c>
      <c r="C54" s="1461"/>
      <c r="D54" s="1461"/>
      <c r="E54" s="1476"/>
      <c r="F54" s="255">
        <v>327644</v>
      </c>
      <c r="G54" s="255">
        <f>F54</f>
        <v>327644</v>
      </c>
      <c r="H54" s="1172"/>
      <c r="I54" s="1172"/>
      <c r="J54" s="293"/>
      <c r="K54" s="293"/>
      <c r="L54" s="293"/>
      <c r="O54" s="1172"/>
      <c r="P54" s="1172"/>
      <c r="Q54" s="1172"/>
      <c r="R54" s="1172"/>
      <c r="S54" s="1172"/>
      <c r="T54" s="1172"/>
      <c r="U54" s="1172"/>
      <c r="V54" s="1172"/>
      <c r="W54" s="1172"/>
      <c r="X54" s="1172"/>
      <c r="Y54" s="293"/>
      <c r="Z54" s="1172"/>
      <c r="AA54" s="1172"/>
      <c r="AB54" s="1172"/>
    </row>
    <row r="55" spans="1:39" ht="15" hidden="1" customHeight="1" x14ac:dyDescent="0.35">
      <c r="A55" s="293"/>
      <c r="B55" s="1172"/>
      <c r="C55" s="1172"/>
      <c r="D55" s="1172"/>
      <c r="E55" s="1172"/>
      <c r="F55" s="87">
        <f>SUM(F52:F54)</f>
        <v>1184632</v>
      </c>
      <c r="G55" s="89">
        <f>SUM(G52:G54)</f>
        <v>978817</v>
      </c>
      <c r="H55" s="1172" t="s">
        <v>370</v>
      </c>
      <c r="I55" s="1172"/>
      <c r="J55" s="293"/>
      <c r="K55" s="293"/>
      <c r="L55" s="293"/>
      <c r="O55" s="1172"/>
      <c r="P55" s="1172"/>
      <c r="Q55" s="1172"/>
      <c r="R55" s="1172"/>
      <c r="S55" s="1172"/>
      <c r="T55" s="1172"/>
      <c r="U55" s="1172"/>
      <c r="V55" s="1172"/>
      <c r="W55" s="1172"/>
      <c r="X55" s="1172"/>
      <c r="Y55" s="293"/>
      <c r="Z55" s="1172"/>
      <c r="AA55" s="1172"/>
      <c r="AB55" s="1172"/>
    </row>
    <row r="56" spans="1:39" ht="15" hidden="1" customHeight="1" x14ac:dyDescent="0.35">
      <c r="A56" s="293"/>
      <c r="B56" s="1172"/>
      <c r="C56" s="1172"/>
      <c r="D56" s="1172"/>
      <c r="E56" s="1172"/>
      <c r="F56" s="1183"/>
      <c r="G56" s="1183"/>
      <c r="H56" s="1172"/>
      <c r="I56" s="1172"/>
      <c r="J56" s="293"/>
      <c r="K56" s="293"/>
      <c r="L56" s="293"/>
      <c r="O56" s="1172"/>
      <c r="P56" s="1172"/>
      <c r="Q56" s="1172"/>
      <c r="R56" s="1172"/>
      <c r="S56" s="1172"/>
      <c r="T56" s="1172"/>
      <c r="U56" s="1172"/>
      <c r="V56" s="1172"/>
      <c r="W56" s="1172"/>
      <c r="X56" s="1172"/>
      <c r="Y56" s="293"/>
      <c r="Z56" s="1172"/>
      <c r="AA56" s="1172"/>
      <c r="AB56" s="1172"/>
    </row>
    <row r="57" spans="1:39" ht="15" hidden="1" customHeight="1" x14ac:dyDescent="0.35">
      <c r="A57" s="293"/>
      <c r="B57" s="1172" t="s">
        <v>371</v>
      </c>
      <c r="C57" s="1172"/>
      <c r="D57" s="1172"/>
      <c r="E57" s="1172"/>
      <c r="F57" s="1172"/>
      <c r="G57" s="1172"/>
      <c r="H57" s="1172"/>
      <c r="I57" s="1172"/>
      <c r="J57" s="293"/>
      <c r="K57" s="293"/>
      <c r="L57" s="293"/>
      <c r="O57" s="1172"/>
      <c r="P57" s="1172"/>
      <c r="Q57" s="1172"/>
      <c r="R57" s="1172"/>
      <c r="S57" s="1172"/>
      <c r="T57" s="1172"/>
      <c r="U57" s="1172"/>
      <c r="V57" s="1172"/>
      <c r="W57" s="1172"/>
      <c r="X57" s="1172"/>
      <c r="Y57" s="293"/>
      <c r="Z57" s="1172"/>
      <c r="AA57" s="1172"/>
      <c r="AB57" s="1172"/>
    </row>
    <row r="58" spans="1:39" ht="15" hidden="1" customHeight="1" x14ac:dyDescent="0.35">
      <c r="A58" s="293"/>
      <c r="B58" s="1172"/>
      <c r="C58" s="1172"/>
      <c r="D58" s="1172"/>
      <c r="E58" s="1172"/>
      <c r="F58" s="1172"/>
      <c r="G58" s="1172"/>
      <c r="H58" s="1172"/>
      <c r="I58" s="1172"/>
      <c r="J58" s="293"/>
      <c r="K58" s="293"/>
      <c r="L58" s="293"/>
      <c r="O58" s="1172"/>
      <c r="P58" s="1172"/>
      <c r="Q58" s="1172"/>
      <c r="R58" s="1172"/>
      <c r="S58" s="1172"/>
      <c r="T58" s="1172"/>
      <c r="U58" s="1172"/>
      <c r="V58" s="1172"/>
      <c r="W58" s="1172"/>
      <c r="X58" s="1172"/>
      <c r="Y58" s="293"/>
      <c r="Z58" s="1172"/>
      <c r="AA58" s="1172"/>
      <c r="AB58" s="1172"/>
    </row>
    <row r="59" spans="1:39" ht="15" customHeight="1" x14ac:dyDescent="0.35">
      <c r="A59" s="293"/>
      <c r="B59" s="1172"/>
      <c r="C59" s="1172"/>
      <c r="D59" s="1172"/>
      <c r="E59" s="1172"/>
      <c r="F59" s="1172"/>
      <c r="G59" s="1172"/>
      <c r="H59" s="1172"/>
      <c r="I59" s="1172"/>
      <c r="J59" s="293"/>
      <c r="K59" s="293"/>
      <c r="L59" s="293"/>
      <c r="O59" s="1172"/>
      <c r="P59" s="1172"/>
      <c r="Q59" s="1172"/>
      <c r="R59" s="1172"/>
      <c r="S59" s="1172"/>
      <c r="T59" s="1172"/>
      <c r="U59" s="1172"/>
      <c r="V59" s="1172"/>
      <c r="W59" s="1172"/>
      <c r="X59" s="1172"/>
      <c r="Y59" s="293"/>
      <c r="Z59" s="293" t="s">
        <v>207</v>
      </c>
      <c r="AA59" s="1184">
        <f>L26-AA26</f>
        <v>260000</v>
      </c>
      <c r="AB59" s="1184">
        <f>Q26-AB26</f>
        <v>111962.66666666666</v>
      </c>
      <c r="AC59" s="1184">
        <f>206000-AC26</f>
        <v>77249.999999999971</v>
      </c>
      <c r="AD59" s="1184" t="s">
        <v>207</v>
      </c>
      <c r="AE59" s="1183"/>
      <c r="AG59" s="292" t="s">
        <v>207</v>
      </c>
      <c r="AH59" s="292" t="s">
        <v>207</v>
      </c>
      <c r="AI59" s="292" t="s">
        <v>207</v>
      </c>
      <c r="AJ59" s="292" t="s">
        <v>207</v>
      </c>
      <c r="AK59" s="292" t="s">
        <v>207</v>
      </c>
      <c r="AL59" s="292" t="s">
        <v>207</v>
      </c>
      <c r="AM59" s="293"/>
    </row>
    <row r="60" spans="1:39" ht="15" customHeight="1" x14ac:dyDescent="0.35">
      <c r="A60" s="293"/>
      <c r="B60" s="1172"/>
      <c r="C60" s="1172"/>
      <c r="D60" s="1172"/>
      <c r="E60" s="1172"/>
      <c r="F60" s="1172"/>
      <c r="G60" s="1172"/>
      <c r="H60" s="1172"/>
      <c r="I60" s="1172"/>
      <c r="J60" s="293"/>
      <c r="K60" s="293"/>
      <c r="L60" s="293"/>
      <c r="O60" s="1172"/>
      <c r="P60" s="1172"/>
      <c r="Q60" s="1172"/>
      <c r="R60" s="1172"/>
      <c r="S60" s="1172"/>
      <c r="T60" s="1172"/>
      <c r="U60" s="1172"/>
      <c r="V60" s="1172"/>
      <c r="W60" s="1172"/>
      <c r="X60" s="1172"/>
      <c r="Y60" s="293"/>
      <c r="Z60" s="1172"/>
      <c r="AA60" s="1172"/>
      <c r="AB60" s="1172"/>
      <c r="AC60" s="1184"/>
      <c r="AD60" s="1183"/>
      <c r="AE60" s="1183"/>
      <c r="AG60" s="293"/>
      <c r="AH60" s="293"/>
      <c r="AI60" s="293"/>
      <c r="AJ60" s="293"/>
      <c r="AK60" s="293"/>
      <c r="AL60" s="293"/>
      <c r="AM60" s="293"/>
    </row>
    <row r="61" spans="1:39" ht="15" customHeight="1" x14ac:dyDescent="0.35">
      <c r="A61" s="293"/>
      <c r="B61" s="1172"/>
      <c r="C61" s="1172"/>
      <c r="D61" s="1172"/>
      <c r="E61" s="1172"/>
      <c r="F61" s="1172"/>
      <c r="G61" s="1172"/>
      <c r="H61" s="1172"/>
      <c r="I61" s="1172"/>
      <c r="J61" s="293"/>
      <c r="K61" s="293"/>
      <c r="L61" s="293"/>
      <c r="O61" s="1172"/>
      <c r="P61" s="1172"/>
      <c r="Q61" s="1172"/>
      <c r="R61" s="1172"/>
      <c r="S61" s="1172"/>
      <c r="T61" s="1172"/>
      <c r="U61" s="1172"/>
      <c r="V61" s="1172"/>
      <c r="W61" s="1172"/>
      <c r="X61" s="1172"/>
      <c r="Y61" s="293"/>
      <c r="Z61" s="1172"/>
      <c r="AA61" s="293" t="s">
        <v>207</v>
      </c>
      <c r="AB61" s="293" t="s">
        <v>207</v>
      </c>
      <c r="AC61" s="293" t="s">
        <v>207</v>
      </c>
      <c r="AD61" s="1183"/>
      <c r="AE61" s="1183"/>
      <c r="AG61" s="293"/>
      <c r="AH61" s="292" t="s">
        <v>372</v>
      </c>
      <c r="AI61" s="294">
        <f>SUM(AA64:AC64)</f>
        <v>757936</v>
      </c>
      <c r="AJ61" s="292"/>
      <c r="AK61" s="292" t="s">
        <v>3</v>
      </c>
      <c r="AL61" s="294">
        <f>AL26-AE64</f>
        <v>209307</v>
      </c>
      <c r="AM61" s="293"/>
    </row>
    <row r="62" spans="1:39" ht="15" customHeight="1" x14ac:dyDescent="0.35">
      <c r="A62" s="293"/>
      <c r="B62" s="1172"/>
      <c r="C62" s="1172"/>
      <c r="D62" s="1172"/>
      <c r="E62" s="1172"/>
      <c r="F62" s="1172"/>
      <c r="G62" s="1172"/>
      <c r="H62" s="1172"/>
      <c r="I62" s="1172"/>
      <c r="J62" s="293"/>
      <c r="K62" s="293"/>
      <c r="L62" s="293"/>
      <c r="O62" s="1172"/>
      <c r="P62" s="1172"/>
      <c r="Q62" s="1172"/>
      <c r="R62" s="1172"/>
      <c r="S62" s="1172"/>
      <c r="T62" s="1172"/>
      <c r="U62" s="1172"/>
      <c r="V62" s="1172"/>
      <c r="W62" s="1172"/>
      <c r="X62" s="1172"/>
      <c r="Y62" s="293"/>
      <c r="Z62" s="1172"/>
      <c r="AA62" s="1183">
        <f>((L18+L19+L23+L24+L25)*(7/12))+L11</f>
        <v>235000</v>
      </c>
      <c r="AB62" s="1184">
        <f>Q26*(7/12)</f>
        <v>111962.66666666667</v>
      </c>
      <c r="AC62" s="1184">
        <f>(7/12)*206000</f>
        <v>120166.66666666667</v>
      </c>
      <c r="AD62" s="1183"/>
      <c r="AE62" s="1183"/>
      <c r="AG62" s="293"/>
      <c r="AH62" s="292"/>
      <c r="AI62" s="292" t="s">
        <v>207</v>
      </c>
      <c r="AJ62" s="292"/>
      <c r="AK62" s="1475" t="s">
        <v>373</v>
      </c>
      <c r="AL62" s="1475"/>
      <c r="AM62" s="293"/>
    </row>
    <row r="63" spans="1:39" ht="15" customHeight="1" x14ac:dyDescent="0.35">
      <c r="A63" s="293"/>
      <c r="B63" s="1172"/>
      <c r="C63" s="1172"/>
      <c r="D63" s="1172"/>
      <c r="E63" s="1172"/>
      <c r="F63" s="1172"/>
      <c r="G63" s="1172"/>
      <c r="H63" s="1172"/>
      <c r="I63" s="1172"/>
      <c r="J63" s="293"/>
      <c r="K63" s="293"/>
      <c r="L63" s="293"/>
      <c r="O63" s="1172"/>
      <c r="P63" s="1172"/>
      <c r="Q63" s="1172"/>
      <c r="R63" s="1172"/>
      <c r="S63" s="1172"/>
      <c r="T63" s="1172"/>
      <c r="U63" s="1172"/>
      <c r="V63" s="1172"/>
      <c r="W63" s="1172"/>
      <c r="X63" s="1172"/>
      <c r="Y63" s="293"/>
      <c r="Z63" s="1172"/>
      <c r="AA63" s="1172"/>
      <c r="AB63" s="1172"/>
      <c r="AC63" s="1183"/>
      <c r="AD63" s="1183"/>
      <c r="AE63" s="1183"/>
      <c r="AG63" s="293"/>
      <c r="AH63" s="292"/>
      <c r="AI63" s="292"/>
      <c r="AJ63" s="292"/>
      <c r="AK63" s="1475"/>
      <c r="AL63" s="1475"/>
      <c r="AM63" s="293"/>
    </row>
    <row r="64" spans="1:39" ht="12" customHeight="1" x14ac:dyDescent="0.35">
      <c r="A64" s="293"/>
      <c r="B64" s="1172"/>
      <c r="C64" s="1172"/>
      <c r="D64" s="1172"/>
      <c r="E64" s="1172"/>
      <c r="F64" s="1172"/>
      <c r="G64" s="1172"/>
      <c r="H64" s="1172"/>
      <c r="I64" s="1172"/>
      <c r="J64" s="293"/>
      <c r="K64" s="293"/>
      <c r="L64" s="293"/>
      <c r="O64" s="1172"/>
      <c r="P64" s="1172"/>
      <c r="Q64" s="1172"/>
      <c r="R64" s="1172"/>
      <c r="S64" s="1172"/>
      <c r="T64" s="1172"/>
      <c r="U64" s="1172"/>
      <c r="V64" s="1172"/>
      <c r="W64" s="1172"/>
      <c r="X64" s="1172"/>
      <c r="Y64" s="293"/>
      <c r="Z64" s="1183">
        <f>I26</f>
        <v>317322</v>
      </c>
      <c r="AA64" s="1183">
        <f>L26</f>
        <v>360000</v>
      </c>
      <c r="AB64" s="1183">
        <f>Q26</f>
        <v>191936</v>
      </c>
      <c r="AC64" s="1184">
        <f>206000</f>
        <v>206000</v>
      </c>
      <c r="AD64" s="1184">
        <f>U26</f>
        <v>910212</v>
      </c>
      <c r="AE64" s="1184">
        <f>SUM(Z64:AD64)</f>
        <v>1985470</v>
      </c>
      <c r="AG64" s="293"/>
      <c r="AH64" s="292"/>
      <c r="AI64" s="292"/>
      <c r="AJ64" s="292"/>
      <c r="AK64" s="1475"/>
      <c r="AL64" s="1475"/>
      <c r="AM64" s="293"/>
    </row>
    <row r="65" spans="2:38" s="79" customFormat="1" ht="12" customHeight="1" x14ac:dyDescent="0.35">
      <c r="B65" s="159"/>
      <c r="C65" s="1172"/>
      <c r="D65" s="1172"/>
      <c r="E65" s="1172"/>
      <c r="F65" s="1172"/>
      <c r="G65" s="1172"/>
      <c r="H65" s="1172"/>
      <c r="I65" s="1172"/>
      <c r="J65" s="293"/>
      <c r="K65" s="293"/>
      <c r="L65" s="293"/>
      <c r="O65" s="1172"/>
      <c r="P65" s="1172"/>
      <c r="Q65" s="1172"/>
      <c r="R65" s="1172"/>
      <c r="S65" s="1172"/>
      <c r="T65" s="1172"/>
      <c r="U65" s="1172"/>
      <c r="V65" s="1172"/>
      <c r="W65" s="1172"/>
      <c r="X65" s="1172"/>
      <c r="Y65" s="293"/>
      <c r="Z65" s="1172"/>
      <c r="AA65" s="1172"/>
      <c r="AB65" s="1172"/>
      <c r="AC65" s="1184"/>
      <c r="AD65" s="1184"/>
      <c r="AE65" s="1184"/>
    </row>
    <row r="66" spans="2:38" s="79" customFormat="1" ht="12" customHeight="1" x14ac:dyDescent="0.35">
      <c r="B66" s="1172"/>
      <c r="C66" s="1172"/>
      <c r="D66" s="1172"/>
      <c r="E66" s="1185" t="s">
        <v>374</v>
      </c>
      <c r="F66" s="1172"/>
      <c r="G66" s="1172"/>
      <c r="H66" s="1172"/>
      <c r="I66" s="1172"/>
      <c r="J66" s="293"/>
      <c r="K66" s="293"/>
      <c r="L66" s="293"/>
      <c r="O66" s="1172"/>
      <c r="P66" s="1172"/>
      <c r="Q66" s="1172"/>
      <c r="R66" s="1172"/>
      <c r="S66" s="1172"/>
      <c r="T66" s="1172"/>
      <c r="U66" s="1172"/>
      <c r="V66" s="1172"/>
      <c r="W66" s="1172"/>
      <c r="X66" s="1172"/>
      <c r="Y66" s="293"/>
      <c r="Z66" s="1183">
        <f>Z26</f>
        <v>317322</v>
      </c>
      <c r="AA66" s="1172"/>
      <c r="AB66" s="1172"/>
      <c r="AC66" s="1184"/>
      <c r="AD66" s="1184">
        <f>AD26</f>
        <v>910212</v>
      </c>
      <c r="AE66" s="1184"/>
      <c r="AL66" s="292" t="s">
        <v>375</v>
      </c>
    </row>
    <row r="67" spans="2:38" s="79" customFormat="1" ht="12" customHeight="1" x14ac:dyDescent="0.35">
      <c r="B67" s="1172"/>
      <c r="C67" s="1172"/>
      <c r="D67" s="1172"/>
      <c r="E67" s="1172"/>
      <c r="F67" s="1172"/>
      <c r="G67" s="1172"/>
      <c r="H67" s="1172"/>
      <c r="I67" s="1172"/>
      <c r="J67" s="293"/>
      <c r="K67" s="293"/>
      <c r="L67" s="293"/>
      <c r="O67" s="1172"/>
      <c r="P67" s="1172"/>
      <c r="Q67" s="1172"/>
      <c r="R67" s="1172"/>
      <c r="S67" s="1172"/>
      <c r="T67" s="1172"/>
      <c r="U67" s="1172"/>
      <c r="V67" s="1172"/>
      <c r="W67" s="1172"/>
      <c r="X67" s="1172"/>
      <c r="Y67" s="293"/>
      <c r="Z67" s="1172"/>
      <c r="AA67" s="1172"/>
      <c r="AB67" s="1172"/>
      <c r="AL67" s="292" t="s">
        <v>376</v>
      </c>
    </row>
  </sheetData>
  <mergeCells count="81">
    <mergeCell ref="B53:E53"/>
    <mergeCell ref="B54:E54"/>
    <mergeCell ref="AK62:AL64"/>
    <mergeCell ref="BB4:BB6"/>
    <mergeCell ref="BC4:BC6"/>
    <mergeCell ref="B30:V33"/>
    <mergeCell ref="B36:V38"/>
    <mergeCell ref="B41:V44"/>
    <mergeCell ref="B46:V47"/>
    <mergeCell ref="B48:V49"/>
    <mergeCell ref="B52:E52"/>
    <mergeCell ref="B21:E21"/>
    <mergeCell ref="B22:E22"/>
    <mergeCell ref="B23:E23"/>
    <mergeCell ref="B24:E24"/>
    <mergeCell ref="B25:E25"/>
    <mergeCell ref="B26:E26"/>
    <mergeCell ref="B15:E15"/>
    <mergeCell ref="B16:E16"/>
    <mergeCell ref="B17:E17"/>
    <mergeCell ref="B18:E18"/>
    <mergeCell ref="B19:E19"/>
    <mergeCell ref="B20:E20"/>
    <mergeCell ref="B9:E9"/>
    <mergeCell ref="B10:E10"/>
    <mergeCell ref="B11:E11"/>
    <mergeCell ref="B12:E12"/>
    <mergeCell ref="B13:E13"/>
    <mergeCell ref="B14:E14"/>
    <mergeCell ref="AX4:AX6"/>
    <mergeCell ref="AY4:AY6"/>
    <mergeCell ref="AZ4:AZ6"/>
    <mergeCell ref="B6:E6"/>
    <mergeCell ref="B7:E7"/>
    <mergeCell ref="B8:E8"/>
    <mergeCell ref="AQ4:AQ6"/>
    <mergeCell ref="AR4:AR6"/>
    <mergeCell ref="AS4:AS6"/>
    <mergeCell ref="AU4:AU6"/>
    <mergeCell ref="AV4:AV6"/>
    <mergeCell ref="AW4:AW6"/>
    <mergeCell ref="AJ4:AJ6"/>
    <mergeCell ref="AK4:AK6"/>
    <mergeCell ref="AL4:AL6"/>
    <mergeCell ref="K4:K6"/>
    <mergeCell ref="L4:L6"/>
    <mergeCell ref="M4:M6"/>
    <mergeCell ref="N4:N6"/>
    <mergeCell ref="AB4:AB6"/>
    <mergeCell ref="O4:O6"/>
    <mergeCell ref="P4:P6"/>
    <mergeCell ref="Q4:Q6"/>
    <mergeCell ref="R4:R6"/>
    <mergeCell ref="S4:S6"/>
    <mergeCell ref="U4:U6"/>
    <mergeCell ref="V4:V6"/>
    <mergeCell ref="X4:X6"/>
    <mergeCell ref="Y4:Y6"/>
    <mergeCell ref="Z4:Z6"/>
    <mergeCell ref="AA4:AA6"/>
    <mergeCell ref="F4:F6"/>
    <mergeCell ref="G4:G6"/>
    <mergeCell ref="H4:H6"/>
    <mergeCell ref="I4:I6"/>
    <mergeCell ref="J4:J6"/>
    <mergeCell ref="BG4:BG6"/>
    <mergeCell ref="BH4:BH6"/>
    <mergeCell ref="BI4:BI6"/>
    <mergeCell ref="BJ4:BJ6"/>
    <mergeCell ref="V2:V3"/>
    <mergeCell ref="AN4:AN6"/>
    <mergeCell ref="AO4:AO6"/>
    <mergeCell ref="AP4:AP6"/>
    <mergeCell ref="AC4:AC6"/>
    <mergeCell ref="AD4:AD6"/>
    <mergeCell ref="AE4:AE6"/>
    <mergeCell ref="AG4:AG6"/>
    <mergeCell ref="AH4:AH6"/>
    <mergeCell ref="AI4:AI6"/>
    <mergeCell ref="BD4:BD6"/>
    <mergeCell ref="BE4:BE6"/>
  </mergeCell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2:D30"/>
  <sheetViews>
    <sheetView topLeftCell="A7" workbookViewId="0">
      <selection sqref="A1:XFD1048576"/>
    </sheetView>
  </sheetViews>
  <sheetFormatPr defaultRowHeight="12.5" x14ac:dyDescent="0.25"/>
  <cols>
    <col min="2" max="2" width="39.453125" bestFit="1" customWidth="1"/>
    <col min="3" max="3" width="23.1796875" bestFit="1" customWidth="1"/>
    <col min="4" max="4" width="14.7265625" customWidth="1"/>
  </cols>
  <sheetData>
    <row r="2" spans="1:4" ht="13" thickBot="1" x14ac:dyDescent="0.3"/>
    <row r="3" spans="1:4" ht="13" x14ac:dyDescent="0.25">
      <c r="A3" s="141" t="s">
        <v>540</v>
      </c>
      <c r="B3" s="142" t="s">
        <v>541</v>
      </c>
      <c r="C3" s="143" t="s">
        <v>934</v>
      </c>
      <c r="D3" s="143" t="s">
        <v>543</v>
      </c>
    </row>
    <row r="4" spans="1:4" x14ac:dyDescent="0.25">
      <c r="A4" s="156">
        <v>9257002</v>
      </c>
      <c r="B4" s="144" t="s">
        <v>544</v>
      </c>
      <c r="C4" s="445">
        <v>53</v>
      </c>
      <c r="D4" s="146">
        <f>($C$24*$C$25)*C4</f>
        <v>23789.050000000003</v>
      </c>
    </row>
    <row r="5" spans="1:4" x14ac:dyDescent="0.25">
      <c r="A5" s="156">
        <v>9257005</v>
      </c>
      <c r="B5" s="144" t="s">
        <v>545</v>
      </c>
      <c r="C5" s="445">
        <v>16</v>
      </c>
      <c r="D5" s="146">
        <f t="shared" ref="D5:D21" si="0">($C$24*$C$25)*C5</f>
        <v>7181.6</v>
      </c>
    </row>
    <row r="6" spans="1:4" x14ac:dyDescent="0.25">
      <c r="A6" s="156">
        <v>9257008</v>
      </c>
      <c r="B6" s="144" t="s">
        <v>340</v>
      </c>
      <c r="C6" s="445">
        <v>19</v>
      </c>
      <c r="D6" s="146">
        <f t="shared" si="0"/>
        <v>8528.15</v>
      </c>
    </row>
    <row r="7" spans="1:4" x14ac:dyDescent="0.25">
      <c r="A7" s="156">
        <v>9257009</v>
      </c>
      <c r="B7" s="144" t="s">
        <v>546</v>
      </c>
      <c r="C7" s="445">
        <v>27</v>
      </c>
      <c r="D7" s="146">
        <f t="shared" si="0"/>
        <v>12118.95</v>
      </c>
    </row>
    <row r="8" spans="1:4" x14ac:dyDescent="0.25">
      <c r="A8" s="156">
        <v>9257010</v>
      </c>
      <c r="B8" s="144" t="s">
        <v>547</v>
      </c>
      <c r="C8" s="445">
        <v>15</v>
      </c>
      <c r="D8" s="146">
        <f t="shared" si="0"/>
        <v>6732.75</v>
      </c>
    </row>
    <row r="9" spans="1:4" x14ac:dyDescent="0.25">
      <c r="A9" s="156">
        <v>9257011</v>
      </c>
      <c r="B9" s="144" t="s">
        <v>548</v>
      </c>
      <c r="C9" s="445">
        <v>17</v>
      </c>
      <c r="D9" s="146">
        <f t="shared" si="0"/>
        <v>7630.4500000000007</v>
      </c>
    </row>
    <row r="10" spans="1:4" x14ac:dyDescent="0.25">
      <c r="A10" s="156">
        <v>9257015</v>
      </c>
      <c r="B10" s="144" t="s">
        <v>549</v>
      </c>
      <c r="C10" s="445">
        <v>71</v>
      </c>
      <c r="D10" s="146">
        <f t="shared" si="0"/>
        <v>31868.350000000002</v>
      </c>
    </row>
    <row r="11" spans="1:4" x14ac:dyDescent="0.25">
      <c r="A11" s="156">
        <v>9257016</v>
      </c>
      <c r="B11" s="144" t="s">
        <v>550</v>
      </c>
      <c r="C11" s="445">
        <v>35</v>
      </c>
      <c r="D11" s="146">
        <f t="shared" si="0"/>
        <v>15709.75</v>
      </c>
    </row>
    <row r="12" spans="1:4" x14ac:dyDescent="0.25">
      <c r="A12" s="156">
        <v>9257021</v>
      </c>
      <c r="B12" s="144" t="s">
        <v>551</v>
      </c>
      <c r="C12" s="445">
        <v>62</v>
      </c>
      <c r="D12" s="146">
        <f t="shared" si="0"/>
        <v>27828.7</v>
      </c>
    </row>
    <row r="13" spans="1:4" x14ac:dyDescent="0.25">
      <c r="A13" s="156">
        <v>9257024</v>
      </c>
      <c r="B13" s="144" t="s">
        <v>552</v>
      </c>
      <c r="C13" s="445">
        <v>33</v>
      </c>
      <c r="D13" s="146">
        <f t="shared" si="0"/>
        <v>14812.050000000001</v>
      </c>
    </row>
    <row r="14" spans="1:4" x14ac:dyDescent="0.25">
      <c r="A14" s="156">
        <v>9257025</v>
      </c>
      <c r="B14" s="144" t="s">
        <v>553</v>
      </c>
      <c r="C14" s="445">
        <v>19</v>
      </c>
      <c r="D14" s="146">
        <f t="shared" si="0"/>
        <v>8528.15</v>
      </c>
    </row>
    <row r="15" spans="1:4" x14ac:dyDescent="0.25">
      <c r="A15" s="156">
        <v>9257028</v>
      </c>
      <c r="B15" s="144" t="s">
        <v>554</v>
      </c>
      <c r="C15" s="445">
        <v>20</v>
      </c>
      <c r="D15" s="146">
        <f t="shared" si="0"/>
        <v>8977</v>
      </c>
    </row>
    <row r="16" spans="1:4" x14ac:dyDescent="0.25">
      <c r="A16" s="156">
        <v>9257029</v>
      </c>
      <c r="B16" s="144" t="s">
        <v>890</v>
      </c>
      <c r="C16" s="445">
        <v>22</v>
      </c>
      <c r="D16" s="146">
        <f t="shared" si="0"/>
        <v>9874.7000000000007</v>
      </c>
    </row>
    <row r="17" spans="1:4" x14ac:dyDescent="0.25">
      <c r="A17" s="156">
        <v>9257030</v>
      </c>
      <c r="B17" s="144" t="s">
        <v>815</v>
      </c>
      <c r="C17" s="445">
        <v>16</v>
      </c>
      <c r="D17" s="146">
        <f t="shared" si="0"/>
        <v>7181.6</v>
      </c>
    </row>
    <row r="18" spans="1:4" x14ac:dyDescent="0.25">
      <c r="A18" s="156">
        <v>9257031</v>
      </c>
      <c r="B18" s="144" t="s">
        <v>557</v>
      </c>
      <c r="C18" s="445">
        <v>29</v>
      </c>
      <c r="D18" s="146">
        <f t="shared" si="0"/>
        <v>13016.650000000001</v>
      </c>
    </row>
    <row r="19" spans="1:4" x14ac:dyDescent="0.25">
      <c r="A19" s="156">
        <v>9257032</v>
      </c>
      <c r="B19" s="144" t="s">
        <v>558</v>
      </c>
      <c r="C19" s="445">
        <v>21</v>
      </c>
      <c r="D19" s="146">
        <f t="shared" si="0"/>
        <v>9425.85</v>
      </c>
    </row>
    <row r="20" spans="1:4" x14ac:dyDescent="0.25">
      <c r="A20" s="156">
        <v>9257033</v>
      </c>
      <c r="B20" s="144" t="s">
        <v>559</v>
      </c>
      <c r="C20" s="445">
        <v>44</v>
      </c>
      <c r="D20" s="146">
        <f t="shared" si="0"/>
        <v>19749.400000000001</v>
      </c>
    </row>
    <row r="21" spans="1:4" ht="13" thickBot="1" x14ac:dyDescent="0.3">
      <c r="A21" s="157">
        <v>9257034</v>
      </c>
      <c r="B21" s="147" t="s">
        <v>560</v>
      </c>
      <c r="C21" s="446">
        <v>42</v>
      </c>
      <c r="D21" s="149">
        <f t="shared" si="0"/>
        <v>18851.7</v>
      </c>
    </row>
    <row r="22" spans="1:4" x14ac:dyDescent="0.25">
      <c r="A22" s="150"/>
      <c r="B22" s="151"/>
      <c r="C22" s="150"/>
      <c r="D22" s="152"/>
    </row>
    <row r="23" spans="1:4" ht="13" thickBot="1" x14ac:dyDescent="0.3">
      <c r="A23" s="150"/>
      <c r="B23" s="151"/>
      <c r="C23" s="150"/>
      <c r="D23" s="155">
        <f>SUM(D4:D21)</f>
        <v>251804.85</v>
      </c>
    </row>
    <row r="24" spans="1:4" x14ac:dyDescent="0.25">
      <c r="A24" s="150"/>
      <c r="B24" s="153" t="s">
        <v>561</v>
      </c>
      <c r="C24" s="154">
        <v>2.35</v>
      </c>
      <c r="D24" s="151"/>
    </row>
    <row r="25" spans="1:4" x14ac:dyDescent="0.25">
      <c r="A25" s="150"/>
      <c r="B25" s="153" t="s">
        <v>562</v>
      </c>
      <c r="C25" s="150">
        <v>191</v>
      </c>
      <c r="D25" s="151"/>
    </row>
    <row r="26" spans="1:4" x14ac:dyDescent="0.25">
      <c r="A26" s="150"/>
      <c r="B26" s="151"/>
      <c r="C26" s="150"/>
      <c r="D26" s="151"/>
    </row>
    <row r="28" spans="1:4" x14ac:dyDescent="0.25">
      <c r="C28" s="289" t="s">
        <v>935</v>
      </c>
      <c r="D28" s="16">
        <v>248663</v>
      </c>
    </row>
    <row r="29" spans="1:4" x14ac:dyDescent="0.25">
      <c r="D29" s="16"/>
    </row>
    <row r="30" spans="1:4" x14ac:dyDescent="0.25">
      <c r="C30" s="289" t="s">
        <v>564</v>
      </c>
      <c r="D30" s="16">
        <f>D23-D28</f>
        <v>3141.8500000000058</v>
      </c>
    </row>
  </sheetData>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2:L42"/>
  <sheetViews>
    <sheetView workbookViewId="0">
      <selection activeCell="C5" sqref="C5"/>
    </sheetView>
  </sheetViews>
  <sheetFormatPr defaultColWidth="9.1796875" defaultRowHeight="12.5" x14ac:dyDescent="0.25"/>
  <cols>
    <col min="1" max="1" width="11.26953125" style="151" customWidth="1"/>
    <col min="2" max="2" width="20.7265625" style="150" customWidth="1"/>
    <col min="3" max="6" width="15.7265625" style="150" customWidth="1"/>
    <col min="7" max="7" width="61.7265625" style="151" customWidth="1"/>
    <col min="8" max="8" width="9.1796875" style="151"/>
    <col min="9" max="12" width="15.7265625" style="150" customWidth="1"/>
    <col min="13" max="16384" width="9.1796875" style="151"/>
  </cols>
  <sheetData>
    <row r="2" spans="1:10" s="151" customFormat="1" x14ac:dyDescent="0.25">
      <c r="A2" s="1" t="s">
        <v>34</v>
      </c>
      <c r="B2" s="150"/>
      <c r="C2" s="150"/>
      <c r="D2" s="150"/>
      <c r="E2" s="150"/>
      <c r="F2" s="150"/>
      <c r="I2" s="150"/>
      <c r="J2" s="150"/>
    </row>
    <row r="3" spans="1:10" s="151" customFormat="1" ht="37.5" x14ac:dyDescent="0.25">
      <c r="B3" s="441" t="s">
        <v>35</v>
      </c>
      <c r="C3" s="442" t="s">
        <v>936</v>
      </c>
      <c r="D3" s="442" t="s">
        <v>937</v>
      </c>
      <c r="E3" s="442" t="s">
        <v>938</v>
      </c>
      <c r="F3" s="441" t="s">
        <v>36</v>
      </c>
      <c r="G3" s="441" t="s">
        <v>939</v>
      </c>
      <c r="I3" s="150" t="s">
        <v>940</v>
      </c>
      <c r="J3" s="150" t="s">
        <v>19</v>
      </c>
    </row>
    <row r="5" spans="1:10" s="151" customFormat="1" x14ac:dyDescent="0.25">
      <c r="A5" s="151" t="s">
        <v>39</v>
      </c>
      <c r="B5" s="150" t="s">
        <v>751</v>
      </c>
      <c r="C5" s="428">
        <f>'[18]Teacher Pay Scales'!$M$44/8</f>
        <v>5389.75</v>
      </c>
      <c r="D5" s="428">
        <f>SUM('[18]TA Pay scales'!$N$45/8*3)</f>
        <v>8314.3681768558963</v>
      </c>
      <c r="E5" s="428">
        <f>'[18]GLEA Pay Scales'!$K$21/10/37*6.25*195/224</f>
        <v>300.11777569980694</v>
      </c>
      <c r="F5" s="443">
        <f>SUM(C5:E5)</f>
        <v>14004.235952555704</v>
      </c>
      <c r="G5" s="151" t="s">
        <v>752</v>
      </c>
      <c r="I5" s="428">
        <f>'[19]2017-18 Funding Summary'!$D$47</f>
        <v>11692.020638096787</v>
      </c>
      <c r="J5" s="428">
        <f>F5-I5</f>
        <v>2312.2153144589174</v>
      </c>
    </row>
    <row r="6" spans="1:10" s="151" customFormat="1" x14ac:dyDescent="0.25">
      <c r="B6" s="150"/>
      <c r="C6" s="428"/>
      <c r="D6" s="150"/>
      <c r="E6" s="150"/>
      <c r="F6" s="428"/>
      <c r="I6" s="428"/>
      <c r="J6" s="428"/>
    </row>
    <row r="7" spans="1:10" s="151" customFormat="1" x14ac:dyDescent="0.25">
      <c r="B7" s="150"/>
      <c r="C7" s="428"/>
      <c r="D7" s="428"/>
      <c r="E7" s="428"/>
      <c r="F7" s="428"/>
      <c r="I7" s="428"/>
      <c r="J7" s="428"/>
    </row>
    <row r="8" spans="1:10" s="151" customFormat="1" x14ac:dyDescent="0.25">
      <c r="A8" s="151" t="s">
        <v>42</v>
      </c>
      <c r="B8" s="150" t="s">
        <v>43</v>
      </c>
      <c r="C8" s="428">
        <f>'[18]Teacher Pay Scales'!$M$44/10</f>
        <v>4311.8</v>
      </c>
      <c r="D8" s="428">
        <f>SUM('[18]TA Pay scales'!$N$45/10)</f>
        <v>2217.1648471615722</v>
      </c>
      <c r="E8" s="428">
        <f>'[18]GLEA Pay Scales'!$K$21/10/37*6.25*195/224</f>
        <v>300.11777569980694</v>
      </c>
      <c r="F8" s="443">
        <f>SUM(C8:E8)</f>
        <v>6829.0826228613796</v>
      </c>
      <c r="G8" s="151" t="s">
        <v>941</v>
      </c>
      <c r="I8" s="428">
        <f>'[19]2017-18 Funding Summary'!$D$49</f>
        <v>7350.1419469065795</v>
      </c>
      <c r="J8" s="428">
        <f>F8-I8</f>
        <v>-521.0593240451999</v>
      </c>
    </row>
    <row r="9" spans="1:10" s="151" customFormat="1" x14ac:dyDescent="0.25">
      <c r="B9" s="150"/>
      <c r="C9" s="428"/>
      <c r="D9" s="428"/>
      <c r="E9" s="428"/>
      <c r="F9" s="428"/>
      <c r="I9" s="428"/>
      <c r="J9" s="428"/>
    </row>
    <row r="10" spans="1:10" s="151" customFormat="1" x14ac:dyDescent="0.25">
      <c r="B10" s="150"/>
      <c r="C10" s="428"/>
      <c r="D10" s="428"/>
      <c r="E10" s="428"/>
      <c r="F10" s="428"/>
      <c r="I10" s="428"/>
      <c r="J10" s="428"/>
    </row>
    <row r="11" spans="1:10" s="151" customFormat="1" x14ac:dyDescent="0.25">
      <c r="A11" s="151" t="s">
        <v>45</v>
      </c>
      <c r="B11" s="150" t="s">
        <v>46</v>
      </c>
      <c r="C11" s="428">
        <f>'[18]Teacher Pay Scales'!$M$44/12</f>
        <v>3593.1666666666665</v>
      </c>
      <c r="D11" s="428">
        <f>SUM('[18]TA Pay scales'!$N$45/12)</f>
        <v>1847.6373726346435</v>
      </c>
      <c r="E11" s="428">
        <f>'[18]GLEA Pay Scales'!$K$21/10/37*6.25*195/224</f>
        <v>300.11777569980694</v>
      </c>
      <c r="F11" s="443">
        <f>SUM(C11:E11)</f>
        <v>5740.9218150011166</v>
      </c>
      <c r="G11" s="151" t="s">
        <v>143</v>
      </c>
      <c r="I11" s="428">
        <f>'[19]2017-18 Funding Summary'!$D$51</f>
        <v>6243.7244928897762</v>
      </c>
      <c r="J11" s="428">
        <f>F11-I11</f>
        <v>-502.80267788865967</v>
      </c>
    </row>
    <row r="12" spans="1:10" s="151" customFormat="1" x14ac:dyDescent="0.25">
      <c r="B12" s="150"/>
      <c r="C12" s="428"/>
      <c r="D12" s="428"/>
      <c r="E12" s="428"/>
      <c r="F12" s="428"/>
      <c r="I12" s="428"/>
      <c r="J12" s="428"/>
    </row>
    <row r="13" spans="1:10" s="151" customFormat="1" x14ac:dyDescent="0.25">
      <c r="B13" s="150"/>
      <c r="C13" s="428"/>
      <c r="D13" s="428"/>
      <c r="E13" s="428"/>
      <c r="F13" s="428"/>
      <c r="I13" s="428"/>
      <c r="J13" s="428"/>
    </row>
    <row r="14" spans="1:10" s="151" customFormat="1" x14ac:dyDescent="0.25">
      <c r="A14" s="151" t="s">
        <v>48</v>
      </c>
      <c r="B14" s="150" t="s">
        <v>751</v>
      </c>
      <c r="C14" s="428">
        <f>'[18]Teacher Pay Scales'!$M$44/8</f>
        <v>5389.75</v>
      </c>
      <c r="D14" s="428">
        <f>SUM('[18]TA Pay scales'!$N$45/8*3)</f>
        <v>8314.3681768558963</v>
      </c>
      <c r="E14" s="428">
        <f>'[18]GLEA Pay Scales'!$K$21/10/37*6.25*195/224</f>
        <v>300.11777569980694</v>
      </c>
      <c r="F14" s="443">
        <f>SUM(C14:E14)</f>
        <v>14004.235952555704</v>
      </c>
      <c r="G14" s="151" t="s">
        <v>752</v>
      </c>
      <c r="I14" s="428">
        <f>'[19]2017-18 Funding Summary'!$D$53</f>
        <v>11692.020638096787</v>
      </c>
      <c r="J14" s="428">
        <f>F14-I14</f>
        <v>2312.2153144589174</v>
      </c>
    </row>
    <row r="15" spans="1:10" s="151" customFormat="1" x14ac:dyDescent="0.25">
      <c r="B15" s="150"/>
      <c r="C15" s="428"/>
      <c r="D15" s="428"/>
      <c r="E15" s="428"/>
      <c r="F15" s="428"/>
      <c r="I15" s="428"/>
      <c r="J15" s="428"/>
    </row>
    <row r="16" spans="1:10" s="151" customFormat="1" x14ac:dyDescent="0.25">
      <c r="B16" s="150"/>
      <c r="C16" s="428"/>
      <c r="D16" s="428"/>
      <c r="E16" s="428"/>
      <c r="F16" s="428"/>
      <c r="I16" s="428"/>
      <c r="J16" s="428"/>
    </row>
    <row r="17" spans="1:12" x14ac:dyDescent="0.25">
      <c r="A17" s="151" t="s">
        <v>51</v>
      </c>
      <c r="B17" s="150" t="s">
        <v>40</v>
      </c>
      <c r="C17" s="428">
        <f>'[18]Teacher Pay Scales'!$M$44/10</f>
        <v>4311.8</v>
      </c>
      <c r="D17" s="428">
        <f>SUM('[18]TA Pay scales'!$N$45/10*3)</f>
        <v>6651.494541484717</v>
      </c>
      <c r="E17" s="428">
        <f>'[18]GLEA Pay Scales'!$K$21/10/37*6.25*195/224</f>
        <v>300.11777569980694</v>
      </c>
      <c r="F17" s="443">
        <f>SUM(C17:E17)</f>
        <v>11263.412317184524</v>
      </c>
      <c r="G17" s="151" t="s">
        <v>141</v>
      </c>
      <c r="I17" s="428">
        <f>'[19]2017-18 Funding Summary'!$D$57</f>
        <v>11692.020638096787</v>
      </c>
      <c r="J17" s="428">
        <f>F17-I17</f>
        <v>-428.60832091226257</v>
      </c>
      <c r="K17" s="151"/>
      <c r="L17" s="151"/>
    </row>
    <row r="18" spans="1:12" x14ac:dyDescent="0.25">
      <c r="C18" s="428"/>
      <c r="D18" s="428"/>
      <c r="E18" s="428"/>
      <c r="F18" s="428"/>
      <c r="K18" s="151"/>
      <c r="L18" s="151"/>
    </row>
    <row r="19" spans="1:12" x14ac:dyDescent="0.25">
      <c r="C19" s="428"/>
      <c r="D19" s="428"/>
      <c r="E19" s="428"/>
      <c r="F19" s="428"/>
      <c r="K19" s="151"/>
      <c r="L19" s="151"/>
    </row>
    <row r="20" spans="1:12" ht="25" x14ac:dyDescent="0.25">
      <c r="A20" s="151" t="s">
        <v>942</v>
      </c>
      <c r="C20" s="428">
        <v>0</v>
      </c>
      <c r="D20" s="428">
        <v>0</v>
      </c>
      <c r="E20" s="428">
        <v>0</v>
      </c>
      <c r="F20" s="443">
        <v>2635</v>
      </c>
      <c r="G20" s="444" t="s">
        <v>943</v>
      </c>
      <c r="K20" s="151"/>
      <c r="L20" s="151"/>
    </row>
    <row r="21" spans="1:12" x14ac:dyDescent="0.25">
      <c r="C21" s="428"/>
      <c r="D21" s="428"/>
      <c r="E21" s="428"/>
      <c r="F21" s="428"/>
      <c r="G21" s="1"/>
      <c r="K21" s="151"/>
      <c r="L21" s="151"/>
    </row>
    <row r="22" spans="1:12" x14ac:dyDescent="0.25">
      <c r="A22" s="151" t="s">
        <v>793</v>
      </c>
      <c r="B22" s="150" t="s">
        <v>751</v>
      </c>
      <c r="C22" s="428">
        <f>'[18]Teacher Pay Scales'!$M$44/6</f>
        <v>7186.333333333333</v>
      </c>
      <c r="D22" s="428">
        <f>SUM('[18]TA Pay scales'!$N$45/6*2)</f>
        <v>7390.549490538574</v>
      </c>
      <c r="E22" s="428">
        <f>'[18]GLEA Pay Scales'!$K$21/10/37*6.25*195/224</f>
        <v>300.11777569980694</v>
      </c>
      <c r="F22" s="443">
        <f>SUM(C22:E22)</f>
        <v>14877.000599571715</v>
      </c>
      <c r="G22" s="151" t="s">
        <v>753</v>
      </c>
      <c r="K22" s="151"/>
      <c r="L22" s="151"/>
    </row>
    <row r="23" spans="1:12" x14ac:dyDescent="0.25">
      <c r="C23" s="428"/>
      <c r="D23" s="428"/>
      <c r="E23" s="428"/>
      <c r="F23" s="428"/>
      <c r="K23" s="151"/>
      <c r="L23" s="151"/>
    </row>
    <row r="24" spans="1:12" x14ac:dyDescent="0.25">
      <c r="A24" s="151" t="s">
        <v>668</v>
      </c>
      <c r="B24" s="150" t="s">
        <v>671</v>
      </c>
      <c r="C24" s="428">
        <v>0</v>
      </c>
      <c r="D24" s="428">
        <f>'[18]TA Pay scales'!N45/32.5*33</f>
        <v>22512.750755794426</v>
      </c>
      <c r="E24" s="428">
        <v>0</v>
      </c>
      <c r="F24" s="443">
        <f>SUM(C24:E24)</f>
        <v>22512.750755794426</v>
      </c>
      <c r="G24" s="151" t="s">
        <v>944</v>
      </c>
      <c r="K24" s="151"/>
      <c r="L24" s="151"/>
    </row>
    <row r="25" spans="1:12" x14ac:dyDescent="0.25">
      <c r="K25" s="151"/>
      <c r="L25" s="151"/>
    </row>
    <row r="27" spans="1:12" x14ac:dyDescent="0.25">
      <c r="D27" s="150" t="s">
        <v>945</v>
      </c>
      <c r="K27" s="151"/>
      <c r="L27" s="151"/>
    </row>
    <row r="29" spans="1:12" x14ac:dyDescent="0.25">
      <c r="A29" s="151" t="s">
        <v>793</v>
      </c>
      <c r="B29" s="150" t="s">
        <v>751</v>
      </c>
      <c r="C29" s="428">
        <f>'[18]Teacher Pay Scales'!$M$44/7</f>
        <v>6159.7142857142853</v>
      </c>
      <c r="D29" s="428">
        <f>SUM('[18]TA Pay scales'!$N$45/7*2)</f>
        <v>6334.75670617592</v>
      </c>
      <c r="E29" s="428">
        <f>'[18]GLEA Pay Scales'!$K$21/10/37*6.25*195/224</f>
        <v>300.11777569980694</v>
      </c>
      <c r="F29" s="428">
        <f>SUM(C29:E29)</f>
        <v>12794.588767590012</v>
      </c>
      <c r="G29" s="151" t="s">
        <v>753</v>
      </c>
    </row>
    <row r="32" spans="1:12" x14ac:dyDescent="0.25">
      <c r="A32" s="151" t="s">
        <v>793</v>
      </c>
      <c r="B32" s="150" t="s">
        <v>751</v>
      </c>
      <c r="C32" s="428">
        <f>'[18]Teacher Pay Scales'!$I$44/6</f>
        <v>6141.5</v>
      </c>
      <c r="D32" s="428">
        <f>SUM('[18]TA Pay scales'!$N$45/6*2)</f>
        <v>7390.549490538574</v>
      </c>
      <c r="E32" s="428">
        <f>'[18]GLEA Pay Scales'!$K$21/10/37*6.25*195/224</f>
        <v>300.11777569980694</v>
      </c>
      <c r="F32" s="428">
        <f>SUM(C32:E32)</f>
        <v>13832.167266238383</v>
      </c>
      <c r="G32" s="151" t="s">
        <v>753</v>
      </c>
    </row>
    <row r="33" spans="1:7" s="151" customFormat="1" x14ac:dyDescent="0.25">
      <c r="B33" s="150"/>
      <c r="C33" s="150"/>
      <c r="D33" s="150"/>
      <c r="E33" s="150"/>
      <c r="F33" s="150"/>
    </row>
    <row r="34" spans="1:7" s="151" customFormat="1" x14ac:dyDescent="0.25">
      <c r="A34" s="151" t="s">
        <v>946</v>
      </c>
      <c r="B34" s="150" t="s">
        <v>751</v>
      </c>
      <c r="C34" s="428">
        <f>'[18]Teacher Pay Scales'!$M$44/8</f>
        <v>5389.75</v>
      </c>
      <c r="D34" s="428">
        <f>SUM('[18]TA Pay scales'!$N$45/8)+('[18]TA Pay scales'!L45/8*2)</f>
        <v>7723.2312227074235</v>
      </c>
      <c r="E34" s="428">
        <f>'[18]GLEA Pay Scales'!$K$21/10/37*6.25*195/224</f>
        <v>300.11777569980694</v>
      </c>
      <c r="F34" s="428">
        <f>SUM(C34:E34)</f>
        <v>13413.098998407231</v>
      </c>
      <c r="G34" s="151" t="s">
        <v>752</v>
      </c>
    </row>
    <row r="35" spans="1:7" s="151" customFormat="1" x14ac:dyDescent="0.25">
      <c r="B35" s="150"/>
      <c r="C35" s="150"/>
      <c r="D35" s="150"/>
      <c r="E35" s="150"/>
      <c r="F35" s="150"/>
    </row>
    <row r="36" spans="1:7" s="151" customFormat="1" x14ac:dyDescent="0.25">
      <c r="A36" s="151" t="s">
        <v>668</v>
      </c>
      <c r="B36" s="150" t="s">
        <v>671</v>
      </c>
      <c r="C36" s="428">
        <v>0</v>
      </c>
      <c r="D36" s="428">
        <f>'[18]TA Pay scales'!L45/32.5*33</f>
        <v>20111.82528048371</v>
      </c>
      <c r="E36" s="428">
        <v>0</v>
      </c>
      <c r="F36" s="428">
        <f>SUM(C36:E36)</f>
        <v>20111.82528048371</v>
      </c>
      <c r="G36" s="151" t="s">
        <v>944</v>
      </c>
    </row>
    <row r="37" spans="1:7" s="151" customFormat="1" x14ac:dyDescent="0.25">
      <c r="B37" s="150"/>
      <c r="C37" s="150"/>
      <c r="D37" s="150"/>
      <c r="E37" s="150"/>
      <c r="F37" s="150"/>
    </row>
    <row r="38" spans="1:7" s="151" customFormat="1" x14ac:dyDescent="0.25">
      <c r="A38" s="151" t="s">
        <v>946</v>
      </c>
      <c r="B38" s="150" t="s">
        <v>751</v>
      </c>
      <c r="C38" s="428">
        <f>'[18]Teacher Pay Scales'!$M$44/10</f>
        <v>4311.8</v>
      </c>
      <c r="D38" s="428">
        <f>SUM('[18]TA Pay scales'!$N$45/10*3)</f>
        <v>6651.494541484717</v>
      </c>
      <c r="E38" s="428">
        <f>'[18]GLEA Pay Scales'!$K$21/10/37*6.25*195/224</f>
        <v>300.11777569980694</v>
      </c>
      <c r="F38" s="428">
        <f>SUM(C38:E38)</f>
        <v>11263.412317184524</v>
      </c>
      <c r="G38" s="151" t="s">
        <v>752</v>
      </c>
    </row>
    <row r="39" spans="1:7" s="151" customFormat="1" x14ac:dyDescent="0.25">
      <c r="B39" s="150"/>
      <c r="C39" s="150"/>
      <c r="D39" s="150"/>
      <c r="E39" s="150"/>
      <c r="F39" s="150"/>
    </row>
    <row r="40" spans="1:7" s="151" customFormat="1" x14ac:dyDescent="0.25">
      <c r="A40" s="151" t="s">
        <v>793</v>
      </c>
      <c r="B40" s="150" t="s">
        <v>751</v>
      </c>
      <c r="C40" s="428">
        <f>'[18]Teacher Pay Scales'!$I$44/7</f>
        <v>5264.1428571428569</v>
      </c>
      <c r="D40" s="428">
        <f>SUM('[18]TA Pay scales'!$N$45/7*2)</f>
        <v>6334.75670617592</v>
      </c>
      <c r="E40" s="428">
        <f>'[18]GLEA Pay Scales'!$K$21/10/37*6.25*195/224</f>
        <v>300.11777569980694</v>
      </c>
      <c r="F40" s="428">
        <f>SUM(C40:E40)</f>
        <v>11899.017339018585</v>
      </c>
      <c r="G40" s="151" t="s">
        <v>753</v>
      </c>
    </row>
    <row r="41" spans="1:7" s="151" customFormat="1" x14ac:dyDescent="0.25">
      <c r="B41" s="150"/>
      <c r="C41" s="150"/>
      <c r="D41" s="150"/>
      <c r="E41" s="150"/>
      <c r="F41" s="150"/>
    </row>
    <row r="42" spans="1:7" s="151" customFormat="1" x14ac:dyDescent="0.25">
      <c r="A42" s="151" t="s">
        <v>946</v>
      </c>
      <c r="B42" s="150" t="s">
        <v>751</v>
      </c>
      <c r="C42" s="428">
        <f>'[18]Teacher Pay Scales'!$M$44/10</f>
        <v>4311.8</v>
      </c>
      <c r="D42" s="428">
        <f>SUM('[18]TA Pay scales'!$N$45/8*3)</f>
        <v>8314.3681768558963</v>
      </c>
      <c r="E42" s="428">
        <f>'[18]GLEA Pay Scales'!$K$21/10/37*6.25*195/224</f>
        <v>300.11777569980694</v>
      </c>
      <c r="F42" s="428">
        <f>SUM(C42:E42)</f>
        <v>12926.285952555703</v>
      </c>
      <c r="G42" s="151" t="s">
        <v>752</v>
      </c>
    </row>
  </sheetData>
  <pageMargins left="0.7" right="0.7" top="0.75" bottom="0.75" header="0.3" footer="0.3"/>
  <drawing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2:H19"/>
  <sheetViews>
    <sheetView workbookViewId="0">
      <selection activeCell="D4" sqref="D4"/>
    </sheetView>
  </sheetViews>
  <sheetFormatPr defaultRowHeight="12.5" x14ac:dyDescent="0.25"/>
  <cols>
    <col min="1" max="1" width="29.453125" bestFit="1" customWidth="1"/>
    <col min="2" max="2" width="11.1796875" bestFit="1" customWidth="1"/>
    <col min="4" max="4" width="11.1796875" bestFit="1" customWidth="1"/>
    <col min="6" max="6" width="11.54296875" bestFit="1" customWidth="1"/>
  </cols>
  <sheetData>
    <row r="2" spans="1:8" ht="13" x14ac:dyDescent="0.3">
      <c r="A2" s="1" t="s">
        <v>0</v>
      </c>
      <c r="B2" s="231" t="s">
        <v>879</v>
      </c>
      <c r="C2" s="231"/>
      <c r="D2" s="231" t="s">
        <v>947</v>
      </c>
      <c r="E2" s="232"/>
      <c r="F2" s="231" t="s">
        <v>3</v>
      </c>
    </row>
    <row r="3" spans="1:8" x14ac:dyDescent="0.25">
      <c r="B3" s="16"/>
      <c r="C3" s="2"/>
      <c r="D3" s="2"/>
      <c r="F3" s="2"/>
    </row>
    <row r="4" spans="1:8" x14ac:dyDescent="0.25">
      <c r="A4" s="289" t="s">
        <v>4</v>
      </c>
      <c r="B4" s="16">
        <f>'1920 Funding Detail'!AG25</f>
        <v>28779099.21874008</v>
      </c>
      <c r="C4" s="2"/>
      <c r="D4" s="16">
        <f>'2021 Funding Detail'!AH25</f>
        <v>29334218.614862774</v>
      </c>
      <c r="E4" s="230"/>
      <c r="F4" s="16">
        <f>D4-B4</f>
        <v>555119.39612269402</v>
      </c>
      <c r="H4" s="289" t="s">
        <v>948</v>
      </c>
    </row>
    <row r="5" spans="1:8" x14ac:dyDescent="0.25">
      <c r="A5" s="289" t="s">
        <v>6</v>
      </c>
      <c r="B5" s="16">
        <f>'1920 Funding Detail'!F25</f>
        <v>939529</v>
      </c>
      <c r="C5" s="2"/>
      <c r="D5" s="16">
        <f>SUM('2021 Funding Detail'!F25)</f>
        <v>971898</v>
      </c>
      <c r="E5" s="230"/>
      <c r="F5" s="16">
        <f t="shared" ref="F5:F14" si="0">D5-B5</f>
        <v>32369</v>
      </c>
      <c r="H5" s="289" t="s">
        <v>876</v>
      </c>
    </row>
    <row r="6" spans="1:8" x14ac:dyDescent="0.25">
      <c r="A6" s="289" t="s">
        <v>383</v>
      </c>
      <c r="B6" s="16">
        <f>'1920 Funding Detail'!G25</f>
        <v>41787</v>
      </c>
      <c r="C6" s="2"/>
      <c r="D6" s="16">
        <f>'2021 Funding Detail'!G25</f>
        <v>160701</v>
      </c>
      <c r="E6" s="230"/>
      <c r="F6" s="16">
        <f t="shared" si="0"/>
        <v>118914</v>
      </c>
      <c r="H6" s="289" t="s">
        <v>949</v>
      </c>
    </row>
    <row r="7" spans="1:8" x14ac:dyDescent="0.25">
      <c r="A7" s="289" t="s">
        <v>8</v>
      </c>
      <c r="B7" s="16">
        <f>SUM('1920 Other Funding'!BC26)</f>
        <v>757936</v>
      </c>
      <c r="C7" s="2"/>
      <c r="D7" s="16">
        <f>'2021 Other Funding'!BH26+442129</f>
        <v>757935.66666666674</v>
      </c>
      <c r="E7" s="230"/>
      <c r="F7" s="16">
        <f t="shared" si="0"/>
        <v>-0.33333333325572312</v>
      </c>
      <c r="H7" s="289" t="s">
        <v>950</v>
      </c>
    </row>
    <row r="8" spans="1:8" x14ac:dyDescent="0.25">
      <c r="A8" s="289" t="s">
        <v>10</v>
      </c>
      <c r="B8" s="16">
        <f>'1920 Other Funding'!BB26</f>
        <v>317322</v>
      </c>
      <c r="C8" s="2"/>
      <c r="D8" s="16">
        <f>'2021 Other Funding'!BG26</f>
        <v>329822</v>
      </c>
      <c r="E8" s="230"/>
      <c r="F8" s="16">
        <f t="shared" si="0"/>
        <v>12500</v>
      </c>
      <c r="H8" s="289" t="s">
        <v>951</v>
      </c>
    </row>
    <row r="9" spans="1:8" x14ac:dyDescent="0.25">
      <c r="A9" s="289" t="s">
        <v>11</v>
      </c>
      <c r="B9" s="16">
        <f>'1920 Other Funding'!BD26</f>
        <v>1119519</v>
      </c>
      <c r="C9" s="2"/>
      <c r="D9" s="16">
        <f>'2021 Other Funding'!BI26</f>
        <v>1119519</v>
      </c>
      <c r="E9" s="230"/>
      <c r="F9" s="16">
        <f t="shared" si="0"/>
        <v>0</v>
      </c>
    </row>
    <row r="10" spans="1:8" x14ac:dyDescent="0.25">
      <c r="A10" s="289" t="s">
        <v>12</v>
      </c>
      <c r="B10" s="315">
        <v>1326125</v>
      </c>
      <c r="C10" s="2"/>
      <c r="D10" s="16">
        <v>1563045</v>
      </c>
      <c r="E10" s="230"/>
      <c r="F10" s="16">
        <f t="shared" si="0"/>
        <v>236920</v>
      </c>
      <c r="H10" s="289" t="s">
        <v>952</v>
      </c>
    </row>
    <row r="11" spans="1:8" x14ac:dyDescent="0.25">
      <c r="A11" s="289" t="s">
        <v>14</v>
      </c>
      <c r="B11" s="315">
        <v>294911</v>
      </c>
      <c r="C11" s="2"/>
      <c r="D11" s="16">
        <v>294911</v>
      </c>
      <c r="E11" s="230"/>
      <c r="F11" s="16">
        <f t="shared" si="0"/>
        <v>0</v>
      </c>
      <c r="H11" s="289" t="s">
        <v>953</v>
      </c>
    </row>
    <row r="12" spans="1:8" x14ac:dyDescent="0.25">
      <c r="A12" s="289" t="s">
        <v>954</v>
      </c>
      <c r="B12" s="315">
        <v>0</v>
      </c>
      <c r="C12" s="2"/>
      <c r="D12" s="16">
        <v>547902</v>
      </c>
      <c r="E12" s="230"/>
      <c r="F12" s="16">
        <f t="shared" si="0"/>
        <v>547902</v>
      </c>
      <c r="H12" s="289"/>
    </row>
    <row r="13" spans="1:8" x14ac:dyDescent="0.25">
      <c r="A13" s="289" t="s">
        <v>955</v>
      </c>
      <c r="B13" s="315">
        <v>0</v>
      </c>
      <c r="C13" s="2"/>
      <c r="D13" s="16">
        <v>235160</v>
      </c>
      <c r="E13" s="230"/>
      <c r="F13" s="16">
        <f t="shared" si="0"/>
        <v>235160</v>
      </c>
      <c r="H13" s="289"/>
    </row>
    <row r="14" spans="1:8" x14ac:dyDescent="0.25">
      <c r="A14" s="289" t="s">
        <v>956</v>
      </c>
      <c r="B14" s="315">
        <v>0</v>
      </c>
      <c r="C14" s="2"/>
      <c r="D14" s="16">
        <v>40000</v>
      </c>
      <c r="E14" s="230"/>
      <c r="F14" s="16">
        <f t="shared" si="0"/>
        <v>40000</v>
      </c>
      <c r="H14" s="289"/>
    </row>
    <row r="15" spans="1:8" ht="13" x14ac:dyDescent="0.3">
      <c r="A15" s="289"/>
      <c r="B15" s="16"/>
      <c r="C15" s="2"/>
      <c r="D15" s="16"/>
      <c r="E15" s="230"/>
      <c r="F15" s="72"/>
    </row>
    <row r="16" spans="1:8" ht="13" x14ac:dyDescent="0.3">
      <c r="A16" s="186" t="s">
        <v>882</v>
      </c>
      <c r="B16" s="72">
        <f>SUM(B4:B14)</f>
        <v>33576228.218740076</v>
      </c>
      <c r="C16" s="2"/>
      <c r="D16" s="72">
        <f>SUM(D4:D14)</f>
        <v>35355112.281529441</v>
      </c>
      <c r="E16" s="72"/>
      <c r="F16" s="72">
        <f>SUM(F4:F14)</f>
        <v>1778884.0627893608</v>
      </c>
      <c r="H16" s="184"/>
    </row>
    <row r="18" spans="1:6" x14ac:dyDescent="0.25">
      <c r="A18" s="289" t="s">
        <v>618</v>
      </c>
      <c r="B18" s="230">
        <f>'1920 Funding Detail'!AJ25+700000+130000</f>
        <v>19005833.333333332</v>
      </c>
      <c r="D18" s="230">
        <f>'2021 Funding Detail'!AK25+800000+130000+300000</f>
        <v>20190833.333333336</v>
      </c>
      <c r="F18" s="16">
        <f>D18-B18</f>
        <v>1185000.0000000037</v>
      </c>
    </row>
    <row r="19" spans="1:6" x14ac:dyDescent="0.25">
      <c r="A19" s="289" t="s">
        <v>957</v>
      </c>
      <c r="B19" s="230">
        <f>B16-B18</f>
        <v>14570394.885406744</v>
      </c>
      <c r="D19" s="230">
        <f>D16-D18</f>
        <v>15164278.948196106</v>
      </c>
      <c r="F19" s="16">
        <f>D19-B19</f>
        <v>593884.06278936192</v>
      </c>
    </row>
  </sheetData>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B2A59-FCDD-485D-A26C-23160AC933B4}">
  <sheetPr>
    <tabColor rgb="FFFFFF00"/>
  </sheetPr>
  <dimension ref="A2:N37"/>
  <sheetViews>
    <sheetView workbookViewId="0">
      <selection activeCell="G28" sqref="G28"/>
    </sheetView>
  </sheetViews>
  <sheetFormatPr defaultRowHeight="12.5" x14ac:dyDescent="0.25"/>
  <cols>
    <col min="1" max="1" width="36.1796875" bestFit="1" customWidth="1"/>
    <col min="2" max="2" width="8.7265625" style="2"/>
    <col min="3" max="3" width="11.453125" style="2" bestFit="1" customWidth="1"/>
    <col min="4" max="4" width="8.7265625" style="2"/>
    <col min="5" max="5" width="11.453125" style="2" bestFit="1" customWidth="1"/>
    <col min="6" max="6" width="8.7265625" style="2"/>
    <col min="7" max="7" width="11.54296875" style="2" bestFit="1" customWidth="1"/>
    <col min="9" max="9" width="59.81640625" customWidth="1"/>
    <col min="10" max="10" width="11.453125" customWidth="1"/>
    <col min="11" max="11" width="11.1796875" bestFit="1" customWidth="1"/>
  </cols>
  <sheetData>
    <row r="2" spans="1:14" ht="13" x14ac:dyDescent="0.3">
      <c r="A2" s="1" t="s">
        <v>0</v>
      </c>
      <c r="B2" s="231"/>
      <c r="C2" s="231" t="s">
        <v>958</v>
      </c>
      <c r="D2" s="231"/>
      <c r="E2" s="231" t="s">
        <v>959</v>
      </c>
      <c r="F2" s="231"/>
      <c r="G2" s="231" t="s">
        <v>3</v>
      </c>
    </row>
    <row r="4" spans="1:14" x14ac:dyDescent="0.25">
      <c r="A4" s="289" t="s">
        <v>4</v>
      </c>
      <c r="B4" s="16"/>
      <c r="C4" s="16">
        <f>SUM('2122 Funding Detail'!R23)</f>
        <v>32192766.037028458</v>
      </c>
      <c r="D4" s="16"/>
      <c r="E4" s="16">
        <f>'2223 Funding Detail'!AA22</f>
        <v>34044037.127210051</v>
      </c>
      <c r="F4" s="16"/>
      <c r="G4" s="16">
        <f>E4-C4</f>
        <v>1851271.0901815929</v>
      </c>
      <c r="I4" s="289"/>
    </row>
    <row r="5" spans="1:14" ht="13" x14ac:dyDescent="0.3">
      <c r="A5" s="289" t="s">
        <v>6</v>
      </c>
      <c r="B5" s="16"/>
      <c r="C5" s="16">
        <f>SUM('2122 Funding Detail'!F23)</f>
        <v>978190</v>
      </c>
      <c r="D5" s="16"/>
      <c r="E5" s="16">
        <f>'2223 Funding Detail'!F22</f>
        <v>1045220</v>
      </c>
      <c r="F5" s="16"/>
      <c r="G5" s="16">
        <f t="shared" ref="G5:G7" si="0">E5-C5</f>
        <v>67030</v>
      </c>
      <c r="I5" s="857" t="s">
        <v>960</v>
      </c>
    </row>
    <row r="6" spans="1:14" x14ac:dyDescent="0.25">
      <c r="A6" s="289" t="s">
        <v>383</v>
      </c>
      <c r="B6" s="16"/>
      <c r="C6" s="16">
        <f>SUM('2122 Funding Detail'!G23)</f>
        <v>168000</v>
      </c>
      <c r="D6" s="16"/>
      <c r="E6" s="16">
        <f>'2223 Funding Detail'!G22</f>
        <v>568580</v>
      </c>
      <c r="F6" s="16"/>
      <c r="G6" s="16">
        <f t="shared" si="0"/>
        <v>400580</v>
      </c>
      <c r="I6" s="289"/>
    </row>
    <row r="7" spans="1:14" ht="13" x14ac:dyDescent="0.3">
      <c r="A7" s="409" t="s">
        <v>961</v>
      </c>
      <c r="B7" s="16"/>
      <c r="C7" s="16">
        <f>-'OLEA Placements'!F98</f>
        <v>-555634.9787394976</v>
      </c>
      <c r="D7" s="16"/>
      <c r="E7" s="16">
        <f>-'OLEA Placements'!F60</f>
        <v>-640834.69626913476</v>
      </c>
      <c r="F7" s="16"/>
      <c r="G7" s="16">
        <f t="shared" si="0"/>
        <v>-85199.717529637157</v>
      </c>
      <c r="I7" s="289"/>
    </row>
    <row r="8" spans="1:14" ht="13" x14ac:dyDescent="0.3">
      <c r="A8" s="409"/>
      <c r="B8" s="408"/>
      <c r="C8" s="408">
        <f>SUM(C4:C7)</f>
        <v>32783321.058288962</v>
      </c>
      <c r="D8" s="408"/>
      <c r="E8" s="408">
        <f>SUM(E4:E7)</f>
        <v>35017002.430940919</v>
      </c>
      <c r="F8" s="408"/>
      <c r="G8" s="408">
        <f>SUM(G4:G7)</f>
        <v>2233681.3726519556</v>
      </c>
      <c r="I8" s="885"/>
      <c r="J8" s="315"/>
      <c r="K8" s="16"/>
      <c r="L8" s="289"/>
    </row>
    <row r="9" spans="1:14" x14ac:dyDescent="0.25">
      <c r="B9" s="16"/>
      <c r="D9" s="16"/>
      <c r="E9" s="16"/>
      <c r="F9" s="16"/>
      <c r="G9" s="16"/>
      <c r="I9" s="289"/>
    </row>
    <row r="10" spans="1:14" x14ac:dyDescent="0.25">
      <c r="A10" s="289" t="s">
        <v>8</v>
      </c>
      <c r="B10" s="16"/>
      <c r="C10" s="16">
        <f>SUM('2122 Other Funding'!BM26)</f>
        <v>757936</v>
      </c>
      <c r="D10" s="16"/>
      <c r="E10" s="16">
        <f>'Other Funding'!M26</f>
        <v>757936</v>
      </c>
      <c r="F10" s="16"/>
      <c r="G10" s="16">
        <f t="shared" ref="G10:G14" si="1">E10-C10</f>
        <v>0</v>
      </c>
      <c r="I10" s="289"/>
    </row>
    <row r="11" spans="1:14" ht="13" x14ac:dyDescent="0.3">
      <c r="A11" s="857" t="s">
        <v>962</v>
      </c>
      <c r="B11" s="833"/>
      <c r="C11" s="833"/>
      <c r="D11" s="833"/>
      <c r="E11" s="833"/>
      <c r="F11" s="833"/>
      <c r="G11" s="16">
        <f t="shared" si="1"/>
        <v>0</v>
      </c>
      <c r="H11" s="857"/>
      <c r="I11" s="857" t="s">
        <v>963</v>
      </c>
      <c r="J11" s="409"/>
      <c r="K11" s="409"/>
      <c r="L11" s="409"/>
      <c r="M11" s="409"/>
      <c r="N11" s="409"/>
    </row>
    <row r="12" spans="1:14" x14ac:dyDescent="0.25">
      <c r="A12" s="289" t="s">
        <v>10</v>
      </c>
      <c r="B12" s="16"/>
      <c r="C12" s="16">
        <f>SUM('2122 Other Funding'!BL26)</f>
        <v>317322</v>
      </c>
      <c r="D12" s="16"/>
      <c r="E12" s="16">
        <f>'Other Funding'!L26</f>
        <v>317322</v>
      </c>
      <c r="F12" s="16"/>
      <c r="G12" s="16">
        <f t="shared" si="1"/>
        <v>0</v>
      </c>
      <c r="I12" s="289"/>
    </row>
    <row r="13" spans="1:14" ht="13" x14ac:dyDescent="0.3">
      <c r="A13" s="857" t="s">
        <v>964</v>
      </c>
      <c r="B13" s="16"/>
      <c r="C13" s="290"/>
      <c r="D13" s="16"/>
      <c r="E13" s="16"/>
      <c r="F13" s="16"/>
      <c r="G13" s="16">
        <f t="shared" si="1"/>
        <v>0</v>
      </c>
      <c r="I13" s="289"/>
    </row>
    <row r="14" spans="1:14" ht="13" x14ac:dyDescent="0.3">
      <c r="A14" s="289" t="s">
        <v>11</v>
      </c>
      <c r="B14" s="16"/>
      <c r="C14" s="16">
        <f>(582568*5/12)+'2122 Other Funding'!BN20</f>
        <v>779687.66666666663</v>
      </c>
      <c r="D14" s="16"/>
      <c r="E14" s="16">
        <f>'Other Funding'!N26</f>
        <v>536951</v>
      </c>
      <c r="F14" s="16"/>
      <c r="G14" s="16">
        <f t="shared" si="1"/>
        <v>-242736.66666666663</v>
      </c>
      <c r="I14" s="857" t="s">
        <v>965</v>
      </c>
    </row>
    <row r="15" spans="1:14" ht="13" x14ac:dyDescent="0.3">
      <c r="A15" s="289"/>
      <c r="B15" s="408"/>
      <c r="C15" s="408">
        <f t="shared" ref="C15:G15" si="2">SUM(C10:C14)</f>
        <v>1854945.6666666665</v>
      </c>
      <c r="D15" s="408"/>
      <c r="E15" s="408">
        <f t="shared" si="2"/>
        <v>1612209</v>
      </c>
      <c r="F15" s="408"/>
      <c r="G15" s="408">
        <f t="shared" si="2"/>
        <v>-242736.66666666663</v>
      </c>
      <c r="I15" s="857"/>
    </row>
    <row r="16" spans="1:14" ht="13" x14ac:dyDescent="0.3">
      <c r="A16" s="289"/>
      <c r="B16" s="16"/>
      <c r="C16" s="16"/>
      <c r="D16" s="16"/>
      <c r="E16" s="16"/>
      <c r="F16" s="16"/>
      <c r="G16" s="16"/>
      <c r="I16" s="857"/>
    </row>
    <row r="17" spans="1:9" ht="13.5" thickBot="1" x14ac:dyDescent="0.35">
      <c r="A17" s="289"/>
      <c r="B17" s="886"/>
      <c r="C17" s="886">
        <f>C8+C15</f>
        <v>34638266.724955626</v>
      </c>
      <c r="D17" s="886"/>
      <c r="E17" s="886">
        <f>E8+E15</f>
        <v>36629211.430940919</v>
      </c>
      <c r="F17" s="886"/>
      <c r="G17" s="886">
        <f t="shared" ref="G17" si="3">G8+G15</f>
        <v>1990944.7059852891</v>
      </c>
      <c r="I17" s="857"/>
    </row>
    <row r="18" spans="1:9" ht="13" x14ac:dyDescent="0.3">
      <c r="A18" s="289"/>
      <c r="B18" s="16"/>
      <c r="C18" s="16"/>
      <c r="D18" s="16"/>
      <c r="E18" s="16"/>
      <c r="F18" s="16"/>
      <c r="G18" s="16"/>
      <c r="I18" s="857"/>
    </row>
    <row r="19" spans="1:9" x14ac:dyDescent="0.25">
      <c r="A19" s="289" t="s">
        <v>12</v>
      </c>
      <c r="B19" s="16"/>
      <c r="C19" s="16">
        <v>1934558</v>
      </c>
      <c r="D19" s="16"/>
      <c r="E19" s="16">
        <v>1991258</v>
      </c>
      <c r="F19" s="16"/>
      <c r="G19" s="16">
        <f t="shared" ref="G19" si="4">E19-C19</f>
        <v>56700</v>
      </c>
      <c r="I19" s="289"/>
    </row>
    <row r="20" spans="1:9" x14ac:dyDescent="0.25">
      <c r="A20" s="289"/>
      <c r="B20" s="16"/>
      <c r="C20" s="16"/>
      <c r="D20" s="16"/>
      <c r="E20" s="16"/>
      <c r="F20" s="16"/>
      <c r="G20" s="16"/>
      <c r="I20" s="289"/>
    </row>
    <row r="21" spans="1:9" ht="13" x14ac:dyDescent="0.3">
      <c r="A21" s="289" t="s">
        <v>955</v>
      </c>
      <c r="B21" s="16"/>
      <c r="C21" s="16">
        <v>235160</v>
      </c>
      <c r="D21" s="16"/>
      <c r="E21" s="16">
        <v>235160</v>
      </c>
      <c r="F21" s="16"/>
      <c r="G21" s="16">
        <f t="shared" ref="G21:G22" si="5">E21-C21</f>
        <v>0</v>
      </c>
      <c r="I21" s="857" t="s">
        <v>966</v>
      </c>
    </row>
    <row r="22" spans="1:9" ht="13" x14ac:dyDescent="0.3">
      <c r="A22" s="289" t="s">
        <v>956</v>
      </c>
      <c r="B22" s="16"/>
      <c r="C22" s="16">
        <v>40000</v>
      </c>
      <c r="D22" s="16"/>
      <c r="E22" s="16">
        <v>70000</v>
      </c>
      <c r="F22" s="16"/>
      <c r="G22" s="16">
        <f t="shared" si="5"/>
        <v>30000</v>
      </c>
      <c r="I22" s="857" t="s">
        <v>967</v>
      </c>
    </row>
    <row r="23" spans="1:9" ht="13" x14ac:dyDescent="0.3">
      <c r="A23" s="289"/>
      <c r="B23" s="16"/>
      <c r="C23" s="16"/>
      <c r="D23" s="16"/>
      <c r="E23" s="16"/>
      <c r="F23" s="16"/>
      <c r="G23" s="72"/>
    </row>
    <row r="24" spans="1:9" ht="13" x14ac:dyDescent="0.3">
      <c r="A24" s="186" t="s">
        <v>882</v>
      </c>
      <c r="B24" s="72"/>
      <c r="C24" s="72">
        <f>C17+C19+C21+C22</f>
        <v>36847984.724955626</v>
      </c>
      <c r="D24" s="72"/>
      <c r="E24" s="72">
        <f>E17+E19+E21+E22</f>
        <v>38925629.430940919</v>
      </c>
      <c r="F24" s="72"/>
      <c r="G24" s="16">
        <f>E24-C24</f>
        <v>2077644.7059852928</v>
      </c>
      <c r="I24" s="184"/>
    </row>
    <row r="25" spans="1:9" ht="13" x14ac:dyDescent="0.3">
      <c r="A25" s="186"/>
      <c r="B25" s="72"/>
      <c r="C25" s="72"/>
      <c r="D25" s="72"/>
      <c r="E25" s="72"/>
      <c r="F25" s="72"/>
      <c r="G25" s="72"/>
      <c r="I25" s="184"/>
    </row>
    <row r="26" spans="1:9" ht="13" x14ac:dyDescent="0.3">
      <c r="A26" s="860" t="s">
        <v>968</v>
      </c>
      <c r="B26" s="72"/>
      <c r="C26" s="72"/>
      <c r="D26" s="72"/>
      <c r="E26" s="315">
        <f>'2223 Funding Detail'!V22+800000</f>
        <v>21670000</v>
      </c>
      <c r="F26" s="72"/>
      <c r="G26" s="72"/>
      <c r="I26" s="857" t="s">
        <v>969</v>
      </c>
    </row>
    <row r="27" spans="1:9" ht="13" x14ac:dyDescent="0.3">
      <c r="A27" s="860" t="s">
        <v>970</v>
      </c>
      <c r="B27" s="72"/>
      <c r="C27" s="72"/>
      <c r="D27" s="72"/>
      <c r="E27" s="315">
        <f>E24-E26</f>
        <v>17255629.430940919</v>
      </c>
      <c r="F27" s="72"/>
      <c r="G27" s="72"/>
      <c r="I27" s="184"/>
    </row>
    <row r="28" spans="1:9" x14ac:dyDescent="0.25">
      <c r="C28" s="16"/>
    </row>
    <row r="29" spans="1:9" x14ac:dyDescent="0.25">
      <c r="A29" s="289"/>
      <c r="C29" s="16"/>
      <c r="G29" s="16"/>
    </row>
    <row r="30" spans="1:9" x14ac:dyDescent="0.25">
      <c r="A30" s="289" t="s">
        <v>971</v>
      </c>
      <c r="C30" s="16"/>
      <c r="E30" s="16">
        <v>36927724</v>
      </c>
      <c r="G30" s="16"/>
    </row>
    <row r="31" spans="1:9" x14ac:dyDescent="0.25">
      <c r="E31" s="16"/>
    </row>
    <row r="32" spans="1:9" x14ac:dyDescent="0.25">
      <c r="C32" s="16"/>
      <c r="E32" s="16">
        <f>E24-E30</f>
        <v>1997905.4309409186</v>
      </c>
      <c r="F32" s="538" t="s">
        <v>972</v>
      </c>
    </row>
    <row r="34" spans="3:6" x14ac:dyDescent="0.25">
      <c r="C34" s="16"/>
    </row>
    <row r="35" spans="3:6" x14ac:dyDescent="0.25">
      <c r="E35" s="847">
        <v>1893173</v>
      </c>
    </row>
    <row r="36" spans="3:6" x14ac:dyDescent="0.25">
      <c r="C36" s="16"/>
    </row>
    <row r="37" spans="3:6" x14ac:dyDescent="0.25">
      <c r="C37" s="316" t="s">
        <v>973</v>
      </c>
      <c r="E37" s="16">
        <f>E32-E35</f>
        <v>104732.43094091862</v>
      </c>
      <c r="F37" s="316" t="s">
        <v>974</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00B0F0"/>
    <pageSetUpPr fitToPage="1"/>
  </sheetPr>
  <dimension ref="A1:AQ43"/>
  <sheetViews>
    <sheetView zoomScale="85" zoomScaleNormal="100" workbookViewId="0">
      <pane xSplit="2" topLeftCell="R1" activePane="topRight" state="frozen"/>
      <selection activeCell="B1" sqref="B1"/>
      <selection pane="topRight" activeCell="AB4" sqref="AB4"/>
    </sheetView>
  </sheetViews>
  <sheetFormatPr defaultColWidth="10.26953125" defaultRowHeight="12.5" x14ac:dyDescent="0.25"/>
  <cols>
    <col min="1" max="1" width="10.26953125" style="29"/>
    <col min="2" max="2" width="31.54296875" style="29" customWidth="1"/>
    <col min="3" max="3" width="6.1796875" style="29" customWidth="1"/>
    <col min="4" max="8" width="15.7265625" style="30" customWidth="1"/>
    <col min="9" max="12" width="15.7265625" style="29" customWidth="1"/>
    <col min="13" max="13" width="15.7265625" style="30" customWidth="1"/>
    <col min="14" max="14" width="17.26953125" style="29" customWidth="1"/>
    <col min="15" max="15" width="10.26953125" style="30" customWidth="1"/>
    <col min="16" max="16" width="0.81640625" style="29" customWidth="1"/>
    <col min="17" max="17" width="10.26953125" style="31" customWidth="1"/>
    <col min="18" max="18" width="11.81640625" style="30" bestFit="1" customWidth="1"/>
    <col min="19" max="19" width="10.26953125" style="30"/>
    <col min="20" max="21" width="10.26953125" style="29"/>
    <col min="22" max="22" width="9.54296875" style="30" customWidth="1"/>
    <col min="23" max="23" width="10.26953125" style="30"/>
    <col min="24" max="27" width="10.81640625" style="30" customWidth="1"/>
    <col min="28" max="30" width="12.7265625" style="30" customWidth="1"/>
    <col min="31" max="31" width="10.81640625" style="30" customWidth="1"/>
    <col min="32" max="32" width="10.26953125" style="29"/>
    <col min="33" max="33" width="11.26953125" style="29" bestFit="1" customWidth="1"/>
    <col min="34" max="41" width="10.26953125" style="29"/>
    <col min="42" max="42" width="11.26953125" style="29" bestFit="1" customWidth="1"/>
    <col min="43" max="16384" width="10.26953125" style="29"/>
  </cols>
  <sheetData>
    <row r="1" spans="1:43" ht="17.5" x14ac:dyDescent="0.35">
      <c r="A1" s="36"/>
      <c r="B1" s="33" t="s">
        <v>179</v>
      </c>
      <c r="C1" s="36"/>
      <c r="D1" s="234"/>
      <c r="E1" s="234"/>
      <c r="F1" s="234"/>
      <c r="G1" s="234"/>
      <c r="H1" s="234"/>
      <c r="I1" s="36"/>
      <c r="J1" s="36"/>
      <c r="K1" s="36"/>
      <c r="L1" s="36"/>
      <c r="M1" s="234"/>
      <c r="N1" s="36"/>
      <c r="O1" s="234"/>
      <c r="P1" s="36"/>
      <c r="Q1" s="235"/>
      <c r="R1" s="234"/>
      <c r="S1" s="234"/>
      <c r="T1" s="36"/>
      <c r="U1" s="36"/>
      <c r="V1" s="234"/>
      <c r="W1" s="234"/>
      <c r="X1" s="234"/>
      <c r="Y1" s="234"/>
      <c r="Z1" s="234"/>
      <c r="AA1" s="234"/>
      <c r="AB1" s="1442" t="s">
        <v>180</v>
      </c>
      <c r="AC1" s="1442"/>
      <c r="AD1" s="1442"/>
      <c r="AE1" s="234"/>
      <c r="AF1" s="36"/>
      <c r="AG1" s="36"/>
      <c r="AH1" s="36"/>
      <c r="AI1" s="36"/>
      <c r="AJ1" s="36"/>
      <c r="AK1" s="36"/>
      <c r="AL1" s="36"/>
      <c r="AM1" s="36"/>
      <c r="AN1" s="36"/>
      <c r="AO1" s="36"/>
      <c r="AP1" s="36"/>
      <c r="AQ1" s="36"/>
    </row>
    <row r="2" spans="1:43" x14ac:dyDescent="0.25">
      <c r="A2" s="36"/>
      <c r="B2" s="36"/>
      <c r="C2" s="36"/>
      <c r="D2" s="234"/>
      <c r="E2" s="234"/>
      <c r="F2" s="234"/>
      <c r="G2" s="234"/>
      <c r="H2" s="234"/>
      <c r="I2" s="36"/>
      <c r="J2" s="36"/>
      <c r="K2" s="36"/>
      <c r="L2" s="36"/>
      <c r="M2" s="234"/>
      <c r="N2" s="36"/>
      <c r="O2" s="234"/>
      <c r="P2" s="36"/>
      <c r="Q2" s="235"/>
      <c r="R2" s="234"/>
      <c r="S2" s="234"/>
      <c r="T2" s="36"/>
      <c r="U2" s="36"/>
      <c r="V2" s="234"/>
      <c r="W2" s="234"/>
      <c r="X2" s="234"/>
      <c r="Y2" s="234"/>
      <c r="Z2" s="234"/>
      <c r="AA2" s="234"/>
      <c r="AB2" s="234"/>
      <c r="AC2" s="234"/>
      <c r="AD2" s="1441" t="s">
        <v>181</v>
      </c>
      <c r="AE2" s="234"/>
      <c r="AF2" s="1439"/>
      <c r="AG2" s="1439"/>
      <c r="AH2" s="1439"/>
      <c r="AI2" s="36"/>
      <c r="AJ2" s="36"/>
      <c r="AK2" s="36"/>
      <c r="AL2" s="36"/>
      <c r="AM2" s="36"/>
      <c r="AN2" s="36"/>
      <c r="AO2" s="36"/>
      <c r="AP2" s="36"/>
      <c r="AQ2" s="36"/>
    </row>
    <row r="3" spans="1:43" ht="39" customHeight="1" x14ac:dyDescent="0.3">
      <c r="A3" s="236" t="s">
        <v>182</v>
      </c>
      <c r="B3" s="237" t="s">
        <v>183</v>
      </c>
      <c r="C3" s="238" t="s">
        <v>184</v>
      </c>
      <c r="D3" s="239" t="s">
        <v>58</v>
      </c>
      <c r="E3" s="240" t="s">
        <v>59</v>
      </c>
      <c r="F3" s="238" t="s">
        <v>147</v>
      </c>
      <c r="G3" s="238" t="s">
        <v>185</v>
      </c>
      <c r="H3" s="241" t="s">
        <v>102</v>
      </c>
      <c r="I3" s="241" t="s">
        <v>186</v>
      </c>
      <c r="J3" s="241" t="s">
        <v>104</v>
      </c>
      <c r="K3" s="241" t="s">
        <v>187</v>
      </c>
      <c r="L3" s="241" t="s">
        <v>188</v>
      </c>
      <c r="M3" s="238" t="s">
        <v>189</v>
      </c>
      <c r="N3" s="241" t="s">
        <v>190</v>
      </c>
      <c r="O3" s="241" t="s">
        <v>191</v>
      </c>
      <c r="P3" s="36"/>
      <c r="Q3" s="241" t="s">
        <v>192</v>
      </c>
      <c r="R3" s="242" t="s">
        <v>193</v>
      </c>
      <c r="S3" s="242" t="s">
        <v>194</v>
      </c>
      <c r="T3" s="242" t="s">
        <v>195</v>
      </c>
      <c r="U3" s="242" t="s">
        <v>196</v>
      </c>
      <c r="V3" s="241" t="s">
        <v>197</v>
      </c>
      <c r="W3" s="241" t="s">
        <v>198</v>
      </c>
      <c r="X3" s="96" t="s">
        <v>199</v>
      </c>
      <c r="Y3" s="1166" t="s">
        <v>200</v>
      </c>
      <c r="Z3" s="1166" t="s">
        <v>201</v>
      </c>
      <c r="AA3" s="1166" t="s">
        <v>202</v>
      </c>
      <c r="AB3" s="320" t="s">
        <v>203</v>
      </c>
      <c r="AC3" s="320" t="s">
        <v>204</v>
      </c>
      <c r="AD3" s="1441"/>
      <c r="AE3" s="243"/>
      <c r="AF3" s="243"/>
      <c r="AG3" s="243"/>
      <c r="AH3" s="71"/>
      <c r="AI3" s="243"/>
      <c r="AJ3" s="243"/>
      <c r="AK3" s="243"/>
      <c r="AL3" s="243"/>
      <c r="AM3" s="243"/>
      <c r="AN3" s="243"/>
      <c r="AO3" s="71"/>
      <c r="AP3" s="243"/>
      <c r="AQ3" s="36"/>
    </row>
    <row r="4" spans="1:43" ht="13" x14ac:dyDescent="0.3">
      <c r="A4" s="244">
        <v>9257010</v>
      </c>
      <c r="B4" s="237" t="s">
        <v>205</v>
      </c>
      <c r="C4" s="238">
        <f>'Band Calculations 1617'!C6</f>
        <v>3</v>
      </c>
      <c r="D4" s="245">
        <f>'Funding Model'!$D$22</f>
        <v>314686.51772419503</v>
      </c>
      <c r="E4" s="245">
        <f>'Funding Model'!$E$22</f>
        <v>69201.680689977453</v>
      </c>
      <c r="F4" s="245"/>
      <c r="G4" s="245"/>
      <c r="H4" s="245">
        <f>VLOOKUP(A4,'Band Calculations 1617'!$A$107:$W$125,6,FALSE)</f>
        <v>0</v>
      </c>
      <c r="I4" s="245">
        <f>VLOOKUP(A4,'Band Calculations 1617'!$A$107:$W$125,13,FALSE)</f>
        <v>459918.32127380528</v>
      </c>
      <c r="J4" s="245">
        <f>VLOOKUP(A4,'Band Calculations 1617'!$A$107:$W$125,20,FALSE)</f>
        <v>8830.547390482423</v>
      </c>
      <c r="K4" s="245">
        <f>VLOOKUP(A4,'FSM Calculation 1516'!$A$4:$D$21,4,FALSE)</f>
        <v>3572</v>
      </c>
      <c r="L4" s="245">
        <v>616.77824313180849</v>
      </c>
      <c r="M4" s="245">
        <f>SUM(D4:L4)</f>
        <v>856825.84532159206</v>
      </c>
      <c r="N4" s="245">
        <f>M4-F4</f>
        <v>856825.84532159206</v>
      </c>
      <c r="O4" s="246">
        <f>VLOOKUP(A4,'Band Calculations 1617'!$A$107:$W$125,22,FALSE)</f>
        <v>46.916666666666671</v>
      </c>
      <c r="P4" s="36"/>
      <c r="Q4" s="242">
        <f>N4/O4</f>
        <v>18262.717839891837</v>
      </c>
      <c r="R4" s="242">
        <f>O4*10000</f>
        <v>469166.66666666669</v>
      </c>
      <c r="S4" s="242">
        <f>Q4-10000</f>
        <v>8262.7178398918368</v>
      </c>
      <c r="T4" s="248">
        <f>VLOOKUP(A4,'2015-16 Funding Detail'!$A$4:$AA$23,27,FALSE)</f>
        <v>8528.8607865781596</v>
      </c>
      <c r="U4" s="245">
        <f>IF(S4&gt;T4,(S4),(T4))</f>
        <v>8528.8607865781596</v>
      </c>
      <c r="V4" s="245">
        <f>10000+U4</f>
        <v>18528.86078657816</v>
      </c>
      <c r="W4" s="245">
        <f t="shared" ref="W4:W15" si="0">(U4-S4)*O4</f>
        <v>12486.539915366648</v>
      </c>
      <c r="X4" s="68">
        <f>N4+W4</f>
        <v>869312.38523695874</v>
      </c>
      <c r="Y4" s="245">
        <f>X4*98.5%</f>
        <v>856272.69945840433</v>
      </c>
      <c r="Z4" s="245">
        <f>Y4/O4</f>
        <v>18250.927874779485</v>
      </c>
      <c r="AA4" s="245">
        <f>Z4-10000</f>
        <v>8250.9278747794851</v>
      </c>
      <c r="AB4" s="1026">
        <f>X4-D4-E4-L4</f>
        <v>484807.40857965441</v>
      </c>
      <c r="AC4" s="1167">
        <f>AB4/O4</f>
        <v>10333.372829406488</v>
      </c>
      <c r="AD4" s="1026">
        <f>AC4*98.5%</f>
        <v>10178.37223696539</v>
      </c>
      <c r="AE4" s="235"/>
      <c r="AF4" s="235" t="s">
        <v>206</v>
      </c>
      <c r="AG4" s="297" t="s">
        <v>207</v>
      </c>
      <c r="AH4" s="42"/>
      <c r="AI4" s="235"/>
      <c r="AJ4" s="235"/>
      <c r="AK4" s="235"/>
      <c r="AL4" s="235"/>
      <c r="AM4" s="235"/>
      <c r="AN4" s="235"/>
      <c r="AO4" s="42"/>
      <c r="AP4" s="235"/>
      <c r="AQ4" s="247"/>
    </row>
    <row r="5" spans="1:43" ht="13" x14ac:dyDescent="0.3">
      <c r="A5" s="244">
        <v>9257005</v>
      </c>
      <c r="B5" s="237" t="s">
        <v>208</v>
      </c>
      <c r="C5" s="238">
        <f>'Band Calculations 1617'!C7</f>
        <v>4</v>
      </c>
      <c r="D5" s="245">
        <f>'Funding Model'!D23</f>
        <v>405763.82046267512</v>
      </c>
      <c r="E5" s="245">
        <f>'Funding Model'!E23</f>
        <v>88790.687513148558</v>
      </c>
      <c r="F5" s="245"/>
      <c r="G5" s="245"/>
      <c r="H5" s="245">
        <f>VLOOKUP(A5,'Band Calculations 1617'!$A$107:$W$125,6,FALSE)</f>
        <v>0</v>
      </c>
      <c r="I5" s="245">
        <f>VLOOKUP(A5,'Band Calculations 1617'!$A$107:$W$125,13,FALSE)</f>
        <v>693621.81966317189</v>
      </c>
      <c r="J5" s="245">
        <f>VLOOKUP(A5,'Band Calculations 1617'!$A$107:$W$125,20,FALSE)</f>
        <v>39135.661906543464</v>
      </c>
      <c r="K5" s="245">
        <f>VLOOKUP(A5,'FSM Calculation 1516'!$A$4:$D$21,4,FALSE)</f>
        <v>10716</v>
      </c>
      <c r="L5" s="245">
        <v>675.74486784427756</v>
      </c>
      <c r="M5" s="245">
        <f t="shared" ref="M5:M15" si="1">SUM(D5:L5)</f>
        <v>1238703.7344133833</v>
      </c>
      <c r="N5" s="245">
        <f t="shared" ref="N5:N15" si="2">M5-F5</f>
        <v>1238703.7344133833</v>
      </c>
      <c r="O5" s="246">
        <f>VLOOKUP(A5,'Band Calculations 1617'!$A$107:$W$125,22,FALSE)</f>
        <v>75.25</v>
      </c>
      <c r="P5" s="36"/>
      <c r="Q5" s="242">
        <f t="shared" ref="Q5:Q23" si="3">N5/O5</f>
        <v>16461.179194862238</v>
      </c>
      <c r="R5" s="242">
        <f t="shared" ref="R5:R23" si="4">O5*10000</f>
        <v>752500</v>
      </c>
      <c r="S5" s="242">
        <f t="shared" ref="S5:S23" si="5">Q5-10000</f>
        <v>6461.1791948622376</v>
      </c>
      <c r="T5" s="245">
        <f>VLOOKUP(A5,'2015-16 Funding Detail'!$A$4:$AA$23,27,FALSE)</f>
        <v>6319.2466601688575</v>
      </c>
      <c r="U5" s="245">
        <f>IF(S5&gt;T5,(S5),(T5))</f>
        <v>6461.1791948622376</v>
      </c>
      <c r="V5" s="245">
        <f t="shared" ref="V5:V23" si="6">10000+U5</f>
        <v>16461.179194862238</v>
      </c>
      <c r="W5" s="245">
        <f>(U5-S5)*O5</f>
        <v>0</v>
      </c>
      <c r="X5" s="68">
        <f t="shared" ref="X5:X15" si="7">N5+W5</f>
        <v>1238703.7344133833</v>
      </c>
      <c r="Y5" s="245">
        <f t="shared" ref="Y5:Y23" si="8">X5*98.5%</f>
        <v>1220123.1783971826</v>
      </c>
      <c r="Z5" s="245">
        <f>Y5/O5</f>
        <v>16214.261506939303</v>
      </c>
      <c r="AA5" s="245">
        <f t="shared" ref="AA5:AA23" si="9">Z5-10000</f>
        <v>6214.2615069393032</v>
      </c>
      <c r="AB5" s="1026">
        <f t="shared" ref="AB5:AB23" si="10">X5-D5-E5-L5</f>
        <v>743473.48156971543</v>
      </c>
      <c r="AC5" s="1026">
        <f t="shared" ref="AC5:AC23" si="11">AB5/O5</f>
        <v>9880.0462667071824</v>
      </c>
      <c r="AD5" s="1026">
        <f t="shared" ref="AD5:AD23" si="12">AC5*98.5%</f>
        <v>9731.8455727065739</v>
      </c>
      <c r="AE5" s="235"/>
      <c r="AF5" s="235" t="s">
        <v>206</v>
      </c>
      <c r="AG5" s="297" t="s">
        <v>207</v>
      </c>
      <c r="AH5" s="42"/>
      <c r="AI5" s="235"/>
      <c r="AJ5" s="235"/>
      <c r="AK5" s="235"/>
      <c r="AL5" s="235"/>
      <c r="AM5" s="235"/>
      <c r="AN5" s="235"/>
      <c r="AO5" s="42"/>
      <c r="AP5" s="235"/>
      <c r="AQ5" s="247"/>
    </row>
    <row r="6" spans="1:43" ht="13" x14ac:dyDescent="0.3">
      <c r="A6" s="244">
        <v>9257025</v>
      </c>
      <c r="B6" s="237" t="s">
        <v>209</v>
      </c>
      <c r="C6" s="238">
        <f>'Band Calculations 1617'!C8</f>
        <v>4</v>
      </c>
      <c r="D6" s="245">
        <f>'Funding Model'!D23</f>
        <v>405763.82046267512</v>
      </c>
      <c r="E6" s="245">
        <f>'Funding Model'!E23</f>
        <v>88790.687513148558</v>
      </c>
      <c r="F6" s="245"/>
      <c r="G6" s="245"/>
      <c r="H6" s="245">
        <f>VLOOKUP(A6,'Band Calculations 1617'!$A$107:$W$125,6,FALSE)</f>
        <v>39922.238535953147</v>
      </c>
      <c r="I6" s="245">
        <f>VLOOKUP(A6,'Band Calculations 1617'!$A$107:$W$125,13,FALSE)</f>
        <v>554120.67087902979</v>
      </c>
      <c r="J6" s="245">
        <f>VLOOKUP(A6,'Band Calculations 1617'!$A$107:$W$125,20,FALSE)</f>
        <v>33907.597366262751</v>
      </c>
      <c r="K6" s="245">
        <f>VLOOKUP(A6,'FSM Calculation 1516'!$A$4:$D$21,4,FALSE)</f>
        <v>7590.5</v>
      </c>
      <c r="L6" s="245">
        <v>646.26155548804309</v>
      </c>
      <c r="M6" s="245">
        <f t="shared" si="1"/>
        <v>1130741.7763125573</v>
      </c>
      <c r="N6" s="245">
        <f t="shared" si="2"/>
        <v>1130741.7763125573</v>
      </c>
      <c r="O6" s="246">
        <f>VLOOKUP(A6,'Band Calculations 1617'!$A$107:$W$125,22,FALSE)</f>
        <v>62</v>
      </c>
      <c r="P6" s="36"/>
      <c r="Q6" s="242">
        <f t="shared" si="3"/>
        <v>18237.770585686409</v>
      </c>
      <c r="R6" s="242">
        <f t="shared" si="4"/>
        <v>620000</v>
      </c>
      <c r="S6" s="242">
        <f t="shared" si="5"/>
        <v>8237.7705856864086</v>
      </c>
      <c r="T6" s="248">
        <f>VLOOKUP(A6,'2015-16 Funding Detail'!$A$4:$AA$23,27,FALSE)</f>
        <v>8412.5999713090241</v>
      </c>
      <c r="U6" s="245">
        <f t="shared" ref="U6:U23" si="13">IF(S6&gt;T6,(S6),(T6))</f>
        <v>8412.5999713090241</v>
      </c>
      <c r="V6" s="245">
        <f t="shared" si="6"/>
        <v>18412.599971309024</v>
      </c>
      <c r="W6" s="245">
        <f t="shared" si="0"/>
        <v>10839.421908602162</v>
      </c>
      <c r="X6" s="68">
        <f t="shared" si="7"/>
        <v>1141581.1982211594</v>
      </c>
      <c r="Y6" s="245">
        <f t="shared" si="8"/>
        <v>1124457.4802478419</v>
      </c>
      <c r="Z6" s="245">
        <f t="shared" ref="Z6:Z23" si="14">Y6/O6</f>
        <v>18136.410971739384</v>
      </c>
      <c r="AA6" s="245">
        <f t="shared" si="9"/>
        <v>8136.410971739384</v>
      </c>
      <c r="AB6" s="1026">
        <f t="shared" si="10"/>
        <v>646380.42868984782</v>
      </c>
      <c r="AC6" s="1026">
        <f t="shared" si="11"/>
        <v>10425.490785320126</v>
      </c>
      <c r="AD6" s="1026">
        <f t="shared" si="12"/>
        <v>10269.108423540323</v>
      </c>
      <c r="AE6" s="235"/>
      <c r="AF6" s="235" t="s">
        <v>206</v>
      </c>
      <c r="AG6" s="297" t="s">
        <v>207</v>
      </c>
      <c r="AH6" s="42"/>
      <c r="AI6" s="235"/>
      <c r="AJ6" s="235"/>
      <c r="AK6" s="235"/>
      <c r="AL6" s="235"/>
      <c r="AM6" s="235"/>
      <c r="AN6" s="235"/>
      <c r="AO6" s="42"/>
      <c r="AP6" s="235"/>
      <c r="AQ6" s="247"/>
    </row>
    <row r="7" spans="1:43" ht="13" x14ac:dyDescent="0.3">
      <c r="A7" s="244">
        <v>9257011</v>
      </c>
      <c r="B7" s="237" t="s">
        <v>210</v>
      </c>
      <c r="C7" s="238">
        <f>'Band Calculations 1617'!C9</f>
        <v>4</v>
      </c>
      <c r="D7" s="245">
        <f>'Funding Model'!$D$23</f>
        <v>405763.82046267512</v>
      </c>
      <c r="E7" s="245">
        <f>'Funding Model'!$E$23</f>
        <v>88790.687513148558</v>
      </c>
      <c r="F7" s="245"/>
      <c r="G7" s="245"/>
      <c r="H7" s="245">
        <f>VLOOKUP(A7,'Band Calculations 1617'!$A$107:$W$125,6,FALSE)</f>
        <v>0</v>
      </c>
      <c r="I7" s="245">
        <f>VLOOKUP(A7,'Band Calculations 1617'!$A$107:$W$125,13,FALSE)</f>
        <v>472400.01723981736</v>
      </c>
      <c r="J7" s="245">
        <f>VLOOKUP(A7,'Band Calculations 1617'!$A$107:$W$125,20,FALSE)</f>
        <v>19640.866210921042</v>
      </c>
      <c r="K7" s="245">
        <f>VLOOKUP(A7,'FSM Calculation 1516'!$A$4:$D$21,4,FALSE)</f>
        <v>5358</v>
      </c>
      <c r="L7" s="245">
        <v>610.88158066056155</v>
      </c>
      <c r="M7" s="245">
        <f t="shared" si="1"/>
        <v>992564.2730072228</v>
      </c>
      <c r="N7" s="245">
        <f t="shared" si="2"/>
        <v>992564.2730072228</v>
      </c>
      <c r="O7" s="246">
        <f>VLOOKUP(A7,'Band Calculations 1617'!$A$107:$W$125,22,FALSE)</f>
        <v>47.916666666666671</v>
      </c>
      <c r="P7" s="36"/>
      <c r="Q7" s="242">
        <f>N7/O7</f>
        <v>20714.384827976821</v>
      </c>
      <c r="R7" s="242">
        <f t="shared" si="4"/>
        <v>479166.66666666669</v>
      </c>
      <c r="S7" s="242">
        <f t="shared" si="5"/>
        <v>10714.384827976821</v>
      </c>
      <c r="T7" s="245">
        <f>VLOOKUP(A7,'2015-16 Funding Detail'!$A$4:$AA$23,27,FALSE)</f>
        <v>9130.9342158111831</v>
      </c>
      <c r="U7" s="245">
        <f t="shared" si="13"/>
        <v>10714.384827976821</v>
      </c>
      <c r="V7" s="245">
        <f t="shared" si="6"/>
        <v>20714.384827976821</v>
      </c>
      <c r="W7" s="245">
        <f t="shared" si="0"/>
        <v>0</v>
      </c>
      <c r="X7" s="68">
        <f t="shared" si="7"/>
        <v>992564.2730072228</v>
      </c>
      <c r="Y7" s="245">
        <f t="shared" si="8"/>
        <v>977675.80891211447</v>
      </c>
      <c r="Z7" s="245">
        <f t="shared" si="14"/>
        <v>20403.669055557169</v>
      </c>
      <c r="AA7" s="245">
        <f t="shared" si="9"/>
        <v>10403.669055557169</v>
      </c>
      <c r="AB7" s="1026">
        <f t="shared" si="10"/>
        <v>497398.8834507385</v>
      </c>
      <c r="AC7" s="1026">
        <f t="shared" si="11"/>
        <v>10380.498437232802</v>
      </c>
      <c r="AD7" s="1026">
        <f t="shared" si="12"/>
        <v>10224.790960674309</v>
      </c>
      <c r="AE7" s="235"/>
      <c r="AF7" s="235" t="s">
        <v>206</v>
      </c>
      <c r="AG7" s="297" t="s">
        <v>207</v>
      </c>
      <c r="AH7" s="42"/>
      <c r="AI7" s="235"/>
      <c r="AJ7" s="235"/>
      <c r="AK7" s="235"/>
      <c r="AL7" s="235"/>
      <c r="AM7" s="235"/>
      <c r="AN7" s="235"/>
      <c r="AO7" s="42"/>
      <c r="AP7" s="235"/>
      <c r="AQ7" s="247"/>
    </row>
    <row r="8" spans="1:43" ht="13" x14ac:dyDescent="0.3">
      <c r="A8" s="244">
        <v>9257024</v>
      </c>
      <c r="B8" s="237" t="s">
        <v>211</v>
      </c>
      <c r="C8" s="238">
        <f>'Band Calculations 1617'!C10</f>
        <v>3</v>
      </c>
      <c r="D8" s="245">
        <f>'Funding Model'!$D$22</f>
        <v>314686.51772419503</v>
      </c>
      <c r="E8" s="245">
        <f>'Funding Model'!$E$22</f>
        <v>69201.680689977453</v>
      </c>
      <c r="F8" s="245"/>
      <c r="G8" s="245"/>
      <c r="H8" s="245">
        <f>VLOOKUP(A8,'Band Calculations 1617'!$A$107:$W$125,6,FALSE)</f>
        <v>19053.583315273478</v>
      </c>
      <c r="I8" s="245">
        <f>VLOOKUP(A8,'Band Calculations 1617'!$A$107:$W$125,13,FALSE)</f>
        <v>507587.45951888553</v>
      </c>
      <c r="J8" s="245">
        <f>VLOOKUP(A8,'Band Calculations 1617'!$A$107:$W$125,20,FALSE)</f>
        <v>8276.4458700655869</v>
      </c>
      <c r="K8" s="245">
        <f>VLOOKUP(A8,'FSM Calculation 1516'!$A$4:$D$21,4,FALSE)</f>
        <v>9823</v>
      </c>
      <c r="L8" s="245">
        <v>628.57156807430238</v>
      </c>
      <c r="M8" s="245">
        <f t="shared" si="1"/>
        <v>929257.25868647138</v>
      </c>
      <c r="N8" s="245">
        <f t="shared" si="2"/>
        <v>929257.25868647138</v>
      </c>
      <c r="O8" s="246">
        <f>VLOOKUP(A8,'Band Calculations 1617'!$A$107:$W$125,22,FALSE)</f>
        <v>57.583333333333336</v>
      </c>
      <c r="P8" s="36"/>
      <c r="Q8" s="242">
        <f t="shared" si="3"/>
        <v>16137.607965611658</v>
      </c>
      <c r="R8" s="242">
        <f t="shared" si="4"/>
        <v>575833.33333333337</v>
      </c>
      <c r="S8" s="242">
        <f t="shared" si="5"/>
        <v>6137.6079656116581</v>
      </c>
      <c r="T8" s="248">
        <f>VLOOKUP(A8,'2015-16 Funding Detail'!$A$4:$AA$23,27,FALSE)</f>
        <v>6400.1956285335364</v>
      </c>
      <c r="U8" s="245">
        <f t="shared" si="13"/>
        <v>6400.1956285335364</v>
      </c>
      <c r="V8" s="245">
        <f t="shared" si="6"/>
        <v>16400.195628533536</v>
      </c>
      <c r="W8" s="245">
        <f t="shared" si="0"/>
        <v>15120.672923251492</v>
      </c>
      <c r="X8" s="68">
        <f t="shared" si="7"/>
        <v>944377.9316097229</v>
      </c>
      <c r="Y8" s="245">
        <f t="shared" si="8"/>
        <v>930212.262635577</v>
      </c>
      <c r="Z8" s="245">
        <f t="shared" si="14"/>
        <v>16154.192694105534</v>
      </c>
      <c r="AA8" s="245">
        <f t="shared" si="9"/>
        <v>6154.1926941055335</v>
      </c>
      <c r="AB8" s="1026">
        <f t="shared" si="10"/>
        <v>559861.1616274761</v>
      </c>
      <c r="AC8" s="1026">
        <f t="shared" si="11"/>
        <v>9722.625093385981</v>
      </c>
      <c r="AD8" s="1026">
        <f t="shared" si="12"/>
        <v>9576.7857169851904</v>
      </c>
      <c r="AE8" s="235"/>
      <c r="AF8" s="235" t="s">
        <v>206</v>
      </c>
      <c r="AG8" s="297" t="s">
        <v>207</v>
      </c>
      <c r="AH8" s="42"/>
      <c r="AI8" s="235"/>
      <c r="AJ8" s="235"/>
      <c r="AK8" s="235"/>
      <c r="AL8" s="235"/>
      <c r="AM8" s="235"/>
      <c r="AN8" s="235"/>
      <c r="AO8" s="42"/>
      <c r="AP8" s="235"/>
      <c r="AQ8" s="247"/>
    </row>
    <row r="9" spans="1:43" ht="13" x14ac:dyDescent="0.3">
      <c r="A9" s="244">
        <v>9257008</v>
      </c>
      <c r="B9" s="237" t="s">
        <v>212</v>
      </c>
      <c r="C9" s="238">
        <f>'Band Calculations 1617'!C13</f>
        <v>4</v>
      </c>
      <c r="D9" s="245">
        <f>'Funding Model'!$D$23</f>
        <v>405763.82046267512</v>
      </c>
      <c r="E9" s="245">
        <f>'Funding Model'!$E$23</f>
        <v>88790.687513148558</v>
      </c>
      <c r="F9" s="245"/>
      <c r="G9" s="245"/>
      <c r="H9" s="245">
        <f>VLOOKUP(A9,'Band Calculations 1617'!$A$107:$W$125,6,FALSE)</f>
        <v>33339.078620055436</v>
      </c>
      <c r="I9" s="245">
        <f>VLOOKUP(A9,'Band Calculations 1617'!$A$107:$W$125,13,FALSE)</f>
        <v>686785.01957314194</v>
      </c>
      <c r="J9" s="245">
        <f>VLOOKUP(A9,'Band Calculations 1617'!$A$107:$W$125,20,FALSE)</f>
        <v>66961.216948244939</v>
      </c>
      <c r="K9" s="245">
        <f>VLOOKUP(A9,'FSM Calculation 1516'!$A$4:$D$21,4,FALSE)</f>
        <v>17860</v>
      </c>
      <c r="L9" s="245">
        <v>737.65982379237016</v>
      </c>
      <c r="M9" s="245">
        <f t="shared" si="1"/>
        <v>1300237.4829410585</v>
      </c>
      <c r="N9" s="245">
        <f t="shared" si="2"/>
        <v>1300237.4829410585</v>
      </c>
      <c r="O9" s="246">
        <f>VLOOKUP(A9,'Band Calculations 1617'!$A$107:$W$125,22,FALSE)</f>
        <v>90</v>
      </c>
      <c r="P9" s="36"/>
      <c r="Q9" s="242">
        <f t="shared" si="3"/>
        <v>14447.083143789538</v>
      </c>
      <c r="R9" s="242">
        <f t="shared" si="4"/>
        <v>900000</v>
      </c>
      <c r="S9" s="242">
        <f t="shared" si="5"/>
        <v>4447.0831437895376</v>
      </c>
      <c r="T9" s="245">
        <f>VLOOKUP(A9,'2015-16 Funding Detail'!$A$4:$AA$23,27,FALSE)</f>
        <v>4230.3768966326934</v>
      </c>
      <c r="U9" s="245">
        <f t="shared" si="13"/>
        <v>4447.0831437895376</v>
      </c>
      <c r="V9" s="245">
        <f t="shared" si="6"/>
        <v>14447.083143789538</v>
      </c>
      <c r="W9" s="245">
        <f t="shared" si="0"/>
        <v>0</v>
      </c>
      <c r="X9" s="68">
        <f t="shared" si="7"/>
        <v>1300237.4829410585</v>
      </c>
      <c r="Y9" s="245">
        <f t="shared" si="8"/>
        <v>1280733.9206969426</v>
      </c>
      <c r="Z9" s="245">
        <f t="shared" si="14"/>
        <v>14230.376896632695</v>
      </c>
      <c r="AA9" s="245">
        <f t="shared" si="9"/>
        <v>4230.3768966326952</v>
      </c>
      <c r="AB9" s="1026">
        <f t="shared" si="10"/>
        <v>804945.31514144246</v>
      </c>
      <c r="AC9" s="1026">
        <f t="shared" si="11"/>
        <v>8943.836834904916</v>
      </c>
      <c r="AD9" s="1026">
        <f t="shared" si="12"/>
        <v>8809.679282381343</v>
      </c>
      <c r="AE9" s="235"/>
      <c r="AF9" s="235" t="s">
        <v>206</v>
      </c>
      <c r="AG9" s="297" t="s">
        <v>207</v>
      </c>
      <c r="AH9" s="42"/>
      <c r="AI9" s="235"/>
      <c r="AJ9" s="235"/>
      <c r="AK9" s="235"/>
      <c r="AL9" s="235"/>
      <c r="AM9" s="235"/>
      <c r="AN9" s="235"/>
      <c r="AO9" s="42"/>
      <c r="AP9" s="235"/>
      <c r="AQ9" s="247"/>
    </row>
    <row r="10" spans="1:43" ht="13" x14ac:dyDescent="0.3">
      <c r="A10" s="244">
        <v>9257002</v>
      </c>
      <c r="B10" s="237" t="s">
        <v>213</v>
      </c>
      <c r="C10" s="238">
        <f>'Band Calculations 1617'!C15</f>
        <v>5</v>
      </c>
      <c r="D10" s="245">
        <f>'Funding Model'!$D$24</f>
        <v>418723.18610831723</v>
      </c>
      <c r="E10" s="245">
        <f>'Funding Model'!$E$24</f>
        <v>117027.3922528728</v>
      </c>
      <c r="F10" s="245"/>
      <c r="G10" s="245"/>
      <c r="H10" s="245">
        <f>VLOOKUP(A10,'Band Calculations 1617'!$A$107:$W$125,6,FALSE)</f>
        <v>0</v>
      </c>
      <c r="I10" s="245">
        <f>VLOOKUP(A10,'Band Calculations 1617'!$A$107:$W$125,13,FALSE)</f>
        <v>895616.63706554379</v>
      </c>
      <c r="J10" s="245">
        <f>VLOOKUP(A10,'Band Calculations 1617'!$A$107:$W$125,20,FALSE)</f>
        <v>30142.512093517998</v>
      </c>
      <c r="K10" s="245">
        <f>VLOOKUP(A10,'FSM Calculation 1516'!$A$4:$D$21,4,FALSE)</f>
        <v>18306.5</v>
      </c>
      <c r="L10" s="245">
        <v>873.28306063104901</v>
      </c>
      <c r="M10" s="245">
        <f t="shared" si="1"/>
        <v>1480689.5105808827</v>
      </c>
      <c r="N10" s="245">
        <f t="shared" si="2"/>
        <v>1480689.5105808827</v>
      </c>
      <c r="O10" s="246">
        <f>VLOOKUP(A10,'Band Calculations 1617'!$A$107:$W$125,22,FALSE)</f>
        <v>123.75</v>
      </c>
      <c r="P10" s="36"/>
      <c r="Q10" s="242">
        <f t="shared" si="3"/>
        <v>11965.167762269759</v>
      </c>
      <c r="R10" s="242">
        <f t="shared" si="4"/>
        <v>1237500</v>
      </c>
      <c r="S10" s="242">
        <f t="shared" si="5"/>
        <v>1965.1677622697589</v>
      </c>
      <c r="T10" s="245">
        <f>VLOOKUP(A10,'2015-16 Funding Detail'!$A$4:$AA$23,27,FALSE)</f>
        <v>1516.4415428030661</v>
      </c>
      <c r="U10" s="245">
        <f t="shared" si="13"/>
        <v>1965.1677622697589</v>
      </c>
      <c r="V10" s="245">
        <f t="shared" si="6"/>
        <v>11965.167762269759</v>
      </c>
      <c r="W10" s="245">
        <f t="shared" si="0"/>
        <v>0</v>
      </c>
      <c r="X10" s="68">
        <f t="shared" si="7"/>
        <v>1480689.5105808827</v>
      </c>
      <c r="Y10" s="245">
        <f t="shared" si="8"/>
        <v>1458479.1679221694</v>
      </c>
      <c r="Z10" s="245">
        <f t="shared" si="14"/>
        <v>11785.690245835713</v>
      </c>
      <c r="AA10" s="245">
        <f t="shared" si="9"/>
        <v>1785.6902458357126</v>
      </c>
      <c r="AB10" s="1026">
        <f t="shared" si="10"/>
        <v>944065.64915906161</v>
      </c>
      <c r="AC10" s="1026">
        <f t="shared" si="11"/>
        <v>7628.8133265378719</v>
      </c>
      <c r="AD10" s="1026">
        <f t="shared" si="12"/>
        <v>7514.3811266398034</v>
      </c>
      <c r="AE10" s="235"/>
      <c r="AF10" s="235" t="s">
        <v>206</v>
      </c>
      <c r="AG10" s="297" t="s">
        <v>207</v>
      </c>
      <c r="AH10" s="42"/>
      <c r="AI10" s="235"/>
      <c r="AJ10" s="235"/>
      <c r="AK10" s="235"/>
      <c r="AL10" s="235"/>
      <c r="AM10" s="235"/>
      <c r="AN10" s="235"/>
      <c r="AO10" s="42"/>
      <c r="AP10" s="235"/>
      <c r="AQ10" s="247"/>
    </row>
    <row r="11" spans="1:43" ht="13" x14ac:dyDescent="0.3">
      <c r="A11" s="244">
        <v>9257009</v>
      </c>
      <c r="B11" s="237" t="s">
        <v>214</v>
      </c>
      <c r="C11" s="238">
        <f>'Band Calculations 1617'!C16</f>
        <v>4</v>
      </c>
      <c r="D11" s="245">
        <f>'Funding Model'!$D$23</f>
        <v>405763.82046267512</v>
      </c>
      <c r="E11" s="245">
        <f>'Funding Model'!$E$23</f>
        <v>88790.687513148558</v>
      </c>
      <c r="F11" s="245"/>
      <c r="G11" s="245"/>
      <c r="H11" s="245">
        <f>VLOOKUP(A11,'Band Calculations 1617'!$A$107:$W$125,6,FALSE)</f>
        <v>0</v>
      </c>
      <c r="I11" s="245">
        <f>VLOOKUP(A11,'Band Calculations 1617'!$A$107:$W$125,13,FALSE)</f>
        <v>933221.13569556247</v>
      </c>
      <c r="J11" s="245">
        <f>VLOOKUP(A11,'Band Calculations 1617'!$A$107:$W$125,20,FALSE)</f>
        <v>47005.200422910624</v>
      </c>
      <c r="K11" s="245">
        <f>VLOOKUP(A11,'FSM Calculation 1516'!$A$4:$D$21,4,FALSE)</f>
        <v>15181</v>
      </c>
      <c r="L11" s="245">
        <v>876.23139186667242</v>
      </c>
      <c r="M11" s="245">
        <f t="shared" si="1"/>
        <v>1490838.0754861636</v>
      </c>
      <c r="N11" s="245">
        <f t="shared" si="2"/>
        <v>1490838.0754861636</v>
      </c>
      <c r="O11" s="246">
        <f>VLOOKUP(A11,'Band Calculations 1617'!$A$107:$W$125,22,FALSE)</f>
        <v>128.83333333333334</v>
      </c>
      <c r="P11" s="36"/>
      <c r="Q11" s="242">
        <f t="shared" si="3"/>
        <v>11571.834997305279</v>
      </c>
      <c r="R11" s="242">
        <f t="shared" si="4"/>
        <v>1288333.3333333335</v>
      </c>
      <c r="S11" s="242">
        <f t="shared" si="5"/>
        <v>1571.8349973052791</v>
      </c>
      <c r="T11" s="245">
        <f>VLOOKUP(A11,'2015-16 Funding Detail'!$A$4:$AA$23,27,FALSE)</f>
        <v>1363.2224644549642</v>
      </c>
      <c r="U11" s="245">
        <f t="shared" si="13"/>
        <v>1571.8349973052791</v>
      </c>
      <c r="V11" s="245">
        <f t="shared" si="6"/>
        <v>11571.834997305279</v>
      </c>
      <c r="W11" s="245">
        <f t="shared" si="0"/>
        <v>0</v>
      </c>
      <c r="X11" s="68">
        <f t="shared" si="7"/>
        <v>1490838.0754861636</v>
      </c>
      <c r="Y11" s="245">
        <f t="shared" si="8"/>
        <v>1468475.5043538711</v>
      </c>
      <c r="Z11" s="245">
        <f t="shared" si="14"/>
        <v>11398.2574723457</v>
      </c>
      <c r="AA11" s="245">
        <f t="shared" si="9"/>
        <v>1398.2574723457001</v>
      </c>
      <c r="AB11" s="1026">
        <f t="shared" si="10"/>
        <v>995407.33611847332</v>
      </c>
      <c r="AC11" s="1026">
        <f t="shared" si="11"/>
        <v>7726.3182622391196</v>
      </c>
      <c r="AD11" s="1026">
        <f t="shared" si="12"/>
        <v>7610.4234883055324</v>
      </c>
      <c r="AE11" s="235"/>
      <c r="AF11" s="235" t="s">
        <v>206</v>
      </c>
      <c r="AG11" s="297" t="s">
        <v>207</v>
      </c>
      <c r="AH11" s="42"/>
      <c r="AI11" s="235"/>
      <c r="AJ11" s="235"/>
      <c r="AK11" s="235"/>
      <c r="AL11" s="235"/>
      <c r="AM11" s="235"/>
      <c r="AN11" s="235"/>
      <c r="AO11" s="42"/>
      <c r="AP11" s="235"/>
      <c r="AQ11" s="247"/>
    </row>
    <row r="12" spans="1:43" ht="13" x14ac:dyDescent="0.3">
      <c r="A12" s="244">
        <v>9257028</v>
      </c>
      <c r="B12" s="237" t="s">
        <v>215</v>
      </c>
      <c r="C12" s="238">
        <f>'Band Calculations 1617'!C20</f>
        <v>5</v>
      </c>
      <c r="D12" s="245">
        <f>'Funding Model'!$D$24</f>
        <v>418723.18610831723</v>
      </c>
      <c r="E12" s="245">
        <f>'Funding Model'!$E$24</f>
        <v>117027.3922528728</v>
      </c>
      <c r="F12" s="245"/>
      <c r="G12" s="245"/>
      <c r="H12" s="245">
        <f>VLOOKUP(A12,'Band Calculations 1617'!$A$107:$W$125,6,FALSE)</f>
        <v>0</v>
      </c>
      <c r="I12" s="245">
        <f>VLOOKUP(A12,'Band Calculations 1617'!$A$107:$W$125,13,FALSE)</f>
        <v>713999.9761599357</v>
      </c>
      <c r="J12" s="245">
        <f>VLOOKUP(A12,'Band Calculations 1617'!$A$107:$W$125,20,FALSE)</f>
        <v>44059.732663232084</v>
      </c>
      <c r="K12" s="245">
        <f>VLOOKUP(A12,'FSM Calculation 1516'!$A$4:$D$21,4,FALSE)</f>
        <v>9823</v>
      </c>
      <c r="L12" s="245">
        <v>705.22818020051216</v>
      </c>
      <c r="M12" s="245">
        <f t="shared" si="1"/>
        <v>1304338.5153645584</v>
      </c>
      <c r="N12" s="245">
        <f t="shared" si="2"/>
        <v>1304338.5153645584</v>
      </c>
      <c r="O12" s="246">
        <f>VLOOKUP(A12,'Band Calculations 1617'!$A$107:$W$125,22,FALSE)</f>
        <v>69.833333333333343</v>
      </c>
      <c r="P12" s="36"/>
      <c r="Q12" s="242">
        <f t="shared" si="3"/>
        <v>18677.878501640451</v>
      </c>
      <c r="R12" s="242">
        <f t="shared" si="4"/>
        <v>698333.33333333337</v>
      </c>
      <c r="S12" s="242">
        <f t="shared" si="5"/>
        <v>8677.8785016404508</v>
      </c>
      <c r="T12" s="245">
        <f>VLOOKUP(A12,'2015-16 Funding Detail'!$A$4:$AA$23,27,FALSE)</f>
        <v>7876.7353285933459</v>
      </c>
      <c r="U12" s="245">
        <f t="shared" si="13"/>
        <v>8677.8785016404508</v>
      </c>
      <c r="V12" s="245">
        <f t="shared" si="6"/>
        <v>18677.878501640451</v>
      </c>
      <c r="W12" s="245">
        <f t="shared" si="0"/>
        <v>0</v>
      </c>
      <c r="X12" s="68">
        <f t="shared" si="7"/>
        <v>1304338.5153645584</v>
      </c>
      <c r="Y12" s="245">
        <f t="shared" si="8"/>
        <v>1284773.43763409</v>
      </c>
      <c r="Z12" s="245">
        <f t="shared" si="14"/>
        <v>18397.710324115844</v>
      </c>
      <c r="AA12" s="245">
        <f t="shared" si="9"/>
        <v>8397.7103241158438</v>
      </c>
      <c r="AB12" s="1026">
        <f t="shared" si="10"/>
        <v>767882.70882316784</v>
      </c>
      <c r="AC12" s="1026">
        <f t="shared" si="11"/>
        <v>10995.93377789739</v>
      </c>
      <c r="AD12" s="1026">
        <f t="shared" si="12"/>
        <v>10830.994771228929</v>
      </c>
      <c r="AE12" s="235"/>
      <c r="AF12" s="235" t="s">
        <v>206</v>
      </c>
      <c r="AG12" s="297" t="s">
        <v>207</v>
      </c>
      <c r="AH12" s="42"/>
      <c r="AI12" s="235"/>
      <c r="AJ12" s="235"/>
      <c r="AK12" s="235"/>
      <c r="AL12" s="235"/>
      <c r="AM12" s="235"/>
      <c r="AN12" s="235"/>
      <c r="AO12" s="42"/>
      <c r="AP12" s="235"/>
      <c r="AQ12" s="247"/>
    </row>
    <row r="13" spans="1:43" ht="13" x14ac:dyDescent="0.3">
      <c r="A13" s="244">
        <v>9257021</v>
      </c>
      <c r="B13" s="237" t="s">
        <v>216</v>
      </c>
      <c r="C13" s="238">
        <f>'Band Calculations 1617'!C21</f>
        <v>5</v>
      </c>
      <c r="D13" s="245">
        <f>'Funding Model'!$D$24</f>
        <v>418723.18610831723</v>
      </c>
      <c r="E13" s="245">
        <f>'Funding Model'!$E$24</f>
        <v>117027.3922528728</v>
      </c>
      <c r="F13" s="245"/>
      <c r="G13" s="245"/>
      <c r="H13" s="245">
        <f>VLOOKUP(A13,'Band Calculations 1617'!$A$107:$W$125,6,FALSE)</f>
        <v>0</v>
      </c>
      <c r="I13" s="245">
        <f>VLOOKUP(A13,'Band Calculations 1617'!$A$107:$W$125,13,FALSE)</f>
        <v>1092144.4452133011</v>
      </c>
      <c r="J13" s="245">
        <f>VLOOKUP(A13,'Band Calculations 1617'!$A$107:$W$125,20,FALSE)</f>
        <v>55144.25336132446</v>
      </c>
      <c r="K13" s="245">
        <f>VLOOKUP(A13,'FSM Calculation 1516'!$A$4:$D$21,4,FALSE)</f>
        <v>25897</v>
      </c>
      <c r="L13" s="245">
        <v>908.66303545853043</v>
      </c>
      <c r="M13" s="245">
        <f t="shared" si="1"/>
        <v>1709844.939971274</v>
      </c>
      <c r="N13" s="245">
        <f t="shared" si="2"/>
        <v>1709844.939971274</v>
      </c>
      <c r="O13" s="246">
        <f>VLOOKUP(A13,'Band Calculations 1617'!$A$107:$W$125,22,FALSE)</f>
        <v>148.58333333333334</v>
      </c>
      <c r="P13" s="36"/>
      <c r="Q13" s="242">
        <f t="shared" si="3"/>
        <v>11507.649624035494</v>
      </c>
      <c r="R13" s="242">
        <f t="shared" si="4"/>
        <v>1485833.3333333335</v>
      </c>
      <c r="S13" s="242">
        <f t="shared" si="5"/>
        <v>1507.6496240354936</v>
      </c>
      <c r="T13" s="245">
        <f>VLOOKUP(A13,'2015-16 Funding Detail'!$A$4:$AA$23,27,FALSE)</f>
        <v>1357.2953884759409</v>
      </c>
      <c r="U13" s="245">
        <f t="shared" si="13"/>
        <v>1507.6496240354936</v>
      </c>
      <c r="V13" s="245">
        <f t="shared" si="6"/>
        <v>11507.649624035494</v>
      </c>
      <c r="W13" s="245">
        <f t="shared" si="0"/>
        <v>0</v>
      </c>
      <c r="X13" s="68">
        <f t="shared" si="7"/>
        <v>1709844.939971274</v>
      </c>
      <c r="Y13" s="245">
        <f t="shared" si="8"/>
        <v>1684197.2658717048</v>
      </c>
      <c r="Z13" s="245">
        <f t="shared" si="14"/>
        <v>11335.034879674962</v>
      </c>
      <c r="AA13" s="245">
        <f t="shared" si="9"/>
        <v>1335.0348796749622</v>
      </c>
      <c r="AB13" s="1026">
        <f t="shared" si="10"/>
        <v>1173185.6985746257</v>
      </c>
      <c r="AC13" s="1026">
        <f t="shared" si="11"/>
        <v>7895.8095248993304</v>
      </c>
      <c r="AD13" s="1026">
        <f t="shared" si="12"/>
        <v>7777.3723820258401</v>
      </c>
      <c r="AE13" s="235"/>
      <c r="AF13" s="235" t="s">
        <v>206</v>
      </c>
      <c r="AG13" s="297" t="s">
        <v>207</v>
      </c>
      <c r="AH13" s="42"/>
      <c r="AI13" s="235"/>
      <c r="AJ13" s="235"/>
      <c r="AK13" s="235"/>
      <c r="AL13" s="235"/>
      <c r="AM13" s="235"/>
      <c r="AN13" s="235"/>
      <c r="AO13" s="42"/>
      <c r="AP13" s="235"/>
      <c r="AQ13" s="247"/>
    </row>
    <row r="14" spans="1:43" ht="12.75" customHeight="1" x14ac:dyDescent="0.3">
      <c r="A14" s="244">
        <v>9257015</v>
      </c>
      <c r="B14" s="237" t="s">
        <v>217</v>
      </c>
      <c r="C14" s="238">
        <f>'Band Calculations 1617'!C22</f>
        <v>6</v>
      </c>
      <c r="D14" s="245">
        <f>'Funding Model'!$D$25</f>
        <v>493762.11190507573</v>
      </c>
      <c r="E14" s="245">
        <f>'Funding Model'!$E$25</f>
        <v>131719.7894229154</v>
      </c>
      <c r="F14" s="245"/>
      <c r="G14" s="302">
        <v>41787</v>
      </c>
      <c r="H14" s="245">
        <f>VLOOKUP(A14,'Band Calculations 1617'!$A$107:$W$125,6,FALSE)</f>
        <v>29875.568123471203</v>
      </c>
      <c r="I14" s="245">
        <f>VLOOKUP(A14,'Band Calculations 1617'!$A$107:$W$125,13,FALSE)</f>
        <v>1926376.6326014232</v>
      </c>
      <c r="J14" s="245">
        <f>VLOOKUP(A14,'Band Calculations 1617'!$A$107:$W$125,20,FALSE)</f>
        <v>46382.50961899414</v>
      </c>
      <c r="K14" s="245">
        <f>VLOOKUP(A14,'FSM Calculation 1516'!$A$4:$D$21,4,FALSE)</f>
        <v>51794</v>
      </c>
      <c r="L14" s="245">
        <v>1056.0795972397032</v>
      </c>
      <c r="M14" s="245">
        <f t="shared" si="1"/>
        <v>2722753.6912691197</v>
      </c>
      <c r="N14" s="245">
        <f>M14-F14-G14</f>
        <v>2680966.6912691197</v>
      </c>
      <c r="O14" s="246">
        <f>VLOOKUP(A14,'Band Calculations 1617'!$A$107:$W$125,22,FALSE)</f>
        <v>272.83333333333337</v>
      </c>
      <c r="P14" s="36"/>
      <c r="Q14" s="242">
        <f t="shared" si="3"/>
        <v>9826.3898274983003</v>
      </c>
      <c r="R14" s="242">
        <f>O14*10000</f>
        <v>2728333.3333333335</v>
      </c>
      <c r="S14" s="242">
        <f>Q14-10000</f>
        <v>-173.61017250169971</v>
      </c>
      <c r="T14" s="248">
        <f>VLOOKUP(A14,'2015-16 Funding Detail'!$A$4:$AA$23,27,FALSE)</f>
        <v>-12.242151675669447</v>
      </c>
      <c r="U14" s="302">
        <f>IF(S14&gt;T14,(S14),(IF(T14&gt;0,(T14),(0))))</f>
        <v>0</v>
      </c>
      <c r="V14" s="245">
        <f t="shared" si="6"/>
        <v>10000</v>
      </c>
      <c r="W14" s="245">
        <f>(U14-S14)*O14</f>
        <v>47366.642064213745</v>
      </c>
      <c r="X14" s="68">
        <f t="shared" si="7"/>
        <v>2728333.3333333335</v>
      </c>
      <c r="Y14" s="245">
        <f t="shared" si="8"/>
        <v>2687408.3333333335</v>
      </c>
      <c r="Z14" s="245">
        <f t="shared" si="14"/>
        <v>9850</v>
      </c>
      <c r="AA14" s="245">
        <f t="shared" si="9"/>
        <v>-150</v>
      </c>
      <c r="AB14" s="1026">
        <f t="shared" si="10"/>
        <v>2101795.3524081027</v>
      </c>
      <c r="AC14" s="1026">
        <f t="shared" si="11"/>
        <v>7703.5871193943885</v>
      </c>
      <c r="AD14" s="1026">
        <f t="shared" si="12"/>
        <v>7588.033312603473</v>
      </c>
      <c r="AE14" s="235"/>
      <c r="AF14" s="235" t="s">
        <v>206</v>
      </c>
      <c r="AG14" s="297" t="s">
        <v>207</v>
      </c>
      <c r="AH14" s="1440" t="s">
        <v>218</v>
      </c>
      <c r="AI14" s="1440"/>
      <c r="AJ14" s="1440"/>
      <c r="AK14" s="1440"/>
      <c r="AL14" s="1440"/>
      <c r="AM14" s="1440"/>
      <c r="AN14" s="1440"/>
      <c r="AO14" s="1440"/>
      <c r="AP14" s="235"/>
      <c r="AQ14" s="247"/>
    </row>
    <row r="15" spans="1:43" ht="13" x14ac:dyDescent="0.3">
      <c r="A15" s="244">
        <v>9257016</v>
      </c>
      <c r="B15" s="237" t="s">
        <v>219</v>
      </c>
      <c r="C15" s="238">
        <f>'Band Calculations 1617'!C23</f>
        <v>6</v>
      </c>
      <c r="D15" s="245">
        <f>'Funding Model'!$D$25</f>
        <v>493762.11190507573</v>
      </c>
      <c r="E15" s="245">
        <f>'Funding Model'!$E$25</f>
        <v>131719.7894229154</v>
      </c>
      <c r="F15" s="245"/>
      <c r="G15" s="245"/>
      <c r="H15" s="245">
        <f>VLOOKUP(A15,'Band Calculations 1617'!$A$107:$W$125,6,FALSE)</f>
        <v>0</v>
      </c>
      <c r="I15" s="245">
        <f>VLOOKUP(A15,'Band Calculations 1617'!$A$107:$W$125,13,FALSE)</f>
        <v>1451942.8180361402</v>
      </c>
      <c r="J15" s="245">
        <f>VLOOKUP(A15,'Band Calculations 1617'!$A$107:$W$125,20,FALSE)</f>
        <v>0</v>
      </c>
      <c r="K15" s="245">
        <f>VLOOKUP(A15,'FSM Calculation 1516'!$A$4:$D$21,4,FALSE)</f>
        <v>12948.5</v>
      </c>
      <c r="L15" s="245">
        <v>832.00642333232065</v>
      </c>
      <c r="M15" s="245">
        <f t="shared" si="1"/>
        <v>2091205.2257874636</v>
      </c>
      <c r="N15" s="245">
        <f t="shared" si="2"/>
        <v>2091205.2257874636</v>
      </c>
      <c r="O15" s="246">
        <f>VLOOKUP(A15,'Band Calculations 1617'!$A$107:$W$125,22,FALSE)</f>
        <v>143.5</v>
      </c>
      <c r="P15" s="36"/>
      <c r="Q15" s="242">
        <f t="shared" si="3"/>
        <v>14572.858716288945</v>
      </c>
      <c r="R15" s="242">
        <f t="shared" si="4"/>
        <v>1435000</v>
      </c>
      <c r="S15" s="242">
        <f t="shared" si="5"/>
        <v>4572.8587162889453</v>
      </c>
      <c r="T15" s="248">
        <f>VLOOKUP(A15,'2015-16 Funding Detail'!$A$4:$AA$23,27,FALSE)</f>
        <v>6356.9640124558118</v>
      </c>
      <c r="U15" s="245">
        <f t="shared" si="13"/>
        <v>6356.9640124558118</v>
      </c>
      <c r="V15" s="245">
        <f t="shared" si="6"/>
        <v>16356.964012455812</v>
      </c>
      <c r="W15" s="245">
        <f t="shared" si="0"/>
        <v>256019.10999994536</v>
      </c>
      <c r="X15" s="68">
        <f t="shared" si="7"/>
        <v>2347224.335787409</v>
      </c>
      <c r="Y15" s="245">
        <f t="shared" si="8"/>
        <v>2312015.9707505978</v>
      </c>
      <c r="Z15" s="245">
        <f t="shared" si="14"/>
        <v>16111.609552268974</v>
      </c>
      <c r="AA15" s="245">
        <f t="shared" si="9"/>
        <v>6111.6095522689739</v>
      </c>
      <c r="AB15" s="1026">
        <f t="shared" si="10"/>
        <v>1720910.4280360858</v>
      </c>
      <c r="AC15" s="1026">
        <f t="shared" si="11"/>
        <v>11992.407164014536</v>
      </c>
      <c r="AD15" s="1026">
        <f t="shared" si="12"/>
        <v>11812.521056554318</v>
      </c>
      <c r="AE15" s="235"/>
      <c r="AF15" s="235" t="s">
        <v>206</v>
      </c>
      <c r="AG15" s="297" t="s">
        <v>207</v>
      </c>
      <c r="AH15" s="1440"/>
      <c r="AI15" s="1440"/>
      <c r="AJ15" s="1440"/>
      <c r="AK15" s="1440"/>
      <c r="AL15" s="1440"/>
      <c r="AM15" s="1440"/>
      <c r="AN15" s="1440"/>
      <c r="AO15" s="1440"/>
      <c r="AP15" s="235"/>
      <c r="AQ15" s="247"/>
    </row>
    <row r="16" spans="1:43" ht="13" x14ac:dyDescent="0.3">
      <c r="A16" s="244"/>
      <c r="B16" s="237"/>
      <c r="C16" s="238"/>
      <c r="D16" s="245"/>
      <c r="E16" s="245"/>
      <c r="F16" s="245"/>
      <c r="G16" s="245"/>
      <c r="H16" s="245"/>
      <c r="I16" s="245"/>
      <c r="J16" s="245"/>
      <c r="K16" s="245"/>
      <c r="L16" s="245"/>
      <c r="M16" s="245"/>
      <c r="N16" s="245"/>
      <c r="O16" s="246"/>
      <c r="P16" s="36"/>
      <c r="Q16" s="242"/>
      <c r="R16" s="242"/>
      <c r="S16" s="242"/>
      <c r="T16" s="245"/>
      <c r="U16" s="245"/>
      <c r="V16" s="245"/>
      <c r="W16" s="245"/>
      <c r="X16" s="68"/>
      <c r="Y16" s="245"/>
      <c r="Z16" s="245"/>
      <c r="AA16" s="245"/>
      <c r="AB16" s="235"/>
      <c r="AC16" s="235"/>
      <c r="AD16" s="235"/>
      <c r="AE16" s="235"/>
      <c r="AF16" s="234"/>
      <c r="AG16" s="297"/>
      <c r="AH16" s="1440"/>
      <c r="AI16" s="1440"/>
      <c r="AJ16" s="1440"/>
      <c r="AK16" s="1440"/>
      <c r="AL16" s="1440"/>
      <c r="AM16" s="1440"/>
      <c r="AN16" s="1440"/>
      <c r="AO16" s="1440"/>
      <c r="AP16" s="235"/>
      <c r="AQ16" s="247"/>
    </row>
    <row r="17" spans="1:43" ht="13" x14ac:dyDescent="0.3">
      <c r="A17" s="244">
        <v>9257031</v>
      </c>
      <c r="B17" s="32" t="s">
        <v>148</v>
      </c>
      <c r="C17" s="238">
        <f>'Band Calculations 1617'!C11</f>
        <v>4</v>
      </c>
      <c r="D17" s="245">
        <f>'Funding Model'!D27</f>
        <v>360067.26321081078</v>
      </c>
      <c r="E17" s="245">
        <f>'Funding Model'!E27</f>
        <v>58044.118057617408</v>
      </c>
      <c r="F17" s="245">
        <v>164817</v>
      </c>
      <c r="G17" s="245"/>
      <c r="H17" s="245">
        <f>VLOOKUP(A17,'Band Calculations 1617'!$A$107:$W$125,6,FALSE)</f>
        <v>0</v>
      </c>
      <c r="I17" s="245">
        <f>VLOOKUP(A17,'Band Calculations 1617'!$A$107:$W$125,13,FALSE)</f>
        <v>765827.35179533949</v>
      </c>
      <c r="J17" s="245">
        <f>VLOOKUP(A17,'Band Calculations 1617'!$A$107:$W$125,20,FALSE)</f>
        <v>172595.63674044155</v>
      </c>
      <c r="K17" s="245">
        <f>VLOOKUP(A17,'FSM Calculation 1516'!$A$4:$D$21,4,FALSE)</f>
        <v>12055.5</v>
      </c>
      <c r="L17" s="245">
        <v>669.84820537303062</v>
      </c>
      <c r="M17" s="245">
        <f>SUM(D17:L17)</f>
        <v>1534076.718009582</v>
      </c>
      <c r="N17" s="245">
        <f>M17-F17</f>
        <v>1369259.718009582</v>
      </c>
      <c r="O17" s="246">
        <f>VLOOKUP(A17,'Band Calculations 1617'!$A$107:$W$125,22,FALSE)</f>
        <v>65.5</v>
      </c>
      <c r="P17" s="36"/>
      <c r="Q17" s="242">
        <f t="shared" si="3"/>
        <v>20904.728519230259</v>
      </c>
      <c r="R17" s="242">
        <f t="shared" si="4"/>
        <v>655000</v>
      </c>
      <c r="S17" s="242">
        <f t="shared" si="5"/>
        <v>10904.728519230259</v>
      </c>
      <c r="T17" s="245">
        <f>VLOOKUP(A17,'2015-16 Funding Detail'!$A$4:$AA$23,27,FALSE)</f>
        <v>9771.6528176273168</v>
      </c>
      <c r="U17" s="245">
        <f t="shared" si="13"/>
        <v>10904.728519230259</v>
      </c>
      <c r="V17" s="245">
        <f t="shared" si="6"/>
        <v>20904.728519230259</v>
      </c>
      <c r="W17" s="245">
        <f>(U17-S17)*O17</f>
        <v>0</v>
      </c>
      <c r="X17" s="68">
        <f>N17+W17</f>
        <v>1369259.718009582</v>
      </c>
      <c r="Y17" s="245">
        <f t="shared" si="8"/>
        <v>1348720.8222394383</v>
      </c>
      <c r="Z17" s="245">
        <f t="shared" si="14"/>
        <v>20591.157591441806</v>
      </c>
      <c r="AA17" s="245">
        <f t="shared" si="9"/>
        <v>10591.157591441806</v>
      </c>
      <c r="AB17" s="1026">
        <f t="shared" si="10"/>
        <v>950478.48853578081</v>
      </c>
      <c r="AC17" s="1026">
        <f t="shared" si="11"/>
        <v>14511.121962378333</v>
      </c>
      <c r="AD17" s="1026">
        <f t="shared" si="12"/>
        <v>14293.455132942658</v>
      </c>
      <c r="AE17" s="235"/>
      <c r="AF17" s="235" t="s">
        <v>206</v>
      </c>
      <c r="AG17" s="297" t="s">
        <v>207</v>
      </c>
      <c r="AH17" s="42"/>
      <c r="AI17" s="235"/>
      <c r="AJ17" s="235"/>
      <c r="AK17" s="235"/>
      <c r="AL17" s="235"/>
      <c r="AM17" s="235"/>
      <c r="AN17" s="235"/>
      <c r="AO17" s="42"/>
      <c r="AP17" s="235"/>
      <c r="AQ17" s="247"/>
    </row>
    <row r="18" spans="1:43" ht="13" x14ac:dyDescent="0.3">
      <c r="A18" s="244">
        <v>9257029</v>
      </c>
      <c r="B18" s="32" t="s">
        <v>149</v>
      </c>
      <c r="C18" s="238">
        <f>'Band Calculations 1617'!C17</f>
        <v>3</v>
      </c>
      <c r="D18" s="245">
        <f>'Funding Model'!$D$26</f>
        <v>280697.16623783787</v>
      </c>
      <c r="E18" s="245">
        <f>'Funding Model'!$E$26</f>
        <v>55663.058379368813</v>
      </c>
      <c r="F18" s="245">
        <v>233134</v>
      </c>
      <c r="G18" s="245"/>
      <c r="H18" s="245">
        <f>VLOOKUP(A18,'Band Calculations 1617'!$A$107:$W$125,6,FALSE)</f>
        <v>0</v>
      </c>
      <c r="I18" s="245">
        <f>VLOOKUP(A18,'Band Calculations 1617'!$A$107:$W$125,13,FALSE)</f>
        <v>568037.33600086882</v>
      </c>
      <c r="J18" s="245">
        <f>VLOOKUP(A18,'Band Calculations 1617'!$A$107:$W$125,20,FALSE)</f>
        <v>128019.40994869902</v>
      </c>
      <c r="K18" s="245">
        <f>VLOOKUP(A18,'FSM Calculation 1516'!$A$4:$D$21,4,FALSE)</f>
        <v>7144</v>
      </c>
      <c r="L18" s="245">
        <v>672.79653660865415</v>
      </c>
      <c r="M18" s="245">
        <f>SUM(D18:L18)</f>
        <v>1273367.7671033831</v>
      </c>
      <c r="N18" s="245">
        <f>M18-F18</f>
        <v>1040233.7671033831</v>
      </c>
      <c r="O18" s="246">
        <f>VLOOKUP(A18,'Band Calculations 1617'!$A$107:$W$125,22,FALSE)</f>
        <v>48.583333333333336</v>
      </c>
      <c r="P18" s="36"/>
      <c r="Q18" s="242">
        <f t="shared" si="3"/>
        <v>21411.329683088501</v>
      </c>
      <c r="R18" s="242">
        <f t="shared" si="4"/>
        <v>485833.33333333337</v>
      </c>
      <c r="S18" s="242">
        <f t="shared" si="5"/>
        <v>11411.329683088501</v>
      </c>
      <c r="T18" s="248">
        <f>VLOOKUP(A18,'2015-16 Funding Detail'!$A$4:$AA$23,27,FALSE)</f>
        <v>11536.412596744143</v>
      </c>
      <c r="U18" s="245">
        <f t="shared" si="13"/>
        <v>11536.412596744143</v>
      </c>
      <c r="V18" s="245">
        <f t="shared" si="6"/>
        <v>21536.412596744143</v>
      </c>
      <c r="W18" s="245">
        <f>(U18-S18)*O18</f>
        <v>6076.9448884366166</v>
      </c>
      <c r="X18" s="68">
        <f>N18+W18</f>
        <v>1046310.7119918197</v>
      </c>
      <c r="Y18" s="245">
        <f t="shared" si="8"/>
        <v>1030616.0513119424</v>
      </c>
      <c r="Z18" s="245">
        <f t="shared" si="14"/>
        <v>21213.366407792982</v>
      </c>
      <c r="AA18" s="245">
        <f t="shared" si="9"/>
        <v>11213.366407792982</v>
      </c>
      <c r="AB18" s="1026">
        <f t="shared" si="10"/>
        <v>709277.69083800435</v>
      </c>
      <c r="AC18" s="1026">
        <f t="shared" si="11"/>
        <v>14599.197753097858</v>
      </c>
      <c r="AD18" s="1026">
        <f t="shared" si="12"/>
        <v>14380.20978680139</v>
      </c>
      <c r="AE18" s="235"/>
      <c r="AF18" s="235" t="s">
        <v>206</v>
      </c>
      <c r="AG18" s="297" t="s">
        <v>207</v>
      </c>
      <c r="AH18" s="42"/>
      <c r="AI18" s="235"/>
      <c r="AJ18" s="235"/>
      <c r="AK18" s="235"/>
      <c r="AL18" s="235"/>
      <c r="AM18" s="235"/>
      <c r="AN18" s="235"/>
      <c r="AO18" s="42"/>
      <c r="AP18" s="235"/>
      <c r="AQ18" s="247"/>
    </row>
    <row r="19" spans="1:43" ht="13" x14ac:dyDescent="0.3">
      <c r="A19" s="244">
        <v>9257032</v>
      </c>
      <c r="B19" s="32" t="s">
        <v>150</v>
      </c>
      <c r="C19" s="238">
        <f>'Band Calculations 1617'!C18</f>
        <v>4</v>
      </c>
      <c r="D19" s="245">
        <f>'Funding Model'!$D$27</f>
        <v>360067.26321081078</v>
      </c>
      <c r="E19" s="245">
        <f>'Funding Model'!$E$27</f>
        <v>58044.118057617408</v>
      </c>
      <c r="F19" s="245">
        <v>206948</v>
      </c>
      <c r="G19" s="245"/>
      <c r="H19" s="245">
        <f>VLOOKUP(A19,'Band Calculations 1617'!$A$107:$W$125,6,FALSE)</f>
        <v>0</v>
      </c>
      <c r="I19" s="245">
        <f>VLOOKUP(A19,'Band Calculations 1617'!$A$107:$W$125,13,FALSE)</f>
        <v>701521.23828580719</v>
      </c>
      <c r="J19" s="245">
        <f>VLOOKUP(A19,'Band Calculations 1617'!$A$107:$W$125,20,FALSE)</f>
        <v>158102.87335002277</v>
      </c>
      <c r="K19" s="245">
        <f>VLOOKUP(A19,'FSM Calculation 1516'!$A$4:$D$21,4,FALSE)</f>
        <v>4911.5</v>
      </c>
      <c r="L19" s="245">
        <v>663.9515429017838</v>
      </c>
      <c r="M19" s="245">
        <f>SUM(D19:L19)</f>
        <v>1490258.94444716</v>
      </c>
      <c r="N19" s="245">
        <f>M19-F19</f>
        <v>1283310.94444716</v>
      </c>
      <c r="O19" s="246">
        <f>VLOOKUP(A19,'Band Calculations 1617'!$A$107:$W$125,22,FALSE)</f>
        <v>60</v>
      </c>
      <c r="P19" s="36"/>
      <c r="Q19" s="242">
        <f t="shared" si="3"/>
        <v>21388.515740785999</v>
      </c>
      <c r="R19" s="242">
        <f t="shared" si="4"/>
        <v>600000</v>
      </c>
      <c r="S19" s="242">
        <f t="shared" si="5"/>
        <v>11388.515740785999</v>
      </c>
      <c r="T19" s="245">
        <f>VLOOKUP(A19,'2015-16 Funding Detail'!$A$4:$AA$23,27,FALSE)</f>
        <v>11115.862325578873</v>
      </c>
      <c r="U19" s="245">
        <f t="shared" si="13"/>
        <v>11388.515740785999</v>
      </c>
      <c r="V19" s="245">
        <f t="shared" si="6"/>
        <v>21388.515740785999</v>
      </c>
      <c r="W19" s="245">
        <f>(U19-S19)*O19</f>
        <v>0</v>
      </c>
      <c r="X19" s="68">
        <f>N19+W19</f>
        <v>1283310.94444716</v>
      </c>
      <c r="Y19" s="245">
        <f t="shared" si="8"/>
        <v>1264061.2802804527</v>
      </c>
      <c r="Z19" s="245">
        <f t="shared" si="14"/>
        <v>21067.688004674212</v>
      </c>
      <c r="AA19" s="245">
        <f t="shared" si="9"/>
        <v>11067.688004674212</v>
      </c>
      <c r="AB19" s="1026">
        <f t="shared" si="10"/>
        <v>864535.61163583002</v>
      </c>
      <c r="AC19" s="1026">
        <f t="shared" si="11"/>
        <v>14408.926860597167</v>
      </c>
      <c r="AD19" s="1026">
        <f t="shared" si="12"/>
        <v>14192.792957688209</v>
      </c>
      <c r="AE19" s="235"/>
      <c r="AF19" s="235" t="s">
        <v>206</v>
      </c>
      <c r="AG19" s="297" t="s">
        <v>207</v>
      </c>
      <c r="AH19" s="42"/>
      <c r="AI19" s="235"/>
      <c r="AJ19" s="235"/>
      <c r="AK19" s="235"/>
      <c r="AL19" s="235"/>
      <c r="AM19" s="235"/>
      <c r="AN19" s="235"/>
      <c r="AO19" s="42"/>
      <c r="AP19" s="235"/>
      <c r="AQ19" s="247"/>
    </row>
    <row r="20" spans="1:43" ht="13" x14ac:dyDescent="0.3">
      <c r="A20" s="244">
        <v>9257030</v>
      </c>
      <c r="B20" s="32" t="s">
        <v>152</v>
      </c>
      <c r="C20" s="238">
        <f>'Band Calculations 1617'!C19</f>
        <v>4</v>
      </c>
      <c r="D20" s="245">
        <f>'Funding Model'!$D$27</f>
        <v>360067.26321081078</v>
      </c>
      <c r="E20" s="245">
        <f>'Funding Model'!$E$27</f>
        <v>58044.118057617408</v>
      </c>
      <c r="F20" s="245">
        <v>254108</v>
      </c>
      <c r="G20" s="245"/>
      <c r="H20" s="245">
        <f>VLOOKUP(A20,'Band Calculations 1617'!$A$107:$W$125,6,FALSE)</f>
        <v>0</v>
      </c>
      <c r="I20" s="245">
        <f>VLOOKUP(A20,'Band Calculations 1617'!$A$107:$W$125,13,FALSE)</f>
        <v>735622.96514692286</v>
      </c>
      <c r="J20" s="245">
        <f>VLOOKUP(A20,'Band Calculations 1617'!$A$107:$W$125,20,FALSE)</f>
        <v>165788.42969342667</v>
      </c>
      <c r="K20" s="245">
        <f>VLOOKUP(A20,'FSM Calculation 1516'!$A$4:$D$21,4,FALSE)</f>
        <v>12948.5</v>
      </c>
      <c r="L20" s="245">
        <v>652.15821795928991</v>
      </c>
      <c r="M20" s="245">
        <f>SUM(D20:L20)</f>
        <v>1587231.4343267372</v>
      </c>
      <c r="N20" s="245">
        <f>M20-F20</f>
        <v>1333123.4343267372</v>
      </c>
      <c r="O20" s="246">
        <f>VLOOKUP(A20,'Band Calculations 1617'!$A$107:$W$125,22,FALSE)</f>
        <v>62.916666666666671</v>
      </c>
      <c r="P20" s="36"/>
      <c r="Q20" s="242">
        <f t="shared" si="3"/>
        <v>21188.716836981253</v>
      </c>
      <c r="R20" s="242">
        <f t="shared" si="4"/>
        <v>629166.66666666674</v>
      </c>
      <c r="S20" s="242">
        <f t="shared" si="5"/>
        <v>11188.716836981253</v>
      </c>
      <c r="T20" s="248">
        <f>VLOOKUP(A20,'2015-16 Funding Detail'!$A$4:$AA$23,27,FALSE)</f>
        <v>11454.373012634154</v>
      </c>
      <c r="U20" s="245">
        <f t="shared" si="13"/>
        <v>11454.373012634154</v>
      </c>
      <c r="V20" s="245">
        <f t="shared" si="6"/>
        <v>21454.373012634154</v>
      </c>
      <c r="W20" s="245">
        <f>(U20-S20)*O20</f>
        <v>16714.201051495013</v>
      </c>
      <c r="X20" s="68">
        <f>N20+W20</f>
        <v>1349837.6353782322</v>
      </c>
      <c r="Y20" s="245">
        <f t="shared" si="8"/>
        <v>1329590.0708475588</v>
      </c>
      <c r="Z20" s="245">
        <f t="shared" si="14"/>
        <v>21132.557417444641</v>
      </c>
      <c r="AA20" s="245">
        <f t="shared" si="9"/>
        <v>11132.557417444641</v>
      </c>
      <c r="AB20" s="1026">
        <f t="shared" si="10"/>
        <v>931074.09589184471</v>
      </c>
      <c r="AC20" s="1026">
        <f t="shared" si="11"/>
        <v>14798.528676426669</v>
      </c>
      <c r="AD20" s="1026">
        <f t="shared" si="12"/>
        <v>14576.550746280269</v>
      </c>
      <c r="AE20" s="235"/>
      <c r="AF20" s="235" t="s">
        <v>206</v>
      </c>
      <c r="AG20" s="297" t="s">
        <v>207</v>
      </c>
      <c r="AH20" s="42"/>
      <c r="AI20" s="235"/>
      <c r="AJ20" s="235"/>
      <c r="AK20" s="235"/>
      <c r="AL20" s="235"/>
      <c r="AM20" s="235"/>
      <c r="AN20" s="235"/>
      <c r="AO20" s="42"/>
      <c r="AP20" s="235"/>
      <c r="AQ20" s="247"/>
    </row>
    <row r="21" spans="1:43" ht="13" x14ac:dyDescent="0.3">
      <c r="A21" s="244"/>
      <c r="B21" s="32"/>
      <c r="C21" s="238"/>
      <c r="D21" s="245"/>
      <c r="E21" s="245"/>
      <c r="F21" s="245"/>
      <c r="G21" s="245"/>
      <c r="H21" s="245"/>
      <c r="I21" s="245"/>
      <c r="J21" s="245"/>
      <c r="K21" s="245"/>
      <c r="L21" s="245"/>
      <c r="M21" s="245"/>
      <c r="N21" s="245"/>
      <c r="O21" s="246"/>
      <c r="P21" s="36"/>
      <c r="Q21" s="242"/>
      <c r="R21" s="242"/>
      <c r="S21" s="242"/>
      <c r="T21" s="245"/>
      <c r="U21" s="245"/>
      <c r="V21" s="245"/>
      <c r="W21" s="245"/>
      <c r="X21" s="68"/>
      <c r="Y21" s="245"/>
      <c r="Z21" s="245"/>
      <c r="AA21" s="245"/>
      <c r="AB21" s="235"/>
      <c r="AC21" s="235"/>
      <c r="AD21" s="235"/>
      <c r="AE21" s="235"/>
      <c r="AF21" s="234"/>
      <c r="AG21" s="297"/>
      <c r="AH21" s="42"/>
      <c r="AI21" s="235"/>
      <c r="AJ21" s="235"/>
      <c r="AK21" s="235"/>
      <c r="AL21" s="235"/>
      <c r="AM21" s="235"/>
      <c r="AN21" s="235"/>
      <c r="AO21" s="42"/>
      <c r="AP21" s="235"/>
      <c r="AQ21" s="247"/>
    </row>
    <row r="22" spans="1:43" ht="13" x14ac:dyDescent="0.3">
      <c r="A22" s="244">
        <v>9257033</v>
      </c>
      <c r="B22" s="237" t="s">
        <v>220</v>
      </c>
      <c r="C22" s="238">
        <f>'Band Calculations 1617'!C12</f>
        <v>3</v>
      </c>
      <c r="D22" s="245">
        <f>'Funding Model'!$D$22</f>
        <v>314686.51772419503</v>
      </c>
      <c r="E22" s="245">
        <f>'Funding Model'!$E$22</f>
        <v>69201.680689977453</v>
      </c>
      <c r="F22" s="245"/>
      <c r="G22" s="245"/>
      <c r="H22" s="245">
        <f>VLOOKUP(A22,'Band Calculations 1617'!$A$107:$W$125,6,FALSE)</f>
        <v>37262.62377713446</v>
      </c>
      <c r="I22" s="245">
        <f>VLOOKUP(A22,'Band Calculations 1617'!$A$107:$W$125,13,FALSE)</f>
        <v>483668.85662720527</v>
      </c>
      <c r="J22" s="245">
        <f>VLOOKUP(A22,'Band Calculations 1617'!$A$107:$W$125,20,FALSE)</f>
        <v>53024.350024284162</v>
      </c>
      <c r="K22" s="245">
        <f>VLOOKUP(A22,'FSM Calculation 1516'!$A$4:$D$21,4,FALSE)</f>
        <v>11609</v>
      </c>
      <c r="L22" s="245">
        <v>666.89987413740721</v>
      </c>
      <c r="M22" s="245">
        <f>SUM(D22:L22)</f>
        <v>970119.92871693382</v>
      </c>
      <c r="N22" s="245">
        <f>M22-F22</f>
        <v>970119.92871693382</v>
      </c>
      <c r="O22" s="246">
        <f>VLOOKUP(A22,'Band Calculations 1617'!$A$107:$W$125,22,FALSE)</f>
        <v>58.25</v>
      </c>
      <c r="P22" s="36"/>
      <c r="Q22" s="242">
        <f t="shared" si="3"/>
        <v>16654.419377114744</v>
      </c>
      <c r="R22" s="242">
        <f t="shared" si="4"/>
        <v>582500</v>
      </c>
      <c r="S22" s="242">
        <f t="shared" si="5"/>
        <v>6654.4193771147438</v>
      </c>
      <c r="T22" s="245">
        <f>VLOOKUP(A22,'2015-16 Funding Detail'!$A$4:$AA$23,27,FALSE)</f>
        <v>6209.2131395554534</v>
      </c>
      <c r="U22" s="245">
        <f t="shared" si="13"/>
        <v>6654.4193771147438</v>
      </c>
      <c r="V22" s="245">
        <f t="shared" si="6"/>
        <v>16654.419377114744</v>
      </c>
      <c r="W22" s="245">
        <f>(U22-S22)*O22</f>
        <v>0</v>
      </c>
      <c r="X22" s="68">
        <f>N22+W22</f>
        <v>970119.92871693382</v>
      </c>
      <c r="Y22" s="245">
        <f t="shared" si="8"/>
        <v>955568.12978617975</v>
      </c>
      <c r="Z22" s="245">
        <f t="shared" si="14"/>
        <v>16404.603086458021</v>
      </c>
      <c r="AA22" s="245">
        <f t="shared" si="9"/>
        <v>6404.6030864580207</v>
      </c>
      <c r="AB22" s="1026">
        <f>X22-D22-E22-L22</f>
        <v>585564.83042862394</v>
      </c>
      <c r="AC22" s="1026">
        <f t="shared" si="11"/>
        <v>10052.615114654489</v>
      </c>
      <c r="AD22" s="1026">
        <f t="shared" si="12"/>
        <v>9901.8258879346722</v>
      </c>
      <c r="AE22" s="235"/>
      <c r="AF22" s="235" t="s">
        <v>206</v>
      </c>
      <c r="AG22" s="297" t="s">
        <v>207</v>
      </c>
      <c r="AH22" s="42"/>
      <c r="AI22" s="235"/>
      <c r="AJ22" s="235"/>
      <c r="AK22" s="235"/>
      <c r="AL22" s="235"/>
      <c r="AM22" s="235"/>
      <c r="AN22" s="235"/>
      <c r="AO22" s="42"/>
      <c r="AP22" s="235"/>
      <c r="AQ22" s="247"/>
    </row>
    <row r="23" spans="1:43" ht="13" x14ac:dyDescent="0.3">
      <c r="A23" s="244">
        <v>9257034</v>
      </c>
      <c r="B23" s="237" t="s">
        <v>221</v>
      </c>
      <c r="C23" s="238">
        <f>'Band Calculations 1617'!C14</f>
        <v>5</v>
      </c>
      <c r="D23" s="245">
        <f>'Funding Model'!D24</f>
        <v>418723.18610831723</v>
      </c>
      <c r="E23" s="245">
        <f>'Funding Model'!E24</f>
        <v>117027.3922528728</v>
      </c>
      <c r="F23" s="245"/>
      <c r="G23" s="245"/>
      <c r="H23" s="245">
        <f>VLOOKUP(A23,'Band Calculations 1617'!$A$107:$W$125,6,FALSE)</f>
        <v>0</v>
      </c>
      <c r="I23" s="245">
        <f>VLOOKUP(A23,'Band Calculations 1617'!$A$107:$W$125,13,FALSE)</f>
        <v>1005620.2632523221</v>
      </c>
      <c r="J23" s="245">
        <f>VLOOKUP(A23,'Band Calculations 1617'!$A$107:$W$125,20,FALSE)</f>
        <v>66623.139937916421</v>
      </c>
      <c r="K23" s="245">
        <f>VLOOKUP(A23,'FSM Calculation 1516'!$A$4:$D$21,4,FALSE)</f>
        <v>18306.5</v>
      </c>
      <c r="L23" s="245">
        <v>811.36810468295653</v>
      </c>
      <c r="M23" s="245">
        <f>SUM(D23:L23)</f>
        <v>1627111.8496561113</v>
      </c>
      <c r="N23" s="245">
        <f>M23-F23</f>
        <v>1627111.8496561113</v>
      </c>
      <c r="O23" s="246">
        <f>VLOOKUP(A23,'Band Calculations 1617'!$A$107:$W$125,22,FALSE)</f>
        <v>123.5</v>
      </c>
      <c r="P23" s="36"/>
      <c r="Q23" s="242">
        <f t="shared" si="3"/>
        <v>13174.994734057582</v>
      </c>
      <c r="R23" s="242">
        <f t="shared" si="4"/>
        <v>1235000</v>
      </c>
      <c r="S23" s="242">
        <f t="shared" si="5"/>
        <v>3174.9947340575818</v>
      </c>
      <c r="T23" s="245">
        <f>VLOOKUP(A23,'2015-16 Funding Detail'!$A$4:$AA$23,27,FALSE)</f>
        <v>2921.3738850332174</v>
      </c>
      <c r="U23" s="245">
        <f t="shared" si="13"/>
        <v>3174.9947340575818</v>
      </c>
      <c r="V23" s="245">
        <f t="shared" si="6"/>
        <v>13174.994734057582</v>
      </c>
      <c r="W23" s="245">
        <f>(U23-S23)*O23</f>
        <v>0</v>
      </c>
      <c r="X23" s="68">
        <f>N23+W23</f>
        <v>1627111.8496561113</v>
      </c>
      <c r="Y23" s="245">
        <f t="shared" si="8"/>
        <v>1602705.1719112697</v>
      </c>
      <c r="Z23" s="245">
        <f t="shared" si="14"/>
        <v>12977.369813046718</v>
      </c>
      <c r="AA23" s="245">
        <f t="shared" si="9"/>
        <v>2977.3698130467183</v>
      </c>
      <c r="AB23" s="1026">
        <f t="shared" si="10"/>
        <v>1090549.9031902384</v>
      </c>
      <c r="AC23" s="1026">
        <f t="shared" si="11"/>
        <v>8830.3635885849271</v>
      </c>
      <c r="AD23" s="1026">
        <f t="shared" si="12"/>
        <v>8697.9081347561532</v>
      </c>
      <c r="AE23" s="235"/>
      <c r="AF23" s="235" t="s">
        <v>206</v>
      </c>
      <c r="AG23" s="297" t="s">
        <v>207</v>
      </c>
      <c r="AH23" s="42"/>
      <c r="AI23" s="235"/>
      <c r="AJ23" s="235"/>
      <c r="AK23" s="235"/>
      <c r="AL23" s="235"/>
      <c r="AM23" s="235"/>
      <c r="AN23" s="235"/>
      <c r="AO23" s="42"/>
      <c r="AP23" s="235"/>
      <c r="AQ23" s="247"/>
    </row>
    <row r="24" spans="1:43" x14ac:dyDescent="0.25">
      <c r="A24" s="249"/>
      <c r="B24" s="36"/>
      <c r="C24" s="234"/>
      <c r="D24" s="235"/>
      <c r="E24" s="235"/>
      <c r="F24" s="235"/>
      <c r="G24" s="235"/>
      <c r="H24" s="235"/>
      <c r="I24" s="235"/>
      <c r="J24" s="235"/>
      <c r="K24" s="235"/>
      <c r="L24" s="235"/>
      <c r="M24" s="234"/>
      <c r="N24" s="36"/>
      <c r="O24" s="234"/>
      <c r="P24" s="36"/>
      <c r="Q24" s="235"/>
      <c r="R24" s="234"/>
      <c r="S24" s="234"/>
      <c r="T24" s="36"/>
      <c r="U24" s="36"/>
      <c r="V24" s="234"/>
      <c r="W24" s="234"/>
      <c r="X24" s="234"/>
      <c r="Y24" s="234"/>
      <c r="Z24" s="234"/>
      <c r="AA24" s="234"/>
      <c r="AB24" s="234"/>
      <c r="AC24" s="234"/>
      <c r="AD24" s="234"/>
      <c r="AE24" s="234"/>
      <c r="AF24" s="36"/>
      <c r="AG24" s="36"/>
      <c r="AH24" s="36"/>
      <c r="AI24" s="36"/>
      <c r="AJ24" s="36"/>
      <c r="AK24" s="36"/>
      <c r="AL24" s="36"/>
      <c r="AM24" s="36"/>
      <c r="AN24" s="36"/>
      <c r="AO24" s="36"/>
      <c r="AP24" s="36"/>
      <c r="AQ24" s="36"/>
    </row>
    <row r="25" spans="1:43" ht="13.5" customHeight="1" thickBot="1" x14ac:dyDescent="0.3">
      <c r="A25" s="249"/>
      <c r="B25" s="36"/>
      <c r="C25" s="36"/>
      <c r="D25" s="250">
        <f t="shared" ref="D25:M25" si="15">SUM(D4:D23)</f>
        <v>6996194.5795996506</v>
      </c>
      <c r="E25" s="250">
        <f t="shared" si="15"/>
        <v>1612903.0400452181</v>
      </c>
      <c r="F25" s="250">
        <f t="shared" si="15"/>
        <v>859007</v>
      </c>
      <c r="G25" s="250">
        <f t="shared" si="15"/>
        <v>41787</v>
      </c>
      <c r="H25" s="250">
        <f t="shared" si="15"/>
        <v>159453.09237188773</v>
      </c>
      <c r="I25" s="250">
        <f t="shared" si="15"/>
        <v>14648032.964028228</v>
      </c>
      <c r="J25" s="250">
        <f t="shared" si="15"/>
        <v>1143640.3835472902</v>
      </c>
      <c r="K25" s="250">
        <f t="shared" si="15"/>
        <v>255844.5</v>
      </c>
      <c r="L25" s="250">
        <f t="shared" si="15"/>
        <v>13304.411809383275</v>
      </c>
      <c r="M25" s="250">
        <f t="shared" si="15"/>
        <v>25730166.971401658</v>
      </c>
      <c r="N25" s="250">
        <f>SUM(N4:N23)</f>
        <v>24829372.971401658</v>
      </c>
      <c r="O25" s="251">
        <f>SUM(O4:O23)</f>
        <v>1685.75</v>
      </c>
      <c r="P25" s="36"/>
      <c r="Q25" s="235"/>
      <c r="R25" s="235"/>
      <c r="S25" s="249"/>
      <c r="T25" s="36"/>
      <c r="U25" s="36"/>
      <c r="V25" s="234"/>
      <c r="W25" s="250">
        <f>SUM(W4:W23)</f>
        <v>364623.53275131108</v>
      </c>
      <c r="X25" s="250">
        <f>SUM(X4:X23)</f>
        <v>25193996.504152969</v>
      </c>
      <c r="Y25" s="235"/>
      <c r="Z25" s="235"/>
      <c r="AA25" s="235"/>
      <c r="AB25" s="235"/>
      <c r="AC25" s="235"/>
      <c r="AD25" s="235"/>
      <c r="AE25" s="235"/>
      <c r="AF25" s="36"/>
      <c r="AG25" s="36"/>
      <c r="AH25" s="36"/>
      <c r="AI25" s="36"/>
      <c r="AJ25" s="36"/>
      <c r="AK25" s="36"/>
      <c r="AL25" s="36"/>
      <c r="AM25" s="36"/>
      <c r="AN25" s="36"/>
      <c r="AO25" s="36"/>
      <c r="AP25" s="235"/>
      <c r="AQ25" s="36"/>
    </row>
    <row r="26" spans="1:43" x14ac:dyDescent="0.25">
      <c r="A26" s="249"/>
      <c r="B26" s="36"/>
      <c r="C26" s="36"/>
      <c r="D26" s="234"/>
      <c r="E26" s="234"/>
      <c r="F26" s="234"/>
      <c r="G26" s="234"/>
      <c r="H26" s="234"/>
      <c r="I26" s="36"/>
      <c r="J26" s="36"/>
      <c r="K26" s="36"/>
      <c r="L26" s="36"/>
      <c r="M26" s="234"/>
      <c r="N26" s="252"/>
      <c r="O26" s="252"/>
      <c r="P26" s="36"/>
      <c r="Q26" s="235"/>
      <c r="R26" s="235"/>
      <c r="S26" s="249"/>
      <c r="T26" s="36"/>
      <c r="U26" s="36"/>
      <c r="V26" s="234"/>
      <c r="W26" s="234"/>
      <c r="X26" s="234"/>
      <c r="Y26" s="234"/>
      <c r="Z26" s="234"/>
      <c r="AA26" s="234"/>
      <c r="AB26" s="234"/>
      <c r="AC26" s="234"/>
      <c r="AD26" s="234"/>
      <c r="AE26" s="234"/>
      <c r="AF26" s="36"/>
      <c r="AG26" s="36"/>
      <c r="AH26" s="36"/>
      <c r="AI26" s="36"/>
      <c r="AJ26" s="36"/>
      <c r="AK26" s="36"/>
      <c r="AL26" s="36"/>
      <c r="AM26" s="36"/>
      <c r="AN26" s="36"/>
      <c r="AO26" s="36"/>
      <c r="AP26" s="235"/>
      <c r="AQ26" s="36"/>
    </row>
    <row r="27" spans="1:43" x14ac:dyDescent="0.25">
      <c r="A27" s="36"/>
      <c r="B27" s="234"/>
      <c r="C27" s="234" t="s">
        <v>207</v>
      </c>
      <c r="D27" s="235" t="s">
        <v>207</v>
      </c>
      <c r="E27" s="235" t="s">
        <v>207</v>
      </c>
      <c r="F27" s="235" t="s">
        <v>207</v>
      </c>
      <c r="G27" s="235" t="s">
        <v>207</v>
      </c>
      <c r="H27" s="235" t="s">
        <v>207</v>
      </c>
      <c r="I27" s="235" t="s">
        <v>207</v>
      </c>
      <c r="J27" s="235" t="s">
        <v>207</v>
      </c>
      <c r="K27" s="235" t="s">
        <v>207</v>
      </c>
      <c r="L27" s="235" t="s">
        <v>207</v>
      </c>
      <c r="M27" s="235" t="s">
        <v>207</v>
      </c>
      <c r="N27" s="235" t="s">
        <v>207</v>
      </c>
      <c r="O27" s="253" t="s">
        <v>207</v>
      </c>
      <c r="P27" s="36"/>
      <c r="Q27" s="235" t="s">
        <v>207</v>
      </c>
      <c r="R27" s="234" t="s">
        <v>207</v>
      </c>
      <c r="S27" s="234" t="s">
        <v>207</v>
      </c>
      <c r="T27" s="234" t="s">
        <v>207</v>
      </c>
      <c r="U27" s="234" t="s">
        <v>207</v>
      </c>
      <c r="V27" s="234" t="s">
        <v>207</v>
      </c>
      <c r="W27" s="234"/>
      <c r="X27" s="234" t="s">
        <v>207</v>
      </c>
      <c r="Y27" s="234"/>
      <c r="Z27" s="234"/>
      <c r="AA27" s="234"/>
      <c r="AB27" s="234"/>
      <c r="AC27" s="234"/>
      <c r="AD27" s="234"/>
      <c r="AE27" s="234"/>
      <c r="AF27" s="36"/>
      <c r="AG27" s="36"/>
      <c r="AH27" s="36"/>
      <c r="AI27" s="36"/>
      <c r="AJ27" s="36"/>
      <c r="AK27" s="36"/>
      <c r="AL27" s="36"/>
      <c r="AM27" s="36"/>
      <c r="AN27" s="36"/>
      <c r="AO27" s="36"/>
      <c r="AP27" s="235"/>
      <c r="AQ27" s="36"/>
    </row>
    <row r="28" spans="1:43" x14ac:dyDescent="0.25">
      <c r="A28" s="36"/>
      <c r="B28" s="234"/>
      <c r="C28" s="36"/>
      <c r="D28" s="234"/>
      <c r="E28" s="234"/>
      <c r="F28" s="234"/>
      <c r="G28" s="234"/>
      <c r="H28" s="234"/>
      <c r="I28" s="36"/>
      <c r="J28" s="36"/>
      <c r="K28" s="36"/>
      <c r="L28" s="36"/>
      <c r="M28" s="234"/>
      <c r="N28" s="36"/>
      <c r="O28" s="253"/>
      <c r="P28" s="36"/>
      <c r="Q28" s="235"/>
      <c r="R28" s="234"/>
      <c r="S28" s="234"/>
      <c r="T28" s="234"/>
      <c r="U28" s="36"/>
      <c r="V28" s="234"/>
      <c r="W28" s="234"/>
      <c r="X28" s="234"/>
      <c r="Y28" s="234"/>
      <c r="Z28" s="234"/>
      <c r="AA28" s="234"/>
      <c r="AB28" s="234"/>
      <c r="AC28" s="234"/>
      <c r="AD28" s="234"/>
      <c r="AE28" s="234"/>
      <c r="AF28" s="36"/>
      <c r="AG28" s="36"/>
      <c r="AH28" s="36"/>
      <c r="AI28" s="36"/>
      <c r="AJ28" s="36"/>
      <c r="AK28" s="36"/>
      <c r="AL28" s="36"/>
      <c r="AM28" s="36"/>
      <c r="AN28" s="36"/>
      <c r="AO28" s="36"/>
      <c r="AP28" s="235"/>
      <c r="AQ28" s="36"/>
    </row>
    <row r="29" spans="1:43" x14ac:dyDescent="0.25">
      <c r="A29" s="36"/>
      <c r="B29" s="234"/>
      <c r="C29" s="36"/>
      <c r="D29" s="235"/>
      <c r="E29" s="235"/>
      <c r="F29" s="235"/>
      <c r="G29" s="235"/>
      <c r="H29" s="235"/>
      <c r="I29" s="235"/>
      <c r="J29" s="235"/>
      <c r="K29" s="235"/>
      <c r="L29" s="235"/>
      <c r="M29" s="235"/>
      <c r="N29" s="235"/>
      <c r="O29" s="253"/>
      <c r="P29" s="235">
        <f>P25-P27</f>
        <v>0</v>
      </c>
      <c r="Q29" s="235"/>
      <c r="R29" s="234"/>
      <c r="S29" s="234"/>
      <c r="T29" s="36"/>
      <c r="U29" s="36"/>
      <c r="V29" s="234"/>
      <c r="W29" s="234"/>
      <c r="X29" s="234"/>
      <c r="Y29" s="234"/>
      <c r="Z29" s="234"/>
      <c r="AA29" s="234"/>
      <c r="AB29" s="234"/>
      <c r="AC29" s="234"/>
      <c r="AD29" s="234"/>
      <c r="AE29" s="234"/>
      <c r="AF29" s="36"/>
      <c r="AG29" s="36"/>
      <c r="AH29" s="36"/>
      <c r="AI29" s="36"/>
      <c r="AJ29" s="36"/>
      <c r="AK29" s="36"/>
      <c r="AL29" s="36"/>
      <c r="AM29" s="36"/>
      <c r="AN29" s="36"/>
      <c r="AO29" s="36"/>
      <c r="AP29" s="235"/>
      <c r="AQ29" s="36"/>
    </row>
    <row r="30" spans="1:43" x14ac:dyDescent="0.25">
      <c r="A30" s="234"/>
      <c r="B30" s="234" t="s">
        <v>222</v>
      </c>
      <c r="C30" s="36"/>
      <c r="D30" s="235">
        <f>'2015-16 Funding Detail'!D25</f>
        <v>6786869.0829512719</v>
      </c>
      <c r="E30" s="235">
        <f>'2015-16 Funding Detail'!E25</f>
        <v>1506222.8593246257</v>
      </c>
      <c r="F30" s="235">
        <f>'2015-16 Funding Detail'!F25</f>
        <v>850820</v>
      </c>
      <c r="G30" s="235">
        <f>'2015-16 Funding Detail'!G25</f>
        <v>29207</v>
      </c>
      <c r="H30" s="235">
        <f>'2015-16 Funding Detail'!H25</f>
        <v>433809.13836269296</v>
      </c>
      <c r="I30" s="235">
        <f>'2015-16 Funding Detail'!I25</f>
        <v>14100634.57439534</v>
      </c>
      <c r="J30" s="235">
        <f>'2015-16 Funding Detail'!J25</f>
        <v>1136452.9516791939</v>
      </c>
      <c r="K30" s="235">
        <f>'2015-16 Funding Detail'!K25</f>
        <v>255844.5</v>
      </c>
      <c r="L30" s="235">
        <f>'2015-16 Funding Detail'!L25</f>
        <v>13304.411809383275</v>
      </c>
      <c r="M30" s="235">
        <f>'2015-16 Funding Detail'!M25</f>
        <v>25113164.518522505</v>
      </c>
      <c r="N30" s="36"/>
      <c r="O30" s="253"/>
      <c r="P30" s="36"/>
      <c r="Q30" s="235"/>
      <c r="R30" s="234"/>
      <c r="S30" s="234"/>
      <c r="T30" s="36"/>
      <c r="U30" s="36"/>
      <c r="V30" s="234"/>
      <c r="W30" s="235">
        <f>'2015-16 Funding Detail'!W25</f>
        <v>486096.01138807379</v>
      </c>
      <c r="X30" s="235">
        <f>'2015-16 Funding Detail'!X25</f>
        <v>24719233.529910587</v>
      </c>
      <c r="Y30" s="235"/>
      <c r="Z30" s="235"/>
      <c r="AA30" s="235"/>
      <c r="AB30" s="235"/>
      <c r="AC30" s="235"/>
      <c r="AD30" s="235"/>
      <c r="AE30" s="235"/>
      <c r="AF30" s="36"/>
      <c r="AG30" s="36"/>
      <c r="AH30" s="36"/>
      <c r="AI30" s="36"/>
      <c r="AJ30" s="36"/>
      <c r="AK30" s="36"/>
      <c r="AL30" s="36"/>
      <c r="AM30" s="36"/>
      <c r="AN30" s="36"/>
      <c r="AO30" s="36"/>
      <c r="AP30" s="36"/>
      <c r="AQ30" s="36"/>
    </row>
    <row r="31" spans="1:43" x14ac:dyDescent="0.25">
      <c r="A31" s="36"/>
      <c r="B31" s="234"/>
      <c r="C31" s="36"/>
      <c r="D31" s="235"/>
      <c r="E31" s="235"/>
      <c r="F31" s="235"/>
      <c r="G31" s="234"/>
      <c r="H31" s="234"/>
      <c r="I31" s="234"/>
      <c r="J31" s="234"/>
      <c r="K31" s="234"/>
      <c r="L31" s="234"/>
      <c r="M31" s="234"/>
      <c r="N31" s="234"/>
      <c r="O31" s="234"/>
      <c r="P31" s="36"/>
      <c r="Q31" s="235"/>
      <c r="R31" s="234"/>
      <c r="S31" s="234"/>
      <c r="T31" s="36"/>
      <c r="U31" s="36"/>
      <c r="V31" s="234"/>
      <c r="W31" s="234"/>
      <c r="X31" s="234"/>
      <c r="Y31" s="234"/>
      <c r="Z31" s="234"/>
      <c r="AA31" s="234"/>
      <c r="AB31" s="234"/>
      <c r="AC31" s="234"/>
      <c r="AD31" s="234"/>
      <c r="AE31" s="234"/>
      <c r="AF31" s="36"/>
      <c r="AG31" s="36"/>
      <c r="AH31" s="36"/>
      <c r="AI31" s="36"/>
      <c r="AJ31" s="36"/>
      <c r="AK31" s="36"/>
      <c r="AL31" s="36"/>
      <c r="AM31" s="36"/>
      <c r="AN31" s="36"/>
      <c r="AO31" s="36"/>
      <c r="AP31" s="234"/>
      <c r="AQ31" s="36"/>
    </row>
    <row r="32" spans="1:43" x14ac:dyDescent="0.25">
      <c r="A32" s="36"/>
      <c r="B32" s="234" t="s">
        <v>19</v>
      </c>
      <c r="C32" s="36"/>
      <c r="D32" s="235">
        <f>D25-D30</f>
        <v>209325.49664837867</v>
      </c>
      <c r="E32" s="235">
        <f>E25-E30</f>
        <v>106680.18072059238</v>
      </c>
      <c r="F32" s="235">
        <f t="shared" ref="F32:M32" si="16">F25-F30</f>
        <v>8187</v>
      </c>
      <c r="G32" s="235">
        <f t="shared" si="16"/>
        <v>12580</v>
      </c>
      <c r="H32" s="235">
        <f t="shared" si="16"/>
        <v>-274356.04599080526</v>
      </c>
      <c r="I32" s="235">
        <f t="shared" si="16"/>
        <v>547398.38963288814</v>
      </c>
      <c r="J32" s="235">
        <f t="shared" si="16"/>
        <v>7187.4318680963479</v>
      </c>
      <c r="K32" s="235">
        <f t="shared" si="16"/>
        <v>0</v>
      </c>
      <c r="L32" s="235">
        <f t="shared" si="16"/>
        <v>0</v>
      </c>
      <c r="M32" s="235">
        <f t="shared" si="16"/>
        <v>617002.45287915319</v>
      </c>
      <c r="N32" s="234"/>
      <c r="O32" s="234"/>
      <c r="P32" s="36"/>
      <c r="Q32" s="235"/>
      <c r="R32" s="234"/>
      <c r="S32" s="234"/>
      <c r="T32" s="36"/>
      <c r="U32" s="36"/>
      <c r="V32" s="234" t="s">
        <v>223</v>
      </c>
      <c r="W32" s="235">
        <f>W25-W30</f>
        <v>-121472.47863676271</v>
      </c>
      <c r="X32" s="235">
        <f>X25-X30</f>
        <v>474762.97424238175</v>
      </c>
      <c r="Y32" s="235"/>
      <c r="Z32" s="235"/>
      <c r="AA32" s="235"/>
      <c r="AB32" s="235"/>
      <c r="AC32" s="235"/>
      <c r="AD32" s="235"/>
      <c r="AE32" s="235"/>
      <c r="AF32" s="36"/>
      <c r="AG32" s="36"/>
      <c r="AH32" s="36"/>
      <c r="AI32" s="36"/>
      <c r="AJ32" s="36"/>
      <c r="AK32" s="36"/>
      <c r="AL32" s="36"/>
      <c r="AM32" s="36"/>
      <c r="AN32" s="36"/>
      <c r="AO32" s="36"/>
      <c r="AP32" s="36"/>
      <c r="AQ32" s="36"/>
    </row>
    <row r="33" spans="2:31" x14ac:dyDescent="0.25">
      <c r="B33" s="234"/>
      <c r="C33" s="36"/>
      <c r="D33" s="1439"/>
      <c r="E33" s="1439"/>
      <c r="F33" s="234"/>
      <c r="G33" s="234"/>
      <c r="H33" s="234"/>
      <c r="I33" s="36"/>
      <c r="J33" s="243"/>
      <c r="K33" s="36"/>
      <c r="L33" s="234"/>
      <c r="M33" s="234"/>
      <c r="N33" s="36"/>
      <c r="O33" s="234"/>
      <c r="P33" s="36"/>
      <c r="Q33" s="235"/>
      <c r="R33" s="234"/>
      <c r="S33" s="234"/>
      <c r="T33" s="36"/>
      <c r="U33" s="36"/>
      <c r="V33" s="234"/>
      <c r="W33" s="234" t="s">
        <v>207</v>
      </c>
      <c r="X33" s="234"/>
      <c r="Y33" s="234"/>
      <c r="Z33" s="234"/>
      <c r="AA33" s="234"/>
      <c r="AB33" s="234"/>
      <c r="AC33" s="234"/>
      <c r="AD33" s="234"/>
      <c r="AE33" s="234"/>
    </row>
    <row r="34" spans="2:31" x14ac:dyDescent="0.25">
      <c r="B34" s="234" t="s">
        <v>224</v>
      </c>
      <c r="C34" s="36"/>
      <c r="D34" s="298" t="s">
        <v>207</v>
      </c>
      <c r="E34" s="298" t="s">
        <v>207</v>
      </c>
      <c r="F34" s="298" t="s">
        <v>207</v>
      </c>
      <c r="G34" s="298" t="s">
        <v>207</v>
      </c>
      <c r="H34" s="298" t="s">
        <v>207</v>
      </c>
      <c r="I34" s="298" t="s">
        <v>207</v>
      </c>
      <c r="J34" s="298" t="s">
        <v>207</v>
      </c>
      <c r="K34" s="298" t="s">
        <v>225</v>
      </c>
      <c r="L34" s="298" t="s">
        <v>207</v>
      </c>
      <c r="M34" s="298" t="s">
        <v>207</v>
      </c>
      <c r="N34" s="298" t="s">
        <v>207</v>
      </c>
      <c r="O34" s="298" t="s">
        <v>207</v>
      </c>
      <c r="P34" s="298"/>
      <c r="Q34" s="298" t="s">
        <v>207</v>
      </c>
      <c r="R34" s="298" t="s">
        <v>207</v>
      </c>
      <c r="S34" s="298" t="s">
        <v>207</v>
      </c>
      <c r="T34" s="298" t="s">
        <v>207</v>
      </c>
      <c r="U34" s="298" t="s">
        <v>207</v>
      </c>
      <c r="V34" s="298" t="s">
        <v>207</v>
      </c>
      <c r="W34" s="298" t="s">
        <v>207</v>
      </c>
      <c r="X34" s="298" t="s">
        <v>207</v>
      </c>
      <c r="Y34" s="298"/>
      <c r="Z34" s="298"/>
      <c r="AA34" s="298"/>
      <c r="AB34" s="298"/>
      <c r="AC34" s="298"/>
      <c r="AD34" s="298"/>
      <c r="AE34" s="298"/>
    </row>
    <row r="36" spans="2:31" ht="13" thickBot="1" x14ac:dyDescent="0.3">
      <c r="B36" s="36"/>
      <c r="C36" s="36"/>
      <c r="D36" s="234"/>
      <c r="E36" s="234"/>
      <c r="F36" s="234"/>
      <c r="G36" s="234"/>
      <c r="H36" s="1168"/>
      <c r="I36" s="1169"/>
      <c r="J36" s="1169"/>
      <c r="K36" s="36"/>
      <c r="L36" s="36"/>
      <c r="M36" s="234"/>
      <c r="N36" s="36"/>
      <c r="O36" s="234"/>
      <c r="P36" s="36"/>
      <c r="Q36" s="235"/>
      <c r="R36" s="234"/>
      <c r="S36" s="234"/>
      <c r="T36" s="36"/>
      <c r="U36" s="36"/>
      <c r="V36" s="234"/>
      <c r="W36" s="234"/>
      <c r="X36" s="234"/>
      <c r="Y36" s="234"/>
      <c r="Z36" s="234"/>
      <c r="AA36" s="234"/>
      <c r="AB36" s="234"/>
      <c r="AC36" s="234"/>
      <c r="AD36" s="234"/>
      <c r="AE36" s="234"/>
    </row>
    <row r="38" spans="2:31" x14ac:dyDescent="0.25">
      <c r="B38" s="36"/>
      <c r="C38" s="36"/>
      <c r="D38" s="234"/>
      <c r="E38" s="234"/>
      <c r="F38" s="234"/>
      <c r="G38" s="234"/>
      <c r="H38" s="304" t="s">
        <v>226</v>
      </c>
      <c r="I38" s="297">
        <f>SUM(H32:J32)</f>
        <v>280229.77551017923</v>
      </c>
      <c r="J38" s="296"/>
      <c r="K38" s="36"/>
      <c r="L38" s="36"/>
      <c r="M38" s="234"/>
      <c r="N38" s="36"/>
      <c r="O38" s="234"/>
      <c r="P38" s="36"/>
      <c r="Q38" s="235"/>
      <c r="R38" s="234"/>
      <c r="S38" s="234"/>
      <c r="T38" s="36"/>
      <c r="U38" s="36"/>
      <c r="V38" s="234"/>
      <c r="W38" s="234"/>
      <c r="X38" s="234"/>
      <c r="Y38" s="234"/>
      <c r="Z38" s="234"/>
      <c r="AA38" s="234"/>
      <c r="AB38" s="234"/>
      <c r="AC38" s="234"/>
      <c r="AD38" s="234"/>
      <c r="AE38" s="234"/>
    </row>
    <row r="39" spans="2:31" x14ac:dyDescent="0.25">
      <c r="B39" s="36"/>
      <c r="C39" s="36"/>
      <c r="D39" s="234"/>
      <c r="E39" s="234"/>
      <c r="F39" s="234"/>
      <c r="G39" s="234"/>
      <c r="H39" s="304"/>
      <c r="I39" s="296"/>
      <c r="J39" s="296"/>
      <c r="K39" s="36"/>
      <c r="L39" s="36"/>
      <c r="M39" s="234"/>
      <c r="N39" s="36"/>
      <c r="O39" s="234"/>
      <c r="P39" s="36"/>
      <c r="Q39" s="235"/>
      <c r="R39" s="234"/>
      <c r="S39" s="234"/>
      <c r="T39" s="36"/>
      <c r="U39" s="36"/>
      <c r="V39" s="234"/>
      <c r="W39" s="234"/>
      <c r="X39" s="234"/>
      <c r="Y39" s="234"/>
      <c r="Z39" s="234"/>
      <c r="AA39" s="234"/>
      <c r="AB39" s="234"/>
      <c r="AC39" s="234"/>
      <c r="AD39" s="234"/>
      <c r="AE39" s="234"/>
    </row>
    <row r="40" spans="2:31" x14ac:dyDescent="0.25">
      <c r="B40" s="36"/>
      <c r="C40" s="36"/>
      <c r="D40" s="234"/>
      <c r="E40" s="234"/>
      <c r="F40" s="234"/>
      <c r="G40" s="234"/>
      <c r="H40" s="304" t="s">
        <v>227</v>
      </c>
      <c r="I40" s="305">
        <f>O25-'2015-16 Funding Detail'!O25</f>
        <v>31.833333333333258</v>
      </c>
      <c r="J40" s="296"/>
      <c r="K40" s="36"/>
      <c r="L40" s="36"/>
      <c r="M40" s="234"/>
      <c r="N40" s="36"/>
      <c r="O40" s="234"/>
      <c r="P40" s="36"/>
      <c r="Q40" s="235"/>
      <c r="R40" s="234"/>
      <c r="S40" s="234"/>
      <c r="T40" s="36"/>
      <c r="U40" s="36"/>
      <c r="V40" s="234"/>
      <c r="W40" s="234"/>
      <c r="X40" s="234"/>
      <c r="Y40" s="234"/>
      <c r="Z40" s="234"/>
      <c r="AA40" s="234"/>
      <c r="AB40" s="234"/>
      <c r="AC40" s="234"/>
      <c r="AD40" s="234"/>
      <c r="AE40" s="234"/>
    </row>
    <row r="41" spans="2:31" x14ac:dyDescent="0.25">
      <c r="B41" s="36"/>
      <c r="C41" s="36"/>
      <c r="D41" s="234"/>
      <c r="E41" s="234"/>
      <c r="F41" s="234"/>
      <c r="G41" s="234"/>
      <c r="H41" s="298"/>
      <c r="I41" s="296"/>
      <c r="J41" s="296"/>
      <c r="K41" s="36"/>
      <c r="L41" s="36"/>
      <c r="M41" s="234"/>
      <c r="N41" s="36"/>
      <c r="O41" s="234"/>
      <c r="P41" s="36"/>
      <c r="Q41" s="235"/>
      <c r="R41" s="234"/>
      <c r="S41" s="234"/>
      <c r="T41" s="36"/>
      <c r="U41" s="36"/>
      <c r="V41" s="234"/>
      <c r="W41" s="234"/>
      <c r="X41" s="234"/>
      <c r="Y41" s="234"/>
      <c r="Z41" s="234"/>
      <c r="AA41" s="234"/>
      <c r="AB41" s="234"/>
      <c r="AC41" s="234"/>
      <c r="AD41" s="234"/>
      <c r="AE41" s="234"/>
    </row>
    <row r="42" spans="2:31" x14ac:dyDescent="0.25">
      <c r="B42" s="36"/>
      <c r="C42" s="36"/>
      <c r="D42" s="234"/>
      <c r="E42" s="234"/>
      <c r="F42" s="234"/>
      <c r="G42" s="234"/>
      <c r="H42" s="304" t="s">
        <v>228</v>
      </c>
      <c r="I42" s="297">
        <f>I38/I40</f>
        <v>8803.0295971784253</v>
      </c>
      <c r="J42" s="296" t="s">
        <v>229</v>
      </c>
      <c r="K42" s="36"/>
      <c r="L42" s="36"/>
      <c r="M42" s="234"/>
      <c r="N42" s="36"/>
      <c r="O42" s="234"/>
      <c r="P42" s="36"/>
      <c r="Q42" s="235"/>
      <c r="R42" s="234"/>
      <c r="S42" s="234"/>
      <c r="T42" s="36"/>
      <c r="U42" s="36"/>
      <c r="V42" s="234"/>
      <c r="W42" s="234"/>
      <c r="X42" s="234"/>
      <c r="Y42" s="234"/>
      <c r="Z42" s="234"/>
      <c r="AA42" s="234"/>
      <c r="AB42" s="234"/>
      <c r="AC42" s="234"/>
      <c r="AD42" s="234"/>
      <c r="AE42" s="234"/>
    </row>
    <row r="43" spans="2:31" x14ac:dyDescent="0.25">
      <c r="B43" s="36"/>
      <c r="C43" s="36"/>
      <c r="D43" s="234"/>
      <c r="E43" s="234"/>
      <c r="F43" s="234"/>
      <c r="G43" s="234"/>
      <c r="H43" s="298"/>
      <c r="I43" s="296"/>
      <c r="J43" s="296"/>
      <c r="K43" s="36"/>
      <c r="L43" s="36"/>
      <c r="M43" s="234"/>
      <c r="N43" s="36"/>
      <c r="O43" s="234"/>
      <c r="P43" s="36"/>
      <c r="Q43" s="235"/>
      <c r="R43" s="234"/>
      <c r="S43" s="234"/>
      <c r="T43" s="36"/>
      <c r="U43" s="36"/>
      <c r="V43" s="234"/>
      <c r="W43" s="234"/>
      <c r="X43" s="234"/>
      <c r="Y43" s="234"/>
      <c r="Z43" s="234"/>
      <c r="AA43" s="234"/>
      <c r="AB43" s="234"/>
      <c r="AC43" s="234"/>
      <c r="AD43" s="234"/>
      <c r="AE43" s="234"/>
    </row>
  </sheetData>
  <mergeCells count="5">
    <mergeCell ref="AF2:AH2"/>
    <mergeCell ref="D33:E33"/>
    <mergeCell ref="AH14:AO16"/>
    <mergeCell ref="AD2:AD3"/>
    <mergeCell ref="AB1:AD1"/>
  </mergeCells>
  <pageMargins left="0.39370078740157483" right="0.39370078740157483" top="0.98425196850393704" bottom="0.98425196850393704" header="0.51181102362204722" footer="0.51181102362204722"/>
  <pageSetup paperSize="8" scale="59" orientation="landscape" r:id="rId1"/>
  <headerFooter alignWithMargins="0">
    <oddFooter>&amp;F</oddFooter>
  </headerFooter>
  <ignoredErrors>
    <ignoredError sqref="D8:E8 D10:D11 D19:E19 E10:E11" formula="1"/>
  </ignoredErrors>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2EA43-4160-45C8-A477-9A9804D169FD}">
  <sheetPr>
    <tabColor rgb="FFFFFF00"/>
  </sheetPr>
  <dimension ref="A2:N53"/>
  <sheetViews>
    <sheetView workbookViewId="0">
      <selection activeCell="E22" sqref="E22"/>
    </sheetView>
  </sheetViews>
  <sheetFormatPr defaultRowHeight="12.5" x14ac:dyDescent="0.25"/>
  <cols>
    <col min="1" max="1" width="36.1796875" bestFit="1" customWidth="1"/>
    <col min="2" max="2" width="8.7265625" style="2"/>
    <col min="3" max="3" width="11.453125" style="2" bestFit="1" customWidth="1"/>
    <col min="4" max="4" width="8.7265625" style="2"/>
    <col min="5" max="5" width="11.453125" style="2" bestFit="1" customWidth="1"/>
    <col min="6" max="6" width="8.7265625" style="2"/>
    <col min="7" max="7" width="11.54296875" style="2" bestFit="1" customWidth="1"/>
    <col min="8" max="8" width="10.26953125" customWidth="1"/>
    <col min="9" max="9" width="59.81640625" customWidth="1"/>
    <col min="10" max="10" width="11.453125" customWidth="1"/>
    <col min="11" max="11" width="11.1796875" bestFit="1" customWidth="1"/>
    <col min="12" max="12" width="8.7265625" style="2"/>
  </cols>
  <sheetData>
    <row r="2" spans="1:14" ht="13" x14ac:dyDescent="0.3">
      <c r="A2" s="1" t="s">
        <v>0</v>
      </c>
      <c r="B2" s="231"/>
      <c r="C2" s="231" t="s">
        <v>959</v>
      </c>
      <c r="D2" s="231"/>
      <c r="E2" s="231" t="s">
        <v>975</v>
      </c>
      <c r="F2" s="231"/>
      <c r="G2" s="231" t="s">
        <v>3</v>
      </c>
      <c r="J2" s="231" t="s">
        <v>959</v>
      </c>
      <c r="L2" s="5" t="s">
        <v>976</v>
      </c>
    </row>
    <row r="3" spans="1:14" x14ac:dyDescent="0.25">
      <c r="J3" s="2"/>
    </row>
    <row r="4" spans="1:14" x14ac:dyDescent="0.25">
      <c r="A4" s="289" t="s">
        <v>4</v>
      </c>
      <c r="B4" s="16"/>
      <c r="C4" s="16">
        <f>SUM('2223 Funding Detail'!R22)</f>
        <v>34044037.127210051</v>
      </c>
      <c r="D4" s="16"/>
      <c r="E4" s="16">
        <f>'2324 Funding Detail'!AA22</f>
        <v>36123358.692961812</v>
      </c>
      <c r="F4" s="16"/>
      <c r="G4" s="16">
        <f>E4-C4</f>
        <v>2079321.5657517612</v>
      </c>
      <c r="I4" s="289"/>
      <c r="J4" s="16">
        <v>34437917.127210043</v>
      </c>
      <c r="L4" s="16">
        <f>C4-J4</f>
        <v>-393879.99999999255</v>
      </c>
    </row>
    <row r="5" spans="1:14" ht="13" x14ac:dyDescent="0.3">
      <c r="A5" s="289" t="s">
        <v>6</v>
      </c>
      <c r="B5" s="16"/>
      <c r="C5" s="16">
        <f>SUM('2223 Funding Detail'!F22)</f>
        <v>1045220</v>
      </c>
      <c r="D5" s="16"/>
      <c r="E5" s="16">
        <f>'2324 Funding Detail'!F22</f>
        <v>1182256</v>
      </c>
      <c r="F5" s="16"/>
      <c r="G5" s="16">
        <f t="shared" ref="G5:G7" si="0">E5-C5</f>
        <v>137036</v>
      </c>
      <c r="I5" s="857"/>
      <c r="J5" s="16">
        <v>1045220</v>
      </c>
      <c r="L5" s="16">
        <f t="shared" ref="L5:L25" si="1">C5-J5</f>
        <v>0</v>
      </c>
    </row>
    <row r="6" spans="1:14" x14ac:dyDescent="0.25">
      <c r="A6" s="289" t="s">
        <v>383</v>
      </c>
      <c r="B6" s="16"/>
      <c r="C6" s="16">
        <f>SUM('2223 Funding Detail'!G22)</f>
        <v>568580</v>
      </c>
      <c r="D6" s="16"/>
      <c r="E6" s="16">
        <f>'2324 Funding Detail'!G22</f>
        <v>532345.19999999995</v>
      </c>
      <c r="F6" s="16"/>
      <c r="G6" s="16">
        <f t="shared" si="0"/>
        <v>-36234.800000000047</v>
      </c>
      <c r="I6" s="289"/>
      <c r="J6" s="16">
        <v>174700</v>
      </c>
      <c r="L6" s="16">
        <f t="shared" si="1"/>
        <v>393880</v>
      </c>
    </row>
    <row r="7" spans="1:14" ht="13" x14ac:dyDescent="0.3">
      <c r="A7" s="409" t="s">
        <v>961</v>
      </c>
      <c r="B7" s="16"/>
      <c r="C7" s="16">
        <f>-'OLEA Placements'!F60</f>
        <v>-640834.69626913476</v>
      </c>
      <c r="D7" s="16"/>
      <c r="E7" s="16">
        <f>-'OLEA Placements'!F23</f>
        <v>-718241.87157866103</v>
      </c>
      <c r="F7" s="16"/>
      <c r="G7" s="16">
        <f t="shared" si="0"/>
        <v>-77407.175309526268</v>
      </c>
      <c r="I7" s="289"/>
      <c r="J7" s="16">
        <v>-673154.87242403429</v>
      </c>
      <c r="L7" s="16">
        <f t="shared" si="1"/>
        <v>32320.176154899527</v>
      </c>
    </row>
    <row r="8" spans="1:14" ht="13" x14ac:dyDescent="0.3">
      <c r="A8" s="409"/>
      <c r="B8" s="408"/>
      <c r="C8" s="408">
        <f>SUM(C4:C7)</f>
        <v>35017002.430940919</v>
      </c>
      <c r="D8" s="408"/>
      <c r="E8" s="408">
        <f>SUM(E4:E7)</f>
        <v>37119718.021383151</v>
      </c>
      <c r="F8" s="408"/>
      <c r="G8" s="408">
        <f>SUM(G4:G7)</f>
        <v>2102715.5904422351</v>
      </c>
      <c r="I8" s="885"/>
      <c r="J8" s="408">
        <v>34984682.254786007</v>
      </c>
      <c r="K8" s="16"/>
      <c r="L8" s="16">
        <f t="shared" si="1"/>
        <v>32320.176154911518</v>
      </c>
    </row>
    <row r="9" spans="1:14" x14ac:dyDescent="0.25">
      <c r="B9" s="16"/>
      <c r="D9" s="16"/>
      <c r="E9" s="16"/>
      <c r="F9" s="16"/>
      <c r="G9" s="16"/>
      <c r="I9" s="289"/>
      <c r="J9" s="2"/>
      <c r="L9" s="16"/>
    </row>
    <row r="10" spans="1:14" x14ac:dyDescent="0.25">
      <c r="A10" s="289" t="s">
        <v>8</v>
      </c>
      <c r="B10" s="16"/>
      <c r="C10" s="16">
        <f>'Other Funding'!M26</f>
        <v>757936</v>
      </c>
      <c r="D10" s="16"/>
      <c r="E10" s="16">
        <f>'Other Funding'!M26</f>
        <v>757936</v>
      </c>
      <c r="F10" s="16"/>
      <c r="G10" s="16">
        <f t="shared" ref="G10:G14" si="2">E10-C10</f>
        <v>0</v>
      </c>
      <c r="I10" s="289"/>
      <c r="J10" s="16">
        <v>757936</v>
      </c>
      <c r="L10" s="16">
        <f t="shared" si="1"/>
        <v>0</v>
      </c>
    </row>
    <row r="11" spans="1:14" ht="13" x14ac:dyDescent="0.3">
      <c r="A11" s="857" t="s">
        <v>962</v>
      </c>
      <c r="B11" s="833"/>
      <c r="C11" s="833"/>
      <c r="D11" s="833"/>
      <c r="E11" s="833"/>
      <c r="F11" s="833"/>
      <c r="G11" s="16">
        <f t="shared" si="2"/>
        <v>0</v>
      </c>
      <c r="H11" s="857"/>
      <c r="I11" s="857"/>
      <c r="J11" s="833"/>
      <c r="K11" s="409"/>
      <c r="L11" s="16"/>
      <c r="M11" s="409"/>
      <c r="N11" s="409"/>
    </row>
    <row r="12" spans="1:14" x14ac:dyDescent="0.25">
      <c r="A12" s="289" t="s">
        <v>10</v>
      </c>
      <c r="B12" s="16"/>
      <c r="C12" s="16">
        <f>'Other Funding'!L26</f>
        <v>317322</v>
      </c>
      <c r="D12" s="16"/>
      <c r="E12" s="16">
        <f>'Other Funding'!S26</f>
        <v>132217.5</v>
      </c>
      <c r="F12" s="16"/>
      <c r="G12" s="16">
        <f t="shared" si="2"/>
        <v>-185104.5</v>
      </c>
      <c r="I12" s="289"/>
      <c r="J12" s="16">
        <v>317322</v>
      </c>
      <c r="L12" s="16">
        <f t="shared" si="1"/>
        <v>0</v>
      </c>
    </row>
    <row r="13" spans="1:14" ht="13" x14ac:dyDescent="0.3">
      <c r="A13" s="857" t="s">
        <v>964</v>
      </c>
      <c r="B13" s="16"/>
      <c r="C13" s="290"/>
      <c r="D13" s="16"/>
      <c r="E13" s="290">
        <f>'Other Funding'!S59</f>
        <v>185104.5</v>
      </c>
      <c r="F13" s="16"/>
      <c r="G13" s="16">
        <f t="shared" si="2"/>
        <v>185104.5</v>
      </c>
      <c r="I13" s="182" t="s">
        <v>977</v>
      </c>
      <c r="J13" s="290"/>
      <c r="L13" s="16"/>
    </row>
    <row r="14" spans="1:14" ht="13" x14ac:dyDescent="0.3">
      <c r="A14" s="289" t="s">
        <v>11</v>
      </c>
      <c r="B14" s="16"/>
      <c r="C14" s="16">
        <f>'Other Funding'!N26</f>
        <v>536951</v>
      </c>
      <c r="D14" s="16"/>
      <c r="E14" s="16">
        <f>'Other Funding'!N26</f>
        <v>536951</v>
      </c>
      <c r="F14" s="16"/>
      <c r="G14" s="16">
        <f t="shared" si="2"/>
        <v>0</v>
      </c>
      <c r="I14" s="857"/>
      <c r="J14" s="16">
        <v>536951</v>
      </c>
      <c r="L14" s="16">
        <f t="shared" si="1"/>
        <v>0</v>
      </c>
    </row>
    <row r="15" spans="1:14" ht="13" x14ac:dyDescent="0.3">
      <c r="A15" s="289"/>
      <c r="B15" s="408"/>
      <c r="C15" s="408">
        <f t="shared" ref="C15:G15" si="3">SUM(C10:C14)</f>
        <v>1612209</v>
      </c>
      <c r="D15" s="408"/>
      <c r="E15" s="408">
        <f t="shared" si="3"/>
        <v>1612209</v>
      </c>
      <c r="F15" s="408"/>
      <c r="G15" s="408">
        <f t="shared" si="3"/>
        <v>0</v>
      </c>
      <c r="I15" s="857"/>
      <c r="J15" s="408">
        <v>1612209</v>
      </c>
      <c r="L15" s="16">
        <f t="shared" si="1"/>
        <v>0</v>
      </c>
    </row>
    <row r="16" spans="1:14" ht="13" x14ac:dyDescent="0.3">
      <c r="A16" s="289"/>
      <c r="B16" s="16"/>
      <c r="C16" s="16"/>
      <c r="D16" s="16"/>
      <c r="E16" s="16"/>
      <c r="F16" s="16"/>
      <c r="G16" s="16"/>
      <c r="I16" s="857"/>
      <c r="J16" s="16"/>
      <c r="L16" s="16"/>
    </row>
    <row r="17" spans="1:12" ht="13.5" thickBot="1" x14ac:dyDescent="0.35">
      <c r="A17" s="289"/>
      <c r="B17" s="886"/>
      <c r="C17" s="886">
        <f>C8+C15</f>
        <v>36629211.430940919</v>
      </c>
      <c r="D17" s="886"/>
      <c r="E17" s="886">
        <f>E8+E15</f>
        <v>38731927.021383151</v>
      </c>
      <c r="F17" s="886"/>
      <c r="G17" s="886">
        <f t="shared" ref="G17" si="4">G8+G15</f>
        <v>2102715.5904422351</v>
      </c>
      <c r="I17" s="857"/>
      <c r="J17" s="886">
        <v>36596891.254786007</v>
      </c>
      <c r="L17" s="16">
        <f t="shared" si="1"/>
        <v>32320.176154911518</v>
      </c>
    </row>
    <row r="18" spans="1:12" ht="13" x14ac:dyDescent="0.3">
      <c r="A18" s="289"/>
      <c r="B18" s="16"/>
      <c r="C18" s="16"/>
      <c r="D18" s="16"/>
      <c r="E18" s="16"/>
      <c r="F18" s="16"/>
      <c r="G18" s="16"/>
      <c r="I18" s="857"/>
      <c r="J18" s="16"/>
      <c r="L18" s="16"/>
    </row>
    <row r="19" spans="1:12" ht="13" x14ac:dyDescent="0.3">
      <c r="A19" s="289" t="s">
        <v>955</v>
      </c>
      <c r="B19" s="16"/>
      <c r="C19" s="16">
        <v>235160</v>
      </c>
      <c r="D19" s="16"/>
      <c r="E19" s="16">
        <v>450000</v>
      </c>
      <c r="F19" s="16"/>
      <c r="G19" s="16">
        <f t="shared" ref="G19:G20" si="5">E19-C19</f>
        <v>214840</v>
      </c>
      <c r="I19" s="857" t="s">
        <v>978</v>
      </c>
      <c r="J19" s="16">
        <v>235160</v>
      </c>
      <c r="L19" s="16">
        <f t="shared" si="1"/>
        <v>0</v>
      </c>
    </row>
    <row r="20" spans="1:12" ht="13" x14ac:dyDescent="0.3">
      <c r="A20" s="289" t="s">
        <v>956</v>
      </c>
      <c r="B20" s="16"/>
      <c r="C20" s="16">
        <v>70000</v>
      </c>
      <c r="D20" s="16"/>
      <c r="E20" s="16">
        <v>110000</v>
      </c>
      <c r="F20" s="16"/>
      <c r="G20" s="16">
        <f t="shared" si="5"/>
        <v>40000</v>
      </c>
      <c r="I20" s="857" t="s">
        <v>979</v>
      </c>
      <c r="J20" s="16">
        <v>70000</v>
      </c>
      <c r="L20" s="16">
        <f t="shared" si="1"/>
        <v>0</v>
      </c>
    </row>
    <row r="21" spans="1:12" ht="13" x14ac:dyDescent="0.3">
      <c r="A21" s="289"/>
      <c r="B21" s="16"/>
      <c r="C21" s="16"/>
      <c r="D21" s="16"/>
      <c r="E21" s="16"/>
      <c r="F21" s="16"/>
      <c r="G21" s="72"/>
      <c r="J21" s="16"/>
      <c r="L21" s="16"/>
    </row>
    <row r="22" spans="1:12" ht="13" x14ac:dyDescent="0.3">
      <c r="A22" s="186" t="s">
        <v>882</v>
      </c>
      <c r="B22" s="72"/>
      <c r="C22" s="72">
        <f>C17+C19+C20</f>
        <v>36934371.430940919</v>
      </c>
      <c r="D22" s="72"/>
      <c r="E22" s="72">
        <f>E17+E19+E20</f>
        <v>39291927.021383151</v>
      </c>
      <c r="F22" s="72"/>
      <c r="G22" s="72">
        <f>E22-C22</f>
        <v>2357555.5904422328</v>
      </c>
      <c r="I22" s="184"/>
      <c r="J22" s="72">
        <v>36902051.254786007</v>
      </c>
      <c r="L22" s="16">
        <f t="shared" si="1"/>
        <v>32320.176154911518</v>
      </c>
    </row>
    <row r="23" spans="1:12" ht="13" x14ac:dyDescent="0.3">
      <c r="A23" s="186"/>
      <c r="B23" s="72"/>
      <c r="C23" s="72"/>
      <c r="D23" s="72"/>
      <c r="E23" s="72"/>
      <c r="F23" s="72"/>
      <c r="G23" s="72"/>
      <c r="I23" s="184"/>
      <c r="J23" s="72"/>
      <c r="L23" s="16"/>
    </row>
    <row r="24" spans="1:12" ht="13" x14ac:dyDescent="0.3">
      <c r="A24" s="860" t="s">
        <v>968</v>
      </c>
      <c r="B24" s="72"/>
      <c r="C24" s="315">
        <f>'2223 Funding Detail'!V22</f>
        <v>20870000</v>
      </c>
      <c r="D24" s="72"/>
      <c r="E24" s="315">
        <f>'2324 Funding Detail'!V22</f>
        <v>21845833.333333332</v>
      </c>
      <c r="F24" s="72"/>
      <c r="G24" s="16">
        <f t="shared" ref="G24:G25" si="6">E24-C24</f>
        <v>975833.33333333209</v>
      </c>
      <c r="I24" s="857"/>
      <c r="J24" s="315">
        <v>20870000</v>
      </c>
      <c r="L24" s="16">
        <f t="shared" si="1"/>
        <v>0</v>
      </c>
    </row>
    <row r="25" spans="1:12" ht="13" x14ac:dyDescent="0.3">
      <c r="A25" s="860" t="s">
        <v>970</v>
      </c>
      <c r="B25" s="72"/>
      <c r="C25" s="315">
        <f>C22-C24</f>
        <v>16064371.430940919</v>
      </c>
      <c r="D25" s="72"/>
      <c r="E25" s="315">
        <f>E22-E24</f>
        <v>17446093.688049819</v>
      </c>
      <c r="F25" s="72"/>
      <c r="G25" s="16">
        <f t="shared" si="6"/>
        <v>1381722.2571089007</v>
      </c>
      <c r="I25" s="184"/>
      <c r="J25" s="315">
        <v>16032051.254786007</v>
      </c>
      <c r="L25" s="16">
        <f t="shared" si="1"/>
        <v>32320.176154911518</v>
      </c>
    </row>
    <row r="26" spans="1:12" x14ac:dyDescent="0.25">
      <c r="C26" s="16"/>
    </row>
    <row r="27" spans="1:12" x14ac:dyDescent="0.25">
      <c r="A27" s="289"/>
      <c r="C27" s="16"/>
      <c r="G27" s="16"/>
    </row>
    <row r="31" spans="1:12" ht="13" x14ac:dyDescent="0.3">
      <c r="A31" s="184" t="s">
        <v>980</v>
      </c>
    </row>
    <row r="32" spans="1:12" x14ac:dyDescent="0.25">
      <c r="A32" t="s">
        <v>4</v>
      </c>
      <c r="C32" s="16">
        <v>34044037.127210051</v>
      </c>
      <c r="D32" s="16"/>
      <c r="E32" s="16">
        <v>35015259.701641656</v>
      </c>
      <c r="F32" s="16"/>
      <c r="G32" s="16">
        <v>971222.57443160564</v>
      </c>
      <c r="H32" s="230">
        <f>G4-G32</f>
        <v>1108098.9913201556</v>
      </c>
    </row>
    <row r="33" spans="1:10" x14ac:dyDescent="0.25">
      <c r="A33" t="s">
        <v>6</v>
      </c>
      <c r="C33" s="16">
        <v>1045220</v>
      </c>
      <c r="D33" s="16"/>
      <c r="E33" s="16">
        <v>1045220</v>
      </c>
      <c r="F33" s="16"/>
      <c r="G33" s="16">
        <v>0</v>
      </c>
      <c r="H33" s="230">
        <f>G5-G33</f>
        <v>137036</v>
      </c>
    </row>
    <row r="34" spans="1:10" x14ac:dyDescent="0.25">
      <c r="A34" t="s">
        <v>383</v>
      </c>
      <c r="C34" s="16">
        <v>568580</v>
      </c>
      <c r="D34" s="16"/>
      <c r="E34" s="16">
        <v>516840</v>
      </c>
      <c r="F34" s="16"/>
      <c r="G34" s="16">
        <v>-51740</v>
      </c>
      <c r="H34" s="230">
        <f t="shared" ref="H34:H36" si="7">G6-G34</f>
        <v>15505.199999999953</v>
      </c>
      <c r="I34" s="230">
        <f>SUM(H32:H34)</f>
        <v>1260640.1913201555</v>
      </c>
      <c r="J34" t="s">
        <v>981</v>
      </c>
    </row>
    <row r="35" spans="1:10" x14ac:dyDescent="0.25">
      <c r="A35" t="s">
        <v>961</v>
      </c>
      <c r="C35" s="16">
        <v>-640834.69626913476</v>
      </c>
      <c r="D35" s="16"/>
      <c r="E35" s="16">
        <v>-665089.1033197802</v>
      </c>
      <c r="F35" s="16"/>
      <c r="G35" s="16">
        <v>-24254.407050645445</v>
      </c>
      <c r="H35" s="230">
        <f t="shared" si="7"/>
        <v>-53152.768258880824</v>
      </c>
    </row>
    <row r="36" spans="1:10" x14ac:dyDescent="0.25">
      <c r="C36" s="16">
        <v>35017002.430940919</v>
      </c>
      <c r="D36" s="16"/>
      <c r="E36" s="16">
        <v>35912230.598321877</v>
      </c>
      <c r="F36" s="16"/>
      <c r="G36" s="16">
        <v>895228.16738096019</v>
      </c>
      <c r="H36" s="230">
        <f t="shared" si="7"/>
        <v>1207487.4230612749</v>
      </c>
    </row>
    <row r="37" spans="1:10" x14ac:dyDescent="0.25">
      <c r="C37" s="16"/>
      <c r="D37" s="16"/>
      <c r="E37" s="16"/>
      <c r="F37" s="16"/>
      <c r="G37" s="16"/>
    </row>
    <row r="38" spans="1:10" x14ac:dyDescent="0.25">
      <c r="A38" t="s">
        <v>8</v>
      </c>
      <c r="C38" s="16">
        <v>757936</v>
      </c>
      <c r="D38" s="16"/>
      <c r="E38" s="16">
        <v>757936</v>
      </c>
      <c r="F38" s="16"/>
      <c r="G38" s="16">
        <v>0</v>
      </c>
    </row>
    <row r="39" spans="1:10" x14ac:dyDescent="0.25">
      <c r="A39" t="s">
        <v>962</v>
      </c>
      <c r="C39" s="16"/>
      <c r="D39" s="16"/>
      <c r="E39" s="16"/>
      <c r="F39" s="16"/>
      <c r="G39" s="16">
        <v>0</v>
      </c>
    </row>
    <row r="40" spans="1:10" x14ac:dyDescent="0.25">
      <c r="A40" t="s">
        <v>10</v>
      </c>
      <c r="C40" s="16">
        <v>317322</v>
      </c>
      <c r="D40" s="16"/>
      <c r="E40" s="16">
        <v>132217.5</v>
      </c>
      <c r="F40" s="16"/>
      <c r="G40" s="16">
        <v>-185104.5</v>
      </c>
    </row>
    <row r="41" spans="1:10" x14ac:dyDescent="0.25">
      <c r="A41" t="s">
        <v>964</v>
      </c>
      <c r="C41" s="16"/>
      <c r="D41" s="16"/>
      <c r="E41" s="16">
        <v>185104.5</v>
      </c>
      <c r="F41" s="16"/>
      <c r="G41" s="16">
        <v>185104.5</v>
      </c>
    </row>
    <row r="42" spans="1:10" x14ac:dyDescent="0.25">
      <c r="A42" t="s">
        <v>11</v>
      </c>
      <c r="C42" s="16">
        <v>536951</v>
      </c>
      <c r="D42" s="16"/>
      <c r="E42" s="16">
        <v>536951</v>
      </c>
      <c r="F42" s="16"/>
      <c r="G42" s="16">
        <v>0</v>
      </c>
    </row>
    <row r="43" spans="1:10" x14ac:dyDescent="0.25">
      <c r="C43" s="16">
        <v>1612209</v>
      </c>
      <c r="D43" s="16"/>
      <c r="E43" s="16">
        <v>1612209</v>
      </c>
      <c r="F43" s="16"/>
      <c r="G43" s="16">
        <v>0</v>
      </c>
    </row>
    <row r="44" spans="1:10" x14ac:dyDescent="0.25">
      <c r="C44" s="16"/>
      <c r="D44" s="16"/>
      <c r="E44" s="16"/>
      <c r="F44" s="16"/>
      <c r="G44" s="16"/>
    </row>
    <row r="45" spans="1:10" x14ac:dyDescent="0.25">
      <c r="C45" s="16">
        <v>36629211.430940919</v>
      </c>
      <c r="D45" s="16"/>
      <c r="E45" s="16">
        <v>37524439.598321877</v>
      </c>
      <c r="F45" s="16"/>
      <c r="G45" s="16">
        <v>895228.16738096019</v>
      </c>
    </row>
    <row r="46" spans="1:10" x14ac:dyDescent="0.25">
      <c r="C46" s="16"/>
      <c r="D46" s="16"/>
      <c r="E46" s="16"/>
      <c r="F46" s="16"/>
      <c r="G46" s="16"/>
    </row>
    <row r="47" spans="1:10" x14ac:dyDescent="0.25">
      <c r="A47" t="s">
        <v>955</v>
      </c>
      <c r="C47" s="16">
        <v>235160</v>
      </c>
      <c r="D47" s="16"/>
      <c r="E47" s="16">
        <v>450000</v>
      </c>
      <c r="F47" s="16"/>
      <c r="G47" s="16">
        <v>214840</v>
      </c>
    </row>
    <row r="48" spans="1:10" x14ac:dyDescent="0.25">
      <c r="A48" t="s">
        <v>956</v>
      </c>
      <c r="C48" s="16">
        <v>70000</v>
      </c>
      <c r="D48" s="16"/>
      <c r="E48" s="16">
        <v>110000</v>
      </c>
      <c r="F48" s="16"/>
      <c r="G48" s="16">
        <v>40000</v>
      </c>
    </row>
    <row r="49" spans="1:7" x14ac:dyDescent="0.25">
      <c r="C49" s="16"/>
      <c r="D49" s="16"/>
      <c r="E49" s="16"/>
      <c r="F49" s="16"/>
      <c r="G49" s="16"/>
    </row>
    <row r="50" spans="1:7" x14ac:dyDescent="0.25">
      <c r="A50" t="s">
        <v>882</v>
      </c>
      <c r="C50" s="16">
        <v>36934371.430940919</v>
      </c>
      <c r="D50" s="16"/>
      <c r="E50" s="16">
        <v>38084439.598321877</v>
      </c>
      <c r="F50" s="16"/>
      <c r="G50" s="16">
        <v>1150068.1673809588</v>
      </c>
    </row>
    <row r="51" spans="1:7" x14ac:dyDescent="0.25">
      <c r="C51" s="16"/>
      <c r="D51" s="16"/>
      <c r="E51" s="16"/>
      <c r="F51" s="16"/>
      <c r="G51" s="16"/>
    </row>
    <row r="52" spans="1:7" x14ac:dyDescent="0.25">
      <c r="A52" t="s">
        <v>968</v>
      </c>
      <c r="C52" s="16">
        <v>20870000</v>
      </c>
      <c r="D52" s="16"/>
      <c r="E52" s="16">
        <v>21840000</v>
      </c>
      <c r="F52" s="16"/>
      <c r="G52" s="16">
        <v>970000</v>
      </c>
    </row>
    <row r="53" spans="1:7" x14ac:dyDescent="0.25">
      <c r="A53" t="s">
        <v>970</v>
      </c>
      <c r="C53" s="16">
        <v>16064371.430940919</v>
      </c>
      <c r="D53" s="16"/>
      <c r="E53" s="16">
        <v>16244439.598321877</v>
      </c>
      <c r="F53" s="16"/>
      <c r="G53" s="16">
        <v>180068.1673809588</v>
      </c>
    </row>
  </sheetData>
  <pageMargins left="0.7" right="0.7" top="0.75" bottom="0.75" header="0.3" footer="0.3"/>
  <pageSetup orientation="portrait" horizontalDpi="90" verticalDpi="90"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FFFF00"/>
  </sheetPr>
  <dimension ref="A1:AJ64"/>
  <sheetViews>
    <sheetView topLeftCell="E1" zoomScaleNormal="100" workbookViewId="0">
      <selection activeCell="U4" sqref="U4:U20"/>
    </sheetView>
  </sheetViews>
  <sheetFormatPr defaultColWidth="10.26953125" defaultRowHeight="12.5" x14ac:dyDescent="0.25"/>
  <cols>
    <col min="1" max="1" width="10.26953125" style="29"/>
    <col min="2" max="2" width="31.54296875" style="29" customWidth="1"/>
    <col min="3" max="3" width="26.54296875" style="29" customWidth="1"/>
    <col min="4" max="7" width="15.7265625" style="30" customWidth="1"/>
    <col min="8" max="10" width="15.7265625" style="29" customWidth="1"/>
    <col min="11" max="11" width="15.7265625" style="30" customWidth="1"/>
    <col min="12" max="12" width="17.26953125" style="29" customWidth="1"/>
    <col min="13" max="13" width="10.26953125" style="30" customWidth="1"/>
    <col min="14" max="16" width="13.81640625" style="29" customWidth="1"/>
    <col min="17" max="17" width="10.26953125" style="29" customWidth="1"/>
    <col min="18" max="19" width="11.1796875" style="29" customWidth="1"/>
    <col min="20" max="20" width="10.26953125" style="29" customWidth="1"/>
    <col min="21" max="21" width="10.26953125" style="31" customWidth="1"/>
    <col min="22" max="24" width="11.81640625" style="30" customWidth="1"/>
    <col min="25" max="25" width="10.26953125" style="30" customWidth="1"/>
    <col min="26" max="26" width="11" style="29" customWidth="1"/>
    <col min="27" max="27" width="11.26953125" style="29" customWidth="1"/>
    <col min="28" max="28" width="9.81640625" style="30" bestFit="1" customWidth="1"/>
    <col min="29" max="29" width="10.26953125" style="29"/>
    <col min="30" max="32" width="14.453125" style="29" bestFit="1" customWidth="1"/>
    <col min="33" max="16384" width="10.26953125" style="29"/>
  </cols>
  <sheetData>
    <row r="1" spans="1:36" ht="17.5" x14ac:dyDescent="0.35">
      <c r="A1" s="36"/>
      <c r="B1" s="33" t="s">
        <v>982</v>
      </c>
      <c r="C1" s="36"/>
      <c r="D1" s="234"/>
      <c r="E1" s="234"/>
      <c r="F1" s="234"/>
      <c r="G1" s="234"/>
      <c r="H1" s="36"/>
      <c r="I1" s="36"/>
      <c r="J1" s="36"/>
      <c r="K1" s="234"/>
      <c r="L1" s="36"/>
      <c r="M1" s="234"/>
      <c r="N1" s="36"/>
      <c r="O1" s="36"/>
      <c r="P1" s="36"/>
      <c r="Q1" s="36"/>
      <c r="R1" s="36" t="s">
        <v>983</v>
      </c>
      <c r="S1" s="36"/>
      <c r="T1" s="36"/>
      <c r="U1" s="235"/>
      <c r="V1" s="234"/>
      <c r="W1" s="234"/>
      <c r="X1" s="234"/>
      <c r="Y1" s="234"/>
      <c r="Z1" s="36"/>
      <c r="AA1" s="36"/>
      <c r="AB1" s="234"/>
      <c r="AC1" s="36"/>
      <c r="AD1" s="36" t="s">
        <v>984</v>
      </c>
      <c r="AE1" s="36"/>
      <c r="AF1" s="36"/>
      <c r="AG1" s="36"/>
      <c r="AH1" s="36"/>
      <c r="AI1" s="36"/>
      <c r="AJ1" s="36"/>
    </row>
    <row r="2" spans="1:36" ht="12.75" customHeight="1" x14ac:dyDescent="0.25">
      <c r="A2" s="36"/>
      <c r="B2" s="36"/>
      <c r="C2" s="36"/>
      <c r="D2" s="234"/>
      <c r="E2" s="234"/>
      <c r="F2" s="234"/>
      <c r="G2" s="234"/>
      <c r="H2" s="36"/>
      <c r="I2" s="36"/>
      <c r="J2" s="36"/>
      <c r="K2" s="234"/>
      <c r="L2" s="36"/>
      <c r="M2" s="234"/>
      <c r="N2" s="36"/>
      <c r="O2" s="36"/>
      <c r="P2" s="36"/>
      <c r="Q2" s="36"/>
      <c r="R2" s="36"/>
      <c r="S2" s="36"/>
      <c r="T2" s="36"/>
      <c r="U2" s="235"/>
      <c r="V2" s="234"/>
      <c r="W2" s="234"/>
      <c r="X2" s="234"/>
      <c r="Y2" s="234"/>
      <c r="Z2" s="36"/>
      <c r="AA2" s="36"/>
      <c r="AB2" s="234"/>
      <c r="AC2" s="36"/>
      <c r="AD2" s="36"/>
      <c r="AE2" s="36"/>
      <c r="AF2" s="36"/>
      <c r="AG2" s="36"/>
      <c r="AH2" s="36"/>
      <c r="AI2" s="36"/>
      <c r="AJ2" s="36"/>
    </row>
    <row r="3" spans="1:36" ht="39" customHeight="1" x14ac:dyDescent="0.3">
      <c r="A3" s="236" t="s">
        <v>182</v>
      </c>
      <c r="B3" s="237" t="s">
        <v>183</v>
      </c>
      <c r="C3" s="241" t="s">
        <v>985</v>
      </c>
      <c r="D3" s="240" t="s">
        <v>58</v>
      </c>
      <c r="E3" s="240" t="s">
        <v>59</v>
      </c>
      <c r="F3" s="238" t="s">
        <v>147</v>
      </c>
      <c r="G3" s="238" t="s">
        <v>185</v>
      </c>
      <c r="H3" s="241" t="s">
        <v>186</v>
      </c>
      <c r="I3" s="241" t="s">
        <v>986</v>
      </c>
      <c r="J3" s="241" t="s">
        <v>187</v>
      </c>
      <c r="K3" s="238" t="s">
        <v>189</v>
      </c>
      <c r="L3" s="241" t="s">
        <v>190</v>
      </c>
      <c r="M3" s="241" t="s">
        <v>987</v>
      </c>
      <c r="N3" s="826" t="s">
        <v>743</v>
      </c>
      <c r="O3" s="827" t="s">
        <v>988</v>
      </c>
      <c r="P3" s="828" t="s">
        <v>888</v>
      </c>
      <c r="Q3" s="321" t="s">
        <v>697</v>
      </c>
      <c r="R3" s="321" t="s">
        <v>989</v>
      </c>
      <c r="S3" s="321" t="s">
        <v>699</v>
      </c>
      <c r="T3" s="321" t="s">
        <v>700</v>
      </c>
      <c r="U3" s="241" t="s">
        <v>192</v>
      </c>
      <c r="V3" s="242" t="s">
        <v>193</v>
      </c>
      <c r="W3" s="1083" t="s">
        <v>990</v>
      </c>
      <c r="X3" s="1083" t="s">
        <v>991</v>
      </c>
      <c r="Y3" s="1084" t="s">
        <v>194</v>
      </c>
      <c r="Z3" s="1084" t="s">
        <v>303</v>
      </c>
      <c r="AA3" s="242" t="s">
        <v>199</v>
      </c>
      <c r="AB3" s="241" t="s">
        <v>992</v>
      </c>
      <c r="AC3" s="36"/>
      <c r="AD3" s="243" t="s">
        <v>993</v>
      </c>
      <c r="AE3" s="243" t="s">
        <v>994</v>
      </c>
      <c r="AF3" s="272" t="s">
        <v>995</v>
      </c>
      <c r="AG3" s="36"/>
      <c r="AH3" s="243"/>
      <c r="AI3" s="36"/>
      <c r="AJ3" s="36"/>
    </row>
    <row r="4" spans="1:36" x14ac:dyDescent="0.25">
      <c r="A4" s="244">
        <v>9257010</v>
      </c>
      <c r="B4" s="237" t="s">
        <v>996</v>
      </c>
      <c r="C4" s="1038" t="s">
        <v>760</v>
      </c>
      <c r="D4" s="245">
        <v>464060</v>
      </c>
      <c r="E4" s="245">
        <v>123600</v>
      </c>
      <c r="F4" s="245"/>
      <c r="G4" s="245"/>
      <c r="H4" s="248">
        <f>VLOOKUP(A4,'2223 Band Calculations'!$A$106:$T$123,10,FALSE)</f>
        <v>1450702.9222110419</v>
      </c>
      <c r="I4" s="248">
        <f>VLOOKUP(A4,'2223 Band Calculations'!$A$106:$T$123,17,FALSE)</f>
        <v>0</v>
      </c>
      <c r="J4" s="245">
        <f>VLOOKUP(A4,'2223 FSM Calculation'!$A$4:$D$21,4,FALSE)</f>
        <v>18772</v>
      </c>
      <c r="K4" s="245">
        <f t="shared" ref="K4:K20" si="0">SUM(D4:J4)</f>
        <v>2057134.9222110419</v>
      </c>
      <c r="L4" s="248">
        <f>K4-F4-G4</f>
        <v>2057134.9222110419</v>
      </c>
      <c r="M4" s="1036">
        <f>VLOOKUP(A4,'2223 Band Calculations'!$A$106:$T$123,19,FALSE)</f>
        <v>115.33333333333333</v>
      </c>
      <c r="N4" s="235">
        <f>VLOOKUP(A4,'2223 Band Calculations'!$A$104:$AN$123,40,(FALSE))</f>
        <v>306738.64491059916</v>
      </c>
      <c r="O4" s="253">
        <f>M4-(M4*(VLOOKUP(A4,'2223 Band Calculations'!$A$6:$J$22,10,(FALSE))))</f>
        <v>102.38775510204081</v>
      </c>
      <c r="P4" s="235">
        <f>(H4+I4-N4)/O4</f>
        <v>11172.862186111561</v>
      </c>
      <c r="Q4" s="1025">
        <f>'2223 MFG Protection'!L11</f>
        <v>2325.8415308553208</v>
      </c>
      <c r="R4" s="1025">
        <f>L4+Q4</f>
        <v>2059460.7637418972</v>
      </c>
      <c r="S4" s="235">
        <f>M4*10000</f>
        <v>1153333.3333333333</v>
      </c>
      <c r="T4" s="235">
        <f>IF(S4&gt;R4,(S4-R4),(0))</f>
        <v>0</v>
      </c>
      <c r="U4" s="242">
        <f>R4/M4</f>
        <v>17856.596217415296</v>
      </c>
      <c r="V4" s="242">
        <f t="shared" ref="V4:V20" si="1">M4*10000</f>
        <v>1153333.3333333333</v>
      </c>
      <c r="W4" s="242"/>
      <c r="X4" s="242"/>
      <c r="Y4" s="242">
        <f>U4-10000</f>
        <v>7856.5962174152955</v>
      </c>
      <c r="Z4" s="245">
        <f>R4-V4</f>
        <v>906127.43040856393</v>
      </c>
      <c r="AA4" s="245">
        <f>V4+Z4</f>
        <v>2059460.7637418972</v>
      </c>
      <c r="AB4" s="245">
        <f>R4-AA4</f>
        <v>0</v>
      </c>
      <c r="AC4" s="36"/>
      <c r="AD4" s="235">
        <f>(D4+E4)/M4</f>
        <v>5095.3179190751443</v>
      </c>
      <c r="AE4" s="235">
        <f>'2122 Pay &amp; Pension Allocations'!U70/'2223 Funding Detail'!M4</f>
        <v>451.86704214184948</v>
      </c>
      <c r="AF4" s="235">
        <f>SUM(AD4:AE4)</f>
        <v>5547.1849612169935</v>
      </c>
      <c r="AG4" s="1037"/>
      <c r="AH4" s="247">
        <f>K4</f>
        <v>2057134.9222110419</v>
      </c>
      <c r="AI4" s="247">
        <v>2057134.9222110419</v>
      </c>
      <c r="AJ4" s="247">
        <f>AH4-AI4</f>
        <v>0</v>
      </c>
    </row>
    <row r="5" spans="1:36" x14ac:dyDescent="0.25">
      <c r="A5" s="244">
        <v>9257005</v>
      </c>
      <c r="B5" s="237" t="s">
        <v>805</v>
      </c>
      <c r="C5" s="1038" t="s">
        <v>759</v>
      </c>
      <c r="D5" s="245">
        <v>425940</v>
      </c>
      <c r="E5" s="245">
        <v>118450</v>
      </c>
      <c r="F5" s="245"/>
      <c r="G5" s="245"/>
      <c r="H5" s="248">
        <f>VLOOKUP(A5,'2223 Band Calculations'!$A$106:$T$123,10,FALSE)</f>
        <v>1111087.4538852279</v>
      </c>
      <c r="I5" s="248">
        <f>VLOOKUP(A5,'2223 Band Calculations'!$A$106:$T$123,17,FALSE)</f>
        <v>0</v>
      </c>
      <c r="J5" s="245">
        <f>VLOOKUP(A5,'2223 FSM Calculation'!$A$4:$D$21,4,FALSE)</f>
        <v>13140.4</v>
      </c>
      <c r="K5" s="245">
        <f t="shared" si="0"/>
        <v>1668617.8538852278</v>
      </c>
      <c r="L5" s="248">
        <f t="shared" ref="L5:L19" si="2">K5-F5-G5</f>
        <v>1668617.8538852278</v>
      </c>
      <c r="M5" s="1036">
        <f>VLOOKUP(A5,'2223 Band Calculations'!$A$106:$T$123,19,FALSE)</f>
        <v>88.583333333333343</v>
      </c>
      <c r="N5" s="235">
        <f>VLOOKUP(A5,'2223 Band Calculations'!$A$104:$AN$123,40,(FALSE))</f>
        <v>122031.12433747799</v>
      </c>
      <c r="O5" s="253">
        <f>M5-(M5*(VLOOKUP(A5,'2223 Band Calculations'!$A$6:$J$22,10,(FALSE))))</f>
        <v>83.433139534883736</v>
      </c>
      <c r="P5" s="235">
        <f t="shared" ref="P5:P20" si="3">(H5+I5-N5)/O5</f>
        <v>11854.478149347617</v>
      </c>
      <c r="Q5" s="1025">
        <f>'2223 MFG Protection'!L21</f>
        <v>0</v>
      </c>
      <c r="R5" s="1025">
        <f t="shared" ref="R5:R19" si="4">L5+Q5</f>
        <v>1668617.8538852278</v>
      </c>
      <c r="S5" s="235">
        <f t="shared" ref="S5:S20" si="5">M5*10000</f>
        <v>885833.33333333337</v>
      </c>
      <c r="T5" s="235">
        <f t="shared" ref="T5:T20" si="6">IF(S5&gt;R5,(S5-R5),(0))</f>
        <v>0</v>
      </c>
      <c r="U5" s="242">
        <f t="shared" ref="U5:U20" si="7">R5/M5</f>
        <v>18836.702019400502</v>
      </c>
      <c r="V5" s="242">
        <f t="shared" si="1"/>
        <v>885833.33333333337</v>
      </c>
      <c r="W5" s="242"/>
      <c r="X5" s="242"/>
      <c r="Y5" s="242">
        <f t="shared" ref="Y5:Y20" si="8">U5-10000</f>
        <v>8836.7020194005017</v>
      </c>
      <c r="Z5" s="245">
        <f t="shared" ref="Z5:Z20" si="9">R5-V5</f>
        <v>782784.52055189444</v>
      </c>
      <c r="AA5" s="245">
        <f t="shared" ref="AA5:AA20" si="10">V5+Z5</f>
        <v>1668617.8538852278</v>
      </c>
      <c r="AB5" s="245">
        <f t="shared" ref="AB5:AB20" si="11">R5-AA5</f>
        <v>0</v>
      </c>
      <c r="AC5" s="36"/>
      <c r="AD5" s="235">
        <f t="shared" ref="AD5:AD20" si="12">(D5+E5)/M5</f>
        <v>6145.5126999059257</v>
      </c>
      <c r="AE5" s="235">
        <f>'2122 Pay &amp; Pension Allocations'!U71/'2223 Funding Detail'!M5</f>
        <v>602.97916559459327</v>
      </c>
      <c r="AF5" s="235">
        <f t="shared" ref="AF5:AF20" si="13">SUM(AD5:AE5)</f>
        <v>6748.4918655005185</v>
      </c>
      <c r="AG5" s="1037"/>
      <c r="AH5" s="247">
        <f t="shared" ref="AH5:AH20" si="14">K5</f>
        <v>1668617.8538852278</v>
      </c>
      <c r="AI5" s="247">
        <v>1668617.8538852278</v>
      </c>
      <c r="AJ5" s="247">
        <f t="shared" ref="AJ5:AJ20" si="15">AH5-AI5</f>
        <v>0</v>
      </c>
    </row>
    <row r="6" spans="1:36" x14ac:dyDescent="0.25">
      <c r="A6" s="244">
        <v>9257025</v>
      </c>
      <c r="B6" s="237" t="s">
        <v>806</v>
      </c>
      <c r="C6" s="1038" t="s">
        <v>758</v>
      </c>
      <c r="D6" s="245">
        <v>387820</v>
      </c>
      <c r="E6" s="245">
        <v>113300</v>
      </c>
      <c r="F6" s="245"/>
      <c r="G6" s="245"/>
      <c r="H6" s="248">
        <f>VLOOKUP(A6,'2223 Band Calculations'!$A$106:$T$123,10,FALSE)</f>
        <v>938087.7152146895</v>
      </c>
      <c r="I6" s="248">
        <f>VLOOKUP(A6,'2223 Band Calculations'!$A$106:$T$123,17,FALSE)</f>
        <v>0</v>
      </c>
      <c r="J6" s="245">
        <f>VLOOKUP(A6,'2223 FSM Calculation'!$A$4:$D$21,4,FALSE)</f>
        <v>12671.1</v>
      </c>
      <c r="K6" s="245">
        <f t="shared" si="0"/>
        <v>1451878.8152146896</v>
      </c>
      <c r="L6" s="248">
        <f t="shared" si="2"/>
        <v>1451878.8152146896</v>
      </c>
      <c r="M6" s="1036">
        <f>VLOOKUP(A6,'2223 Band Calculations'!$A$106:$T$123,19,FALSE)</f>
        <v>84.416666666666671</v>
      </c>
      <c r="N6" s="235">
        <f>VLOOKUP(A6,'2223 Band Calculations'!$A$104:$AN$123,40,(FALSE))</f>
        <v>101276.37319773184</v>
      </c>
      <c r="O6" s="253">
        <f>M6-(M6*(VLOOKUP(A6,'2223 Band Calculations'!$A$6:$J$22,10,(FALSE))))</f>
        <v>80.14240506329115</v>
      </c>
      <c r="P6" s="235">
        <f t="shared" si="3"/>
        <v>10441.555146193825</v>
      </c>
      <c r="Q6" s="1025">
        <f>'2223 MFG Protection'!L31</f>
        <v>8581.1995982040153</v>
      </c>
      <c r="R6" s="1025">
        <f t="shared" si="4"/>
        <v>1460460.0148128937</v>
      </c>
      <c r="S6" s="235">
        <f t="shared" si="5"/>
        <v>844166.66666666674</v>
      </c>
      <c r="T6" s="235">
        <f t="shared" si="6"/>
        <v>0</v>
      </c>
      <c r="U6" s="242">
        <f t="shared" si="7"/>
        <v>17300.612218908907</v>
      </c>
      <c r="V6" s="242">
        <f t="shared" si="1"/>
        <v>844166.66666666674</v>
      </c>
      <c r="W6" s="242"/>
      <c r="X6" s="242"/>
      <c r="Y6" s="242">
        <f t="shared" si="8"/>
        <v>7300.6122189089074</v>
      </c>
      <c r="Z6" s="245">
        <f t="shared" si="9"/>
        <v>616293.34814622696</v>
      </c>
      <c r="AA6" s="245">
        <f t="shared" si="10"/>
        <v>1460460.0148128937</v>
      </c>
      <c r="AB6" s="245">
        <f t="shared" si="11"/>
        <v>0</v>
      </c>
      <c r="AC6" s="36"/>
      <c r="AD6" s="235">
        <f t="shared" si="12"/>
        <v>5936.2685093780847</v>
      </c>
      <c r="AE6" s="235">
        <f>'2122 Pay &amp; Pension Allocations'!U72/'2223 Funding Detail'!M6</f>
        <v>573.66609322566342</v>
      </c>
      <c r="AF6" s="235">
        <f t="shared" si="13"/>
        <v>6509.9346026037483</v>
      </c>
      <c r="AG6" s="1037"/>
      <c r="AH6" s="247">
        <f t="shared" si="14"/>
        <v>1451878.8152146896</v>
      </c>
      <c r="AI6" s="247">
        <v>1451878.8152146896</v>
      </c>
      <c r="AJ6" s="247">
        <f t="shared" si="15"/>
        <v>0</v>
      </c>
    </row>
    <row r="7" spans="1:36" x14ac:dyDescent="0.25">
      <c r="A7" s="244">
        <v>9257024</v>
      </c>
      <c r="B7" s="237" t="s">
        <v>807</v>
      </c>
      <c r="C7" s="1038" t="s">
        <v>758</v>
      </c>
      <c r="D7" s="245">
        <v>387820</v>
      </c>
      <c r="E7" s="245">
        <v>113300</v>
      </c>
      <c r="F7" s="245"/>
      <c r="G7" s="245"/>
      <c r="H7" s="248">
        <f>VLOOKUP(A7,'2223 Band Calculations'!$A$106:$T$123,10,FALSE)</f>
        <v>981968.02846039541</v>
      </c>
      <c r="I7" s="248">
        <f>VLOOKUP(A7,'2223 Band Calculations'!$A$106:$T$123,17,FALSE)</f>
        <v>0</v>
      </c>
      <c r="J7" s="245">
        <f>VLOOKUP(A7,'2223 FSM Calculation'!$A$4:$D$21,4,FALSE)</f>
        <v>16425.5</v>
      </c>
      <c r="K7" s="245">
        <f t="shared" si="0"/>
        <v>1499513.5284603955</v>
      </c>
      <c r="L7" s="248">
        <f t="shared" si="2"/>
        <v>1499513.5284603955</v>
      </c>
      <c r="M7" s="1036">
        <f>VLOOKUP(A7,'2223 Band Calculations'!$A$106:$T$123,19,FALSE)</f>
        <v>86.333333333333343</v>
      </c>
      <c r="N7" s="235">
        <f>VLOOKUP(A7,'2223 Band Calculations'!$A$104:$AN$123,40,(FALSE))</f>
        <v>121763.26047094856</v>
      </c>
      <c r="O7" s="253">
        <f>M7-(M7*(VLOOKUP(A7,'2223 Band Calculations'!$A$6:$J$22,10,(FALSE))))</f>
        <v>81.194444444444457</v>
      </c>
      <c r="P7" s="235">
        <f t="shared" si="3"/>
        <v>10594.379626281247</v>
      </c>
      <c r="Q7" s="1025">
        <f>'2223 MFG Protection'!L51</f>
        <v>8844.6388169908823</v>
      </c>
      <c r="R7" s="1025">
        <f t="shared" si="4"/>
        <v>1508358.1672773864</v>
      </c>
      <c r="S7" s="235">
        <f t="shared" si="5"/>
        <v>863333.33333333337</v>
      </c>
      <c r="T7" s="235">
        <f t="shared" si="6"/>
        <v>0</v>
      </c>
      <c r="U7" s="242">
        <f t="shared" si="7"/>
        <v>17471.330122904088</v>
      </c>
      <c r="V7" s="242">
        <f t="shared" si="1"/>
        <v>863333.33333333337</v>
      </c>
      <c r="W7" s="242"/>
      <c r="X7" s="242"/>
      <c r="Y7" s="242">
        <f t="shared" si="8"/>
        <v>7471.3301229040881</v>
      </c>
      <c r="Z7" s="245">
        <f t="shared" si="9"/>
        <v>645024.83394405304</v>
      </c>
      <c r="AA7" s="245">
        <f t="shared" si="10"/>
        <v>1508358.1672773864</v>
      </c>
      <c r="AB7" s="245">
        <f t="shared" si="11"/>
        <v>0</v>
      </c>
      <c r="AC7" s="36"/>
      <c r="AD7" s="235">
        <f t="shared" si="12"/>
        <v>5804.4787644787639</v>
      </c>
      <c r="AE7" s="235">
        <f>'2122 Pay &amp; Pension Allocations'!U74/'2223 Funding Detail'!M7</f>
        <v>563.46640316726894</v>
      </c>
      <c r="AF7" s="235">
        <f t="shared" si="13"/>
        <v>6367.945167646033</v>
      </c>
      <c r="AG7" s="1037"/>
      <c r="AH7" s="247">
        <f t="shared" si="14"/>
        <v>1499513.5284603955</v>
      </c>
      <c r="AI7" s="247">
        <v>1499513.5284603955</v>
      </c>
      <c r="AJ7" s="247">
        <f t="shared" si="15"/>
        <v>0</v>
      </c>
    </row>
    <row r="8" spans="1:36" ht="13" x14ac:dyDescent="0.3">
      <c r="A8" s="244">
        <v>9257031</v>
      </c>
      <c r="B8" s="32" t="s">
        <v>557</v>
      </c>
      <c r="C8" s="1038" t="s">
        <v>760</v>
      </c>
      <c r="D8" s="245">
        <v>401550</v>
      </c>
      <c r="E8" s="245">
        <v>88550</v>
      </c>
      <c r="F8" s="245">
        <v>200541</v>
      </c>
      <c r="G8" s="245"/>
      <c r="H8" s="248">
        <f>VLOOKUP(A8,'2223 Band Calculations'!$A$106:$T$123,10,FALSE)</f>
        <v>1215325.5284515372</v>
      </c>
      <c r="I8" s="248">
        <f>VLOOKUP(A8,'2223 Band Calculations'!$A$106:$T$123,17,FALSE)</f>
        <v>0</v>
      </c>
      <c r="J8" s="245">
        <f>VLOOKUP(A8,'2223 FSM Calculation'!$A$4:$D$21,4,FALSE)</f>
        <v>19710.600000000002</v>
      </c>
      <c r="K8" s="245">
        <f>SUM(D8:J8)</f>
        <v>1925677.1284515373</v>
      </c>
      <c r="L8" s="248">
        <f>K8-F8-G8</f>
        <v>1725136.1284515373</v>
      </c>
      <c r="M8" s="1036">
        <f>VLOOKUP(A8,'2223 Band Calculations'!$A$106:$T$123,19,FALSE)</f>
        <v>80.416666666666671</v>
      </c>
      <c r="N8" s="235">
        <f>VLOOKUP(A8,'2223 Band Calculations'!$A$104:$AN$123,40,(FALSE))</f>
        <v>0</v>
      </c>
      <c r="O8" s="253">
        <f>M8-(M8*(VLOOKUP(A8,'2223 Band Calculations'!$A$6:$J$22,10,(FALSE))))</f>
        <v>80.416666666666671</v>
      </c>
      <c r="P8" s="235">
        <f>(H8+I8-N8)/O8</f>
        <v>15112.856312350721</v>
      </c>
      <c r="Q8" s="1025">
        <f>'2223 MFG Protection'!L61</f>
        <v>0</v>
      </c>
      <c r="R8" s="1025">
        <f>L8+Q8</f>
        <v>1725136.1284515373</v>
      </c>
      <c r="S8" s="235">
        <f>M8*10000</f>
        <v>804166.66666666674</v>
      </c>
      <c r="T8" s="235">
        <f>IF(S8&gt;R8,(S8-R8),(0))</f>
        <v>0</v>
      </c>
      <c r="U8" s="242">
        <f>R8/M8</f>
        <v>21452.469991107198</v>
      </c>
      <c r="V8" s="242">
        <f>M8*10000</f>
        <v>804166.66666666674</v>
      </c>
      <c r="W8" s="242"/>
      <c r="X8" s="242"/>
      <c r="Y8" s="242">
        <f>U8-10000</f>
        <v>11452.469991107198</v>
      </c>
      <c r="Z8" s="245">
        <f>R8-V8</f>
        <v>920969.4617848706</v>
      </c>
      <c r="AA8" s="245">
        <f>V8+Z8</f>
        <v>1725136.1284515373</v>
      </c>
      <c r="AB8" s="245">
        <f>R8-AA8</f>
        <v>0</v>
      </c>
      <c r="AC8" s="36"/>
      <c r="AD8" s="235">
        <f t="shared" si="12"/>
        <v>6094.5077720207246</v>
      </c>
      <c r="AE8" s="235">
        <f>'2122 Pay &amp; Pension Allocations'!U75/'2223 Funding Detail'!M8</f>
        <v>585.59837870932563</v>
      </c>
      <c r="AF8" s="235">
        <f t="shared" si="13"/>
        <v>6680.1061507300501</v>
      </c>
      <c r="AG8" s="1037"/>
      <c r="AH8" s="247">
        <f t="shared" si="14"/>
        <v>1925677.1284515373</v>
      </c>
      <c r="AI8" s="247">
        <v>1925677.1284515373</v>
      </c>
      <c r="AJ8" s="247">
        <f t="shared" si="15"/>
        <v>0</v>
      </c>
    </row>
    <row r="9" spans="1:36" x14ac:dyDescent="0.25">
      <c r="A9" s="244">
        <v>9257033</v>
      </c>
      <c r="B9" s="237" t="s">
        <v>816</v>
      </c>
      <c r="C9" s="1038" t="s">
        <v>758</v>
      </c>
      <c r="D9" s="245">
        <v>387820</v>
      </c>
      <c r="E9" s="245">
        <v>113300</v>
      </c>
      <c r="F9" s="245"/>
      <c r="G9" s="245"/>
      <c r="H9" s="248">
        <f>VLOOKUP(A9,'2223 Band Calculations'!$A$106:$T$123,10,FALSE)</f>
        <v>997252.27983884769</v>
      </c>
      <c r="I9" s="248">
        <f>VLOOKUP(A9,'2223 Band Calculations'!$A$106:$T$123,17,FALSE)</f>
        <v>0</v>
      </c>
      <c r="J9" s="245">
        <f>VLOOKUP(A9,'2223 FSM Calculation'!$A$4:$D$21,4,FALSE)</f>
        <v>24403.600000000002</v>
      </c>
      <c r="K9" s="245">
        <f>SUM(D9:J9)</f>
        <v>1522775.8798388478</v>
      </c>
      <c r="L9" s="248">
        <f>K9-F9-G9</f>
        <v>1522775.8798388478</v>
      </c>
      <c r="M9" s="1036">
        <f>VLOOKUP(A9,'2223 Band Calculations'!$A$106:$T$123,19,FALSE)</f>
        <v>106.16666666666669</v>
      </c>
      <c r="N9" s="235">
        <f>VLOOKUP(A9,'2223 Band Calculations'!$A$104:$AN$123,40,(FALSE))</f>
        <v>23292.251327325594</v>
      </c>
      <c r="O9" s="253">
        <f>M9-(M9*(VLOOKUP(A9,'2223 Band Calculations'!$A$6:$J$22,10,(FALSE))))</f>
        <v>105.18364197530866</v>
      </c>
      <c r="P9" s="235">
        <f>(H9+I9-N9)/O9</f>
        <v>9259.6149954586508</v>
      </c>
      <c r="Q9" s="1025">
        <f>'2223 MFG Protection'!L71</f>
        <v>0</v>
      </c>
      <c r="R9" s="1025">
        <f>L9+Q9</f>
        <v>1522775.8798388478</v>
      </c>
      <c r="S9" s="235">
        <f>M9*10000</f>
        <v>1061666.6666666667</v>
      </c>
      <c r="T9" s="235">
        <f>IF(S9&gt;R9,(S9-R9),(0))</f>
        <v>0</v>
      </c>
      <c r="U9" s="242">
        <f>R9/M9</f>
        <v>14343.257894871405</v>
      </c>
      <c r="V9" s="242">
        <f>M9*10000</f>
        <v>1061666.6666666667</v>
      </c>
      <c r="W9" s="242"/>
      <c r="X9" s="242"/>
      <c r="Y9" s="242">
        <f>U9-10000</f>
        <v>4343.2578948714054</v>
      </c>
      <c r="Z9" s="245">
        <f>R9-V9</f>
        <v>461109.21317218104</v>
      </c>
      <c r="AA9" s="245">
        <f>V9+Z9</f>
        <v>1522775.8798388478</v>
      </c>
      <c r="AB9" s="245">
        <f>R9-AA9</f>
        <v>0</v>
      </c>
      <c r="AC9" s="36"/>
      <c r="AD9" s="235">
        <f t="shared" si="12"/>
        <v>4720.1255886970166</v>
      </c>
      <c r="AE9" s="235">
        <f>'2122 Pay &amp; Pension Allocations'!U76/'2223 Funding Detail'!M9</f>
        <v>567.38865789290401</v>
      </c>
      <c r="AF9" s="235">
        <f t="shared" si="13"/>
        <v>5287.5142465899207</v>
      </c>
      <c r="AG9" s="1037"/>
      <c r="AH9" s="247">
        <f t="shared" si="14"/>
        <v>1522775.8798388478</v>
      </c>
      <c r="AI9" s="247">
        <v>1522775.8798388478</v>
      </c>
      <c r="AJ9" s="247">
        <f t="shared" si="15"/>
        <v>0</v>
      </c>
    </row>
    <row r="10" spans="1:36" x14ac:dyDescent="0.25">
      <c r="A10" s="244">
        <v>9257008</v>
      </c>
      <c r="B10" s="237" t="s">
        <v>340</v>
      </c>
      <c r="C10" s="1038" t="s">
        <v>758</v>
      </c>
      <c r="D10" s="245">
        <v>387820</v>
      </c>
      <c r="E10" s="245">
        <v>113300</v>
      </c>
      <c r="F10" s="245"/>
      <c r="G10" s="245"/>
      <c r="H10" s="248">
        <f>VLOOKUP(A10,'2223 Band Calculations'!$A$106:$T$123,10,FALSE)</f>
        <v>956233.34251339128</v>
      </c>
      <c r="I10" s="248">
        <f>VLOOKUP(A10,'2223 Band Calculations'!$A$106:$T$123,17,FALSE)</f>
        <v>0</v>
      </c>
      <c r="J10" s="245">
        <f>VLOOKUP(A10,'2223 FSM Calculation'!$A$4:$D$21,4,FALSE)</f>
        <v>12201.800000000001</v>
      </c>
      <c r="K10" s="245">
        <f t="shared" si="0"/>
        <v>1469555.1425133913</v>
      </c>
      <c r="L10" s="248">
        <f t="shared" si="2"/>
        <v>1469555.1425133913</v>
      </c>
      <c r="M10" s="1036">
        <f>VLOOKUP(A10,'2223 Band Calculations'!$A$106:$T$123,19,FALSE)</f>
        <v>100.16666666666667</v>
      </c>
      <c r="N10" s="235">
        <f>VLOOKUP(A10,'2223 Band Calculations'!$A$104:$AN$123,40,(FALSE))</f>
        <v>0</v>
      </c>
      <c r="O10" s="253">
        <f>M10-(M10*(VLOOKUP(A10,'2223 Band Calculations'!$A$6:$J$22,10,(FALSE))))</f>
        <v>100.16666666666667</v>
      </c>
      <c r="P10" s="235">
        <f t="shared" si="3"/>
        <v>9546.4227205995794</v>
      </c>
      <c r="Q10" s="1025">
        <f>'2223 MFG Protection'!L81</f>
        <v>0</v>
      </c>
      <c r="R10" s="1025">
        <f t="shared" si="4"/>
        <v>1469555.1425133913</v>
      </c>
      <c r="S10" s="235">
        <f t="shared" si="5"/>
        <v>1001666.6666666667</v>
      </c>
      <c r="T10" s="235">
        <f t="shared" si="6"/>
        <v>0</v>
      </c>
      <c r="U10" s="242">
        <f t="shared" si="7"/>
        <v>14671.099592479779</v>
      </c>
      <c r="V10" s="242">
        <f t="shared" si="1"/>
        <v>1001666.6666666667</v>
      </c>
      <c r="W10" s="242"/>
      <c r="X10" s="242"/>
      <c r="Y10" s="242">
        <f t="shared" si="8"/>
        <v>4671.0995924797789</v>
      </c>
      <c r="Z10" s="245">
        <f t="shared" si="9"/>
        <v>467888.47584672458</v>
      </c>
      <c r="AA10" s="245">
        <f t="shared" si="10"/>
        <v>1469555.1425133913</v>
      </c>
      <c r="AB10" s="245">
        <f t="shared" si="11"/>
        <v>0</v>
      </c>
      <c r="AC10" s="36"/>
      <c r="AD10" s="235">
        <f t="shared" si="12"/>
        <v>5002.8618968386018</v>
      </c>
      <c r="AE10" s="235">
        <f>'2122 Pay &amp; Pension Allocations'!U77/'2223 Funding Detail'!M10</f>
        <v>620.65829840093966</v>
      </c>
      <c r="AF10" s="235">
        <f t="shared" si="13"/>
        <v>5623.5201952395419</v>
      </c>
      <c r="AG10" s="1037"/>
      <c r="AH10" s="247">
        <f t="shared" si="14"/>
        <v>1469555.1425133913</v>
      </c>
      <c r="AI10" s="247">
        <v>1469555.1425133913</v>
      </c>
      <c r="AJ10" s="247">
        <f t="shared" si="15"/>
        <v>0</v>
      </c>
    </row>
    <row r="11" spans="1:36" x14ac:dyDescent="0.25">
      <c r="A11" s="244">
        <v>9257034</v>
      </c>
      <c r="B11" s="237" t="s">
        <v>817</v>
      </c>
      <c r="C11" s="1038" t="s">
        <v>759</v>
      </c>
      <c r="D11" s="245">
        <v>425940</v>
      </c>
      <c r="E11" s="245">
        <v>118450</v>
      </c>
      <c r="F11" s="245"/>
      <c r="G11" s="245"/>
      <c r="H11" s="248">
        <f>VLOOKUP(A11,'2223 Band Calculations'!$A$106:$T$123,10,FALSE)</f>
        <v>1102419.9694233148</v>
      </c>
      <c r="I11" s="248">
        <f>VLOOKUP(A11,'2223 Band Calculations'!$A$106:$T$123,17,FALSE)</f>
        <v>0</v>
      </c>
      <c r="J11" s="245">
        <f>VLOOKUP(A11,'2223 FSM Calculation'!$A$4:$D$21,4,FALSE)</f>
        <v>25342.2</v>
      </c>
      <c r="K11" s="245">
        <f>SUM(D11:J11)</f>
        <v>1672152.1694233147</v>
      </c>
      <c r="L11" s="248">
        <f>K11-F11-G11</f>
        <v>1672152.1694233147</v>
      </c>
      <c r="M11" s="1036">
        <f>VLOOKUP(A11,'2223 Band Calculations'!$A$106:$T$123,19,FALSE)</f>
        <v>122.16666666666667</v>
      </c>
      <c r="N11" s="235">
        <f>VLOOKUP(A11,'2223 Band Calculations'!$A$104:$AN$123,40,(FALSE))</f>
        <v>26802.543521082673</v>
      </c>
      <c r="O11" s="253">
        <f>M11-(M11*(VLOOKUP(A11,'2223 Band Calculations'!$A$6:$J$22,10,(FALSE))))</f>
        <v>121.03549382716049</v>
      </c>
      <c r="P11" s="235">
        <f>(H11+I11-N11)/O11</f>
        <v>8886.7933850728205</v>
      </c>
      <c r="Q11" s="1025">
        <f>'2223 MFG Protection'!L91</f>
        <v>34011.53444176296</v>
      </c>
      <c r="R11" s="1025">
        <f>L11+Q11</f>
        <v>1706163.7038650778</v>
      </c>
      <c r="S11" s="235">
        <f>M11*10000</f>
        <v>1221666.6666666667</v>
      </c>
      <c r="T11" s="235">
        <f>IF(S11&gt;R11,(S11-R11),(0))</f>
        <v>0</v>
      </c>
      <c r="U11" s="242">
        <f>R11/M11</f>
        <v>13965.869335866939</v>
      </c>
      <c r="V11" s="242">
        <f>M11*10000</f>
        <v>1221666.6666666667</v>
      </c>
      <c r="W11" s="242"/>
      <c r="X11" s="242"/>
      <c r="Y11" s="242">
        <f>U11-10000</f>
        <v>3965.8693358669389</v>
      </c>
      <c r="Z11" s="245">
        <f t="shared" ref="Z11:Z16" si="16">R11-V11</f>
        <v>484497.03719841107</v>
      </c>
      <c r="AA11" s="245">
        <f>V11+Z11</f>
        <v>1706163.7038650778</v>
      </c>
      <c r="AB11" s="245">
        <f>R11-AA11</f>
        <v>0</v>
      </c>
      <c r="AC11" s="36"/>
      <c r="AD11" s="235">
        <f t="shared" si="12"/>
        <v>4456.1255115961803</v>
      </c>
      <c r="AE11" s="235">
        <f>'2122 Pay &amp; Pension Allocations'!U78/'2223 Funding Detail'!M11</f>
        <v>575.78049371789302</v>
      </c>
      <c r="AF11" s="235">
        <f t="shared" si="13"/>
        <v>5031.9060053140729</v>
      </c>
      <c r="AG11" s="1037"/>
      <c r="AH11" s="247">
        <f t="shared" si="14"/>
        <v>1672152.1694233147</v>
      </c>
      <c r="AI11" s="247">
        <v>1672152.1694233147</v>
      </c>
      <c r="AJ11" s="247">
        <f t="shared" si="15"/>
        <v>0</v>
      </c>
    </row>
    <row r="12" spans="1:36" x14ac:dyDescent="0.25">
      <c r="A12" s="244">
        <v>9257002</v>
      </c>
      <c r="B12" s="237" t="s">
        <v>808</v>
      </c>
      <c r="C12" s="1038" t="s">
        <v>760</v>
      </c>
      <c r="D12" s="245">
        <v>464060</v>
      </c>
      <c r="E12" s="245">
        <v>123600</v>
      </c>
      <c r="F12" s="245"/>
      <c r="G12" s="245"/>
      <c r="H12" s="248">
        <f>VLOOKUP(A12,'2223 Band Calculations'!$A$106:$T$123,10,FALSE)</f>
        <v>1484746.1499078074</v>
      </c>
      <c r="I12" s="248">
        <f>VLOOKUP(A12,'2223 Band Calculations'!$A$106:$T$123,17,FALSE)</f>
        <v>0</v>
      </c>
      <c r="J12" s="245">
        <f>VLOOKUP(A12,'2223 FSM Calculation'!$A$4:$D$21,4,FALSE)</f>
        <v>19241.3</v>
      </c>
      <c r="K12" s="245">
        <f t="shared" si="0"/>
        <v>2091647.4499078074</v>
      </c>
      <c r="L12" s="248">
        <f t="shared" si="2"/>
        <v>2091647.4499078074</v>
      </c>
      <c r="M12" s="1036">
        <f>VLOOKUP(A12,'2223 Band Calculations'!$A$106:$T$123,19,FALSE)</f>
        <v>155.66666666666669</v>
      </c>
      <c r="N12" s="235">
        <f>VLOOKUP(A12,'2223 Band Calculations'!$A$104:$AN$123,40,(FALSE))</f>
        <v>49509.25533678184</v>
      </c>
      <c r="O12" s="253">
        <f>M12-(M12*(VLOOKUP(A12,'2223 Band Calculations'!$A$6:$J$22,10,(FALSE))))</f>
        <v>153.5771812080537</v>
      </c>
      <c r="P12" s="235">
        <f t="shared" si="3"/>
        <v>9345.3785470035746</v>
      </c>
      <c r="Q12" s="1025">
        <f>'2223 MFG Protection'!L101</f>
        <v>0</v>
      </c>
      <c r="R12" s="1025">
        <f t="shared" si="4"/>
        <v>2091647.4499078074</v>
      </c>
      <c r="S12" s="235">
        <f t="shared" si="5"/>
        <v>1556666.6666666667</v>
      </c>
      <c r="T12" s="235">
        <f t="shared" si="6"/>
        <v>0</v>
      </c>
      <c r="U12" s="242">
        <f t="shared" si="7"/>
        <v>13436.707386988055</v>
      </c>
      <c r="V12" s="242">
        <f t="shared" si="1"/>
        <v>1556666.6666666667</v>
      </c>
      <c r="W12" s="242"/>
      <c r="X12" s="242"/>
      <c r="Y12" s="242">
        <f t="shared" si="8"/>
        <v>3436.7073869880551</v>
      </c>
      <c r="Z12" s="245">
        <f t="shared" si="16"/>
        <v>534980.78324114066</v>
      </c>
      <c r="AA12" s="245">
        <f t="shared" si="10"/>
        <v>2091647.4499078074</v>
      </c>
      <c r="AB12" s="245">
        <f t="shared" si="11"/>
        <v>0</v>
      </c>
      <c r="AC12" s="36"/>
      <c r="AD12" s="235">
        <f t="shared" si="12"/>
        <v>3775.1177730192717</v>
      </c>
      <c r="AE12" s="235">
        <f>'2122 Pay &amp; Pension Allocations'!U79/'2223 Funding Detail'!M12</f>
        <v>564.30159324770204</v>
      </c>
      <c r="AF12" s="235">
        <f t="shared" si="13"/>
        <v>4339.4193662669741</v>
      </c>
      <c r="AG12" s="1037"/>
      <c r="AH12" s="247">
        <f t="shared" si="14"/>
        <v>2091647.4499078074</v>
      </c>
      <c r="AI12" s="247">
        <v>2091647.4499078074</v>
      </c>
      <c r="AJ12" s="247">
        <f t="shared" si="15"/>
        <v>0</v>
      </c>
    </row>
    <row r="13" spans="1:36" x14ac:dyDescent="0.25">
      <c r="A13" s="244">
        <v>9257009</v>
      </c>
      <c r="B13" s="237" t="s">
        <v>997</v>
      </c>
      <c r="C13" s="1038" t="str">
        <f>IF(H13&lt;'School Size Ranges (2324)'!$E$30,'School Size Ranges (2324)'!$D$30,IF(H13&lt;'School Size Ranges (2324)'!$E$31,'School Size Ranges (2324)'!$D$31,IF('2223 Funding Detail'!H13&lt;'School Size Ranges (2324)'!$E$32,'School Size Ranges (2324)'!$D$32,IF(H13&lt;'School Size Ranges (2324)'!$E$33,'School Size Ranges (2324)'!$D$33,IF(H13&lt;'School Size Ranges (2324)'!$E$34,'School Size Ranges (2324)'!$D$34,IF(H13&lt;'School Size Ranges (2324)'!$E$35,'School Size Ranges (2324)'!$D$35,IF(H13&lt;'School Size Ranges (2324)'!$E$36,'School Size Ranges (2324)'!$D$36,IF(H13&lt;'School Size Ranges (2324)'!$E$37,'School Size Ranges (2324)'!$D$37,IF(H13&lt;'School Size Ranges (2324)'!$E$38,'School Size Ranges (2324)'!$D$38,IF(H13&lt;'School Size Ranges (2324)'!$E$39,'School Size Ranges (2324)'!$D$39,IF(H13&lt;'School Size Ranges (2324)'!$E$40,'School Size Ranges (2324)'!$D$40)))))))))))</f>
        <v>School Size 6</v>
      </c>
      <c r="D13" s="245">
        <v>550700</v>
      </c>
      <c r="E13" s="245">
        <v>144200</v>
      </c>
      <c r="F13" s="245"/>
      <c r="G13" s="245">
        <v>393880</v>
      </c>
      <c r="H13" s="248">
        <f>VLOOKUP(A13,'2223 Band Calculations'!$A$106:$T$123,10,FALSE)</f>
        <v>2038600.4346503685</v>
      </c>
      <c r="I13" s="248">
        <f>VLOOKUP(A13,'2223 Band Calculations'!$A$106:$T$123,17,FALSE)</f>
        <v>0</v>
      </c>
      <c r="J13" s="245">
        <f>VLOOKUP(A13,'2223 FSM Calculation'!$A$4:$D$21,4,FALSE)+'2223 FSM Calculation'!D9</f>
        <v>32381.700000000004</v>
      </c>
      <c r="K13" s="245">
        <f t="shared" si="0"/>
        <v>3159762.1346503687</v>
      </c>
      <c r="L13" s="248">
        <f>K13-F13-G13</f>
        <v>2765882.1346503687</v>
      </c>
      <c r="M13" s="1036">
        <f>VLOOKUP(A13,'2223 Band Calculations'!$A$106:$T$123,19,FALSE)</f>
        <v>198.91666666666669</v>
      </c>
      <c r="N13" s="235">
        <f>VLOOKUP(A13,'2223 Band Calculations'!$A$104:$AN$123,40,(FALSE))</f>
        <v>224893.22423236337</v>
      </c>
      <c r="O13" s="253">
        <f>M13-(M13*(VLOOKUP(A13,'2223 Band Calculations'!$A$6:$J$22,10,(FALSE))))</f>
        <v>189.42528735632186</v>
      </c>
      <c r="P13" s="235">
        <f t="shared" si="3"/>
        <v>9574.7892782989347</v>
      </c>
      <c r="Q13" s="1025">
        <f>'2223 MFG Protection'!L111</f>
        <v>34686.323739454252</v>
      </c>
      <c r="R13" s="1025">
        <f t="shared" si="4"/>
        <v>2800568.4583898229</v>
      </c>
      <c r="S13" s="235">
        <f t="shared" si="5"/>
        <v>1989166.6666666667</v>
      </c>
      <c r="T13" s="235">
        <f t="shared" si="6"/>
        <v>0</v>
      </c>
      <c r="U13" s="242">
        <f t="shared" si="7"/>
        <v>14079.104105855831</v>
      </c>
      <c r="V13" s="242">
        <f t="shared" si="1"/>
        <v>1989166.6666666667</v>
      </c>
      <c r="W13" s="242"/>
      <c r="X13" s="242"/>
      <c r="Y13" s="242">
        <f t="shared" si="8"/>
        <v>4079.1041058558312</v>
      </c>
      <c r="Z13" s="245">
        <f t="shared" si="16"/>
        <v>811401.79172315612</v>
      </c>
      <c r="AA13" s="245">
        <f t="shared" si="10"/>
        <v>2800568.4583898229</v>
      </c>
      <c r="AB13" s="245">
        <f t="shared" si="11"/>
        <v>0</v>
      </c>
      <c r="AC13" s="36"/>
      <c r="AD13" s="235">
        <f t="shared" si="12"/>
        <v>3493.4227063259318</v>
      </c>
      <c r="AE13" s="235">
        <f>'2122 Pay &amp; Pension Allocations'!U80/'2223 Funding Detail'!M13</f>
        <v>408.60393139245548</v>
      </c>
      <c r="AF13" s="235">
        <f t="shared" si="13"/>
        <v>3902.0266377183871</v>
      </c>
      <c r="AG13" s="1037"/>
      <c r="AH13" s="1318">
        <f t="shared" si="14"/>
        <v>3159762.1346503687</v>
      </c>
      <c r="AI13" s="1318">
        <v>1839650.9435036718</v>
      </c>
      <c r="AJ13" s="1318">
        <f t="shared" si="15"/>
        <v>1320111.1911466969</v>
      </c>
    </row>
    <row r="14" spans="1:36" ht="13" x14ac:dyDescent="0.3">
      <c r="A14" s="244">
        <v>9257029</v>
      </c>
      <c r="B14" s="32" t="s">
        <v>890</v>
      </c>
      <c r="C14" s="1038" t="s">
        <v>759</v>
      </c>
      <c r="D14" s="245">
        <v>383275</v>
      </c>
      <c r="E14" s="245">
        <v>88550</v>
      </c>
      <c r="F14" s="245">
        <v>283674</v>
      </c>
      <c r="G14" s="245"/>
      <c r="H14" s="248">
        <f>VLOOKUP(A14,'2223 Band Calculations'!$A$106:$T$123,10,FALSE)</f>
        <v>1187618.6252122277</v>
      </c>
      <c r="I14" s="248">
        <f>VLOOKUP(A14,'2223 Band Calculations'!$A$106:$T$123,17,FALSE)</f>
        <v>0</v>
      </c>
      <c r="J14" s="245">
        <f>VLOOKUP(A14,'2223 FSM Calculation'!$A$4:$D$21,4,FALSE)</f>
        <v>15017.6</v>
      </c>
      <c r="K14" s="245">
        <f>SUM(D14:J14)</f>
        <v>1958135.2252122278</v>
      </c>
      <c r="L14" s="248">
        <f>K14-F14-G14</f>
        <v>1674461.2252122278</v>
      </c>
      <c r="M14" s="1036">
        <f>VLOOKUP(A14,'2223 Band Calculations'!$A$106:$T$123,19,FALSE)</f>
        <v>78.583333333333343</v>
      </c>
      <c r="N14" s="235">
        <f>VLOOKUP(A14,'2223 Band Calculations'!$A$104:$AN$123,40,(FALSE))</f>
        <v>0</v>
      </c>
      <c r="O14" s="253">
        <f>M14-(M14*(VLOOKUP(A14,'2223 Band Calculations'!$A$6:$J$22,10,(FALSE))))</f>
        <v>78.583333333333343</v>
      </c>
      <c r="P14" s="235">
        <f>(H14+I14-N14)/O14</f>
        <v>15112.856312350721</v>
      </c>
      <c r="Q14" s="1025">
        <f>'2223 MFG Protection'!L121</f>
        <v>0</v>
      </c>
      <c r="R14" s="1025">
        <f>L14+Q14</f>
        <v>1674461.2252122278</v>
      </c>
      <c r="S14" s="235">
        <f>M14*10000</f>
        <v>785833.33333333337</v>
      </c>
      <c r="T14" s="235">
        <f>IF(S14&gt;R14,(S14-R14),(0))</f>
        <v>0</v>
      </c>
      <c r="U14" s="242">
        <f>R14/M14</f>
        <v>21308.096185097274</v>
      </c>
      <c r="V14" s="242">
        <f>M14*10000</f>
        <v>785833.33333333337</v>
      </c>
      <c r="W14" s="242"/>
      <c r="X14" s="242"/>
      <c r="Y14" s="242">
        <f>U14-10000</f>
        <v>11308.096185097274</v>
      </c>
      <c r="Z14" s="245">
        <f t="shared" si="16"/>
        <v>888627.89187889441</v>
      </c>
      <c r="AA14" s="245">
        <f>V14+Z14</f>
        <v>1674461.2252122278</v>
      </c>
      <c r="AB14" s="245">
        <f>R14-AA14</f>
        <v>0</v>
      </c>
      <c r="AC14" s="36"/>
      <c r="AD14" s="235">
        <f t="shared" si="12"/>
        <v>6004.1357370095429</v>
      </c>
      <c r="AE14" s="235">
        <f>'2122 Pay &amp; Pension Allocations'!U81/'2223 Funding Detail'!M14</f>
        <v>555.26080943372142</v>
      </c>
      <c r="AF14" s="235">
        <f t="shared" si="13"/>
        <v>6559.396546443264</v>
      </c>
      <c r="AG14" s="1037"/>
      <c r="AH14" s="247">
        <f t="shared" si="14"/>
        <v>1958135.2252122278</v>
      </c>
      <c r="AI14" s="247">
        <v>1958135.2252122278</v>
      </c>
      <c r="AJ14" s="247">
        <f t="shared" si="15"/>
        <v>0</v>
      </c>
    </row>
    <row r="15" spans="1:36" ht="13" x14ac:dyDescent="0.3">
      <c r="A15" s="244">
        <v>9257032</v>
      </c>
      <c r="B15" s="32" t="s">
        <v>813</v>
      </c>
      <c r="C15" s="1038" t="s">
        <v>759</v>
      </c>
      <c r="D15" s="245">
        <v>383275</v>
      </c>
      <c r="E15" s="245">
        <v>88550</v>
      </c>
      <c r="F15" s="245">
        <v>251809</v>
      </c>
      <c r="G15" s="245">
        <f>143800+30900</f>
        <v>174700</v>
      </c>
      <c r="H15" s="248">
        <f>VLOOKUP(A15,'2223 Band Calculations'!$A$106:$T$123,10,FALSE)</f>
        <v>1571737.0564844753</v>
      </c>
      <c r="I15" s="248">
        <f>VLOOKUP(A15,'2223 Band Calculations'!$A$106:$T$123,17,FALSE)</f>
        <v>0</v>
      </c>
      <c r="J15" s="245">
        <f>VLOOKUP(A15,'2223 FSM Calculation'!$A$4:$D$21,4,FALSE)</f>
        <v>22057.100000000002</v>
      </c>
      <c r="K15" s="245">
        <f>SUM(D15:J15)</f>
        <v>2492128.1564844754</v>
      </c>
      <c r="L15" s="248">
        <f>K15-F15-G15</f>
        <v>2065619.1564844754</v>
      </c>
      <c r="M15" s="1036">
        <f>VLOOKUP(A15,'2223 Band Calculations'!$A$106:$T$123,19,FALSE)</f>
        <v>104</v>
      </c>
      <c r="N15" s="235">
        <f>VLOOKUP(A15,'2223 Band Calculations'!$A$104:$AN$123,40,(FALSE))</f>
        <v>0</v>
      </c>
      <c r="O15" s="253">
        <f>M15-(M15*(VLOOKUP(A15,'2223 Band Calculations'!$A$6:$J$22,10,(FALSE))))</f>
        <v>104</v>
      </c>
      <c r="P15" s="235">
        <f>(H15+I15-N15)/O15</f>
        <v>15112.856312350723</v>
      </c>
      <c r="Q15" s="1025">
        <f>'2223 MFG Protection'!L131</f>
        <v>0</v>
      </c>
      <c r="R15" s="1025">
        <f>L15+Q15</f>
        <v>2065619.1564844754</v>
      </c>
      <c r="S15" s="235">
        <f>M15*10000</f>
        <v>1040000</v>
      </c>
      <c r="T15" s="235">
        <f>IF(S15&gt;R15,(S15-R15),(0))</f>
        <v>0</v>
      </c>
      <c r="U15" s="242">
        <f>R15/M15</f>
        <v>19861.722658504572</v>
      </c>
      <c r="V15" s="242">
        <f>M15*10000</f>
        <v>1040000</v>
      </c>
      <c r="W15" s="242"/>
      <c r="X15" s="242"/>
      <c r="Y15" s="242">
        <f>U15-10000</f>
        <v>9861.7226585045719</v>
      </c>
      <c r="Z15" s="245">
        <f t="shared" si="16"/>
        <v>1025619.1564844754</v>
      </c>
      <c r="AA15" s="245">
        <f>V15+Z15</f>
        <v>2065619.1564844754</v>
      </c>
      <c r="AB15" s="245">
        <f>R15-AA15</f>
        <v>0</v>
      </c>
      <c r="AC15" s="36"/>
      <c r="AD15" s="235">
        <f t="shared" si="12"/>
        <v>4536.7788461538457</v>
      </c>
      <c r="AE15" s="235">
        <f>'2122 Pay &amp; Pension Allocations'!U82/'2223 Funding Detail'!M15</f>
        <v>532.87872513060836</v>
      </c>
      <c r="AF15" s="235">
        <f t="shared" si="13"/>
        <v>5069.6575712844542</v>
      </c>
      <c r="AG15" s="1037"/>
      <c r="AH15" s="247">
        <f t="shared" si="14"/>
        <v>2492128.1564844754</v>
      </c>
      <c r="AI15" s="247">
        <v>2492128.1564844754</v>
      </c>
      <c r="AJ15" s="247">
        <f t="shared" si="15"/>
        <v>0</v>
      </c>
    </row>
    <row r="16" spans="1:36" ht="13" x14ac:dyDescent="0.3">
      <c r="A16" s="244">
        <v>9257030</v>
      </c>
      <c r="B16" s="32" t="s">
        <v>815</v>
      </c>
      <c r="C16" s="1038" t="s">
        <v>759</v>
      </c>
      <c r="D16" s="245">
        <v>383275</v>
      </c>
      <c r="E16" s="245">
        <v>88550</v>
      </c>
      <c r="F16" s="245">
        <v>309196</v>
      </c>
      <c r="G16" s="245"/>
      <c r="H16" s="248">
        <f>VLOOKUP(A16,'2223 Band Calculations'!$A$106:$T$123,10,FALSE)</f>
        <v>1070493.9887915095</v>
      </c>
      <c r="I16" s="248">
        <f>VLOOKUP(A16,'2223 Band Calculations'!$A$106:$T$123,17,FALSE)</f>
        <v>0</v>
      </c>
      <c r="J16" s="245">
        <f>VLOOKUP(A16,'2223 FSM Calculation'!$A$4:$D$21,4,FALSE)</f>
        <v>16425.5</v>
      </c>
      <c r="K16" s="245">
        <f>SUM(D16:J16)</f>
        <v>1867940.4887915095</v>
      </c>
      <c r="L16" s="248">
        <f>K16-F16-G16</f>
        <v>1558744.4887915095</v>
      </c>
      <c r="M16" s="1036">
        <f>VLOOKUP(A16,'2223 Band Calculations'!$A$106:$T$123,19,FALSE)</f>
        <v>70.833333333333343</v>
      </c>
      <c r="N16" s="235">
        <f>VLOOKUP(A16,'2223 Band Calculations'!$A$104:$AN$123,40,(FALSE))</f>
        <v>0</v>
      </c>
      <c r="O16" s="253">
        <f>M16-(M16*(VLOOKUP(A16,'2223 Band Calculations'!$A$6:$J$22,10,(FALSE))))</f>
        <v>70.833333333333343</v>
      </c>
      <c r="P16" s="235">
        <f>(H16+I16-N16)/O16</f>
        <v>15112.856312350721</v>
      </c>
      <c r="Q16" s="1025">
        <f>'2223 MFG Protection'!L141</f>
        <v>2905.6363932316312</v>
      </c>
      <c r="R16" s="1025">
        <f>L16+Q16</f>
        <v>1561650.1251847411</v>
      </c>
      <c r="S16" s="235">
        <f>M16*10000</f>
        <v>708333.33333333337</v>
      </c>
      <c r="T16" s="235">
        <f>IF(S16&gt;R16,(S16-R16),(0))</f>
        <v>0</v>
      </c>
      <c r="U16" s="242">
        <f>R16/M16</f>
        <v>22046.825296725754</v>
      </c>
      <c r="V16" s="242">
        <f>M16*10000</f>
        <v>708333.33333333337</v>
      </c>
      <c r="W16" s="242"/>
      <c r="X16" s="242"/>
      <c r="Y16" s="242">
        <f>U16-10000</f>
        <v>12046.825296725754</v>
      </c>
      <c r="Z16" s="245">
        <f t="shared" si="16"/>
        <v>853316.79185140773</v>
      </c>
      <c r="AA16" s="245">
        <f>V16+Z16</f>
        <v>1561650.1251847411</v>
      </c>
      <c r="AB16" s="245">
        <f>R16-AA16</f>
        <v>0</v>
      </c>
      <c r="AC16" s="36"/>
      <c r="AD16" s="235">
        <f t="shared" si="12"/>
        <v>6661.0588235294108</v>
      </c>
      <c r="AE16" s="235">
        <f>'2122 Pay &amp; Pension Allocations'!U83/'2223 Funding Detail'!M16</f>
        <v>604.32513019588157</v>
      </c>
      <c r="AF16" s="235">
        <f t="shared" si="13"/>
        <v>7265.3839537252925</v>
      </c>
      <c r="AG16" s="1037"/>
      <c r="AH16" s="247">
        <f t="shared" si="14"/>
        <v>1867940.4887915095</v>
      </c>
      <c r="AI16" s="247">
        <v>1867940.4887915095</v>
      </c>
      <c r="AJ16" s="247">
        <f t="shared" si="15"/>
        <v>0</v>
      </c>
    </row>
    <row r="17" spans="1:36" x14ac:dyDescent="0.25">
      <c r="A17" s="244">
        <v>9257028</v>
      </c>
      <c r="B17" s="237" t="s">
        <v>215</v>
      </c>
      <c r="C17" s="1038" t="s">
        <v>761</v>
      </c>
      <c r="D17" s="245">
        <v>507380</v>
      </c>
      <c r="E17" s="245">
        <v>133900</v>
      </c>
      <c r="F17" s="245"/>
      <c r="G17" s="245"/>
      <c r="H17" s="248">
        <f>VLOOKUP(A17,'2223 Band Calculations'!$A$106:$T$123,10,FALSE)</f>
        <v>1590171.732654036</v>
      </c>
      <c r="I17" s="248">
        <f>VLOOKUP(A17,'2223 Band Calculations'!$A$106:$T$123,17,FALSE)</f>
        <v>0</v>
      </c>
      <c r="J17" s="245">
        <f>VLOOKUP(A17,'2223 FSM Calculation'!$A$4:$D$21,4,FALSE)</f>
        <v>12201.800000000001</v>
      </c>
      <c r="K17" s="245">
        <f t="shared" si="0"/>
        <v>2243653.5326540358</v>
      </c>
      <c r="L17" s="248">
        <f t="shared" si="2"/>
        <v>2243653.5326540358</v>
      </c>
      <c r="M17" s="1036">
        <f>VLOOKUP(A17,'2223 Band Calculations'!$A$106:$T$123,19,FALSE)</f>
        <v>129.91666666666669</v>
      </c>
      <c r="N17" s="235">
        <f>VLOOKUP(A17,'2223 Band Calculations'!$A$104:$AN$123,40,(FALSE))</f>
        <v>388021.87319279567</v>
      </c>
      <c r="O17" s="253">
        <f>M17-(M17*(VLOOKUP(A17,'2223 Band Calculations'!$A$6:$J$22,10,(FALSE))))</f>
        <v>113.54061624649862</v>
      </c>
      <c r="P17" s="235">
        <f t="shared" si="3"/>
        <v>10587.839833908885</v>
      </c>
      <c r="Q17" s="1025">
        <f>'2223 MFG Protection'!L151</f>
        <v>0</v>
      </c>
      <c r="R17" s="1025">
        <f t="shared" si="4"/>
        <v>2243653.5326540358</v>
      </c>
      <c r="S17" s="235">
        <f t="shared" si="5"/>
        <v>1299166.6666666667</v>
      </c>
      <c r="T17" s="235">
        <f t="shared" si="6"/>
        <v>0</v>
      </c>
      <c r="U17" s="242">
        <f t="shared" si="7"/>
        <v>17269.943804905983</v>
      </c>
      <c r="V17" s="242">
        <f t="shared" si="1"/>
        <v>1299166.6666666667</v>
      </c>
      <c r="W17" s="242"/>
      <c r="X17" s="242"/>
      <c r="Y17" s="242">
        <f t="shared" si="8"/>
        <v>7269.9438049059827</v>
      </c>
      <c r="Z17" s="245">
        <f t="shared" si="9"/>
        <v>944486.86598736909</v>
      </c>
      <c r="AA17" s="245">
        <f t="shared" si="10"/>
        <v>2243653.5326540358</v>
      </c>
      <c r="AB17" s="245">
        <f t="shared" si="11"/>
        <v>0</v>
      </c>
      <c r="AC17" s="36"/>
      <c r="AD17" s="235">
        <f t="shared" si="12"/>
        <v>4936.0872354073117</v>
      </c>
      <c r="AE17" s="235">
        <f>'2122 Pay &amp; Pension Allocations'!U84/'2223 Funding Detail'!M17</f>
        <v>502.8795372976283</v>
      </c>
      <c r="AF17" s="235">
        <f t="shared" si="13"/>
        <v>5438.96677270494</v>
      </c>
      <c r="AG17" s="1037"/>
      <c r="AH17" s="247">
        <f t="shared" si="14"/>
        <v>2243653.5326540358</v>
      </c>
      <c r="AI17" s="247">
        <v>2243653.5326540358</v>
      </c>
      <c r="AJ17" s="247">
        <f t="shared" si="15"/>
        <v>0</v>
      </c>
    </row>
    <row r="18" spans="1:36" x14ac:dyDescent="0.25">
      <c r="A18" s="244">
        <v>9257021</v>
      </c>
      <c r="B18" s="237" t="s">
        <v>809</v>
      </c>
      <c r="C18" s="1038" t="s">
        <v>761</v>
      </c>
      <c r="D18" s="245">
        <v>507380</v>
      </c>
      <c r="E18" s="245">
        <v>133900</v>
      </c>
      <c r="F18" s="245"/>
      <c r="G18" s="245"/>
      <c r="H18" s="248">
        <f>VLOOKUP(A18,'2223 Band Calculations'!$A$106:$T$123,10,FALSE)</f>
        <v>1676380.6480545243</v>
      </c>
      <c r="I18" s="248">
        <f>VLOOKUP(A18,'2223 Band Calculations'!$A$106:$T$123,17,FALSE)</f>
        <v>0</v>
      </c>
      <c r="J18" s="245">
        <f>VLOOKUP(A18,'2223 FSM Calculation'!$A$4:$D$21,4,FALSE)</f>
        <v>25342.2</v>
      </c>
      <c r="K18" s="245">
        <f t="shared" si="0"/>
        <v>2343002.8480545245</v>
      </c>
      <c r="L18" s="248">
        <f t="shared" si="2"/>
        <v>2343002.8480545245</v>
      </c>
      <c r="M18" s="1036">
        <f>VLOOKUP(A18,'2223 Band Calculations'!$A$106:$T$123,19,FALSE)</f>
        <v>174.25</v>
      </c>
      <c r="N18" s="235">
        <f>VLOOKUP(A18,'2223 Band Calculations'!$A$104:$AN$123,40,(FALSE))</f>
        <v>48289.611691750295</v>
      </c>
      <c r="O18" s="253">
        <f>M18-(M18*(VLOOKUP(A18,'2223 Band Calculations'!$A$6:$J$22,10,(FALSE))))</f>
        <v>172.21198830409358</v>
      </c>
      <c r="P18" s="235">
        <f t="shared" si="3"/>
        <v>9453.9936063444966</v>
      </c>
      <c r="Q18" s="1025">
        <f>'2223 MFG Protection'!L161</f>
        <v>0</v>
      </c>
      <c r="R18" s="1025">
        <f t="shared" si="4"/>
        <v>2343002.8480545245</v>
      </c>
      <c r="S18" s="235">
        <f t="shared" si="5"/>
        <v>1742500</v>
      </c>
      <c r="T18" s="235">
        <f t="shared" si="6"/>
        <v>0</v>
      </c>
      <c r="U18" s="242">
        <f t="shared" si="7"/>
        <v>13446.214336037443</v>
      </c>
      <c r="V18" s="242">
        <f t="shared" si="1"/>
        <v>1742500</v>
      </c>
      <c r="W18" s="242"/>
      <c r="X18" s="242"/>
      <c r="Y18" s="242">
        <f t="shared" si="8"/>
        <v>3446.214336037443</v>
      </c>
      <c r="Z18" s="245">
        <f t="shared" si="9"/>
        <v>600502.84805452451</v>
      </c>
      <c r="AA18" s="245">
        <f t="shared" si="10"/>
        <v>2343002.8480545245</v>
      </c>
      <c r="AB18" s="245">
        <f t="shared" si="11"/>
        <v>0</v>
      </c>
      <c r="AC18" s="36"/>
      <c r="AD18" s="235">
        <f t="shared" si="12"/>
        <v>3680.2295552367286</v>
      </c>
      <c r="AE18" s="235">
        <f>'2122 Pay &amp; Pension Allocations'!U85/'2223 Funding Detail'!M18</f>
        <v>582.02699289514976</v>
      </c>
      <c r="AF18" s="235">
        <f t="shared" si="13"/>
        <v>4262.2565481318779</v>
      </c>
      <c r="AG18" s="1037"/>
      <c r="AH18" s="247">
        <f t="shared" si="14"/>
        <v>2343002.8480545245</v>
      </c>
      <c r="AI18" s="247">
        <v>2343002.8480545245</v>
      </c>
      <c r="AJ18" s="247">
        <f t="shared" si="15"/>
        <v>0</v>
      </c>
    </row>
    <row r="19" spans="1:36" ht="12.75" customHeight="1" x14ac:dyDescent="0.25">
      <c r="A19" s="244">
        <v>9257015</v>
      </c>
      <c r="B19" s="237" t="s">
        <v>217</v>
      </c>
      <c r="C19" s="1038" t="s">
        <v>763</v>
      </c>
      <c r="D19" s="245">
        <v>597290</v>
      </c>
      <c r="E19" s="245">
        <v>149350</v>
      </c>
      <c r="F19" s="245"/>
      <c r="G19" s="245"/>
      <c r="H19" s="248">
        <f>VLOOKUP(A19,'2223 Band Calculations'!$A$106:$T$123,10,FALSE)</f>
        <v>2226865.9728884418</v>
      </c>
      <c r="I19" s="248">
        <f>VLOOKUP(A19,'2223 Band Calculations'!$A$106:$T$123,17,FALSE)</f>
        <v>0</v>
      </c>
      <c r="J19" s="245">
        <f>VLOOKUP(A19,'2223 FSM Calculation'!$A$4:$D$21,4,FALSE)</f>
        <v>34258.9</v>
      </c>
      <c r="K19" s="245">
        <f t="shared" si="0"/>
        <v>3007764.8728884417</v>
      </c>
      <c r="L19" s="248">
        <f t="shared" si="2"/>
        <v>3007764.8728884417</v>
      </c>
      <c r="M19" s="1036">
        <f>VLOOKUP(A19,'2223 Band Calculations'!$A$106:$T$123,19,FALSE)</f>
        <v>226.5</v>
      </c>
      <c r="N19" s="235">
        <f>VLOOKUP(A19,'2223 Band Calculations'!$A$104:$AN$123,40,(FALSE))</f>
        <v>47704.870913158658</v>
      </c>
      <c r="O19" s="253">
        <f>M19-(M19*(VLOOKUP(A19,'2223 Band Calculations'!$A$6:$J$22,10,(FALSE))))</f>
        <v>224.48666666666668</v>
      </c>
      <c r="P19" s="235">
        <f t="shared" si="3"/>
        <v>9707.3074955095308</v>
      </c>
      <c r="Q19" s="1025">
        <f>'2223 MFG Protection'!L171</f>
        <v>0</v>
      </c>
      <c r="R19" s="1025">
        <f t="shared" si="4"/>
        <v>3007764.8728884417</v>
      </c>
      <c r="S19" s="235">
        <f t="shared" si="5"/>
        <v>2265000</v>
      </c>
      <c r="T19" s="235">
        <f t="shared" si="6"/>
        <v>0</v>
      </c>
      <c r="U19" s="242">
        <f t="shared" si="7"/>
        <v>13279.315112090249</v>
      </c>
      <c r="V19" s="242">
        <f t="shared" si="1"/>
        <v>2265000</v>
      </c>
      <c r="W19" s="242"/>
      <c r="X19" s="242"/>
      <c r="Y19" s="242">
        <f t="shared" si="8"/>
        <v>3279.3151120902494</v>
      </c>
      <c r="Z19" s="245">
        <f t="shared" si="9"/>
        <v>742764.87288844166</v>
      </c>
      <c r="AA19" s="245">
        <f t="shared" si="10"/>
        <v>3007764.8728884417</v>
      </c>
      <c r="AB19" s="245">
        <f t="shared" si="11"/>
        <v>0</v>
      </c>
      <c r="AC19" s="36"/>
      <c r="AD19" s="235">
        <f t="shared" si="12"/>
        <v>3296.4238410596026</v>
      </c>
      <c r="AE19" s="235">
        <f>'2122 Pay &amp; Pension Allocations'!U86/'2223 Funding Detail'!M19</f>
        <v>619.93564076395523</v>
      </c>
      <c r="AF19" s="235">
        <f t="shared" si="13"/>
        <v>3916.3594818235579</v>
      </c>
      <c r="AG19" s="1037"/>
      <c r="AH19" s="247">
        <f t="shared" si="14"/>
        <v>3007764.8728884417</v>
      </c>
      <c r="AI19" s="247">
        <v>3007764.8728884417</v>
      </c>
      <c r="AJ19" s="247">
        <f t="shared" si="15"/>
        <v>0</v>
      </c>
    </row>
    <row r="20" spans="1:36" x14ac:dyDescent="0.25">
      <c r="A20" s="244">
        <v>9257016</v>
      </c>
      <c r="B20" s="237" t="s">
        <v>219</v>
      </c>
      <c r="C20" s="1038" t="s">
        <v>763</v>
      </c>
      <c r="D20" s="245">
        <v>597290</v>
      </c>
      <c r="E20" s="245">
        <v>149350</v>
      </c>
      <c r="F20" s="245"/>
      <c r="G20" s="245"/>
      <c r="H20" s="248">
        <f>VLOOKUP(A20,'2223 Band Calculations'!$A$106:$T$123,10,FALSE)</f>
        <v>2366444.7040477116</v>
      </c>
      <c r="I20" s="248">
        <f>VLOOKUP(A20,'2223 Band Calculations'!$A$106:$T$123,17,FALSE)</f>
        <v>0</v>
      </c>
      <c r="J20" s="245">
        <f>VLOOKUP(A20,'2223 FSM Calculation'!$A$4:$D$21,4,FALSE)</f>
        <v>22057.100000000002</v>
      </c>
      <c r="K20" s="245">
        <f t="shared" si="0"/>
        <v>3135141.8040477117</v>
      </c>
      <c r="L20" s="248">
        <f>K20-F20-G20</f>
        <v>3135141.8040477117</v>
      </c>
      <c r="M20" s="1036">
        <f>VLOOKUP(A20,'2223 Band Calculations'!$A$106:$T$123,19,FALSE)</f>
        <v>164.75</v>
      </c>
      <c r="N20" s="235">
        <f>VLOOKUP(A20,'2223 Band Calculations'!$A$104:$AN$123,40,(FALSE))</f>
        <v>838210.12849815481</v>
      </c>
      <c r="O20" s="253">
        <f>M20-(M20*(VLOOKUP(A20,'2223 Band Calculations'!$A$6:$J$22,10,(FALSE))))</f>
        <v>129.37423312883436</v>
      </c>
      <c r="P20" s="235">
        <f t="shared" si="3"/>
        <v>11812.511182406002</v>
      </c>
      <c r="Q20" s="1025">
        <f>'2223 MFG Protection'!L181</f>
        <v>0</v>
      </c>
      <c r="R20" s="1025">
        <f>L20+Q20</f>
        <v>3135141.8040477117</v>
      </c>
      <c r="S20" s="235">
        <f t="shared" si="5"/>
        <v>1647500</v>
      </c>
      <c r="T20" s="235">
        <f t="shared" si="6"/>
        <v>0</v>
      </c>
      <c r="U20" s="242">
        <f t="shared" si="7"/>
        <v>19029.692285570327</v>
      </c>
      <c r="V20" s="242">
        <f t="shared" si="1"/>
        <v>1647500</v>
      </c>
      <c r="W20" s="242"/>
      <c r="X20" s="242"/>
      <c r="Y20" s="242">
        <f t="shared" si="8"/>
        <v>9029.6922855703269</v>
      </c>
      <c r="Z20" s="245">
        <f t="shared" si="9"/>
        <v>1487641.8040477117</v>
      </c>
      <c r="AA20" s="245">
        <f t="shared" si="10"/>
        <v>3135141.8040477117</v>
      </c>
      <c r="AB20" s="245">
        <f t="shared" si="11"/>
        <v>0</v>
      </c>
      <c r="AC20" s="36"/>
      <c r="AD20" s="235">
        <f t="shared" si="12"/>
        <v>4531.9575113808805</v>
      </c>
      <c r="AE20" s="235">
        <f>'2122 Pay &amp; Pension Allocations'!U87/'2223 Funding Detail'!M20</f>
        <v>503.508582758579</v>
      </c>
      <c r="AF20" s="235">
        <f t="shared" si="13"/>
        <v>5035.4660941394595</v>
      </c>
      <c r="AG20" s="1037"/>
      <c r="AH20" s="247">
        <f t="shared" si="14"/>
        <v>3135141.8040477117</v>
      </c>
      <c r="AI20" s="36">
        <v>3135141.8040477117</v>
      </c>
      <c r="AJ20" s="247">
        <f t="shared" si="15"/>
        <v>0</v>
      </c>
    </row>
    <row r="21" spans="1:36" x14ac:dyDescent="0.25">
      <c r="A21" s="249"/>
      <c r="B21" s="36"/>
      <c r="C21" s="234"/>
      <c r="D21" s="235"/>
      <c r="E21" s="235"/>
      <c r="F21" s="235"/>
      <c r="G21" s="235"/>
      <c r="H21" s="235"/>
      <c r="I21" s="235"/>
      <c r="J21" s="235"/>
      <c r="K21" s="234"/>
      <c r="L21" s="36"/>
      <c r="M21" s="234"/>
      <c r="N21" s="36"/>
      <c r="O21" s="36"/>
      <c r="P21" s="36"/>
      <c r="Q21" s="36"/>
      <c r="R21" s="36"/>
      <c r="S21" s="36"/>
      <c r="T21" s="36"/>
      <c r="U21" s="235"/>
      <c r="V21" s="234"/>
      <c r="W21" s="234"/>
      <c r="X21" s="234"/>
      <c r="Y21" s="234"/>
      <c r="Z21" s="36"/>
      <c r="AA21" s="36"/>
      <c r="AB21" s="234"/>
      <c r="AC21" s="36"/>
      <c r="AD21" s="36"/>
      <c r="AE21" s="36"/>
      <c r="AF21" s="36"/>
      <c r="AG21" s="36"/>
      <c r="AH21" s="36"/>
      <c r="AI21" s="36"/>
      <c r="AJ21" s="36"/>
    </row>
    <row r="22" spans="1:36" ht="13.5" customHeight="1" thickBot="1" x14ac:dyDescent="0.3">
      <c r="A22" s="249"/>
      <c r="B22" s="36"/>
      <c r="C22" s="36"/>
      <c r="D22" s="250">
        <f t="shared" ref="D22:O22" si="17">SUM(D4:D20)</f>
        <v>7642695</v>
      </c>
      <c r="E22" s="250">
        <f t="shared" si="17"/>
        <v>2002200</v>
      </c>
      <c r="F22" s="250">
        <f t="shared" si="17"/>
        <v>1045220</v>
      </c>
      <c r="G22" s="250">
        <f t="shared" si="17"/>
        <v>568580</v>
      </c>
      <c r="H22" s="250">
        <f t="shared" si="17"/>
        <v>23966136.552689545</v>
      </c>
      <c r="I22" s="250">
        <f t="shared" si="17"/>
        <v>0</v>
      </c>
      <c r="J22" s="250">
        <f t="shared" si="17"/>
        <v>341650.4</v>
      </c>
      <c r="K22" s="250">
        <f t="shared" si="17"/>
        <v>35566481.952689551</v>
      </c>
      <c r="L22" s="250">
        <f t="shared" si="17"/>
        <v>33952681.952689551</v>
      </c>
      <c r="M22" s="251">
        <f t="shared" si="17"/>
        <v>2087</v>
      </c>
      <c r="N22" s="250">
        <f t="shared" si="17"/>
        <v>2298533.1616301704</v>
      </c>
      <c r="O22" s="251">
        <f t="shared" si="17"/>
        <v>1989.9928528575979</v>
      </c>
      <c r="P22" s="251"/>
      <c r="Q22" s="250">
        <f>SUM(Q4:Q20)</f>
        <v>91355.174520499058</v>
      </c>
      <c r="R22" s="250">
        <f>SUM(R4:R20)</f>
        <v>34044037.127210051</v>
      </c>
      <c r="S22" s="250">
        <f>SUM(S4:S20)</f>
        <v>20870000</v>
      </c>
      <c r="T22" s="36"/>
      <c r="U22" s="235"/>
      <c r="V22" s="250">
        <f>SUM(V4:V20)</f>
        <v>20870000</v>
      </c>
      <c r="W22" s="250">
        <f>SUM(W4:W20)</f>
        <v>0</v>
      </c>
      <c r="X22" s="250">
        <f>SUM(X4:X20)</f>
        <v>0</v>
      </c>
      <c r="Y22" s="235"/>
      <c r="Z22" s="250">
        <f>SUM(Z4:Z20)</f>
        <v>13174037.127210047</v>
      </c>
      <c r="AA22" s="250">
        <f>SUM(AA4:AA20)</f>
        <v>34044037.127210051</v>
      </c>
      <c r="AB22" s="234"/>
      <c r="AC22" s="36"/>
      <c r="AD22" s="36"/>
      <c r="AE22" s="36"/>
      <c r="AF22" s="36"/>
      <c r="AG22" s="36"/>
      <c r="AH22" s="36"/>
      <c r="AI22" s="36"/>
      <c r="AJ22" s="36"/>
    </row>
    <row r="23" spans="1:36" ht="13" x14ac:dyDescent="0.3">
      <c r="A23" s="249"/>
      <c r="B23" s="36"/>
      <c r="C23" s="862"/>
      <c r="D23" s="861"/>
      <c r="E23" s="861"/>
      <c r="F23" s="861"/>
      <c r="G23" s="861"/>
      <c r="H23" s="861"/>
      <c r="I23" s="861"/>
      <c r="J23" s="861"/>
      <c r="K23" s="861"/>
      <c r="L23" s="881"/>
      <c r="M23" s="881"/>
      <c r="N23" s="861"/>
      <c r="O23" s="882"/>
      <c r="P23" s="861"/>
      <c r="Q23" s="861"/>
      <c r="R23" s="861"/>
      <c r="S23" s="247"/>
      <c r="T23" s="36"/>
      <c r="U23" s="235"/>
      <c r="V23" s="235"/>
      <c r="W23" s="235"/>
      <c r="X23" s="235"/>
      <c r="Y23" s="249"/>
      <c r="Z23" s="36"/>
      <c r="AA23" s="36"/>
      <c r="AB23" s="234"/>
      <c r="AC23" s="36"/>
      <c r="AD23" s="36"/>
      <c r="AE23" s="36"/>
      <c r="AF23" s="36"/>
      <c r="AG23" s="36"/>
      <c r="AH23" s="249"/>
      <c r="AI23" s="36"/>
      <c r="AJ23" s="36"/>
    </row>
    <row r="24" spans="1:36" ht="13" x14ac:dyDescent="0.3">
      <c r="A24" s="36"/>
      <c r="B24" s="806" t="s">
        <v>998</v>
      </c>
      <c r="C24" s="234"/>
      <c r="D24" s="1071">
        <f>D22-D44</f>
        <v>555195</v>
      </c>
      <c r="E24" s="1071">
        <f>E22-E44</f>
        <v>-2800</v>
      </c>
      <c r="F24" s="1080"/>
      <c r="G24" s="1071"/>
      <c r="H24" s="1071">
        <f>H22-H44-I44</f>
        <v>1422709.8100403396</v>
      </c>
      <c r="I24" s="1071"/>
      <c r="J24" s="1071">
        <f>J22-J44</f>
        <v>52142.150000000023</v>
      </c>
      <c r="K24" s="1071"/>
      <c r="L24" s="1071"/>
      <c r="M24" s="1081">
        <f>M22-M44</f>
        <v>98.5</v>
      </c>
      <c r="N24" s="36"/>
      <c r="O24" s="816"/>
      <c r="P24" s="816"/>
      <c r="Q24" s="36" t="s">
        <v>958</v>
      </c>
      <c r="R24" s="235">
        <f>'2122 Funding Detail'!R23</f>
        <v>32192766.037028458</v>
      </c>
      <c r="S24" s="36"/>
      <c r="T24" s="36"/>
      <c r="U24" s="235"/>
      <c r="V24" s="234"/>
      <c r="W24" s="234"/>
      <c r="X24" s="234"/>
      <c r="Y24" s="234"/>
      <c r="Z24" s="234"/>
      <c r="AA24" s="234" t="s">
        <v>999</v>
      </c>
      <c r="AB24" s="234"/>
      <c r="AC24" s="36"/>
      <c r="AD24" s="36"/>
      <c r="AE24" s="36"/>
      <c r="AF24" s="36"/>
      <c r="AG24" s="36"/>
      <c r="AH24" s="36">
        <v>1320111.1911466967</v>
      </c>
      <c r="AI24" s="247">
        <v>1320111.1911466967</v>
      </c>
      <c r="AJ24" s="36"/>
    </row>
    <row r="25" spans="1:36" ht="13" x14ac:dyDescent="0.3">
      <c r="A25" s="36"/>
      <c r="B25" s="234"/>
      <c r="C25" s="36"/>
      <c r="D25" s="235"/>
      <c r="E25" s="832"/>
      <c r="F25" s="234"/>
      <c r="G25" s="234"/>
      <c r="H25" s="36"/>
      <c r="I25" s="247"/>
      <c r="J25" s="36"/>
      <c r="K25" s="234"/>
      <c r="L25" s="36"/>
      <c r="M25" s="253"/>
      <c r="N25" s="36"/>
      <c r="O25" s="36"/>
      <c r="P25" s="36"/>
      <c r="Q25" s="36"/>
      <c r="R25" s="234"/>
      <c r="S25" s="861"/>
      <c r="T25" s="36"/>
      <c r="U25" s="235"/>
      <c r="V25" s="234"/>
      <c r="W25" s="234"/>
      <c r="X25" s="234"/>
      <c r="Y25" s="234"/>
      <c r="Z25" s="234"/>
      <c r="AA25" s="36"/>
      <c r="AB25" s="234"/>
      <c r="AC25" s="36"/>
      <c r="AD25" s="36"/>
      <c r="AE25" s="36"/>
      <c r="AF25" s="36"/>
      <c r="AG25" s="36"/>
      <c r="AH25" s="36"/>
      <c r="AI25" s="36"/>
      <c r="AJ25" s="36"/>
    </row>
    <row r="26" spans="1:36" x14ac:dyDescent="0.25">
      <c r="A26" s="244">
        <v>9257010</v>
      </c>
      <c r="B26" s="237" t="s">
        <v>804</v>
      </c>
      <c r="C26" s="1038" t="s">
        <v>760</v>
      </c>
      <c r="D26" s="245">
        <v>420000</v>
      </c>
      <c r="E26" s="245">
        <v>120000</v>
      </c>
      <c r="F26" s="245"/>
      <c r="G26" s="245"/>
      <c r="H26" s="248">
        <v>1158838.1764308882</v>
      </c>
      <c r="I26" s="248">
        <v>21498.253968253968</v>
      </c>
      <c r="J26" s="245">
        <v>7630.4500000000007</v>
      </c>
      <c r="K26" s="245">
        <v>1727966.8803991422</v>
      </c>
      <c r="L26" s="248">
        <v>1727966.8803991422</v>
      </c>
      <c r="M26" s="1036">
        <v>85.666666666666671</v>
      </c>
      <c r="N26" s="1198">
        <f>M4-M26</f>
        <v>29.666666666666657</v>
      </c>
      <c r="O26" s="36"/>
      <c r="P26" s="247"/>
      <c r="Q26" s="36" t="s">
        <v>3</v>
      </c>
      <c r="R26" s="235">
        <f>R22-R24</f>
        <v>1851271.0901815929</v>
      </c>
      <c r="S26" s="36"/>
      <c r="T26" s="36"/>
      <c r="U26" s="235"/>
      <c r="V26" s="234"/>
      <c r="W26" s="234"/>
      <c r="X26" s="234"/>
      <c r="Y26" s="234"/>
      <c r="Z26" s="234"/>
      <c r="AA26" s="36"/>
      <c r="AB26" s="234"/>
      <c r="AC26" s="36"/>
      <c r="AD26" s="36"/>
      <c r="AE26" s="36"/>
      <c r="AF26" s="36"/>
      <c r="AG26" s="36"/>
      <c r="AH26" s="36"/>
      <c r="AI26" s="247">
        <f>AJ13-AI24</f>
        <v>0</v>
      </c>
      <c r="AJ26" s="36"/>
    </row>
    <row r="27" spans="1:36" x14ac:dyDescent="0.25">
      <c r="A27" s="244">
        <v>9257005</v>
      </c>
      <c r="B27" s="237" t="s">
        <v>805</v>
      </c>
      <c r="C27" s="1040" t="s">
        <v>758</v>
      </c>
      <c r="D27" s="245">
        <v>360000</v>
      </c>
      <c r="E27" s="245">
        <v>110000</v>
      </c>
      <c r="F27" s="245"/>
      <c r="G27" s="245"/>
      <c r="H27" s="248">
        <v>1001409.0586673757</v>
      </c>
      <c r="I27" s="248">
        <v>13710.234375</v>
      </c>
      <c r="J27" s="245">
        <v>10323.550000000001</v>
      </c>
      <c r="K27" s="245">
        <v>1495442.8430423758</v>
      </c>
      <c r="L27" s="248">
        <v>1495442.8430423758</v>
      </c>
      <c r="M27" s="1036">
        <v>83.25</v>
      </c>
      <c r="N27" s="1198">
        <f>M5-M27</f>
        <v>5.3333333333333428</v>
      </c>
      <c r="O27" s="36"/>
      <c r="P27" s="36"/>
      <c r="Q27" s="36"/>
      <c r="R27" s="234"/>
      <c r="S27" s="36"/>
      <c r="T27" s="36"/>
      <c r="U27" s="235"/>
      <c r="V27" s="234"/>
      <c r="W27" s="234"/>
      <c r="X27" s="234"/>
      <c r="Y27" s="234"/>
      <c r="Z27" s="36"/>
      <c r="AA27" s="36"/>
      <c r="AB27" s="234"/>
      <c r="AC27" s="36"/>
      <c r="AD27" s="36"/>
      <c r="AE27" s="36"/>
      <c r="AF27" s="36"/>
      <c r="AG27" s="36"/>
      <c r="AH27" s="36"/>
      <c r="AI27" s="36"/>
      <c r="AJ27" s="36"/>
    </row>
    <row r="28" spans="1:36" x14ac:dyDescent="0.25">
      <c r="A28" s="244">
        <v>9257025</v>
      </c>
      <c r="B28" s="237" t="s">
        <v>806</v>
      </c>
      <c r="C28" s="1038" t="s">
        <v>758</v>
      </c>
      <c r="D28" s="245">
        <v>360000</v>
      </c>
      <c r="E28" s="245">
        <v>110000</v>
      </c>
      <c r="F28" s="245"/>
      <c r="G28" s="245"/>
      <c r="H28" s="248">
        <v>857582.99105446076</v>
      </c>
      <c r="I28" s="248">
        <v>7956.3311688311687</v>
      </c>
      <c r="J28" s="245">
        <v>9425.85</v>
      </c>
      <c r="K28" s="245">
        <v>1344965.1722232921</v>
      </c>
      <c r="L28" s="248">
        <v>1344965.1722232921</v>
      </c>
      <c r="M28" s="1036">
        <v>77.5</v>
      </c>
      <c r="N28" s="1198">
        <f>M6-M28</f>
        <v>6.9166666666666714</v>
      </c>
      <c r="O28" s="36"/>
      <c r="P28" s="36"/>
      <c r="Q28" s="36"/>
      <c r="R28" s="235">
        <f>R26+G13</f>
        <v>2245151.0901815929</v>
      </c>
      <c r="S28" s="36"/>
      <c r="T28" s="36"/>
      <c r="U28" s="235"/>
      <c r="V28" s="234"/>
      <c r="W28" s="234"/>
      <c r="X28" s="234"/>
      <c r="Y28" s="234"/>
      <c r="Z28" s="36"/>
      <c r="AA28" s="36"/>
      <c r="AB28" s="234"/>
      <c r="AC28" s="36"/>
      <c r="AD28" s="36"/>
      <c r="AE28" s="36"/>
      <c r="AF28" s="36"/>
      <c r="AG28" s="36"/>
      <c r="AH28" s="36"/>
      <c r="AI28" s="36"/>
      <c r="AJ28" s="36"/>
    </row>
    <row r="29" spans="1:36" x14ac:dyDescent="0.25">
      <c r="A29" s="244">
        <v>9257011</v>
      </c>
      <c r="B29" s="237" t="s">
        <v>210</v>
      </c>
      <c r="C29" s="1038" t="s">
        <v>757</v>
      </c>
      <c r="D29" s="245">
        <v>332500</v>
      </c>
      <c r="E29" s="245">
        <v>105000</v>
      </c>
      <c r="F29" s="245"/>
      <c r="G29" s="245"/>
      <c r="H29" s="248">
        <v>743100.46710014949</v>
      </c>
      <c r="I29" s="248">
        <v>2883.5849056603774</v>
      </c>
      <c r="J29" s="245">
        <v>10772.400000000001</v>
      </c>
      <c r="K29" s="245">
        <v>1194256.4520058099</v>
      </c>
      <c r="L29" s="248">
        <v>1194256.4520058099</v>
      </c>
      <c r="M29" s="1036">
        <v>58</v>
      </c>
      <c r="N29" s="1198">
        <f>0-M29</f>
        <v>-58</v>
      </c>
      <c r="O29" s="298"/>
      <c r="P29" s="298"/>
      <c r="Q29" s="298"/>
      <c r="R29" s="298"/>
      <c r="S29" s="298"/>
      <c r="T29" s="298"/>
      <c r="U29" s="298"/>
      <c r="V29" s="298"/>
      <c r="W29" s="298"/>
      <c r="X29" s="298"/>
      <c r="Y29" s="298"/>
      <c r="Z29" s="298"/>
      <c r="AA29" s="298"/>
      <c r="AB29" s="298"/>
      <c r="AC29" s="36"/>
      <c r="AD29" s="36"/>
      <c r="AE29" s="36"/>
      <c r="AF29" s="36"/>
      <c r="AG29" s="36"/>
      <c r="AH29" s="36"/>
      <c r="AI29" s="36"/>
      <c r="AJ29" s="36"/>
    </row>
    <row r="30" spans="1:36" x14ac:dyDescent="0.25">
      <c r="A30" s="244">
        <v>9257024</v>
      </c>
      <c r="B30" s="237" t="s">
        <v>807</v>
      </c>
      <c r="C30" s="1038" t="s">
        <v>758</v>
      </c>
      <c r="D30" s="245">
        <v>360000</v>
      </c>
      <c r="E30" s="245">
        <v>110000</v>
      </c>
      <c r="F30" s="245"/>
      <c r="G30" s="245"/>
      <c r="H30" s="248">
        <v>983575.69878823857</v>
      </c>
      <c r="I30" s="248">
        <v>2664.1014056224903</v>
      </c>
      <c r="J30" s="245">
        <v>9874.7000000000007</v>
      </c>
      <c r="K30" s="245">
        <v>1466114.5001938611</v>
      </c>
      <c r="L30" s="248">
        <v>1466114.5001938611</v>
      </c>
      <c r="M30" s="1036">
        <v>83.916666666666686</v>
      </c>
      <c r="N30" s="1198">
        <f t="shared" ref="N30:N43" si="18">M7-M30</f>
        <v>2.4166666666666572</v>
      </c>
      <c r="O30" s="36"/>
      <c r="P30" s="36"/>
      <c r="Q30" s="36"/>
      <c r="R30" s="235"/>
      <c r="S30" s="36"/>
      <c r="T30" s="36"/>
      <c r="U30" s="235"/>
      <c r="V30" s="234"/>
      <c r="W30" s="234"/>
      <c r="X30" s="234"/>
      <c r="Y30" s="234"/>
      <c r="Z30" s="36"/>
      <c r="AA30" s="36"/>
      <c r="AB30" s="234"/>
      <c r="AC30" s="36"/>
      <c r="AD30" s="36"/>
      <c r="AE30" s="36"/>
      <c r="AF30" s="36"/>
      <c r="AG30" s="36"/>
      <c r="AH30" s="36"/>
      <c r="AI30" s="36"/>
      <c r="AJ30" s="36"/>
    </row>
    <row r="31" spans="1:36" x14ac:dyDescent="0.25">
      <c r="A31" s="244">
        <v>9257031</v>
      </c>
      <c r="B31" s="237" t="s">
        <v>557</v>
      </c>
      <c r="C31" s="1038" t="s">
        <v>760</v>
      </c>
      <c r="D31" s="245">
        <v>360000</v>
      </c>
      <c r="E31" s="245">
        <v>85000</v>
      </c>
      <c r="F31" s="245">
        <v>187683</v>
      </c>
      <c r="G31" s="245"/>
      <c r="H31" s="248">
        <v>971767.43493117648</v>
      </c>
      <c r="I31" s="248">
        <v>212337.08333333337</v>
      </c>
      <c r="J31" s="245">
        <v>21095.95</v>
      </c>
      <c r="K31" s="245">
        <v>1837883.4682645097</v>
      </c>
      <c r="L31" s="248">
        <v>1650200.4682645097</v>
      </c>
      <c r="M31" s="1036">
        <v>80.583333333333343</v>
      </c>
      <c r="N31" s="1198">
        <f t="shared" si="18"/>
        <v>-0.1666666666666714</v>
      </c>
      <c r="O31" s="36"/>
      <c r="P31" s="36"/>
      <c r="Q31" s="36"/>
      <c r="R31" s="36"/>
      <c r="S31" s="36"/>
      <c r="T31" s="36"/>
      <c r="U31" s="235"/>
      <c r="V31" s="234"/>
      <c r="W31" s="234"/>
      <c r="X31" s="234"/>
      <c r="Y31" s="234"/>
      <c r="Z31" s="36"/>
      <c r="AA31" s="36"/>
      <c r="AB31" s="234"/>
      <c r="AC31" s="36"/>
      <c r="AD31" s="36"/>
      <c r="AE31" s="36"/>
      <c r="AF31" s="36"/>
      <c r="AG31" s="36"/>
      <c r="AH31" s="36"/>
      <c r="AI31" s="36"/>
      <c r="AJ31" s="36"/>
    </row>
    <row r="32" spans="1:36" x14ac:dyDescent="0.25">
      <c r="A32" s="244">
        <v>9257033</v>
      </c>
      <c r="B32" s="237" t="s">
        <v>816</v>
      </c>
      <c r="C32" s="1038" t="s">
        <v>758</v>
      </c>
      <c r="D32" s="245">
        <v>360000</v>
      </c>
      <c r="E32" s="245">
        <v>110000</v>
      </c>
      <c r="F32" s="245"/>
      <c r="G32" s="245"/>
      <c r="H32" s="248">
        <v>920915.78688585176</v>
      </c>
      <c r="I32" s="248">
        <v>16378.605263157897</v>
      </c>
      <c r="J32" s="245">
        <v>21993.65</v>
      </c>
      <c r="K32" s="245">
        <v>1429288.0421490096</v>
      </c>
      <c r="L32" s="248">
        <v>1429288.0421490096</v>
      </c>
      <c r="M32" s="1036">
        <v>98.416666666666671</v>
      </c>
      <c r="N32" s="1198">
        <f t="shared" si="18"/>
        <v>7.7500000000000142</v>
      </c>
      <c r="O32" s="36"/>
      <c r="P32" s="36"/>
      <c r="Q32" s="36"/>
      <c r="R32" s="280"/>
      <c r="S32" s="36"/>
      <c r="T32" s="36"/>
      <c r="U32" s="235"/>
      <c r="V32" s="234"/>
      <c r="W32" s="234"/>
      <c r="X32" s="234"/>
      <c r="Y32" s="234"/>
      <c r="Z32" s="36"/>
      <c r="AA32" s="36"/>
      <c r="AB32" s="234"/>
      <c r="AC32" s="36"/>
      <c r="AD32" s="36"/>
      <c r="AE32" s="36"/>
      <c r="AF32" s="36"/>
      <c r="AG32" s="36"/>
      <c r="AH32" s="36"/>
      <c r="AI32" s="36"/>
      <c r="AJ32" s="36"/>
    </row>
    <row r="33" spans="1:28" x14ac:dyDescent="0.25">
      <c r="A33" s="244">
        <v>9257008</v>
      </c>
      <c r="B33" s="237" t="s">
        <v>340</v>
      </c>
      <c r="C33" s="1038" t="s">
        <v>758</v>
      </c>
      <c r="D33" s="245">
        <v>360000</v>
      </c>
      <c r="E33" s="245">
        <v>110000</v>
      </c>
      <c r="F33" s="245"/>
      <c r="G33" s="245"/>
      <c r="H33" s="248">
        <v>955264.96067784482</v>
      </c>
      <c r="I33" s="248">
        <v>20991.279461279461</v>
      </c>
      <c r="J33" s="245">
        <v>14363.2</v>
      </c>
      <c r="K33" s="245">
        <v>1460619.4401391244</v>
      </c>
      <c r="L33" s="248">
        <v>1460619.4401391244</v>
      </c>
      <c r="M33" s="1036">
        <v>98.583333333333343</v>
      </c>
      <c r="N33" s="1198">
        <f t="shared" si="18"/>
        <v>1.5833333333333286</v>
      </c>
      <c r="O33" s="36"/>
      <c r="P33" s="36"/>
      <c r="Q33" s="296"/>
      <c r="R33" s="36"/>
      <c r="S33" s="36"/>
      <c r="T33" s="36"/>
      <c r="U33" s="235"/>
      <c r="V33" s="234"/>
      <c r="W33" s="234"/>
      <c r="X33" s="234"/>
      <c r="Y33" s="234"/>
      <c r="Z33" s="36"/>
      <c r="AA33" s="36"/>
      <c r="AB33" s="234"/>
    </row>
    <row r="34" spans="1:28" x14ac:dyDescent="0.25">
      <c r="A34" s="244">
        <v>9257034</v>
      </c>
      <c r="B34" s="237" t="s">
        <v>817</v>
      </c>
      <c r="C34" s="1040" t="s">
        <v>759</v>
      </c>
      <c r="D34" s="245">
        <v>390000</v>
      </c>
      <c r="E34" s="245">
        <v>115000</v>
      </c>
      <c r="F34" s="245"/>
      <c r="G34" s="245"/>
      <c r="H34" s="248">
        <v>1087703.2634701165</v>
      </c>
      <c r="I34" s="248">
        <v>45895.134680134681</v>
      </c>
      <c r="J34" s="245">
        <v>21095.95</v>
      </c>
      <c r="K34" s="245">
        <v>1659694.3481502512</v>
      </c>
      <c r="L34" s="248">
        <v>1659694.3481502512</v>
      </c>
      <c r="M34" s="1036">
        <v>123.16666666666666</v>
      </c>
      <c r="N34" s="1198">
        <f t="shared" si="18"/>
        <v>-0.99999999999998579</v>
      </c>
      <c r="O34" s="36"/>
      <c r="P34" s="36"/>
      <c r="Q34" s="36"/>
      <c r="R34" s="36"/>
      <c r="S34" s="36"/>
      <c r="T34" s="36"/>
      <c r="U34" s="235"/>
      <c r="V34" s="234"/>
      <c r="W34" s="234"/>
      <c r="X34" s="234"/>
      <c r="Y34" s="234"/>
      <c r="Z34" s="36"/>
      <c r="AA34" s="36"/>
      <c r="AB34" s="234"/>
    </row>
    <row r="35" spans="1:28" x14ac:dyDescent="0.25">
      <c r="A35" s="244">
        <v>9257002</v>
      </c>
      <c r="B35" s="237" t="s">
        <v>808</v>
      </c>
      <c r="C35" s="1038" t="s">
        <v>760</v>
      </c>
      <c r="D35" s="245">
        <v>420000</v>
      </c>
      <c r="E35" s="245">
        <v>120000</v>
      </c>
      <c r="F35" s="245"/>
      <c r="G35" s="245"/>
      <c r="H35" s="248">
        <v>1324642.7827644676</v>
      </c>
      <c r="I35" s="248">
        <v>50653.670212765952</v>
      </c>
      <c r="J35" s="245">
        <v>18851.7</v>
      </c>
      <c r="K35" s="245">
        <v>1934148.1529772335</v>
      </c>
      <c r="L35" s="248">
        <v>1934148.1529772335</v>
      </c>
      <c r="M35" s="1036">
        <v>150.58333333333334</v>
      </c>
      <c r="N35" s="1198">
        <f t="shared" si="18"/>
        <v>5.0833333333333428</v>
      </c>
      <c r="O35" s="36"/>
      <c r="P35" s="36"/>
      <c r="Q35" s="36"/>
      <c r="R35" s="36"/>
      <c r="S35" s="36"/>
      <c r="T35" s="36"/>
      <c r="U35" s="235"/>
      <c r="V35" s="234"/>
      <c r="W35" s="234"/>
      <c r="X35" s="234"/>
      <c r="Y35" s="234"/>
      <c r="Z35" s="36"/>
      <c r="AA35" s="36"/>
      <c r="AB35" s="234"/>
    </row>
    <row r="36" spans="1:28" x14ac:dyDescent="0.25">
      <c r="A36" s="244">
        <v>9257009</v>
      </c>
      <c r="B36" s="237" t="s">
        <v>546</v>
      </c>
      <c r="C36" s="1038" t="s">
        <v>759</v>
      </c>
      <c r="D36" s="245">
        <v>390000</v>
      </c>
      <c r="E36" s="245">
        <v>115000</v>
      </c>
      <c r="F36" s="245"/>
      <c r="G36" s="245"/>
      <c r="H36" s="248">
        <v>1156108.9567382953</v>
      </c>
      <c r="I36" s="248">
        <v>28668.800000000007</v>
      </c>
      <c r="J36" s="245">
        <v>22442.5</v>
      </c>
      <c r="K36" s="245">
        <v>1712220.2567382953</v>
      </c>
      <c r="L36" s="248">
        <v>1712220.2567382953</v>
      </c>
      <c r="M36" s="1036">
        <v>136</v>
      </c>
      <c r="N36" s="1198">
        <f t="shared" si="18"/>
        <v>62.916666666666686</v>
      </c>
      <c r="O36" s="36"/>
      <c r="P36" s="36"/>
      <c r="Q36" s="36"/>
      <c r="R36" s="36"/>
      <c r="S36" s="36"/>
      <c r="T36" s="36"/>
      <c r="U36" s="36"/>
      <c r="V36" s="36"/>
      <c r="W36" s="36"/>
      <c r="X36" s="36"/>
      <c r="Y36" s="36"/>
      <c r="Z36" s="36"/>
      <c r="AA36" s="36"/>
      <c r="AB36" s="36"/>
    </row>
    <row r="37" spans="1:28" x14ac:dyDescent="0.25">
      <c r="A37" s="244">
        <v>9257029</v>
      </c>
      <c r="B37" s="237" t="s">
        <v>890</v>
      </c>
      <c r="C37" s="1040" t="s">
        <v>759</v>
      </c>
      <c r="D37" s="245">
        <v>350000</v>
      </c>
      <c r="E37" s="245">
        <v>85000</v>
      </c>
      <c r="F37" s="245">
        <v>265481</v>
      </c>
      <c r="G37" s="245"/>
      <c r="H37" s="248">
        <v>900417.39575836004</v>
      </c>
      <c r="I37" s="248">
        <v>196746.66666666669</v>
      </c>
      <c r="J37" s="245">
        <v>10323.550000000001</v>
      </c>
      <c r="K37" s="245">
        <v>1807968.6124250269</v>
      </c>
      <c r="L37" s="248">
        <v>1542487.6124250269</v>
      </c>
      <c r="M37" s="1036">
        <v>74.666666666666671</v>
      </c>
      <c r="N37" s="1198">
        <f t="shared" si="18"/>
        <v>3.9166666666666714</v>
      </c>
      <c r="O37" s="36"/>
      <c r="P37" s="36"/>
      <c r="Q37" s="36"/>
      <c r="R37" s="36"/>
      <c r="S37" s="36"/>
      <c r="T37" s="36"/>
      <c r="U37" s="36"/>
      <c r="V37" s="36"/>
      <c r="W37" s="36"/>
      <c r="X37" s="36"/>
      <c r="Y37" s="36"/>
      <c r="Z37" s="36"/>
      <c r="AA37" s="36"/>
      <c r="AB37" s="36"/>
    </row>
    <row r="38" spans="1:28" x14ac:dyDescent="0.25">
      <c r="A38" s="244">
        <v>9257032</v>
      </c>
      <c r="B38" s="237" t="s">
        <v>813</v>
      </c>
      <c r="C38" s="244" t="s">
        <v>759</v>
      </c>
      <c r="D38" s="245">
        <v>350000</v>
      </c>
      <c r="E38" s="245">
        <v>85000</v>
      </c>
      <c r="F38" s="245">
        <v>235661</v>
      </c>
      <c r="G38" s="245">
        <v>168000</v>
      </c>
      <c r="H38" s="248">
        <v>1143610.4870234528</v>
      </c>
      <c r="I38" s="248">
        <v>249885.83333333337</v>
      </c>
      <c r="J38" s="245">
        <v>19300.55</v>
      </c>
      <c r="K38" s="245">
        <v>2251457.8703567861</v>
      </c>
      <c r="L38" s="248">
        <v>1847796.8703567861</v>
      </c>
      <c r="M38" s="1036">
        <v>94.833333333333343</v>
      </c>
      <c r="N38" s="1198">
        <f t="shared" si="18"/>
        <v>9.1666666666666572</v>
      </c>
      <c r="O38" s="36"/>
      <c r="P38" s="36"/>
      <c r="Q38" s="36"/>
      <c r="R38" s="36"/>
      <c r="S38" s="36"/>
      <c r="T38" s="36"/>
      <c r="U38" s="36"/>
      <c r="V38" s="36"/>
      <c r="W38" s="36"/>
      <c r="X38" s="36"/>
      <c r="Y38" s="36"/>
      <c r="Z38" s="36"/>
      <c r="AA38" s="36"/>
      <c r="AB38" s="36"/>
    </row>
    <row r="39" spans="1:28" ht="13" x14ac:dyDescent="0.3">
      <c r="A39" s="244">
        <v>9257030</v>
      </c>
      <c r="B39" s="32" t="s">
        <v>815</v>
      </c>
      <c r="C39" s="1038" t="s">
        <v>759</v>
      </c>
      <c r="D39" s="245">
        <v>350000</v>
      </c>
      <c r="E39" s="245">
        <v>85000</v>
      </c>
      <c r="F39" s="245">
        <v>289365</v>
      </c>
      <c r="G39" s="245"/>
      <c r="H39" s="248">
        <v>883333.58356205188</v>
      </c>
      <c r="I39" s="248">
        <v>193013.75</v>
      </c>
      <c r="J39" s="245">
        <v>8977</v>
      </c>
      <c r="K39" s="245">
        <v>1809689.3335620519</v>
      </c>
      <c r="L39" s="248">
        <v>1520324.3335620519</v>
      </c>
      <c r="M39" s="1036">
        <v>73.25</v>
      </c>
      <c r="N39" s="1198">
        <f t="shared" si="18"/>
        <v>-2.4166666666666572</v>
      </c>
      <c r="O39" s="36"/>
      <c r="P39" s="36"/>
      <c r="Q39" s="36"/>
      <c r="R39" s="36"/>
      <c r="S39" s="36"/>
      <c r="T39" s="36"/>
      <c r="U39" s="36"/>
      <c r="V39" s="36"/>
      <c r="W39" s="36"/>
      <c r="X39" s="36"/>
      <c r="Y39" s="36"/>
      <c r="Z39" s="36"/>
      <c r="AA39" s="36"/>
      <c r="AB39" s="36"/>
    </row>
    <row r="40" spans="1:28" ht="13" x14ac:dyDescent="0.3">
      <c r="A40" s="244">
        <v>9257028</v>
      </c>
      <c r="B40" s="32" t="s">
        <v>215</v>
      </c>
      <c r="C40" s="1040" t="s">
        <v>760</v>
      </c>
      <c r="D40" s="245">
        <v>420000</v>
      </c>
      <c r="E40" s="245">
        <v>120000</v>
      </c>
      <c r="F40" s="245"/>
      <c r="G40" s="245"/>
      <c r="H40" s="248">
        <v>1335301.3034477031</v>
      </c>
      <c r="I40" s="248">
        <v>23410.627062706269</v>
      </c>
      <c r="J40" s="245">
        <v>14363.2</v>
      </c>
      <c r="K40" s="245">
        <v>1913075.1305104094</v>
      </c>
      <c r="L40" s="248">
        <v>1913075.1305104094</v>
      </c>
      <c r="M40" s="1036">
        <v>112.16666666666667</v>
      </c>
      <c r="N40" s="1198">
        <f t="shared" si="18"/>
        <v>17.750000000000014</v>
      </c>
      <c r="O40" s="36"/>
      <c r="P40" s="36"/>
      <c r="Q40" s="36"/>
      <c r="R40" s="36"/>
      <c r="S40" s="36"/>
      <c r="T40" s="36"/>
      <c r="U40" s="235"/>
      <c r="V40" s="234"/>
      <c r="W40" s="234"/>
      <c r="X40" s="234"/>
      <c r="Y40" s="234"/>
      <c r="Z40" s="36"/>
      <c r="AA40" s="36"/>
      <c r="AB40" s="234"/>
    </row>
    <row r="41" spans="1:28" ht="13" x14ac:dyDescent="0.3">
      <c r="A41" s="244">
        <v>9257021</v>
      </c>
      <c r="B41" s="32" t="s">
        <v>809</v>
      </c>
      <c r="C41" s="1038" t="s">
        <v>761</v>
      </c>
      <c r="D41" s="245">
        <v>455000</v>
      </c>
      <c r="E41" s="245">
        <v>130000</v>
      </c>
      <c r="F41" s="245"/>
      <c r="G41" s="245"/>
      <c r="H41" s="248">
        <v>1579584.5197189793</v>
      </c>
      <c r="I41" s="248">
        <v>35038.269817073175</v>
      </c>
      <c r="J41" s="245">
        <v>25584.45</v>
      </c>
      <c r="K41" s="245">
        <v>2225207.239536053</v>
      </c>
      <c r="L41" s="248">
        <v>2225207.239536053</v>
      </c>
      <c r="M41" s="1036">
        <v>167.75</v>
      </c>
      <c r="N41" s="1198">
        <f t="shared" si="18"/>
        <v>6.5</v>
      </c>
      <c r="O41" s="36"/>
      <c r="P41" s="36"/>
      <c r="Q41" s="36"/>
      <c r="R41" s="36"/>
      <c r="S41" s="36"/>
      <c r="T41" s="36"/>
      <c r="U41" s="235"/>
      <c r="V41" s="234"/>
      <c r="W41" s="234"/>
      <c r="X41" s="234"/>
      <c r="Y41" s="234"/>
      <c r="Z41" s="36"/>
      <c r="AA41" s="36"/>
      <c r="AB41" s="234"/>
    </row>
    <row r="42" spans="1:28" ht="13" x14ac:dyDescent="0.3">
      <c r="A42" s="244">
        <v>9257015</v>
      </c>
      <c r="B42" s="32" t="s">
        <v>217</v>
      </c>
      <c r="C42" s="1038" t="s">
        <v>763</v>
      </c>
      <c r="D42" s="245">
        <v>525000</v>
      </c>
      <c r="E42" s="245">
        <v>145000</v>
      </c>
      <c r="F42" s="245"/>
      <c r="G42" s="245"/>
      <c r="H42" s="248">
        <v>2148810.2146396968</v>
      </c>
      <c r="I42" s="248">
        <v>10637.160766961651</v>
      </c>
      <c r="J42" s="245">
        <v>21544.800000000003</v>
      </c>
      <c r="K42" s="245">
        <v>2850992.1754066581</v>
      </c>
      <c r="L42" s="248">
        <v>2850992.1754066581</v>
      </c>
      <c r="M42" s="1036">
        <v>228.08333333333334</v>
      </c>
      <c r="N42" s="1198">
        <f t="shared" si="18"/>
        <v>-1.5833333333333428</v>
      </c>
      <c r="O42" s="36"/>
      <c r="P42" s="36"/>
      <c r="Q42" s="36"/>
      <c r="R42" s="36"/>
      <c r="S42" s="36"/>
      <c r="T42" s="36"/>
      <c r="U42" s="235"/>
      <c r="V42" s="234"/>
      <c r="W42" s="234"/>
      <c r="X42" s="234"/>
      <c r="Y42" s="234"/>
      <c r="Z42" s="36"/>
      <c r="AA42" s="36"/>
      <c r="AB42" s="234"/>
    </row>
    <row r="43" spans="1:28" ht="13" x14ac:dyDescent="0.3">
      <c r="A43" s="244">
        <v>9257016</v>
      </c>
      <c r="B43" s="32" t="s">
        <v>219</v>
      </c>
      <c r="C43" s="244" t="s">
        <v>763</v>
      </c>
      <c r="D43" s="245">
        <v>525000</v>
      </c>
      <c r="E43" s="245">
        <v>145000</v>
      </c>
      <c r="F43" s="245"/>
      <c r="G43" s="245"/>
      <c r="H43" s="248">
        <v>2256437.5442380505</v>
      </c>
      <c r="I43" s="248">
        <v>2652.7303312629401</v>
      </c>
      <c r="J43" s="245">
        <v>21544.800000000003</v>
      </c>
      <c r="K43" s="245">
        <v>2950635.0745693133</v>
      </c>
      <c r="L43" s="248">
        <v>2950635.0745693133</v>
      </c>
      <c r="M43" s="1036">
        <v>162.08333333333334</v>
      </c>
      <c r="N43" s="1198">
        <f t="shared" si="18"/>
        <v>2.6666666666666572</v>
      </c>
      <c r="O43" s="36"/>
      <c r="P43" s="36"/>
      <c r="Q43" s="36"/>
      <c r="R43" s="36"/>
      <c r="S43" s="36"/>
      <c r="T43" s="36"/>
      <c r="U43" s="235"/>
      <c r="V43" s="234"/>
      <c r="W43" s="234"/>
      <c r="X43" s="234"/>
      <c r="Y43" s="234"/>
      <c r="Z43" s="36"/>
      <c r="AA43" s="36"/>
      <c r="AB43" s="234"/>
    </row>
    <row r="44" spans="1:28" ht="13" x14ac:dyDescent="0.3">
      <c r="A44" s="36"/>
      <c r="B44" s="36"/>
      <c r="C44" s="36"/>
      <c r="D44" s="42">
        <f>SUM(D26:D43)</f>
        <v>7087500</v>
      </c>
      <c r="E44" s="42">
        <f>SUM(E26:E43)</f>
        <v>2005000</v>
      </c>
      <c r="F44" s="234"/>
      <c r="G44" s="234"/>
      <c r="H44" s="42">
        <f>SUM(H26:H43)</f>
        <v>21408404.625897162</v>
      </c>
      <c r="I44" s="42">
        <f>SUM(I26:I43)</f>
        <v>1135022.1167520436</v>
      </c>
      <c r="J44" s="42">
        <f>SUM(J26:J43)</f>
        <v>289508.25</v>
      </c>
      <c r="K44" s="234"/>
      <c r="L44" s="36"/>
      <c r="M44" s="816">
        <f>SUM(M26:M43)</f>
        <v>1988.5</v>
      </c>
      <c r="N44" s="36"/>
      <c r="O44" s="36"/>
      <c r="P44" s="36"/>
      <c r="Q44" s="36"/>
      <c r="R44" s="36"/>
      <c r="S44" s="36"/>
      <c r="T44" s="36"/>
      <c r="U44" s="235"/>
      <c r="V44" s="234"/>
      <c r="W44" s="234"/>
      <c r="X44" s="234"/>
      <c r="Y44" s="234"/>
      <c r="Z44" s="36"/>
      <c r="AA44" s="36"/>
      <c r="AB44" s="234"/>
    </row>
    <row r="46" spans="1:28" x14ac:dyDescent="0.25">
      <c r="A46" s="36"/>
      <c r="B46" s="296"/>
      <c r="C46" s="36"/>
      <c r="D46" s="235"/>
      <c r="E46" s="235"/>
      <c r="F46" s="234"/>
      <c r="G46" s="234"/>
      <c r="H46" s="36"/>
      <c r="I46" s="1258">
        <v>9257010</v>
      </c>
      <c r="J46" s="237" t="s">
        <v>996</v>
      </c>
      <c r="K46" s="238"/>
      <c r="L46" s="245">
        <f>L4-L26</f>
        <v>329168.04181189975</v>
      </c>
      <c r="M46" s="234"/>
      <c r="N46" s="1259">
        <f>L46/L26</f>
        <v>0.19049441603641465</v>
      </c>
      <c r="O46" s="36"/>
      <c r="P46" s="36"/>
      <c r="Q46" s="36"/>
      <c r="R46" s="36"/>
      <c r="S46" s="36"/>
      <c r="T46" s="36"/>
      <c r="U46" s="235"/>
      <c r="V46" s="234"/>
      <c r="W46" s="234"/>
      <c r="X46" s="234"/>
      <c r="Y46" s="234"/>
      <c r="Z46" s="36"/>
      <c r="AA46" s="36"/>
      <c r="AB46" s="234"/>
    </row>
    <row r="47" spans="1:28" x14ac:dyDescent="0.25">
      <c r="A47" s="36"/>
      <c r="B47" s="36"/>
      <c r="C47" s="36"/>
      <c r="D47" s="235"/>
      <c r="E47" s="235"/>
      <c r="F47" s="234"/>
      <c r="G47" s="234"/>
      <c r="H47" s="36"/>
      <c r="I47" s="1258">
        <v>9257005</v>
      </c>
      <c r="J47" s="237" t="s">
        <v>805</v>
      </c>
      <c r="K47" s="238"/>
      <c r="L47" s="245">
        <f>L5-L27</f>
        <v>173175.01084285206</v>
      </c>
      <c r="M47" s="234"/>
      <c r="N47" s="1259">
        <f t="shared" ref="N47:N48" si="19">L47/L27</f>
        <v>0.11580182529112205</v>
      </c>
      <c r="O47" s="36"/>
      <c r="P47" s="36"/>
      <c r="Q47" s="36"/>
      <c r="R47" s="36"/>
      <c r="S47" s="36"/>
      <c r="T47" s="36"/>
      <c r="U47" s="235"/>
      <c r="V47" s="234"/>
      <c r="W47" s="234"/>
      <c r="X47" s="234"/>
      <c r="Y47" s="234"/>
      <c r="Z47" s="36"/>
      <c r="AA47" s="36"/>
      <c r="AB47" s="234"/>
    </row>
    <row r="48" spans="1:28" x14ac:dyDescent="0.25">
      <c r="A48" s="36"/>
      <c r="B48" s="36"/>
      <c r="C48" s="36"/>
      <c r="D48" s="235"/>
      <c r="E48" s="235"/>
      <c r="F48" s="235"/>
      <c r="G48" s="234"/>
      <c r="H48" s="36"/>
      <c r="I48" s="1258">
        <v>9257025</v>
      </c>
      <c r="J48" s="237" t="s">
        <v>806</v>
      </c>
      <c r="K48" s="238"/>
      <c r="L48" s="245">
        <f>L6-L28</f>
        <v>106913.64299139753</v>
      </c>
      <c r="M48" s="234"/>
      <c r="N48" s="1259">
        <f t="shared" si="19"/>
        <v>7.9491755771388589E-2</v>
      </c>
      <c r="O48" s="36"/>
      <c r="P48" s="36"/>
      <c r="Q48" s="36"/>
      <c r="R48" s="36"/>
      <c r="S48" s="36"/>
      <c r="T48" s="36"/>
      <c r="U48" s="235"/>
      <c r="V48" s="234"/>
      <c r="W48" s="234"/>
      <c r="X48" s="234"/>
      <c r="Y48" s="234"/>
      <c r="Z48" s="36"/>
      <c r="AA48" s="36"/>
      <c r="AB48" s="234"/>
    </row>
    <row r="49" spans="4:14" x14ac:dyDescent="0.25">
      <c r="D49" s="235"/>
      <c r="E49" s="235"/>
      <c r="F49" s="234"/>
      <c r="G49" s="234"/>
      <c r="H49" s="36"/>
      <c r="I49" s="1258">
        <v>9257024</v>
      </c>
      <c r="J49" s="237" t="s">
        <v>807</v>
      </c>
      <c r="K49" s="238"/>
      <c r="L49" s="245">
        <f t="shared" ref="L49:L62" si="20">L7-L30</f>
        <v>33399.028266534442</v>
      </c>
      <c r="M49" s="234"/>
      <c r="N49" s="1259">
        <f t="shared" ref="N49:N62" si="21">L49/L30</f>
        <v>2.2780641117810488E-2</v>
      </c>
    </row>
    <row r="50" spans="4:14" ht="13" x14ac:dyDescent="0.3">
      <c r="D50" s="235"/>
      <c r="E50" s="235"/>
      <c r="F50" s="234"/>
      <c r="G50" s="234"/>
      <c r="H50" s="36"/>
      <c r="I50" s="1258">
        <v>9257031</v>
      </c>
      <c r="J50" s="32" t="s">
        <v>557</v>
      </c>
      <c r="K50" s="238"/>
      <c r="L50" s="245">
        <f t="shared" si="20"/>
        <v>74935.66018702765</v>
      </c>
      <c r="M50" s="234"/>
      <c r="N50" s="1259">
        <f t="shared" si="21"/>
        <v>4.5410034494679501E-2</v>
      </c>
    </row>
    <row r="51" spans="4:14" x14ac:dyDescent="0.25">
      <c r="D51" s="235"/>
      <c r="E51" s="235"/>
      <c r="F51" s="234"/>
      <c r="G51" s="234"/>
      <c r="H51" s="36"/>
      <c r="I51" s="1258">
        <v>9257033</v>
      </c>
      <c r="J51" s="237" t="s">
        <v>816</v>
      </c>
      <c r="K51" s="238"/>
      <c r="L51" s="245">
        <f t="shared" si="20"/>
        <v>93487.837689838139</v>
      </c>
      <c r="M51" s="234"/>
      <c r="N51" s="1259">
        <f t="shared" si="21"/>
        <v>6.540867546143761E-2</v>
      </c>
    </row>
    <row r="52" spans="4:14" x14ac:dyDescent="0.25">
      <c r="D52" s="235"/>
      <c r="E52" s="235"/>
      <c r="F52" s="234"/>
      <c r="G52" s="234"/>
      <c r="H52" s="36"/>
      <c r="I52" s="1258">
        <v>9257008</v>
      </c>
      <c r="J52" s="237" t="s">
        <v>340</v>
      </c>
      <c r="K52" s="238"/>
      <c r="L52" s="245">
        <f t="shared" si="20"/>
        <v>8935.7023742669262</v>
      </c>
      <c r="M52" s="234"/>
      <c r="N52" s="1259">
        <f t="shared" si="21"/>
        <v>6.1177484899254788E-3</v>
      </c>
    </row>
    <row r="53" spans="4:14" x14ac:dyDescent="0.25">
      <c r="D53" s="235"/>
      <c r="E53" s="235"/>
      <c r="F53" s="234"/>
      <c r="G53" s="234"/>
      <c r="H53" s="36"/>
      <c r="I53" s="1258">
        <v>9257034</v>
      </c>
      <c r="J53" s="237" t="s">
        <v>817</v>
      </c>
      <c r="K53" s="238"/>
      <c r="L53" s="245">
        <f t="shared" si="20"/>
        <v>12457.821273063542</v>
      </c>
      <c r="M53" s="234"/>
      <c r="N53" s="1259">
        <f t="shared" si="21"/>
        <v>7.506093689448259E-3</v>
      </c>
    </row>
    <row r="54" spans="4:14" x14ac:dyDescent="0.25">
      <c r="D54" s="235"/>
      <c r="E54" s="235"/>
      <c r="F54" s="234"/>
      <c r="G54" s="234"/>
      <c r="H54" s="36"/>
      <c r="I54" s="1258">
        <v>9257002</v>
      </c>
      <c r="J54" s="237" t="s">
        <v>808</v>
      </c>
      <c r="K54" s="238"/>
      <c r="L54" s="245">
        <f t="shared" si="20"/>
        <v>157499.29693057388</v>
      </c>
      <c r="M54" s="234"/>
      <c r="N54" s="1259">
        <f t="shared" si="21"/>
        <v>8.1430833872852645E-2</v>
      </c>
    </row>
    <row r="55" spans="4:14" x14ac:dyDescent="0.25">
      <c r="D55" s="235"/>
      <c r="E55" s="235"/>
      <c r="F55" s="234"/>
      <c r="G55" s="234"/>
      <c r="H55" s="36"/>
      <c r="I55" s="1258">
        <v>9257009</v>
      </c>
      <c r="J55" s="237" t="s">
        <v>546</v>
      </c>
      <c r="K55" s="238"/>
      <c r="L55" s="245">
        <f t="shared" si="20"/>
        <v>1053661.8779120734</v>
      </c>
      <c r="M55" s="234"/>
      <c r="N55" s="1259">
        <f t="shared" si="21"/>
        <v>0.61537753321482902</v>
      </c>
    </row>
    <row r="56" spans="4:14" ht="13" x14ac:dyDescent="0.3">
      <c r="D56" s="235"/>
      <c r="E56" s="235"/>
      <c r="F56" s="234"/>
      <c r="G56" s="234"/>
      <c r="H56" s="36"/>
      <c r="I56" s="1258">
        <v>9257029</v>
      </c>
      <c r="J56" s="32" t="s">
        <v>890</v>
      </c>
      <c r="K56" s="238"/>
      <c r="L56" s="245">
        <f t="shared" si="20"/>
        <v>131973.61278720084</v>
      </c>
      <c r="M56" s="234"/>
      <c r="N56" s="1259">
        <f t="shared" si="21"/>
        <v>8.555894499516796E-2</v>
      </c>
    </row>
    <row r="57" spans="4:14" ht="13" x14ac:dyDescent="0.3">
      <c r="D57" s="235"/>
      <c r="E57" s="235"/>
      <c r="F57" s="234"/>
      <c r="G57" s="234"/>
      <c r="H57" s="36"/>
      <c r="I57" s="1258">
        <v>9257032</v>
      </c>
      <c r="J57" s="32" t="s">
        <v>813</v>
      </c>
      <c r="K57" s="238"/>
      <c r="L57" s="245">
        <f t="shared" si="20"/>
        <v>217822.28612768929</v>
      </c>
      <c r="M57" s="234"/>
      <c r="N57" s="1259">
        <f t="shared" si="21"/>
        <v>0.11788215989652076</v>
      </c>
    </row>
    <row r="58" spans="4:14" ht="13" x14ac:dyDescent="0.3">
      <c r="D58" s="235"/>
      <c r="E58" s="235"/>
      <c r="F58" s="234"/>
      <c r="G58" s="234"/>
      <c r="H58" s="36"/>
      <c r="I58" s="1258">
        <v>9257030</v>
      </c>
      <c r="J58" s="32" t="s">
        <v>815</v>
      </c>
      <c r="K58" s="238"/>
      <c r="L58" s="245">
        <f t="shared" si="20"/>
        <v>38420.155229457654</v>
      </c>
      <c r="M58" s="234"/>
      <c r="N58" s="1259">
        <f t="shared" si="21"/>
        <v>2.5271025649797337E-2</v>
      </c>
    </row>
    <row r="59" spans="4:14" x14ac:dyDescent="0.25">
      <c r="D59" s="235"/>
      <c r="E59" s="235"/>
      <c r="F59" s="234"/>
      <c r="G59" s="234"/>
      <c r="H59" s="36"/>
      <c r="I59" s="1258">
        <v>9257028</v>
      </c>
      <c r="J59" s="237" t="s">
        <v>215</v>
      </c>
      <c r="K59" s="238"/>
      <c r="L59" s="245">
        <f t="shared" si="20"/>
        <v>330578.40214362647</v>
      </c>
      <c r="M59" s="234"/>
      <c r="N59" s="1259">
        <f t="shared" si="21"/>
        <v>0.17279948752218005</v>
      </c>
    </row>
    <row r="60" spans="4:14" x14ac:dyDescent="0.25">
      <c r="D60" s="235"/>
      <c r="E60" s="235"/>
      <c r="F60" s="234"/>
      <c r="G60" s="234"/>
      <c r="H60" s="36"/>
      <c r="I60" s="1258">
        <v>9257021</v>
      </c>
      <c r="J60" s="237" t="s">
        <v>809</v>
      </c>
      <c r="K60" s="238"/>
      <c r="L60" s="245">
        <f t="shared" si="20"/>
        <v>117795.60851847148</v>
      </c>
      <c r="M60" s="234"/>
      <c r="N60" s="1259">
        <f t="shared" si="21"/>
        <v>5.2936915908574605E-2</v>
      </c>
    </row>
    <row r="61" spans="4:14" x14ac:dyDescent="0.25">
      <c r="D61" s="235"/>
      <c r="E61" s="235"/>
      <c r="F61" s="234"/>
      <c r="G61" s="234"/>
      <c r="H61" s="36"/>
      <c r="I61" s="1258">
        <v>9257015</v>
      </c>
      <c r="J61" s="237" t="s">
        <v>217</v>
      </c>
      <c r="K61" s="238"/>
      <c r="L61" s="245">
        <f t="shared" si="20"/>
        <v>156772.69748178357</v>
      </c>
      <c r="M61" s="234"/>
      <c r="N61" s="1259">
        <f t="shared" si="21"/>
        <v>5.4988820675883447E-2</v>
      </c>
    </row>
    <row r="62" spans="4:14" x14ac:dyDescent="0.25">
      <c r="D62" s="235"/>
      <c r="E62" s="235"/>
      <c r="F62" s="234"/>
      <c r="G62" s="234"/>
      <c r="H62" s="36"/>
      <c r="I62" s="1258">
        <v>9257016</v>
      </c>
      <c r="J62" s="237" t="s">
        <v>219</v>
      </c>
      <c r="K62" s="238"/>
      <c r="L62" s="245">
        <f t="shared" si="20"/>
        <v>184506.72947839834</v>
      </c>
      <c r="M62" s="234"/>
      <c r="N62" s="1259">
        <f t="shared" si="21"/>
        <v>6.253119237570566E-2</v>
      </c>
    </row>
    <row r="63" spans="4:14" x14ac:dyDescent="0.25">
      <c r="D63" s="234"/>
      <c r="E63" s="234"/>
      <c r="F63" s="234"/>
      <c r="G63" s="234"/>
      <c r="H63" s="36"/>
      <c r="I63" s="36"/>
      <c r="J63" s="237"/>
      <c r="K63" s="238"/>
      <c r="L63" s="237"/>
      <c r="M63" s="234"/>
      <c r="N63" s="36"/>
    </row>
    <row r="64" spans="4:14" x14ac:dyDescent="0.25">
      <c r="D64" s="234"/>
      <c r="E64" s="234"/>
      <c r="F64" s="234"/>
      <c r="G64" s="234"/>
      <c r="H64" s="36"/>
      <c r="I64" s="36"/>
      <c r="J64" s="237"/>
      <c r="K64" s="238"/>
      <c r="L64" s="245">
        <f>SUM(L46:L63)</f>
        <v>3221503.412046155</v>
      </c>
      <c r="M64" s="234"/>
      <c r="N64" s="247"/>
    </row>
  </sheetData>
  <conditionalFormatting sqref="C4">
    <cfRule type="cellIs" dxfId="28" priority="18" operator="equal">
      <formula>$C$26</formula>
    </cfRule>
    <cfRule type="cellIs" dxfId="27" priority="26" operator="equal">
      <formula>$C$26</formula>
    </cfRule>
  </conditionalFormatting>
  <conditionalFormatting sqref="C5">
    <cfRule type="cellIs" dxfId="26" priority="17" operator="equal">
      <formula>$C$27</formula>
    </cfRule>
    <cfRule type="cellIs" dxfId="25" priority="25" operator="equal">
      <formula>$C$27</formula>
    </cfRule>
  </conditionalFormatting>
  <conditionalFormatting sqref="C6">
    <cfRule type="cellIs" dxfId="24" priority="16" operator="equal">
      <formula>$C$28</formula>
    </cfRule>
    <cfRule type="cellIs" dxfId="23" priority="24" operator="equal">
      <formula>$C$28</formula>
    </cfRule>
  </conditionalFormatting>
  <conditionalFormatting sqref="C7">
    <cfRule type="cellIs" dxfId="22" priority="14" operator="equal">
      <formula>$C$30</formula>
    </cfRule>
  </conditionalFormatting>
  <conditionalFormatting sqref="C8">
    <cfRule type="cellIs" dxfId="21" priority="13" operator="equal">
      <formula>$C$31</formula>
    </cfRule>
  </conditionalFormatting>
  <conditionalFormatting sqref="C9">
    <cfRule type="cellIs" dxfId="20" priority="12" operator="equal">
      <formula>$C$32</formula>
    </cfRule>
  </conditionalFormatting>
  <conditionalFormatting sqref="C10">
    <cfRule type="cellIs" dxfId="19" priority="11" operator="equal">
      <formula>$C$33</formula>
    </cfRule>
  </conditionalFormatting>
  <conditionalFormatting sqref="C11">
    <cfRule type="cellIs" dxfId="18" priority="10" operator="equal">
      <formula>$C$34</formula>
    </cfRule>
  </conditionalFormatting>
  <conditionalFormatting sqref="C12">
    <cfRule type="cellIs" dxfId="17" priority="9" operator="equal">
      <formula>$C$35</formula>
    </cfRule>
  </conditionalFormatting>
  <conditionalFormatting sqref="C13">
    <cfRule type="cellIs" dxfId="16" priority="8" operator="equal">
      <formula>$C$36</formula>
    </cfRule>
  </conditionalFormatting>
  <conditionalFormatting sqref="C14">
    <cfRule type="cellIs" dxfId="15" priority="7" operator="equal">
      <formula>$C$37</formula>
    </cfRule>
  </conditionalFormatting>
  <conditionalFormatting sqref="C15">
    <cfRule type="cellIs" dxfId="14" priority="6" operator="equal">
      <formula>$C$38</formula>
    </cfRule>
  </conditionalFormatting>
  <conditionalFormatting sqref="C16">
    <cfRule type="cellIs" dxfId="13" priority="5" operator="equal">
      <formula>$C$39</formula>
    </cfRule>
  </conditionalFormatting>
  <conditionalFormatting sqref="C17">
    <cfRule type="cellIs" dxfId="12" priority="4" operator="equal">
      <formula>$C$40</formula>
    </cfRule>
  </conditionalFormatting>
  <conditionalFormatting sqref="C18">
    <cfRule type="cellIs" dxfId="11" priority="3" operator="equal">
      <formula>$C$41</formula>
    </cfRule>
  </conditionalFormatting>
  <conditionalFormatting sqref="C19">
    <cfRule type="cellIs" dxfId="10" priority="2" operator="equal">
      <formula>$C$42</formula>
    </cfRule>
  </conditionalFormatting>
  <conditionalFormatting sqref="C20">
    <cfRule type="cellIs" dxfId="9" priority="1" operator="equal">
      <formula>$C$43</formula>
    </cfRule>
  </conditionalFormatting>
  <pageMargins left="0.7" right="0.7" top="0.75" bottom="0.75" header="0.3" footer="0.3"/>
  <pageSetup paperSize="9"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80A81-57DA-4915-962A-9D1F48B1E03C}">
  <sheetPr>
    <tabColor theme="8" tint="0.39997558519241921"/>
  </sheetPr>
  <dimension ref="A1:AH74"/>
  <sheetViews>
    <sheetView workbookViewId="0">
      <selection activeCell="U20" sqref="U20"/>
    </sheetView>
  </sheetViews>
  <sheetFormatPr defaultColWidth="10.26953125" defaultRowHeight="12.5" x14ac:dyDescent="0.25"/>
  <cols>
    <col min="1" max="1" width="10.26953125" style="29"/>
    <col min="2" max="2" width="31.54296875" style="29" customWidth="1"/>
    <col min="3" max="3" width="26.54296875" style="29" customWidth="1"/>
    <col min="4" max="7" width="15.7265625" style="30" customWidth="1"/>
    <col min="8" max="10" width="15.7265625" style="29" customWidth="1"/>
    <col min="11" max="11" width="15.7265625" style="30" customWidth="1"/>
    <col min="12" max="12" width="17.26953125" style="29" customWidth="1"/>
    <col min="13" max="13" width="10.26953125" style="30" customWidth="1"/>
    <col min="14" max="16" width="13.81640625" style="29" customWidth="1"/>
    <col min="17" max="17" width="10.26953125" style="29"/>
    <col min="18" max="19" width="11.1796875" style="29" customWidth="1"/>
    <col min="20" max="20" width="10.26953125" style="29"/>
    <col min="21" max="21" width="10.26953125" style="31"/>
    <col min="22" max="24" width="11.81640625" style="30" customWidth="1"/>
    <col min="25" max="25" width="10.26953125" style="30"/>
    <col min="26" max="26" width="11.1796875" style="29" customWidth="1"/>
    <col min="27" max="27" width="11.26953125" style="29" customWidth="1"/>
    <col min="28" max="28" width="9.81640625" style="30" bestFit="1" customWidth="1"/>
    <col min="29" max="29" width="10.26953125" style="29"/>
    <col min="30" max="32" width="14.453125" style="29" bestFit="1" customWidth="1"/>
    <col min="33" max="16384" width="10.26953125" style="29"/>
  </cols>
  <sheetData>
    <row r="1" spans="1:34" ht="17.5" x14ac:dyDescent="0.35">
      <c r="A1" s="36"/>
      <c r="B1" s="33" t="s">
        <v>1000</v>
      </c>
      <c r="C1" s="36"/>
      <c r="D1" s="234"/>
      <c r="E1" s="234"/>
      <c r="F1" s="234"/>
      <c r="G1" s="234"/>
      <c r="H1" s="36"/>
      <c r="I1" s="36"/>
      <c r="J1" s="36"/>
      <c r="K1" s="234"/>
      <c r="L1" s="36"/>
      <c r="M1" s="234"/>
      <c r="N1" s="36"/>
      <c r="O1" s="36"/>
      <c r="P1" s="36"/>
      <c r="Q1" s="36"/>
      <c r="R1" s="36" t="s">
        <v>983</v>
      </c>
      <c r="S1" s="36"/>
      <c r="T1" s="36"/>
      <c r="U1" s="235"/>
      <c r="V1" s="234"/>
      <c r="W1" s="234"/>
      <c r="X1" s="234"/>
      <c r="Y1" s="234"/>
      <c r="Z1" s="36"/>
      <c r="AA1" s="36"/>
      <c r="AB1" s="234"/>
      <c r="AC1" s="36"/>
      <c r="AD1" s="36"/>
      <c r="AE1" s="36"/>
      <c r="AF1" s="36"/>
      <c r="AG1" s="36"/>
      <c r="AH1" s="36"/>
    </row>
    <row r="2" spans="1:34" ht="12.75" customHeight="1" x14ac:dyDescent="0.25">
      <c r="A2" s="36"/>
      <c r="B2" s="36"/>
      <c r="C2" s="36"/>
      <c r="D2" s="234"/>
      <c r="E2" s="234"/>
      <c r="F2" s="234"/>
      <c r="G2" s="234"/>
      <c r="H2" s="36"/>
      <c r="I2" s="36"/>
      <c r="J2" s="36"/>
      <c r="K2" s="234"/>
      <c r="L2" s="36"/>
      <c r="M2" s="234"/>
      <c r="N2" s="36"/>
      <c r="O2" s="36"/>
      <c r="P2" s="36"/>
      <c r="Q2" s="36"/>
      <c r="R2" s="36"/>
      <c r="S2" s="36"/>
      <c r="T2" s="36"/>
      <c r="U2" s="235"/>
      <c r="V2" s="234"/>
      <c r="W2" s="234"/>
      <c r="X2" s="234"/>
      <c r="Y2" s="234"/>
      <c r="Z2" s="36"/>
      <c r="AA2" s="36"/>
      <c r="AB2" s="234"/>
      <c r="AC2" s="36"/>
      <c r="AD2" s="36"/>
      <c r="AE2" s="36"/>
      <c r="AF2" s="36"/>
      <c r="AG2" s="36"/>
      <c r="AH2" s="36"/>
    </row>
    <row r="3" spans="1:34" ht="39" customHeight="1" x14ac:dyDescent="0.3">
      <c r="A3" s="236" t="s">
        <v>182</v>
      </c>
      <c r="B3" s="237" t="s">
        <v>183</v>
      </c>
      <c r="C3" s="241" t="s">
        <v>985</v>
      </c>
      <c r="D3" s="240" t="s">
        <v>58</v>
      </c>
      <c r="E3" s="240" t="s">
        <v>59</v>
      </c>
      <c r="F3" s="238" t="s">
        <v>147</v>
      </c>
      <c r="G3" s="238" t="s">
        <v>185</v>
      </c>
      <c r="H3" s="241" t="s">
        <v>186</v>
      </c>
      <c r="I3" s="241" t="s">
        <v>986</v>
      </c>
      <c r="J3" s="241" t="s">
        <v>187</v>
      </c>
      <c r="K3" s="238" t="s">
        <v>189</v>
      </c>
      <c r="L3" s="241" t="s">
        <v>190</v>
      </c>
      <c r="M3" s="241" t="s">
        <v>1001</v>
      </c>
      <c r="N3" s="826" t="s">
        <v>743</v>
      </c>
      <c r="O3" s="827" t="s">
        <v>1002</v>
      </c>
      <c r="P3" s="828" t="s">
        <v>888</v>
      </c>
      <c r="Q3" s="321" t="s">
        <v>697</v>
      </c>
      <c r="R3" s="321" t="s">
        <v>989</v>
      </c>
      <c r="S3" s="321" t="s">
        <v>699</v>
      </c>
      <c r="T3" s="321" t="s">
        <v>700</v>
      </c>
      <c r="U3" s="241" t="s">
        <v>192</v>
      </c>
      <c r="V3" s="242" t="s">
        <v>193</v>
      </c>
      <c r="W3" s="1083" t="s">
        <v>990</v>
      </c>
      <c r="X3" s="1083" t="s">
        <v>991</v>
      </c>
      <c r="Y3" s="1084" t="s">
        <v>194</v>
      </c>
      <c r="Z3" s="1084" t="s">
        <v>303</v>
      </c>
      <c r="AA3" s="242" t="s">
        <v>199</v>
      </c>
      <c r="AB3" s="241" t="s">
        <v>992</v>
      </c>
      <c r="AC3" s="36"/>
      <c r="AD3" s="243"/>
      <c r="AE3" s="243"/>
      <c r="AF3" s="272"/>
      <c r="AG3" s="36"/>
      <c r="AH3" s="243"/>
    </row>
    <row r="4" spans="1:34" x14ac:dyDescent="0.25">
      <c r="A4" s="244">
        <v>9257010</v>
      </c>
      <c r="B4" s="237" t="s">
        <v>996</v>
      </c>
      <c r="C4" s="1291" t="str">
        <f>IF(H4&lt;'School Size Ranges (2324)'!$E$30,'School Size Ranges (2324)'!$D$30,IF(H4&lt;'School Size Ranges (2324)'!$E$31,'School Size Ranges (2324)'!$D$31,IF('2324 Funding Detail'!H4&lt;'School Size Ranges (2324)'!$E$32,'School Size Ranges (2324)'!$D$32,IF(H4&lt;'School Size Ranges (2324)'!$E$33,'School Size Ranges (2324)'!$D$33,IF(H4&lt;'School Size Ranges (2324)'!$E$34,'School Size Ranges (2324)'!$D$34,IF(H4&lt;'School Size Ranges (2324)'!$E$35,'School Size Ranges (2324)'!$D$35,IF(H4&lt;'School Size Ranges (2324)'!$E$36,'School Size Ranges (2324)'!$D$36,IF(H4&lt;'School Size Ranges (2324)'!$E$37,'School Size Ranges (2324)'!$D$37,IF(H4&lt;'School Size Ranges (2324)'!$E$38,'School Size Ranges (2324)'!$D$38,IF(H4&lt;'School Size Ranges (2324)'!$E$39,'School Size Ranges (2324)'!$D$39,IF(H4&lt;'School Size Ranges (2324)'!$E$40,'School Size Ranges (2324)'!$D$40)))))))))))</f>
        <v>School Size 5 Transition Point</v>
      </c>
      <c r="D4" s="245">
        <f>IF(H4&lt;'School Size Ranges (2324)'!$E$30,'School Size Ranges (2324)'!$H$30,IF(H4&lt;'School Size Ranges (2324)'!$E$31,'School Size Ranges (2324)'!$H$31,IF('2324 Funding Detail'!H4&lt;'School Size Ranges (2324)'!$E$32,'School Size Ranges (2324)'!$H$32,IF(H4&lt;'School Size Ranges (2324)'!$E$33,'School Size Ranges (2324)'!$H$33,IF(H4&lt;'School Size Ranges (2324)'!$E$34,'School Size Ranges (2324)'!$H$34,IF(H4&lt;'School Size Ranges (2324)'!$E$35,'School Size Ranges (2324)'!$H$35,IF(H4&lt;'School Size Ranges (2324)'!$E$36,'School Size Ranges (2324)'!$H$36,IF(H4&lt;'School Size Ranges (2324)'!$E$37,'School Size Ranges (2324)'!$H$37,IF(H4&lt;'School Size Ranges (2324)'!$E$38,'School Size Ranges (2324)'!$H$38,IF(H4&lt;'School Size Ranges (2324)'!$E$39,'School Size Ranges (2324)'!$H$39,IF(H4&lt;'School Size Ranges (2324)'!$E$40,'School Size Ranges (2324)'!$H$40)))))))))))</f>
        <v>522601.4</v>
      </c>
      <c r="E4" s="245">
        <f>IF(H4&lt;'School Size Ranges (2324)'!$E$30,'School Size Ranges (2324)'!$I$30,IF(H4&lt;'School Size Ranges (2324)'!$E$31,'School Size Ranges (2324)'!$I$31,IF('2324 Funding Detail'!H4&lt;'School Size Ranges (2324)'!$E$32,'School Size Ranges (2324)'!$I$32,IF(H4&lt;'School Size Ranges (2324)'!$E$33,'School Size Ranges (2324)'!$I$33,IF(H4&lt;'School Size Ranges (2324)'!$E$34,'School Size Ranges (2324)'!$I$34,IF(H4&lt;'School Size Ranges (2324)'!$E$35,'School Size Ranges (2324)'!$I$35,IF(H4&lt;'School Size Ranges (2324)'!$E$36,'School Size Ranges (2324)'!$I$36,IF(H4&lt;'School Size Ranges (2324)'!$E$37,'School Size Ranges (2324)'!$I$37,IF(H4&lt;'School Size Ranges (2324)'!$E$38,'School Size Ranges (2324)'!$I$38,IF(H4&lt;'School Size Ranges (2324)'!$E$39,'School Size Ranges (2324)'!$I$39,IF(H4&lt;'School Size Ranges (2324)'!$E$40,'School Size Ranges (2324)'!$I$40)))))))))))</f>
        <v>137917</v>
      </c>
      <c r="F4" s="245"/>
      <c r="G4" s="245"/>
      <c r="H4" s="248">
        <f>VLOOKUP(A4,'2324 Band Calculations'!$A$106:$T$122,10,FALSE)</f>
        <v>1653946.3809523813</v>
      </c>
      <c r="I4" s="248">
        <f>VLOOKUP(A4,'2324 Band Calculations'!$A$106:$T$122,17,FALSE)</f>
        <v>0</v>
      </c>
      <c r="J4" s="245">
        <f>VLOOKUP(A4,'2324 FSM Calculation'!$A$4:$D$20,4,FALSE)</f>
        <v>23073.599999999999</v>
      </c>
      <c r="K4" s="245">
        <f t="shared" ref="K4:K20" si="0">SUM(D4:J4)</f>
        <v>2337538.3809523815</v>
      </c>
      <c r="L4" s="248">
        <f>K4-F4-G4</f>
        <v>2337538.3809523815</v>
      </c>
      <c r="M4" s="1036">
        <f>VLOOKUP(A4,'2324 Band Calculations'!$A$106:$T$122,19,FALSE)</f>
        <v>139.33333333333334</v>
      </c>
      <c r="N4" s="235">
        <f>VLOOKUP(A4,'2324 Band Calculations'!$A$104:$AN$122,40,(FALSE))</f>
        <v>323863.74603174598</v>
      </c>
      <c r="O4" s="253">
        <f>M4-(M4*(VLOOKUP(A4,'2324 Band Calculations'!$A$6:$J$22,10,(FALSE))))</f>
        <v>126.06349206349208</v>
      </c>
      <c r="P4" s="235">
        <f>(H4+I4-N4)/O4</f>
        <v>10550.894736842107</v>
      </c>
      <c r="Q4" s="1025">
        <f>'2324 MFG Protection'!L11</f>
        <v>2325.8415308553208</v>
      </c>
      <c r="R4" s="1025">
        <f>L4+Q4</f>
        <v>2339864.2224832368</v>
      </c>
      <c r="S4" s="235">
        <f>M4*10000</f>
        <v>1393333.3333333335</v>
      </c>
      <c r="T4" s="235">
        <f>IF(S4&gt;R4,(S4-R4),(0))</f>
        <v>0</v>
      </c>
      <c r="U4" s="242">
        <f>R4/M4</f>
        <v>16793.283893420357</v>
      </c>
      <c r="V4" s="242">
        <f t="shared" ref="V4:V20" si="1">M4*10000</f>
        <v>1393333.3333333335</v>
      </c>
      <c r="W4" s="242"/>
      <c r="X4" s="242"/>
      <c r="Y4" s="242">
        <f>U4-10000</f>
        <v>6793.2838934203573</v>
      </c>
      <c r="Z4" s="245">
        <f>R4-V4</f>
        <v>946530.88914990332</v>
      </c>
      <c r="AA4" s="245">
        <f>V4+Z4</f>
        <v>2339864.2224832368</v>
      </c>
      <c r="AB4" s="245">
        <f>R4-AA4</f>
        <v>0</v>
      </c>
      <c r="AC4" s="36"/>
      <c r="AD4" s="235"/>
      <c r="AE4" s="235"/>
      <c r="AF4" s="235"/>
      <c r="AG4" s="1037"/>
      <c r="AH4" s="247"/>
    </row>
    <row r="5" spans="1:34" x14ac:dyDescent="0.25">
      <c r="A5" s="244">
        <v>9257005</v>
      </c>
      <c r="B5" s="237" t="s">
        <v>805</v>
      </c>
      <c r="C5" s="1292" t="str">
        <f>IF(H5&lt;'School Size Ranges (2324)'!$E$30,'School Size Ranges (2324)'!$D$30,IF(H5&lt;'School Size Ranges (2324)'!$E$31,'School Size Ranges (2324)'!$D$31,IF('2324 Funding Detail'!H5&lt;'School Size Ranges (2324)'!$E$32,'School Size Ranges (2324)'!$D$32,IF(H5&lt;'School Size Ranges (2324)'!$E$33,'School Size Ranges (2324)'!$D$33,IF(H5&lt;'School Size Ranges (2324)'!$E$34,'School Size Ranges (2324)'!$D$34,IF(H5&lt;'School Size Ranges (2324)'!$E$35,'School Size Ranges (2324)'!$D$35,IF(H5&lt;'School Size Ranges (2324)'!$E$36,'School Size Ranges (2324)'!$D$36,IF(H5&lt;'School Size Ranges (2324)'!$E$37,'School Size Ranges (2324)'!$D$37,IF(H5&lt;'School Size Ranges (2324)'!$E$38,'School Size Ranges (2324)'!$D$38,IF(H5&lt;'School Size Ranges (2324)'!$E$39,'School Size Ranges (2324)'!$D$39,IF(H5&lt;'School Size Ranges (2324)'!$E$40,'School Size Ranges (2324)'!$D$40)))))))))))</f>
        <v>School Size 4</v>
      </c>
      <c r="D5" s="245">
        <f>IF(H5&lt;'School Size Ranges (2324)'!$E$30,'School Size Ranges (2324)'!$H$30,IF(H5&lt;'School Size Ranges (2324)'!$E$31,'School Size Ranges (2324)'!$H$31,IF('2324 Funding Detail'!H5&lt;'School Size Ranges (2324)'!$E$32,'School Size Ranges (2324)'!$H$32,IF(H5&lt;'School Size Ranges (2324)'!$E$33,'School Size Ranges (2324)'!$H$33,IF(H5&lt;'School Size Ranges (2324)'!$E$34,'School Size Ranges (2324)'!$H$34,IF(H5&lt;'School Size Ranges (2324)'!$E$35,'School Size Ranges (2324)'!$H$35,IF(H5&lt;'School Size Ranges (2324)'!$E$36,'School Size Ranges (2324)'!$H$36,IF(H5&lt;'School Size Ranges (2324)'!$E$37,'School Size Ranges (2324)'!$H$37,IF(H5&lt;'School Size Ranges (2324)'!$E$38,'School Size Ranges (2324)'!$H$38,IF(H5&lt;'School Size Ranges (2324)'!$E$39,'School Size Ranges (2324)'!$H$39,IF(H5&lt;'School Size Ranges (2324)'!$E$40,'School Size Ranges (2324)'!$H$40)))))))))))</f>
        <v>399454.60000000003</v>
      </c>
      <c r="E5" s="245">
        <f>IF(H5&lt;'School Size Ranges (2324)'!$E$30,'School Size Ranges (2324)'!$I$30,IF(H5&lt;'School Size Ranges (2324)'!$E$31,'School Size Ranges (2324)'!$I$31,IF('2324 Funding Detail'!H5&lt;'School Size Ranges (2324)'!$E$32,'School Size Ranges (2324)'!$I$32,IF(H5&lt;'School Size Ranges (2324)'!$E$33,'School Size Ranges (2324)'!$I$33,IF(H5&lt;'School Size Ranges (2324)'!$E$34,'School Size Ranges (2324)'!$I$34,IF(H5&lt;'School Size Ranges (2324)'!$E$35,'School Size Ranges (2324)'!$I$35,IF(H5&lt;'School Size Ranges (2324)'!$E$36,'School Size Ranges (2324)'!$I$36,IF(H5&lt;'School Size Ranges (2324)'!$E$37,'School Size Ranges (2324)'!$I$37,IF(H5&lt;'School Size Ranges (2324)'!$E$38,'School Size Ranges (2324)'!$I$38,IF(H5&lt;'School Size Ranges (2324)'!$E$39,'School Size Ranges (2324)'!$I$39,IF(H5&lt;'School Size Ranges (2324)'!$E$40,'School Size Ranges (2324)'!$I$40)))))))))))</f>
        <v>116699</v>
      </c>
      <c r="F5" s="245"/>
      <c r="G5" s="245"/>
      <c r="H5" s="248">
        <f>VLOOKUP(A5,'2324 Band Calculations'!$A$106:$T$122,10,FALSE)</f>
        <v>994415.10563380271</v>
      </c>
      <c r="I5" s="248">
        <f>VLOOKUP(A5,'2324 Band Calculations'!$A$106:$T$122,17,FALSE)</f>
        <v>0</v>
      </c>
      <c r="J5" s="245">
        <f>VLOOKUP(A5,'2324 FSM Calculation'!$A$4:$D$20,4,FALSE)</f>
        <v>10575.4</v>
      </c>
      <c r="K5" s="245">
        <f t="shared" si="0"/>
        <v>1521144.1056338027</v>
      </c>
      <c r="L5" s="248">
        <f t="shared" ref="L5:L19" si="2">K5-F5-G5</f>
        <v>1521144.1056338027</v>
      </c>
      <c r="M5" s="1036">
        <f>VLOOKUP(A5,'2324 Band Calculations'!$A$106:$T$122,19,FALSE)</f>
        <v>79.75</v>
      </c>
      <c r="N5" s="235">
        <f>VLOOKUP(A5,'2324 Band Calculations'!$A$104:$AN$122,40,(FALSE))</f>
        <v>109655.12676056338</v>
      </c>
      <c r="O5" s="253">
        <f>M5-(M5*(VLOOKUP(A5,'2324 Band Calculations'!$A$6:$J$22,10,(FALSE))))</f>
        <v>75.257042253521121</v>
      </c>
      <c r="P5" s="235">
        <f t="shared" ref="P5:P20" si="3">(H5+I5-N5)/O5</f>
        <v>11756.507462686568</v>
      </c>
      <c r="Q5" s="1025">
        <f>'2324 MFG Protection'!L20</f>
        <v>0</v>
      </c>
      <c r="R5" s="1025">
        <f t="shared" ref="R5:R19" si="4">L5+Q5</f>
        <v>1521144.1056338027</v>
      </c>
      <c r="S5" s="235">
        <f t="shared" ref="S5:S20" si="5">M5*10000</f>
        <v>797500</v>
      </c>
      <c r="T5" s="235">
        <f t="shared" ref="T5:T20" si="6">IF(S5&gt;R5,(S5-R5),(0))</f>
        <v>0</v>
      </c>
      <c r="U5" s="242">
        <f t="shared" ref="U5:U20" si="7">R5/M5</f>
        <v>19073.907280674641</v>
      </c>
      <c r="V5" s="242">
        <f t="shared" si="1"/>
        <v>797500</v>
      </c>
      <c r="W5" s="242"/>
      <c r="X5" s="242"/>
      <c r="Y5" s="242">
        <f t="shared" ref="Y5:Y20" si="8">U5-10000</f>
        <v>9073.9072806746408</v>
      </c>
      <c r="Z5" s="245">
        <f t="shared" ref="Z5:Z20" si="9">R5-V5</f>
        <v>723644.10563380271</v>
      </c>
      <c r="AA5" s="245">
        <f t="shared" ref="AA5:AA20" si="10">V5+Z5</f>
        <v>1521144.1056338027</v>
      </c>
      <c r="AB5" s="245">
        <f t="shared" ref="AB5:AB20" si="11">R5-AA5</f>
        <v>0</v>
      </c>
      <c r="AC5" s="36"/>
      <c r="AD5" s="235"/>
      <c r="AE5" s="235"/>
      <c r="AF5" s="235"/>
      <c r="AG5" s="1037"/>
      <c r="AH5" s="36"/>
    </row>
    <row r="6" spans="1:34" x14ac:dyDescent="0.25">
      <c r="A6" s="244">
        <v>9257025</v>
      </c>
      <c r="B6" s="237" t="s">
        <v>806</v>
      </c>
      <c r="C6" s="1038" t="str">
        <f>IF(H6&lt;'School Size Ranges (2324)'!$E$30,'School Size Ranges (2324)'!$D$30,IF(H6&lt;'School Size Ranges (2324)'!$E$31,'School Size Ranges (2324)'!$D$31,IF('2324 Funding Detail'!H6&lt;'School Size Ranges (2324)'!$E$32,'School Size Ranges (2324)'!$D$32,IF(H6&lt;'School Size Ranges (2324)'!$E$33,'School Size Ranges (2324)'!$D$33,IF(H6&lt;'School Size Ranges (2324)'!$E$34,'School Size Ranges (2324)'!$D$34,IF(H6&lt;'School Size Ranges (2324)'!$E$35,'School Size Ranges (2324)'!$D$35,IF(H6&lt;'School Size Ranges (2324)'!$E$36,'School Size Ranges (2324)'!$D$36,IF(H6&lt;'School Size Ranges (2324)'!$E$37,'School Size Ranges (2324)'!$D$37,IF(H6&lt;'School Size Ranges (2324)'!$E$38,'School Size Ranges (2324)'!$D$38,IF(H6&lt;'School Size Ranges (2324)'!$E$39,'School Size Ranges (2324)'!$D$39,IF(H6&lt;'School Size Ranges (2324)'!$E$40,'School Size Ranges (2324)'!$D$40)))))))))))</f>
        <v>School Size 4</v>
      </c>
      <c r="D6" s="245">
        <f>IF(H6&lt;'School Size Ranges (2324)'!$E$30,'School Size Ranges (2324)'!$H$30,IF(H6&lt;'School Size Ranges (2324)'!$E$31,'School Size Ranges (2324)'!$H$31,IF('2324 Funding Detail'!H6&lt;'School Size Ranges (2324)'!$E$32,'School Size Ranges (2324)'!$H$32,IF(H6&lt;'School Size Ranges (2324)'!$E$33,'School Size Ranges (2324)'!$H$33,IF(H6&lt;'School Size Ranges (2324)'!$E$34,'School Size Ranges (2324)'!$H$34,IF(H6&lt;'School Size Ranges (2324)'!$E$35,'School Size Ranges (2324)'!$H$35,IF(H6&lt;'School Size Ranges (2324)'!$E$36,'School Size Ranges (2324)'!$H$36,IF(H6&lt;'School Size Ranges (2324)'!$E$37,'School Size Ranges (2324)'!$H$37,IF(H6&lt;'School Size Ranges (2324)'!$E$38,'School Size Ranges (2324)'!$H$38,IF(H6&lt;'School Size Ranges (2324)'!$E$39,'School Size Ranges (2324)'!$H$39,IF(H6&lt;'School Size Ranges (2324)'!$E$40,'School Size Ranges (2324)'!$H$40)))))))))))</f>
        <v>399454.60000000003</v>
      </c>
      <c r="E6" s="245">
        <f>IF(H6&lt;'School Size Ranges (2324)'!$E$30,'School Size Ranges (2324)'!$I$30,IF(H6&lt;'School Size Ranges (2324)'!$E$31,'School Size Ranges (2324)'!$I$31,IF('2324 Funding Detail'!H6&lt;'School Size Ranges (2324)'!$E$32,'School Size Ranges (2324)'!$I$32,IF(H6&lt;'School Size Ranges (2324)'!$E$33,'School Size Ranges (2324)'!$I$33,IF(H6&lt;'School Size Ranges (2324)'!$E$34,'School Size Ranges (2324)'!$I$34,IF(H6&lt;'School Size Ranges (2324)'!$E$35,'School Size Ranges (2324)'!$I$35,IF(H6&lt;'School Size Ranges (2324)'!$E$36,'School Size Ranges (2324)'!$I$36,IF(H6&lt;'School Size Ranges (2324)'!$E$37,'School Size Ranges (2324)'!$I$37,IF(H6&lt;'School Size Ranges (2324)'!$E$38,'School Size Ranges (2324)'!$I$38,IF(H6&lt;'School Size Ranges (2324)'!$E$39,'School Size Ranges (2324)'!$I$39,IF(H6&lt;'School Size Ranges (2324)'!$E$40,'School Size Ranges (2324)'!$I$40)))))))))))</f>
        <v>116699</v>
      </c>
      <c r="F6" s="245"/>
      <c r="G6" s="245"/>
      <c r="H6" s="248">
        <f>VLOOKUP(A6,'2324 Band Calculations'!$A$106:$T$122,10,FALSE)</f>
        <v>1045732.2666666666</v>
      </c>
      <c r="I6" s="248">
        <f>VLOOKUP(A6,'2324 Band Calculations'!$A$106:$T$122,17,FALSE)</f>
        <v>0</v>
      </c>
      <c r="J6" s="245">
        <f>VLOOKUP(A6,'2324 FSM Calculation'!$A$4:$D$20,4,FALSE)</f>
        <v>19708.7</v>
      </c>
      <c r="K6" s="245">
        <f t="shared" si="0"/>
        <v>1581594.5666666667</v>
      </c>
      <c r="L6" s="248">
        <f t="shared" si="2"/>
        <v>1581594.5666666667</v>
      </c>
      <c r="M6" s="1036">
        <f>VLOOKUP(A6,'2324 Band Calculations'!$A$106:$T$122,19,FALSE)</f>
        <v>96</v>
      </c>
      <c r="N6" s="235">
        <f>VLOOKUP(A6,'2324 Band Calculations'!$A$104:$AN$122,40,(FALSE))</f>
        <v>104132.26666666666</v>
      </c>
      <c r="O6" s="253">
        <f>M6-(M6*(VLOOKUP(A6,'2324 Band Calculations'!$A$6:$J$22,10,(FALSE))))</f>
        <v>91.733333333333334</v>
      </c>
      <c r="P6" s="235">
        <f t="shared" si="3"/>
        <v>10264.534883720929</v>
      </c>
      <c r="Q6" s="1025">
        <f>'2324 MFG Protection'!L29</f>
        <v>8581.1995982040153</v>
      </c>
      <c r="R6" s="1025">
        <f t="shared" si="4"/>
        <v>1590175.7662648708</v>
      </c>
      <c r="S6" s="235">
        <f t="shared" si="5"/>
        <v>960000</v>
      </c>
      <c r="T6" s="235">
        <f t="shared" si="6"/>
        <v>0</v>
      </c>
      <c r="U6" s="242">
        <f t="shared" si="7"/>
        <v>16564.330898592405</v>
      </c>
      <c r="V6" s="242">
        <f t="shared" si="1"/>
        <v>960000</v>
      </c>
      <c r="W6" s="242"/>
      <c r="X6" s="242"/>
      <c r="Y6" s="242">
        <f t="shared" si="8"/>
        <v>6564.330898592405</v>
      </c>
      <c r="Z6" s="245">
        <f t="shared" si="9"/>
        <v>630175.76626487076</v>
      </c>
      <c r="AA6" s="245">
        <f t="shared" si="10"/>
        <v>1590175.7662648708</v>
      </c>
      <c r="AB6" s="245">
        <f t="shared" si="11"/>
        <v>0</v>
      </c>
      <c r="AC6" s="36"/>
      <c r="AD6" s="235"/>
      <c r="AE6" s="235"/>
      <c r="AF6" s="235"/>
      <c r="AG6" s="1037"/>
      <c r="AH6" s="36"/>
    </row>
    <row r="7" spans="1:34" x14ac:dyDescent="0.25">
      <c r="A7" s="244">
        <v>9257024</v>
      </c>
      <c r="B7" s="237" t="s">
        <v>807</v>
      </c>
      <c r="C7" s="1038" t="str">
        <f>IF(H7&lt;'School Size Ranges (2324)'!$E$30,'School Size Ranges (2324)'!$D$30,IF(H7&lt;'School Size Ranges (2324)'!$E$31,'School Size Ranges (2324)'!$D$31,IF('2324 Funding Detail'!H7&lt;'School Size Ranges (2324)'!$E$32,'School Size Ranges (2324)'!$D$32,IF(H7&lt;'School Size Ranges (2324)'!$E$33,'School Size Ranges (2324)'!$D$33,IF(H7&lt;'School Size Ranges (2324)'!$E$34,'School Size Ranges (2324)'!$D$34,IF(H7&lt;'School Size Ranges (2324)'!$E$35,'School Size Ranges (2324)'!$D$35,IF(H7&lt;'School Size Ranges (2324)'!$E$36,'School Size Ranges (2324)'!$D$36,IF(H7&lt;'School Size Ranges (2324)'!$E$37,'School Size Ranges (2324)'!$D$37,IF(H7&lt;'School Size Ranges (2324)'!$E$38,'School Size Ranges (2324)'!$D$38,IF(H7&lt;'School Size Ranges (2324)'!$E$39,'School Size Ranges (2324)'!$D$39,IF(H7&lt;'School Size Ranges (2324)'!$E$40,'School Size Ranges (2324)'!$D$40)))))))))))</f>
        <v>School Size 4</v>
      </c>
      <c r="D7" s="245">
        <f>IF(H7&lt;'School Size Ranges (2324)'!$E$30,'School Size Ranges (2324)'!$H$30,IF(H7&lt;'School Size Ranges (2324)'!$E$31,'School Size Ranges (2324)'!$H$31,IF('2324 Funding Detail'!H7&lt;'School Size Ranges (2324)'!$E$32,'School Size Ranges (2324)'!$H$32,IF(H7&lt;'School Size Ranges (2324)'!$E$33,'School Size Ranges (2324)'!$H$33,IF(H7&lt;'School Size Ranges (2324)'!$E$34,'School Size Ranges (2324)'!$H$34,IF(H7&lt;'School Size Ranges (2324)'!$E$35,'School Size Ranges (2324)'!$H$35,IF(H7&lt;'School Size Ranges (2324)'!$E$36,'School Size Ranges (2324)'!$H$36,IF(H7&lt;'School Size Ranges (2324)'!$E$37,'School Size Ranges (2324)'!$H$37,IF(H7&lt;'School Size Ranges (2324)'!$E$38,'School Size Ranges (2324)'!$H$38,IF(H7&lt;'School Size Ranges (2324)'!$E$39,'School Size Ranges (2324)'!$H$39,IF(H7&lt;'School Size Ranges (2324)'!$E$40,'School Size Ranges (2324)'!$H$40)))))))))))</f>
        <v>399454.60000000003</v>
      </c>
      <c r="E7" s="245">
        <f>IF(H7&lt;'School Size Ranges (2324)'!$E$30,'School Size Ranges (2324)'!$I$30,IF(H7&lt;'School Size Ranges (2324)'!$E$31,'School Size Ranges (2324)'!$I$31,IF('2324 Funding Detail'!H7&lt;'School Size Ranges (2324)'!$E$32,'School Size Ranges (2324)'!$I$32,IF(H7&lt;'School Size Ranges (2324)'!$E$33,'School Size Ranges (2324)'!$I$33,IF(H7&lt;'School Size Ranges (2324)'!$E$34,'School Size Ranges (2324)'!$I$34,IF(H7&lt;'School Size Ranges (2324)'!$E$35,'School Size Ranges (2324)'!$I$35,IF(H7&lt;'School Size Ranges (2324)'!$E$36,'School Size Ranges (2324)'!$I$36,IF(H7&lt;'School Size Ranges (2324)'!$E$37,'School Size Ranges (2324)'!$I$37,IF(H7&lt;'School Size Ranges (2324)'!$E$38,'School Size Ranges (2324)'!$I$38,IF(H7&lt;'School Size Ranges (2324)'!$E$39,'School Size Ranges (2324)'!$I$39,IF(H7&lt;'School Size Ranges (2324)'!$E$40,'School Size Ranges (2324)'!$I$40)))))))))))</f>
        <v>116699</v>
      </c>
      <c r="F7" s="245"/>
      <c r="G7" s="245"/>
      <c r="H7" s="248">
        <f>VLOOKUP(A7,'2324 Band Calculations'!$A$106:$T$122,10,FALSE)</f>
        <v>1063995.3088235294</v>
      </c>
      <c r="I7" s="248">
        <f>VLOOKUP(A7,'2324 Band Calculations'!$A$106:$T$122,17,FALSE)</f>
        <v>0</v>
      </c>
      <c r="J7" s="245">
        <f>VLOOKUP(A7,'2324 FSM Calculation'!$A$4:$D$20,4,FALSE)</f>
        <v>14421</v>
      </c>
      <c r="K7" s="245">
        <f t="shared" si="0"/>
        <v>1594569.9088235295</v>
      </c>
      <c r="L7" s="248">
        <f t="shared" si="2"/>
        <v>1594569.9088235295</v>
      </c>
      <c r="M7" s="1036">
        <f>VLOOKUP(A7,'2324 Band Calculations'!$A$106:$T$122,19,FALSE)</f>
        <v>92.916666666666671</v>
      </c>
      <c r="N7" s="235">
        <f>VLOOKUP(A7,'2324 Band Calculations'!$A$104:$AN$122,40,(FALSE))</f>
        <v>160074.64705882352</v>
      </c>
      <c r="O7" s="253">
        <f>M7-(M7*(VLOOKUP(A7,'2324 Band Calculations'!$A$6:$J$22,10,(FALSE))))</f>
        <v>86.357843137254903</v>
      </c>
      <c r="P7" s="235">
        <f t="shared" si="3"/>
        <v>10467.151898734177</v>
      </c>
      <c r="Q7" s="1025">
        <f>'2324 MFG Protection'!L47</f>
        <v>8844.6388169908823</v>
      </c>
      <c r="R7" s="1025">
        <f t="shared" si="4"/>
        <v>1603414.5476405204</v>
      </c>
      <c r="S7" s="235">
        <f t="shared" si="5"/>
        <v>929166.66666666674</v>
      </c>
      <c r="T7" s="235">
        <f t="shared" si="6"/>
        <v>0</v>
      </c>
      <c r="U7" s="242">
        <f t="shared" si="7"/>
        <v>17256.479436489906</v>
      </c>
      <c r="V7" s="242">
        <f t="shared" si="1"/>
        <v>929166.66666666674</v>
      </c>
      <c r="W7" s="242"/>
      <c r="X7" s="242"/>
      <c r="Y7" s="242">
        <f t="shared" si="8"/>
        <v>7256.4794364899062</v>
      </c>
      <c r="Z7" s="245">
        <f t="shared" si="9"/>
        <v>674247.88097385364</v>
      </c>
      <c r="AA7" s="245">
        <f t="shared" si="10"/>
        <v>1603414.5476405204</v>
      </c>
      <c r="AB7" s="245">
        <f t="shared" si="11"/>
        <v>0</v>
      </c>
      <c r="AC7" s="36"/>
      <c r="AD7" s="235"/>
      <c r="AE7" s="235"/>
      <c r="AF7" s="235"/>
      <c r="AG7" s="1037"/>
      <c r="AH7" s="36"/>
    </row>
    <row r="8" spans="1:34" ht="13" x14ac:dyDescent="0.3">
      <c r="A8" s="244">
        <v>9257031</v>
      </c>
      <c r="B8" s="32" t="s">
        <v>557</v>
      </c>
      <c r="C8" s="1038" t="str">
        <f>IF(H8&lt;'School Size Ranges (2324)'!$E$30,'School Size Ranges (2324)'!$D$30,IF(H8&lt;'School Size Ranges (2324)'!$E$31,'School Size Ranges (2324)'!$D$31,IF('2324 Funding Detail'!H8&lt;'School Size Ranges (2324)'!$E$32,'School Size Ranges (2324)'!$D$32,IF(H8&lt;'School Size Ranges (2324)'!$E$33,'School Size Ranges (2324)'!$D$33,IF(H8&lt;'School Size Ranges (2324)'!$E$34,'School Size Ranges (2324)'!$D$34,IF(H8&lt;'School Size Ranges (2324)'!$E$35,'School Size Ranges (2324)'!$D$35,IF(H8&lt;'School Size Ranges (2324)'!$E$36,'School Size Ranges (2324)'!$D$36,IF(H8&lt;'School Size Ranges (2324)'!$E$37,'School Size Ranges (2324)'!$D$37,IF(H8&lt;'School Size Ranges (2324)'!$E$38,'School Size Ranges (2324)'!$D$38,IF(H8&lt;'School Size Ranges (2324)'!$E$39,'School Size Ranges (2324)'!$D$39,IF(H8&lt;'School Size Ranges (2324)'!$E$40,'School Size Ranges (2324)'!$D$40)))))))))))</f>
        <v>School Size 5</v>
      </c>
      <c r="D8" s="245">
        <f>IF(H8&lt;'School Size Ranges (2324)'!$E$30,'School Size Ranges (2324)'!$J$30,IF(H8&lt;'School Size Ranges (2324)'!$E$31,'School Size Ranges (2324)'!$J$31,IF('2324 Funding Detail'!H8&lt;'School Size Ranges (2324)'!$E$32,'School Size Ranges (2324)'!$J$32,IF(H8&lt;'School Size Ranges (2324)'!$E$33,'School Size Ranges (2324)'!$J$33,IF(H8&lt;'School Size Ranges (2324)'!$E$34,'School Size Ranges (2324)'!$J$34,IF(H8&lt;'School Size Ranges (2324)'!$E$35,'School Size Ranges (2324)'!$J$35,IF(H8&lt;'School Size Ranges (2324)'!$E$36,'School Size Ranges (2324)'!$J$36,IF(H8&lt;'School Size Ranges (2324)'!$E$37,'School Size Ranges (2324)'!$J$37,IF(H8&lt;'School Size Ranges (2324)'!$E$38,'School Size Ranges (2324)'!$J$38,IF(H8&lt;'School Size Ranges (2324)'!$E$39,'School Size Ranges (2324)'!$J$39,IF(H8&lt;'School Size Ranges (2324)'!$E$40,'School Size Ranges (2324)'!$J$40)))))))))))</f>
        <v>413596.5</v>
      </c>
      <c r="E8" s="245">
        <f>IF(H8&lt;'School Size Ranges (2324)'!$E$30,'School Size Ranges (2324)'!$K$30,IF(H8&lt;'School Size Ranges (2324)'!$E$31,'School Size Ranges (2324)'!$K$31,IF('2324 Funding Detail'!H8&lt;'School Size Ranges (2324)'!$E$32,'School Size Ranges (2324)'!$K$32,IF(H8&lt;'School Size Ranges (2324)'!$E$33,'School Size Ranges (2324)'!$K$33,IF(H8&lt;'School Size Ranges (2324)'!$E$34,'School Size Ranges (2324)'!$K$34,IF(H8&lt;'School Size Ranges (2324)'!$E$35,'School Size Ranges (2324)'!$K$35,IF(H8&lt;'School Size Ranges (2324)'!$E$36,'School Size Ranges (2324)'!$K$36,IF(H8&lt;'School Size Ranges (2324)'!$E$37,'School Size Ranges (2324)'!$K$37,IF(H8&lt;'School Size Ranges (2324)'!$E$38,'School Size Ranges (2324)'!$K$38,IF(H8&lt;'School Size Ranges (2324)'!$E$39,'School Size Ranges (2324)'!$K$39,IF(H8&lt;'School Size Ranges (2324)'!$E$40,'School Size Ranges (2324)'!$K$40)))))))))))</f>
        <v>91206.5</v>
      </c>
      <c r="F8" s="1333">
        <v>226826</v>
      </c>
      <c r="G8" s="245"/>
      <c r="H8" s="248">
        <f>VLOOKUP(A8,'2324 Band Calculations'!$A$106:$T$122,10,FALSE)</f>
        <v>1254440.75</v>
      </c>
      <c r="I8" s="248">
        <f>VLOOKUP(A8,'2324 Band Calculations'!$A$106:$T$122,17,FALSE)</f>
        <v>0</v>
      </c>
      <c r="J8" s="245">
        <f>VLOOKUP(A8,'2324 FSM Calculation'!$A$4:$D$20,4,FALSE)</f>
        <v>21150.799999999999</v>
      </c>
      <c r="K8" s="245">
        <f>SUM(D8:J8)</f>
        <v>2007220.55</v>
      </c>
      <c r="L8" s="248">
        <f>K8-F8-G8</f>
        <v>1780394.55</v>
      </c>
      <c r="M8" s="1036">
        <f>VLOOKUP(A8,'2324 Band Calculations'!$A$106:$T$122,19,FALSE)</f>
        <v>80.583333333333343</v>
      </c>
      <c r="N8" s="235">
        <f>VLOOKUP(A8,'2324 Band Calculations'!$A$104:$AN$122,40,(FALSE))</f>
        <v>0</v>
      </c>
      <c r="O8" s="253">
        <f>M8-(M8*(VLOOKUP(A8,'2324 Band Calculations'!$A$6:$J$22,10,(FALSE))))</f>
        <v>80.583333333333343</v>
      </c>
      <c r="P8" s="235">
        <f>(H8+I8-N8)/O8</f>
        <v>15566.999999999998</v>
      </c>
      <c r="Q8" s="1025">
        <f>'2324 MFG Protection'!L56</f>
        <v>0</v>
      </c>
      <c r="R8" s="1025">
        <f>L8+Q8</f>
        <v>1780394.55</v>
      </c>
      <c r="S8" s="235">
        <f>M8*10000</f>
        <v>805833.33333333337</v>
      </c>
      <c r="T8" s="235">
        <f>IF(S8&gt;R8,(S8-R8),(0))</f>
        <v>0</v>
      </c>
      <c r="U8" s="242">
        <f>R8/M8</f>
        <v>22093.8310237849</v>
      </c>
      <c r="V8" s="242">
        <f>M8*10000</f>
        <v>805833.33333333337</v>
      </c>
      <c r="W8" s="242"/>
      <c r="X8" s="242"/>
      <c r="Y8" s="242">
        <f>U8-10000</f>
        <v>12093.8310237849</v>
      </c>
      <c r="Z8" s="245">
        <f>R8-V8</f>
        <v>974561.21666666667</v>
      </c>
      <c r="AA8" s="245">
        <f>V8+Z8</f>
        <v>1780394.55</v>
      </c>
      <c r="AB8" s="245">
        <f>R8-AA8</f>
        <v>0</v>
      </c>
      <c r="AC8" s="36"/>
      <c r="AD8" s="235"/>
      <c r="AE8" s="235"/>
      <c r="AF8" s="235"/>
      <c r="AG8" s="1037"/>
      <c r="AH8" s="36"/>
    </row>
    <row r="9" spans="1:34" x14ac:dyDescent="0.25">
      <c r="A9" s="244">
        <v>9257033</v>
      </c>
      <c r="B9" s="237" t="s">
        <v>816</v>
      </c>
      <c r="C9" s="1038" t="str">
        <f>IF(H9&lt;'School Size Ranges (2324)'!$E$30,'School Size Ranges (2324)'!$D$30,IF(H9&lt;'School Size Ranges (2324)'!$E$31,'School Size Ranges (2324)'!$D$31,IF('2324 Funding Detail'!H9&lt;'School Size Ranges (2324)'!$E$32,'School Size Ranges (2324)'!$D$32,IF(H9&lt;'School Size Ranges (2324)'!$E$33,'School Size Ranges (2324)'!$D$33,IF(H9&lt;'School Size Ranges (2324)'!$E$34,'School Size Ranges (2324)'!$D$34,IF(H9&lt;'School Size Ranges (2324)'!$E$35,'School Size Ranges (2324)'!$D$35,IF(H9&lt;'School Size Ranges (2324)'!$E$36,'School Size Ranges (2324)'!$D$36,IF(H9&lt;'School Size Ranges (2324)'!$E$37,'School Size Ranges (2324)'!$D$37,IF(H9&lt;'School Size Ranges (2324)'!$E$38,'School Size Ranges (2324)'!$D$38,IF(H9&lt;'School Size Ranges (2324)'!$E$39,'School Size Ranges (2324)'!$D$39,IF(H9&lt;'School Size Ranges (2324)'!$E$40,'School Size Ranges (2324)'!$D$40)))))))))))</f>
        <v>School Size 4</v>
      </c>
      <c r="D9" s="245">
        <f>IF(H9&lt;'School Size Ranges (2324)'!$E$30,'School Size Ranges (2324)'!$H$30,IF(H9&lt;'School Size Ranges (2324)'!$E$31,'School Size Ranges (2324)'!$H$31,IF('2324 Funding Detail'!H9&lt;'School Size Ranges (2324)'!$E$32,'School Size Ranges (2324)'!$H$32,IF(H9&lt;'School Size Ranges (2324)'!$E$33,'School Size Ranges (2324)'!$H$33,IF(H9&lt;'School Size Ranges (2324)'!$E$34,'School Size Ranges (2324)'!$H$34,IF(H9&lt;'School Size Ranges (2324)'!$E$35,'School Size Ranges (2324)'!$H$35,IF(H9&lt;'School Size Ranges (2324)'!$E$36,'School Size Ranges (2324)'!$H$36,IF(H9&lt;'School Size Ranges (2324)'!$E$37,'School Size Ranges (2324)'!$H$37,IF(H9&lt;'School Size Ranges (2324)'!$E$38,'School Size Ranges (2324)'!$H$38,IF(H9&lt;'School Size Ranges (2324)'!$E$39,'School Size Ranges (2324)'!$H$39,IF(H9&lt;'School Size Ranges (2324)'!$E$40,'School Size Ranges (2324)'!$H$40)))))))))))</f>
        <v>399454.60000000003</v>
      </c>
      <c r="E9" s="245">
        <f>IF(H9&lt;'School Size Ranges (2324)'!$E$30,'School Size Ranges (2324)'!$I$30,IF(H9&lt;'School Size Ranges (2324)'!$E$31,'School Size Ranges (2324)'!$I$31,IF('2324 Funding Detail'!H9&lt;'School Size Ranges (2324)'!$E$32,'School Size Ranges (2324)'!$I$32,IF(H9&lt;'School Size Ranges (2324)'!$E$33,'School Size Ranges (2324)'!$I$33,IF(H9&lt;'School Size Ranges (2324)'!$E$34,'School Size Ranges (2324)'!$I$34,IF(H9&lt;'School Size Ranges (2324)'!$E$35,'School Size Ranges (2324)'!$I$35,IF(H9&lt;'School Size Ranges (2324)'!$E$36,'School Size Ranges (2324)'!$I$36,IF(H9&lt;'School Size Ranges (2324)'!$E$37,'School Size Ranges (2324)'!$I$37,IF(H9&lt;'School Size Ranges (2324)'!$E$38,'School Size Ranges (2324)'!$I$38,IF(H9&lt;'School Size Ranges (2324)'!$E$39,'School Size Ranges (2324)'!$I$39,IF(H9&lt;'School Size Ranges (2324)'!$E$40,'School Size Ranges (2324)'!$I$40)))))))))))</f>
        <v>116699</v>
      </c>
      <c r="F9" s="239"/>
      <c r="G9" s="245"/>
      <c r="H9" s="248">
        <f>VLOOKUP(A9,'2324 Band Calculations'!$A$106:$T$122,10,FALSE)</f>
        <v>1071210.3941441439</v>
      </c>
      <c r="I9" s="248">
        <f>VLOOKUP(A9,'2324 Band Calculations'!$A$106:$T$122,17,FALSE)</f>
        <v>0</v>
      </c>
      <c r="J9" s="245">
        <f>VLOOKUP(A9,'2324 FSM Calculation'!$A$4:$D$20,4,FALSE)</f>
        <v>30764.799999999999</v>
      </c>
      <c r="K9" s="245">
        <f>SUM(D9:J9)</f>
        <v>1618128.794144144</v>
      </c>
      <c r="L9" s="248">
        <f>K9-F9-G9</f>
        <v>1618128.794144144</v>
      </c>
      <c r="M9" s="1036">
        <f>VLOOKUP(A9,'2324 Band Calculations'!$A$106:$T$122,19,FALSE)</f>
        <v>113.75000000000001</v>
      </c>
      <c r="N9" s="235">
        <f>VLOOKUP(A9,'2324 Band Calculations'!$A$104:$AN$122,40,(FALSE))</f>
        <v>50021.306306306302</v>
      </c>
      <c r="O9" s="253">
        <f>M9-(M9*(VLOOKUP(A9,'2324 Band Calculations'!$A$6:$J$22,10,(FALSE))))</f>
        <v>111.70045045045046</v>
      </c>
      <c r="P9" s="235">
        <f>(H9+I9-N9)/O9</f>
        <v>9142.2110091743089</v>
      </c>
      <c r="Q9" s="1025">
        <f>'2324 MFG Protection'!L65</f>
        <v>0</v>
      </c>
      <c r="R9" s="1025">
        <f>L9+Q9</f>
        <v>1618128.794144144</v>
      </c>
      <c r="S9" s="235">
        <f>M9*10000</f>
        <v>1137500.0000000002</v>
      </c>
      <c r="T9" s="235">
        <f>IF(S9&gt;R9,(S9-R9),(0))</f>
        <v>0</v>
      </c>
      <c r="U9" s="242">
        <f>R9/M9</f>
        <v>14225.308080388078</v>
      </c>
      <c r="V9" s="242">
        <f>M9*10000</f>
        <v>1137500.0000000002</v>
      </c>
      <c r="W9" s="242"/>
      <c r="X9" s="242"/>
      <c r="Y9" s="242">
        <f>U9-10000</f>
        <v>4225.3080803880785</v>
      </c>
      <c r="Z9" s="245">
        <f>R9-V9</f>
        <v>480628.79414414382</v>
      </c>
      <c r="AA9" s="245">
        <f>V9+Z9</f>
        <v>1618128.794144144</v>
      </c>
      <c r="AB9" s="245">
        <f>R9-AA9</f>
        <v>0</v>
      </c>
      <c r="AC9" s="36"/>
      <c r="AD9" s="235"/>
      <c r="AE9" s="235"/>
      <c r="AF9" s="235"/>
      <c r="AG9" s="1037"/>
      <c r="AH9" s="36"/>
    </row>
    <row r="10" spans="1:34" x14ac:dyDescent="0.25">
      <c r="A10" s="244">
        <v>9257008</v>
      </c>
      <c r="B10" s="237" t="s">
        <v>340</v>
      </c>
      <c r="C10" s="1038" t="str">
        <f>IF(H10&lt;'School Size Ranges (2324)'!$E$30,'School Size Ranges (2324)'!$D$30,IF(H10&lt;'School Size Ranges (2324)'!$E$31,'School Size Ranges (2324)'!$D$31,IF('2324 Funding Detail'!H10&lt;'School Size Ranges (2324)'!$E$32,'School Size Ranges (2324)'!$D$32,IF(H10&lt;'School Size Ranges (2324)'!$E$33,'School Size Ranges (2324)'!$D$33,IF(H10&lt;'School Size Ranges (2324)'!$E$34,'School Size Ranges (2324)'!$D$34,IF(H10&lt;'School Size Ranges (2324)'!$E$35,'School Size Ranges (2324)'!$D$35,IF(H10&lt;'School Size Ranges (2324)'!$E$36,'School Size Ranges (2324)'!$D$36,IF(H10&lt;'School Size Ranges (2324)'!$E$37,'School Size Ranges (2324)'!$D$37,IF(H10&lt;'School Size Ranges (2324)'!$E$38,'School Size Ranges (2324)'!$D$38,IF(H10&lt;'School Size Ranges (2324)'!$E$39,'School Size Ranges (2324)'!$D$39,IF(H10&lt;'School Size Ranges (2324)'!$E$40,'School Size Ranges (2324)'!$D$40)))))))))))</f>
        <v>School Size 4</v>
      </c>
      <c r="D10" s="245">
        <f>IF(H10&lt;'School Size Ranges (2324)'!$E$30,'School Size Ranges (2324)'!$H$30,IF(H10&lt;'School Size Ranges (2324)'!$E$31,'School Size Ranges (2324)'!$H$31,IF('2324 Funding Detail'!H10&lt;'School Size Ranges (2324)'!$E$32,'School Size Ranges (2324)'!$H$32,IF(H10&lt;'School Size Ranges (2324)'!$E$33,'School Size Ranges (2324)'!$H$33,IF(H10&lt;'School Size Ranges (2324)'!$E$34,'School Size Ranges (2324)'!$H$34,IF(H10&lt;'School Size Ranges (2324)'!$E$35,'School Size Ranges (2324)'!$H$35,IF(H10&lt;'School Size Ranges (2324)'!$E$36,'School Size Ranges (2324)'!$H$36,IF(H10&lt;'School Size Ranges (2324)'!$E$37,'School Size Ranges (2324)'!$H$37,IF(H10&lt;'School Size Ranges (2324)'!$E$38,'School Size Ranges (2324)'!$H$38,IF(H10&lt;'School Size Ranges (2324)'!$E$39,'School Size Ranges (2324)'!$H$39,IF(H10&lt;'School Size Ranges (2324)'!$E$40,'School Size Ranges (2324)'!$H$40)))))))))))</f>
        <v>399454.60000000003</v>
      </c>
      <c r="E10" s="245">
        <f>IF(H10&lt;'School Size Ranges (2324)'!$E$30,'School Size Ranges (2324)'!$I$30,IF(H10&lt;'School Size Ranges (2324)'!$E$31,'School Size Ranges (2324)'!$I$31,IF('2324 Funding Detail'!H10&lt;'School Size Ranges (2324)'!$E$32,'School Size Ranges (2324)'!$I$32,IF(H10&lt;'School Size Ranges (2324)'!$E$33,'School Size Ranges (2324)'!$I$33,IF(H10&lt;'School Size Ranges (2324)'!$E$34,'School Size Ranges (2324)'!$I$34,IF(H10&lt;'School Size Ranges (2324)'!$E$35,'School Size Ranges (2324)'!$I$35,IF(H10&lt;'School Size Ranges (2324)'!$E$36,'School Size Ranges (2324)'!$I$36,IF(H10&lt;'School Size Ranges (2324)'!$E$37,'School Size Ranges (2324)'!$I$37,IF(H10&lt;'School Size Ranges (2324)'!$E$38,'School Size Ranges (2324)'!$I$38,IF(H10&lt;'School Size Ranges (2324)'!$E$39,'School Size Ranges (2324)'!$I$39,IF(H10&lt;'School Size Ranges (2324)'!$E$40,'School Size Ranges (2324)'!$I$40)))))))))))</f>
        <v>116699</v>
      </c>
      <c r="F10" s="239"/>
      <c r="G10" s="245"/>
      <c r="H10" s="248">
        <f>VLOOKUP(A10,'2324 Band Calculations'!$A$106:$T$122,10,FALSE)</f>
        <v>958157.00000000012</v>
      </c>
      <c r="I10" s="248">
        <f>VLOOKUP(A10,'2324 Band Calculations'!$A$106:$T$122,17,FALSE)</f>
        <v>0</v>
      </c>
      <c r="J10" s="245">
        <f>VLOOKUP(A10,'2324 FSM Calculation'!$A$4:$D$20,4,FALSE)</f>
        <v>16824.5</v>
      </c>
      <c r="K10" s="245">
        <f t="shared" si="0"/>
        <v>1491135.1</v>
      </c>
      <c r="L10" s="248">
        <f t="shared" si="2"/>
        <v>1491135.1</v>
      </c>
      <c r="M10" s="1036">
        <f>VLOOKUP(A10,'2324 Band Calculations'!$A$106:$T$122,19,FALSE)</f>
        <v>101</v>
      </c>
      <c r="N10" s="235">
        <f>VLOOKUP(A10,'2324 Band Calculations'!$A$104:$AN$122,40,(FALSE))</f>
        <v>0</v>
      </c>
      <c r="O10" s="253">
        <f>M10-(M10*(VLOOKUP(A10,'2324 Band Calculations'!$A$6:$J$22,10,(FALSE))))</f>
        <v>101</v>
      </c>
      <c r="P10" s="235">
        <f t="shared" si="3"/>
        <v>9486.7029702970303</v>
      </c>
      <c r="Q10" s="1025">
        <f>'2324 MFG Protection'!L74</f>
        <v>0</v>
      </c>
      <c r="R10" s="1025">
        <f t="shared" si="4"/>
        <v>1491135.1</v>
      </c>
      <c r="S10" s="235">
        <f t="shared" si="5"/>
        <v>1010000</v>
      </c>
      <c r="T10" s="235">
        <f t="shared" si="6"/>
        <v>0</v>
      </c>
      <c r="U10" s="242">
        <f t="shared" si="7"/>
        <v>14763.713861386139</v>
      </c>
      <c r="V10" s="242">
        <f t="shared" si="1"/>
        <v>1010000</v>
      </c>
      <c r="W10" s="242"/>
      <c r="X10" s="242"/>
      <c r="Y10" s="242">
        <f t="shared" si="8"/>
        <v>4763.7138613861389</v>
      </c>
      <c r="Z10" s="245">
        <f t="shared" si="9"/>
        <v>481135.10000000009</v>
      </c>
      <c r="AA10" s="245">
        <f t="shared" si="10"/>
        <v>1491135.1</v>
      </c>
      <c r="AB10" s="245">
        <f t="shared" si="11"/>
        <v>0</v>
      </c>
      <c r="AC10" s="36"/>
      <c r="AD10" s="235"/>
      <c r="AE10" s="235"/>
      <c r="AF10" s="235"/>
      <c r="AG10" s="1037"/>
      <c r="AH10" s="36"/>
    </row>
    <row r="11" spans="1:34" x14ac:dyDescent="0.25">
      <c r="A11" s="244">
        <v>9257034</v>
      </c>
      <c r="B11" s="237" t="s">
        <v>817</v>
      </c>
      <c r="C11" s="1038" t="str">
        <f>IF(H11&lt;'School Size Ranges (2324)'!$E$30,'School Size Ranges (2324)'!$D$30,IF(H11&lt;'School Size Ranges (2324)'!$E$31,'School Size Ranges (2324)'!$D$31,IF('2324 Funding Detail'!H11&lt;'School Size Ranges (2324)'!$E$32,'School Size Ranges (2324)'!$D$32,IF(H11&lt;'School Size Ranges (2324)'!$E$33,'School Size Ranges (2324)'!$D$33,IF(H11&lt;'School Size Ranges (2324)'!$E$34,'School Size Ranges (2324)'!$D$34,IF(H11&lt;'School Size Ranges (2324)'!$E$35,'School Size Ranges (2324)'!$D$35,IF(H11&lt;'School Size Ranges (2324)'!$E$36,'School Size Ranges (2324)'!$D$36,IF(H11&lt;'School Size Ranges (2324)'!$E$37,'School Size Ranges (2324)'!$D$37,IF(H11&lt;'School Size Ranges (2324)'!$E$38,'School Size Ranges (2324)'!$D$38,IF(H11&lt;'School Size Ranges (2324)'!$E$39,'School Size Ranges (2324)'!$D$39,IF(H11&lt;'School Size Ranges (2324)'!$E$40,'School Size Ranges (2324)'!$D$40)))))))))))</f>
        <v>School Size 4 Transition Point</v>
      </c>
      <c r="D11" s="245">
        <f>IF(H11&lt;'School Size Ranges (2324)'!$E$30,'School Size Ranges (2324)'!$H$30,IF(H11&lt;'School Size Ranges (2324)'!$E$31,'School Size Ranges (2324)'!$H$31,IF('2324 Funding Detail'!H11&lt;'School Size Ranges (2324)'!$E$32,'School Size Ranges (2324)'!$H$32,IF(H11&lt;'School Size Ranges (2324)'!$E$33,'School Size Ranges (2324)'!$H$33,IF(H11&lt;'School Size Ranges (2324)'!$E$34,'School Size Ranges (2324)'!$H$34,IF(H11&lt;'School Size Ranges (2324)'!$E$35,'School Size Ranges (2324)'!$H$35,IF(H11&lt;'School Size Ranges (2324)'!$E$36,'School Size Ranges (2324)'!$H$36,IF(H11&lt;'School Size Ranges (2324)'!$E$37,'School Size Ranges (2324)'!$H$37,IF(H11&lt;'School Size Ranges (2324)'!$E$38,'School Size Ranges (2324)'!$H$38,IF(H11&lt;'School Size Ranges (2324)'!$E$39,'School Size Ranges (2324)'!$H$39,IF(H11&lt;'School Size Ranges (2324)'!$E$40,'School Size Ranges (2324)'!$H$40)))))))))))</f>
        <v>438718.2</v>
      </c>
      <c r="E11" s="245">
        <f>IF(H11&lt;'School Size Ranges (2324)'!$E$30,'School Size Ranges (2324)'!$I$30,IF(H11&lt;'School Size Ranges (2324)'!$E$31,'School Size Ranges (2324)'!$I$31,IF('2324 Funding Detail'!H11&lt;'School Size Ranges (2324)'!$E$32,'School Size Ranges (2324)'!$I$32,IF(H11&lt;'School Size Ranges (2324)'!$E$33,'School Size Ranges (2324)'!$I$33,IF(H11&lt;'School Size Ranges (2324)'!$E$34,'School Size Ranges (2324)'!$I$34,IF(H11&lt;'School Size Ranges (2324)'!$E$35,'School Size Ranges (2324)'!$I$35,IF(H11&lt;'School Size Ranges (2324)'!$E$36,'School Size Ranges (2324)'!$I$36,IF(H11&lt;'School Size Ranges (2324)'!$E$37,'School Size Ranges (2324)'!$I$37,IF(H11&lt;'School Size Ranges (2324)'!$E$38,'School Size Ranges (2324)'!$I$38,IF(H11&lt;'School Size Ranges (2324)'!$E$39,'School Size Ranges (2324)'!$I$39,IF(H11&lt;'School Size Ranges (2324)'!$E$40,'School Size Ranges (2324)'!$I$40)))))))))))</f>
        <v>122003.5</v>
      </c>
      <c r="F11" s="239"/>
      <c r="G11" s="245"/>
      <c r="H11" s="248">
        <f>VLOOKUP(A11,'2324 Band Calculations'!$A$106:$T$122,10,FALSE)</f>
        <v>1183425.2849002851</v>
      </c>
      <c r="I11" s="248">
        <f>VLOOKUP(A11,'2324 Band Calculations'!$A$106:$T$122,17,FALSE)</f>
        <v>0</v>
      </c>
      <c r="J11" s="245">
        <f>VLOOKUP(A11,'2324 FSM Calculation'!$A$4:$D$20,4,FALSE)</f>
        <v>27399.899999999998</v>
      </c>
      <c r="K11" s="245">
        <f>SUM(D11:J11)</f>
        <v>1771546.8849002849</v>
      </c>
      <c r="L11" s="248">
        <f>K11-F11-G11</f>
        <v>1771546.8849002849</v>
      </c>
      <c r="M11" s="1036">
        <f>VLOOKUP(A11,'2324 Band Calculations'!$A$106:$T$122,19,FALSE)</f>
        <v>128.33333333333334</v>
      </c>
      <c r="N11" s="235">
        <f>VLOOKUP(A11,'2324 Band Calculations'!$A$104:$AN$122,40,(FALSE))</f>
        <v>26770.113960113962</v>
      </c>
      <c r="O11" s="253">
        <f>M11-(M11*(VLOOKUP(A11,'2324 Band Calculations'!$A$6:$J$22,10,(FALSE))))</f>
        <v>127.23646723646725</v>
      </c>
      <c r="P11" s="235">
        <f>(H11+I11-N11)/O11</f>
        <v>9090.5948275862065</v>
      </c>
      <c r="Q11" s="1025">
        <f>'2324 MFG Protection'!L83</f>
        <v>34011.53444176296</v>
      </c>
      <c r="R11" s="1025">
        <f>L11+Q11</f>
        <v>1805558.419342048</v>
      </c>
      <c r="S11" s="235">
        <f>M11*10000</f>
        <v>1283333.3333333335</v>
      </c>
      <c r="T11" s="235">
        <f>IF(S11&gt;R11,(S11-R11),(0))</f>
        <v>0</v>
      </c>
      <c r="U11" s="242">
        <f>R11/M11</f>
        <v>14069.28638448349</v>
      </c>
      <c r="V11" s="242">
        <f>M11*10000</f>
        <v>1283333.3333333335</v>
      </c>
      <c r="W11" s="242"/>
      <c r="X11" s="242"/>
      <c r="Y11" s="242">
        <f>U11-10000</f>
        <v>4069.2863844834901</v>
      </c>
      <c r="Z11" s="245">
        <f>R11-V11</f>
        <v>522225.08600871451</v>
      </c>
      <c r="AA11" s="245">
        <f>V11+Z11</f>
        <v>1805558.419342048</v>
      </c>
      <c r="AB11" s="245">
        <f>R11-AA11</f>
        <v>0</v>
      </c>
      <c r="AC11" s="36"/>
      <c r="AD11" s="235"/>
      <c r="AE11" s="235"/>
      <c r="AF11" s="235"/>
      <c r="AG11" s="1037"/>
      <c r="AH11" s="36"/>
    </row>
    <row r="12" spans="1:34" x14ac:dyDescent="0.25">
      <c r="A12" s="244">
        <v>9257002</v>
      </c>
      <c r="B12" s="237" t="s">
        <v>808</v>
      </c>
      <c r="C12" s="1291" t="str">
        <f>IF(H12&lt;'School Size Ranges (2324)'!$E$30,'School Size Ranges (2324)'!$D$30,IF(H12&lt;'School Size Ranges (2324)'!$E$31,'School Size Ranges (2324)'!$D$31,IF('2324 Funding Detail'!H12&lt;'School Size Ranges (2324)'!$E$32,'School Size Ranges (2324)'!$D$32,IF(H12&lt;'School Size Ranges (2324)'!$E$33,'School Size Ranges (2324)'!$D$33,IF(H12&lt;'School Size Ranges (2324)'!$E$34,'School Size Ranges (2324)'!$D$34,IF(H12&lt;'School Size Ranges (2324)'!$E$35,'School Size Ranges (2324)'!$D$35,IF(H12&lt;'School Size Ranges (2324)'!$E$36,'School Size Ranges (2324)'!$D$36,IF(H12&lt;'School Size Ranges (2324)'!$E$37,'School Size Ranges (2324)'!$D$37,IF(H12&lt;'School Size Ranges (2324)'!$E$38,'School Size Ranges (2324)'!$D$38,IF(H12&lt;'School Size Ranges (2324)'!$E$39,'School Size Ranges (2324)'!$D$39,IF(H12&lt;'School Size Ranges (2324)'!$E$40,'School Size Ranges (2324)'!$D$40)))))))))))</f>
        <v>School Size 5 Transition Point</v>
      </c>
      <c r="D12" s="245">
        <f>IF(H12&lt;'School Size Ranges (2324)'!$E$30,'School Size Ranges (2324)'!$H$30,IF(H12&lt;'School Size Ranges (2324)'!$E$31,'School Size Ranges (2324)'!$H$31,IF('2324 Funding Detail'!H12&lt;'School Size Ranges (2324)'!$E$32,'School Size Ranges (2324)'!$H$32,IF(H12&lt;'School Size Ranges (2324)'!$E$33,'School Size Ranges (2324)'!$H$33,IF(H12&lt;'School Size Ranges (2324)'!$E$34,'School Size Ranges (2324)'!$H$34,IF(H12&lt;'School Size Ranges (2324)'!$E$35,'School Size Ranges (2324)'!$H$35,IF(H12&lt;'School Size Ranges (2324)'!$E$36,'School Size Ranges (2324)'!$H$36,IF(H12&lt;'School Size Ranges (2324)'!$E$37,'School Size Ranges (2324)'!$H$37,IF(H12&lt;'School Size Ranges (2324)'!$E$38,'School Size Ranges (2324)'!$H$38,IF(H12&lt;'School Size Ranges (2324)'!$E$39,'School Size Ranges (2324)'!$H$39,IF(H12&lt;'School Size Ranges (2324)'!$E$40,'School Size Ranges (2324)'!$H$40)))))))))))</f>
        <v>522601.4</v>
      </c>
      <c r="E12" s="245">
        <f>IF(H12&lt;'School Size Ranges (2324)'!$E$30,'School Size Ranges (2324)'!$I$30,IF(H12&lt;'School Size Ranges (2324)'!$E$31,'School Size Ranges (2324)'!$I$31,IF('2324 Funding Detail'!H12&lt;'School Size Ranges (2324)'!$E$32,'School Size Ranges (2324)'!$I$32,IF(H12&lt;'School Size Ranges (2324)'!$E$33,'School Size Ranges (2324)'!$I$33,IF(H12&lt;'School Size Ranges (2324)'!$E$34,'School Size Ranges (2324)'!$I$34,IF(H12&lt;'School Size Ranges (2324)'!$E$35,'School Size Ranges (2324)'!$I$35,IF(H12&lt;'School Size Ranges (2324)'!$E$36,'School Size Ranges (2324)'!$I$36,IF(H12&lt;'School Size Ranges (2324)'!$E$37,'School Size Ranges (2324)'!$I$37,IF(H12&lt;'School Size Ranges (2324)'!$E$38,'School Size Ranges (2324)'!$I$38,IF(H12&lt;'School Size Ranges (2324)'!$E$39,'School Size Ranges (2324)'!$I$39,IF(H12&lt;'School Size Ranges (2324)'!$E$40,'School Size Ranges (2324)'!$I$40)))))))))))</f>
        <v>137917</v>
      </c>
      <c r="F12" s="239"/>
      <c r="G12" s="245"/>
      <c r="H12" s="248">
        <f>VLOOKUP(A12,'2324 Band Calculations'!$A$106:$T$122,10,FALSE)</f>
        <v>1687269.4441056915</v>
      </c>
      <c r="I12" s="248">
        <f>VLOOKUP(A12,'2324 Band Calculations'!$A$106:$T$122,17,FALSE)</f>
        <v>0</v>
      </c>
      <c r="J12" s="245">
        <f>VLOOKUP(A12,'2324 FSM Calculation'!$A$4:$D$20,4,FALSE)</f>
        <v>24996.399999999998</v>
      </c>
      <c r="K12" s="245">
        <f t="shared" si="0"/>
        <v>2372784.2441056916</v>
      </c>
      <c r="L12" s="248">
        <f t="shared" si="2"/>
        <v>2372784.2441056916</v>
      </c>
      <c r="M12" s="1036">
        <f>VLOOKUP(A12,'2324 Band Calculations'!$A$106:$T$122,19,FALSE)</f>
        <v>168.91666666666669</v>
      </c>
      <c r="N12" s="235">
        <f>VLOOKUP(A12,'2324 Band Calculations'!$A$104:$AN$122,40,(FALSE))</f>
        <v>50275.367886178865</v>
      </c>
      <c r="O12" s="253">
        <f>M12-(M12*(VLOOKUP(A12,'2324 Band Calculations'!$A$6:$J$22,10,(FALSE))))</f>
        <v>166.85670731707319</v>
      </c>
      <c r="P12" s="235">
        <f t="shared" si="3"/>
        <v>9810.7777777777792</v>
      </c>
      <c r="Q12" s="1025">
        <f>'2324 MFG Protection'!L92</f>
        <v>0</v>
      </c>
      <c r="R12" s="1025">
        <f t="shared" si="4"/>
        <v>2372784.2441056916</v>
      </c>
      <c r="S12" s="235">
        <f t="shared" si="5"/>
        <v>1689166.6666666667</v>
      </c>
      <c r="T12" s="235">
        <f t="shared" si="6"/>
        <v>0</v>
      </c>
      <c r="U12" s="242">
        <f t="shared" si="7"/>
        <v>14047.070019372617</v>
      </c>
      <c r="V12" s="242">
        <f t="shared" si="1"/>
        <v>1689166.6666666667</v>
      </c>
      <c r="W12" s="242"/>
      <c r="X12" s="242"/>
      <c r="Y12" s="242">
        <f t="shared" si="8"/>
        <v>4047.070019372617</v>
      </c>
      <c r="Z12" s="245">
        <f t="shared" si="9"/>
        <v>683617.57743902481</v>
      </c>
      <c r="AA12" s="245">
        <f t="shared" si="10"/>
        <v>2372784.2441056916</v>
      </c>
      <c r="AB12" s="245">
        <f t="shared" si="11"/>
        <v>0</v>
      </c>
      <c r="AC12" s="36"/>
      <c r="AD12" s="235"/>
      <c r="AE12" s="235"/>
      <c r="AF12" s="235"/>
      <c r="AG12" s="1037"/>
      <c r="AH12" s="36"/>
    </row>
    <row r="13" spans="1:34" x14ac:dyDescent="0.25">
      <c r="A13" s="244">
        <v>9257009</v>
      </c>
      <c r="B13" s="261" t="s">
        <v>997</v>
      </c>
      <c r="C13" s="1317" t="str">
        <f>IF(H13&lt;'School Size Ranges (2324)'!$E$30,'School Size Ranges (2324)'!$D$30,IF(H13&lt;'School Size Ranges (2324)'!$E$31,'School Size Ranges (2324)'!$D$31,IF('2324 Funding Detail'!H13&lt;'School Size Ranges (2324)'!$E$32,'School Size Ranges (2324)'!$D$32,IF(H13&lt;'School Size Ranges (2324)'!$E$33,'School Size Ranges (2324)'!$D$33,IF(H13&lt;'School Size Ranges (2324)'!$E$34,'School Size Ranges (2324)'!$D$34,IF(H13&lt;'School Size Ranges (2324)'!$E$35,'School Size Ranges (2324)'!$D$35,IF(H13&lt;'School Size Ranges (2324)'!$E$36,'School Size Ranges (2324)'!$D$36,IF(H13&lt;'School Size Ranges (2324)'!$E$37,'School Size Ranges (2324)'!$D$37,IF(H13&lt;'School Size Ranges (2324)'!$E$38,'School Size Ranges (2324)'!$D$38,IF(H13&lt;'School Size Ranges (2324)'!$E$39,'School Size Ranges (2324)'!$D$39,IF(H13&lt;'School Size Ranges (2324)'!$E$40,'School Size Ranges (2324)'!$D$40)))))))))))</f>
        <v>School Size 6 Transition Point</v>
      </c>
      <c r="D13" s="245">
        <f>IF(H13&lt;'School Size Ranges (2324)'!$E$30,'School Size Ranges (2324)'!$H$30,IF(H13&lt;'School Size Ranges (2324)'!$E$31,'School Size Ranges (2324)'!$H$31,IF('2324 Funding Detail'!H13&lt;'School Size Ranges (2324)'!$E$32,'School Size Ranges (2324)'!$H$32,IF(H13&lt;'School Size Ranges (2324)'!$E$33,'School Size Ranges (2324)'!$H$33,IF(H13&lt;'School Size Ranges (2324)'!$E$34,'School Size Ranges (2324)'!$H$34,IF(H13&lt;'School Size Ranges (2324)'!$E$35,'School Size Ranges (2324)'!$H$35,IF(H13&lt;'School Size Ranges (2324)'!$E$36,'School Size Ranges (2324)'!$H$36,IF(H13&lt;'School Size Ranges (2324)'!$E$37,'School Size Ranges (2324)'!$H$37,IF(H13&lt;'School Size Ranges (2324)'!$E$38,'School Size Ranges (2324)'!$H$38,IF(H13&lt;'School Size Ranges (2324)'!$E$39,'School Size Ranges (2324)'!$H$39,IF(H13&lt;'School Size Ranges (2324)'!$E$40,'School Size Ranges (2324)'!$H$40)))))))))))</f>
        <v>615208.69999999995</v>
      </c>
      <c r="E13" s="245">
        <f>IF(H13&lt;'School Size Ranges (2324)'!$E$30,'School Size Ranges (2324)'!$I$30,IF(H13&lt;'School Size Ranges (2324)'!$E$31,'School Size Ranges (2324)'!$I$31,IF('2324 Funding Detail'!H13&lt;'School Size Ranges (2324)'!$E$32,'School Size Ranges (2324)'!$I$32,IF(H13&lt;'School Size Ranges (2324)'!$E$33,'School Size Ranges (2324)'!$I$33,IF(H13&lt;'School Size Ranges (2324)'!$E$34,'School Size Ranges (2324)'!$I$34,IF(H13&lt;'School Size Ranges (2324)'!$E$35,'School Size Ranges (2324)'!$I$35,IF(H13&lt;'School Size Ranges (2324)'!$E$36,'School Size Ranges (2324)'!$I$36,IF(H13&lt;'School Size Ranges (2324)'!$E$37,'School Size Ranges (2324)'!$I$37,IF(H13&lt;'School Size Ranges (2324)'!$E$38,'School Size Ranges (2324)'!$I$38,IF(H13&lt;'School Size Ranges (2324)'!$E$39,'School Size Ranges (2324)'!$I$39,IF(H13&lt;'School Size Ranges (2324)'!$E$40,'School Size Ranges (2324)'!$I$40)))))))))))</f>
        <v>153830.5</v>
      </c>
      <c r="F13" s="239"/>
      <c r="G13" s="1308">
        <f>(393880-51740)*1.03</f>
        <v>352404.2</v>
      </c>
      <c r="H13" s="248">
        <f>VLOOKUP(A13,'2324 Band Calculations'!$A$106:$T$122,10,FALSE)</f>
        <v>2232439.1125211506</v>
      </c>
      <c r="I13" s="248">
        <f>VLOOKUP(A13,'2324 Band Calculations'!$A$106:$T$122,17,FALSE)</f>
        <v>0</v>
      </c>
      <c r="J13" s="245">
        <f>VLOOKUP(A13,'2324 FSM Calculation'!$A$4:$D$20,4,FALSE)</f>
        <v>23554.3</v>
      </c>
      <c r="K13" s="245">
        <f t="shared" si="0"/>
        <v>3377436.8125211503</v>
      </c>
      <c r="L13" s="248">
        <f>K13-F13-G13</f>
        <v>3025032.6125211501</v>
      </c>
      <c r="M13" s="1036">
        <f>VLOOKUP(A13,'2324 Band Calculations'!$A$106:$T$122,19,FALSE)</f>
        <v>207.83333333333337</v>
      </c>
      <c r="N13" s="235">
        <f>VLOOKUP(A13,'2324 Band Calculations'!$A$104:$AN$122,40,(FALSE))</f>
        <v>257481.23519458543</v>
      </c>
      <c r="O13" s="253">
        <f>M13-(M13*(VLOOKUP(A13,'2324 Band Calculations'!$A$6:$J$22,10,(FALSE))))</f>
        <v>197.28341793570223</v>
      </c>
      <c r="P13" s="235">
        <f t="shared" si="3"/>
        <v>10010.764705882351</v>
      </c>
      <c r="Q13" s="1025">
        <f>'2324 MFG Protection'!L101</f>
        <v>34686.323739454252</v>
      </c>
      <c r="R13" s="1025">
        <f t="shared" si="4"/>
        <v>3059718.9362606043</v>
      </c>
      <c r="S13" s="235">
        <f t="shared" si="5"/>
        <v>2078333.3333333337</v>
      </c>
      <c r="T13" s="235">
        <f t="shared" si="6"/>
        <v>0</v>
      </c>
      <c r="U13" s="242">
        <f t="shared" si="7"/>
        <v>14721.983654822472</v>
      </c>
      <c r="V13" s="242">
        <f t="shared" si="1"/>
        <v>2078333.3333333337</v>
      </c>
      <c r="W13" s="242"/>
      <c r="X13" s="242"/>
      <c r="Y13" s="242">
        <f t="shared" si="8"/>
        <v>4721.9836548224721</v>
      </c>
      <c r="Z13" s="245">
        <f t="shared" si="9"/>
        <v>981385.60292727058</v>
      </c>
      <c r="AA13" s="245">
        <f t="shared" si="10"/>
        <v>3059718.9362606043</v>
      </c>
      <c r="AB13" s="245">
        <f t="shared" si="11"/>
        <v>0</v>
      </c>
      <c r="AC13" s="36"/>
      <c r="AD13" s="235"/>
      <c r="AE13" s="235"/>
      <c r="AF13" s="235"/>
      <c r="AG13" s="1037"/>
      <c r="AH13" s="36"/>
    </row>
    <row r="14" spans="1:34" ht="13" x14ac:dyDescent="0.3">
      <c r="A14" s="244">
        <v>9257029</v>
      </c>
      <c r="B14" s="32" t="s">
        <v>890</v>
      </c>
      <c r="C14" s="1038" t="str">
        <f>IF(H14&lt;'School Size Ranges (2324)'!$E$30,'School Size Ranges (2324)'!$D$30,IF(H14&lt;'School Size Ranges (2324)'!$E$31,'School Size Ranges (2324)'!$D$31,IF('2324 Funding Detail'!H14&lt;'School Size Ranges (2324)'!$E$32,'School Size Ranges (2324)'!$D$32,IF(H14&lt;'School Size Ranges (2324)'!$E$33,'School Size Ranges (2324)'!$D$33,IF(H14&lt;'School Size Ranges (2324)'!$E$34,'School Size Ranges (2324)'!$D$34,IF(H14&lt;'School Size Ranges (2324)'!$E$35,'School Size Ranges (2324)'!$D$35,IF(H14&lt;'School Size Ranges (2324)'!$E$36,'School Size Ranges (2324)'!$D$36,IF(H14&lt;'School Size Ranges (2324)'!$E$37,'School Size Ranges (2324)'!$D$37,IF(H14&lt;'School Size Ranges (2324)'!$E$38,'School Size Ranges (2324)'!$D$38,IF(H14&lt;'School Size Ranges (2324)'!$E$39,'School Size Ranges (2324)'!$D$39,IF(H14&lt;'School Size Ranges (2324)'!$E$40,'School Size Ranges (2324)'!$D$40)))))))))))</f>
        <v>School Size 4 Transition Point</v>
      </c>
      <c r="D14" s="245">
        <f>IF(H14&lt;'School Size Ranges (2324)'!$E$30,'School Size Ranges (2324)'!$J$30,IF(H14&lt;'School Size Ranges (2324)'!$E$31,'School Size Ranges (2324)'!$J$31,IF('2324 Funding Detail'!H14&lt;'School Size Ranges (2324)'!$E$32,'School Size Ranges (2324)'!$J$32,IF(H14&lt;'School Size Ranges (2324)'!$E$33,'School Size Ranges (2324)'!$J$33,IF(H14&lt;'School Size Ranges (2324)'!$E$34,'School Size Ranges (2324)'!$J$34,IF(H14&lt;'School Size Ranges (2324)'!$E$35,'School Size Ranges (2324)'!$J$35,IF(H14&lt;'School Size Ranges (2324)'!$E$36,'School Size Ranges (2324)'!$J$36,IF(H14&lt;'School Size Ranges (2324)'!$E$37,'School Size Ranges (2324)'!$J$37,IF(H14&lt;'School Size Ranges (2324)'!$E$38,'School Size Ranges (2324)'!$J$38,IF(H14&lt;'School Size Ranges (2324)'!$E$39,'School Size Ranges (2324)'!$J$39,IF(H14&lt;'School Size Ranges (2324)'!$E$40,'School Size Ranges (2324)'!$J$40)))))))))))</f>
        <v>394773.25</v>
      </c>
      <c r="E14" s="245">
        <f>IF(H14&lt;'School Size Ranges (2324)'!$E$30,'School Size Ranges (2324)'!$K$30,IF(H14&lt;'School Size Ranges (2324)'!$E$31,'School Size Ranges (2324)'!$K$31,IF('2324 Funding Detail'!H14&lt;'School Size Ranges (2324)'!$E$32,'School Size Ranges (2324)'!$K$32,IF(H14&lt;'School Size Ranges (2324)'!$E$33,'School Size Ranges (2324)'!$K$33,IF(H14&lt;'School Size Ranges (2324)'!$E$34,'School Size Ranges (2324)'!$K$34,IF(H14&lt;'School Size Ranges (2324)'!$E$35,'School Size Ranges (2324)'!$K$35,IF(H14&lt;'School Size Ranges (2324)'!$E$36,'School Size Ranges (2324)'!$K$36,IF(H14&lt;'School Size Ranges (2324)'!$E$37,'School Size Ranges (2324)'!$K$37,IF(H14&lt;'School Size Ranges (2324)'!$E$38,'School Size Ranges (2324)'!$K$38,IF(H14&lt;'School Size Ranges (2324)'!$E$39,'School Size Ranges (2324)'!$K$39,IF(H14&lt;'School Size Ranges (2324)'!$E$40,'School Size Ranges (2324)'!$K$40)))))))))))</f>
        <v>91206.5</v>
      </c>
      <c r="F14" s="1333">
        <v>320869</v>
      </c>
      <c r="G14" s="245"/>
      <c r="H14" s="248">
        <f>VLOOKUP(A14,'2324 Band Calculations'!$A$106:$T$122,10,FALSE)</f>
        <v>1229793</v>
      </c>
      <c r="I14" s="248">
        <f>VLOOKUP(A14,'2324 Band Calculations'!$A$106:$T$122,17,FALSE)</f>
        <v>0</v>
      </c>
      <c r="J14" s="245">
        <f>VLOOKUP(A14,'2324 FSM Calculation'!$A$4:$D$20,4,FALSE)</f>
        <v>11536.8</v>
      </c>
      <c r="K14" s="245">
        <f>SUM(D14:J14)</f>
        <v>2048178.55</v>
      </c>
      <c r="L14" s="248">
        <f>K14-F14-G14</f>
        <v>1727309.55</v>
      </c>
      <c r="M14" s="1036">
        <f>VLOOKUP(A14,'2324 Band Calculations'!$A$106:$T$122,19,FALSE)</f>
        <v>79</v>
      </c>
      <c r="N14" s="235">
        <f>VLOOKUP(A14,'2324 Band Calculations'!$A$104:$AN$122,40,(FALSE))</f>
        <v>0</v>
      </c>
      <c r="O14" s="253">
        <f>M14-(M14*(VLOOKUP(A14,'2324 Band Calculations'!$A$6:$J$22,10,(FALSE))))</f>
        <v>79</v>
      </c>
      <c r="P14" s="235">
        <f>(H14+I14-N14)/O14</f>
        <v>15567</v>
      </c>
      <c r="Q14" s="1025">
        <f>'2324 MFG Protection'!L110</f>
        <v>0</v>
      </c>
      <c r="R14" s="1025">
        <f>L14+Q14</f>
        <v>1727309.55</v>
      </c>
      <c r="S14" s="235">
        <f>M14*10000</f>
        <v>790000</v>
      </c>
      <c r="T14" s="235">
        <f>IF(S14&gt;R14,(S14-R14),(0))</f>
        <v>0</v>
      </c>
      <c r="U14" s="242">
        <f>R14/M14</f>
        <v>21864.677848101266</v>
      </c>
      <c r="V14" s="242">
        <f>M14*10000</f>
        <v>790000</v>
      </c>
      <c r="W14" s="242"/>
      <c r="X14" s="242"/>
      <c r="Y14" s="242">
        <f>U14-10000</f>
        <v>11864.677848101266</v>
      </c>
      <c r="Z14" s="245">
        <f>R14-V14</f>
        <v>937309.55</v>
      </c>
      <c r="AA14" s="245">
        <f>V14+Z14</f>
        <v>1727309.55</v>
      </c>
      <c r="AB14" s="245">
        <f>R14-AA14</f>
        <v>0</v>
      </c>
      <c r="AC14" s="36"/>
      <c r="AD14" s="235"/>
      <c r="AE14" s="235"/>
      <c r="AF14" s="235"/>
      <c r="AG14" s="1037"/>
      <c r="AH14" s="36"/>
    </row>
    <row r="15" spans="1:34" ht="13" x14ac:dyDescent="0.3">
      <c r="A15" s="244">
        <v>9257032</v>
      </c>
      <c r="B15" s="32" t="s">
        <v>813</v>
      </c>
      <c r="C15" s="1038" t="str">
        <f>IF(H15/M15*72&lt;'School Size Ranges (2324)'!$E$30,'School Size Ranges (2324)'!$D$30,IF(H15/M15*78&lt;'School Size Ranges (2324)'!$E$31,'School Size Ranges (2324)'!$D$31,IF(H15/M15*72&lt;'School Size Ranges (2324)'!$E$32,'School Size Ranges (2324)'!$D$32,IF(H15/M15*72&lt;'School Size Ranges (2324)'!$E$33,'School Size Ranges (2324)'!$D$33,IF(H15/M15*72&lt;'School Size Ranges (2324)'!$E$34,'School Size Ranges (2324)'!$D$34,IF(H15/M15*72&lt;'School Size Ranges (2324)'!$E$35,'School Size Ranges (2324)'!$D$35,IF(H15/M15*72&lt;'School Size Ranges (2324)'!$E$36,'School Size Ranges (2324)'!$D$36,IF(H15/M15*72&lt;'School Size Ranges (2324)'!$E$37,'School Size Ranges (2324)'!$D$37,IF(H15/M15*72&lt;'School Size Ranges (2324)'!$E$38,'School Size Ranges (2324)'!$D$38,IF(H15/M15*72&lt;'School Size Ranges (2324)'!$E$39,'School Size Ranges (2324)'!$D$39,IF(H15/M15*72&lt;'School Size Ranges (2324)'!$E$40,'School Size Ranges (2324)'!$D$40)))))))))))</f>
        <v>School Size 4 Transition Point</v>
      </c>
      <c r="D15" s="245">
        <f>IF(H15/M15*72&lt;'School Size Ranges (2324)'!$E$30,'School Size Ranges (2324)'!$J$30,IF(H15/M15*78&lt;'School Size Ranges (2324)'!$E$31,'School Size Ranges (2324)'!$J$31,IF(H15/M15*72&lt;'School Size Ranges (2324)'!$E$32,'School Size Ranges (2324)'!$J$32,IF(H15/M15*72&lt;'School Size Ranges (2324)'!$E$33,'School Size Ranges (2324)'!$J$33,IF(H15/M15*72&lt;'School Size Ranges (2324)'!$E$34,'School Size Ranges (2324)'!$J$34,IF(H15/M15*72&lt;'School Size Ranges (2324)'!$E$35,'School Size Ranges (2324)'!$J$35,IF(H15/M15*72&lt;'School Size Ranges (2324)'!$E$36,'School Size Ranges (2324)'!$J$36,IF(H15/M15*72&lt;'School Size Ranges (2324)'!$E$37,'School Size Ranges (2324)'!$J$37,IF(H15/M15*72&lt;'School Size Ranges (2324)'!$E$38,'School Size Ranges (2324)'!$J$38,IF(H15/M15*72&lt;'School Size Ranges (2324)'!$E$39,'School Size Ranges (2324)'!$J$39,IF(H15/M15*72&lt;'School Size Ranges (2324)'!$E$40,'School Size Ranges (2324)'!$J$40)))))))))))</f>
        <v>394773.25</v>
      </c>
      <c r="E15" s="245">
        <f>IF(H15/M15*72&lt;'School Size Ranges (2324)'!$E$30,'School Size Ranges (2324)'!$K$30,IF(H15/M15*78&lt;'School Size Ranges (2324)'!$E$31,'School Size Ranges (2324)'!$K$31,IF(H15/M15*72&lt;'School Size Ranges (2324)'!$E$32,'School Size Ranges (2324)'!$K$32,IF(H15/M15*72&lt;'School Size Ranges (2324)'!$E$33,'School Size Ranges (2324)'!$K$33,IF(H15/M15*72&lt;'School Size Ranges (2324)'!$E$34,'School Size Ranges (2324)'!$K$34,IF(H15/M15*72&lt;'School Size Ranges (2324)'!$E$35,'School Size Ranges (2324)'!$K$35,IF(H15/M15*72&lt;'School Size Ranges (2324)'!$E$36,'School Size Ranges (2324)'!$K$36,IF(H15/M15*72&lt;'School Size Ranges (2324)'!$E$37,'School Size Ranges (2324)'!$K$37,IF(H15/M15*72&lt;'School Size Ranges (2324)'!$E$38,'School Size Ranges (2324)'!$K$38,IF(H15/M15*72&lt;'School Size Ranges (2324)'!$E$39,'School Size Ranges (2324)'!$K$39,IF(H15/M15*72&lt;'School Size Ranges (2324)'!$E$40,'School Size Ranges (2324)'!$K$40)))))))))))</f>
        <v>91206.5</v>
      </c>
      <c r="F15" s="1333">
        <v>284822</v>
      </c>
      <c r="G15" s="1308">
        <f>(143800+30900)*1.03</f>
        <v>179941</v>
      </c>
      <c r="H15" s="248">
        <f>VLOOKUP(A15,'2324 Band Calculations'!$A$106:$T$122,10,FALSE)</f>
        <v>1718856.25</v>
      </c>
      <c r="I15" s="248">
        <f>VLOOKUP(A15,'2324 Band Calculations'!$A$106:$T$122,17,FALSE)</f>
        <v>0</v>
      </c>
      <c r="J15" s="245">
        <f>VLOOKUP(A15,'2324 FSM Calculation'!$A$4:$D$20,4,FALSE)</f>
        <v>21631.5</v>
      </c>
      <c r="K15" s="245">
        <f>SUM(D15:J15)</f>
        <v>2691230.5</v>
      </c>
      <c r="L15" s="248">
        <f>K15-F15-G15</f>
        <v>2226467.5</v>
      </c>
      <c r="M15" s="1036">
        <f>VLOOKUP(A15,'2324 Band Calculations'!$A$106:$T$122,19,FALSE)</f>
        <v>110.41666666666669</v>
      </c>
      <c r="N15" s="235">
        <f>VLOOKUP(A15,'2324 Band Calculations'!$A$104:$AN$122,40,(FALSE))</f>
        <v>0</v>
      </c>
      <c r="O15" s="253">
        <f>M15-(M15*(VLOOKUP(A15,'2324 Band Calculations'!$A$6:$J$22,10,(FALSE))))</f>
        <v>110.41666666666669</v>
      </c>
      <c r="P15" s="235">
        <f>(H15+I15-N15)/O15</f>
        <v>15566.999999999998</v>
      </c>
      <c r="Q15" s="1025">
        <f>'2324 MFG Protection'!L119</f>
        <v>0</v>
      </c>
      <c r="R15" s="1025">
        <f>L15+Q15</f>
        <v>2226467.5</v>
      </c>
      <c r="S15" s="235">
        <f>M15*10000</f>
        <v>1104166.6666666667</v>
      </c>
      <c r="T15" s="235">
        <f>IF(S15&gt;R15,(S15-R15),(0))</f>
        <v>0</v>
      </c>
      <c r="U15" s="242">
        <f>R15/M15</f>
        <v>20164.233962264148</v>
      </c>
      <c r="V15" s="242">
        <f>M15*10000</f>
        <v>1104166.6666666667</v>
      </c>
      <c r="W15" s="242"/>
      <c r="X15" s="242"/>
      <c r="Y15" s="242">
        <f>U15-10000</f>
        <v>10164.233962264148</v>
      </c>
      <c r="Z15" s="245">
        <f>R15-V15</f>
        <v>1122300.8333333333</v>
      </c>
      <c r="AA15" s="245">
        <f>V15+Z15</f>
        <v>2226467.5</v>
      </c>
      <c r="AB15" s="245">
        <f>R15-AA15</f>
        <v>0</v>
      </c>
      <c r="AC15" s="36"/>
      <c r="AD15" s="235"/>
      <c r="AE15" s="235"/>
      <c r="AF15" s="235"/>
      <c r="AG15" s="1037"/>
      <c r="AH15" s="36"/>
    </row>
    <row r="16" spans="1:34" ht="13" x14ac:dyDescent="0.3">
      <c r="A16" s="244">
        <v>9257030</v>
      </c>
      <c r="B16" s="32" t="s">
        <v>815</v>
      </c>
      <c r="C16" s="1038" t="str">
        <f>IF(H16&lt;'School Size Ranges (2324)'!$E$30,'School Size Ranges (2324)'!$D$30,IF(H16&lt;'School Size Ranges (2324)'!$E$31,'School Size Ranges (2324)'!$D$31,IF('2324 Funding Detail'!H16&lt;'School Size Ranges (2324)'!$E$32,'School Size Ranges (2324)'!$D$32,IF(H16&lt;'School Size Ranges (2324)'!$E$33,'School Size Ranges (2324)'!$D$33,IF(H16&lt;'School Size Ranges (2324)'!$E$34,'School Size Ranges (2324)'!$D$34,IF(H16&lt;'School Size Ranges (2324)'!$E$35,'School Size Ranges (2324)'!$D$35,IF(H16&lt;'School Size Ranges (2324)'!$E$36,'School Size Ranges (2324)'!$D$36,IF(H16&lt;'School Size Ranges (2324)'!$E$37,'School Size Ranges (2324)'!$D$37,IF(H16&lt;'School Size Ranges (2324)'!$E$38,'School Size Ranges (2324)'!$D$38,IF(H16&lt;'School Size Ranges (2324)'!$E$39,'School Size Ranges (2324)'!$D$39,IF(H16&lt;'School Size Ranges (2324)'!$E$40,'School Size Ranges (2324)'!$D$40)))))))))))</f>
        <v>School Size 4 Transition Point</v>
      </c>
      <c r="D16" s="245">
        <f>IF(H16&lt;'School Size Ranges (2324)'!$E$30,'School Size Ranges (2324)'!$J$30,IF(H16&lt;'School Size Ranges (2324)'!$E$31,'School Size Ranges (2324)'!$J$31,IF('2324 Funding Detail'!H16&lt;'School Size Ranges (2324)'!$E$32,'School Size Ranges (2324)'!$J$32,IF(H16&lt;'School Size Ranges (2324)'!$E$33,'School Size Ranges (2324)'!$J$33,IF(H16&lt;'School Size Ranges (2324)'!$E$34,'School Size Ranges (2324)'!$J$34,IF(H16&lt;'School Size Ranges (2324)'!$E$35,'School Size Ranges (2324)'!$J$35,IF(H16&lt;'School Size Ranges (2324)'!$E$36,'School Size Ranges (2324)'!$J$36,IF(H16&lt;'School Size Ranges (2324)'!$E$37,'School Size Ranges (2324)'!$J$37,IF(H16&lt;'School Size Ranges (2324)'!$E$38,'School Size Ranges (2324)'!$J$38,IF(H16&lt;'School Size Ranges (2324)'!$E$39,'School Size Ranges (2324)'!$J$39,IF(H16&lt;'School Size Ranges (2324)'!$E$40,'School Size Ranges (2324)'!$J$40)))))))))))</f>
        <v>394773.25</v>
      </c>
      <c r="E16" s="245">
        <f>IF(H16&lt;'School Size Ranges (2324)'!$E$30,'School Size Ranges (2324)'!$K$30,IF(H16&lt;'School Size Ranges (2324)'!$E$31,'School Size Ranges (2324)'!$K$31,IF('2324 Funding Detail'!H16&lt;'School Size Ranges (2324)'!$E$32,'School Size Ranges (2324)'!$K$32,IF(H16&lt;'School Size Ranges (2324)'!$E$33,'School Size Ranges (2324)'!$K$33,IF(H16&lt;'School Size Ranges (2324)'!$E$34,'School Size Ranges (2324)'!$K$34,IF(H16&lt;'School Size Ranges (2324)'!$E$35,'School Size Ranges (2324)'!$K$35,IF(H16&lt;'School Size Ranges (2324)'!$E$36,'School Size Ranges (2324)'!$K$36,IF(H16&lt;'School Size Ranges (2324)'!$E$37,'School Size Ranges (2324)'!$K$37,IF(H16&lt;'School Size Ranges (2324)'!$E$38,'School Size Ranges (2324)'!$K$38,IF(H16&lt;'School Size Ranges (2324)'!$E$39,'School Size Ranges (2324)'!$K$39,IF(H16&lt;'School Size Ranges (2324)'!$E$40,'School Size Ranges (2324)'!$K$40)))))))))))</f>
        <v>91206.5</v>
      </c>
      <c r="F16" s="1333">
        <v>349739</v>
      </c>
      <c r="G16" s="245"/>
      <c r="H16" s="248">
        <f>VLOOKUP(A16,'2324 Band Calculations'!$A$106:$T$122,10,FALSE)</f>
        <v>1089690</v>
      </c>
      <c r="I16" s="248">
        <f>VLOOKUP(A16,'2324 Band Calculations'!$A$106:$T$122,17,FALSE)</f>
        <v>0</v>
      </c>
      <c r="J16" s="245">
        <f>VLOOKUP(A16,'2324 FSM Calculation'!$A$4:$D$20,4,FALSE)</f>
        <v>14421</v>
      </c>
      <c r="K16" s="245">
        <f>SUM(D16:J16)</f>
        <v>1939829.75</v>
      </c>
      <c r="L16" s="248">
        <f>K16-F16-G16</f>
        <v>1590090.75</v>
      </c>
      <c r="M16" s="1036">
        <f>VLOOKUP(A16,'2324 Band Calculations'!$A$106:$T$122,19,FALSE)</f>
        <v>70</v>
      </c>
      <c r="N16" s="235">
        <f>VLOOKUP(A16,'2324 Band Calculations'!$A$104:$AN$122,40,(FALSE))</f>
        <v>0</v>
      </c>
      <c r="O16" s="253">
        <f>M16-(M16*(VLOOKUP(A16,'2324 Band Calculations'!$A$6:$J$22,10,(FALSE))))</f>
        <v>70</v>
      </c>
      <c r="P16" s="235">
        <f>(H16+I16-N16)/O16</f>
        <v>15567</v>
      </c>
      <c r="Q16" s="1025">
        <f>'2324 MFG Protection'!L128</f>
        <v>2871.4524356642</v>
      </c>
      <c r="R16" s="1025">
        <f>L16+Q16</f>
        <v>1592962.2024356641</v>
      </c>
      <c r="S16" s="235">
        <f>M16*10000</f>
        <v>700000</v>
      </c>
      <c r="T16" s="235">
        <f>IF(S16&gt;R16,(S16-R16),(0))</f>
        <v>0</v>
      </c>
      <c r="U16" s="242">
        <f>R16/M16</f>
        <v>22756.602891938059</v>
      </c>
      <c r="V16" s="242">
        <f>M16*10000</f>
        <v>700000</v>
      </c>
      <c r="W16" s="242"/>
      <c r="X16" s="242"/>
      <c r="Y16" s="242">
        <f>U16-10000</f>
        <v>12756.602891938059</v>
      </c>
      <c r="Z16" s="245">
        <f>R16-V16</f>
        <v>892962.20243566413</v>
      </c>
      <c r="AA16" s="245">
        <f>V16+Z16</f>
        <v>1592962.2024356641</v>
      </c>
      <c r="AB16" s="245">
        <f>R16-AA16</f>
        <v>0</v>
      </c>
      <c r="AC16" s="36"/>
      <c r="AD16" s="235"/>
      <c r="AE16" s="235"/>
      <c r="AF16" s="235"/>
      <c r="AG16" s="1037"/>
      <c r="AH16" s="36"/>
    </row>
    <row r="17" spans="1:34" x14ac:dyDescent="0.25">
      <c r="A17" s="244">
        <v>9257028</v>
      </c>
      <c r="B17" s="237" t="s">
        <v>215</v>
      </c>
      <c r="C17" s="1038" t="str">
        <f>IF(H17&lt;'School Size Ranges (2324)'!$E$30,'School Size Ranges (2324)'!$D$30,IF(H17&lt;'School Size Ranges (2324)'!$E$31,'School Size Ranges (2324)'!$D$31,IF('2324 Funding Detail'!H17&lt;'School Size Ranges (2324)'!$E$32,'School Size Ranges (2324)'!$D$32,IF(H17&lt;'School Size Ranges (2324)'!$E$33,'School Size Ranges (2324)'!$D$33,IF(H17&lt;'School Size Ranges (2324)'!$E$34,'School Size Ranges (2324)'!$D$34,IF(H17&lt;'School Size Ranges (2324)'!$E$35,'School Size Ranges (2324)'!$D$35,IF(H17&lt;'School Size Ranges (2324)'!$E$36,'School Size Ranges (2324)'!$D$36,IF(H17&lt;'School Size Ranges (2324)'!$E$37,'School Size Ranges (2324)'!$D$37,IF(H17&lt;'School Size Ranges (2324)'!$E$38,'School Size Ranges (2324)'!$D$38,IF(H17&lt;'School Size Ranges (2324)'!$E$39,'School Size Ranges (2324)'!$D$39,IF(H17&lt;'School Size Ranges (2324)'!$E$40,'School Size Ranges (2324)'!$D$40)))))))))))</f>
        <v>School Size 5 Transition Point</v>
      </c>
      <c r="D17" s="245">
        <f>IF(H17&lt;'School Size Ranges (2324)'!$E$30,'School Size Ranges (2324)'!$H$30,IF(H17&lt;'School Size Ranges (2324)'!$E$31,'School Size Ranges (2324)'!$H$31,IF('2324 Funding Detail'!H17&lt;'School Size Ranges (2324)'!$E$32,'School Size Ranges (2324)'!$H$32,IF(H17&lt;'School Size Ranges (2324)'!$E$33,'School Size Ranges (2324)'!$H$33,IF(H17&lt;'School Size Ranges (2324)'!$E$34,'School Size Ranges (2324)'!$H$34,IF(H17&lt;'School Size Ranges (2324)'!$E$35,'School Size Ranges (2324)'!$H$35,IF(H17&lt;'School Size Ranges (2324)'!$E$36,'School Size Ranges (2324)'!$H$36,IF(H17&lt;'School Size Ranges (2324)'!$E$37,'School Size Ranges (2324)'!$H$37,IF(H17&lt;'School Size Ranges (2324)'!$E$38,'School Size Ranges (2324)'!$H$38,IF(H17&lt;'School Size Ranges (2324)'!$E$39,'School Size Ranges (2324)'!$H$39,IF(H17&lt;'School Size Ranges (2324)'!$E$40,'School Size Ranges (2324)'!$H$40)))))))))))</f>
        <v>522601.4</v>
      </c>
      <c r="E17" s="245">
        <f>IF(H17&lt;'School Size Ranges (2324)'!$E$30,'School Size Ranges (2324)'!$I$30,IF(H17&lt;'School Size Ranges (2324)'!$E$31,'School Size Ranges (2324)'!$I$31,IF('2324 Funding Detail'!H17&lt;'School Size Ranges (2324)'!$E$32,'School Size Ranges (2324)'!$I$32,IF(H17&lt;'School Size Ranges (2324)'!$E$33,'School Size Ranges (2324)'!$I$33,IF(H17&lt;'School Size Ranges (2324)'!$E$34,'School Size Ranges (2324)'!$I$34,IF(H17&lt;'School Size Ranges (2324)'!$E$35,'School Size Ranges (2324)'!$I$35,IF(H17&lt;'School Size Ranges (2324)'!$E$36,'School Size Ranges (2324)'!$I$36,IF(H17&lt;'School Size Ranges (2324)'!$E$37,'School Size Ranges (2324)'!$I$37,IF(H17&lt;'School Size Ranges (2324)'!$E$38,'School Size Ranges (2324)'!$I$38,IF(H17&lt;'School Size Ranges (2324)'!$E$39,'School Size Ranges (2324)'!$I$39,IF(H17&lt;'School Size Ranges (2324)'!$E$40,'School Size Ranges (2324)'!$I$40)))))))))))</f>
        <v>137917</v>
      </c>
      <c r="F17" s="245"/>
      <c r="G17" s="245"/>
      <c r="H17" s="248">
        <f>VLOOKUP(A17,'2324 Band Calculations'!$A$106:$T$122,10,FALSE)</f>
        <v>1760286.9508196723</v>
      </c>
      <c r="I17" s="248">
        <f>VLOOKUP(A17,'2324 Band Calculations'!$A$106:$T$122,17,FALSE)</f>
        <v>0</v>
      </c>
      <c r="J17" s="245">
        <f>VLOOKUP(A17,'2324 FSM Calculation'!$A$4:$D$20,4,FALSE)</f>
        <v>12017.5</v>
      </c>
      <c r="K17" s="245">
        <f t="shared" si="0"/>
        <v>2432822.8508196725</v>
      </c>
      <c r="L17" s="248">
        <f t="shared" si="2"/>
        <v>2432822.8508196725</v>
      </c>
      <c r="M17" s="1036">
        <f>VLOOKUP(A17,'2324 Band Calculations'!$A$106:$T$122,19,FALSE)</f>
        <v>138.66666666666669</v>
      </c>
      <c r="N17" s="235">
        <f>VLOOKUP(A17,'2324 Band Calculations'!$A$104:$AN$122,40,(FALSE))</f>
        <v>499322.75409836054</v>
      </c>
      <c r="O17" s="253">
        <f>M17-(M17*(VLOOKUP(A17,'2324 Band Calculations'!$A$6:$J$22,10,(FALSE))))</f>
        <v>118.20765027322406</v>
      </c>
      <c r="P17" s="235">
        <f t="shared" si="3"/>
        <v>10667.365384615385</v>
      </c>
      <c r="Q17" s="1025">
        <f>'2324 MFG Protection'!L137</f>
        <v>0</v>
      </c>
      <c r="R17" s="1025">
        <f t="shared" si="4"/>
        <v>2432822.8508196725</v>
      </c>
      <c r="S17" s="235">
        <f t="shared" si="5"/>
        <v>1386666.6666666667</v>
      </c>
      <c r="T17" s="235">
        <f t="shared" si="6"/>
        <v>0</v>
      </c>
      <c r="U17" s="242">
        <f t="shared" si="7"/>
        <v>17544.395558795713</v>
      </c>
      <c r="V17" s="242">
        <f t="shared" si="1"/>
        <v>1386666.6666666667</v>
      </c>
      <c r="W17" s="242"/>
      <c r="X17" s="242"/>
      <c r="Y17" s="242">
        <f t="shared" si="8"/>
        <v>7544.3955587957134</v>
      </c>
      <c r="Z17" s="245">
        <f t="shared" si="9"/>
        <v>1046156.1841530057</v>
      </c>
      <c r="AA17" s="245">
        <f t="shared" si="10"/>
        <v>2432822.8508196725</v>
      </c>
      <c r="AB17" s="245">
        <f t="shared" si="11"/>
        <v>0</v>
      </c>
      <c r="AC17" s="36"/>
      <c r="AD17" s="235"/>
      <c r="AE17" s="235"/>
      <c r="AF17" s="235"/>
      <c r="AG17" s="1037"/>
      <c r="AH17" s="36"/>
    </row>
    <row r="18" spans="1:34" x14ac:dyDescent="0.25">
      <c r="A18" s="244">
        <v>9257021</v>
      </c>
      <c r="B18" s="237" t="s">
        <v>809</v>
      </c>
      <c r="C18" s="1038" t="str">
        <f>IF(H18&lt;'School Size Ranges (2324)'!$E$30,'School Size Ranges (2324)'!$D$30,IF(H18&lt;'School Size Ranges (2324)'!$E$31,'School Size Ranges (2324)'!$D$31,IF('2324 Funding Detail'!H18&lt;'School Size Ranges (2324)'!$E$32,'School Size Ranges (2324)'!$D$32,IF(H18&lt;'School Size Ranges (2324)'!$E$33,'School Size Ranges (2324)'!$D$33,IF(H18&lt;'School Size Ranges (2324)'!$E$34,'School Size Ranges (2324)'!$D$34,IF(H18&lt;'School Size Ranges (2324)'!$E$35,'School Size Ranges (2324)'!$D$35,IF(H18&lt;'School Size Ranges (2324)'!$E$36,'School Size Ranges (2324)'!$D$36,IF(H18&lt;'School Size Ranges (2324)'!$E$37,'School Size Ranges (2324)'!$D$37,IF(H18&lt;'School Size Ranges (2324)'!$E$38,'School Size Ranges (2324)'!$D$38,IF(H18&lt;'School Size Ranges (2324)'!$E$39,'School Size Ranges (2324)'!$D$39,IF(H18&lt;'School Size Ranges (2324)'!$E$40,'School Size Ranges (2324)'!$D$40)))))))))))</f>
        <v>School Size 5 Transition Point</v>
      </c>
      <c r="D18" s="245">
        <f>IF(H18&lt;'School Size Ranges (2324)'!$E$30,'School Size Ranges (2324)'!$H$30,IF(H18&lt;'School Size Ranges (2324)'!$E$31,'School Size Ranges (2324)'!$H$31,IF('2324 Funding Detail'!H18&lt;'School Size Ranges (2324)'!$E$32,'School Size Ranges (2324)'!$H$32,IF(H18&lt;'School Size Ranges (2324)'!$E$33,'School Size Ranges (2324)'!$H$33,IF(H18&lt;'School Size Ranges (2324)'!$E$34,'School Size Ranges (2324)'!$H$34,IF(H18&lt;'School Size Ranges (2324)'!$E$35,'School Size Ranges (2324)'!$H$35,IF(H18&lt;'School Size Ranges (2324)'!$E$36,'School Size Ranges (2324)'!$H$36,IF(H18&lt;'School Size Ranges (2324)'!$E$37,'School Size Ranges (2324)'!$H$37,IF(H18&lt;'School Size Ranges (2324)'!$E$38,'School Size Ranges (2324)'!$H$38,IF(H18&lt;'School Size Ranges (2324)'!$E$39,'School Size Ranges (2324)'!$H$39,IF(H18&lt;'School Size Ranges (2324)'!$E$40,'School Size Ranges (2324)'!$H$40)))))))))))</f>
        <v>522601.4</v>
      </c>
      <c r="E18" s="245">
        <f>IF(H18&lt;'School Size Ranges (2324)'!$E$30,'School Size Ranges (2324)'!$I$30,IF(H18&lt;'School Size Ranges (2324)'!$E$31,'School Size Ranges (2324)'!$I$31,IF('2324 Funding Detail'!H18&lt;'School Size Ranges (2324)'!$E$32,'School Size Ranges (2324)'!$I$32,IF(H18&lt;'School Size Ranges (2324)'!$E$33,'School Size Ranges (2324)'!$I$33,IF(H18&lt;'School Size Ranges (2324)'!$E$34,'School Size Ranges (2324)'!$I$34,IF(H18&lt;'School Size Ranges (2324)'!$E$35,'School Size Ranges (2324)'!$I$35,IF(H18&lt;'School Size Ranges (2324)'!$E$36,'School Size Ranges (2324)'!$I$36,IF(H18&lt;'School Size Ranges (2324)'!$E$37,'School Size Ranges (2324)'!$I$37,IF(H18&lt;'School Size Ranges (2324)'!$E$38,'School Size Ranges (2324)'!$I$38,IF(H18&lt;'School Size Ranges (2324)'!$E$39,'School Size Ranges (2324)'!$I$39,IF(H18&lt;'School Size Ranges (2324)'!$E$40,'School Size Ranges (2324)'!$I$40)))))))))))</f>
        <v>137917</v>
      </c>
      <c r="F18" s="245"/>
      <c r="G18" s="245"/>
      <c r="H18" s="248">
        <f>VLOOKUP(A18,'2324 Band Calculations'!$A$106:$T$122,10,FALSE)</f>
        <v>1761222.4490196081</v>
      </c>
      <c r="I18" s="248">
        <f>VLOOKUP(A18,'2324 Band Calculations'!$A$106:$T$122,17,FALSE)</f>
        <v>0</v>
      </c>
      <c r="J18" s="245">
        <f>VLOOKUP(A18,'2324 FSM Calculation'!$A$4:$D$20,4,FALSE)</f>
        <v>31245.5</v>
      </c>
      <c r="K18" s="245">
        <f t="shared" si="0"/>
        <v>2452986.349019608</v>
      </c>
      <c r="L18" s="248">
        <f t="shared" si="2"/>
        <v>2452986.349019608</v>
      </c>
      <c r="M18" s="1036">
        <f>VLOOKUP(A18,'2324 Band Calculations'!$A$106:$T$122,19,FALSE)</f>
        <v>178.58333333333334</v>
      </c>
      <c r="N18" s="235">
        <f>VLOOKUP(A18,'2324 Band Calculations'!$A$104:$AN$122,40,(FALSE))</f>
        <v>51276.527450980386</v>
      </c>
      <c r="O18" s="253">
        <f>M18-(M18*(VLOOKUP(A18,'2324 Band Calculations'!$A$6:$J$22,10,(FALSE))))</f>
        <v>176.48235294117649</v>
      </c>
      <c r="P18" s="235">
        <f t="shared" si="3"/>
        <v>9689.0476190476202</v>
      </c>
      <c r="Q18" s="1025">
        <f>'2324 MFG Protection'!L146</f>
        <v>0</v>
      </c>
      <c r="R18" s="1025">
        <f t="shared" si="4"/>
        <v>2452986.349019608</v>
      </c>
      <c r="S18" s="235">
        <f t="shared" si="5"/>
        <v>1785833.3333333335</v>
      </c>
      <c r="T18" s="235">
        <f t="shared" si="6"/>
        <v>0</v>
      </c>
      <c r="U18" s="242">
        <f t="shared" si="7"/>
        <v>13735.807833987537</v>
      </c>
      <c r="V18" s="242">
        <f t="shared" si="1"/>
        <v>1785833.3333333335</v>
      </c>
      <c r="W18" s="242"/>
      <c r="X18" s="242"/>
      <c r="Y18" s="242">
        <f t="shared" si="8"/>
        <v>3735.8078339875374</v>
      </c>
      <c r="Z18" s="245">
        <f t="shared" si="9"/>
        <v>667153.01568627451</v>
      </c>
      <c r="AA18" s="245">
        <f t="shared" si="10"/>
        <v>2452986.349019608</v>
      </c>
      <c r="AB18" s="245">
        <f t="shared" si="11"/>
        <v>0</v>
      </c>
      <c r="AC18" s="36"/>
      <c r="AD18" s="235"/>
      <c r="AE18" s="235"/>
      <c r="AF18" s="235"/>
      <c r="AG18" s="1037"/>
      <c r="AH18" s="36"/>
    </row>
    <row r="19" spans="1:34" ht="12.75" customHeight="1" x14ac:dyDescent="0.25">
      <c r="A19" s="244">
        <v>9257015</v>
      </c>
      <c r="B19" s="237" t="s">
        <v>217</v>
      </c>
      <c r="C19" s="1038" t="str">
        <f>IF(H19&lt;'School Size Ranges (2324)'!$E$30,'School Size Ranges (2324)'!$D$30,IF(H19&lt;'School Size Ranges (2324)'!$E$31,'School Size Ranges (2324)'!$D$31,IF('2324 Funding Detail'!H19&lt;'School Size Ranges (2324)'!$E$32,'School Size Ranges (2324)'!$D$32,IF(H19&lt;'School Size Ranges (2324)'!$E$33,'School Size Ranges (2324)'!$D$33,IF(H19&lt;'School Size Ranges (2324)'!$E$34,'School Size Ranges (2324)'!$D$34,IF(H19&lt;'School Size Ranges (2324)'!$E$35,'School Size Ranges (2324)'!$D$35,IF(H19&lt;'School Size Ranges (2324)'!$E$36,'School Size Ranges (2324)'!$D$36,IF(H19&lt;'School Size Ranges (2324)'!$E$37,'School Size Ranges (2324)'!$D$37,IF(H19&lt;'School Size Ranges (2324)'!$E$38,'School Size Ranges (2324)'!$D$38,IF(H19&lt;'School Size Ranges (2324)'!$E$39,'School Size Ranges (2324)'!$D$39,IF(H19&lt;'School Size Ranges (2324)'!$E$40,'School Size Ranges (2324)'!$D$40)))))))))))</f>
        <v>School Size 6 Transition Point</v>
      </c>
      <c r="D19" s="245">
        <f>IF(H19&lt;'School Size Ranges (2324)'!$E$30,'School Size Ranges (2324)'!$H$30,IF(H19&lt;'School Size Ranges (2324)'!$E$31,'School Size Ranges (2324)'!$H$31,IF('2324 Funding Detail'!H19&lt;'School Size Ranges (2324)'!$E$32,'School Size Ranges (2324)'!$H$32,IF(H19&lt;'School Size Ranges (2324)'!$E$33,'School Size Ranges (2324)'!$H$33,IF(H19&lt;'School Size Ranges (2324)'!$E$34,'School Size Ranges (2324)'!$H$34,IF(H19&lt;'School Size Ranges (2324)'!$E$35,'School Size Ranges (2324)'!$H$35,IF(H19&lt;'School Size Ranges (2324)'!$E$36,'School Size Ranges (2324)'!$H$36,IF(H19&lt;'School Size Ranges (2324)'!$E$37,'School Size Ranges (2324)'!$H$37,IF(H19&lt;'School Size Ranges (2324)'!$E$38,'School Size Ranges (2324)'!$H$38,IF(H19&lt;'School Size Ranges (2324)'!$E$39,'School Size Ranges (2324)'!$H$39,IF(H19&lt;'School Size Ranges (2324)'!$E$40,'School Size Ranges (2324)'!$H$40)))))))))))</f>
        <v>615208.69999999995</v>
      </c>
      <c r="E19" s="245">
        <f>IF(H19&lt;'School Size Ranges (2324)'!$E$30,'School Size Ranges (2324)'!$I$30,IF(H19&lt;'School Size Ranges (2324)'!$E$31,'School Size Ranges (2324)'!$I$31,IF('2324 Funding Detail'!H19&lt;'School Size Ranges (2324)'!$E$32,'School Size Ranges (2324)'!$I$32,IF(H19&lt;'School Size Ranges (2324)'!$E$33,'School Size Ranges (2324)'!$I$33,IF(H19&lt;'School Size Ranges (2324)'!$E$34,'School Size Ranges (2324)'!$I$34,IF(H19&lt;'School Size Ranges (2324)'!$E$35,'School Size Ranges (2324)'!$I$35,IF(H19&lt;'School Size Ranges (2324)'!$E$36,'School Size Ranges (2324)'!$I$36,IF(H19&lt;'School Size Ranges (2324)'!$E$37,'School Size Ranges (2324)'!$I$37,IF(H19&lt;'School Size Ranges (2324)'!$E$38,'School Size Ranges (2324)'!$I$38,IF(H19&lt;'School Size Ranges (2324)'!$E$39,'School Size Ranges (2324)'!$I$39,IF(H19&lt;'School Size Ranges (2324)'!$E$40,'School Size Ranges (2324)'!$I$40)))))))))))</f>
        <v>153830.5</v>
      </c>
      <c r="F19" s="245"/>
      <c r="G19" s="245"/>
      <c r="H19" s="248">
        <f>VLOOKUP(A19,'2324 Band Calculations'!$A$106:$T$122,10,FALSE)</f>
        <v>2426041.5943952803</v>
      </c>
      <c r="I19" s="248">
        <f>VLOOKUP(A19,'2324 Band Calculations'!$A$106:$T$122,17,FALSE)</f>
        <v>0</v>
      </c>
      <c r="J19" s="245">
        <f>VLOOKUP(A19,'2324 FSM Calculation'!$A$4:$D$20,4,FALSE)</f>
        <v>59606.799999999996</v>
      </c>
      <c r="K19" s="245">
        <f t="shared" si="0"/>
        <v>3254687.5943952799</v>
      </c>
      <c r="L19" s="248">
        <f t="shared" si="2"/>
        <v>3254687.5943952799</v>
      </c>
      <c r="M19" s="1036">
        <f>VLOOKUP(A19,'2324 Band Calculations'!$A$106:$T$122,19,FALSE)</f>
        <v>234.33333333333337</v>
      </c>
      <c r="N19" s="235">
        <f>VLOOKUP(A19,'2324 Band Calculations'!$A$104:$AN$122,40,(FALSE))</f>
        <v>101223.70501474924</v>
      </c>
      <c r="O19" s="253">
        <f>M19-(M19*(VLOOKUP(A19,'2324 Band Calculations'!$A$6:$J$22,10,(FALSE))))</f>
        <v>230.18584070796464</v>
      </c>
      <c r="P19" s="235">
        <f t="shared" si="3"/>
        <v>10099.743243243242</v>
      </c>
      <c r="Q19" s="1025">
        <f>'2324 MFG Protection'!L155</f>
        <v>0</v>
      </c>
      <c r="R19" s="1025">
        <f t="shared" si="4"/>
        <v>3254687.5943952799</v>
      </c>
      <c r="S19" s="235">
        <f t="shared" si="5"/>
        <v>2343333.3333333335</v>
      </c>
      <c r="T19" s="235">
        <f t="shared" si="6"/>
        <v>0</v>
      </c>
      <c r="U19" s="242">
        <f t="shared" si="7"/>
        <v>13889.136249197494</v>
      </c>
      <c r="V19" s="242">
        <f t="shared" si="1"/>
        <v>2343333.3333333335</v>
      </c>
      <c r="W19" s="242"/>
      <c r="X19" s="242"/>
      <c r="Y19" s="242">
        <f t="shared" si="8"/>
        <v>3889.1362491974942</v>
      </c>
      <c r="Z19" s="245">
        <f t="shared" si="9"/>
        <v>911354.2610619464</v>
      </c>
      <c r="AA19" s="245">
        <f t="shared" si="10"/>
        <v>3254687.5943952799</v>
      </c>
      <c r="AB19" s="245">
        <f t="shared" si="11"/>
        <v>0</v>
      </c>
      <c r="AC19" s="36"/>
      <c r="AD19" s="235"/>
      <c r="AE19" s="235"/>
      <c r="AF19" s="235"/>
      <c r="AG19" s="1037"/>
      <c r="AH19" s="36"/>
    </row>
    <row r="20" spans="1:34" x14ac:dyDescent="0.25">
      <c r="A20" s="244">
        <v>9257016</v>
      </c>
      <c r="B20" s="237" t="s">
        <v>219</v>
      </c>
      <c r="C20" s="1038" t="str">
        <f>IF(H20&lt;'School Size Ranges (2324)'!$E$30,'School Size Ranges (2324)'!$D$30,IF(H20&lt;'School Size Ranges (2324)'!$E$31,'School Size Ranges (2324)'!$D$31,IF('2324 Funding Detail'!H20&lt;'School Size Ranges (2324)'!$E$32,'School Size Ranges (2324)'!$D$32,IF(H20&lt;'School Size Ranges (2324)'!$E$33,'School Size Ranges (2324)'!$D$33,IF(H20&lt;'School Size Ranges (2324)'!$E$34,'School Size Ranges (2324)'!$D$34,IF(H20&lt;'School Size Ranges (2324)'!$E$35,'School Size Ranges (2324)'!$D$35,IF(H20&lt;'School Size Ranges (2324)'!$E$36,'School Size Ranges (2324)'!$D$36,IF(H20&lt;'School Size Ranges (2324)'!$E$37,'School Size Ranges (2324)'!$D$37,IF(H20&lt;'School Size Ranges (2324)'!$E$38,'School Size Ranges (2324)'!$D$38,IF(H20&lt;'School Size Ranges (2324)'!$E$39,'School Size Ranges (2324)'!$D$39,IF(H20&lt;'School Size Ranges (2324)'!$E$40,'School Size Ranges (2324)'!$D$40)))))))))))</f>
        <v>School Size 6 Transition Point</v>
      </c>
      <c r="D20" s="245">
        <f>IF(H20&lt;'School Size Ranges (2324)'!$E$30,'School Size Ranges (2324)'!$H$30,IF(H20&lt;'School Size Ranges (2324)'!$E$31,'School Size Ranges (2324)'!$H$31,IF('2324 Funding Detail'!H20&lt;'School Size Ranges (2324)'!$E$32,'School Size Ranges (2324)'!$H$32,IF(H20&lt;'School Size Ranges (2324)'!$E$33,'School Size Ranges (2324)'!$H$33,IF(H20&lt;'School Size Ranges (2324)'!$E$34,'School Size Ranges (2324)'!$H$34,IF(H20&lt;'School Size Ranges (2324)'!$E$35,'School Size Ranges (2324)'!$H$35,IF(H20&lt;'School Size Ranges (2324)'!$E$36,'School Size Ranges (2324)'!$H$36,IF(H20&lt;'School Size Ranges (2324)'!$E$37,'School Size Ranges (2324)'!$H$37,IF(H20&lt;'School Size Ranges (2324)'!$E$38,'School Size Ranges (2324)'!$H$38,IF(H20&lt;'School Size Ranges (2324)'!$E$39,'School Size Ranges (2324)'!$H$39,IF(H20&lt;'School Size Ranges (2324)'!$E$40,'School Size Ranges (2324)'!$H$40)))))))))))</f>
        <v>615208.69999999995</v>
      </c>
      <c r="E20" s="245">
        <f>IF(H20&lt;'School Size Ranges (2324)'!$E$30,'School Size Ranges (2324)'!$I$30,IF(H20&lt;'School Size Ranges (2324)'!$E$31,'School Size Ranges (2324)'!$I$31,IF('2324 Funding Detail'!H20&lt;'School Size Ranges (2324)'!$E$32,'School Size Ranges (2324)'!$I$32,IF(H20&lt;'School Size Ranges (2324)'!$E$33,'School Size Ranges (2324)'!$I$33,IF(H20&lt;'School Size Ranges (2324)'!$E$34,'School Size Ranges (2324)'!$I$34,IF(H20&lt;'School Size Ranges (2324)'!$E$35,'School Size Ranges (2324)'!$I$35,IF(H20&lt;'School Size Ranges (2324)'!$E$36,'School Size Ranges (2324)'!$I$36,IF(H20&lt;'School Size Ranges (2324)'!$E$37,'School Size Ranges (2324)'!$I$37,IF(H20&lt;'School Size Ranges (2324)'!$E$38,'School Size Ranges (2324)'!$I$38,IF(H20&lt;'School Size Ranges (2324)'!$E$39,'School Size Ranges (2324)'!$I$39,IF(H20&lt;'School Size Ranges (2324)'!$E$40,'School Size Ranges (2324)'!$I$40)))))))))))</f>
        <v>153830.5</v>
      </c>
      <c r="F20" s="245"/>
      <c r="G20" s="245"/>
      <c r="H20" s="248">
        <f>VLOOKUP(A20,'2324 Band Calculations'!$A$106:$T$122,10,FALSE)</f>
        <v>2464094.6604166673</v>
      </c>
      <c r="I20" s="248">
        <f>VLOOKUP(A20,'2324 Band Calculations'!$A$106:$T$122,17,FALSE)</f>
        <v>0</v>
      </c>
      <c r="J20" s="245">
        <f>VLOOKUP(A20,'2324 FSM Calculation'!$A$4:$D$20,4,FALSE)</f>
        <v>20670.099999999999</v>
      </c>
      <c r="K20" s="245">
        <f t="shared" si="0"/>
        <v>3253803.9604166676</v>
      </c>
      <c r="L20" s="248">
        <f>K20-F20-G20</f>
        <v>3253803.9604166676</v>
      </c>
      <c r="M20" s="1036">
        <f>VLOOKUP(A20,'2324 Band Calculations'!$A$106:$T$122,19,FALSE)</f>
        <v>165.16666666666669</v>
      </c>
      <c r="N20" s="235">
        <f>VLOOKUP(A20,'2324 Band Calculations'!$A$104:$AN$122,40,(FALSE))</f>
        <v>856599.75416666653</v>
      </c>
      <c r="O20" s="253">
        <f>M20-(M20*(VLOOKUP(A20,'2324 Band Calculations'!$A$6:$J$22,10,(FALSE))))</f>
        <v>130.06875000000002</v>
      </c>
      <c r="P20" s="235">
        <f t="shared" si="3"/>
        <v>12358.809523809528</v>
      </c>
      <c r="Q20" s="1025">
        <f>'2324 MFG Protection'!L164</f>
        <v>0</v>
      </c>
      <c r="R20" s="1025">
        <f>L20+Q20</f>
        <v>3253803.9604166676</v>
      </c>
      <c r="S20" s="235">
        <f t="shared" si="5"/>
        <v>1651666.6666666667</v>
      </c>
      <c r="T20" s="235">
        <f t="shared" si="6"/>
        <v>0</v>
      </c>
      <c r="U20" s="242">
        <f t="shared" si="7"/>
        <v>19700.124886478308</v>
      </c>
      <c r="V20" s="242">
        <f t="shared" si="1"/>
        <v>1651666.6666666667</v>
      </c>
      <c r="W20" s="242"/>
      <c r="X20" s="242"/>
      <c r="Y20" s="242">
        <f t="shared" si="8"/>
        <v>9700.1248864783083</v>
      </c>
      <c r="Z20" s="245">
        <f t="shared" si="9"/>
        <v>1602137.2937500009</v>
      </c>
      <c r="AA20" s="245">
        <f t="shared" si="10"/>
        <v>3253803.9604166676</v>
      </c>
      <c r="AB20" s="245">
        <f t="shared" si="11"/>
        <v>0</v>
      </c>
      <c r="AC20" s="36"/>
      <c r="AD20" s="235"/>
      <c r="AE20" s="235"/>
      <c r="AF20" s="235"/>
      <c r="AG20" s="1037"/>
      <c r="AH20" s="36"/>
    </row>
    <row r="21" spans="1:34" x14ac:dyDescent="0.25">
      <c r="A21" s="249"/>
      <c r="B21" s="36"/>
      <c r="C21" s="234"/>
      <c r="D21" s="235"/>
      <c r="E21" s="235"/>
      <c r="F21" s="235"/>
      <c r="G21" s="235"/>
      <c r="H21" s="235"/>
      <c r="I21" s="235"/>
      <c r="J21" s="235"/>
      <c r="K21" s="234"/>
      <c r="L21" s="36"/>
      <c r="M21" s="234"/>
      <c r="N21" s="36"/>
      <c r="O21" s="36"/>
      <c r="P21" s="36"/>
      <c r="Q21" s="36"/>
      <c r="R21" s="36"/>
      <c r="S21" s="36"/>
      <c r="T21" s="36"/>
      <c r="U21" s="235"/>
      <c r="V21" s="234"/>
      <c r="W21" s="234"/>
      <c r="X21" s="234"/>
      <c r="Y21" s="234"/>
      <c r="Z21" s="36"/>
      <c r="AA21" s="36"/>
      <c r="AB21" s="234"/>
      <c r="AC21" s="36"/>
      <c r="AD21" s="36"/>
      <c r="AE21" s="36"/>
      <c r="AF21" s="36"/>
      <c r="AG21" s="36"/>
      <c r="AH21" s="36"/>
    </row>
    <row r="22" spans="1:34" ht="13.5" customHeight="1" thickBot="1" x14ac:dyDescent="0.3">
      <c r="A22" s="249"/>
      <c r="B22" s="36"/>
      <c r="C22" s="36"/>
      <c r="D22" s="250">
        <f>SUM(D4:D20)</f>
        <v>7969939.1500000013</v>
      </c>
      <c r="E22" s="250">
        <f t="shared" ref="E22:O22" si="12">SUM(E4:E20)</f>
        <v>2083484</v>
      </c>
      <c r="F22" s="250">
        <f t="shared" si="12"/>
        <v>1182256</v>
      </c>
      <c r="G22" s="250">
        <f t="shared" si="12"/>
        <v>532345.19999999995</v>
      </c>
      <c r="H22" s="250">
        <f t="shared" si="12"/>
        <v>25595015.952398878</v>
      </c>
      <c r="I22" s="250">
        <f t="shared" si="12"/>
        <v>0</v>
      </c>
      <c r="J22" s="250">
        <f t="shared" si="12"/>
        <v>383598.59999999992</v>
      </c>
      <c r="K22" s="250">
        <f t="shared" si="12"/>
        <v>37746638.902398877</v>
      </c>
      <c r="L22" s="250">
        <f t="shared" si="12"/>
        <v>36032037.702398881</v>
      </c>
      <c r="M22" s="251">
        <f t="shared" si="12"/>
        <v>2184.5833333333335</v>
      </c>
      <c r="N22" s="250">
        <f t="shared" si="12"/>
        <v>2590696.5505957408</v>
      </c>
      <c r="O22" s="251">
        <f t="shared" si="12"/>
        <v>2078.4333476496599</v>
      </c>
      <c r="P22" s="251"/>
      <c r="Q22" s="250">
        <f>SUM(Q4:Q20)</f>
        <v>91320.990562931634</v>
      </c>
      <c r="R22" s="250">
        <f>SUM(R4:R20)</f>
        <v>36123358.692961812</v>
      </c>
      <c r="S22" s="250">
        <f>SUM(S4:S20)</f>
        <v>21845833.333333332</v>
      </c>
      <c r="T22" s="36"/>
      <c r="U22" s="235"/>
      <c r="V22" s="250">
        <f>SUM(V4:V20)</f>
        <v>21845833.333333332</v>
      </c>
      <c r="W22" s="250">
        <f>SUM(W4:W20)</f>
        <v>0</v>
      </c>
      <c r="X22" s="250">
        <f>SUM(X4:X20)</f>
        <v>0</v>
      </c>
      <c r="Y22" s="235"/>
      <c r="Z22" s="250">
        <f>SUM(Z4:Z20)</f>
        <v>14277525.359628476</v>
      </c>
      <c r="AA22" s="250">
        <f>SUM(AA4:AA20)</f>
        <v>36123358.692961812</v>
      </c>
      <c r="AB22" s="234"/>
      <c r="AC22" s="36"/>
      <c r="AD22" s="36"/>
      <c r="AE22" s="36"/>
      <c r="AF22" s="36"/>
      <c r="AG22" s="36"/>
      <c r="AH22" s="36"/>
    </row>
    <row r="23" spans="1:34" ht="13" x14ac:dyDescent="0.3">
      <c r="A23" s="249"/>
      <c r="B23" s="36"/>
      <c r="C23" s="862"/>
      <c r="D23" s="861"/>
      <c r="E23" s="861"/>
      <c r="F23" s="861"/>
      <c r="G23" s="861"/>
      <c r="H23" s="861"/>
      <c r="I23" s="861"/>
      <c r="J23" s="861"/>
      <c r="K23" s="861"/>
      <c r="L23" s="881"/>
      <c r="M23" s="881"/>
      <c r="N23" s="861"/>
      <c r="O23" s="882"/>
      <c r="P23" s="861"/>
      <c r="Q23" s="861"/>
      <c r="R23" s="861"/>
      <c r="S23" s="247"/>
      <c r="T23" s="36"/>
      <c r="U23" s="235"/>
      <c r="V23" s="235"/>
      <c r="W23" s="235"/>
      <c r="X23" s="235"/>
      <c r="Y23" s="249"/>
      <c r="Z23" s="36"/>
      <c r="AA23" s="36"/>
      <c r="AB23" s="234"/>
      <c r="AC23" s="36"/>
      <c r="AD23" s="36"/>
      <c r="AE23" s="36"/>
      <c r="AF23" s="36"/>
      <c r="AG23" s="36"/>
      <c r="AH23" s="249"/>
    </row>
    <row r="24" spans="1:34" ht="13" x14ac:dyDescent="0.3">
      <c r="A24" s="36"/>
      <c r="B24" s="806" t="s">
        <v>1003</v>
      </c>
      <c r="C24" s="234"/>
      <c r="D24" s="1071">
        <f>D22-D45</f>
        <v>327244.1500000013</v>
      </c>
      <c r="E24" s="1071">
        <f>E22-E45</f>
        <v>81284</v>
      </c>
      <c r="F24" s="1080"/>
      <c r="G24" s="1071">
        <f>G22-G45</f>
        <v>-36234.800000000047</v>
      </c>
      <c r="H24" s="1071">
        <f>H22-H45</f>
        <v>1628879.3997093327</v>
      </c>
      <c r="I24" s="1071"/>
      <c r="J24" s="1071">
        <f>J22-J45</f>
        <v>41948.199999999895</v>
      </c>
      <c r="K24" s="1071">
        <f>K22-K45</f>
        <v>2180156.949709326</v>
      </c>
      <c r="L24" s="1071"/>
      <c r="M24" s="1296">
        <f>M22-M45</f>
        <v>97.583333333333485</v>
      </c>
      <c r="N24" s="36"/>
      <c r="O24" s="816"/>
      <c r="P24" s="816"/>
      <c r="Q24" s="1330">
        <f>Q22-'2223 Funding Detail'!Q22</f>
        <v>-34.183957567423931</v>
      </c>
      <c r="R24" s="36"/>
      <c r="S24" s="36"/>
      <c r="T24" s="36"/>
      <c r="U24" s="235"/>
      <c r="V24" s="234"/>
      <c r="W24" s="234"/>
      <c r="X24" s="234"/>
      <c r="Y24" s="234"/>
      <c r="Z24" s="234"/>
      <c r="AA24" s="234" t="s">
        <v>999</v>
      </c>
      <c r="AB24" s="234"/>
      <c r="AC24" s="36"/>
      <c r="AD24" s="36"/>
      <c r="AE24" s="36"/>
      <c r="AF24" s="36"/>
      <c r="AG24" s="36"/>
      <c r="AH24" s="36"/>
    </row>
    <row r="25" spans="1:34" ht="13" x14ac:dyDescent="0.3">
      <c r="A25" s="36"/>
      <c r="B25" s="234"/>
      <c r="C25" s="36"/>
      <c r="D25" s="235"/>
      <c r="E25" s="832"/>
      <c r="F25" s="234"/>
      <c r="G25" s="234"/>
      <c r="H25" s="36"/>
      <c r="I25" s="247"/>
      <c r="J25" s="36"/>
      <c r="K25" s="234"/>
      <c r="L25" s="36"/>
      <c r="M25" s="253"/>
      <c r="N25" s="36"/>
      <c r="O25" s="36"/>
      <c r="P25" s="36"/>
      <c r="Q25" s="36" t="s">
        <v>959</v>
      </c>
      <c r="R25" s="235">
        <f>'2223 Funding Detail'!R22</f>
        <v>34044037.127210051</v>
      </c>
      <c r="S25" s="861"/>
      <c r="T25" s="36"/>
      <c r="U25" s="235"/>
      <c r="V25" s="234"/>
      <c r="W25" s="234"/>
      <c r="X25" s="234"/>
      <c r="Y25" s="234"/>
      <c r="Z25" s="234"/>
      <c r="AA25" s="36"/>
      <c r="AB25" s="234"/>
      <c r="AC25" s="36"/>
      <c r="AD25" s="36"/>
      <c r="AE25" s="36"/>
      <c r="AF25" s="36"/>
      <c r="AG25" s="36"/>
      <c r="AH25" s="36"/>
    </row>
    <row r="26" spans="1:34" ht="37.5" x14ac:dyDescent="0.25">
      <c r="A26" s="236" t="s">
        <v>182</v>
      </c>
      <c r="B26" s="237" t="s">
        <v>183</v>
      </c>
      <c r="C26" s="241" t="s">
        <v>985</v>
      </c>
      <c r="D26" s="240" t="s">
        <v>58</v>
      </c>
      <c r="E26" s="240" t="s">
        <v>59</v>
      </c>
      <c r="F26" s="238" t="s">
        <v>147</v>
      </c>
      <c r="G26" s="238" t="s">
        <v>185</v>
      </c>
      <c r="H26" s="241" t="s">
        <v>186</v>
      </c>
      <c r="I26" s="241" t="s">
        <v>986</v>
      </c>
      <c r="J26" s="241" t="s">
        <v>187</v>
      </c>
      <c r="K26" s="238" t="s">
        <v>189</v>
      </c>
      <c r="L26" s="241" t="s">
        <v>190</v>
      </c>
      <c r="M26" s="241" t="s">
        <v>987</v>
      </c>
      <c r="N26" s="1198"/>
      <c r="O26" s="36"/>
      <c r="P26" s="247"/>
      <c r="Q26" s="36" t="s">
        <v>3</v>
      </c>
      <c r="R26" s="235">
        <f>R22-R25</f>
        <v>2079321.5657517612</v>
      </c>
      <c r="S26" s="36" t="s">
        <v>1004</v>
      </c>
      <c r="T26" s="36"/>
      <c r="U26" s="235"/>
      <c r="V26" s="234"/>
      <c r="W26" s="234"/>
      <c r="X26" s="234"/>
      <c r="Y26" s="234"/>
      <c r="Z26" s="234"/>
      <c r="AA26" s="36"/>
      <c r="AB26" s="234"/>
      <c r="AC26" s="36"/>
      <c r="AD26" s="36"/>
      <c r="AE26" s="36"/>
      <c r="AF26" s="36"/>
      <c r="AG26" s="36"/>
      <c r="AH26" s="36"/>
    </row>
    <row r="27" spans="1:34" x14ac:dyDescent="0.25">
      <c r="A27" s="244">
        <v>9257010</v>
      </c>
      <c r="B27" s="237" t="s">
        <v>996</v>
      </c>
      <c r="C27" s="1038" t="s">
        <v>760</v>
      </c>
      <c r="D27" s="245">
        <v>464060</v>
      </c>
      <c r="E27" s="245">
        <v>123600</v>
      </c>
      <c r="F27" s="245"/>
      <c r="G27" s="245"/>
      <c r="H27" s="248">
        <v>1450702.9222110419</v>
      </c>
      <c r="I27" s="248">
        <v>0</v>
      </c>
      <c r="J27" s="245">
        <v>18772</v>
      </c>
      <c r="K27" s="245">
        <v>2057134.9222110419</v>
      </c>
      <c r="L27" s="248">
        <v>2057134.9222110419</v>
      </c>
      <c r="M27" s="1036">
        <v>115.33333333333333</v>
      </c>
      <c r="N27" s="1198">
        <f t="shared" ref="N27:N43" si="13">M4-M27</f>
        <v>24.000000000000014</v>
      </c>
      <c r="O27" s="36"/>
      <c r="P27" s="36"/>
      <c r="Q27" s="36"/>
      <c r="R27" s="234"/>
      <c r="S27" s="36"/>
      <c r="T27" s="36"/>
      <c r="U27" s="235"/>
      <c r="V27" s="234"/>
      <c r="W27" s="234"/>
      <c r="X27" s="234"/>
      <c r="Y27" s="234"/>
      <c r="Z27" s="36"/>
      <c r="AA27" s="36"/>
      <c r="AB27" s="234"/>
      <c r="AC27" s="36"/>
      <c r="AD27" s="36"/>
      <c r="AE27" s="36"/>
      <c r="AF27" s="36"/>
      <c r="AG27" s="36"/>
      <c r="AH27" s="36"/>
    </row>
    <row r="28" spans="1:34" x14ac:dyDescent="0.25">
      <c r="A28" s="244">
        <v>9257005</v>
      </c>
      <c r="B28" s="237" t="s">
        <v>805</v>
      </c>
      <c r="C28" s="1038" t="s">
        <v>759</v>
      </c>
      <c r="D28" s="245">
        <v>425940</v>
      </c>
      <c r="E28" s="245">
        <v>118450</v>
      </c>
      <c r="F28" s="245"/>
      <c r="G28" s="245"/>
      <c r="H28" s="248">
        <v>1111087.4538852279</v>
      </c>
      <c r="I28" s="248">
        <v>0</v>
      </c>
      <c r="J28" s="245">
        <v>13140.4</v>
      </c>
      <c r="K28" s="245">
        <v>1668617.8538852278</v>
      </c>
      <c r="L28" s="248">
        <v>1668617.8538852278</v>
      </c>
      <c r="M28" s="1036">
        <v>88.583333333333343</v>
      </c>
      <c r="N28" s="1198">
        <f t="shared" si="13"/>
        <v>-8.8333333333333428</v>
      </c>
      <c r="O28" s="36"/>
      <c r="P28" s="36"/>
      <c r="Q28" s="36"/>
      <c r="R28" s="235"/>
      <c r="S28" s="36"/>
      <c r="T28" s="36"/>
      <c r="U28" s="235"/>
      <c r="V28" s="234"/>
      <c r="W28" s="234"/>
      <c r="X28" s="234"/>
      <c r="Y28" s="234"/>
      <c r="Z28" s="36"/>
      <c r="AA28" s="36"/>
      <c r="AB28" s="234"/>
      <c r="AC28" s="36"/>
      <c r="AD28" s="36"/>
      <c r="AE28" s="36"/>
      <c r="AF28" s="36"/>
      <c r="AG28" s="36"/>
      <c r="AH28" s="36"/>
    </row>
    <row r="29" spans="1:34" x14ac:dyDescent="0.25">
      <c r="A29" s="244">
        <v>9257025</v>
      </c>
      <c r="B29" s="237" t="s">
        <v>806</v>
      </c>
      <c r="C29" s="1038" t="s">
        <v>758</v>
      </c>
      <c r="D29" s="245">
        <v>387820</v>
      </c>
      <c r="E29" s="245">
        <v>113300</v>
      </c>
      <c r="F29" s="245"/>
      <c r="G29" s="245"/>
      <c r="H29" s="248">
        <v>938087.7152146895</v>
      </c>
      <c r="I29" s="248">
        <v>0</v>
      </c>
      <c r="J29" s="245">
        <v>12671.1</v>
      </c>
      <c r="K29" s="245">
        <v>1451878.8152146896</v>
      </c>
      <c r="L29" s="248">
        <v>1451878.8152146896</v>
      </c>
      <c r="M29" s="1036">
        <v>84.416666666666671</v>
      </c>
      <c r="N29" s="1198">
        <f t="shared" si="13"/>
        <v>11.583333333333329</v>
      </c>
      <c r="O29" s="298"/>
      <c r="P29" s="298"/>
      <c r="Q29" s="298"/>
      <c r="R29" s="298"/>
      <c r="S29" s="298"/>
      <c r="T29" s="298"/>
      <c r="U29" s="298"/>
      <c r="V29" s="298"/>
      <c r="W29" s="298"/>
      <c r="X29" s="298"/>
      <c r="Y29" s="298"/>
      <c r="Z29" s="298"/>
      <c r="AA29" s="298"/>
      <c r="AB29" s="298"/>
      <c r="AC29" s="36"/>
      <c r="AD29" s="36"/>
      <c r="AE29" s="36"/>
      <c r="AF29" s="36"/>
      <c r="AG29" s="36"/>
      <c r="AH29" s="36"/>
    </row>
    <row r="30" spans="1:34" x14ac:dyDescent="0.25">
      <c r="A30" s="244">
        <v>9257024</v>
      </c>
      <c r="B30" s="237" t="s">
        <v>807</v>
      </c>
      <c r="C30" s="1038" t="s">
        <v>758</v>
      </c>
      <c r="D30" s="245">
        <v>387820</v>
      </c>
      <c r="E30" s="245">
        <v>113300</v>
      </c>
      <c r="F30" s="245"/>
      <c r="G30" s="245"/>
      <c r="H30" s="248">
        <v>981968.02846039541</v>
      </c>
      <c r="I30" s="248">
        <v>0</v>
      </c>
      <c r="J30" s="245">
        <v>16425.5</v>
      </c>
      <c r="K30" s="245">
        <v>1499513.5284603955</v>
      </c>
      <c r="L30" s="248">
        <v>1499513.5284603955</v>
      </c>
      <c r="M30" s="1036">
        <v>86.333333333333343</v>
      </c>
      <c r="N30" s="1198">
        <f t="shared" si="13"/>
        <v>6.5833333333333286</v>
      </c>
      <c r="O30" s="36"/>
      <c r="P30" s="36"/>
      <c r="Q30" s="36"/>
      <c r="R30" s="36"/>
      <c r="S30" s="36"/>
      <c r="T30" s="36"/>
      <c r="U30" s="235"/>
      <c r="V30" s="234"/>
      <c r="W30" s="234"/>
      <c r="X30" s="234"/>
      <c r="Y30" s="234"/>
      <c r="Z30" s="36"/>
      <c r="AA30" s="36"/>
      <c r="AB30" s="234"/>
      <c r="AC30" s="36"/>
      <c r="AD30" s="36"/>
      <c r="AE30" s="36"/>
      <c r="AF30" s="36"/>
      <c r="AG30" s="36"/>
      <c r="AH30" s="36"/>
    </row>
    <row r="31" spans="1:34" ht="13" x14ac:dyDescent="0.3">
      <c r="A31" s="244">
        <v>9257031</v>
      </c>
      <c r="B31" s="32" t="s">
        <v>557</v>
      </c>
      <c r="C31" s="1038" t="s">
        <v>760</v>
      </c>
      <c r="D31" s="245">
        <v>401550</v>
      </c>
      <c r="E31" s="245">
        <v>88550</v>
      </c>
      <c r="F31" s="245">
        <v>200541</v>
      </c>
      <c r="G31" s="245"/>
      <c r="H31" s="248">
        <v>1215325.5284515372</v>
      </c>
      <c r="I31" s="248">
        <v>0</v>
      </c>
      <c r="J31" s="245">
        <v>19710.600000000002</v>
      </c>
      <c r="K31" s="245">
        <v>1925677.1284515373</v>
      </c>
      <c r="L31" s="248">
        <v>1725136.1284515373</v>
      </c>
      <c r="M31" s="1036">
        <v>80.416666666666671</v>
      </c>
      <c r="N31" s="1198">
        <f t="shared" si="13"/>
        <v>0.1666666666666714</v>
      </c>
      <c r="O31" s="36"/>
      <c r="P31" s="36"/>
      <c r="Q31" s="36"/>
      <c r="R31" s="280"/>
      <c r="S31" s="36"/>
      <c r="T31" s="36"/>
      <c r="U31" s="235"/>
      <c r="V31" s="234"/>
      <c r="W31" s="234"/>
      <c r="X31" s="234"/>
      <c r="Y31" s="234"/>
      <c r="Z31" s="36"/>
      <c r="AA31" s="36"/>
      <c r="AB31" s="234"/>
      <c r="AC31" s="36"/>
      <c r="AD31" s="36"/>
      <c r="AE31" s="36"/>
      <c r="AF31" s="36"/>
      <c r="AG31" s="36"/>
      <c r="AH31" s="36"/>
    </row>
    <row r="32" spans="1:34" x14ac:dyDescent="0.25">
      <c r="A32" s="244">
        <v>9257033</v>
      </c>
      <c r="B32" s="237" t="s">
        <v>816</v>
      </c>
      <c r="C32" s="1038" t="s">
        <v>758</v>
      </c>
      <c r="D32" s="245">
        <v>387820</v>
      </c>
      <c r="E32" s="245">
        <v>113300</v>
      </c>
      <c r="F32" s="245"/>
      <c r="G32" s="245"/>
      <c r="H32" s="248">
        <v>997252.27983884769</v>
      </c>
      <c r="I32" s="248">
        <v>0</v>
      </c>
      <c r="J32" s="245">
        <v>24403.600000000002</v>
      </c>
      <c r="K32" s="245">
        <v>1522775.8798388478</v>
      </c>
      <c r="L32" s="248">
        <v>1522775.8798388478</v>
      </c>
      <c r="M32" s="1036">
        <v>106.16666666666669</v>
      </c>
      <c r="N32" s="1198">
        <f t="shared" si="13"/>
        <v>7.5833333333333286</v>
      </c>
      <c r="O32" s="36"/>
      <c r="P32" s="36"/>
      <c r="Q32" s="296"/>
      <c r="R32" s="36"/>
      <c r="S32" s="36"/>
      <c r="T32" s="36"/>
      <c r="U32" s="235"/>
      <c r="V32" s="234"/>
      <c r="W32" s="234"/>
      <c r="X32" s="234"/>
      <c r="Y32" s="234"/>
      <c r="Z32" s="36"/>
      <c r="AA32" s="36"/>
      <c r="AB32" s="234"/>
      <c r="AC32" s="36"/>
      <c r="AD32" s="36"/>
      <c r="AE32" s="36"/>
      <c r="AF32" s="36"/>
      <c r="AG32" s="36"/>
      <c r="AH32" s="36"/>
    </row>
    <row r="33" spans="1:28" x14ac:dyDescent="0.25">
      <c r="A33" s="244">
        <v>9257008</v>
      </c>
      <c r="B33" s="237" t="s">
        <v>340</v>
      </c>
      <c r="C33" s="1038" t="s">
        <v>758</v>
      </c>
      <c r="D33" s="245">
        <v>387820</v>
      </c>
      <c r="E33" s="245">
        <v>113300</v>
      </c>
      <c r="F33" s="245"/>
      <c r="G33" s="245"/>
      <c r="H33" s="248">
        <v>956233.34251339128</v>
      </c>
      <c r="I33" s="248">
        <v>0</v>
      </c>
      <c r="J33" s="245">
        <v>12201.800000000001</v>
      </c>
      <c r="K33" s="245">
        <v>1469555.1425133913</v>
      </c>
      <c r="L33" s="248">
        <v>1469555.1425133913</v>
      </c>
      <c r="M33" s="1036">
        <v>100.16666666666667</v>
      </c>
      <c r="N33" s="1198">
        <f t="shared" si="13"/>
        <v>0.8333333333333286</v>
      </c>
      <c r="O33" s="36"/>
      <c r="P33" s="36"/>
      <c r="Q33" s="36"/>
      <c r="R33" s="36"/>
      <c r="S33" s="36"/>
      <c r="T33" s="36"/>
      <c r="U33" s="235"/>
      <c r="V33" s="234"/>
      <c r="W33" s="234"/>
      <c r="X33" s="234"/>
      <c r="Y33" s="234"/>
      <c r="Z33" s="36"/>
      <c r="AA33" s="36"/>
      <c r="AB33" s="234"/>
    </row>
    <row r="34" spans="1:28" x14ac:dyDescent="0.25">
      <c r="A34" s="244">
        <v>9257034</v>
      </c>
      <c r="B34" s="237" t="s">
        <v>817</v>
      </c>
      <c r="C34" s="1038" t="s">
        <v>759</v>
      </c>
      <c r="D34" s="245">
        <v>425940</v>
      </c>
      <c r="E34" s="245">
        <v>118450</v>
      </c>
      <c r="F34" s="245"/>
      <c r="G34" s="245"/>
      <c r="H34" s="248">
        <v>1102419.9694233148</v>
      </c>
      <c r="I34" s="248">
        <v>0</v>
      </c>
      <c r="J34" s="245">
        <v>25342.2</v>
      </c>
      <c r="K34" s="245">
        <v>1672152.1694233147</v>
      </c>
      <c r="L34" s="248">
        <v>1672152.1694233147</v>
      </c>
      <c r="M34" s="1036">
        <v>122.16666666666667</v>
      </c>
      <c r="N34" s="1198">
        <f t="shared" si="13"/>
        <v>6.1666666666666714</v>
      </c>
      <c r="O34" s="36"/>
      <c r="P34" s="36"/>
      <c r="Q34" s="36"/>
      <c r="R34" s="36"/>
      <c r="S34" s="36"/>
      <c r="T34" s="36"/>
      <c r="U34" s="235"/>
      <c r="V34" s="234"/>
      <c r="W34" s="234"/>
      <c r="X34" s="234"/>
      <c r="Y34" s="234"/>
      <c r="Z34" s="36"/>
      <c r="AA34" s="36"/>
      <c r="AB34" s="234"/>
    </row>
    <row r="35" spans="1:28" x14ac:dyDescent="0.25">
      <c r="A35" s="244">
        <v>9257002</v>
      </c>
      <c r="B35" s="237" t="s">
        <v>808</v>
      </c>
      <c r="C35" s="1038" t="s">
        <v>760</v>
      </c>
      <c r="D35" s="245">
        <v>464060</v>
      </c>
      <c r="E35" s="245">
        <v>123600</v>
      </c>
      <c r="F35" s="245"/>
      <c r="G35" s="245"/>
      <c r="H35" s="248">
        <v>1484746.1499078074</v>
      </c>
      <c r="I35" s="248">
        <v>0</v>
      </c>
      <c r="J35" s="245">
        <v>19241.3</v>
      </c>
      <c r="K35" s="245">
        <v>2091647.4499078074</v>
      </c>
      <c r="L35" s="248">
        <v>2091647.4499078074</v>
      </c>
      <c r="M35" s="1036">
        <v>155.66666666666669</v>
      </c>
      <c r="N35" s="1198">
        <f t="shared" si="13"/>
        <v>13.25</v>
      </c>
      <c r="O35" s="36"/>
      <c r="P35" s="36"/>
      <c r="Q35" s="36"/>
      <c r="R35" s="36"/>
      <c r="S35" s="36"/>
      <c r="T35" s="36"/>
      <c r="U35" s="36"/>
      <c r="V35" s="36"/>
      <c r="W35" s="36"/>
      <c r="X35" s="36"/>
      <c r="Y35" s="36"/>
      <c r="Z35" s="36"/>
      <c r="AA35" s="36"/>
      <c r="AB35" s="36"/>
    </row>
    <row r="36" spans="1:28" x14ac:dyDescent="0.25">
      <c r="A36" s="244">
        <v>9257009</v>
      </c>
      <c r="B36" s="237" t="s">
        <v>997</v>
      </c>
      <c r="C36" s="1038" t="s">
        <v>762</v>
      </c>
      <c r="D36" s="245">
        <v>550700</v>
      </c>
      <c r="E36" s="245">
        <v>144200</v>
      </c>
      <c r="F36" s="245"/>
      <c r="G36" s="245">
        <v>393880</v>
      </c>
      <c r="H36" s="248">
        <v>2038600.4346503685</v>
      </c>
      <c r="I36" s="248">
        <v>0</v>
      </c>
      <c r="J36" s="245">
        <v>32381.700000000004</v>
      </c>
      <c r="K36" s="245">
        <v>3159762.1346503687</v>
      </c>
      <c r="L36" s="248">
        <v>2765882.1346503687</v>
      </c>
      <c r="M36" s="1036">
        <v>198.91666666666669</v>
      </c>
      <c r="N36" s="1198">
        <f>M13-M36</f>
        <v>8.9166666666666856</v>
      </c>
      <c r="O36" s="36"/>
      <c r="P36" s="36"/>
      <c r="Q36" s="36"/>
      <c r="R36" s="36"/>
      <c r="S36" s="36"/>
      <c r="T36" s="36"/>
      <c r="U36" s="36"/>
      <c r="V36" s="36"/>
      <c r="W36" s="36"/>
      <c r="X36" s="36"/>
      <c r="Y36" s="36"/>
      <c r="Z36" s="36"/>
      <c r="AA36" s="36"/>
      <c r="AB36" s="36"/>
    </row>
    <row r="37" spans="1:28" ht="13" x14ac:dyDescent="0.3">
      <c r="A37" s="244">
        <v>9257029</v>
      </c>
      <c r="B37" s="32" t="s">
        <v>890</v>
      </c>
      <c r="C37" s="1038" t="s">
        <v>759</v>
      </c>
      <c r="D37" s="245">
        <v>383275</v>
      </c>
      <c r="E37" s="245">
        <v>88550</v>
      </c>
      <c r="F37" s="245">
        <v>283674</v>
      </c>
      <c r="G37" s="245"/>
      <c r="H37" s="248">
        <v>1187618.6252122277</v>
      </c>
      <c r="I37" s="248">
        <v>0</v>
      </c>
      <c r="J37" s="245">
        <v>15017.6</v>
      </c>
      <c r="K37" s="245">
        <v>1958135.2252122278</v>
      </c>
      <c r="L37" s="248">
        <v>1674461.2252122278</v>
      </c>
      <c r="M37" s="1036">
        <v>78.583333333333343</v>
      </c>
      <c r="N37" s="1198">
        <f t="shared" si="13"/>
        <v>0.41666666666665719</v>
      </c>
      <c r="O37" s="36"/>
      <c r="P37" s="36"/>
      <c r="Q37" s="36"/>
      <c r="R37" s="36"/>
      <c r="S37" s="36"/>
      <c r="T37" s="36"/>
      <c r="U37" s="36"/>
      <c r="V37" s="36"/>
      <c r="W37" s="36"/>
      <c r="X37" s="36"/>
      <c r="Y37" s="36"/>
      <c r="Z37" s="36"/>
      <c r="AA37" s="36"/>
      <c r="AB37" s="36"/>
    </row>
    <row r="38" spans="1:28" ht="13" x14ac:dyDescent="0.3">
      <c r="A38" s="244">
        <v>9257032</v>
      </c>
      <c r="B38" s="32" t="s">
        <v>813</v>
      </c>
      <c r="C38" s="1038" t="s">
        <v>759</v>
      </c>
      <c r="D38" s="245">
        <v>383275</v>
      </c>
      <c r="E38" s="245">
        <v>88550</v>
      </c>
      <c r="F38" s="245">
        <v>251809</v>
      </c>
      <c r="G38" s="245">
        <v>174700</v>
      </c>
      <c r="H38" s="248">
        <v>1571737.0564844753</v>
      </c>
      <c r="I38" s="248">
        <v>0</v>
      </c>
      <c r="J38" s="245">
        <v>22057.100000000002</v>
      </c>
      <c r="K38" s="245">
        <v>2492128.1564844754</v>
      </c>
      <c r="L38" s="248">
        <v>2065619.1564844754</v>
      </c>
      <c r="M38" s="1036">
        <v>104</v>
      </c>
      <c r="N38" s="1198">
        <f t="shared" si="13"/>
        <v>6.4166666666666856</v>
      </c>
      <c r="O38" s="36"/>
      <c r="P38" s="36"/>
      <c r="Q38" s="36"/>
      <c r="R38" s="36"/>
      <c r="S38" s="36"/>
      <c r="T38" s="36"/>
      <c r="U38" s="36"/>
      <c r="V38" s="36"/>
      <c r="W38" s="36"/>
      <c r="X38" s="36"/>
      <c r="Y38" s="36"/>
      <c r="Z38" s="36"/>
      <c r="AA38" s="36"/>
      <c r="AB38" s="36"/>
    </row>
    <row r="39" spans="1:28" ht="13" x14ac:dyDescent="0.3">
      <c r="A39" s="244">
        <v>9257030</v>
      </c>
      <c r="B39" s="32" t="s">
        <v>815</v>
      </c>
      <c r="C39" s="1038" t="s">
        <v>759</v>
      </c>
      <c r="D39" s="245">
        <v>383275</v>
      </c>
      <c r="E39" s="245">
        <v>88550</v>
      </c>
      <c r="F39" s="245">
        <v>309196</v>
      </c>
      <c r="G39" s="245"/>
      <c r="H39" s="248">
        <v>1070493.9887915095</v>
      </c>
      <c r="I39" s="248">
        <v>0</v>
      </c>
      <c r="J39" s="245">
        <v>16425.5</v>
      </c>
      <c r="K39" s="245">
        <v>1867940.4887915095</v>
      </c>
      <c r="L39" s="248">
        <v>1558744.4887915095</v>
      </c>
      <c r="M39" s="1036">
        <v>70.833333333333343</v>
      </c>
      <c r="N39" s="1198">
        <f t="shared" si="13"/>
        <v>-0.83333333333334281</v>
      </c>
      <c r="O39" s="36"/>
      <c r="P39" s="36"/>
      <c r="Q39" s="36"/>
      <c r="R39" s="36"/>
      <c r="S39" s="36"/>
      <c r="T39" s="36"/>
      <c r="U39" s="235"/>
      <c r="V39" s="234"/>
      <c r="W39" s="234"/>
      <c r="X39" s="234"/>
      <c r="Y39" s="234"/>
      <c r="Z39" s="36"/>
      <c r="AA39" s="36"/>
      <c r="AB39" s="234"/>
    </row>
    <row r="40" spans="1:28" x14ac:dyDescent="0.25">
      <c r="A40" s="244">
        <v>9257028</v>
      </c>
      <c r="B40" s="237" t="s">
        <v>215</v>
      </c>
      <c r="C40" s="1038" t="s">
        <v>761</v>
      </c>
      <c r="D40" s="245">
        <v>507380</v>
      </c>
      <c r="E40" s="245">
        <v>133900</v>
      </c>
      <c r="F40" s="245"/>
      <c r="G40" s="245"/>
      <c r="H40" s="248">
        <v>1590171.732654036</v>
      </c>
      <c r="I40" s="248">
        <v>0</v>
      </c>
      <c r="J40" s="245">
        <v>12201.800000000001</v>
      </c>
      <c r="K40" s="245">
        <v>2243653.5326540358</v>
      </c>
      <c r="L40" s="248">
        <v>2243653.5326540358</v>
      </c>
      <c r="M40" s="1036">
        <v>129.91666666666669</v>
      </c>
      <c r="N40" s="1198">
        <f t="shared" si="13"/>
        <v>8.75</v>
      </c>
      <c r="O40" s="36"/>
      <c r="P40" s="36"/>
      <c r="Q40" s="36"/>
      <c r="R40" s="36"/>
      <c r="S40" s="36"/>
      <c r="T40" s="36"/>
      <c r="U40" s="235"/>
      <c r="V40" s="234"/>
      <c r="W40" s="234"/>
      <c r="X40" s="234"/>
      <c r="Y40" s="234"/>
      <c r="Z40" s="36"/>
      <c r="AA40" s="36"/>
      <c r="AB40" s="234"/>
    </row>
    <row r="41" spans="1:28" x14ac:dyDescent="0.25">
      <c r="A41" s="244">
        <v>9257021</v>
      </c>
      <c r="B41" s="237" t="s">
        <v>809</v>
      </c>
      <c r="C41" s="1038" t="s">
        <v>761</v>
      </c>
      <c r="D41" s="245">
        <v>507380</v>
      </c>
      <c r="E41" s="245">
        <v>133900</v>
      </c>
      <c r="F41" s="245"/>
      <c r="G41" s="245"/>
      <c r="H41" s="248">
        <v>1676380.6480545243</v>
      </c>
      <c r="I41" s="248">
        <v>0</v>
      </c>
      <c r="J41" s="245">
        <v>25342.2</v>
      </c>
      <c r="K41" s="245">
        <v>2343002.8480545245</v>
      </c>
      <c r="L41" s="248">
        <v>2343002.8480545245</v>
      </c>
      <c r="M41" s="1036">
        <v>174.25</v>
      </c>
      <c r="N41" s="1198">
        <f t="shared" si="13"/>
        <v>4.3333333333333428</v>
      </c>
      <c r="O41" s="36"/>
      <c r="P41" s="36"/>
      <c r="Q41" s="36"/>
      <c r="R41" s="36"/>
      <c r="S41" s="36"/>
      <c r="T41" s="36"/>
      <c r="U41" s="235"/>
      <c r="V41" s="234"/>
      <c r="W41" s="234"/>
      <c r="X41" s="234"/>
      <c r="Y41" s="234"/>
      <c r="Z41" s="36"/>
      <c r="AA41" s="36"/>
      <c r="AB41" s="234"/>
    </row>
    <row r="42" spans="1:28" x14ac:dyDescent="0.25">
      <c r="A42" s="244">
        <v>9257015</v>
      </c>
      <c r="B42" s="237" t="s">
        <v>217</v>
      </c>
      <c r="C42" s="1038" t="s">
        <v>763</v>
      </c>
      <c r="D42" s="245">
        <v>597290</v>
      </c>
      <c r="E42" s="245">
        <v>149350</v>
      </c>
      <c r="F42" s="245"/>
      <c r="G42" s="245"/>
      <c r="H42" s="248">
        <v>2226865.9728884418</v>
      </c>
      <c r="I42" s="248">
        <v>0</v>
      </c>
      <c r="J42" s="245">
        <v>34258.9</v>
      </c>
      <c r="K42" s="245">
        <v>3007764.8728884417</v>
      </c>
      <c r="L42" s="248">
        <v>3007764.8728884417</v>
      </c>
      <c r="M42" s="1036">
        <v>226.5</v>
      </c>
      <c r="N42" s="1198">
        <f t="shared" si="13"/>
        <v>7.8333333333333712</v>
      </c>
      <c r="O42" s="36"/>
      <c r="P42" s="36"/>
      <c r="Q42" s="36"/>
      <c r="R42" s="36"/>
      <c r="S42" s="36"/>
      <c r="T42" s="36"/>
      <c r="U42" s="235"/>
      <c r="V42" s="234"/>
      <c r="W42" s="234"/>
      <c r="X42" s="234"/>
      <c r="Y42" s="234"/>
      <c r="Z42" s="36"/>
      <c r="AA42" s="36"/>
      <c r="AB42" s="234"/>
    </row>
    <row r="43" spans="1:28" x14ac:dyDescent="0.25">
      <c r="A43" s="244">
        <v>9257016</v>
      </c>
      <c r="B43" s="237" t="s">
        <v>219</v>
      </c>
      <c r="C43" s="1038" t="s">
        <v>763</v>
      </c>
      <c r="D43" s="245">
        <v>597290</v>
      </c>
      <c r="E43" s="245">
        <v>149350</v>
      </c>
      <c r="F43" s="245"/>
      <c r="G43" s="245"/>
      <c r="H43" s="248">
        <v>2366444.7040477116</v>
      </c>
      <c r="I43" s="248">
        <v>0</v>
      </c>
      <c r="J43" s="245">
        <v>22057.100000000002</v>
      </c>
      <c r="K43" s="245">
        <v>3135141.8040477117</v>
      </c>
      <c r="L43" s="248">
        <v>3135141.8040477117</v>
      </c>
      <c r="M43" s="1036">
        <v>164.75</v>
      </c>
      <c r="N43" s="1198">
        <f t="shared" si="13"/>
        <v>0.41666666666668561</v>
      </c>
      <c r="O43" s="36"/>
      <c r="P43" s="36"/>
      <c r="Q43" s="36"/>
      <c r="R43" s="36"/>
      <c r="S43" s="36"/>
      <c r="T43" s="36"/>
      <c r="U43" s="235"/>
      <c r="V43" s="234"/>
      <c r="W43" s="234"/>
      <c r="X43" s="234"/>
      <c r="Y43" s="234"/>
      <c r="Z43" s="36"/>
      <c r="AA43" s="36"/>
      <c r="AB43" s="234"/>
    </row>
    <row r="44" spans="1:28" x14ac:dyDescent="0.25">
      <c r="A44" s="249"/>
      <c r="B44" s="36"/>
      <c r="C44" s="234"/>
      <c r="D44" s="235"/>
      <c r="E44" s="235"/>
      <c r="F44" s="235"/>
      <c r="G44" s="235"/>
      <c r="H44" s="235"/>
      <c r="I44" s="235"/>
      <c r="J44" s="235"/>
      <c r="K44" s="234"/>
      <c r="L44" s="36"/>
      <c r="M44" s="234"/>
      <c r="N44" s="36"/>
      <c r="O44" s="36"/>
      <c r="P44" s="36"/>
      <c r="Q44" s="36"/>
      <c r="R44" s="36"/>
      <c r="S44" s="36"/>
      <c r="T44" s="36"/>
      <c r="U44" s="235"/>
      <c r="V44" s="234"/>
      <c r="W44" s="234"/>
      <c r="X44" s="234"/>
      <c r="Y44" s="234"/>
      <c r="Z44" s="36"/>
      <c r="AA44" s="36"/>
      <c r="AB44" s="234"/>
    </row>
    <row r="45" spans="1:28" ht="13" thickBot="1" x14ac:dyDescent="0.3">
      <c r="A45" s="249"/>
      <c r="B45" s="36"/>
      <c r="C45" s="36"/>
      <c r="D45" s="250">
        <v>7642695</v>
      </c>
      <c r="E45" s="250">
        <v>2002200</v>
      </c>
      <c r="F45" s="250">
        <v>1045220</v>
      </c>
      <c r="G45" s="250">
        <v>568580</v>
      </c>
      <c r="H45" s="250">
        <v>23966136.552689545</v>
      </c>
      <c r="I45" s="250">
        <v>0</v>
      </c>
      <c r="J45" s="250">
        <v>341650.4</v>
      </c>
      <c r="K45" s="250">
        <v>35566481.952689551</v>
      </c>
      <c r="L45" s="250">
        <v>33952681.952689551</v>
      </c>
      <c r="M45" s="251">
        <v>2087</v>
      </c>
      <c r="N45" s="1198">
        <f>M22-M45</f>
        <v>97.583333333333485</v>
      </c>
      <c r="O45" s="36"/>
      <c r="P45" s="36"/>
      <c r="Q45" s="36"/>
      <c r="R45" s="36"/>
      <c r="S45" s="36"/>
      <c r="T45" s="36"/>
      <c r="U45" s="235"/>
      <c r="V45" s="234"/>
      <c r="W45" s="234"/>
      <c r="X45" s="234"/>
      <c r="Y45" s="234"/>
      <c r="Z45" s="36"/>
      <c r="AA45" s="36"/>
      <c r="AB45" s="234"/>
    </row>
    <row r="46" spans="1:28" x14ac:dyDescent="0.25">
      <c r="A46" s="249"/>
      <c r="B46" s="36"/>
      <c r="C46" s="36"/>
      <c r="D46" s="235"/>
      <c r="E46" s="235"/>
      <c r="F46" s="235"/>
      <c r="G46" s="235"/>
      <c r="H46" s="235"/>
      <c r="I46" s="1288"/>
      <c r="J46" s="1288"/>
      <c r="K46" s="1288"/>
      <c r="L46" s="1288"/>
      <c r="M46" s="253"/>
      <c r="N46" s="1259"/>
      <c r="O46" s="36"/>
      <c r="P46" s="36"/>
      <c r="Q46" s="36"/>
      <c r="R46" s="36"/>
      <c r="S46" s="36"/>
      <c r="T46" s="36"/>
      <c r="U46" s="235"/>
      <c r="V46" s="234"/>
      <c r="W46" s="234"/>
      <c r="X46" s="234"/>
      <c r="Y46" s="234"/>
      <c r="Z46" s="36"/>
      <c r="AA46" s="36"/>
      <c r="AB46" s="234"/>
    </row>
    <row r="47" spans="1:28" x14ac:dyDescent="0.25">
      <c r="A47" s="249"/>
      <c r="B47" s="36"/>
      <c r="C47" s="814" t="s">
        <v>1005</v>
      </c>
      <c r="D47" s="235">
        <f>D45*0.03</f>
        <v>229280.85</v>
      </c>
      <c r="E47" s="235"/>
      <c r="F47" s="235"/>
      <c r="G47" s="235"/>
      <c r="H47" s="235"/>
      <c r="I47" s="244">
        <v>9257010</v>
      </c>
      <c r="J47" s="237" t="s">
        <v>996</v>
      </c>
      <c r="K47" s="245"/>
      <c r="L47" s="245">
        <f>L4-L27</f>
        <v>280403.45874133962</v>
      </c>
      <c r="M47" s="253"/>
      <c r="N47" s="1259">
        <f>L47/L27</f>
        <v>0.13630776266243025</v>
      </c>
      <c r="O47" s="36"/>
      <c r="P47" s="36"/>
      <c r="Q47" s="36"/>
      <c r="R47" s="36"/>
      <c r="S47" s="36"/>
      <c r="T47" s="36"/>
      <c r="U47" s="235"/>
      <c r="V47" s="234"/>
      <c r="W47" s="234"/>
      <c r="X47" s="234"/>
      <c r="Y47" s="234"/>
      <c r="Z47" s="36"/>
      <c r="AA47" s="36"/>
      <c r="AB47" s="234"/>
    </row>
    <row r="48" spans="1:28" x14ac:dyDescent="0.25">
      <c r="A48" s="36"/>
      <c r="B48" s="36"/>
      <c r="C48" s="814" t="s">
        <v>1006</v>
      </c>
      <c r="D48" s="235">
        <f>D24-D47</f>
        <v>97963.300000001298</v>
      </c>
      <c r="E48" s="235"/>
      <c r="F48" s="234"/>
      <c r="G48" s="234"/>
      <c r="H48" s="36"/>
      <c r="I48" s="244">
        <v>9257005</v>
      </c>
      <c r="J48" s="237" t="s">
        <v>805</v>
      </c>
      <c r="K48" s="238"/>
      <c r="L48" s="245">
        <f t="shared" ref="L48:L63" si="14">L5-L28</f>
        <v>-147473.7482514251</v>
      </c>
      <c r="M48" s="234"/>
      <c r="N48" s="1259">
        <f t="shared" ref="N48:N63" si="15">L48/L28</f>
        <v>-8.8380780481310109E-2</v>
      </c>
      <c r="O48" s="36"/>
      <c r="P48" s="36"/>
      <c r="Q48" s="36"/>
      <c r="R48" s="36"/>
      <c r="S48" s="36"/>
      <c r="T48" s="36"/>
      <c r="U48" s="235"/>
      <c r="V48" s="234"/>
      <c r="W48" s="234"/>
      <c r="X48" s="234"/>
      <c r="Y48" s="234"/>
      <c r="Z48" s="36"/>
      <c r="AA48" s="36"/>
      <c r="AB48" s="234"/>
    </row>
    <row r="49" spans="4:14" x14ac:dyDescent="0.25">
      <c r="D49" s="235"/>
      <c r="E49" s="235"/>
      <c r="F49" s="235"/>
      <c r="G49" s="234"/>
      <c r="H49" s="36"/>
      <c r="I49" s="244">
        <v>9257025</v>
      </c>
      <c r="J49" s="237" t="s">
        <v>806</v>
      </c>
      <c r="K49" s="238"/>
      <c r="L49" s="245">
        <f t="shared" si="14"/>
        <v>129715.75145197706</v>
      </c>
      <c r="M49" s="234"/>
      <c r="N49" s="1259">
        <f t="shared" si="15"/>
        <v>8.9343373629152359E-2</v>
      </c>
    </row>
    <row r="50" spans="4:14" x14ac:dyDescent="0.25">
      <c r="D50" s="235"/>
      <c r="E50" s="235"/>
      <c r="F50" s="234"/>
      <c r="G50" s="234"/>
      <c r="H50" s="36"/>
      <c r="I50" s="244">
        <v>9257024</v>
      </c>
      <c r="J50" s="237" t="s">
        <v>807</v>
      </c>
      <c r="K50" s="238"/>
      <c r="L50" s="245">
        <f t="shared" si="14"/>
        <v>95056.380363133969</v>
      </c>
      <c r="M50" s="234"/>
      <c r="N50" s="1259">
        <f t="shared" si="15"/>
        <v>6.3391479009016857E-2</v>
      </c>
    </row>
    <row r="51" spans="4:14" ht="13" x14ac:dyDescent="0.3">
      <c r="D51" s="235"/>
      <c r="E51" s="235"/>
      <c r="F51" s="234"/>
      <c r="G51" s="234"/>
      <c r="H51" s="36"/>
      <c r="I51" s="244">
        <v>9257031</v>
      </c>
      <c r="J51" s="32" t="s">
        <v>557</v>
      </c>
      <c r="K51" s="238"/>
      <c r="L51" s="245">
        <f t="shared" si="14"/>
        <v>55258.421548462706</v>
      </c>
      <c r="M51" s="234"/>
      <c r="N51" s="1259">
        <f t="shared" si="15"/>
        <v>3.2031339809723905E-2</v>
      </c>
    </row>
    <row r="52" spans="4:14" x14ac:dyDescent="0.25">
      <c r="D52" s="235"/>
      <c r="E52" s="235"/>
      <c r="F52" s="234"/>
      <c r="G52" s="234"/>
      <c r="H52" s="36"/>
      <c r="I52" s="244">
        <v>9257033</v>
      </c>
      <c r="J52" s="237" t="s">
        <v>816</v>
      </c>
      <c r="K52" s="238"/>
      <c r="L52" s="245">
        <f t="shared" si="14"/>
        <v>95352.914305296261</v>
      </c>
      <c r="M52" s="234"/>
      <c r="N52" s="1259">
        <f t="shared" si="15"/>
        <v>6.2617825490765763E-2</v>
      </c>
    </row>
    <row r="53" spans="4:14" x14ac:dyDescent="0.25">
      <c r="D53" s="235"/>
      <c r="E53" s="235"/>
      <c r="F53" s="234"/>
      <c r="G53" s="234"/>
      <c r="H53" s="36"/>
      <c r="I53" s="244">
        <v>9257008</v>
      </c>
      <c r="J53" s="237" t="s">
        <v>340</v>
      </c>
      <c r="K53" s="238"/>
      <c r="L53" s="245">
        <f t="shared" si="14"/>
        <v>21579.957486608764</v>
      </c>
      <c r="M53" s="234"/>
      <c r="N53" s="1259">
        <f t="shared" si="15"/>
        <v>1.4684687128990886E-2</v>
      </c>
    </row>
    <row r="54" spans="4:14" x14ac:dyDescent="0.25">
      <c r="D54" s="235"/>
      <c r="E54" s="235"/>
      <c r="F54" s="234"/>
      <c r="G54" s="234"/>
      <c r="H54" s="36"/>
      <c r="I54" s="244">
        <v>9257034</v>
      </c>
      <c r="J54" s="237" t="s">
        <v>817</v>
      </c>
      <c r="K54" s="238"/>
      <c r="L54" s="245">
        <f t="shared" si="14"/>
        <v>99394.715476970188</v>
      </c>
      <c r="M54" s="234"/>
      <c r="N54" s="1259">
        <f t="shared" si="15"/>
        <v>5.9441190397910404E-2</v>
      </c>
    </row>
    <row r="55" spans="4:14" x14ac:dyDescent="0.25">
      <c r="D55" s="235"/>
      <c r="E55" s="235"/>
      <c r="F55" s="234"/>
      <c r="G55" s="234"/>
      <c r="H55" s="36"/>
      <c r="I55" s="244">
        <v>9257002</v>
      </c>
      <c r="J55" s="237" t="s">
        <v>808</v>
      </c>
      <c r="K55" s="238"/>
      <c r="L55" s="245">
        <f t="shared" si="14"/>
        <v>281136.79419788416</v>
      </c>
      <c r="M55" s="234"/>
      <c r="N55" s="1259">
        <f t="shared" si="15"/>
        <v>0.13440926395615843</v>
      </c>
    </row>
    <row r="56" spans="4:14" x14ac:dyDescent="0.25">
      <c r="D56" s="235"/>
      <c r="E56" s="235"/>
      <c r="F56" s="234"/>
      <c r="G56" s="234"/>
      <c r="H56" s="36"/>
      <c r="I56" s="244">
        <v>9257009</v>
      </c>
      <c r="J56" s="237" t="s">
        <v>546</v>
      </c>
      <c r="K56" s="238"/>
      <c r="L56" s="245">
        <f t="shared" si="14"/>
        <v>259150.47787078144</v>
      </c>
      <c r="M56" s="234"/>
      <c r="N56" s="1259">
        <f t="shared" si="15"/>
        <v>9.3695416237807361E-2</v>
      </c>
    </row>
    <row r="57" spans="4:14" ht="13" x14ac:dyDescent="0.3">
      <c r="D57" s="235"/>
      <c r="E57" s="235"/>
      <c r="F57" s="234"/>
      <c r="G57" s="234"/>
      <c r="H57" s="36"/>
      <c r="I57" s="244">
        <v>9257029</v>
      </c>
      <c r="J57" s="32" t="s">
        <v>890</v>
      </c>
      <c r="K57" s="238"/>
      <c r="L57" s="245">
        <f t="shared" si="14"/>
        <v>52848.324787772261</v>
      </c>
      <c r="M57" s="234"/>
      <c r="N57" s="1259">
        <f t="shared" si="15"/>
        <v>3.156139060853682E-2</v>
      </c>
    </row>
    <row r="58" spans="4:14" ht="13" x14ac:dyDescent="0.3">
      <c r="D58" s="235"/>
      <c r="E58" s="235"/>
      <c r="F58" s="234"/>
      <c r="G58" s="234"/>
      <c r="H58" s="36"/>
      <c r="I58" s="244">
        <v>9257032</v>
      </c>
      <c r="J58" s="32" t="s">
        <v>813</v>
      </c>
      <c r="K58" s="238"/>
      <c r="L58" s="245">
        <f t="shared" si="14"/>
        <v>160848.34351552464</v>
      </c>
      <c r="M58" s="234"/>
      <c r="N58" s="1259">
        <f t="shared" si="15"/>
        <v>7.7869312458002243E-2</v>
      </c>
    </row>
    <row r="59" spans="4:14" ht="13" x14ac:dyDescent="0.3">
      <c r="D59" s="235"/>
      <c r="E59" s="235"/>
      <c r="F59" s="234"/>
      <c r="G59" s="234"/>
      <c r="H59" s="36"/>
      <c r="I59" s="244">
        <v>9257030</v>
      </c>
      <c r="J59" s="32" t="s">
        <v>815</v>
      </c>
      <c r="K59" s="238"/>
      <c r="L59" s="245">
        <f t="shared" si="14"/>
        <v>31346.261208490469</v>
      </c>
      <c r="M59" s="234"/>
      <c r="N59" s="1259">
        <f t="shared" si="15"/>
        <v>2.0109941965403926E-2</v>
      </c>
    </row>
    <row r="60" spans="4:14" x14ac:dyDescent="0.25">
      <c r="D60" s="235"/>
      <c r="E60" s="235"/>
      <c r="F60" s="234"/>
      <c r="G60" s="234"/>
      <c r="H60" s="36"/>
      <c r="I60" s="244">
        <v>9257028</v>
      </c>
      <c r="J60" s="237" t="s">
        <v>215</v>
      </c>
      <c r="K60" s="238"/>
      <c r="L60" s="245">
        <f t="shared" si="14"/>
        <v>189169.31816563662</v>
      </c>
      <c r="M60" s="234"/>
      <c r="N60" s="1259">
        <f t="shared" si="15"/>
        <v>8.431307036156635E-2</v>
      </c>
    </row>
    <row r="61" spans="4:14" x14ac:dyDescent="0.25">
      <c r="D61" s="235"/>
      <c r="E61" s="235"/>
      <c r="F61" s="234"/>
      <c r="G61" s="234"/>
      <c r="H61" s="36"/>
      <c r="I61" s="244">
        <v>9257021</v>
      </c>
      <c r="J61" s="237" t="s">
        <v>809</v>
      </c>
      <c r="K61" s="238"/>
      <c r="L61" s="245">
        <f t="shared" si="14"/>
        <v>109983.50096508348</v>
      </c>
      <c r="M61" s="234"/>
      <c r="N61" s="1259">
        <f t="shared" si="15"/>
        <v>4.6941257906027108E-2</v>
      </c>
    </row>
    <row r="62" spans="4:14" x14ac:dyDescent="0.25">
      <c r="D62" s="235"/>
      <c r="E62" s="235"/>
      <c r="F62" s="234"/>
      <c r="G62" s="234"/>
      <c r="H62" s="36"/>
      <c r="I62" s="244">
        <v>9257015</v>
      </c>
      <c r="J62" s="237" t="s">
        <v>217</v>
      </c>
      <c r="K62" s="238"/>
      <c r="L62" s="245">
        <f t="shared" si="14"/>
        <v>246922.72150683822</v>
      </c>
      <c r="M62" s="234"/>
      <c r="N62" s="1259">
        <f t="shared" si="15"/>
        <v>8.2095087861609128E-2</v>
      </c>
    </row>
    <row r="63" spans="4:14" x14ac:dyDescent="0.25">
      <c r="D63" s="235"/>
      <c r="E63" s="235"/>
      <c r="F63" s="234"/>
      <c r="G63" s="234"/>
      <c r="H63" s="36"/>
      <c r="I63" s="244">
        <v>9257016</v>
      </c>
      <c r="J63" s="237" t="s">
        <v>219</v>
      </c>
      <c r="K63" s="238"/>
      <c r="L63" s="245">
        <f t="shared" si="14"/>
        <v>118662.15636895597</v>
      </c>
      <c r="M63" s="234"/>
      <c r="N63" s="1259">
        <f t="shared" si="15"/>
        <v>3.7849055572463708E-2</v>
      </c>
    </row>
    <row r="64" spans="4:14" x14ac:dyDescent="0.25">
      <c r="D64" s="234"/>
      <c r="E64" s="234"/>
      <c r="F64" s="234"/>
      <c r="G64" s="234"/>
      <c r="H64" s="36"/>
      <c r="I64" s="237"/>
      <c r="J64" s="237"/>
      <c r="K64" s="238"/>
      <c r="L64" s="237"/>
      <c r="M64" s="234"/>
      <c r="N64" s="36"/>
    </row>
    <row r="65" spans="3:18" x14ac:dyDescent="0.25">
      <c r="C65" s="36"/>
      <c r="D65" s="234"/>
      <c r="E65" s="234"/>
      <c r="F65" s="234"/>
      <c r="G65" s="234"/>
      <c r="H65" s="36"/>
      <c r="I65" s="237"/>
      <c r="J65" s="237"/>
      <c r="K65" s="238"/>
      <c r="L65" s="245">
        <f>SUM(L47:L64)</f>
        <v>2079355.7497093307</v>
      </c>
      <c r="M65" s="234"/>
      <c r="N65" s="247"/>
      <c r="O65" s="36"/>
      <c r="P65" s="36"/>
      <c r="Q65" s="36"/>
      <c r="R65" s="36"/>
    </row>
    <row r="68" spans="3:18" ht="37.5" x14ac:dyDescent="0.25">
      <c r="C68" s="36"/>
      <c r="D68" s="768" t="s">
        <v>58</v>
      </c>
      <c r="E68" s="768" t="s">
        <v>59</v>
      </c>
      <c r="F68" s="768" t="s">
        <v>147</v>
      </c>
      <c r="G68" s="768" t="s">
        <v>185</v>
      </c>
      <c r="H68" s="795" t="s">
        <v>186</v>
      </c>
      <c r="I68" s="795" t="s">
        <v>986</v>
      </c>
      <c r="J68" s="795" t="s">
        <v>187</v>
      </c>
      <c r="K68" s="768" t="s">
        <v>189</v>
      </c>
      <c r="L68" s="795" t="s">
        <v>190</v>
      </c>
      <c r="M68" s="768" t="s">
        <v>1001</v>
      </c>
      <c r="N68" s="795" t="s">
        <v>743</v>
      </c>
      <c r="O68" s="795" t="s">
        <v>1002</v>
      </c>
      <c r="P68" s="795" t="s">
        <v>888</v>
      </c>
      <c r="Q68" s="795" t="s">
        <v>697</v>
      </c>
      <c r="R68" s="795" t="s">
        <v>989</v>
      </c>
    </row>
    <row r="70" spans="3:18" x14ac:dyDescent="0.25">
      <c r="C70" s="36" t="s">
        <v>1007</v>
      </c>
      <c r="D70" s="235">
        <v>7719530</v>
      </c>
      <c r="E70" s="235">
        <v>2022800</v>
      </c>
      <c r="F70" s="235">
        <v>1045220</v>
      </c>
      <c r="G70" s="235">
        <v>516840</v>
      </c>
      <c r="H70" s="235">
        <v>24839924.127121158</v>
      </c>
      <c r="I70" s="235">
        <v>0</v>
      </c>
      <c r="J70" s="235">
        <v>341650.4</v>
      </c>
      <c r="K70" s="235">
        <v>36485964.527121156</v>
      </c>
      <c r="L70" s="235">
        <v>34923904.527121156</v>
      </c>
      <c r="M70" s="253">
        <v>2184</v>
      </c>
      <c r="N70" s="235">
        <v>2515167.8962615705</v>
      </c>
      <c r="O70" s="235">
        <v>2077.8500143163265</v>
      </c>
      <c r="P70" s="235"/>
      <c r="Q70" s="235">
        <v>91355.174520499058</v>
      </c>
      <c r="R70" s="235">
        <v>35015259.701641656</v>
      </c>
    </row>
    <row r="71" spans="3:18" x14ac:dyDescent="0.25">
      <c r="C71" s="36"/>
      <c r="D71" s="235"/>
      <c r="E71" s="235"/>
      <c r="F71" s="235"/>
      <c r="G71" s="235"/>
      <c r="H71" s="235"/>
      <c r="I71" s="235"/>
      <c r="J71" s="235"/>
      <c r="K71" s="235"/>
      <c r="L71" s="235"/>
      <c r="M71" s="253"/>
      <c r="N71" s="235"/>
      <c r="O71" s="235"/>
      <c r="P71" s="235"/>
      <c r="Q71" s="235"/>
      <c r="R71" s="235"/>
    </row>
    <row r="72" spans="3:18" x14ac:dyDescent="0.25">
      <c r="C72" s="36" t="s">
        <v>3</v>
      </c>
      <c r="D72" s="235">
        <f>D22-D70</f>
        <v>250409.1500000013</v>
      </c>
      <c r="E72" s="235">
        <f t="shared" ref="E72:R72" si="16">E22-E70</f>
        <v>60684</v>
      </c>
      <c r="F72" s="235">
        <f t="shared" si="16"/>
        <v>137036</v>
      </c>
      <c r="G72" s="235">
        <f t="shared" si="16"/>
        <v>15505.199999999953</v>
      </c>
      <c r="H72" s="235">
        <f t="shared" si="16"/>
        <v>755091.82527771965</v>
      </c>
      <c r="I72" s="235">
        <f t="shared" si="16"/>
        <v>0</v>
      </c>
      <c r="J72" s="235">
        <f t="shared" si="16"/>
        <v>41948.199999999895</v>
      </c>
      <c r="K72" s="235">
        <f t="shared" si="16"/>
        <v>1260674.3752777204</v>
      </c>
      <c r="L72" s="235">
        <f t="shared" si="16"/>
        <v>1108133.1752777249</v>
      </c>
      <c r="M72" s="253">
        <f>M22-M70</f>
        <v>0.58333333333348492</v>
      </c>
      <c r="N72" s="235">
        <f t="shared" si="16"/>
        <v>75528.654334170278</v>
      </c>
      <c r="O72" s="235">
        <f t="shared" si="16"/>
        <v>0.58333333333348492</v>
      </c>
      <c r="P72" s="235">
        <f t="shared" si="16"/>
        <v>0</v>
      </c>
      <c r="Q72" s="235">
        <f t="shared" si="16"/>
        <v>-34.183957567423931</v>
      </c>
      <c r="R72" s="1301">
        <f t="shared" si="16"/>
        <v>1108098.9913201556</v>
      </c>
    </row>
    <row r="74" spans="3:18" x14ac:dyDescent="0.25">
      <c r="C74" s="36"/>
      <c r="D74" s="234"/>
      <c r="E74" s="234"/>
      <c r="F74" s="234"/>
      <c r="G74" s="234"/>
      <c r="H74" s="36"/>
      <c r="I74" s="36"/>
      <c r="J74" s="36"/>
      <c r="K74" s="234"/>
      <c r="L74" s="36"/>
      <c r="M74" s="234"/>
      <c r="N74" s="36"/>
      <c r="O74" s="36"/>
      <c r="P74" s="36"/>
      <c r="Q74" s="1407">
        <f>K72+Q72</f>
        <v>1260640.191320153</v>
      </c>
      <c r="R74" s="36"/>
    </row>
  </sheetData>
  <conditionalFormatting sqref="C4">
    <cfRule type="cellIs" dxfId="8" priority="39" operator="equal">
      <formula>$C$26</formula>
    </cfRule>
    <cfRule type="cellIs" dxfId="7" priority="42" operator="equal">
      <formula>$C$26</formula>
    </cfRule>
  </conditionalFormatting>
  <pageMargins left="0.7" right="0.7" top="0.75" bottom="0.75" header="0.3" footer="0.3"/>
  <pageSetup orientation="portrait" horizontalDpi="90" verticalDpi="90" r:id="rId1"/>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21B2D-AC2F-45D4-B907-E97F9D7DA941}">
  <sheetPr>
    <tabColor theme="8" tint="0.39997558519241921"/>
  </sheetPr>
  <dimension ref="A3:Y171"/>
  <sheetViews>
    <sheetView workbookViewId="0">
      <selection activeCell="F4" sqref="F4"/>
    </sheetView>
  </sheetViews>
  <sheetFormatPr defaultRowHeight="12.5" x14ac:dyDescent="0.25"/>
  <cols>
    <col min="2" max="2" width="25.54296875" bestFit="1" customWidth="1"/>
    <col min="4" max="4" width="18.7265625" customWidth="1"/>
    <col min="5" max="5" width="8.7265625" style="2"/>
    <col min="6" max="6" width="10.54296875" style="2" customWidth="1"/>
    <col min="7" max="7" width="10.54296875" style="2" bestFit="1" customWidth="1"/>
    <col min="8" max="8" width="11.453125" style="2" bestFit="1" customWidth="1"/>
    <col min="9" max="12" width="9.54296875" style="2" bestFit="1" customWidth="1"/>
    <col min="13" max="13" width="9.7265625" style="2" bestFit="1" customWidth="1"/>
    <col min="14" max="18" width="8.7265625" style="2"/>
  </cols>
  <sheetData>
    <row r="3" spans="1:25" x14ac:dyDescent="0.25">
      <c r="B3" t="s">
        <v>205</v>
      </c>
      <c r="E3" s="2" t="s">
        <v>128</v>
      </c>
      <c r="F3" s="2" t="s">
        <v>735</v>
      </c>
      <c r="G3" s="2" t="s">
        <v>736</v>
      </c>
      <c r="H3" s="316" t="s">
        <v>1008</v>
      </c>
      <c r="I3" s="2" t="s">
        <v>738</v>
      </c>
      <c r="J3" s="2" t="s">
        <v>739</v>
      </c>
      <c r="K3" s="2" t="s">
        <v>741</v>
      </c>
      <c r="L3" s="316" t="s">
        <v>743</v>
      </c>
      <c r="R3"/>
      <c r="T3" s="1056"/>
      <c r="U3" s="1056"/>
    </row>
    <row r="4" spans="1:25" ht="13" x14ac:dyDescent="0.3">
      <c r="A4" s="244">
        <v>9257010</v>
      </c>
      <c r="B4" t="str">
        <f>CONCATENATE(A4,C4)</f>
        <v>92570102022/23</v>
      </c>
      <c r="C4" s="1311" t="s">
        <v>959</v>
      </c>
      <c r="D4" s="289" t="s">
        <v>1009</v>
      </c>
      <c r="E4" s="122">
        <f>SUM(F4:K4)</f>
        <v>21.980621693121694</v>
      </c>
      <c r="F4" s="1309">
        <f>'2223 MFG Protection'!F12</f>
        <v>1.3597883597883598</v>
      </c>
      <c r="G4" s="1309">
        <f>'2223 MFG Protection'!G12</f>
        <v>20.620833333333334</v>
      </c>
      <c r="H4" s="1309">
        <f>'2223 MFG Protection'!H12</f>
        <v>0</v>
      </c>
      <c r="I4" s="1309">
        <f>'2223 MFG Protection'!I12</f>
        <v>0</v>
      </c>
      <c r="J4" s="1309">
        <f>'2223 MFG Protection'!J12</f>
        <v>0</v>
      </c>
      <c r="K4" s="1309">
        <f>'2223 MFG Protection'!K12</f>
        <v>0</v>
      </c>
      <c r="L4" s="122"/>
      <c r="N4" s="16"/>
      <c r="O4" s="394">
        <f>'2223 MFG Protection'!L11</f>
        <v>2325.8415308553208</v>
      </c>
      <c r="P4" s="411" t="s">
        <v>1010</v>
      </c>
      <c r="R4" s="805"/>
      <c r="T4" s="1057" t="s">
        <v>1011</v>
      </c>
      <c r="U4" s="1056"/>
      <c r="V4" s="182"/>
      <c r="W4" s="182"/>
      <c r="X4" s="182"/>
      <c r="Y4" s="182"/>
    </row>
    <row r="5" spans="1:25" ht="12.75" customHeight="1" x14ac:dyDescent="0.25">
      <c r="A5" s="244">
        <v>9257010</v>
      </c>
      <c r="B5" t="str">
        <f>CONCATENATE(A5,C5)</f>
        <v>92570102023/24</v>
      </c>
      <c r="C5" s="289" t="s">
        <v>975</v>
      </c>
      <c r="E5" s="122">
        <f>VLOOKUP(A5,'2324 Funding Detail'!$A$4:$M$20,13,(FALSE))</f>
        <v>139.33333333333334</v>
      </c>
      <c r="F5" s="1053">
        <f>$E$5*'2324 Band Calculations'!D6</f>
        <v>15.481481481481481</v>
      </c>
      <c r="G5" s="1053">
        <f>$E$5*'2324 Band Calculations'!E6</f>
        <v>67.455026455026456</v>
      </c>
      <c r="H5" s="1053">
        <f>$E$5*'2324 Band Calculations'!F6</f>
        <v>8.8465608465608465</v>
      </c>
      <c r="I5" s="1053">
        <f>$E$5*'2324 Band Calculations'!G6</f>
        <v>14.375661375661377</v>
      </c>
      <c r="J5" s="1053">
        <f>$E$5*'2324 Band Calculations'!H6</f>
        <v>8.8465608465608465</v>
      </c>
      <c r="K5" s="1053">
        <f>$E$5*'2324 Band Calculations'!I6</f>
        <v>11.058201058201059</v>
      </c>
      <c r="L5" s="460">
        <f>$E$5*'2324 Band Calculations'!J6</f>
        <v>13.269841269841271</v>
      </c>
      <c r="N5" s="16"/>
      <c r="O5" s="16"/>
      <c r="P5" s="16"/>
      <c r="R5" s="805"/>
      <c r="T5" s="1058"/>
      <c r="U5" s="1058"/>
      <c r="V5" s="1055"/>
      <c r="W5" s="1055"/>
      <c r="X5" s="1055"/>
      <c r="Y5" s="1055"/>
    </row>
    <row r="6" spans="1:25" x14ac:dyDescent="0.25">
      <c r="A6" s="244">
        <v>9257010</v>
      </c>
      <c r="B6" t="str">
        <f t="shared" ref="B6:B11" si="0">CONCATENATE(A6,C6)</f>
        <v>9257010</v>
      </c>
      <c r="F6" s="461">
        <f>F5-F4</f>
        <v>14.121693121693122</v>
      </c>
      <c r="G6" s="461">
        <f t="shared" ref="G6:K6" si="1">G5-G4</f>
        <v>46.834193121693119</v>
      </c>
      <c r="H6" s="461">
        <f t="shared" si="1"/>
        <v>8.8465608465608465</v>
      </c>
      <c r="I6" s="461">
        <f t="shared" si="1"/>
        <v>14.375661375661377</v>
      </c>
      <c r="J6" s="461">
        <f t="shared" si="1"/>
        <v>8.8465608465608465</v>
      </c>
      <c r="K6" s="461">
        <f t="shared" si="1"/>
        <v>11.058201058201059</v>
      </c>
      <c r="N6" s="16"/>
      <c r="O6" s="16"/>
      <c r="P6" s="16"/>
      <c r="R6" s="805"/>
      <c r="T6" s="1058"/>
      <c r="U6" s="1058"/>
      <c r="V6" s="1055"/>
      <c r="W6" s="1055"/>
      <c r="X6" s="1055"/>
      <c r="Y6" s="1055"/>
    </row>
    <row r="7" spans="1:25" x14ac:dyDescent="0.25">
      <c r="A7" s="244">
        <v>9257010</v>
      </c>
      <c r="B7" t="str">
        <f t="shared" si="0"/>
        <v>9257010a</v>
      </c>
      <c r="C7" s="289" t="s">
        <v>1012</v>
      </c>
      <c r="D7" s="289" t="s">
        <v>1009</v>
      </c>
      <c r="F7" s="1053">
        <f>IF(F4&gt;F5,(F5),(F4))</f>
        <v>1.3597883597883598</v>
      </c>
      <c r="G7" s="1053">
        <f t="shared" ref="G7:K7" si="2">IF(G4&gt;G5,(G5),(G4))</f>
        <v>20.620833333333334</v>
      </c>
      <c r="H7" s="1053">
        <f t="shared" si="2"/>
        <v>0</v>
      </c>
      <c r="I7" s="1053">
        <f t="shared" si="2"/>
        <v>0</v>
      </c>
      <c r="J7" s="1053">
        <f t="shared" si="2"/>
        <v>0</v>
      </c>
      <c r="K7" s="1053">
        <f t="shared" si="2"/>
        <v>0</v>
      </c>
      <c r="L7" s="122"/>
      <c r="M7" s="16"/>
      <c r="N7" s="16"/>
      <c r="O7" s="16"/>
      <c r="P7" s="16"/>
      <c r="R7" s="805"/>
      <c r="T7" s="1058"/>
      <c r="U7" s="1058"/>
      <c r="V7" s="1055"/>
      <c r="W7" s="1055"/>
      <c r="X7" s="1055"/>
      <c r="Y7" s="1055"/>
    </row>
    <row r="8" spans="1:25" x14ac:dyDescent="0.25">
      <c r="A8" s="244">
        <v>9257010</v>
      </c>
      <c r="B8" s="289" t="s">
        <v>1013</v>
      </c>
      <c r="C8" s="289" t="s">
        <v>959</v>
      </c>
      <c r="D8" s="289" t="s">
        <v>1014</v>
      </c>
      <c r="F8" s="1310">
        <f>'2223 MFG Protection'!F10</f>
        <v>144.97644559903938</v>
      </c>
      <c r="G8" s="1310">
        <f>'2223 MFG Protection'!G10</f>
        <v>103.23075761662994</v>
      </c>
      <c r="H8" s="1310">
        <f>'2223 MFG Protection'!H10</f>
        <v>0</v>
      </c>
      <c r="I8" s="1310">
        <f>'2223 MFG Protection'!I10</f>
        <v>0</v>
      </c>
      <c r="J8" s="1310">
        <f>'2223 MFG Protection'!J10</f>
        <v>0</v>
      </c>
      <c r="K8" s="1310">
        <f>'2223 MFG Protection'!K10</f>
        <v>0</v>
      </c>
      <c r="L8" s="122"/>
      <c r="M8" s="411" t="s">
        <v>1015</v>
      </c>
      <c r="N8" s="16"/>
      <c r="O8" s="16"/>
      <c r="P8" s="16"/>
      <c r="R8" s="805"/>
      <c r="T8" s="1051"/>
      <c r="U8" s="1051"/>
      <c r="V8" s="1051"/>
      <c r="W8" s="1051"/>
      <c r="X8" s="1051"/>
      <c r="Y8" s="1051"/>
    </row>
    <row r="9" spans="1:25" x14ac:dyDescent="0.25">
      <c r="A9" s="244">
        <v>9257010</v>
      </c>
      <c r="B9" t="str">
        <f>CONCATENATE(A9,C9)</f>
        <v>9257010b</v>
      </c>
      <c r="C9" s="289" t="s">
        <v>1016</v>
      </c>
      <c r="D9" s="289" t="s">
        <v>1017</v>
      </c>
      <c r="F9" s="1310">
        <v>0</v>
      </c>
      <c r="G9" s="1310">
        <v>0</v>
      </c>
      <c r="H9" s="1310">
        <v>0</v>
      </c>
      <c r="I9" s="1310">
        <v>0</v>
      </c>
      <c r="J9" s="1310">
        <v>0</v>
      </c>
      <c r="K9" s="1310">
        <v>0</v>
      </c>
      <c r="L9" s="122"/>
      <c r="M9" s="411" t="s">
        <v>1018</v>
      </c>
      <c r="R9" s="805"/>
    </row>
    <row r="10" spans="1:25" x14ac:dyDescent="0.25">
      <c r="A10" s="244">
        <v>9257010</v>
      </c>
      <c r="B10" s="289" t="s">
        <v>1019</v>
      </c>
      <c r="C10" s="289" t="s">
        <v>975</v>
      </c>
      <c r="D10" s="289" t="s">
        <v>1014</v>
      </c>
      <c r="F10" s="1054">
        <f>IF(F8-F9&gt;0,(F8-F9),(0))</f>
        <v>144.97644559903938</v>
      </c>
      <c r="G10" s="1054">
        <f t="shared" ref="G10:K10" si="3">IF(G8-G9&gt;0,(G8-G9),(0))</f>
        <v>103.23075761662994</v>
      </c>
      <c r="H10" s="1054">
        <f t="shared" si="3"/>
        <v>0</v>
      </c>
      <c r="I10" s="1054">
        <f t="shared" si="3"/>
        <v>0</v>
      </c>
      <c r="J10" s="1054">
        <f t="shared" si="3"/>
        <v>0</v>
      </c>
      <c r="K10" s="1054">
        <f t="shared" si="3"/>
        <v>0</v>
      </c>
      <c r="L10" s="122"/>
      <c r="M10" s="411"/>
      <c r="R10" s="805"/>
    </row>
    <row r="11" spans="1:25" x14ac:dyDescent="0.25">
      <c r="A11" s="244">
        <v>9257010</v>
      </c>
      <c r="B11" t="str">
        <f t="shared" si="0"/>
        <v>9257010c</v>
      </c>
      <c r="C11" s="289" t="s">
        <v>1020</v>
      </c>
      <c r="D11" s="289" t="s">
        <v>697</v>
      </c>
      <c r="F11" s="16">
        <f>IF(F10&lt;0,0,(F10*F7))</f>
        <v>197.13728316906412</v>
      </c>
      <c r="G11" s="16">
        <f t="shared" ref="G11:K11" si="4">IF(G10&lt;0,0,(G10*G7))</f>
        <v>2128.7042476862566</v>
      </c>
      <c r="H11" s="16">
        <f t="shared" si="4"/>
        <v>0</v>
      </c>
      <c r="I11" s="16">
        <f t="shared" si="4"/>
        <v>0</v>
      </c>
      <c r="J11" s="16">
        <f t="shared" si="4"/>
        <v>0</v>
      </c>
      <c r="K11" s="16">
        <f t="shared" si="4"/>
        <v>0</v>
      </c>
      <c r="L11" s="395">
        <f>SUM(F11:K11)</f>
        <v>2325.8415308553208</v>
      </c>
      <c r="M11" s="394">
        <f>L11-O4</f>
        <v>0</v>
      </c>
      <c r="R11" s="805"/>
    </row>
    <row r="12" spans="1:25" x14ac:dyDescent="0.25">
      <c r="A12" s="1260"/>
      <c r="B12" s="1261" t="s">
        <v>208</v>
      </c>
      <c r="C12" s="466"/>
      <c r="D12" s="466"/>
      <c r="E12" s="467"/>
      <c r="F12" s="468"/>
      <c r="G12" s="468"/>
      <c r="H12" s="468"/>
      <c r="I12" s="468"/>
      <c r="J12" s="468"/>
      <c r="K12" s="468"/>
      <c r="L12" s="468"/>
      <c r="M12" s="467"/>
      <c r="N12" s="467"/>
      <c r="O12" s="467"/>
      <c r="P12" s="467"/>
      <c r="Q12" s="467"/>
      <c r="R12"/>
    </row>
    <row r="13" spans="1:25" x14ac:dyDescent="0.25">
      <c r="A13" s="244">
        <v>9257005</v>
      </c>
      <c r="B13" t="str">
        <f>CONCATENATE(A13,C13)</f>
        <v>92570052022/23</v>
      </c>
      <c r="C13" s="1311" t="s">
        <v>959</v>
      </c>
      <c r="D13" s="289" t="s">
        <v>1009</v>
      </c>
      <c r="E13" s="122">
        <f>SUM(F13:K13)</f>
        <v>0</v>
      </c>
      <c r="F13" s="1309">
        <f>'2223 MFG Protection'!F22</f>
        <v>0</v>
      </c>
      <c r="G13" s="1309">
        <f>'2223 MFG Protection'!G22</f>
        <v>0</v>
      </c>
      <c r="H13" s="1309">
        <f>'2223 MFG Protection'!H22</f>
        <v>0</v>
      </c>
      <c r="I13" s="1309">
        <f>'2223 MFG Protection'!I22</f>
        <v>0</v>
      </c>
      <c r="J13" s="1309">
        <f>'2223 MFG Protection'!J22</f>
        <v>0</v>
      </c>
      <c r="K13" s="1309">
        <f>'2223 MFG Protection'!K22</f>
        <v>0</v>
      </c>
      <c r="L13" s="122"/>
      <c r="N13" s="16"/>
      <c r="O13" s="394">
        <f>'2223 MFG Protection'!L21</f>
        <v>0</v>
      </c>
      <c r="P13" s="16"/>
      <c r="R13" s="805"/>
    </row>
    <row r="14" spans="1:25" x14ac:dyDescent="0.25">
      <c r="A14" s="244">
        <v>9257005</v>
      </c>
      <c r="B14" t="str">
        <f>CONCATENATE(A14,C14)</f>
        <v>92570052023/24</v>
      </c>
      <c r="C14" s="289" t="s">
        <v>975</v>
      </c>
      <c r="D14" t="str">
        <f>CONCATENATE(A14,C14)</f>
        <v>92570052023/24</v>
      </c>
      <c r="E14" s="122">
        <f>VLOOKUP(A14,'2324 Funding Detail'!$A$4:$M$20,13,(FALSE))</f>
        <v>79.75</v>
      </c>
      <c r="F14" s="1053">
        <f>$E$14*'2324 Band Calculations'!D6</f>
        <v>8.8611111111111107</v>
      </c>
      <c r="G14" s="1053">
        <f>$E$14*'2324 Band Calculations'!E6</f>
        <v>38.609126984126988</v>
      </c>
      <c r="H14" s="1053">
        <f>$E$14*'2324 Band Calculations'!F6</f>
        <v>5.0634920634920633</v>
      </c>
      <c r="I14" s="1053">
        <f>$E$14*'2324 Band Calculations'!G6</f>
        <v>8.2281746031746028</v>
      </c>
      <c r="J14" s="1053">
        <f>$E$14*'2324 Band Calculations'!H6</f>
        <v>5.0634920634920633</v>
      </c>
      <c r="K14" s="1053">
        <f>$E$14*'2324 Band Calculations'!I6</f>
        <v>6.3293650793650791</v>
      </c>
      <c r="L14" s="460">
        <f>$E$14*'2324 Band Calculations'!J6</f>
        <v>7.5952380952380949</v>
      </c>
      <c r="N14" s="16"/>
      <c r="O14" s="16"/>
      <c r="P14" s="16"/>
      <c r="R14" s="805"/>
    </row>
    <row r="15" spans="1:25" x14ac:dyDescent="0.25">
      <c r="A15" s="244">
        <v>9257005</v>
      </c>
      <c r="B15" t="str">
        <f t="shared" ref="B15:B18" si="5">CONCATENATE(A15,C15)</f>
        <v>9257005</v>
      </c>
      <c r="E15" s="122"/>
      <c r="F15" s="461">
        <f t="shared" ref="F15:K15" si="6">F14-F13</f>
        <v>8.8611111111111107</v>
      </c>
      <c r="G15" s="461">
        <f t="shared" si="6"/>
        <v>38.609126984126988</v>
      </c>
      <c r="H15" s="461">
        <f t="shared" si="6"/>
        <v>5.0634920634920633</v>
      </c>
      <c r="I15" s="461">
        <f t="shared" si="6"/>
        <v>8.2281746031746028</v>
      </c>
      <c r="J15" s="461">
        <f t="shared" si="6"/>
        <v>5.0634920634920633</v>
      </c>
      <c r="K15" s="461">
        <f t="shared" si="6"/>
        <v>6.3293650793650791</v>
      </c>
      <c r="L15" s="460"/>
      <c r="N15" s="16"/>
      <c r="O15" s="16"/>
      <c r="P15" s="16"/>
      <c r="R15" s="805"/>
    </row>
    <row r="16" spans="1:25" x14ac:dyDescent="0.25">
      <c r="A16" s="244">
        <v>9257005</v>
      </c>
      <c r="B16" t="str">
        <f t="shared" si="5"/>
        <v>9257005a</v>
      </c>
      <c r="C16" s="289" t="s">
        <v>1012</v>
      </c>
      <c r="D16" s="289" t="s">
        <v>1009</v>
      </c>
      <c r="F16" s="1053">
        <f t="shared" ref="F16:K16" si="7">IF(F13&gt;F14,(F14),(F13))</f>
        <v>0</v>
      </c>
      <c r="G16" s="1053">
        <f t="shared" si="7"/>
        <v>0</v>
      </c>
      <c r="H16" s="1053">
        <f t="shared" si="7"/>
        <v>0</v>
      </c>
      <c r="I16" s="1053">
        <f t="shared" si="7"/>
        <v>0</v>
      </c>
      <c r="J16" s="1053">
        <f t="shared" si="7"/>
        <v>0</v>
      </c>
      <c r="K16" s="1053">
        <f t="shared" si="7"/>
        <v>0</v>
      </c>
      <c r="L16" s="122"/>
      <c r="M16" s="16"/>
      <c r="N16" s="16"/>
      <c r="O16" s="16"/>
      <c r="P16" s="16"/>
      <c r="R16" s="805"/>
    </row>
    <row r="17" spans="1:18" x14ac:dyDescent="0.25">
      <c r="A17" s="244"/>
      <c r="B17" s="289" t="s">
        <v>1021</v>
      </c>
      <c r="C17" s="289" t="s">
        <v>959</v>
      </c>
      <c r="D17" s="289" t="s">
        <v>1014</v>
      </c>
      <c r="F17" s="1310">
        <f>'2223 MFG Protection'!F20</f>
        <v>0</v>
      </c>
      <c r="G17" s="1310">
        <f>'2223 MFG Protection'!G20</f>
        <v>0</v>
      </c>
      <c r="H17" s="1310">
        <f>'2223 MFG Protection'!H20</f>
        <v>0</v>
      </c>
      <c r="I17" s="1310">
        <f>'2223 MFG Protection'!I20</f>
        <v>0</v>
      </c>
      <c r="J17" s="1310">
        <f>'2223 MFG Protection'!J20</f>
        <v>0</v>
      </c>
      <c r="K17" s="1310">
        <f>'2223 MFG Protection'!K20</f>
        <v>0</v>
      </c>
      <c r="L17" s="122"/>
      <c r="M17" s="16"/>
      <c r="N17" s="16"/>
      <c r="O17" s="16"/>
      <c r="P17" s="16"/>
      <c r="R17" s="805"/>
    </row>
    <row r="18" spans="1:18" x14ac:dyDescent="0.25">
      <c r="A18" s="244">
        <v>9257005</v>
      </c>
      <c r="B18" t="str">
        <f t="shared" si="5"/>
        <v>9257005b</v>
      </c>
      <c r="C18" s="289" t="s">
        <v>1016</v>
      </c>
      <c r="D18" s="289" t="s">
        <v>1017</v>
      </c>
      <c r="F18" s="1310">
        <v>0</v>
      </c>
      <c r="G18" s="1310">
        <v>0</v>
      </c>
      <c r="H18" s="1310">
        <v>0</v>
      </c>
      <c r="I18" s="1310">
        <v>0</v>
      </c>
      <c r="J18" s="1310">
        <v>0</v>
      </c>
      <c r="K18" s="1310">
        <v>0</v>
      </c>
      <c r="L18" s="122"/>
      <c r="M18" s="16"/>
      <c r="N18" s="16"/>
      <c r="O18" s="16"/>
      <c r="R18" s="805"/>
    </row>
    <row r="19" spans="1:18" x14ac:dyDescent="0.25">
      <c r="A19" s="244"/>
      <c r="B19" s="289" t="s">
        <v>1022</v>
      </c>
      <c r="C19" s="289" t="s">
        <v>975</v>
      </c>
      <c r="D19" s="289" t="s">
        <v>1014</v>
      </c>
      <c r="F19" s="1054">
        <f>IF(F17-F18&gt;0,(F17-F18),(0))</f>
        <v>0</v>
      </c>
      <c r="G19" s="1054">
        <f t="shared" ref="G19:K19" si="8">IF(G17-G18&gt;0,(G17-G18),(0))</f>
        <v>0</v>
      </c>
      <c r="H19" s="1054">
        <f t="shared" si="8"/>
        <v>0</v>
      </c>
      <c r="I19" s="1054">
        <f t="shared" si="8"/>
        <v>0</v>
      </c>
      <c r="J19" s="1054">
        <f t="shared" si="8"/>
        <v>0</v>
      </c>
      <c r="K19" s="1054">
        <f t="shared" si="8"/>
        <v>0</v>
      </c>
      <c r="L19" s="122"/>
      <c r="M19" s="16"/>
      <c r="N19" s="16"/>
      <c r="O19" s="16"/>
      <c r="R19" s="805"/>
    </row>
    <row r="20" spans="1:18" x14ac:dyDescent="0.25">
      <c r="A20" s="244">
        <v>9257005</v>
      </c>
      <c r="B20" t="str">
        <f>CONCATENATE(A20,C20)</f>
        <v>9257005c</v>
      </c>
      <c r="C20" s="289" t="s">
        <v>1020</v>
      </c>
      <c r="D20" s="289" t="s">
        <v>697</v>
      </c>
      <c r="F20" s="16">
        <f>IF(F19&lt;0,0,(F19*F16))</f>
        <v>0</v>
      </c>
      <c r="G20" s="16">
        <f t="shared" ref="G20:K20" si="9">IF(G19&lt;0,0,(G19*G16))</f>
        <v>0</v>
      </c>
      <c r="H20" s="16">
        <f t="shared" si="9"/>
        <v>0</v>
      </c>
      <c r="I20" s="16">
        <f t="shared" si="9"/>
        <v>0</v>
      </c>
      <c r="J20" s="16">
        <f t="shared" si="9"/>
        <v>0</v>
      </c>
      <c r="K20" s="16">
        <f t="shared" si="9"/>
        <v>0</v>
      </c>
      <c r="L20" s="395">
        <f>SUM(F20:K20)</f>
        <v>0</v>
      </c>
      <c r="M20" s="394">
        <f>L20-O13</f>
        <v>0</v>
      </c>
      <c r="N20" s="16"/>
      <c r="O20" s="16"/>
      <c r="R20" s="805"/>
    </row>
    <row r="21" spans="1:18" x14ac:dyDescent="0.25">
      <c r="A21" s="1262"/>
      <c r="B21" s="829" t="s">
        <v>209</v>
      </c>
      <c r="C21" s="463"/>
      <c r="D21" s="463"/>
      <c r="E21" s="464"/>
      <c r="F21" s="464"/>
      <c r="G21" s="464"/>
      <c r="H21" s="464"/>
      <c r="I21" s="464"/>
      <c r="J21" s="464"/>
      <c r="K21" s="464"/>
      <c r="L21" s="464"/>
      <c r="M21" s="464"/>
      <c r="N21" s="464"/>
      <c r="O21" s="464"/>
      <c r="P21" s="464"/>
      <c r="Q21" s="464"/>
      <c r="R21"/>
    </row>
    <row r="22" spans="1:18" x14ac:dyDescent="0.25">
      <c r="A22" s="244">
        <v>9257025</v>
      </c>
      <c r="B22" t="str">
        <f>CONCATENATE(A22,C22)</f>
        <v>92570252022/23</v>
      </c>
      <c r="C22" s="1311" t="s">
        <v>959</v>
      </c>
      <c r="D22" s="289" t="s">
        <v>1009</v>
      </c>
      <c r="E22" s="122">
        <f>SUM(F22:K22)</f>
        <v>32.986201391264686</v>
      </c>
      <c r="F22" s="1312">
        <f>'2223 MFG Protection'!F32</f>
        <v>11.754219409282701</v>
      </c>
      <c r="G22" s="1312">
        <f>'2223 MFG Protection'!G32</f>
        <v>21.231981981981988</v>
      </c>
      <c r="H22" s="1312">
        <f>'2223 MFG Protection'!H32</f>
        <v>0</v>
      </c>
      <c r="I22" s="1312">
        <f>'2223 MFG Protection'!I32</f>
        <v>0</v>
      </c>
      <c r="J22" s="1312">
        <f>'2223 MFG Protection'!J32</f>
        <v>0</v>
      </c>
      <c r="K22" s="1312">
        <f>'2223 MFG Protection'!K32</f>
        <v>0</v>
      </c>
      <c r="L22" s="460"/>
      <c r="N22" s="16"/>
      <c r="O22" s="394">
        <f>'2223 MFG Protection'!L31</f>
        <v>8581.1995982040153</v>
      </c>
      <c r="P22" s="16"/>
      <c r="R22" s="805"/>
    </row>
    <row r="23" spans="1:18" x14ac:dyDescent="0.25">
      <c r="A23" s="244">
        <v>9257025</v>
      </c>
      <c r="B23" t="str">
        <f>CONCATENATE(A23,C23)</f>
        <v>92570252023/24</v>
      </c>
      <c r="C23" s="289" t="s">
        <v>975</v>
      </c>
      <c r="D23" t="str">
        <f>CONCATENATE(A23,C23)</f>
        <v>92570252023/24</v>
      </c>
      <c r="E23" s="122">
        <f>VLOOKUP(A23,'2324 Funding Detail'!$A$4:$M$20,13,(FALSE))</f>
        <v>96</v>
      </c>
      <c r="F23" s="1053">
        <f>$E$23*'2324 Band Calculations'!D8</f>
        <v>12.8</v>
      </c>
      <c r="G23" s="1053">
        <f>$E$23*'2324 Band Calculations'!E8</f>
        <v>51.2</v>
      </c>
      <c r="H23" s="1053">
        <f>$E$23*'2324 Band Calculations'!F8</f>
        <v>4.2666666666666666</v>
      </c>
      <c r="I23" s="1053">
        <f>$E$23*'2324 Band Calculations'!G8</f>
        <v>10.666666666666666</v>
      </c>
      <c r="J23" s="1053">
        <f>$E$23*'2324 Band Calculations'!H8</f>
        <v>1.0666666666666667</v>
      </c>
      <c r="K23" s="1053">
        <f>$E$23*'2324 Band Calculations'!I8</f>
        <v>11.733333333333333</v>
      </c>
      <c r="L23" s="460">
        <f>$E$23*'2324 Band Calculations'!J8</f>
        <v>4.2666666666666666</v>
      </c>
      <c r="N23" s="16"/>
      <c r="O23" s="16"/>
      <c r="P23" s="16"/>
      <c r="R23" s="800"/>
    </row>
    <row r="24" spans="1:18" x14ac:dyDescent="0.25">
      <c r="A24" s="244">
        <v>9257025</v>
      </c>
      <c r="B24" t="str">
        <f t="shared" ref="B24:B27" si="10">CONCATENATE(A24,C24)</f>
        <v>9257025</v>
      </c>
      <c r="E24" s="122"/>
      <c r="F24" s="461">
        <f t="shared" ref="F24:K24" si="11">F23-F22</f>
        <v>1.0457805907172997</v>
      </c>
      <c r="G24" s="461">
        <f t="shared" si="11"/>
        <v>29.968018018018014</v>
      </c>
      <c r="H24" s="461">
        <f t="shared" si="11"/>
        <v>4.2666666666666666</v>
      </c>
      <c r="I24" s="461">
        <f t="shared" si="11"/>
        <v>10.666666666666666</v>
      </c>
      <c r="J24" s="461">
        <f t="shared" si="11"/>
        <v>1.0666666666666667</v>
      </c>
      <c r="K24" s="461">
        <f t="shared" si="11"/>
        <v>11.733333333333333</v>
      </c>
      <c r="L24" s="460"/>
      <c r="N24" s="16"/>
      <c r="O24" s="16"/>
      <c r="P24" s="16"/>
      <c r="R24" s="800"/>
    </row>
    <row r="25" spans="1:18" x14ac:dyDescent="0.25">
      <c r="A25" s="244">
        <v>9257025</v>
      </c>
      <c r="B25" t="str">
        <f t="shared" si="10"/>
        <v>9257025a</v>
      </c>
      <c r="C25" s="289" t="s">
        <v>1012</v>
      </c>
      <c r="D25" s="289" t="s">
        <v>1009</v>
      </c>
      <c r="F25" s="1053">
        <f t="shared" ref="F25:K25" si="12">IF(F22&gt;F23,(F23),(F22))</f>
        <v>11.754219409282701</v>
      </c>
      <c r="G25" s="1053">
        <f t="shared" si="12"/>
        <v>21.231981981981988</v>
      </c>
      <c r="H25" s="1053">
        <f t="shared" si="12"/>
        <v>0</v>
      </c>
      <c r="I25" s="1053">
        <f t="shared" si="12"/>
        <v>0</v>
      </c>
      <c r="J25" s="1053">
        <f t="shared" si="12"/>
        <v>0</v>
      </c>
      <c r="K25" s="1053">
        <f t="shared" si="12"/>
        <v>0</v>
      </c>
      <c r="L25" s="122"/>
      <c r="M25" s="16"/>
      <c r="N25" s="16"/>
      <c r="O25" s="16"/>
      <c r="P25" s="16"/>
      <c r="R25" s="800"/>
    </row>
    <row r="26" spans="1:18" x14ac:dyDescent="0.25">
      <c r="A26" s="244"/>
      <c r="B26" s="289" t="s">
        <v>1023</v>
      </c>
      <c r="C26" s="289" t="s">
        <v>959</v>
      </c>
      <c r="D26" s="289" t="s">
        <v>1014</v>
      </c>
      <c r="F26" s="1310">
        <f>'2223 MFG Protection'!F30</f>
        <v>287.01526377569326</v>
      </c>
      <c r="G26" s="1310">
        <f>'2223 MFG Protection'!G30</f>
        <v>245.26957579328382</v>
      </c>
      <c r="H26" s="1310">
        <f>'2223 MFG Protection'!H30</f>
        <v>0</v>
      </c>
      <c r="I26" s="1310">
        <f>'2223 MFG Protection'!I30</f>
        <v>0</v>
      </c>
      <c r="J26" s="1310">
        <f>'2223 MFG Protection'!J30</f>
        <v>0</v>
      </c>
      <c r="K26" s="1310">
        <f>'2223 MFG Protection'!K30</f>
        <v>0</v>
      </c>
      <c r="L26" s="122"/>
      <c r="M26" s="16"/>
      <c r="N26" s="16"/>
      <c r="O26" s="16"/>
      <c r="P26" s="16"/>
      <c r="R26" s="800"/>
    </row>
    <row r="27" spans="1:18" x14ac:dyDescent="0.25">
      <c r="A27" s="244">
        <v>9257025</v>
      </c>
      <c r="B27" t="str">
        <f t="shared" si="10"/>
        <v>9257025b</v>
      </c>
      <c r="C27" s="289" t="s">
        <v>1016</v>
      </c>
      <c r="D27" s="289" t="s">
        <v>1017</v>
      </c>
      <c r="F27" s="1310">
        <v>0</v>
      </c>
      <c r="G27" s="1310">
        <v>0</v>
      </c>
      <c r="H27" s="1310">
        <v>0</v>
      </c>
      <c r="I27" s="1310">
        <v>0</v>
      </c>
      <c r="J27" s="1310">
        <v>0</v>
      </c>
      <c r="K27" s="1310">
        <v>0</v>
      </c>
      <c r="L27" s="122"/>
      <c r="M27" s="16"/>
      <c r="N27" s="16"/>
      <c r="O27" s="16"/>
      <c r="R27" s="800"/>
    </row>
    <row r="28" spans="1:18" x14ac:dyDescent="0.25">
      <c r="A28" s="244"/>
      <c r="B28" s="289" t="s">
        <v>1024</v>
      </c>
      <c r="C28" s="289" t="s">
        <v>975</v>
      </c>
      <c r="D28" s="289" t="s">
        <v>1014</v>
      </c>
      <c r="F28" s="1054">
        <f>IF(F26-F27&gt;0,(F26-F27),(0))</f>
        <v>287.01526377569326</v>
      </c>
      <c r="G28" s="1054">
        <f t="shared" ref="G28:K28" si="13">IF(G26-G27&gt;0,(G26-G27),(0))</f>
        <v>245.26957579328382</v>
      </c>
      <c r="H28" s="1054">
        <f t="shared" si="13"/>
        <v>0</v>
      </c>
      <c r="I28" s="1054">
        <f t="shared" si="13"/>
        <v>0</v>
      </c>
      <c r="J28" s="1054">
        <f t="shared" si="13"/>
        <v>0</v>
      </c>
      <c r="K28" s="1054">
        <f t="shared" si="13"/>
        <v>0</v>
      </c>
      <c r="L28" s="122"/>
      <c r="M28" s="16"/>
      <c r="N28" s="16"/>
      <c r="O28" s="16"/>
      <c r="R28" s="800"/>
    </row>
    <row r="29" spans="1:18" x14ac:dyDescent="0.25">
      <c r="A29" s="244">
        <v>9257025</v>
      </c>
      <c r="B29" t="str">
        <f>CONCATENATE(A29,C29)</f>
        <v>9257025c</v>
      </c>
      <c r="C29" s="289" t="s">
        <v>1020</v>
      </c>
      <c r="D29" s="289" t="s">
        <v>697</v>
      </c>
      <c r="F29" s="16">
        <f>IF(F28&lt;0,0,(F28*F25))</f>
        <v>3373.6403842326476</v>
      </c>
      <c r="G29" s="16">
        <f t="shared" ref="G29:K29" si="14">IF(G28&lt;0,0,(G28*G25))</f>
        <v>5207.5592139713681</v>
      </c>
      <c r="H29" s="16">
        <f t="shared" si="14"/>
        <v>0</v>
      </c>
      <c r="I29" s="16">
        <f t="shared" si="14"/>
        <v>0</v>
      </c>
      <c r="J29" s="16">
        <f t="shared" si="14"/>
        <v>0</v>
      </c>
      <c r="K29" s="16">
        <f t="shared" si="14"/>
        <v>0</v>
      </c>
      <c r="L29" s="395">
        <f>SUM(F29:K29)</f>
        <v>8581.1995982040153</v>
      </c>
      <c r="M29" s="394">
        <f>L29-O22</f>
        <v>0</v>
      </c>
      <c r="N29" s="16"/>
      <c r="O29" s="16"/>
      <c r="R29" s="800"/>
    </row>
    <row r="30" spans="1:18" hidden="1" x14ac:dyDescent="0.25">
      <c r="A30" s="1262"/>
      <c r="B30" s="829" t="s">
        <v>210</v>
      </c>
      <c r="C30" s="463"/>
      <c r="D30" s="463"/>
      <c r="E30" s="464"/>
      <c r="F30" s="464"/>
      <c r="G30" s="464"/>
      <c r="H30" s="464"/>
      <c r="I30" s="464"/>
      <c r="J30" s="464"/>
      <c r="K30" s="464"/>
      <c r="L30" s="464"/>
      <c r="M30" s="464"/>
      <c r="N30" s="464"/>
      <c r="O30" s="464"/>
      <c r="P30" s="464"/>
      <c r="Q30" s="464"/>
    </row>
    <row r="31" spans="1:18" hidden="1" x14ac:dyDescent="0.25">
      <c r="A31" s="244">
        <v>9257011</v>
      </c>
      <c r="B31" t="str">
        <f>CONCATENATE(A31,C31)</f>
        <v>92570112021/22</v>
      </c>
      <c r="C31" s="289" t="s">
        <v>958</v>
      </c>
      <c r="D31" s="289" t="s">
        <v>1009</v>
      </c>
      <c r="E31" s="122">
        <f>SUM('2122 MFG Protection'!E38)</f>
        <v>0</v>
      </c>
      <c r="F31" s="1052">
        <f>SUM('2122 MFG Protection'!F38)</f>
        <v>0</v>
      </c>
      <c r="G31" s="1052">
        <f>SUM('2122 MFG Protection'!G38)</f>
        <v>0</v>
      </c>
      <c r="H31" s="1052">
        <f>SUM('2122 MFG Protection'!H38)</f>
        <v>0</v>
      </c>
      <c r="I31" s="1052">
        <f>SUM('2122 MFG Protection'!I38)</f>
        <v>0</v>
      </c>
      <c r="J31" s="1052">
        <f>SUM('2122 MFG Protection'!J38)</f>
        <v>0</v>
      </c>
      <c r="K31" s="1052">
        <f>SUM('2122 MFG Protection'!K38)</f>
        <v>0</v>
      </c>
      <c r="L31" s="122">
        <f>SUM('2122 MFG Protection'!L38)</f>
        <v>0</v>
      </c>
      <c r="N31" s="16"/>
      <c r="O31" s="394">
        <f>'2122 MFG Protection'!L36</f>
        <v>0</v>
      </c>
      <c r="P31" s="16"/>
      <c r="R31" s="800"/>
    </row>
    <row r="32" spans="1:18" hidden="1" x14ac:dyDescent="0.25">
      <c r="A32" s="244">
        <v>9257011</v>
      </c>
      <c r="B32" t="str">
        <f>CONCATENATE(A32,C32)</f>
        <v>92570112023/24</v>
      </c>
      <c r="C32" s="289" t="s">
        <v>975</v>
      </c>
      <c r="D32" t="str">
        <f>CONCATENATE(A32,C32)</f>
        <v>92570112023/24</v>
      </c>
      <c r="E32" s="122" t="e">
        <f>VLOOKUP(A32,'2223 Funding Detail'!$A$4:$M$20,13,(FALSE))</f>
        <v>#N/A</v>
      </c>
      <c r="F32" s="1053" t="e">
        <f>$E$32*'2223 Band Calculations'!#REF!</f>
        <v>#N/A</v>
      </c>
      <c r="G32" s="1053" t="e">
        <f>$E$32*'2223 Band Calculations'!#REF!</f>
        <v>#N/A</v>
      </c>
      <c r="H32" s="1053" t="e">
        <f>$E$32*'2223 Band Calculations'!#REF!</f>
        <v>#N/A</v>
      </c>
      <c r="I32" s="1053" t="e">
        <f>$E$32*'2223 Band Calculations'!#REF!</f>
        <v>#N/A</v>
      </c>
      <c r="J32" s="1053" t="e">
        <f>$E$32*'2223 Band Calculations'!#REF!</f>
        <v>#N/A</v>
      </c>
      <c r="K32" s="1053" t="e">
        <f>$E$32*'2223 Band Calculations'!#REF!</f>
        <v>#N/A</v>
      </c>
      <c r="L32" s="460" t="e">
        <f>$E$32*'2223 Band Calculations'!#REF!</f>
        <v>#N/A</v>
      </c>
      <c r="N32" s="16"/>
      <c r="O32" s="16"/>
      <c r="P32" s="16"/>
      <c r="R32" s="800"/>
    </row>
    <row r="33" spans="1:18" hidden="1" x14ac:dyDescent="0.25">
      <c r="A33" s="244">
        <v>9257011</v>
      </c>
      <c r="B33" t="str">
        <f t="shared" ref="B33:B36" si="15">CONCATENATE(A33,C33)</f>
        <v>9257011</v>
      </c>
      <c r="F33" s="461" t="e">
        <f t="shared" ref="F33:K33" si="16">F32-F31</f>
        <v>#N/A</v>
      </c>
      <c r="G33" s="461" t="e">
        <f t="shared" si="16"/>
        <v>#N/A</v>
      </c>
      <c r="H33" s="461" t="e">
        <f t="shared" si="16"/>
        <v>#N/A</v>
      </c>
      <c r="I33" s="461" t="e">
        <f t="shared" si="16"/>
        <v>#N/A</v>
      </c>
      <c r="J33" s="461" t="e">
        <f t="shared" si="16"/>
        <v>#N/A</v>
      </c>
      <c r="K33" s="461" t="e">
        <f t="shared" si="16"/>
        <v>#N/A</v>
      </c>
      <c r="L33" s="460"/>
      <c r="N33" s="16"/>
      <c r="O33" s="16"/>
      <c r="P33" s="16"/>
      <c r="R33" s="800"/>
    </row>
    <row r="34" spans="1:18" hidden="1" x14ac:dyDescent="0.25">
      <c r="A34" s="244">
        <v>9257011</v>
      </c>
      <c r="B34" t="str">
        <f t="shared" si="15"/>
        <v>9257011a</v>
      </c>
      <c r="C34" s="289" t="s">
        <v>1012</v>
      </c>
      <c r="D34" s="289" t="s">
        <v>1009</v>
      </c>
      <c r="F34" s="1053" t="e">
        <f t="shared" ref="F34:K34" si="17">IF(F31&gt;F32,(F32),(F31))</f>
        <v>#N/A</v>
      </c>
      <c r="G34" s="1053" t="e">
        <f t="shared" si="17"/>
        <v>#N/A</v>
      </c>
      <c r="H34" s="1053" t="e">
        <f t="shared" si="17"/>
        <v>#N/A</v>
      </c>
      <c r="I34" s="1053" t="e">
        <f t="shared" si="17"/>
        <v>#N/A</v>
      </c>
      <c r="J34" s="1053" t="e">
        <f t="shared" si="17"/>
        <v>#N/A</v>
      </c>
      <c r="K34" s="1053" t="e">
        <f t="shared" si="17"/>
        <v>#N/A</v>
      </c>
      <c r="L34" s="122"/>
      <c r="M34" s="16"/>
      <c r="N34" s="16"/>
      <c r="O34" s="16"/>
      <c r="P34" s="16"/>
      <c r="R34" s="800"/>
    </row>
    <row r="35" spans="1:18" hidden="1" x14ac:dyDescent="0.25">
      <c r="A35" s="244"/>
      <c r="B35" s="289" t="s">
        <v>1025</v>
      </c>
      <c r="C35" s="289" t="s">
        <v>958</v>
      </c>
      <c r="D35" s="289" t="s">
        <v>1014</v>
      </c>
      <c r="F35" s="394">
        <f>SUM('2122 MFG Protection'!F37)</f>
        <v>0</v>
      </c>
      <c r="G35" s="394">
        <f>SUM('2122 MFG Protection'!G37)</f>
        <v>0</v>
      </c>
      <c r="H35" s="394">
        <f>SUM('2122 MFG Protection'!H37)</f>
        <v>0</v>
      </c>
      <c r="I35" s="394">
        <f>SUM('2122 MFG Protection'!I37)</f>
        <v>0</v>
      </c>
      <c r="J35" s="394">
        <f>SUM('2122 MFG Protection'!J37)</f>
        <v>0</v>
      </c>
      <c r="K35" s="394">
        <f>SUM('2122 MFG Protection'!K37)</f>
        <v>0</v>
      </c>
      <c r="L35" s="122"/>
      <c r="M35" s="16"/>
      <c r="N35" s="16"/>
      <c r="O35" s="16"/>
      <c r="P35" s="16"/>
      <c r="R35" s="800"/>
    </row>
    <row r="36" spans="1:18" hidden="1" x14ac:dyDescent="0.25">
      <c r="A36" s="244">
        <v>9257011</v>
      </c>
      <c r="B36" t="str">
        <f t="shared" si="15"/>
        <v>9257011b</v>
      </c>
      <c r="C36" s="289" t="s">
        <v>1016</v>
      </c>
      <c r="D36" s="289" t="s">
        <v>1017</v>
      </c>
      <c r="F36" s="1054">
        <f>'2223 Band Values'!$BN$11</f>
        <v>150.01676778686306</v>
      </c>
      <c r="G36" s="1054">
        <f>'2223 Band Values'!$BN$8</f>
        <v>180.02012134423603</v>
      </c>
      <c r="H36" s="1054">
        <f>'2223 Band Values'!$BN$28</f>
        <v>418.69476201554426</v>
      </c>
      <c r="I36" s="1054">
        <f>'2223 Band Values'!$BN$5</f>
        <v>429.59609436588289</v>
      </c>
      <c r="J36" s="1054">
        <f>'2223 Band Values'!$BN$14</f>
        <v>429.59609436588289</v>
      </c>
      <c r="K36" s="1054">
        <f>'2223 Band Values'!$BN$22</f>
        <v>436.41416403078438</v>
      </c>
      <c r="L36" s="122"/>
      <c r="M36" s="16"/>
      <c r="R36" s="800"/>
    </row>
    <row r="37" spans="1:18" hidden="1" x14ac:dyDescent="0.25">
      <c r="A37" s="244"/>
      <c r="B37" t="s">
        <v>1026</v>
      </c>
      <c r="C37" s="289" t="s">
        <v>975</v>
      </c>
      <c r="D37" s="289" t="s">
        <v>1014</v>
      </c>
      <c r="F37" s="1054">
        <f>IF(F35-F36&gt;0,(F35-F36),(0))</f>
        <v>0</v>
      </c>
      <c r="G37" s="1054">
        <f t="shared" ref="G37:K37" si="18">IF(G35-G36&gt;0,(G35-G36),(0))</f>
        <v>0</v>
      </c>
      <c r="H37" s="1054">
        <f t="shared" si="18"/>
        <v>0</v>
      </c>
      <c r="I37" s="1054">
        <f t="shared" si="18"/>
        <v>0</v>
      </c>
      <c r="J37" s="1054">
        <f t="shared" si="18"/>
        <v>0</v>
      </c>
      <c r="K37" s="1054">
        <f t="shared" si="18"/>
        <v>0</v>
      </c>
      <c r="L37" s="122"/>
      <c r="M37" s="16"/>
      <c r="R37" s="800"/>
    </row>
    <row r="38" spans="1:18" hidden="1" x14ac:dyDescent="0.25">
      <c r="A38" s="244">
        <v>9257011</v>
      </c>
      <c r="B38" t="str">
        <f>CONCATENATE(A38,C38)</f>
        <v>9257011c</v>
      </c>
      <c r="C38" s="289" t="s">
        <v>1020</v>
      </c>
      <c r="D38" s="289" t="s">
        <v>697</v>
      </c>
      <c r="F38" s="16" t="e">
        <f>IF(F37&lt;0,0,(F37*F34))</f>
        <v>#N/A</v>
      </c>
      <c r="G38" s="16" t="e">
        <f t="shared" ref="G38:K38" si="19">IF(G37&lt;0,0,(G37*G34))</f>
        <v>#N/A</v>
      </c>
      <c r="H38" s="16" t="e">
        <f t="shared" si="19"/>
        <v>#N/A</v>
      </c>
      <c r="I38" s="16" t="e">
        <f t="shared" si="19"/>
        <v>#N/A</v>
      </c>
      <c r="J38" s="16" t="e">
        <f t="shared" si="19"/>
        <v>#N/A</v>
      </c>
      <c r="K38" s="16" t="e">
        <f t="shared" si="19"/>
        <v>#N/A</v>
      </c>
      <c r="L38" s="395" t="e">
        <f>SUM(F38:K38)</f>
        <v>#N/A</v>
      </c>
      <c r="M38" s="394" t="e">
        <f>L38-O31</f>
        <v>#N/A</v>
      </c>
      <c r="R38" s="800"/>
    </row>
    <row r="39" spans="1:18" x14ac:dyDescent="0.25">
      <c r="A39" s="463"/>
      <c r="B39" s="463" t="s">
        <v>211</v>
      </c>
      <c r="C39" s="463"/>
      <c r="D39" s="463"/>
      <c r="E39" s="464"/>
      <c r="F39" s="465"/>
      <c r="G39" s="465"/>
      <c r="H39" s="465"/>
      <c r="I39" s="465"/>
      <c r="J39" s="465"/>
      <c r="K39" s="465"/>
      <c r="L39" s="465"/>
      <c r="M39" s="465"/>
      <c r="N39" s="464"/>
      <c r="O39" s="464"/>
      <c r="P39" s="464"/>
      <c r="Q39" s="464"/>
    </row>
    <row r="40" spans="1:18" x14ac:dyDescent="0.25">
      <c r="A40" s="244">
        <v>9257024</v>
      </c>
      <c r="B40" t="str">
        <f>CONCATENATE(A40,C40)</f>
        <v>92570242022/23</v>
      </c>
      <c r="C40" s="1311" t="s">
        <v>959</v>
      </c>
      <c r="D40" s="289" t="s">
        <v>1009</v>
      </c>
      <c r="E40" s="122">
        <f>SUM(F40:K40)</f>
        <v>39.786585365853661</v>
      </c>
      <c r="F40" s="1309">
        <f>'2223 MFG Protection'!F52</f>
        <v>6.166666666666667</v>
      </c>
      <c r="G40" s="1309">
        <f>'2223 MFG Protection'!G52</f>
        <v>33.619918699186996</v>
      </c>
      <c r="H40" s="1309">
        <f>'2223 MFG Protection'!H52</f>
        <v>0</v>
      </c>
      <c r="I40" s="1309">
        <f>'2223 MFG Protection'!I52</f>
        <v>0</v>
      </c>
      <c r="J40" s="1309">
        <f>'2223 MFG Protection'!J52</f>
        <v>0</v>
      </c>
      <c r="K40" s="1309">
        <f>'2223 MFG Protection'!K52</f>
        <v>0</v>
      </c>
      <c r="L40" s="122"/>
      <c r="N40" s="16"/>
      <c r="O40" s="394">
        <f>'2223 MFG Protection'!L51</f>
        <v>8844.6388169908823</v>
      </c>
      <c r="R40" s="800"/>
    </row>
    <row r="41" spans="1:18" x14ac:dyDescent="0.25">
      <c r="A41" s="244">
        <v>9257024</v>
      </c>
      <c r="B41" t="str">
        <f>CONCATENATE(A41,C41)</f>
        <v>92570242023/24</v>
      </c>
      <c r="C41" s="289" t="s">
        <v>975</v>
      </c>
      <c r="D41" t="str">
        <f>CONCATENATE(A41,C41)</f>
        <v>92570242023/24</v>
      </c>
      <c r="E41" s="122">
        <f>VLOOKUP(A41,'2324 Funding Detail'!$A$4:$M$20,13,(FALSE))</f>
        <v>92.916666666666671</v>
      </c>
      <c r="F41" s="1059">
        <f>$E$41*'2324 Band Calculations'!D9</f>
        <v>7.6519607843137258</v>
      </c>
      <c r="G41" s="1059">
        <f>$E$41*'2324 Band Calculations'!E9</f>
        <v>50.284313725490193</v>
      </c>
      <c r="H41" s="1059">
        <f>$E$41*'2324 Band Calculations'!F9</f>
        <v>1.0931372549019609</v>
      </c>
      <c r="I41" s="1059">
        <f>$E$41*'2324 Band Calculations'!G9</f>
        <v>16.397058823529413</v>
      </c>
      <c r="J41" s="1059">
        <f>$E$41*'2324 Band Calculations'!H9</f>
        <v>6.5588235294117654</v>
      </c>
      <c r="K41" s="1059">
        <f>$E$41*'2324 Band Calculations'!I9</f>
        <v>4.3725490196078436</v>
      </c>
      <c r="L41" s="469">
        <f>$E$41*'2324 Band Calculations'!J9</f>
        <v>6.5588235294117654</v>
      </c>
      <c r="N41" s="16"/>
      <c r="R41" s="800"/>
    </row>
    <row r="42" spans="1:18" x14ac:dyDescent="0.25">
      <c r="A42" s="244">
        <v>9257024</v>
      </c>
      <c r="B42" t="str">
        <f t="shared" ref="B42:B45" si="20">CONCATENATE(A42,C42)</f>
        <v>9257024</v>
      </c>
      <c r="F42" s="461">
        <f t="shared" ref="F42:K42" si="21">F41-F40</f>
        <v>1.4852941176470589</v>
      </c>
      <c r="G42" s="461">
        <f t="shared" si="21"/>
        <v>16.664395026303197</v>
      </c>
      <c r="H42" s="461">
        <f t="shared" si="21"/>
        <v>1.0931372549019609</v>
      </c>
      <c r="I42" s="461">
        <f t="shared" si="21"/>
        <v>16.397058823529413</v>
      </c>
      <c r="J42" s="461">
        <f t="shared" si="21"/>
        <v>6.5588235294117654</v>
      </c>
      <c r="K42" s="461">
        <f t="shared" si="21"/>
        <v>4.3725490196078436</v>
      </c>
      <c r="R42" s="800"/>
    </row>
    <row r="43" spans="1:18" x14ac:dyDescent="0.25">
      <c r="A43" s="244">
        <v>9257024</v>
      </c>
      <c r="B43" t="str">
        <f t="shared" si="20"/>
        <v>9257024a</v>
      </c>
      <c r="C43" s="289" t="s">
        <v>1012</v>
      </c>
      <c r="D43" s="289" t="s">
        <v>1009</v>
      </c>
      <c r="F43" s="1053">
        <f t="shared" ref="F43:K43" si="22">IF(F40&gt;F41,(F41),(F40))</f>
        <v>6.166666666666667</v>
      </c>
      <c r="G43" s="1053">
        <f t="shared" si="22"/>
        <v>33.619918699186996</v>
      </c>
      <c r="H43" s="1053">
        <f t="shared" si="22"/>
        <v>0</v>
      </c>
      <c r="I43" s="1053">
        <f t="shared" si="22"/>
        <v>0</v>
      </c>
      <c r="J43" s="1053">
        <f t="shared" si="22"/>
        <v>0</v>
      </c>
      <c r="K43" s="1053">
        <f t="shared" si="22"/>
        <v>0</v>
      </c>
      <c r="L43" s="122"/>
      <c r="M43" s="16"/>
      <c r="O43" s="16"/>
      <c r="P43" s="16"/>
      <c r="R43" s="800"/>
    </row>
    <row r="44" spans="1:18" x14ac:dyDescent="0.25">
      <c r="A44" s="244"/>
      <c r="B44" t="s">
        <v>1027</v>
      </c>
      <c r="C44" s="289" t="s">
        <v>959</v>
      </c>
      <c r="D44" s="289" t="s">
        <v>1014</v>
      </c>
      <c r="F44" s="1310">
        <f>'2223 MFG Protection'!F50</f>
        <v>257.57740602179041</v>
      </c>
      <c r="G44" s="1310">
        <f>'2223 MFG Protection'!G50</f>
        <v>215.83171803938103</v>
      </c>
      <c r="H44" s="1310">
        <f>'2223 MFG Protection'!H50</f>
        <v>0</v>
      </c>
      <c r="I44" s="1310">
        <f>'2223 MFG Protection'!I50</f>
        <v>0</v>
      </c>
      <c r="J44" s="1310">
        <f>'2223 MFG Protection'!J50</f>
        <v>0</v>
      </c>
      <c r="K44" s="1310">
        <f>'2223 MFG Protection'!K50</f>
        <v>0</v>
      </c>
      <c r="L44" s="122"/>
      <c r="M44" s="16"/>
      <c r="O44" s="16"/>
      <c r="P44" s="16"/>
      <c r="R44" s="800"/>
    </row>
    <row r="45" spans="1:18" x14ac:dyDescent="0.25">
      <c r="A45" s="244">
        <v>9257024</v>
      </c>
      <c r="B45" t="str">
        <f t="shared" si="20"/>
        <v>9257024b</v>
      </c>
      <c r="C45" s="289" t="s">
        <v>1016</v>
      </c>
      <c r="D45" s="289" t="s">
        <v>1017</v>
      </c>
      <c r="F45" s="1310">
        <v>0</v>
      </c>
      <c r="G45" s="1310">
        <v>0</v>
      </c>
      <c r="H45" s="1310">
        <v>0</v>
      </c>
      <c r="I45" s="1310">
        <v>0</v>
      </c>
      <c r="J45" s="1310">
        <v>0</v>
      </c>
      <c r="K45" s="1310">
        <v>0</v>
      </c>
      <c r="L45" s="122"/>
      <c r="M45" s="16"/>
      <c r="R45" s="800"/>
    </row>
    <row r="46" spans="1:18" x14ac:dyDescent="0.25">
      <c r="A46" s="244"/>
      <c r="B46" t="s">
        <v>1028</v>
      </c>
      <c r="C46" s="289" t="s">
        <v>975</v>
      </c>
      <c r="D46" s="289" t="s">
        <v>1014</v>
      </c>
      <c r="F46" s="1054">
        <f>IF(F44-F45&gt;0,(F44-F45),(0))</f>
        <v>257.57740602179041</v>
      </c>
      <c r="G46" s="1054">
        <f t="shared" ref="G46:K46" si="23">IF(G44-G45&gt;0,(G44-G45),(0))</f>
        <v>215.83171803938103</v>
      </c>
      <c r="H46" s="1054">
        <f t="shared" si="23"/>
        <v>0</v>
      </c>
      <c r="I46" s="1054">
        <f t="shared" si="23"/>
        <v>0</v>
      </c>
      <c r="J46" s="1054">
        <f t="shared" si="23"/>
        <v>0</v>
      </c>
      <c r="K46" s="1054">
        <f t="shared" si="23"/>
        <v>0</v>
      </c>
      <c r="L46" s="122"/>
      <c r="M46" s="16"/>
      <c r="R46" s="800"/>
    </row>
    <row r="47" spans="1:18" x14ac:dyDescent="0.25">
      <c r="A47" s="244">
        <v>9257024</v>
      </c>
      <c r="B47" t="str">
        <f>CONCATENATE(A47,C47)</f>
        <v>9257024c</v>
      </c>
      <c r="C47" s="289" t="s">
        <v>1020</v>
      </c>
      <c r="D47" s="289" t="s">
        <v>697</v>
      </c>
      <c r="F47" s="16">
        <f>IF(F46&lt;0,0,(F46*F43))</f>
        <v>1588.394003801041</v>
      </c>
      <c r="G47" s="16">
        <f t="shared" ref="G47:K47" si="24">IF(G46&lt;0,0,(G46*G43))</f>
        <v>7256.2448131898418</v>
      </c>
      <c r="H47" s="16">
        <f t="shared" si="24"/>
        <v>0</v>
      </c>
      <c r="I47" s="16">
        <f t="shared" si="24"/>
        <v>0</v>
      </c>
      <c r="J47" s="16">
        <f t="shared" si="24"/>
        <v>0</v>
      </c>
      <c r="K47" s="16">
        <f t="shared" si="24"/>
        <v>0</v>
      </c>
      <c r="L47" s="395">
        <f>SUM(F47:K47)</f>
        <v>8844.6388169908823</v>
      </c>
      <c r="M47" s="394">
        <f>L47-O40</f>
        <v>0</v>
      </c>
      <c r="R47" s="800"/>
    </row>
    <row r="48" spans="1:18" x14ac:dyDescent="0.25">
      <c r="A48" s="463"/>
      <c r="B48" s="463" t="s">
        <v>257</v>
      </c>
      <c r="C48" s="463"/>
      <c r="D48" s="463"/>
      <c r="E48" s="464"/>
      <c r="F48" s="465"/>
      <c r="G48" s="465"/>
      <c r="H48" s="465"/>
      <c r="I48" s="465"/>
      <c r="J48" s="465"/>
      <c r="K48" s="465"/>
      <c r="L48" s="465"/>
      <c r="M48" s="465"/>
      <c r="N48" s="464"/>
      <c r="O48" s="464"/>
      <c r="P48" s="464"/>
      <c r="Q48" s="464"/>
    </row>
    <row r="49" spans="1:18" x14ac:dyDescent="0.25">
      <c r="A49" s="244">
        <v>9257031</v>
      </c>
      <c r="B49" t="str">
        <f>CONCATENATE(A49,C49)</f>
        <v>92570312022/23</v>
      </c>
      <c r="C49" s="1311" t="s">
        <v>959</v>
      </c>
      <c r="D49" s="289" t="s">
        <v>1009</v>
      </c>
      <c r="E49" s="122">
        <f>SUM(F49:K49)</f>
        <v>0</v>
      </c>
      <c r="F49" s="1309">
        <f>'2223 MFG Protection'!F62</f>
        <v>0</v>
      </c>
      <c r="G49" s="1309">
        <f>'2223 MFG Protection'!G62</f>
        <v>0</v>
      </c>
      <c r="H49" s="1309">
        <f>'2223 MFG Protection'!H62</f>
        <v>0</v>
      </c>
      <c r="I49" s="1309">
        <f>'2223 MFG Protection'!I62</f>
        <v>0</v>
      </c>
      <c r="J49" s="1309">
        <f>'2223 MFG Protection'!J62</f>
        <v>0</v>
      </c>
      <c r="K49" s="1309">
        <f>'2223 MFG Protection'!K62</f>
        <v>0</v>
      </c>
      <c r="L49" s="122"/>
      <c r="N49" s="16"/>
      <c r="O49" s="394">
        <f>'2223 MFG Protection'!L61</f>
        <v>0</v>
      </c>
      <c r="R49" s="800"/>
    </row>
    <row r="50" spans="1:18" x14ac:dyDescent="0.25">
      <c r="A50" s="244">
        <v>9257031</v>
      </c>
      <c r="B50" t="str">
        <f>CONCATENATE(A50,C50)</f>
        <v>92570312023/24</v>
      </c>
      <c r="C50" s="289" t="s">
        <v>975</v>
      </c>
      <c r="D50" t="str">
        <f>CONCATENATE(A50,C50)</f>
        <v>92570312023/24</v>
      </c>
      <c r="E50" s="122">
        <f>VLOOKUP(A50,'2324 Funding Detail'!$A$4:$M$20,13,(FALSE))</f>
        <v>80.583333333333343</v>
      </c>
      <c r="F50" s="1053">
        <f>$E$50*'2324 Band Calculations'!D31</f>
        <v>0</v>
      </c>
      <c r="G50" s="1053">
        <f>$E$50*'2324 Band Calculations'!E31</f>
        <v>0</v>
      </c>
      <c r="H50" s="1053">
        <f>$E$50*'2324 Band Calculations'!F31</f>
        <v>80.583333333333343</v>
      </c>
      <c r="I50" s="1053">
        <f>$E$50*'2324 Band Calculations'!G31</f>
        <v>0</v>
      </c>
      <c r="J50" s="1053">
        <f>$E$50*'2324 Band Calculations'!H31</f>
        <v>0</v>
      </c>
      <c r="K50" s="1053">
        <f>$E$50*'2324 Band Calculations'!I31</f>
        <v>0</v>
      </c>
      <c r="L50" s="460">
        <f>$E$50*'2324 Band Calculations'!J31</f>
        <v>0</v>
      </c>
      <c r="N50" s="16"/>
      <c r="R50" s="800"/>
    </row>
    <row r="51" spans="1:18" x14ac:dyDescent="0.25">
      <c r="A51" s="244">
        <v>9257031</v>
      </c>
      <c r="B51" t="str">
        <f t="shared" ref="B51:B54" si="25">CONCATENATE(A51,C51)</f>
        <v>9257031</v>
      </c>
      <c r="F51" s="461">
        <f t="shared" ref="F51:K51" si="26">F50-F49</f>
        <v>0</v>
      </c>
      <c r="G51" s="461">
        <f t="shared" si="26"/>
        <v>0</v>
      </c>
      <c r="H51" s="461">
        <f t="shared" si="26"/>
        <v>80.583333333333343</v>
      </c>
      <c r="I51" s="461">
        <f t="shared" si="26"/>
        <v>0</v>
      </c>
      <c r="J51" s="461">
        <f t="shared" si="26"/>
        <v>0</v>
      </c>
      <c r="K51" s="461">
        <f t="shared" si="26"/>
        <v>0</v>
      </c>
      <c r="R51" s="800"/>
    </row>
    <row r="52" spans="1:18" x14ac:dyDescent="0.25">
      <c r="A52" s="244">
        <v>9257031</v>
      </c>
      <c r="B52" t="str">
        <f t="shared" si="25"/>
        <v>9257031a</v>
      </c>
      <c r="C52" s="289" t="s">
        <v>1012</v>
      </c>
      <c r="D52" s="289" t="s">
        <v>1009</v>
      </c>
      <c r="F52" s="1053">
        <f t="shared" ref="F52:K52" si="27">IF(F49&gt;F50,(F50),(F49))</f>
        <v>0</v>
      </c>
      <c r="G52" s="1053">
        <f t="shared" si="27"/>
        <v>0</v>
      </c>
      <c r="H52" s="1053">
        <f t="shared" si="27"/>
        <v>0</v>
      </c>
      <c r="I52" s="1053">
        <f t="shared" si="27"/>
        <v>0</v>
      </c>
      <c r="J52" s="1053">
        <f t="shared" si="27"/>
        <v>0</v>
      </c>
      <c r="K52" s="1053">
        <f t="shared" si="27"/>
        <v>0</v>
      </c>
      <c r="L52" s="122"/>
      <c r="M52" s="16"/>
      <c r="O52" s="16"/>
      <c r="P52" s="16"/>
      <c r="R52" s="800"/>
    </row>
    <row r="53" spans="1:18" x14ac:dyDescent="0.25">
      <c r="A53" s="244"/>
      <c r="B53" t="s">
        <v>1029</v>
      </c>
      <c r="C53" s="289" t="s">
        <v>959</v>
      </c>
      <c r="D53" s="289" t="s">
        <v>1014</v>
      </c>
      <c r="F53" s="1310">
        <f>'2223 MFG Protection'!F60</f>
        <v>0</v>
      </c>
      <c r="G53" s="1310">
        <f>'2223 MFG Protection'!G60</f>
        <v>0</v>
      </c>
      <c r="H53" s="1310">
        <f>'2223 MFG Protection'!H60</f>
        <v>0</v>
      </c>
      <c r="I53" s="1310">
        <f>'2223 MFG Protection'!I60</f>
        <v>0</v>
      </c>
      <c r="J53" s="1310">
        <f>'2223 MFG Protection'!J60</f>
        <v>0</v>
      </c>
      <c r="K53" s="1310">
        <f>'2223 MFG Protection'!K60</f>
        <v>0</v>
      </c>
      <c r="L53" s="122"/>
      <c r="M53" s="16"/>
      <c r="O53" s="16"/>
      <c r="P53" s="16"/>
      <c r="R53" s="800"/>
    </row>
    <row r="54" spans="1:18" x14ac:dyDescent="0.25">
      <c r="A54" s="244">
        <v>9257031</v>
      </c>
      <c r="B54" t="str">
        <f t="shared" si="25"/>
        <v>9257031b</v>
      </c>
      <c r="C54" s="289" t="s">
        <v>1016</v>
      </c>
      <c r="D54" s="289" t="s">
        <v>1017</v>
      </c>
      <c r="F54" s="1310">
        <v>0</v>
      </c>
      <c r="G54" s="1310">
        <v>0</v>
      </c>
      <c r="H54" s="1310">
        <v>0</v>
      </c>
      <c r="I54" s="1310">
        <v>0</v>
      </c>
      <c r="J54" s="1310">
        <v>0</v>
      </c>
      <c r="K54" s="1310">
        <v>0</v>
      </c>
      <c r="L54" s="122"/>
      <c r="M54" s="16"/>
      <c r="R54" s="800"/>
    </row>
    <row r="55" spans="1:18" x14ac:dyDescent="0.25">
      <c r="A55" s="244"/>
      <c r="B55" t="s">
        <v>1030</v>
      </c>
      <c r="C55" s="289" t="s">
        <v>975</v>
      </c>
      <c r="D55" s="289" t="s">
        <v>1014</v>
      </c>
      <c r="F55" s="1054">
        <f>IF(F53-F54&gt;0,(F53-F54),(0))</f>
        <v>0</v>
      </c>
      <c r="G55" s="1054">
        <f t="shared" ref="G55:K55" si="28">IF(G53-G54&gt;0,(G53-G54),(0))</f>
        <v>0</v>
      </c>
      <c r="H55" s="1054">
        <f t="shared" si="28"/>
        <v>0</v>
      </c>
      <c r="I55" s="1054">
        <f t="shared" si="28"/>
        <v>0</v>
      </c>
      <c r="J55" s="1054">
        <f t="shared" si="28"/>
        <v>0</v>
      </c>
      <c r="K55" s="1054">
        <f t="shared" si="28"/>
        <v>0</v>
      </c>
      <c r="L55" s="122"/>
      <c r="M55" s="16"/>
      <c r="R55" s="800"/>
    </row>
    <row r="56" spans="1:18" x14ac:dyDescent="0.25">
      <c r="A56" s="244">
        <v>9257031</v>
      </c>
      <c r="B56" t="str">
        <f>CONCATENATE(A56,C56)</f>
        <v>9257031c</v>
      </c>
      <c r="C56" s="289" t="s">
        <v>1020</v>
      </c>
      <c r="D56" s="289" t="s">
        <v>697</v>
      </c>
      <c r="F56" s="16">
        <f>IF(F55&lt;0,0,(F55*F52))</f>
        <v>0</v>
      </c>
      <c r="G56" s="16">
        <f t="shared" ref="G56:K56" si="29">IF(G55&lt;0,0,(G55*G52))</f>
        <v>0</v>
      </c>
      <c r="H56" s="16">
        <f t="shared" si="29"/>
        <v>0</v>
      </c>
      <c r="I56" s="16">
        <f t="shared" si="29"/>
        <v>0</v>
      </c>
      <c r="J56" s="16">
        <f t="shared" si="29"/>
        <v>0</v>
      </c>
      <c r="K56" s="16">
        <f t="shared" si="29"/>
        <v>0</v>
      </c>
      <c r="L56" s="395">
        <f>SUM(F56:K56)</f>
        <v>0</v>
      </c>
      <c r="M56" s="394">
        <f>L56-O49</f>
        <v>0</v>
      </c>
      <c r="R56" s="800"/>
    </row>
    <row r="57" spans="1:18" x14ac:dyDescent="0.25">
      <c r="A57" s="463"/>
      <c r="B57" s="463" t="s">
        <v>220</v>
      </c>
      <c r="C57" s="463"/>
      <c r="D57" s="463"/>
      <c r="E57" s="464"/>
      <c r="F57" s="465"/>
      <c r="G57" s="465"/>
      <c r="H57" s="465"/>
      <c r="I57" s="465"/>
      <c r="J57" s="465"/>
      <c r="K57" s="465"/>
      <c r="L57" s="465"/>
      <c r="M57" s="465"/>
      <c r="N57" s="464"/>
      <c r="O57" s="464"/>
      <c r="P57" s="464"/>
      <c r="Q57" s="464"/>
    </row>
    <row r="58" spans="1:18" x14ac:dyDescent="0.25">
      <c r="A58" s="244">
        <v>9257033</v>
      </c>
      <c r="B58" t="str">
        <f>CONCATENATE(A58,C58)</f>
        <v>92570332022/23</v>
      </c>
      <c r="C58" s="1311" t="s">
        <v>959</v>
      </c>
      <c r="D58" s="289" t="s">
        <v>1009</v>
      </c>
      <c r="E58" s="122">
        <f>SUM(F58:K58)</f>
        <v>0</v>
      </c>
      <c r="F58" s="1309">
        <f>'2223 MFG Protection'!F72</f>
        <v>0</v>
      </c>
      <c r="G58" s="1309">
        <f>'2223 MFG Protection'!G72</f>
        <v>0</v>
      </c>
      <c r="H58" s="1309">
        <f>'2223 MFG Protection'!H72</f>
        <v>0</v>
      </c>
      <c r="I58" s="1309">
        <f>'2223 MFG Protection'!I72</f>
        <v>0</v>
      </c>
      <c r="J58" s="1309">
        <f>'2223 MFG Protection'!J72</f>
        <v>0</v>
      </c>
      <c r="K58" s="1309">
        <f>'2223 MFG Protection'!K72</f>
        <v>0</v>
      </c>
      <c r="L58" s="122">
        <f>SUM('2122 MFG Protection'!L65)</f>
        <v>0</v>
      </c>
      <c r="N58" s="16"/>
      <c r="O58" s="394">
        <f>'2223 MFG Protection'!L71</f>
        <v>0</v>
      </c>
      <c r="R58" s="800"/>
    </row>
    <row r="59" spans="1:18" x14ac:dyDescent="0.25">
      <c r="A59" s="244">
        <v>9257033</v>
      </c>
      <c r="B59" t="str">
        <f>CONCATENATE(A59,C59)</f>
        <v>92570332023/24</v>
      </c>
      <c r="C59" s="289" t="s">
        <v>975</v>
      </c>
      <c r="D59" t="str">
        <f>CONCATENATE(A59,C59)</f>
        <v>92570332023/24</v>
      </c>
      <c r="E59" s="122">
        <f>VLOOKUP(A59,'2324 Funding Detail'!$A$4:$M$20,13,(FALSE))</f>
        <v>113.75000000000001</v>
      </c>
      <c r="F59" s="1053">
        <f>$E$59*'2324 Band Calculations'!D11</f>
        <v>15.371621621621625</v>
      </c>
      <c r="G59" s="1053">
        <f>$E$59*'2324 Band Calculations'!E11</f>
        <v>76.858108108108112</v>
      </c>
      <c r="H59" s="1053">
        <f>$E$59*'2324 Band Calculations'!F11</f>
        <v>1.0247747747747749</v>
      </c>
      <c r="I59" s="1053">
        <f>$E$59*'2324 Band Calculations'!G11</f>
        <v>10.247747747747749</v>
      </c>
      <c r="J59" s="1053">
        <f>$E$59*'2324 Band Calculations'!H11</f>
        <v>5.1238738738738743</v>
      </c>
      <c r="K59" s="1053">
        <f>$E$59*'2324 Band Calculations'!I11</f>
        <v>3.074324324324325</v>
      </c>
      <c r="L59" s="460">
        <f>$E$59*'2324 Band Calculations'!J11</f>
        <v>2.0495495495495497</v>
      </c>
      <c r="N59" s="16"/>
      <c r="R59" s="800"/>
    </row>
    <row r="60" spans="1:18" x14ac:dyDescent="0.25">
      <c r="A60" s="244">
        <v>9257033</v>
      </c>
      <c r="B60" t="str">
        <f t="shared" ref="B60:B63" si="30">CONCATENATE(A60,C60)</f>
        <v>9257033</v>
      </c>
      <c r="F60" s="461">
        <f t="shared" ref="F60:K60" si="31">F59-F58</f>
        <v>15.371621621621625</v>
      </c>
      <c r="G60" s="461">
        <f t="shared" si="31"/>
        <v>76.858108108108112</v>
      </c>
      <c r="H60" s="461">
        <f t="shared" si="31"/>
        <v>1.0247747747747749</v>
      </c>
      <c r="I60" s="461">
        <f t="shared" si="31"/>
        <v>10.247747747747749</v>
      </c>
      <c r="J60" s="461">
        <f t="shared" si="31"/>
        <v>5.1238738738738743</v>
      </c>
      <c r="K60" s="461">
        <f t="shared" si="31"/>
        <v>3.074324324324325</v>
      </c>
      <c r="R60" s="800"/>
    </row>
    <row r="61" spans="1:18" x14ac:dyDescent="0.25">
      <c r="A61" s="244">
        <v>9257033</v>
      </c>
      <c r="B61" t="str">
        <f t="shared" si="30"/>
        <v>9257033a</v>
      </c>
      <c r="C61" s="289" t="s">
        <v>1012</v>
      </c>
      <c r="D61" s="289" t="s">
        <v>1009</v>
      </c>
      <c r="F61" s="1053">
        <f t="shared" ref="F61:K61" si="32">IF(F58&gt;F59,(F59),(F58))</f>
        <v>0</v>
      </c>
      <c r="G61" s="1053">
        <f t="shared" si="32"/>
        <v>0</v>
      </c>
      <c r="H61" s="1053">
        <f t="shared" si="32"/>
        <v>0</v>
      </c>
      <c r="I61" s="1053">
        <f t="shared" si="32"/>
        <v>0</v>
      </c>
      <c r="J61" s="1053">
        <f t="shared" si="32"/>
        <v>0</v>
      </c>
      <c r="K61" s="1053">
        <f t="shared" si="32"/>
        <v>0</v>
      </c>
      <c r="L61" s="122"/>
      <c r="M61" s="16"/>
      <c r="O61" s="16"/>
      <c r="P61" s="16"/>
      <c r="R61" s="800"/>
    </row>
    <row r="62" spans="1:18" x14ac:dyDescent="0.25">
      <c r="A62" s="244"/>
      <c r="B62" t="s">
        <v>1031</v>
      </c>
      <c r="C62" s="289" t="s">
        <v>959</v>
      </c>
      <c r="D62" s="289" t="s">
        <v>1014</v>
      </c>
      <c r="F62" s="1303">
        <f>'2223 MFG Protection'!F70</f>
        <v>0</v>
      </c>
      <c r="G62" s="1303">
        <f>'2223 MFG Protection'!G70</f>
        <v>0</v>
      </c>
      <c r="H62" s="1303">
        <f>'2223 MFG Protection'!H70</f>
        <v>0</v>
      </c>
      <c r="I62" s="1303">
        <f>'2223 MFG Protection'!I70</f>
        <v>0</v>
      </c>
      <c r="J62" s="1303">
        <f>'2223 MFG Protection'!J70</f>
        <v>0</v>
      </c>
      <c r="K62" s="1303">
        <f>'2223 MFG Protection'!K70</f>
        <v>0</v>
      </c>
      <c r="L62" s="122"/>
      <c r="M62" s="16"/>
      <c r="O62" s="16"/>
      <c r="P62" s="16"/>
      <c r="R62" s="800"/>
    </row>
    <row r="63" spans="1:18" x14ac:dyDescent="0.25">
      <c r="A63" s="244">
        <v>9257033</v>
      </c>
      <c r="B63" t="str">
        <f t="shared" si="30"/>
        <v>9257033b</v>
      </c>
      <c r="C63" s="289" t="s">
        <v>1016</v>
      </c>
      <c r="D63" s="289" t="s">
        <v>1017</v>
      </c>
      <c r="F63" s="1310">
        <v>0</v>
      </c>
      <c r="G63" s="1310">
        <v>0</v>
      </c>
      <c r="H63" s="1310">
        <v>0</v>
      </c>
      <c r="I63" s="1310">
        <v>0</v>
      </c>
      <c r="J63" s="1310">
        <v>0</v>
      </c>
      <c r="K63" s="1310">
        <v>0</v>
      </c>
      <c r="L63" s="122"/>
      <c r="M63" s="16"/>
      <c r="R63" s="800"/>
    </row>
    <row r="64" spans="1:18" x14ac:dyDescent="0.25">
      <c r="A64" s="244"/>
      <c r="B64" t="s">
        <v>1032</v>
      </c>
      <c r="C64" s="289" t="s">
        <v>975</v>
      </c>
      <c r="D64" s="289" t="s">
        <v>1014</v>
      </c>
      <c r="F64" s="1054">
        <f>IF(F62-F63&gt;0,(F62-F63),(0))</f>
        <v>0</v>
      </c>
      <c r="G64" s="1054">
        <f t="shared" ref="G64:K64" si="33">IF(G62-G63&gt;0,(G62-G63),(0))</f>
        <v>0</v>
      </c>
      <c r="H64" s="1054">
        <f t="shared" si="33"/>
        <v>0</v>
      </c>
      <c r="I64" s="1054">
        <f t="shared" si="33"/>
        <v>0</v>
      </c>
      <c r="J64" s="1054">
        <f t="shared" si="33"/>
        <v>0</v>
      </c>
      <c r="K64" s="1054">
        <f t="shared" si="33"/>
        <v>0</v>
      </c>
      <c r="L64" s="122"/>
      <c r="M64" s="16"/>
      <c r="R64" s="800"/>
    </row>
    <row r="65" spans="1:18" x14ac:dyDescent="0.25">
      <c r="A65" s="244">
        <v>9257033</v>
      </c>
      <c r="B65" t="str">
        <f>CONCATENATE(A65,C65)</f>
        <v>9257033c</v>
      </c>
      <c r="C65" s="289" t="s">
        <v>1020</v>
      </c>
      <c r="D65" s="289" t="s">
        <v>697</v>
      </c>
      <c r="F65" s="16">
        <f>IF(F64&lt;0,0,(F64*F61))</f>
        <v>0</v>
      </c>
      <c r="G65" s="16">
        <f t="shared" ref="G65:K65" si="34">IF(G64&lt;0,0,(G64*G61))</f>
        <v>0</v>
      </c>
      <c r="H65" s="16">
        <f t="shared" si="34"/>
        <v>0</v>
      </c>
      <c r="I65" s="16">
        <f t="shared" si="34"/>
        <v>0</v>
      </c>
      <c r="J65" s="16">
        <f t="shared" si="34"/>
        <v>0</v>
      </c>
      <c r="K65" s="16">
        <f t="shared" si="34"/>
        <v>0</v>
      </c>
      <c r="L65" s="395">
        <f>SUM(F65:K65)</f>
        <v>0</v>
      </c>
      <c r="M65" s="394">
        <f>L65-O58</f>
        <v>0</v>
      </c>
      <c r="R65" s="800"/>
    </row>
    <row r="66" spans="1:18" x14ac:dyDescent="0.25">
      <c r="A66" s="463"/>
      <c r="B66" s="463" t="s">
        <v>212</v>
      </c>
      <c r="C66" s="463"/>
      <c r="D66" s="463"/>
      <c r="E66" s="464"/>
      <c r="F66" s="465"/>
      <c r="G66" s="465"/>
      <c r="H66" s="465"/>
      <c r="I66" s="465"/>
      <c r="J66" s="465"/>
      <c r="K66" s="465"/>
      <c r="L66" s="465"/>
      <c r="M66" s="465"/>
      <c r="N66" s="464"/>
      <c r="O66" s="464"/>
      <c r="P66" s="464"/>
      <c r="Q66" s="464"/>
    </row>
    <row r="67" spans="1:18" x14ac:dyDescent="0.25">
      <c r="A67" s="244">
        <v>9257008</v>
      </c>
      <c r="B67" t="str">
        <f>CONCATENATE(A67,C67)</f>
        <v>92570082022/23</v>
      </c>
      <c r="C67" s="1311" t="s">
        <v>959</v>
      </c>
      <c r="D67" s="289" t="s">
        <v>1009</v>
      </c>
      <c r="E67" s="122">
        <f>SUM(F67:K67)</f>
        <v>0</v>
      </c>
      <c r="F67" s="1309">
        <f>'2223 MFG Protection'!F82</f>
        <v>0</v>
      </c>
      <c r="G67" s="1309">
        <f>'2223 MFG Protection'!G82</f>
        <v>0</v>
      </c>
      <c r="H67" s="1309">
        <f>'2223 MFG Protection'!H82</f>
        <v>0</v>
      </c>
      <c r="I67" s="1309">
        <f>'2223 MFG Protection'!I82</f>
        <v>0</v>
      </c>
      <c r="J67" s="1309">
        <f>'2223 MFG Protection'!J82</f>
        <v>0</v>
      </c>
      <c r="K67" s="1309">
        <f>'2223 MFG Protection'!K82</f>
        <v>0</v>
      </c>
      <c r="L67" s="122"/>
      <c r="N67" s="16"/>
      <c r="O67" s="394">
        <f>'2223 MFG Protection'!L81</f>
        <v>0</v>
      </c>
      <c r="R67" s="800"/>
    </row>
    <row r="68" spans="1:18" x14ac:dyDescent="0.25">
      <c r="A68" s="244">
        <v>9257008</v>
      </c>
      <c r="B68" t="str">
        <f>CONCATENATE(A68,C68)</f>
        <v>92570082023/24</v>
      </c>
      <c r="C68" s="289" t="s">
        <v>975</v>
      </c>
      <c r="D68" t="str">
        <f>CONCATENATE(A68,C68)</f>
        <v>92570082023/24</v>
      </c>
      <c r="E68" s="122">
        <f>VLOOKUP(A68,'2324 Funding Detail'!$A$4:$M$20,13,(FALSE))</f>
        <v>101</v>
      </c>
      <c r="F68" s="1053">
        <f>$E$68*'2324 Band Calculations'!D12</f>
        <v>16</v>
      </c>
      <c r="G68" s="1053">
        <f>$E$68*'2324 Band Calculations'!E12</f>
        <v>63</v>
      </c>
      <c r="H68" s="1053">
        <f>$E$68*'2324 Band Calculations'!F12</f>
        <v>5</v>
      </c>
      <c r="I68" s="1053">
        <f>$E$68*'2324 Band Calculations'!G12</f>
        <v>11</v>
      </c>
      <c r="J68" s="1053">
        <f>$E$68*'2324 Band Calculations'!H12</f>
        <v>0</v>
      </c>
      <c r="K68" s="1053">
        <f>$E$68*'2324 Band Calculations'!I12</f>
        <v>6</v>
      </c>
      <c r="L68" s="460">
        <f>$E$68*'2324 Band Calculations'!J12</f>
        <v>0</v>
      </c>
      <c r="N68" s="16"/>
      <c r="R68" s="800"/>
    </row>
    <row r="69" spans="1:18" x14ac:dyDescent="0.25">
      <c r="A69" s="244">
        <v>9257008</v>
      </c>
      <c r="B69" t="str">
        <f t="shared" ref="B69:B72" si="35">CONCATENATE(A69,C69)</f>
        <v>9257008</v>
      </c>
      <c r="F69" s="461">
        <f t="shared" ref="F69:K69" si="36">F68-F67</f>
        <v>16</v>
      </c>
      <c r="G69" s="461">
        <f t="shared" si="36"/>
        <v>63</v>
      </c>
      <c r="H69" s="461">
        <f t="shared" si="36"/>
        <v>5</v>
      </c>
      <c r="I69" s="461">
        <f t="shared" si="36"/>
        <v>11</v>
      </c>
      <c r="J69" s="461">
        <f t="shared" si="36"/>
        <v>0</v>
      </c>
      <c r="K69" s="461">
        <f t="shared" si="36"/>
        <v>6</v>
      </c>
      <c r="R69" s="800"/>
    </row>
    <row r="70" spans="1:18" x14ac:dyDescent="0.25">
      <c r="A70" s="244">
        <v>9257008</v>
      </c>
      <c r="B70" t="str">
        <f t="shared" si="35"/>
        <v>9257008a</v>
      </c>
      <c r="C70" s="289" t="s">
        <v>1012</v>
      </c>
      <c r="D70" s="289" t="s">
        <v>1009</v>
      </c>
      <c r="F70" s="1053">
        <f t="shared" ref="F70:K70" si="37">IF(F67&gt;F68,(F68),(F67))</f>
        <v>0</v>
      </c>
      <c r="G70" s="1053">
        <f t="shared" si="37"/>
        <v>0</v>
      </c>
      <c r="H70" s="1053">
        <f t="shared" si="37"/>
        <v>0</v>
      </c>
      <c r="I70" s="1053">
        <f t="shared" si="37"/>
        <v>0</v>
      </c>
      <c r="J70" s="1053">
        <f t="shared" si="37"/>
        <v>0</v>
      </c>
      <c r="K70" s="1053">
        <f t="shared" si="37"/>
        <v>0</v>
      </c>
      <c r="L70" s="122"/>
      <c r="M70" s="16"/>
      <c r="O70" s="16"/>
      <c r="P70" s="16"/>
      <c r="R70" s="800"/>
    </row>
    <row r="71" spans="1:18" x14ac:dyDescent="0.25">
      <c r="A71" s="244"/>
      <c r="B71" t="s">
        <v>1033</v>
      </c>
      <c r="C71" s="289" t="s">
        <v>959</v>
      </c>
      <c r="D71" s="289" t="s">
        <v>1014</v>
      </c>
      <c r="F71" s="1303">
        <f>'2223 MFG Protection'!F80</f>
        <v>0</v>
      </c>
      <c r="G71" s="1303">
        <f>'2223 MFG Protection'!G80</f>
        <v>0</v>
      </c>
      <c r="H71" s="1303">
        <f>'2223 MFG Protection'!H80</f>
        <v>0</v>
      </c>
      <c r="I71" s="1303">
        <f>'2223 MFG Protection'!I80</f>
        <v>0</v>
      </c>
      <c r="J71" s="1303">
        <f>'2223 MFG Protection'!J80</f>
        <v>0</v>
      </c>
      <c r="K71" s="1303">
        <f>'2223 MFG Protection'!K80</f>
        <v>0</v>
      </c>
      <c r="L71" s="122"/>
      <c r="M71" s="16"/>
      <c r="O71" s="16"/>
      <c r="P71" s="16"/>
      <c r="R71" s="800"/>
    </row>
    <row r="72" spans="1:18" x14ac:dyDescent="0.25">
      <c r="A72" s="244">
        <v>9257008</v>
      </c>
      <c r="B72" t="str">
        <f t="shared" si="35"/>
        <v>9257008b</v>
      </c>
      <c r="C72" s="289" t="s">
        <v>1016</v>
      </c>
      <c r="D72" s="289" t="s">
        <v>1017</v>
      </c>
      <c r="F72" s="1310">
        <v>0</v>
      </c>
      <c r="G72" s="1310">
        <v>0</v>
      </c>
      <c r="H72" s="1310">
        <v>0</v>
      </c>
      <c r="I72" s="1310">
        <v>0</v>
      </c>
      <c r="J72" s="1310">
        <v>0</v>
      </c>
      <c r="K72" s="1310">
        <v>0</v>
      </c>
      <c r="L72" s="122"/>
      <c r="M72" s="16"/>
      <c r="R72" s="800"/>
    </row>
    <row r="73" spans="1:18" x14ac:dyDescent="0.25">
      <c r="A73" s="244"/>
      <c r="B73" t="s">
        <v>1034</v>
      </c>
      <c r="C73" s="289" t="s">
        <v>975</v>
      </c>
      <c r="D73" s="289" t="s">
        <v>1014</v>
      </c>
      <c r="F73" s="1054">
        <f>IF(F71-F72&gt;0,(F71-F72),(0))</f>
        <v>0</v>
      </c>
      <c r="G73" s="1054">
        <f t="shared" ref="G73:K73" si="38">IF(G71-G72&gt;0,(G71-G72),(0))</f>
        <v>0</v>
      </c>
      <c r="H73" s="1054">
        <f t="shared" si="38"/>
        <v>0</v>
      </c>
      <c r="I73" s="1054">
        <f t="shared" si="38"/>
        <v>0</v>
      </c>
      <c r="J73" s="1054">
        <f t="shared" si="38"/>
        <v>0</v>
      </c>
      <c r="K73" s="1054">
        <f t="shared" si="38"/>
        <v>0</v>
      </c>
      <c r="L73" s="122"/>
      <c r="M73" s="16"/>
      <c r="R73" s="800"/>
    </row>
    <row r="74" spans="1:18" x14ac:dyDescent="0.25">
      <c r="A74" s="244">
        <v>9257008</v>
      </c>
      <c r="B74" t="str">
        <f>CONCATENATE(A74,C74)</f>
        <v>9257008c</v>
      </c>
      <c r="C74" s="289" t="s">
        <v>1020</v>
      </c>
      <c r="D74" s="289" t="s">
        <v>697</v>
      </c>
      <c r="F74" s="16">
        <f>IF(F73&lt;0,0,(F73*F70))</f>
        <v>0</v>
      </c>
      <c r="G74" s="16">
        <f t="shared" ref="G74:K74" si="39">IF(G73&lt;0,0,(G73*G70))</f>
        <v>0</v>
      </c>
      <c r="H74" s="16">
        <f t="shared" si="39"/>
        <v>0</v>
      </c>
      <c r="I74" s="16">
        <f t="shared" si="39"/>
        <v>0</v>
      </c>
      <c r="J74" s="16">
        <f t="shared" si="39"/>
        <v>0</v>
      </c>
      <c r="K74" s="16">
        <f t="shared" si="39"/>
        <v>0</v>
      </c>
      <c r="L74" s="395">
        <f>SUM(F74:K74)</f>
        <v>0</v>
      </c>
      <c r="M74" s="394">
        <f>L74-O67</f>
        <v>0</v>
      </c>
      <c r="R74" s="800"/>
    </row>
    <row r="75" spans="1:18" x14ac:dyDescent="0.25">
      <c r="A75" s="463"/>
      <c r="B75" s="463" t="s">
        <v>221</v>
      </c>
      <c r="C75" s="463"/>
      <c r="D75" s="463"/>
      <c r="E75" s="464"/>
      <c r="F75" s="465"/>
      <c r="G75" s="465"/>
      <c r="H75" s="465"/>
      <c r="I75" s="465"/>
      <c r="J75" s="465"/>
      <c r="K75" s="465"/>
      <c r="L75" s="465"/>
      <c r="M75" s="465"/>
      <c r="N75" s="464"/>
      <c r="O75" s="464"/>
      <c r="P75" s="464"/>
      <c r="Q75" s="464"/>
    </row>
    <row r="76" spans="1:18" x14ac:dyDescent="0.25">
      <c r="A76" s="244">
        <v>9257034</v>
      </c>
      <c r="B76" t="str">
        <f>CONCATENATE(A76,C76)</f>
        <v>92570342022/23</v>
      </c>
      <c r="C76" s="1311" t="s">
        <v>959</v>
      </c>
      <c r="D76" s="289" t="s">
        <v>1009</v>
      </c>
      <c r="E76" s="122">
        <f>SUM(F76:K76)</f>
        <v>91.462770061728406</v>
      </c>
      <c r="F76" s="1312">
        <f>'2223 MFG Protection'!F92</f>
        <v>48.923363095238102</v>
      </c>
      <c r="G76" s="1312">
        <f>'2223 MFG Protection'!G92</f>
        <v>31.227678571428569</v>
      </c>
      <c r="H76" s="1312">
        <f>'2223 MFG Protection'!H92</f>
        <v>11.311728395061728</v>
      </c>
      <c r="I76" s="1312">
        <f>'2223 MFG Protection'!I92</f>
        <v>0</v>
      </c>
      <c r="J76" s="1312">
        <f>'2223 MFG Protection'!J92</f>
        <v>0</v>
      </c>
      <c r="K76" s="1312">
        <f>'2223 MFG Protection'!K92</f>
        <v>0</v>
      </c>
      <c r="L76" s="460"/>
      <c r="N76" s="16"/>
      <c r="O76" s="394">
        <f>'2223 MFG Protection'!L91</f>
        <v>34011.53444176296</v>
      </c>
      <c r="R76" s="800"/>
    </row>
    <row r="77" spans="1:18" x14ac:dyDescent="0.25">
      <c r="A77" s="244">
        <v>9257034</v>
      </c>
      <c r="B77" t="str">
        <f>CONCATENATE(A77,C77)</f>
        <v>92570342023/24</v>
      </c>
      <c r="C77" s="289" t="s">
        <v>975</v>
      </c>
      <c r="D77" t="str">
        <f>CONCATENATE(A77,C77)</f>
        <v>92570342023/24</v>
      </c>
      <c r="E77" s="122">
        <f>VLOOKUP(A77,'2324 Funding Detail'!$A$4:$M$20,13,(FALSE))</f>
        <v>128.33333333333334</v>
      </c>
      <c r="F77" s="1053">
        <f>$E$77*'2324 Band Calculations'!D13</f>
        <v>54.843304843304843</v>
      </c>
      <c r="G77" s="1053">
        <f>$E$77*'2324 Band Calculations'!E13</f>
        <v>44.971509971509974</v>
      </c>
      <c r="H77" s="1053">
        <f>$E$77*'2324 Band Calculations'!F13</f>
        <v>12.065527065527066</v>
      </c>
      <c r="I77" s="1053">
        <f>$E$77*'2324 Band Calculations'!G13</f>
        <v>6.5811965811965818</v>
      </c>
      <c r="J77" s="1053">
        <f>$E$77*'2324 Band Calculations'!H13</f>
        <v>3.2905982905982909</v>
      </c>
      <c r="K77" s="1053">
        <f>$E$77*'2324 Band Calculations'!I13</f>
        <v>5.484330484330485</v>
      </c>
      <c r="L77" s="460">
        <f>$E$77*'2324 Band Calculations'!J13</f>
        <v>1.096866096866097</v>
      </c>
      <c r="N77" s="16"/>
      <c r="R77" s="800"/>
    </row>
    <row r="78" spans="1:18" x14ac:dyDescent="0.25">
      <c r="A78" s="244">
        <v>9257034</v>
      </c>
      <c r="B78" t="str">
        <f t="shared" ref="B78:B81" si="40">CONCATENATE(A78,C78)</f>
        <v>9257034</v>
      </c>
      <c r="F78" s="461">
        <f t="shared" ref="F78:K78" si="41">F77-F76</f>
        <v>5.9199417480667407</v>
      </c>
      <c r="G78" s="461">
        <f t="shared" si="41"/>
        <v>13.743831400081405</v>
      </c>
      <c r="H78" s="461">
        <f t="shared" si="41"/>
        <v>0.75379867046533811</v>
      </c>
      <c r="I78" s="461">
        <f t="shared" si="41"/>
        <v>6.5811965811965818</v>
      </c>
      <c r="J78" s="461">
        <f t="shared" si="41"/>
        <v>3.2905982905982909</v>
      </c>
      <c r="K78" s="461">
        <f t="shared" si="41"/>
        <v>5.484330484330485</v>
      </c>
      <c r="R78" s="800"/>
    </row>
    <row r="79" spans="1:18" x14ac:dyDescent="0.25">
      <c r="A79" s="244">
        <v>9257034</v>
      </c>
      <c r="B79" t="str">
        <f t="shared" si="40"/>
        <v>9257034a</v>
      </c>
      <c r="C79" s="289" t="s">
        <v>1012</v>
      </c>
      <c r="D79" s="289" t="s">
        <v>1009</v>
      </c>
      <c r="F79" s="1053">
        <f t="shared" ref="F79:K79" si="42">IF(F76&gt;F77,(F77),(F76))</f>
        <v>48.923363095238102</v>
      </c>
      <c r="G79" s="1053">
        <f t="shared" si="42"/>
        <v>31.227678571428569</v>
      </c>
      <c r="H79" s="1053">
        <f t="shared" si="42"/>
        <v>11.311728395061728</v>
      </c>
      <c r="I79" s="1053">
        <f t="shared" si="42"/>
        <v>0</v>
      </c>
      <c r="J79" s="1053">
        <f t="shared" si="42"/>
        <v>0</v>
      </c>
      <c r="K79" s="1053">
        <f t="shared" si="42"/>
        <v>0</v>
      </c>
      <c r="L79" s="122"/>
      <c r="M79" s="16"/>
      <c r="O79" s="16"/>
      <c r="P79" s="16"/>
      <c r="R79" s="800"/>
    </row>
    <row r="80" spans="1:18" x14ac:dyDescent="0.25">
      <c r="A80" s="244"/>
      <c r="B80" t="s">
        <v>1035</v>
      </c>
      <c r="C80" s="289" t="s">
        <v>959</v>
      </c>
      <c r="D80" s="289" t="s">
        <v>1014</v>
      </c>
      <c r="F80" s="1303">
        <f>'2223 MFG Protection'!F90</f>
        <v>438.22319297605691</v>
      </c>
      <c r="G80" s="1303">
        <f>'2223 MFG Protection'!G90</f>
        <v>396.47750499364747</v>
      </c>
      <c r="H80" s="1303">
        <f>'2223 MFG Protection'!H90</f>
        <v>16.894851221903082</v>
      </c>
      <c r="I80" s="1303">
        <f>'2223 MFG Protection'!I90</f>
        <v>0</v>
      </c>
      <c r="J80" s="1303">
        <f>'2223 MFG Protection'!J90</f>
        <v>0</v>
      </c>
      <c r="K80" s="1303">
        <f>'2223 MFG Protection'!K90</f>
        <v>0</v>
      </c>
      <c r="L80" s="122"/>
      <c r="M80" s="16"/>
      <c r="O80" s="16"/>
      <c r="P80" s="16"/>
      <c r="R80" s="800"/>
    </row>
    <row r="81" spans="1:18" x14ac:dyDescent="0.25">
      <c r="A81" s="244">
        <v>9257034</v>
      </c>
      <c r="B81" t="str">
        <f t="shared" si="40"/>
        <v>9257034b</v>
      </c>
      <c r="C81" s="289" t="s">
        <v>1016</v>
      </c>
      <c r="D81" s="289" t="s">
        <v>1017</v>
      </c>
      <c r="F81" s="1310">
        <v>0</v>
      </c>
      <c r="G81" s="1310">
        <v>0</v>
      </c>
      <c r="H81" s="1310">
        <v>0</v>
      </c>
      <c r="I81" s="1310">
        <v>0</v>
      </c>
      <c r="J81" s="1310">
        <v>0</v>
      </c>
      <c r="K81" s="1310">
        <v>0</v>
      </c>
      <c r="L81" s="122"/>
      <c r="M81" s="16"/>
      <c r="R81" s="800"/>
    </row>
    <row r="82" spans="1:18" x14ac:dyDescent="0.25">
      <c r="A82" s="244"/>
      <c r="B82" t="s">
        <v>1036</v>
      </c>
      <c r="C82" s="289" t="s">
        <v>975</v>
      </c>
      <c r="D82" s="289" t="s">
        <v>1014</v>
      </c>
      <c r="F82" s="1054">
        <f>IF(F80-F81&gt;0,(F80-F81),(0))</f>
        <v>438.22319297605691</v>
      </c>
      <c r="G82" s="1054">
        <f t="shared" ref="G82:K82" si="43">IF(G80-G81&gt;0,(G80-G81),(0))</f>
        <v>396.47750499364747</v>
      </c>
      <c r="H82" s="1054">
        <f t="shared" si="43"/>
        <v>16.894851221903082</v>
      </c>
      <c r="I82" s="1054">
        <f t="shared" si="43"/>
        <v>0</v>
      </c>
      <c r="J82" s="1054">
        <f t="shared" si="43"/>
        <v>0</v>
      </c>
      <c r="K82" s="1054">
        <f t="shared" si="43"/>
        <v>0</v>
      </c>
      <c r="L82" s="122"/>
      <c r="M82" s="16"/>
      <c r="R82" s="800"/>
    </row>
    <row r="83" spans="1:18" x14ac:dyDescent="0.25">
      <c r="A83" s="244">
        <v>9257034</v>
      </c>
      <c r="B83" t="str">
        <f>CONCATENATE(A83,C83)</f>
        <v>9257034c</v>
      </c>
      <c r="C83" s="289" t="s">
        <v>1020</v>
      </c>
      <c r="D83" s="289" t="s">
        <v>697</v>
      </c>
      <c r="F83" s="16">
        <f t="shared" ref="F83:K83" si="44">IF(F82&lt;0,0,(F82*F79))</f>
        <v>21439.352386722228</v>
      </c>
      <c r="G83" s="16">
        <f t="shared" si="44"/>
        <v>12381.072086743588</v>
      </c>
      <c r="H83" s="16">
        <f t="shared" si="44"/>
        <v>191.10996829714441</v>
      </c>
      <c r="I83" s="16">
        <f t="shared" si="44"/>
        <v>0</v>
      </c>
      <c r="J83" s="16">
        <f t="shared" si="44"/>
        <v>0</v>
      </c>
      <c r="K83" s="16">
        <f t="shared" si="44"/>
        <v>0</v>
      </c>
      <c r="L83" s="395">
        <f>SUM(F83:K83)</f>
        <v>34011.53444176296</v>
      </c>
      <c r="M83" s="394">
        <f>L83-O76</f>
        <v>0</v>
      </c>
      <c r="R83" s="800"/>
    </row>
    <row r="84" spans="1:18" x14ac:dyDescent="0.25">
      <c r="A84" s="463"/>
      <c r="B84" s="463" t="s">
        <v>213</v>
      </c>
      <c r="C84" s="463"/>
      <c r="D84" s="463"/>
      <c r="E84" s="464"/>
      <c r="F84" s="465"/>
      <c r="G84" s="465"/>
      <c r="H84" s="465"/>
      <c r="I84" s="465"/>
      <c r="J84" s="465"/>
      <c r="K84" s="465"/>
      <c r="L84" s="465"/>
      <c r="M84" s="465"/>
      <c r="N84" s="464"/>
      <c r="O84" s="464"/>
      <c r="P84" s="464"/>
      <c r="Q84" s="464"/>
    </row>
    <row r="85" spans="1:18" x14ac:dyDescent="0.25">
      <c r="A85" s="244">
        <v>9257002</v>
      </c>
      <c r="B85" t="str">
        <f>CONCATENATE(A85,C85)</f>
        <v>92570022022/23</v>
      </c>
      <c r="C85" s="1311" t="s">
        <v>959</v>
      </c>
      <c r="D85" s="289" t="s">
        <v>1009</v>
      </c>
      <c r="E85" s="122">
        <f>SUM(F85:K85)</f>
        <v>0</v>
      </c>
      <c r="F85" s="1313">
        <f>'2223 MFG Protection'!F102</f>
        <v>0</v>
      </c>
      <c r="G85" s="1313">
        <f>'2223 MFG Protection'!G102</f>
        <v>0</v>
      </c>
      <c r="H85" s="1313">
        <f>'2223 MFG Protection'!H102</f>
        <v>0</v>
      </c>
      <c r="I85" s="1313">
        <f>'2223 MFG Protection'!I102</f>
        <v>0</v>
      </c>
      <c r="J85" s="1313">
        <f>'2223 MFG Protection'!J102</f>
        <v>0</v>
      </c>
      <c r="K85" s="1313">
        <f>'2223 MFG Protection'!K102</f>
        <v>0</v>
      </c>
      <c r="L85" s="804"/>
      <c r="N85" s="16"/>
      <c r="O85" s="394">
        <f>'2223 MFG Protection'!L101</f>
        <v>0</v>
      </c>
      <c r="R85" s="800"/>
    </row>
    <row r="86" spans="1:18" x14ac:dyDescent="0.25">
      <c r="A86" s="244">
        <v>9257002</v>
      </c>
      <c r="B86" t="str">
        <f>CONCATENATE(A86,C86)</f>
        <v>92570022023/24</v>
      </c>
      <c r="C86" s="289" t="s">
        <v>975</v>
      </c>
      <c r="D86" t="str">
        <f>CONCATENATE(A86,C86)</f>
        <v>92570022023/24</v>
      </c>
      <c r="E86" s="122">
        <f>VLOOKUP(A86,'2324 Funding Detail'!$A$4:$M$20,13,(FALSE))</f>
        <v>168.91666666666669</v>
      </c>
      <c r="F86" s="1053">
        <f>$E$86*'2324 Band Calculations'!D14</f>
        <v>46.349085365853668</v>
      </c>
      <c r="G86" s="1053">
        <f>$E$86*'2324 Band Calculations'!E14</f>
        <v>74.158536585365866</v>
      </c>
      <c r="H86" s="1053">
        <f>$E$86*'2324 Band Calculations'!F14</f>
        <v>22.659552845528459</v>
      </c>
      <c r="I86" s="1053">
        <f>$E$86*'2324 Band Calculations'!G14</f>
        <v>6.1798780487804885</v>
      </c>
      <c r="J86" s="1053">
        <f>$E$86*'2324 Band Calculations'!H14</f>
        <v>4.1199186991869921</v>
      </c>
      <c r="K86" s="1053">
        <f>$E$86*'2324 Band Calculations'!I14</f>
        <v>13.389735772357724</v>
      </c>
      <c r="L86" s="460">
        <f>$E$86*'2324 Band Calculations'!J14</f>
        <v>2.059959349593496</v>
      </c>
      <c r="N86" s="16"/>
      <c r="R86" s="800"/>
    </row>
    <row r="87" spans="1:18" x14ac:dyDescent="0.25">
      <c r="A87" s="244">
        <v>9257002</v>
      </c>
      <c r="B87" t="str">
        <f t="shared" ref="B87:B90" si="45">CONCATENATE(A87,C87)</f>
        <v>9257002</v>
      </c>
      <c r="F87" s="461">
        <f t="shared" ref="F87:K87" si="46">F86-F85</f>
        <v>46.349085365853668</v>
      </c>
      <c r="G87" s="461">
        <f t="shared" si="46"/>
        <v>74.158536585365866</v>
      </c>
      <c r="H87" s="461">
        <f t="shared" si="46"/>
        <v>22.659552845528459</v>
      </c>
      <c r="I87" s="461">
        <f>I86-I85</f>
        <v>6.1798780487804885</v>
      </c>
      <c r="J87" s="461">
        <f t="shared" si="46"/>
        <v>4.1199186991869921</v>
      </c>
      <c r="K87" s="461">
        <f t="shared" si="46"/>
        <v>13.389735772357724</v>
      </c>
      <c r="R87" s="800"/>
    </row>
    <row r="88" spans="1:18" x14ac:dyDescent="0.25">
      <c r="A88" s="244">
        <v>9257002</v>
      </c>
      <c r="B88" t="str">
        <f t="shared" si="45"/>
        <v>9257002a</v>
      </c>
      <c r="C88" s="289" t="s">
        <v>1012</v>
      </c>
      <c r="D88" s="289" t="s">
        <v>1009</v>
      </c>
      <c r="F88" s="1053">
        <f t="shared" ref="F88:K88" si="47">IF(F85&gt;F86,(F86),(F85))</f>
        <v>0</v>
      </c>
      <c r="G88" s="1053">
        <f t="shared" si="47"/>
        <v>0</v>
      </c>
      <c r="H88" s="1053">
        <f t="shared" si="47"/>
        <v>0</v>
      </c>
      <c r="I88" s="1053">
        <f t="shared" si="47"/>
        <v>0</v>
      </c>
      <c r="J88" s="1053">
        <f t="shared" si="47"/>
        <v>0</v>
      </c>
      <c r="K88" s="1053">
        <f t="shared" si="47"/>
        <v>0</v>
      </c>
      <c r="L88" s="122"/>
      <c r="M88" s="16"/>
      <c r="O88" s="16"/>
      <c r="P88" s="16"/>
      <c r="R88" s="800"/>
    </row>
    <row r="89" spans="1:18" x14ac:dyDescent="0.25">
      <c r="A89" s="244"/>
      <c r="B89" t="s">
        <v>1037</v>
      </c>
      <c r="C89" s="289" t="s">
        <v>959</v>
      </c>
      <c r="D89" s="289" t="s">
        <v>1014</v>
      </c>
      <c r="F89" s="1303">
        <f>'2223 MFG Protection'!F100</f>
        <v>0</v>
      </c>
      <c r="G89" s="1303">
        <f>'2223 MFG Protection'!G100</f>
        <v>0</v>
      </c>
      <c r="H89" s="1303">
        <f>'2223 MFG Protection'!H100</f>
        <v>0</v>
      </c>
      <c r="I89" s="1303">
        <f>'2223 MFG Protection'!I100</f>
        <v>0</v>
      </c>
      <c r="J89" s="1303">
        <f>'2223 MFG Protection'!J100</f>
        <v>0</v>
      </c>
      <c r="K89" s="1303">
        <f>'2223 MFG Protection'!K100</f>
        <v>0</v>
      </c>
      <c r="L89" s="122"/>
      <c r="M89" s="16"/>
      <c r="O89" s="16"/>
      <c r="P89" s="16"/>
      <c r="R89" s="800"/>
    </row>
    <row r="90" spans="1:18" x14ac:dyDescent="0.25">
      <c r="A90" s="244">
        <v>9257002</v>
      </c>
      <c r="B90" t="str">
        <f t="shared" si="45"/>
        <v>9257002b</v>
      </c>
      <c r="C90" s="289" t="s">
        <v>1016</v>
      </c>
      <c r="D90" s="289" t="s">
        <v>1017</v>
      </c>
      <c r="F90" s="1310">
        <v>0</v>
      </c>
      <c r="G90" s="1310">
        <v>0</v>
      </c>
      <c r="H90" s="1310">
        <v>0</v>
      </c>
      <c r="I90" s="1310">
        <v>0</v>
      </c>
      <c r="J90" s="1310">
        <v>0</v>
      </c>
      <c r="K90" s="1310">
        <v>0</v>
      </c>
      <c r="L90" s="122"/>
      <c r="M90" s="16"/>
      <c r="O90" s="16"/>
      <c r="P90" s="16"/>
      <c r="R90" s="800"/>
    </row>
    <row r="91" spans="1:18" x14ac:dyDescent="0.25">
      <c r="A91" s="244"/>
      <c r="B91" t="s">
        <v>1038</v>
      </c>
      <c r="C91" s="289" t="s">
        <v>975</v>
      </c>
      <c r="D91" s="289" t="s">
        <v>1014</v>
      </c>
      <c r="F91" s="1054">
        <f>IF(F89-F90&gt;0,(F89-F90),(0))</f>
        <v>0</v>
      </c>
      <c r="G91" s="1054">
        <f t="shared" ref="G91:K91" si="48">IF(G89-G90&gt;0,(G89-G90),(0))</f>
        <v>0</v>
      </c>
      <c r="H91" s="1054">
        <f t="shared" si="48"/>
        <v>0</v>
      </c>
      <c r="I91" s="1054">
        <f t="shared" si="48"/>
        <v>0</v>
      </c>
      <c r="J91" s="1054">
        <f t="shared" si="48"/>
        <v>0</v>
      </c>
      <c r="K91" s="1054">
        <f t="shared" si="48"/>
        <v>0</v>
      </c>
      <c r="L91" s="122"/>
      <c r="M91" s="16"/>
      <c r="O91" s="16"/>
      <c r="P91" s="16"/>
      <c r="R91" s="800"/>
    </row>
    <row r="92" spans="1:18" x14ac:dyDescent="0.25">
      <c r="A92" s="244">
        <v>9257002</v>
      </c>
      <c r="B92" t="str">
        <f>CONCATENATE(A92,C92)</f>
        <v>9257002c</v>
      </c>
      <c r="C92" s="289" t="s">
        <v>1020</v>
      </c>
      <c r="D92" s="289" t="s">
        <v>697</v>
      </c>
      <c r="F92" s="16">
        <f t="shared" ref="F92:K92" si="49">IF(F91&lt;0,0,(F91*F88))</f>
        <v>0</v>
      </c>
      <c r="G92" s="16">
        <f t="shared" si="49"/>
        <v>0</v>
      </c>
      <c r="H92" s="16">
        <f t="shared" si="49"/>
        <v>0</v>
      </c>
      <c r="I92" s="16">
        <f t="shared" si="49"/>
        <v>0</v>
      </c>
      <c r="J92" s="16">
        <f t="shared" si="49"/>
        <v>0</v>
      </c>
      <c r="K92" s="16">
        <f t="shared" si="49"/>
        <v>0</v>
      </c>
      <c r="L92" s="395">
        <f>SUM(F92:K92)</f>
        <v>0</v>
      </c>
      <c r="M92" s="394">
        <f>L92-O85</f>
        <v>0</v>
      </c>
      <c r="O92" s="16"/>
      <c r="P92" s="16"/>
      <c r="R92" s="800"/>
    </row>
    <row r="93" spans="1:18" x14ac:dyDescent="0.25">
      <c r="A93" s="463"/>
      <c r="B93" s="463" t="s">
        <v>214</v>
      </c>
      <c r="C93" s="463"/>
      <c r="D93" s="463"/>
      <c r="E93" s="464"/>
      <c r="F93" s="465"/>
      <c r="G93" s="465"/>
      <c r="H93" s="465"/>
      <c r="I93" s="465"/>
      <c r="J93" s="465"/>
      <c r="K93" s="465"/>
      <c r="L93" s="465"/>
      <c r="M93" s="465"/>
      <c r="N93" s="464"/>
      <c r="O93" s="464"/>
      <c r="P93" s="464"/>
      <c r="Q93" s="464"/>
    </row>
    <row r="94" spans="1:18" x14ac:dyDescent="0.25">
      <c r="A94" s="767">
        <v>9257009</v>
      </c>
      <c r="B94" t="str">
        <f>CONCATENATE(A94,C94)</f>
        <v>92570092022/23</v>
      </c>
      <c r="C94" s="1311" t="s">
        <v>959</v>
      </c>
      <c r="D94" s="289" t="s">
        <v>1009</v>
      </c>
      <c r="E94" s="122">
        <f>SUM(F94:K94)</f>
        <v>91.207316132515729</v>
      </c>
      <c r="F94" s="1309">
        <f>'2223 MFG Protection'!F112</f>
        <v>23.122739018087856</v>
      </c>
      <c r="G94" s="1309">
        <f>'2223 MFG Protection'!G112</f>
        <v>68.084577114427873</v>
      </c>
      <c r="H94" s="1309">
        <f>'2223 MFG Protection'!H112</f>
        <v>0</v>
      </c>
      <c r="I94" s="1309">
        <f>'2223 MFG Protection'!I112</f>
        <v>0</v>
      </c>
      <c r="J94" s="1309">
        <f>'2223 MFG Protection'!J112</f>
        <v>0</v>
      </c>
      <c r="K94" s="1309">
        <f>'2223 MFG Protection'!K112</f>
        <v>0</v>
      </c>
      <c r="L94" s="122"/>
      <c r="M94" s="16"/>
      <c r="N94" s="16"/>
      <c r="O94" s="394">
        <f>'2223 MFG Protection'!L111</f>
        <v>34686.323739454252</v>
      </c>
      <c r="R94" s="800"/>
    </row>
    <row r="95" spans="1:18" x14ac:dyDescent="0.25">
      <c r="A95" s="767">
        <v>9257009</v>
      </c>
      <c r="B95" t="str">
        <f>CONCATENATE(A95,C95)</f>
        <v>92570092023/24</v>
      </c>
      <c r="C95" s="289" t="s">
        <v>975</v>
      </c>
      <c r="D95" t="str">
        <f>CONCATENATE(A95,C95)</f>
        <v>92570092023/24</v>
      </c>
      <c r="E95" s="122">
        <f>VLOOKUP(A95,'2324 Funding Detail'!$A$4:$M$20,13,(FALSE))</f>
        <v>207.83333333333337</v>
      </c>
      <c r="F95" s="1053">
        <f>$E$95*'2324 Band Calculations'!D15</f>
        <v>35.869712351945857</v>
      </c>
      <c r="G95" s="1053">
        <f>$E$95*'2324 Band Calculations'!E15</f>
        <v>105.49915397631135</v>
      </c>
      <c r="H95" s="1053">
        <f>$E$95*'2324 Band Calculations'!F15</f>
        <v>13.714890016920476</v>
      </c>
      <c r="I95" s="1053">
        <f>$E$95*'2324 Band Calculations'!G15</f>
        <v>16.879864636209817</v>
      </c>
      <c r="J95" s="1053">
        <f>$E$95*'2324 Band Calculations'!H15</f>
        <v>7.3849407783417957</v>
      </c>
      <c r="K95" s="1053">
        <f>$E$95*'2324 Band Calculations'!I15</f>
        <v>17.934856175972929</v>
      </c>
      <c r="L95" s="460">
        <f>$E$95*'2324 Band Calculations'!J15</f>
        <v>10.549915397631136</v>
      </c>
      <c r="N95" s="16"/>
      <c r="R95" s="800"/>
    </row>
    <row r="96" spans="1:18" x14ac:dyDescent="0.25">
      <c r="A96" s="767">
        <v>9257009</v>
      </c>
      <c r="B96" t="str">
        <f t="shared" ref="B96:B99" si="50">CONCATENATE(A96,C96)</f>
        <v>9257009</v>
      </c>
      <c r="F96" s="461">
        <f t="shared" ref="F96:K96" si="51">F95-F94</f>
        <v>12.746973333858001</v>
      </c>
      <c r="G96" s="461">
        <f t="shared" si="51"/>
        <v>37.414576861883475</v>
      </c>
      <c r="H96" s="461">
        <f t="shared" si="51"/>
        <v>13.714890016920476</v>
      </c>
      <c r="I96" s="461">
        <f t="shared" si="51"/>
        <v>16.879864636209817</v>
      </c>
      <c r="J96" s="461">
        <f t="shared" si="51"/>
        <v>7.3849407783417957</v>
      </c>
      <c r="K96" s="461">
        <f t="shared" si="51"/>
        <v>17.934856175972929</v>
      </c>
      <c r="L96" s="122">
        <f>L94+L95</f>
        <v>10.549915397631136</v>
      </c>
      <c r="M96" s="16"/>
      <c r="R96" s="800"/>
    </row>
    <row r="97" spans="1:18" x14ac:dyDescent="0.25">
      <c r="A97" s="767">
        <v>9257009</v>
      </c>
      <c r="B97" t="str">
        <f t="shared" si="50"/>
        <v>9257009a</v>
      </c>
      <c r="C97" s="289" t="s">
        <v>1012</v>
      </c>
      <c r="D97" s="289" t="s">
        <v>1009</v>
      </c>
      <c r="F97" s="1053">
        <f t="shared" ref="F97:K97" si="52">IF(F94&gt;F95,(F95),(F94))</f>
        <v>23.122739018087856</v>
      </c>
      <c r="G97" s="1053">
        <f t="shared" si="52"/>
        <v>68.084577114427873</v>
      </c>
      <c r="H97" s="1053">
        <f t="shared" si="52"/>
        <v>0</v>
      </c>
      <c r="I97" s="1053">
        <f t="shared" si="52"/>
        <v>0</v>
      </c>
      <c r="J97" s="1053">
        <f t="shared" si="52"/>
        <v>0</v>
      </c>
      <c r="K97" s="1053">
        <f t="shared" si="52"/>
        <v>0</v>
      </c>
      <c r="L97" s="122"/>
      <c r="M97" s="16"/>
      <c r="R97" s="800"/>
    </row>
    <row r="98" spans="1:18" x14ac:dyDescent="0.25">
      <c r="A98" s="767"/>
      <c r="B98" t="s">
        <v>1039</v>
      </c>
      <c r="C98" s="289" t="s">
        <v>959</v>
      </c>
      <c r="D98" s="289" t="s">
        <v>1014</v>
      </c>
      <c r="F98" s="1303">
        <f>'2223 MFG Protection'!F110</f>
        <v>411.46437416886545</v>
      </c>
      <c r="G98" s="1303">
        <f>'2223 MFG Protection'!G110</f>
        <v>369.71868618645601</v>
      </c>
      <c r="H98" s="1303">
        <f>'2223 MFG Protection'!H110</f>
        <v>0</v>
      </c>
      <c r="I98" s="1303">
        <f>'2223 MFG Protection'!I110</f>
        <v>0</v>
      </c>
      <c r="J98" s="1303">
        <f>'2223 MFG Protection'!J110</f>
        <v>0</v>
      </c>
      <c r="K98" s="1303">
        <f>'2223 MFG Protection'!K110</f>
        <v>0</v>
      </c>
      <c r="L98" s="122"/>
      <c r="M98" s="16"/>
      <c r="R98" s="800"/>
    </row>
    <row r="99" spans="1:18" x14ac:dyDescent="0.25">
      <c r="A99" s="767">
        <v>9257009</v>
      </c>
      <c r="B99" t="str">
        <f t="shared" si="50"/>
        <v>9257009b</v>
      </c>
      <c r="C99" s="289" t="s">
        <v>1016</v>
      </c>
      <c r="D99" s="289" t="s">
        <v>1017</v>
      </c>
      <c r="F99" s="1310">
        <v>0</v>
      </c>
      <c r="G99" s="1310">
        <v>0</v>
      </c>
      <c r="H99" s="1310">
        <v>0</v>
      </c>
      <c r="I99" s="1310">
        <v>0</v>
      </c>
      <c r="J99" s="1310">
        <v>0</v>
      </c>
      <c r="K99" s="1310">
        <v>0</v>
      </c>
      <c r="L99" s="122"/>
      <c r="M99" s="16"/>
      <c r="R99" s="800"/>
    </row>
    <row r="100" spans="1:18" x14ac:dyDescent="0.25">
      <c r="A100" s="767"/>
      <c r="B100" t="s">
        <v>1040</v>
      </c>
      <c r="C100" s="289" t="s">
        <v>975</v>
      </c>
      <c r="D100" s="289" t="s">
        <v>1014</v>
      </c>
      <c r="F100" s="1054">
        <f>IF(F98-F99&gt;0,(F98-F99),(0))</f>
        <v>411.46437416886545</v>
      </c>
      <c r="G100" s="1054">
        <f t="shared" ref="G100:K100" si="53">IF(G98-G99&gt;0,(G98-G99),(0))</f>
        <v>369.71868618645601</v>
      </c>
      <c r="H100" s="1054">
        <f t="shared" si="53"/>
        <v>0</v>
      </c>
      <c r="I100" s="1054">
        <f t="shared" si="53"/>
        <v>0</v>
      </c>
      <c r="J100" s="1054">
        <f t="shared" si="53"/>
        <v>0</v>
      </c>
      <c r="K100" s="1054">
        <f t="shared" si="53"/>
        <v>0</v>
      </c>
      <c r="L100" s="122"/>
      <c r="M100" s="16"/>
      <c r="R100" s="800"/>
    </row>
    <row r="101" spans="1:18" x14ac:dyDescent="0.25">
      <c r="A101" s="767">
        <v>9257009</v>
      </c>
      <c r="B101" t="str">
        <f>CONCATENATE(A101,C101)</f>
        <v>9257009c</v>
      </c>
      <c r="C101" s="289" t="s">
        <v>1020</v>
      </c>
      <c r="D101" s="289" t="s">
        <v>697</v>
      </c>
      <c r="F101" s="16">
        <f t="shared" ref="F101:K101" si="54">IF(F100&lt;0,0,(F100*F97))</f>
        <v>9514.1833391475266</v>
      </c>
      <c r="G101" s="16">
        <f t="shared" si="54"/>
        <v>25172.140400306722</v>
      </c>
      <c r="H101" s="16">
        <f t="shared" si="54"/>
        <v>0</v>
      </c>
      <c r="I101" s="16">
        <f t="shared" si="54"/>
        <v>0</v>
      </c>
      <c r="J101" s="16">
        <f t="shared" si="54"/>
        <v>0</v>
      </c>
      <c r="K101" s="16">
        <f t="shared" si="54"/>
        <v>0</v>
      </c>
      <c r="L101" s="395">
        <f>SUM(F101:K101)</f>
        <v>34686.323739454252</v>
      </c>
      <c r="M101" s="394">
        <f>L101-O94</f>
        <v>0</v>
      </c>
      <c r="R101" s="800"/>
    </row>
    <row r="102" spans="1:18" x14ac:dyDescent="0.25">
      <c r="A102" s="463"/>
      <c r="B102" s="463" t="s">
        <v>890</v>
      </c>
      <c r="C102" s="463"/>
      <c r="D102" s="463"/>
      <c r="E102" s="464"/>
      <c r="F102" s="465"/>
      <c r="G102" s="465"/>
      <c r="H102" s="465"/>
      <c r="I102" s="465"/>
      <c r="J102" s="465"/>
      <c r="K102" s="465"/>
      <c r="L102" s="465"/>
      <c r="M102" s="465"/>
      <c r="N102" s="464"/>
      <c r="O102" s="464"/>
      <c r="P102" s="464"/>
      <c r="Q102" s="464"/>
    </row>
    <row r="103" spans="1:18" x14ac:dyDescent="0.25">
      <c r="A103" s="244">
        <v>9257029</v>
      </c>
      <c r="B103" t="str">
        <f>CONCATENATE(A103,C103)</f>
        <v>92570292022/23</v>
      </c>
      <c r="C103" s="1311" t="s">
        <v>959</v>
      </c>
      <c r="D103" s="289" t="s">
        <v>1009</v>
      </c>
      <c r="E103" s="122">
        <f>SUM(F103:K103)</f>
        <v>0</v>
      </c>
      <c r="F103" s="1309">
        <f>'2223 MFG Protection'!F122</f>
        <v>0</v>
      </c>
      <c r="G103" s="1309">
        <f>'2223 MFG Protection'!G122</f>
        <v>0</v>
      </c>
      <c r="H103" s="1309">
        <f>'2223 MFG Protection'!H122</f>
        <v>0</v>
      </c>
      <c r="I103" s="1309">
        <f>'2223 MFG Protection'!I122</f>
        <v>0</v>
      </c>
      <c r="J103" s="1309">
        <f>'2223 MFG Protection'!J122</f>
        <v>0</v>
      </c>
      <c r="K103" s="1309">
        <f>'2223 MFG Protection'!K122</f>
        <v>0</v>
      </c>
      <c r="L103" s="122"/>
      <c r="N103" s="16"/>
      <c r="O103" s="394">
        <f>'2223 MFG Protection'!L121</f>
        <v>0</v>
      </c>
      <c r="R103" s="800"/>
    </row>
    <row r="104" spans="1:18" x14ac:dyDescent="0.25">
      <c r="A104" s="244">
        <v>9257029</v>
      </c>
      <c r="B104" t="str">
        <f>CONCATENATE(A104,C104)</f>
        <v>92570292023/24</v>
      </c>
      <c r="C104" s="289" t="s">
        <v>975</v>
      </c>
      <c r="D104" t="str">
        <f>CONCATENATE(A104,C104)</f>
        <v>92570292023/24</v>
      </c>
      <c r="E104" s="122">
        <f>VLOOKUP(A104,'2324 Funding Detail'!$A$4:$M$20,13,(FALSE))</f>
        <v>79</v>
      </c>
      <c r="F104" s="1053">
        <f>$E$104*'2324 Band Calculations'!D16</f>
        <v>0</v>
      </c>
      <c r="G104" s="1053">
        <f>$E$104*'2324 Band Calculations'!E16</f>
        <v>0</v>
      </c>
      <c r="H104" s="1053">
        <f>$E$104*'2324 Band Calculations'!F16</f>
        <v>79</v>
      </c>
      <c r="I104" s="1053">
        <f>$E$104*'2324 Band Calculations'!G16</f>
        <v>0</v>
      </c>
      <c r="J104" s="1053">
        <f>$E$104*'2324 Band Calculations'!H16</f>
        <v>0</v>
      </c>
      <c r="K104" s="1053">
        <f>$E$104*'2324 Band Calculations'!I16</f>
        <v>0</v>
      </c>
      <c r="L104" s="460">
        <f>$E$104*'2324 Band Calculations'!J16</f>
        <v>0</v>
      </c>
      <c r="N104" s="16"/>
      <c r="R104" s="800"/>
    </row>
    <row r="105" spans="1:18" x14ac:dyDescent="0.25">
      <c r="A105" s="244">
        <v>9257029</v>
      </c>
      <c r="B105" t="str">
        <f t="shared" ref="B105:B108" si="55">CONCATENATE(A105,C105)</f>
        <v>9257029</v>
      </c>
      <c r="F105" s="461">
        <f t="shared" ref="F105:K105" si="56">F104-F103</f>
        <v>0</v>
      </c>
      <c r="G105" s="461">
        <f t="shared" si="56"/>
        <v>0</v>
      </c>
      <c r="H105" s="461">
        <f t="shared" si="56"/>
        <v>79</v>
      </c>
      <c r="I105" s="461">
        <f t="shared" si="56"/>
        <v>0</v>
      </c>
      <c r="J105" s="461">
        <f t="shared" si="56"/>
        <v>0</v>
      </c>
      <c r="K105" s="461">
        <f t="shared" si="56"/>
        <v>0</v>
      </c>
      <c r="R105" s="800"/>
    </row>
    <row r="106" spans="1:18" x14ac:dyDescent="0.25">
      <c r="A106" s="244">
        <v>9257029</v>
      </c>
      <c r="B106" t="str">
        <f t="shared" si="55"/>
        <v>9257029a</v>
      </c>
      <c r="C106" s="289" t="s">
        <v>1012</v>
      </c>
      <c r="D106" s="289" t="s">
        <v>1009</v>
      </c>
      <c r="F106" s="1053">
        <f t="shared" ref="F106:K106" si="57">IF(F103&gt;F104,(F104),(F103))</f>
        <v>0</v>
      </c>
      <c r="G106" s="1053">
        <f t="shared" si="57"/>
        <v>0</v>
      </c>
      <c r="H106" s="1053">
        <f t="shared" si="57"/>
        <v>0</v>
      </c>
      <c r="I106" s="1053">
        <f t="shared" si="57"/>
        <v>0</v>
      </c>
      <c r="J106" s="1053">
        <f t="shared" si="57"/>
        <v>0</v>
      </c>
      <c r="K106" s="1053">
        <f t="shared" si="57"/>
        <v>0</v>
      </c>
      <c r="L106" s="122"/>
      <c r="M106" s="16"/>
      <c r="O106" s="16"/>
      <c r="P106" s="16"/>
      <c r="R106" s="800"/>
    </row>
    <row r="107" spans="1:18" x14ac:dyDescent="0.25">
      <c r="A107" s="244"/>
      <c r="B107" t="s">
        <v>1041</v>
      </c>
      <c r="C107" s="289" t="s">
        <v>959</v>
      </c>
      <c r="D107" s="289" t="s">
        <v>1014</v>
      </c>
      <c r="F107" s="1303">
        <f>'2223 MFG Protection'!F120</f>
        <v>0</v>
      </c>
      <c r="G107" s="1303">
        <f>'2223 MFG Protection'!G120</f>
        <v>0</v>
      </c>
      <c r="H107" s="1303">
        <f>'2223 MFG Protection'!H120</f>
        <v>0</v>
      </c>
      <c r="I107" s="1303">
        <f>'2223 MFG Protection'!I120</f>
        <v>0</v>
      </c>
      <c r="J107" s="1303">
        <f>'2223 MFG Protection'!J120</f>
        <v>0</v>
      </c>
      <c r="K107" s="1303">
        <f>'2223 MFG Protection'!K120</f>
        <v>0</v>
      </c>
      <c r="L107" s="122"/>
      <c r="M107" s="16"/>
      <c r="O107" s="16"/>
      <c r="P107" s="16"/>
      <c r="R107" s="800"/>
    </row>
    <row r="108" spans="1:18" x14ac:dyDescent="0.25">
      <c r="A108" s="244">
        <v>9257029</v>
      </c>
      <c r="B108" t="str">
        <f t="shared" si="55"/>
        <v>9257029b</v>
      </c>
      <c r="C108" s="289" t="s">
        <v>1016</v>
      </c>
      <c r="D108" s="289" t="s">
        <v>1017</v>
      </c>
      <c r="F108" s="1310">
        <v>0</v>
      </c>
      <c r="G108" s="1310">
        <v>0</v>
      </c>
      <c r="H108" s="1310">
        <v>0</v>
      </c>
      <c r="I108" s="1310">
        <v>0</v>
      </c>
      <c r="J108" s="1310">
        <v>0</v>
      </c>
      <c r="K108" s="1310">
        <v>0</v>
      </c>
      <c r="L108" s="122"/>
      <c r="M108" s="16"/>
      <c r="R108" s="800"/>
    </row>
    <row r="109" spans="1:18" x14ac:dyDescent="0.25">
      <c r="A109" s="244"/>
      <c r="B109" t="s">
        <v>1042</v>
      </c>
      <c r="C109" s="289" t="s">
        <v>975</v>
      </c>
      <c r="D109" s="289" t="s">
        <v>1014</v>
      </c>
      <c r="F109" s="1054">
        <f>IF(F107-F108&gt;0,(F107-F108),(0))</f>
        <v>0</v>
      </c>
      <c r="G109" s="1054">
        <f t="shared" ref="G109:K109" si="58">IF(G107-G108&gt;0,(G107-G108),(0))</f>
        <v>0</v>
      </c>
      <c r="H109" s="1054">
        <f t="shared" si="58"/>
        <v>0</v>
      </c>
      <c r="I109" s="1054">
        <f t="shared" si="58"/>
        <v>0</v>
      </c>
      <c r="J109" s="1054">
        <f t="shared" si="58"/>
        <v>0</v>
      </c>
      <c r="K109" s="1054">
        <f t="shared" si="58"/>
        <v>0</v>
      </c>
      <c r="L109" s="122"/>
      <c r="M109" s="16"/>
      <c r="R109" s="800"/>
    </row>
    <row r="110" spans="1:18" x14ac:dyDescent="0.25">
      <c r="A110" s="244">
        <v>9257029</v>
      </c>
      <c r="B110" t="str">
        <f>CONCATENATE(A110,C110)</f>
        <v>9257029c</v>
      </c>
      <c r="C110" s="289" t="s">
        <v>1020</v>
      </c>
      <c r="D110" s="289" t="s">
        <v>697</v>
      </c>
      <c r="F110" s="16">
        <f t="shared" ref="F110:K110" si="59">IF(F109&lt;0,0,(F109*F106))</f>
        <v>0</v>
      </c>
      <c r="G110" s="16">
        <f t="shared" si="59"/>
        <v>0</v>
      </c>
      <c r="H110" s="16">
        <f t="shared" si="59"/>
        <v>0</v>
      </c>
      <c r="I110" s="16">
        <f t="shared" si="59"/>
        <v>0</v>
      </c>
      <c r="J110" s="16">
        <f t="shared" si="59"/>
        <v>0</v>
      </c>
      <c r="K110" s="16">
        <f t="shared" si="59"/>
        <v>0</v>
      </c>
      <c r="L110" s="395">
        <f>SUM(F110:K110)</f>
        <v>0</v>
      </c>
      <c r="M110" s="394">
        <f>L110-O103</f>
        <v>0</v>
      </c>
      <c r="R110" s="800"/>
    </row>
    <row r="111" spans="1:18" x14ac:dyDescent="0.25">
      <c r="A111" s="463"/>
      <c r="B111" s="463" t="s">
        <v>1043</v>
      </c>
      <c r="C111" s="463"/>
      <c r="D111" s="463"/>
      <c r="E111" s="464"/>
      <c r="F111" s="465"/>
      <c r="G111" s="465"/>
      <c r="H111" s="465"/>
      <c r="I111" s="465"/>
      <c r="J111" s="465"/>
      <c r="K111" s="465"/>
      <c r="L111" s="465"/>
      <c r="M111" s="465"/>
      <c r="N111" s="464"/>
      <c r="O111" s="464"/>
      <c r="P111" s="464"/>
      <c r="Q111" s="464"/>
    </row>
    <row r="112" spans="1:18" x14ac:dyDescent="0.25">
      <c r="A112" s="244">
        <v>9257032</v>
      </c>
      <c r="B112" t="str">
        <f>CONCATENATE(A112,C112)</f>
        <v>92570322022/23</v>
      </c>
      <c r="C112" s="1311" t="s">
        <v>959</v>
      </c>
      <c r="D112" s="289" t="s">
        <v>1009</v>
      </c>
      <c r="E112" s="122">
        <f>SUM(F112:K112)</f>
        <v>0</v>
      </c>
      <c r="F112" s="1309">
        <f>'2223 MFG Protection'!F132</f>
        <v>0</v>
      </c>
      <c r="G112" s="1309">
        <f>'2223 MFG Protection'!G132</f>
        <v>0</v>
      </c>
      <c r="H112" s="1309">
        <f>'2223 MFG Protection'!H132</f>
        <v>0</v>
      </c>
      <c r="I112" s="1309">
        <f>'2223 MFG Protection'!I132</f>
        <v>0</v>
      </c>
      <c r="J112" s="1309">
        <f>'2223 MFG Protection'!J132</f>
        <v>0</v>
      </c>
      <c r="K112" s="1309">
        <f>'2223 MFG Protection'!K132</f>
        <v>0</v>
      </c>
      <c r="L112" s="122"/>
      <c r="N112" s="16"/>
      <c r="O112" s="394">
        <f>'2223 MFG Protection'!L131</f>
        <v>0</v>
      </c>
      <c r="R112" s="800"/>
    </row>
    <row r="113" spans="1:18" x14ac:dyDescent="0.25">
      <c r="A113" s="244">
        <v>9257032</v>
      </c>
      <c r="B113" t="str">
        <f>CONCATENATE(A113,C113)</f>
        <v>92570322023/24</v>
      </c>
      <c r="C113" s="289" t="s">
        <v>975</v>
      </c>
      <c r="D113" t="str">
        <f>CONCATENATE(A113,C113)</f>
        <v>92570322023/24</v>
      </c>
      <c r="E113" s="122">
        <f>VLOOKUP(A113,'2324 Funding Detail'!$A$4:$M$20,13,(FALSE))</f>
        <v>110.41666666666669</v>
      </c>
      <c r="F113" s="1053">
        <f>$E$113*'2324 Band Calculations'!D17</f>
        <v>0</v>
      </c>
      <c r="G113" s="1053">
        <f>$E$113*'2324 Band Calculations'!E17</f>
        <v>0</v>
      </c>
      <c r="H113" s="1053">
        <f>$E$113*'2324 Band Calculations'!F17</f>
        <v>110.41666666666669</v>
      </c>
      <c r="I113" s="1053">
        <f>$E$113*'2324 Band Calculations'!G17</f>
        <v>0</v>
      </c>
      <c r="J113" s="1053">
        <f>$E$113*'2324 Band Calculations'!H17</f>
        <v>0</v>
      </c>
      <c r="K113" s="1053">
        <f>$E$113*'2324 Band Calculations'!I17</f>
        <v>0</v>
      </c>
      <c r="L113" s="460">
        <f>$E$113*'2324 Band Calculations'!J17</f>
        <v>0</v>
      </c>
      <c r="N113" s="16"/>
      <c r="R113" s="800"/>
    </row>
    <row r="114" spans="1:18" x14ac:dyDescent="0.25">
      <c r="A114" s="244">
        <v>9257032</v>
      </c>
      <c r="B114" t="str">
        <f t="shared" ref="B114:B117" si="60">CONCATENATE(A114,C114)</f>
        <v>9257032</v>
      </c>
      <c r="F114" s="461">
        <f t="shared" ref="F114:K114" si="61">F113-F112</f>
        <v>0</v>
      </c>
      <c r="G114" s="461">
        <f t="shared" si="61"/>
        <v>0</v>
      </c>
      <c r="H114" s="461">
        <f t="shared" si="61"/>
        <v>110.41666666666669</v>
      </c>
      <c r="I114" s="461">
        <f t="shared" si="61"/>
        <v>0</v>
      </c>
      <c r="J114" s="461">
        <f t="shared" si="61"/>
        <v>0</v>
      </c>
      <c r="K114" s="461">
        <f t="shared" si="61"/>
        <v>0</v>
      </c>
      <c r="R114" s="800"/>
    </row>
    <row r="115" spans="1:18" x14ac:dyDescent="0.25">
      <c r="A115" s="244">
        <v>9257032</v>
      </c>
      <c r="B115" t="str">
        <f t="shared" si="60"/>
        <v>9257032a</v>
      </c>
      <c r="C115" s="289" t="s">
        <v>1012</v>
      </c>
      <c r="D115" s="289" t="s">
        <v>1009</v>
      </c>
      <c r="F115" s="1053">
        <f t="shared" ref="F115:K115" si="62">IF(F112&gt;F113,(F113),(F112))</f>
        <v>0</v>
      </c>
      <c r="G115" s="1053">
        <f t="shared" si="62"/>
        <v>0</v>
      </c>
      <c r="H115" s="1053">
        <f t="shared" si="62"/>
        <v>0</v>
      </c>
      <c r="I115" s="1053">
        <f t="shared" si="62"/>
        <v>0</v>
      </c>
      <c r="J115" s="1053">
        <f t="shared" si="62"/>
        <v>0</v>
      </c>
      <c r="K115" s="1053">
        <f t="shared" si="62"/>
        <v>0</v>
      </c>
      <c r="L115" s="122"/>
      <c r="M115" s="16"/>
      <c r="O115" s="16"/>
      <c r="P115" s="16"/>
      <c r="R115" s="800"/>
    </row>
    <row r="116" spans="1:18" x14ac:dyDescent="0.25">
      <c r="A116" s="244"/>
      <c r="B116" t="s">
        <v>1044</v>
      </c>
      <c r="C116" s="289" t="s">
        <v>959</v>
      </c>
      <c r="D116" s="289" t="s">
        <v>1014</v>
      </c>
      <c r="F116" s="1303">
        <f>'2223 MFG Protection'!F130</f>
        <v>0</v>
      </c>
      <c r="G116" s="1303">
        <f>'2223 MFG Protection'!G130</f>
        <v>0</v>
      </c>
      <c r="H116" s="1303">
        <f>'2223 MFG Protection'!H130</f>
        <v>0</v>
      </c>
      <c r="I116" s="1303">
        <f>'2223 MFG Protection'!I130</f>
        <v>0</v>
      </c>
      <c r="J116" s="1303">
        <f>'2223 MFG Protection'!J130</f>
        <v>0</v>
      </c>
      <c r="K116" s="1303">
        <f>'2223 MFG Protection'!K130</f>
        <v>0</v>
      </c>
      <c r="L116" s="122"/>
      <c r="M116" s="16"/>
      <c r="O116" s="16"/>
      <c r="P116" s="16"/>
      <c r="R116" s="800"/>
    </row>
    <row r="117" spans="1:18" x14ac:dyDescent="0.25">
      <c r="A117" s="244">
        <v>9257032</v>
      </c>
      <c r="B117" t="str">
        <f t="shared" si="60"/>
        <v>9257032b</v>
      </c>
      <c r="C117" s="289" t="s">
        <v>1016</v>
      </c>
      <c r="D117" s="289" t="s">
        <v>1017</v>
      </c>
      <c r="F117" s="1310">
        <v>0</v>
      </c>
      <c r="G117" s="1310">
        <v>0</v>
      </c>
      <c r="H117" s="1310">
        <v>0</v>
      </c>
      <c r="I117" s="1310">
        <v>0</v>
      </c>
      <c r="J117" s="1310">
        <v>0</v>
      </c>
      <c r="K117" s="1310">
        <v>0</v>
      </c>
      <c r="L117" s="122"/>
      <c r="M117" s="16"/>
      <c r="R117" s="800"/>
    </row>
    <row r="118" spans="1:18" x14ac:dyDescent="0.25">
      <c r="A118" s="244"/>
      <c r="B118" t="s">
        <v>1045</v>
      </c>
      <c r="C118" s="289" t="s">
        <v>975</v>
      </c>
      <c r="D118" s="289" t="s">
        <v>1014</v>
      </c>
      <c r="F118" s="1054">
        <f>IF(F116-F117&gt;0,(F116-F117),(0))</f>
        <v>0</v>
      </c>
      <c r="G118" s="1054">
        <f t="shared" ref="G118:K118" si="63">IF(G116-G117&gt;0,(G116-G117),(0))</f>
        <v>0</v>
      </c>
      <c r="H118" s="1054">
        <f t="shared" si="63"/>
        <v>0</v>
      </c>
      <c r="I118" s="1054">
        <f t="shared" si="63"/>
        <v>0</v>
      </c>
      <c r="J118" s="1054">
        <f t="shared" si="63"/>
        <v>0</v>
      </c>
      <c r="K118" s="1054">
        <f t="shared" si="63"/>
        <v>0</v>
      </c>
      <c r="L118" s="122"/>
      <c r="M118" s="16"/>
      <c r="R118" s="800"/>
    </row>
    <row r="119" spans="1:18" x14ac:dyDescent="0.25">
      <c r="A119" s="244">
        <v>9257032</v>
      </c>
      <c r="B119" t="str">
        <f>CONCATENATE(A119,C119)</f>
        <v>9257032c</v>
      </c>
      <c r="C119" s="289" t="s">
        <v>1020</v>
      </c>
      <c r="D119" s="289" t="s">
        <v>697</v>
      </c>
      <c r="F119" s="16">
        <f t="shared" ref="F119:K119" si="64">IF(F118&lt;0,0,(F118*F115))</f>
        <v>0</v>
      </c>
      <c r="G119" s="16">
        <f t="shared" si="64"/>
        <v>0</v>
      </c>
      <c r="H119" s="16">
        <f t="shared" si="64"/>
        <v>0</v>
      </c>
      <c r="I119" s="16">
        <f t="shared" si="64"/>
        <v>0</v>
      </c>
      <c r="J119" s="16">
        <f t="shared" si="64"/>
        <v>0</v>
      </c>
      <c r="K119" s="16">
        <f t="shared" si="64"/>
        <v>0</v>
      </c>
      <c r="L119" s="395">
        <f>SUM(F119:K119)</f>
        <v>0</v>
      </c>
      <c r="M119" s="394">
        <f>L119-O112</f>
        <v>0</v>
      </c>
      <c r="R119" s="800"/>
    </row>
    <row r="120" spans="1:18" x14ac:dyDescent="0.25">
      <c r="A120" s="463"/>
      <c r="B120" s="463" t="s">
        <v>1046</v>
      </c>
      <c r="C120" s="463"/>
      <c r="D120" s="463"/>
      <c r="E120" s="464"/>
      <c r="F120" s="465"/>
      <c r="G120" s="465"/>
      <c r="H120" s="465"/>
      <c r="I120" s="465"/>
      <c r="J120" s="465"/>
      <c r="K120" s="465"/>
      <c r="L120" s="465"/>
      <c r="M120" s="465"/>
      <c r="N120" s="464"/>
      <c r="O120" s="464"/>
      <c r="P120" s="464"/>
      <c r="Q120" s="464"/>
    </row>
    <row r="121" spans="1:18" x14ac:dyDescent="0.25">
      <c r="A121" s="244">
        <v>9257030</v>
      </c>
      <c r="B121" t="str">
        <f>CONCATENATE(A121,C121)</f>
        <v>92570302022/23</v>
      </c>
      <c r="C121" s="1311" t="s">
        <v>959</v>
      </c>
      <c r="D121" s="289" t="s">
        <v>1009</v>
      </c>
      <c r="E121" s="122">
        <f>SUM(F121:K121)</f>
        <v>70.833333333333343</v>
      </c>
      <c r="F121" s="1309">
        <f>'2223 MFG Protection'!F142</f>
        <v>0</v>
      </c>
      <c r="G121" s="1309">
        <f>'2223 MFG Protection'!G142</f>
        <v>0</v>
      </c>
      <c r="H121" s="1315">
        <f>'2223 MFG Protection'!H142</f>
        <v>70.833333333333343</v>
      </c>
      <c r="I121" s="1309">
        <f>'2223 MFG Protection'!I142</f>
        <v>0</v>
      </c>
      <c r="J121" s="1309">
        <f>'2223 MFG Protection'!J142</f>
        <v>0</v>
      </c>
      <c r="K121" s="1309">
        <f>'2223 MFG Protection'!K142</f>
        <v>0</v>
      </c>
      <c r="L121" s="122"/>
      <c r="N121" s="16"/>
      <c r="O121" s="394">
        <f>'2223 MFG Protection'!L141</f>
        <v>2905.6363932316312</v>
      </c>
      <c r="R121" s="800"/>
    </row>
    <row r="122" spans="1:18" x14ac:dyDescent="0.25">
      <c r="A122" s="244">
        <v>9257030</v>
      </c>
      <c r="B122" t="str">
        <f>CONCATENATE(A122,C122)</f>
        <v>92570302023/24</v>
      </c>
      <c r="C122" s="289" t="s">
        <v>975</v>
      </c>
      <c r="D122" t="str">
        <f>CONCATENATE(A122,C122)</f>
        <v>92570302023/24</v>
      </c>
      <c r="E122" s="122">
        <f>VLOOKUP(A122,'2324 Funding Detail'!$A$4:$M$20,13,(FALSE))</f>
        <v>70</v>
      </c>
      <c r="F122" s="1053">
        <f>$E$122*'2324 Band Calculations'!D18</f>
        <v>0</v>
      </c>
      <c r="G122" s="1053">
        <f>$E$122*'2324 Band Calculations'!E18</f>
        <v>0</v>
      </c>
      <c r="H122" s="1314">
        <f>$E$122*'2324 Band Calculations'!F18</f>
        <v>70</v>
      </c>
      <c r="I122" s="1053">
        <f>$E$122*'2324 Band Calculations'!G18</f>
        <v>0</v>
      </c>
      <c r="J122" s="1053">
        <f>$E$122*'2324 Band Calculations'!H18</f>
        <v>0</v>
      </c>
      <c r="K122" s="1053">
        <f>$E$122*'2324 Band Calculations'!I18</f>
        <v>0</v>
      </c>
      <c r="L122" s="460">
        <f>$E$122*'2324 Band Calculations'!J18</f>
        <v>0</v>
      </c>
      <c r="N122" s="16"/>
      <c r="R122" s="800"/>
    </row>
    <row r="123" spans="1:18" x14ac:dyDescent="0.25">
      <c r="A123" s="244">
        <v>9257030</v>
      </c>
      <c r="B123" t="str">
        <f t="shared" ref="B123:B126" si="65">CONCATENATE(A123,C123)</f>
        <v>9257030</v>
      </c>
      <c r="F123" s="461">
        <f t="shared" ref="F123:K123" si="66">F122-F121</f>
        <v>0</v>
      </c>
      <c r="G123" s="461">
        <f t="shared" si="66"/>
        <v>0</v>
      </c>
      <c r="H123" s="461">
        <f t="shared" si="66"/>
        <v>-0.83333333333334281</v>
      </c>
      <c r="I123" s="461">
        <f t="shared" si="66"/>
        <v>0</v>
      </c>
      <c r="J123" s="461">
        <f t="shared" si="66"/>
        <v>0</v>
      </c>
      <c r="K123" s="461">
        <f t="shared" si="66"/>
        <v>0</v>
      </c>
      <c r="R123" s="800"/>
    </row>
    <row r="124" spans="1:18" x14ac:dyDescent="0.25">
      <c r="A124" s="244">
        <v>9257030</v>
      </c>
      <c r="B124" t="str">
        <f t="shared" si="65"/>
        <v>9257030a</v>
      </c>
      <c r="C124" s="289" t="s">
        <v>1012</v>
      </c>
      <c r="D124" s="289" t="s">
        <v>1009</v>
      </c>
      <c r="F124" s="1053">
        <f t="shared" ref="F124:K124" si="67">IF(F121&gt;F122,(F122),(F121))</f>
        <v>0</v>
      </c>
      <c r="G124" s="1053">
        <f t="shared" si="67"/>
        <v>0</v>
      </c>
      <c r="H124" s="1053">
        <f t="shared" si="67"/>
        <v>70</v>
      </c>
      <c r="I124" s="1053">
        <f t="shared" si="67"/>
        <v>0</v>
      </c>
      <c r="J124" s="1053">
        <f t="shared" si="67"/>
        <v>0</v>
      </c>
      <c r="K124" s="1053">
        <f t="shared" si="67"/>
        <v>0</v>
      </c>
      <c r="L124" s="122"/>
      <c r="M124" s="16"/>
      <c r="O124" s="16"/>
      <c r="P124" s="16"/>
      <c r="R124" s="800"/>
    </row>
    <row r="125" spans="1:18" x14ac:dyDescent="0.25">
      <c r="A125" s="244"/>
      <c r="B125" t="s">
        <v>1047</v>
      </c>
      <c r="C125" s="289" t="s">
        <v>959</v>
      </c>
      <c r="D125" s="289" t="s">
        <v>1014</v>
      </c>
      <c r="F125" s="1303">
        <f>'2223 MFG Protection'!F140</f>
        <v>0</v>
      </c>
      <c r="G125" s="1303">
        <f>'2223 MFG Protection'!G140</f>
        <v>0</v>
      </c>
      <c r="H125" s="1303">
        <f>'2223 MFG Protection'!H140</f>
        <v>41.020749080917142</v>
      </c>
      <c r="I125" s="1303">
        <f>'2223 MFG Protection'!I140</f>
        <v>0</v>
      </c>
      <c r="J125" s="1303">
        <f>'2223 MFG Protection'!J140</f>
        <v>0</v>
      </c>
      <c r="K125" s="1303">
        <f>'2223 MFG Protection'!K140</f>
        <v>0</v>
      </c>
      <c r="L125" s="122"/>
      <c r="M125" s="16"/>
      <c r="O125" s="16"/>
      <c r="P125" s="16"/>
      <c r="R125" s="800"/>
    </row>
    <row r="126" spans="1:18" x14ac:dyDescent="0.25">
      <c r="A126" s="244">
        <v>9257030</v>
      </c>
      <c r="B126" t="str">
        <f t="shared" si="65"/>
        <v>9257030b</v>
      </c>
      <c r="C126" s="289" t="s">
        <v>1016</v>
      </c>
      <c r="D126" s="289" t="s">
        <v>1017</v>
      </c>
      <c r="F126" s="1310">
        <v>0</v>
      </c>
      <c r="G126" s="1310">
        <v>0</v>
      </c>
      <c r="H126" s="1310">
        <v>0</v>
      </c>
      <c r="I126" s="1310">
        <v>0</v>
      </c>
      <c r="J126" s="1310">
        <v>0</v>
      </c>
      <c r="K126" s="1310">
        <v>0</v>
      </c>
      <c r="L126" s="122"/>
      <c r="M126" s="16"/>
      <c r="R126" s="800"/>
    </row>
    <row r="127" spans="1:18" x14ac:dyDescent="0.25">
      <c r="A127" s="244"/>
      <c r="B127" t="s">
        <v>1048</v>
      </c>
      <c r="C127" s="289" t="s">
        <v>975</v>
      </c>
      <c r="D127" s="289" t="s">
        <v>1014</v>
      </c>
      <c r="F127" s="1054">
        <f>IF(F125-F126&gt;0,(F125-F126),(0))</f>
        <v>0</v>
      </c>
      <c r="G127" s="1054">
        <f t="shared" ref="G127:K127" si="68">IF(G125-G126&gt;0,(G125-G126),(0))</f>
        <v>0</v>
      </c>
      <c r="H127" s="1054">
        <f t="shared" si="68"/>
        <v>41.020749080917142</v>
      </c>
      <c r="I127" s="1054">
        <f t="shared" si="68"/>
        <v>0</v>
      </c>
      <c r="J127" s="1054">
        <f t="shared" si="68"/>
        <v>0</v>
      </c>
      <c r="K127" s="1054">
        <f t="shared" si="68"/>
        <v>0</v>
      </c>
      <c r="L127" s="122"/>
      <c r="M127" s="16"/>
      <c r="R127" s="800"/>
    </row>
    <row r="128" spans="1:18" x14ac:dyDescent="0.25">
      <c r="A128" s="244">
        <v>9257030</v>
      </c>
      <c r="B128" t="str">
        <f>CONCATENATE(A128,C128)</f>
        <v>9257030c</v>
      </c>
      <c r="C128" s="289" t="s">
        <v>1020</v>
      </c>
      <c r="D128" s="289" t="s">
        <v>697</v>
      </c>
      <c r="F128" s="16">
        <f t="shared" ref="F128:G128" si="69">IF(F127&lt;0,0,(F127*F124))</f>
        <v>0</v>
      </c>
      <c r="G128" s="16">
        <f t="shared" si="69"/>
        <v>0</v>
      </c>
      <c r="H128" s="16">
        <f>IF(H127&lt;0,0,(H127*H124))</f>
        <v>2871.4524356642</v>
      </c>
      <c r="I128" s="16">
        <f t="shared" ref="I128:K128" si="70">IF(I127&lt;0,0,(I127*I124))</f>
        <v>0</v>
      </c>
      <c r="J128" s="16">
        <f t="shared" si="70"/>
        <v>0</v>
      </c>
      <c r="K128" s="16">
        <f t="shared" si="70"/>
        <v>0</v>
      </c>
      <c r="L128" s="395">
        <f>SUM(F128:K128)</f>
        <v>2871.4524356642</v>
      </c>
      <c r="M128" s="394">
        <f>L128-O121</f>
        <v>-34.183957567431207</v>
      </c>
      <c r="N128" s="2" t="s">
        <v>206</v>
      </c>
      <c r="R128" s="800"/>
    </row>
    <row r="129" spans="1:18" x14ac:dyDescent="0.25">
      <c r="A129" s="463"/>
      <c r="B129" s="463" t="s">
        <v>215</v>
      </c>
      <c r="C129" s="463"/>
      <c r="D129" s="463"/>
      <c r="E129" s="464"/>
      <c r="F129" s="465"/>
      <c r="G129" s="465"/>
      <c r="H129" s="465"/>
      <c r="I129" s="465"/>
      <c r="J129" s="465"/>
      <c r="K129" s="465"/>
      <c r="L129" s="465"/>
      <c r="M129" s="465"/>
      <c r="N129" s="464"/>
      <c r="O129" s="464"/>
      <c r="P129" s="464"/>
      <c r="Q129" s="464"/>
    </row>
    <row r="130" spans="1:18" x14ac:dyDescent="0.25">
      <c r="A130" s="244">
        <v>9257028</v>
      </c>
      <c r="B130" t="str">
        <f>CONCATENATE(A130,C130)</f>
        <v>92570282022/23</v>
      </c>
      <c r="C130" s="1311" t="s">
        <v>959</v>
      </c>
      <c r="D130" s="289" t="s">
        <v>1009</v>
      </c>
      <c r="E130" s="122">
        <f>SUM(F130:K130)</f>
        <v>0</v>
      </c>
      <c r="F130" s="1309">
        <f>'2223 MFG Protection'!F152</f>
        <v>0</v>
      </c>
      <c r="G130" s="1309">
        <f>'2223 MFG Protection'!G152</f>
        <v>0</v>
      </c>
      <c r="H130" s="1309">
        <f>'2223 MFG Protection'!H152</f>
        <v>0</v>
      </c>
      <c r="I130" s="1309">
        <f>'2223 MFG Protection'!I152</f>
        <v>0</v>
      </c>
      <c r="J130" s="1309">
        <f>'2223 MFG Protection'!J152</f>
        <v>0</v>
      </c>
      <c r="K130" s="1309">
        <f>'2223 MFG Protection'!K152</f>
        <v>0</v>
      </c>
      <c r="L130" s="122"/>
      <c r="N130" s="16"/>
      <c r="O130" s="394">
        <f>'2223 MFG Protection'!L151</f>
        <v>0</v>
      </c>
      <c r="R130" s="800"/>
    </row>
    <row r="131" spans="1:18" x14ac:dyDescent="0.25">
      <c r="A131" s="244">
        <v>9257028</v>
      </c>
      <c r="B131" t="str">
        <f>CONCATENATE(A131,C131)</f>
        <v>92570282023/24</v>
      </c>
      <c r="C131" s="289" t="s">
        <v>975</v>
      </c>
      <c r="D131" t="str">
        <f>CONCATENATE(A131,C131)</f>
        <v>92570282023/24</v>
      </c>
      <c r="E131" s="122">
        <f>VLOOKUP(A131,'2324 Funding Detail'!$A$4:$M$20,13,(FALSE))</f>
        <v>138.66666666666669</v>
      </c>
      <c r="F131" s="1053">
        <f>$E$131*'2324 Band Calculations'!D19</f>
        <v>12.50273224043716</v>
      </c>
      <c r="G131" s="1053">
        <f>$E$131*'2324 Band Calculations'!E19</f>
        <v>63.650273224043723</v>
      </c>
      <c r="H131" s="1053">
        <f>$E$131*'2324 Band Calculations'!F19</f>
        <v>9.0928961748633892</v>
      </c>
      <c r="I131" s="1053">
        <f>$E$131*'2324 Band Calculations'!G19</f>
        <v>11.366120218579235</v>
      </c>
      <c r="J131" s="1053">
        <f>$E$131*'2324 Band Calculations'!H19</f>
        <v>12.50273224043716</v>
      </c>
      <c r="K131" s="1053">
        <f>$E$131*'2324 Band Calculations'!I19</f>
        <v>9.0928961748633892</v>
      </c>
      <c r="L131" s="460">
        <f>$E$131*'2324 Band Calculations'!J19</f>
        <v>20.459016393442624</v>
      </c>
      <c r="N131" s="16"/>
      <c r="R131" s="800"/>
    </row>
    <row r="132" spans="1:18" x14ac:dyDescent="0.25">
      <c r="A132" s="244">
        <v>9257028</v>
      </c>
      <c r="B132" t="str">
        <f t="shared" ref="B132:B135" si="71">CONCATENATE(A132,C132)</f>
        <v>9257028</v>
      </c>
      <c r="F132" s="461">
        <f t="shared" ref="F132:K132" si="72">F131-F130</f>
        <v>12.50273224043716</v>
      </c>
      <c r="G132" s="461">
        <f t="shared" si="72"/>
        <v>63.650273224043723</v>
      </c>
      <c r="H132" s="461">
        <f t="shared" si="72"/>
        <v>9.0928961748633892</v>
      </c>
      <c r="I132" s="461">
        <f t="shared" si="72"/>
        <v>11.366120218579235</v>
      </c>
      <c r="J132" s="461">
        <f t="shared" si="72"/>
        <v>12.50273224043716</v>
      </c>
      <c r="K132" s="461">
        <f t="shared" si="72"/>
        <v>9.0928961748633892</v>
      </c>
      <c r="R132" s="800"/>
    </row>
    <row r="133" spans="1:18" x14ac:dyDescent="0.25">
      <c r="A133" s="244">
        <v>9257028</v>
      </c>
      <c r="B133" t="str">
        <f t="shared" si="71"/>
        <v>9257028a</v>
      </c>
      <c r="C133" s="289" t="s">
        <v>1012</v>
      </c>
      <c r="D133" s="289" t="s">
        <v>1009</v>
      </c>
      <c r="F133" s="1053">
        <f t="shared" ref="F133:K133" si="73">IF(F130&gt;F131,(F131),(F130))</f>
        <v>0</v>
      </c>
      <c r="G133" s="1053">
        <f t="shared" si="73"/>
        <v>0</v>
      </c>
      <c r="H133" s="1053">
        <f t="shared" si="73"/>
        <v>0</v>
      </c>
      <c r="I133" s="1053">
        <f t="shared" si="73"/>
        <v>0</v>
      </c>
      <c r="J133" s="1053">
        <f t="shared" si="73"/>
        <v>0</v>
      </c>
      <c r="K133" s="1053">
        <f t="shared" si="73"/>
        <v>0</v>
      </c>
      <c r="L133" s="122"/>
      <c r="M133" s="16"/>
      <c r="O133" s="16"/>
      <c r="P133" s="16"/>
      <c r="R133" s="800"/>
    </row>
    <row r="134" spans="1:18" x14ac:dyDescent="0.25">
      <c r="A134" s="244"/>
      <c r="B134" t="s">
        <v>1049</v>
      </c>
      <c r="C134" s="289" t="s">
        <v>959</v>
      </c>
      <c r="D134" s="289" t="s">
        <v>1014</v>
      </c>
      <c r="F134" s="1303">
        <f>'2223 MFG Protection'!F150</f>
        <v>0</v>
      </c>
      <c r="G134" s="1303">
        <f>'2223 MFG Protection'!G150</f>
        <v>0</v>
      </c>
      <c r="H134" s="1303">
        <f>'2223 MFG Protection'!H150</f>
        <v>0</v>
      </c>
      <c r="I134" s="1303">
        <f>'2223 MFG Protection'!I150</f>
        <v>0</v>
      </c>
      <c r="J134" s="1303">
        <f>'2223 MFG Protection'!J150</f>
        <v>0</v>
      </c>
      <c r="K134" s="1303">
        <f>'2223 MFG Protection'!K150</f>
        <v>0</v>
      </c>
      <c r="L134" s="122"/>
      <c r="M134" s="16"/>
      <c r="O134" s="16"/>
      <c r="P134" s="16"/>
      <c r="R134" s="800"/>
    </row>
    <row r="135" spans="1:18" x14ac:dyDescent="0.25">
      <c r="A135" s="244">
        <v>9257028</v>
      </c>
      <c r="B135" t="str">
        <f t="shared" si="71"/>
        <v>9257028b</v>
      </c>
      <c r="C135" s="289" t="s">
        <v>1016</v>
      </c>
      <c r="D135" s="289" t="s">
        <v>1017</v>
      </c>
      <c r="F135" s="1310">
        <v>0</v>
      </c>
      <c r="G135" s="1310">
        <v>0</v>
      </c>
      <c r="H135" s="1310">
        <v>0</v>
      </c>
      <c r="I135" s="1310">
        <v>0</v>
      </c>
      <c r="J135" s="1310">
        <v>0</v>
      </c>
      <c r="K135" s="1310">
        <v>0</v>
      </c>
      <c r="L135" s="122"/>
      <c r="M135" s="16"/>
      <c r="R135" s="800"/>
    </row>
    <row r="136" spans="1:18" x14ac:dyDescent="0.25">
      <c r="A136" s="244"/>
      <c r="B136" t="s">
        <v>1050</v>
      </c>
      <c r="C136" s="289" t="s">
        <v>975</v>
      </c>
      <c r="D136" s="289" t="s">
        <v>1014</v>
      </c>
      <c r="F136" s="1054">
        <f>IF(F134-F135&gt;0,(F134-F135),(0))</f>
        <v>0</v>
      </c>
      <c r="G136" s="1054">
        <f t="shared" ref="G136:K136" si="74">IF(G134-G135&gt;0,(G134-G135),(0))</f>
        <v>0</v>
      </c>
      <c r="H136" s="1054">
        <f t="shared" si="74"/>
        <v>0</v>
      </c>
      <c r="I136" s="1054">
        <f t="shared" si="74"/>
        <v>0</v>
      </c>
      <c r="J136" s="1054">
        <f t="shared" si="74"/>
        <v>0</v>
      </c>
      <c r="K136" s="1054">
        <f t="shared" si="74"/>
        <v>0</v>
      </c>
      <c r="L136" s="122"/>
      <c r="M136" s="16"/>
      <c r="R136" s="800"/>
    </row>
    <row r="137" spans="1:18" x14ac:dyDescent="0.25">
      <c r="A137" s="244">
        <v>9257028</v>
      </c>
      <c r="B137" t="str">
        <f>CONCATENATE(A137,C137)</f>
        <v>9257028c</v>
      </c>
      <c r="C137" s="289" t="s">
        <v>1020</v>
      </c>
      <c r="D137" s="289" t="s">
        <v>697</v>
      </c>
      <c r="F137" s="16">
        <f t="shared" ref="F137:K137" si="75">IF(F136&lt;0,0,(F136*F133))</f>
        <v>0</v>
      </c>
      <c r="G137" s="16">
        <f t="shared" si="75"/>
        <v>0</v>
      </c>
      <c r="H137" s="16">
        <f t="shared" si="75"/>
        <v>0</v>
      </c>
      <c r="I137" s="16">
        <f t="shared" si="75"/>
        <v>0</v>
      </c>
      <c r="J137" s="16">
        <f t="shared" si="75"/>
        <v>0</v>
      </c>
      <c r="K137" s="16">
        <f t="shared" si="75"/>
        <v>0</v>
      </c>
      <c r="L137" s="395">
        <f>SUM(F137:K137)</f>
        <v>0</v>
      </c>
      <c r="M137" s="394">
        <f>L137-O130</f>
        <v>0</v>
      </c>
      <c r="R137" s="800"/>
    </row>
    <row r="138" spans="1:18" x14ac:dyDescent="0.25">
      <c r="A138" s="463"/>
      <c r="B138" s="463" t="s">
        <v>216</v>
      </c>
      <c r="C138" s="463"/>
      <c r="D138" s="463"/>
      <c r="E138" s="464"/>
      <c r="F138" s="465"/>
      <c r="G138" s="465"/>
      <c r="H138" s="465"/>
      <c r="I138" s="465"/>
      <c r="J138" s="465"/>
      <c r="K138" s="465"/>
      <c r="L138" s="465"/>
      <c r="M138" s="465"/>
      <c r="N138" s="464"/>
      <c r="O138" s="464"/>
      <c r="P138" s="464"/>
      <c r="Q138" s="464"/>
    </row>
    <row r="139" spans="1:18" x14ac:dyDescent="0.25">
      <c r="A139" s="244">
        <v>9257021</v>
      </c>
      <c r="B139" t="str">
        <f>CONCATENATE(A139,C139)</f>
        <v>92570212022/23</v>
      </c>
      <c r="C139" s="1311" t="s">
        <v>959</v>
      </c>
      <c r="D139" s="289" t="s">
        <v>1009</v>
      </c>
      <c r="E139" s="122">
        <f>SUM(F139:K139)</f>
        <v>0</v>
      </c>
      <c r="F139" s="1309">
        <f>'2223 MFG Protection'!F162</f>
        <v>0</v>
      </c>
      <c r="G139" s="1309">
        <f>'2223 MFG Protection'!G162</f>
        <v>0</v>
      </c>
      <c r="H139" s="1309">
        <f>'2223 MFG Protection'!H162</f>
        <v>0</v>
      </c>
      <c r="I139" s="1309">
        <f>'2223 MFG Protection'!I162</f>
        <v>0</v>
      </c>
      <c r="J139" s="1309">
        <f>'2223 MFG Protection'!J162</f>
        <v>0</v>
      </c>
      <c r="K139" s="1309">
        <f>'2223 MFG Protection'!K162</f>
        <v>0</v>
      </c>
      <c r="L139" s="122"/>
      <c r="N139" s="16"/>
      <c r="O139" s="394">
        <f>'2223 MFG Protection'!L161</f>
        <v>0</v>
      </c>
      <c r="R139" s="800"/>
    </row>
    <row r="140" spans="1:18" x14ac:dyDescent="0.25">
      <c r="A140" s="244">
        <v>9257021</v>
      </c>
      <c r="B140" t="str">
        <f>CONCATENATE(A140,C140)</f>
        <v>92570212023/24</v>
      </c>
      <c r="C140" s="289" t="s">
        <v>975</v>
      </c>
      <c r="D140" t="str">
        <f>CONCATENATE(A140,C140)</f>
        <v>92570212023/24</v>
      </c>
      <c r="E140" s="122">
        <f>VLOOKUP(A140,'2324 Funding Detail'!$A$4:$M$20,13,(FALSE))</f>
        <v>178.58333333333334</v>
      </c>
      <c r="F140" s="1053">
        <f>$E$140*'2324 Band Calculations'!D20</f>
        <v>37.817647058823532</v>
      </c>
      <c r="G140" s="1053">
        <f>$E$140*'2324 Band Calculations'!E20</f>
        <v>93.493627450980398</v>
      </c>
      <c r="H140" s="1053">
        <f>$E$140*'2324 Band Calculations'!F20</f>
        <v>18.908823529411766</v>
      </c>
      <c r="I140" s="1053">
        <f>$E$140*'2324 Band Calculations'!G20</f>
        <v>12.605882352941176</v>
      </c>
      <c r="J140" s="1053">
        <f>$E$140*'2324 Band Calculations'!H20</f>
        <v>5.2524509803921573</v>
      </c>
      <c r="K140" s="1053">
        <f>$E$140*'2324 Band Calculations'!I20</f>
        <v>8.4039215686274513</v>
      </c>
      <c r="L140" s="460">
        <f>$E$140*'2324 Band Calculations'!J20</f>
        <v>2.1009803921568628</v>
      </c>
      <c r="N140" s="16"/>
      <c r="R140" s="800"/>
    </row>
    <row r="141" spans="1:18" x14ac:dyDescent="0.25">
      <c r="A141" s="244">
        <v>9257021</v>
      </c>
      <c r="B141" t="str">
        <f t="shared" ref="B141:B144" si="76">CONCATENATE(A141,C141)</f>
        <v>9257021</v>
      </c>
      <c r="F141" s="461">
        <f t="shared" ref="F141:K141" si="77">F140-F139</f>
        <v>37.817647058823532</v>
      </c>
      <c r="G141" s="461">
        <f t="shared" si="77"/>
        <v>93.493627450980398</v>
      </c>
      <c r="H141" s="461">
        <f t="shared" si="77"/>
        <v>18.908823529411766</v>
      </c>
      <c r="I141" s="461">
        <f t="shared" si="77"/>
        <v>12.605882352941176</v>
      </c>
      <c r="J141" s="461">
        <f t="shared" si="77"/>
        <v>5.2524509803921573</v>
      </c>
      <c r="K141" s="461">
        <f t="shared" si="77"/>
        <v>8.4039215686274513</v>
      </c>
      <c r="R141" s="800"/>
    </row>
    <row r="142" spans="1:18" x14ac:dyDescent="0.25">
      <c r="A142" s="244">
        <v>9257021</v>
      </c>
      <c r="B142" t="str">
        <f t="shared" si="76"/>
        <v>9257021a</v>
      </c>
      <c r="C142" s="289" t="s">
        <v>1012</v>
      </c>
      <c r="D142" s="289" t="s">
        <v>1009</v>
      </c>
      <c r="F142" s="1053">
        <f t="shared" ref="F142:K142" si="78">IF(F139&gt;F140,(F140),(F139))</f>
        <v>0</v>
      </c>
      <c r="G142" s="1053">
        <f t="shared" si="78"/>
        <v>0</v>
      </c>
      <c r="H142" s="1053">
        <f t="shared" si="78"/>
        <v>0</v>
      </c>
      <c r="I142" s="1053">
        <f t="shared" si="78"/>
        <v>0</v>
      </c>
      <c r="J142" s="1053">
        <f t="shared" si="78"/>
        <v>0</v>
      </c>
      <c r="K142" s="1053">
        <f t="shared" si="78"/>
        <v>0</v>
      </c>
      <c r="L142" s="122"/>
      <c r="M142" s="16"/>
      <c r="O142" s="16"/>
      <c r="P142" s="16"/>
      <c r="R142" s="800"/>
    </row>
    <row r="143" spans="1:18" x14ac:dyDescent="0.25">
      <c r="A143" s="244"/>
      <c r="B143" t="s">
        <v>1051</v>
      </c>
      <c r="C143" s="289" t="s">
        <v>959</v>
      </c>
      <c r="D143" s="289" t="s">
        <v>1014</v>
      </c>
      <c r="F143" s="1303">
        <f>'2223 MFG Protection'!F160</f>
        <v>0</v>
      </c>
      <c r="G143" s="1303">
        <f>'2223 MFG Protection'!G160</f>
        <v>0</v>
      </c>
      <c r="H143" s="1303">
        <f>'2223 MFG Protection'!H160</f>
        <v>0</v>
      </c>
      <c r="I143" s="1303">
        <f>'2223 MFG Protection'!I160</f>
        <v>0</v>
      </c>
      <c r="J143" s="1303">
        <f>'2223 MFG Protection'!J160</f>
        <v>0</v>
      </c>
      <c r="K143" s="1303">
        <f>'2223 MFG Protection'!K160</f>
        <v>0</v>
      </c>
      <c r="L143" s="122"/>
      <c r="M143" s="16"/>
      <c r="O143" s="16"/>
      <c r="P143" s="16"/>
      <c r="R143" s="800"/>
    </row>
    <row r="144" spans="1:18" x14ac:dyDescent="0.25">
      <c r="A144" s="244">
        <v>9257021</v>
      </c>
      <c r="B144" t="str">
        <f t="shared" si="76"/>
        <v>9257021b</v>
      </c>
      <c r="C144" s="289" t="s">
        <v>1016</v>
      </c>
      <c r="D144" s="289" t="s">
        <v>1017</v>
      </c>
      <c r="F144" s="1310">
        <v>0</v>
      </c>
      <c r="G144" s="1310">
        <v>0</v>
      </c>
      <c r="H144" s="1310">
        <v>0</v>
      </c>
      <c r="I144" s="1310">
        <v>0</v>
      </c>
      <c r="J144" s="1310">
        <v>0</v>
      </c>
      <c r="K144" s="1310">
        <v>0</v>
      </c>
      <c r="L144" s="122"/>
      <c r="M144" s="16"/>
      <c r="R144" s="800"/>
    </row>
    <row r="145" spans="1:18" x14ac:dyDescent="0.25">
      <c r="A145" s="244"/>
      <c r="B145" t="s">
        <v>1052</v>
      </c>
      <c r="C145" s="289" t="s">
        <v>975</v>
      </c>
      <c r="D145" s="289" t="s">
        <v>1014</v>
      </c>
      <c r="F145" s="1054">
        <f>IF(F143-F144&gt;0,(F143-F144),(0))</f>
        <v>0</v>
      </c>
      <c r="G145" s="1054">
        <f t="shared" ref="G145:K145" si="79">IF(G143-G144&gt;0,(G143-G144),(0))</f>
        <v>0</v>
      </c>
      <c r="H145" s="1054">
        <f t="shared" si="79"/>
        <v>0</v>
      </c>
      <c r="I145" s="1054">
        <f t="shared" si="79"/>
        <v>0</v>
      </c>
      <c r="J145" s="1054">
        <f t="shared" si="79"/>
        <v>0</v>
      </c>
      <c r="K145" s="1054">
        <f t="shared" si="79"/>
        <v>0</v>
      </c>
      <c r="L145" s="122"/>
      <c r="M145" s="16"/>
      <c r="R145" s="800"/>
    </row>
    <row r="146" spans="1:18" x14ac:dyDescent="0.25">
      <c r="A146" s="244">
        <v>9257021</v>
      </c>
      <c r="B146" t="str">
        <f>CONCATENATE(A146,C146)</f>
        <v>9257021c</v>
      </c>
      <c r="C146" s="289" t="s">
        <v>1020</v>
      </c>
      <c r="D146" s="289" t="s">
        <v>697</v>
      </c>
      <c r="F146" s="16">
        <f t="shared" ref="F146:K146" si="80">IF(F145&lt;0,0,(F145*F142))</f>
        <v>0</v>
      </c>
      <c r="G146" s="16">
        <f t="shared" si="80"/>
        <v>0</v>
      </c>
      <c r="H146" s="16">
        <f t="shared" si="80"/>
        <v>0</v>
      </c>
      <c r="I146" s="16">
        <f t="shared" si="80"/>
        <v>0</v>
      </c>
      <c r="J146" s="16">
        <f t="shared" si="80"/>
        <v>0</v>
      </c>
      <c r="K146" s="16">
        <f t="shared" si="80"/>
        <v>0</v>
      </c>
      <c r="L146" s="395">
        <f>SUM(F146:K146)</f>
        <v>0</v>
      </c>
      <c r="M146" s="394">
        <f>L146-O139</f>
        <v>0</v>
      </c>
      <c r="R146" s="800"/>
    </row>
    <row r="147" spans="1:18" x14ac:dyDescent="0.25">
      <c r="A147" s="463"/>
      <c r="B147" s="463" t="s">
        <v>217</v>
      </c>
      <c r="C147" s="463"/>
      <c r="D147" s="463"/>
      <c r="E147" s="464"/>
      <c r="F147" s="465"/>
      <c r="G147" s="465"/>
      <c r="H147" s="465"/>
      <c r="I147" s="465"/>
      <c r="J147" s="465"/>
      <c r="K147" s="465"/>
      <c r="L147" s="465"/>
      <c r="M147" s="465"/>
      <c r="N147" s="464"/>
      <c r="O147" s="464"/>
      <c r="P147" s="464"/>
      <c r="Q147" s="464"/>
    </row>
    <row r="148" spans="1:18" x14ac:dyDescent="0.25">
      <c r="A148" s="244">
        <v>9257015</v>
      </c>
      <c r="B148" t="str">
        <f>CONCATENATE(A148,C148)</f>
        <v>92570152022/23</v>
      </c>
      <c r="C148" s="1311" t="s">
        <v>959</v>
      </c>
      <c r="D148" s="289" t="s">
        <v>1009</v>
      </c>
      <c r="E148" s="122">
        <f>SUM(F148:K148)</f>
        <v>0</v>
      </c>
      <c r="F148" s="1309">
        <f>'2223 MFG Protection'!F172</f>
        <v>0</v>
      </c>
      <c r="G148" s="1309">
        <f>'2223 MFG Protection'!G172</f>
        <v>0</v>
      </c>
      <c r="H148" s="1309">
        <f>'2223 MFG Protection'!H172</f>
        <v>0</v>
      </c>
      <c r="I148" s="1309">
        <f>'2223 MFG Protection'!I172</f>
        <v>0</v>
      </c>
      <c r="J148" s="1309">
        <f>'2223 MFG Protection'!J172</f>
        <v>0</v>
      </c>
      <c r="K148" s="1309">
        <f>'2223 MFG Protection'!K172</f>
        <v>0</v>
      </c>
      <c r="L148" s="122"/>
      <c r="N148" s="16"/>
      <c r="O148" s="394">
        <f>'2223 MFG Protection'!L171</f>
        <v>0</v>
      </c>
      <c r="R148" s="800"/>
    </row>
    <row r="149" spans="1:18" x14ac:dyDescent="0.25">
      <c r="A149" s="244">
        <v>9257015</v>
      </c>
      <c r="B149" t="str">
        <f>CONCATENATE(A149,C149)</f>
        <v>92570152023/24</v>
      </c>
      <c r="C149" s="289" t="s">
        <v>975</v>
      </c>
      <c r="D149" t="str">
        <f>CONCATENATE(A149,C149)</f>
        <v>92570152023/24</v>
      </c>
      <c r="E149" s="122">
        <f>VLOOKUP(A149,'2324 Funding Detail'!$A$4:$M$20,13,(FALSE))</f>
        <v>234.33333333333337</v>
      </c>
      <c r="F149" s="1053">
        <f>$E$149*'2324 Band Calculations'!D21</f>
        <v>63.249262536873161</v>
      </c>
      <c r="G149" s="1053">
        <f>$E$149*'2324 Band Calculations'!E21</f>
        <v>98.502949852507385</v>
      </c>
      <c r="H149" s="1053">
        <f>$E$149*'2324 Band Calculations'!F21</f>
        <v>5.1843657817109152</v>
      </c>
      <c r="I149" s="1053">
        <f>$E$149*'2324 Band Calculations'!G21</f>
        <v>20.737463126843661</v>
      </c>
      <c r="J149" s="1053">
        <f>$E$149*'2324 Band Calculations'!H21</f>
        <v>5.1843657817109152</v>
      </c>
      <c r="K149" s="1053">
        <f>$E$149*'2324 Band Calculations'!I21</f>
        <v>37.327433628318587</v>
      </c>
      <c r="L149" s="460">
        <f>$E$149*'2324 Band Calculations'!J21</f>
        <v>4.1474926253687325</v>
      </c>
      <c r="N149" s="16"/>
      <c r="R149" s="800"/>
    </row>
    <row r="150" spans="1:18" x14ac:dyDescent="0.25">
      <c r="A150" s="244">
        <v>9257015</v>
      </c>
      <c r="B150" t="str">
        <f t="shared" ref="B150:B153" si="81">CONCATENATE(A150,C150)</f>
        <v>9257015</v>
      </c>
      <c r="F150" s="461">
        <f t="shared" ref="F150:K150" si="82">F149-F148</f>
        <v>63.249262536873161</v>
      </c>
      <c r="G150" s="461">
        <f t="shared" si="82"/>
        <v>98.502949852507385</v>
      </c>
      <c r="H150" s="461">
        <f t="shared" si="82"/>
        <v>5.1843657817109152</v>
      </c>
      <c r="I150" s="461">
        <f t="shared" si="82"/>
        <v>20.737463126843661</v>
      </c>
      <c r="J150" s="461">
        <f t="shared" si="82"/>
        <v>5.1843657817109152</v>
      </c>
      <c r="K150" s="461">
        <f t="shared" si="82"/>
        <v>37.327433628318587</v>
      </c>
      <c r="L150" s="460"/>
      <c r="R150" s="800"/>
    </row>
    <row r="151" spans="1:18" x14ac:dyDescent="0.25">
      <c r="A151" s="244">
        <v>9257015</v>
      </c>
      <c r="B151" t="str">
        <f t="shared" si="81"/>
        <v>9257015a</v>
      </c>
      <c r="C151" s="289" t="s">
        <v>1012</v>
      </c>
      <c r="D151" s="289" t="s">
        <v>1009</v>
      </c>
      <c r="F151" s="1053">
        <f t="shared" ref="F151:K151" si="83">IF(F148&gt;F149,(F149),(F148))</f>
        <v>0</v>
      </c>
      <c r="G151" s="1053">
        <f t="shared" si="83"/>
        <v>0</v>
      </c>
      <c r="H151" s="1053">
        <f t="shared" si="83"/>
        <v>0</v>
      </c>
      <c r="I151" s="1053">
        <f t="shared" si="83"/>
        <v>0</v>
      </c>
      <c r="J151" s="1053">
        <f t="shared" si="83"/>
        <v>0</v>
      </c>
      <c r="K151" s="1053">
        <f t="shared" si="83"/>
        <v>0</v>
      </c>
      <c r="L151" s="122"/>
      <c r="M151" s="16"/>
      <c r="O151" s="16"/>
      <c r="P151" s="16"/>
      <c r="R151" s="800"/>
    </row>
    <row r="152" spans="1:18" x14ac:dyDescent="0.25">
      <c r="A152" s="244"/>
      <c r="B152" t="s">
        <v>1053</v>
      </c>
      <c r="C152" s="289" t="s">
        <v>959</v>
      </c>
      <c r="D152" s="289" t="s">
        <v>1014</v>
      </c>
      <c r="F152" s="1303">
        <f>'2223 MFG Protection'!F170</f>
        <v>0</v>
      </c>
      <c r="G152" s="1303">
        <f>'2223 MFG Protection'!G170</f>
        <v>0</v>
      </c>
      <c r="H152" s="1303">
        <f>'2223 MFG Protection'!H170</f>
        <v>0</v>
      </c>
      <c r="I152" s="1303">
        <f>'2223 MFG Protection'!I170</f>
        <v>0</v>
      </c>
      <c r="J152" s="1303">
        <f>'2223 MFG Protection'!J170</f>
        <v>0</v>
      </c>
      <c r="K152" s="1303">
        <f>'2223 MFG Protection'!K170</f>
        <v>0</v>
      </c>
      <c r="L152" s="122"/>
      <c r="M152" s="16"/>
      <c r="O152" s="16"/>
      <c r="P152" s="16"/>
      <c r="R152" s="800"/>
    </row>
    <row r="153" spans="1:18" x14ac:dyDescent="0.25">
      <c r="A153" s="244">
        <v>9257015</v>
      </c>
      <c r="B153" t="str">
        <f t="shared" si="81"/>
        <v>9257015b</v>
      </c>
      <c r="C153" s="289" t="s">
        <v>1016</v>
      </c>
      <c r="D153" s="289" t="s">
        <v>1017</v>
      </c>
      <c r="F153" s="1310">
        <v>0</v>
      </c>
      <c r="G153" s="1310">
        <v>0</v>
      </c>
      <c r="H153" s="1310">
        <v>0</v>
      </c>
      <c r="I153" s="1310">
        <v>0</v>
      </c>
      <c r="J153" s="1310">
        <v>0</v>
      </c>
      <c r="K153" s="1310">
        <v>0</v>
      </c>
      <c r="L153" s="122"/>
      <c r="M153" s="16"/>
      <c r="R153" s="800"/>
    </row>
    <row r="154" spans="1:18" x14ac:dyDescent="0.25">
      <c r="A154" s="244"/>
      <c r="B154" t="s">
        <v>1054</v>
      </c>
      <c r="C154" s="289" t="s">
        <v>975</v>
      </c>
      <c r="D154" s="289" t="s">
        <v>1014</v>
      </c>
      <c r="F154" s="1054">
        <f>IF(F152-F153&gt;0,(F152-F153),(0))</f>
        <v>0</v>
      </c>
      <c r="G154" s="1054">
        <f t="shared" ref="G154:K154" si="84">IF(G152-G153&gt;0,(G152-G153),(0))</f>
        <v>0</v>
      </c>
      <c r="H154" s="1054">
        <f t="shared" si="84"/>
        <v>0</v>
      </c>
      <c r="I154" s="1054">
        <f t="shared" si="84"/>
        <v>0</v>
      </c>
      <c r="J154" s="1054">
        <f t="shared" si="84"/>
        <v>0</v>
      </c>
      <c r="K154" s="1054">
        <f t="shared" si="84"/>
        <v>0</v>
      </c>
      <c r="L154" s="122"/>
      <c r="M154" s="16"/>
      <c r="R154" s="800"/>
    </row>
    <row r="155" spans="1:18" x14ac:dyDescent="0.25">
      <c r="A155" s="244">
        <v>9257015</v>
      </c>
      <c r="B155" t="str">
        <f>CONCATENATE(A155,C155)</f>
        <v>9257015c</v>
      </c>
      <c r="C155" s="289" t="s">
        <v>1020</v>
      </c>
      <c r="D155" s="289" t="s">
        <v>697</v>
      </c>
      <c r="F155" s="16">
        <f t="shared" ref="F155:K155" si="85">IF(F154&lt;0,0,(F154*F151))</f>
        <v>0</v>
      </c>
      <c r="G155" s="16">
        <f t="shared" si="85"/>
        <v>0</v>
      </c>
      <c r="H155" s="16">
        <f t="shared" si="85"/>
        <v>0</v>
      </c>
      <c r="I155" s="16">
        <f t="shared" si="85"/>
        <v>0</v>
      </c>
      <c r="J155" s="16">
        <f t="shared" si="85"/>
        <v>0</v>
      </c>
      <c r="K155" s="16">
        <f t="shared" si="85"/>
        <v>0</v>
      </c>
      <c r="L155" s="395">
        <f>SUM(F155:K155)</f>
        <v>0</v>
      </c>
      <c r="M155" s="394">
        <f>L155-O148</f>
        <v>0</v>
      </c>
      <c r="R155" s="800"/>
    </row>
    <row r="156" spans="1:18" x14ac:dyDescent="0.25">
      <c r="A156" s="463"/>
      <c r="B156" s="463" t="s">
        <v>219</v>
      </c>
      <c r="C156" s="463"/>
      <c r="D156" s="463"/>
      <c r="E156" s="464"/>
      <c r="F156" s="465"/>
      <c r="G156" s="465"/>
      <c r="H156" s="465"/>
      <c r="I156" s="465"/>
      <c r="J156" s="465"/>
      <c r="K156" s="465"/>
      <c r="L156" s="465"/>
      <c r="M156" s="465"/>
      <c r="N156" s="464"/>
      <c r="O156" s="464"/>
      <c r="P156" s="464"/>
      <c r="Q156" s="464"/>
    </row>
    <row r="157" spans="1:18" x14ac:dyDescent="0.25">
      <c r="A157" s="244">
        <v>9257016</v>
      </c>
      <c r="B157" t="str">
        <f>CONCATENATE(A157,C157)</f>
        <v>92570162022/23</v>
      </c>
      <c r="C157" s="1311" t="s">
        <v>959</v>
      </c>
      <c r="D157" s="289" t="s">
        <v>1009</v>
      </c>
      <c r="E157" s="122">
        <f>SUM(F157:K157)</f>
        <v>0</v>
      </c>
      <c r="F157" s="1309">
        <f>'2223 MFG Protection'!F182</f>
        <v>0</v>
      </c>
      <c r="G157" s="1309">
        <f>'2223 MFG Protection'!G182</f>
        <v>0</v>
      </c>
      <c r="H157" s="1309">
        <f>'2223 MFG Protection'!H182</f>
        <v>0</v>
      </c>
      <c r="I157" s="1309">
        <f>'2223 MFG Protection'!I182</f>
        <v>0</v>
      </c>
      <c r="J157" s="1309">
        <f>'2223 MFG Protection'!J182</f>
        <v>0</v>
      </c>
      <c r="K157" s="1309">
        <f>'2223 MFG Protection'!K182</f>
        <v>0</v>
      </c>
      <c r="L157" s="122"/>
      <c r="N157" s="16"/>
      <c r="O157" s="394">
        <f>'2223 MFG Protection'!L181</f>
        <v>0</v>
      </c>
      <c r="R157" s="800"/>
    </row>
    <row r="158" spans="1:18" x14ac:dyDescent="0.25">
      <c r="A158" s="244">
        <v>9257016</v>
      </c>
      <c r="B158" t="str">
        <f>CONCATENATE(A158,C158)</f>
        <v>92570162023/24</v>
      </c>
      <c r="C158" s="289" t="s">
        <v>975</v>
      </c>
      <c r="D158" t="str">
        <f>CONCATENATE(A158,C158)</f>
        <v>92570162023/24</v>
      </c>
      <c r="E158" s="122">
        <f>VLOOKUP(A158,'2324 Funding Detail'!$A$4:$M$20,13,(FALSE))</f>
        <v>165.16666666666669</v>
      </c>
      <c r="F158" s="1053">
        <f>$E$158*'2324 Band Calculations'!D22</f>
        <v>19.613541666666666</v>
      </c>
      <c r="G158" s="1053">
        <f>$E$158*'2324 Band Calculations'!E22</f>
        <v>35.09791666666667</v>
      </c>
      <c r="H158" s="1053">
        <f>$E$158*'2324 Band Calculations'!F22</f>
        <v>2.0645833333333337</v>
      </c>
      <c r="I158" s="1053">
        <f>$E$158*'2324 Band Calculations'!G22</f>
        <v>40.259375000000006</v>
      </c>
      <c r="J158" s="1053">
        <f>$E$158*'2324 Band Calculations'!H22</f>
        <v>29.936458333333334</v>
      </c>
      <c r="K158" s="1053">
        <f>$E$158*'2324 Band Calculations'!I22</f>
        <v>3.0968750000000003</v>
      </c>
      <c r="L158" s="460">
        <f>$E$158*'2324 Band Calculations'!J22</f>
        <v>35.09791666666667</v>
      </c>
      <c r="N158" s="16"/>
      <c r="R158" s="800"/>
    </row>
    <row r="159" spans="1:18" x14ac:dyDescent="0.25">
      <c r="A159" s="244">
        <v>9257016</v>
      </c>
      <c r="B159" t="str">
        <f t="shared" ref="B159:B162" si="86">CONCATENATE(A159,C159)</f>
        <v>9257016</v>
      </c>
      <c r="F159" s="461">
        <f t="shared" ref="F159:K159" si="87">F158-F157</f>
        <v>19.613541666666666</v>
      </c>
      <c r="G159" s="461">
        <f t="shared" si="87"/>
        <v>35.09791666666667</v>
      </c>
      <c r="H159" s="461">
        <f t="shared" si="87"/>
        <v>2.0645833333333337</v>
      </c>
      <c r="I159" s="461">
        <f t="shared" si="87"/>
        <v>40.259375000000006</v>
      </c>
      <c r="J159" s="461">
        <f t="shared" si="87"/>
        <v>29.936458333333334</v>
      </c>
      <c r="K159" s="461">
        <f t="shared" si="87"/>
        <v>3.0968750000000003</v>
      </c>
      <c r="R159" s="800"/>
    </row>
    <row r="160" spans="1:18" x14ac:dyDescent="0.25">
      <c r="A160" s="244">
        <v>9257016</v>
      </c>
      <c r="B160" t="str">
        <f t="shared" si="86"/>
        <v>9257016a</v>
      </c>
      <c r="C160" s="289" t="s">
        <v>1012</v>
      </c>
      <c r="D160" s="289" t="s">
        <v>1009</v>
      </c>
      <c r="F160" s="1053">
        <f t="shared" ref="F160:K160" si="88">IF(F157&gt;F158,(F158),(F157))</f>
        <v>0</v>
      </c>
      <c r="G160" s="1053">
        <f t="shared" si="88"/>
        <v>0</v>
      </c>
      <c r="H160" s="1053">
        <f t="shared" si="88"/>
        <v>0</v>
      </c>
      <c r="I160" s="1053">
        <f t="shared" si="88"/>
        <v>0</v>
      </c>
      <c r="J160" s="1053">
        <f t="shared" si="88"/>
        <v>0</v>
      </c>
      <c r="K160" s="1053">
        <f t="shared" si="88"/>
        <v>0</v>
      </c>
      <c r="L160" s="122"/>
      <c r="M160" s="16"/>
      <c r="O160" s="16"/>
      <c r="P160" s="16"/>
      <c r="R160" s="800"/>
    </row>
    <row r="161" spans="1:18" x14ac:dyDescent="0.25">
      <c r="A161" s="244"/>
      <c r="B161" t="s">
        <v>1055</v>
      </c>
      <c r="C161" s="289" t="s">
        <v>959</v>
      </c>
      <c r="D161" s="289" t="s">
        <v>1014</v>
      </c>
      <c r="F161" s="1303">
        <f>'2223 MFG Protection'!F180</f>
        <v>0</v>
      </c>
      <c r="G161" s="1303">
        <f>'2223 MFG Protection'!G180</f>
        <v>0</v>
      </c>
      <c r="H161" s="1303">
        <f>'2223 MFG Protection'!H180</f>
        <v>0</v>
      </c>
      <c r="I161" s="1303">
        <f>'2223 MFG Protection'!I180</f>
        <v>0</v>
      </c>
      <c r="J161" s="1303">
        <f>'2223 MFG Protection'!J180</f>
        <v>0</v>
      </c>
      <c r="K161" s="1303">
        <f>'2223 MFG Protection'!K180</f>
        <v>0</v>
      </c>
      <c r="L161" s="122"/>
      <c r="M161" s="16"/>
      <c r="O161" s="16"/>
      <c r="P161" s="16"/>
      <c r="R161" s="800"/>
    </row>
    <row r="162" spans="1:18" x14ac:dyDescent="0.25">
      <c r="A162" s="244">
        <v>9257016</v>
      </c>
      <c r="B162" t="str">
        <f t="shared" si="86"/>
        <v>9257016b</v>
      </c>
      <c r="C162" s="289" t="s">
        <v>1016</v>
      </c>
      <c r="D162" s="289" t="s">
        <v>1017</v>
      </c>
      <c r="F162" s="1310">
        <v>0</v>
      </c>
      <c r="G162" s="1310">
        <v>0</v>
      </c>
      <c r="H162" s="1310">
        <v>0</v>
      </c>
      <c r="I162" s="1310">
        <v>0</v>
      </c>
      <c r="J162" s="1310">
        <v>0</v>
      </c>
      <c r="K162" s="1310">
        <v>0</v>
      </c>
      <c r="L162" s="122"/>
      <c r="M162" s="16"/>
      <c r="R162" s="800"/>
    </row>
    <row r="163" spans="1:18" x14ac:dyDescent="0.25">
      <c r="A163" s="244"/>
      <c r="B163" t="s">
        <v>1056</v>
      </c>
      <c r="C163" s="289" t="s">
        <v>975</v>
      </c>
      <c r="D163" s="289" t="s">
        <v>1014</v>
      </c>
      <c r="F163" s="1054">
        <f>IF(F161-F162&gt;0,(F161-F162),(0))</f>
        <v>0</v>
      </c>
      <c r="G163" s="1054">
        <f t="shared" ref="G163:K163" si="89">IF(G161-G162&gt;0,(G161-G162),(0))</f>
        <v>0</v>
      </c>
      <c r="H163" s="1054">
        <f t="shared" si="89"/>
        <v>0</v>
      </c>
      <c r="I163" s="1054">
        <f t="shared" si="89"/>
        <v>0</v>
      </c>
      <c r="J163" s="1054">
        <f t="shared" si="89"/>
        <v>0</v>
      </c>
      <c r="K163" s="1054">
        <f t="shared" si="89"/>
        <v>0</v>
      </c>
      <c r="L163" s="122"/>
      <c r="M163" s="16"/>
      <c r="R163" s="800"/>
    </row>
    <row r="164" spans="1:18" x14ac:dyDescent="0.25">
      <c r="A164" s="244">
        <v>9257016</v>
      </c>
      <c r="B164" t="str">
        <f>CONCATENATE(A164,C164)</f>
        <v>9257016c</v>
      </c>
      <c r="C164" s="289" t="s">
        <v>1020</v>
      </c>
      <c r="D164" s="289" t="s">
        <v>697</v>
      </c>
      <c r="F164" s="16">
        <f t="shared" ref="F164:K164" si="90">IF(F163&lt;0,0,(F163*F160))</f>
        <v>0</v>
      </c>
      <c r="G164" s="16">
        <f t="shared" si="90"/>
        <v>0</v>
      </c>
      <c r="H164" s="16">
        <f t="shared" si="90"/>
        <v>0</v>
      </c>
      <c r="I164" s="16">
        <f t="shared" si="90"/>
        <v>0</v>
      </c>
      <c r="J164" s="16">
        <f t="shared" si="90"/>
        <v>0</v>
      </c>
      <c r="K164" s="16">
        <f t="shared" si="90"/>
        <v>0</v>
      </c>
      <c r="L164" s="395">
        <f>SUM(F164:K164)</f>
        <v>0</v>
      </c>
      <c r="M164" s="394">
        <f>L164-O157</f>
        <v>0</v>
      </c>
      <c r="R164" s="800"/>
    </row>
    <row r="165" spans="1:18" x14ac:dyDescent="0.25">
      <c r="A165" s="463"/>
      <c r="B165" s="463"/>
      <c r="C165" s="463"/>
      <c r="D165" s="463"/>
      <c r="E165" s="464"/>
      <c r="F165" s="465"/>
      <c r="G165" s="465"/>
      <c r="H165" s="465"/>
      <c r="I165" s="465"/>
      <c r="J165" s="465"/>
      <c r="K165" s="465"/>
      <c r="L165" s="465"/>
      <c r="M165" s="465"/>
      <c r="N165" s="464"/>
      <c r="O165" s="464"/>
      <c r="P165" s="464"/>
      <c r="Q165" s="464"/>
    </row>
    <row r="167" spans="1:18" x14ac:dyDescent="0.25">
      <c r="E167"/>
      <c r="F167"/>
      <c r="G167"/>
      <c r="H167"/>
      <c r="I167"/>
      <c r="J167" s="316" t="s">
        <v>1057</v>
      </c>
      <c r="K167"/>
      <c r="L167" s="395">
        <f>L11+L20+L29+L47+L56+L65+L74+L83+L92+L101+L110+L119+L128+L137+L146+L155+L164</f>
        <v>91320.990562931634</v>
      </c>
      <c r="M167"/>
      <c r="N167"/>
      <c r="O167"/>
      <c r="P167"/>
      <c r="Q167"/>
      <c r="R167"/>
    </row>
    <row r="169" spans="1:18" x14ac:dyDescent="0.25">
      <c r="J169" s="316" t="s">
        <v>1058</v>
      </c>
      <c r="L169" s="16">
        <f>'2223 MFG Protection'!L185</f>
        <v>91355.174520499058</v>
      </c>
    </row>
    <row r="171" spans="1:18" x14ac:dyDescent="0.25">
      <c r="J171" s="316" t="s">
        <v>1059</v>
      </c>
      <c r="L171" s="16">
        <f>L167-L169</f>
        <v>-34.183957567423931</v>
      </c>
      <c r="M171" s="91" t="s">
        <v>1060</v>
      </c>
    </row>
  </sheetData>
  <conditionalFormatting sqref="L171">
    <cfRule type="cellIs" dxfId="6" priority="1" operator="lessThan">
      <formula>0</formula>
    </cfRule>
  </conditionalFormatting>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AD007-0D7D-4915-AE0A-A99C3C87041D}">
  <sheetPr>
    <tabColor theme="8" tint="0.39997558519241921"/>
  </sheetPr>
  <dimension ref="A3:Y189"/>
  <sheetViews>
    <sheetView workbookViewId="0">
      <selection activeCell="L111" sqref="L111"/>
    </sheetView>
  </sheetViews>
  <sheetFormatPr defaultRowHeight="12.5" x14ac:dyDescent="0.25"/>
  <cols>
    <col min="2" max="2" width="25.54296875" bestFit="1" customWidth="1"/>
    <col min="4" max="4" width="18.7265625" customWidth="1"/>
    <col min="5" max="5" width="8.7265625" style="2"/>
    <col min="6" max="6" width="10.54296875" style="2" customWidth="1"/>
    <col min="7" max="7" width="10.54296875" style="2" bestFit="1" customWidth="1"/>
    <col min="8" max="8" width="11.453125" style="2" bestFit="1" customWidth="1"/>
    <col min="9" max="12" width="9.54296875" style="2" bestFit="1" customWidth="1"/>
    <col min="13" max="13" width="9.7265625" style="2" bestFit="1" customWidth="1"/>
    <col min="14" max="18" width="8.7265625" style="2"/>
  </cols>
  <sheetData>
    <row r="3" spans="1:25" x14ac:dyDescent="0.25">
      <c r="B3" t="s">
        <v>205</v>
      </c>
      <c r="E3" s="2" t="s">
        <v>128</v>
      </c>
      <c r="F3" s="2" t="s">
        <v>735</v>
      </c>
      <c r="G3" s="2" t="s">
        <v>736</v>
      </c>
      <c r="H3" s="316" t="s">
        <v>1008</v>
      </c>
      <c r="I3" s="2" t="s">
        <v>738</v>
      </c>
      <c r="J3" s="2" t="s">
        <v>739</v>
      </c>
      <c r="K3" s="2" t="s">
        <v>741</v>
      </c>
      <c r="L3" s="316" t="s">
        <v>743</v>
      </c>
      <c r="R3"/>
      <c r="T3" s="1056"/>
      <c r="U3" s="1056"/>
    </row>
    <row r="4" spans="1:25" ht="13" x14ac:dyDescent="0.3">
      <c r="A4" s="244">
        <v>9257010</v>
      </c>
      <c r="B4" t="str">
        <f>CONCATENATE(A4,C4)</f>
        <v>92570102021/22</v>
      </c>
      <c r="C4" s="289" t="s">
        <v>958</v>
      </c>
      <c r="D4" s="289" t="s">
        <v>1009</v>
      </c>
      <c r="E4" s="122">
        <f>SUM('2122 MFG Protection'!E11)</f>
        <v>48.489996693121689</v>
      </c>
      <c r="F4" s="1052">
        <f>SUM('2122 MFG Protection'!F11)</f>
        <v>1.3597883597883598</v>
      </c>
      <c r="G4" s="1052">
        <f>SUM('2122 MFG Protection'!G11)</f>
        <v>20.620833333333334</v>
      </c>
      <c r="H4" s="1052">
        <f>SUM('2122 MFG Protection'!H11)</f>
        <v>3.927083333333333</v>
      </c>
      <c r="I4" s="1052">
        <f>SUM('2122 MFG Protection'!I11)</f>
        <v>8.8375000000000004</v>
      </c>
      <c r="J4" s="1052">
        <f>SUM('2122 MFG Protection'!J11)</f>
        <v>2.9453125</v>
      </c>
      <c r="K4" s="1052">
        <f>SUM('2122 MFG Protection'!K11)</f>
        <v>10.799479166666666</v>
      </c>
      <c r="L4" s="122">
        <f>SUM('2122 MFG Protection'!L11)</f>
        <v>0</v>
      </c>
      <c r="N4" s="16"/>
      <c r="O4" s="394">
        <f>'2122 MFG Protection'!L9</f>
        <v>9139.18596024607</v>
      </c>
      <c r="P4" s="411" t="s">
        <v>1061</v>
      </c>
      <c r="R4" s="805"/>
      <c r="T4" s="1057" t="s">
        <v>1011</v>
      </c>
      <c r="U4" s="1056"/>
      <c r="V4" s="182"/>
      <c r="W4" s="182"/>
      <c r="X4" s="182"/>
      <c r="Y4" s="182"/>
    </row>
    <row r="5" spans="1:25" ht="12.75" customHeight="1" x14ac:dyDescent="0.25">
      <c r="A5" s="244">
        <v>9257010</v>
      </c>
      <c r="B5" t="str">
        <f>CONCATENATE(A5,C5)</f>
        <v>92570102022/23</v>
      </c>
      <c r="C5" s="289" t="s">
        <v>959</v>
      </c>
      <c r="E5" s="122">
        <f>VLOOKUP(A5,'2223 Funding Detail'!$A$4:$M$20,13,(FALSE))</f>
        <v>115.33333333333333</v>
      </c>
      <c r="F5" s="1053">
        <f>$E$5*'2223 Band Calculations'!D6</f>
        <v>7.0612244897959178</v>
      </c>
      <c r="G5" s="1053">
        <f>$E$5*'2223 Band Calculations'!E6</f>
        <v>49.428571428571423</v>
      </c>
      <c r="H5" s="1053">
        <f>$E$5*'2223 Band Calculations'!F6</f>
        <v>8.2380952380952372</v>
      </c>
      <c r="I5" s="1053">
        <f>$E$5*'2223 Band Calculations'!G6</f>
        <v>15.299319727891158</v>
      </c>
      <c r="J5" s="1053">
        <f>$E$5*'2223 Band Calculations'!H6</f>
        <v>9.4149659863945558</v>
      </c>
      <c r="K5" s="1053">
        <f>$E$5*'2223 Band Calculations'!I6</f>
        <v>12.945578231292517</v>
      </c>
      <c r="L5" s="460">
        <f>$E$5*'2223 Band Calculations'!J6</f>
        <v>12.945578231292517</v>
      </c>
      <c r="N5" s="16"/>
      <c r="O5" s="16"/>
      <c r="P5" s="16"/>
      <c r="R5" s="805"/>
      <c r="T5" s="1058"/>
      <c r="U5" s="1058"/>
      <c r="V5" s="1055"/>
      <c r="W5" s="1055"/>
      <c r="X5" s="1055"/>
      <c r="Y5" s="1055"/>
    </row>
    <row r="6" spans="1:25" x14ac:dyDescent="0.25">
      <c r="A6" s="244">
        <v>9257010</v>
      </c>
      <c r="B6" t="str">
        <f t="shared" ref="B6:B11" si="0">CONCATENATE(A6,C6)</f>
        <v>9257010</v>
      </c>
      <c r="F6" s="461">
        <f>F5-F4</f>
        <v>5.7014361300075578</v>
      </c>
      <c r="G6" s="461">
        <f t="shared" ref="G6:K6" si="1">G5-G4</f>
        <v>28.80773809523809</v>
      </c>
      <c r="H6" s="461">
        <f t="shared" si="1"/>
        <v>4.3110119047619042</v>
      </c>
      <c r="I6" s="461">
        <f t="shared" si="1"/>
        <v>6.4618197278911573</v>
      </c>
      <c r="J6" s="461">
        <f t="shared" si="1"/>
        <v>6.4696534863945558</v>
      </c>
      <c r="K6" s="461">
        <f t="shared" si="1"/>
        <v>2.1460990646258509</v>
      </c>
      <c r="N6" s="16"/>
      <c r="O6" s="16"/>
      <c r="P6" s="16"/>
      <c r="R6" s="805"/>
      <c r="T6" s="1058"/>
      <c r="U6" s="1058"/>
      <c r="V6" s="1055"/>
      <c r="W6" s="1055"/>
      <c r="X6" s="1055"/>
      <c r="Y6" s="1055"/>
    </row>
    <row r="7" spans="1:25" x14ac:dyDescent="0.25">
      <c r="A7" s="244">
        <v>9257010</v>
      </c>
      <c r="B7" t="str">
        <f t="shared" si="0"/>
        <v>9257010a</v>
      </c>
      <c r="C7" s="289" t="s">
        <v>1012</v>
      </c>
      <c r="D7" s="289" t="s">
        <v>1009</v>
      </c>
      <c r="F7" s="1053">
        <f>IF(F4&gt;F5,(F5),(F4))</f>
        <v>1.3597883597883598</v>
      </c>
      <c r="G7" s="1053">
        <f t="shared" ref="G7:K7" si="2">IF(G4&gt;G5,(G5),(G4))</f>
        <v>20.620833333333334</v>
      </c>
      <c r="H7" s="1053">
        <f t="shared" si="2"/>
        <v>3.927083333333333</v>
      </c>
      <c r="I7" s="1053">
        <f t="shared" si="2"/>
        <v>8.8375000000000004</v>
      </c>
      <c r="J7" s="1053">
        <f t="shared" si="2"/>
        <v>2.9453125</v>
      </c>
      <c r="K7" s="1053">
        <f t="shared" si="2"/>
        <v>10.799479166666666</v>
      </c>
      <c r="L7" s="122"/>
      <c r="M7" s="16"/>
      <c r="N7" s="16"/>
      <c r="O7" s="16"/>
      <c r="P7" s="16"/>
      <c r="R7" s="805"/>
      <c r="T7" s="1058"/>
      <c r="U7" s="1058"/>
      <c r="V7" s="1055"/>
      <c r="W7" s="1055"/>
      <c r="X7" s="1055"/>
      <c r="Y7" s="1055"/>
    </row>
    <row r="8" spans="1:25" x14ac:dyDescent="0.25">
      <c r="A8" s="244">
        <v>9257010</v>
      </c>
      <c r="B8" s="289" t="s">
        <v>1013</v>
      </c>
      <c r="C8" s="289" t="s">
        <v>958</v>
      </c>
      <c r="D8" s="289" t="s">
        <v>1014</v>
      </c>
      <c r="F8" s="1054">
        <f>SUM('2122 MFG Protection'!F10)</f>
        <v>294.99321338590244</v>
      </c>
      <c r="G8" s="1054">
        <f>SUM('2122 MFG Protection'!G10)</f>
        <v>283.25087896086598</v>
      </c>
      <c r="H8" s="1054">
        <f>SUM('2122 MFG Protection'!H10)</f>
        <v>142.34286586042981</v>
      </c>
      <c r="I8" s="1054">
        <f>SUM('2122 MFG Protection'!I10)</f>
        <v>89.502360947766647</v>
      </c>
      <c r="J8" s="1054">
        <f>SUM('2122 MFG Protection'!J10)</f>
        <v>89.502360947766647</v>
      </c>
      <c r="K8" s="1054">
        <f>SUM('2122 MFG Protection'!K10)</f>
        <v>118.85819701035689</v>
      </c>
      <c r="L8" s="122"/>
      <c r="M8" s="411" t="s">
        <v>1062</v>
      </c>
      <c r="N8" s="16"/>
      <c r="O8" s="16"/>
      <c r="P8" s="16"/>
      <c r="R8" s="805"/>
      <c r="T8" s="1051"/>
      <c r="U8" s="1051"/>
      <c r="V8" s="1051"/>
      <c r="W8" s="1051"/>
      <c r="X8" s="1051"/>
      <c r="Y8" s="1051"/>
    </row>
    <row r="9" spans="1:25" x14ac:dyDescent="0.25">
      <c r="A9" s="244">
        <v>9257010</v>
      </c>
      <c r="B9" t="str">
        <f>CONCATENATE(A9,C9)</f>
        <v>9257010b</v>
      </c>
      <c r="C9" s="289" t="s">
        <v>1016</v>
      </c>
      <c r="D9" s="289" t="s">
        <v>1017</v>
      </c>
      <c r="F9" s="1054">
        <f>'2223 Band Values'!$BN$11</f>
        <v>150.01676778686306</v>
      </c>
      <c r="G9" s="1054">
        <f>'2223 Band Values'!$BN$8</f>
        <v>180.02012134423603</v>
      </c>
      <c r="H9" s="1054">
        <f>'2223 Band Values'!$BN$28</f>
        <v>418.69476201554426</v>
      </c>
      <c r="I9" s="1054">
        <f>'2223 Band Values'!$BN$5</f>
        <v>429.59609436588289</v>
      </c>
      <c r="J9" s="1054">
        <f>'2223 Band Values'!$BN$14</f>
        <v>429.59609436588289</v>
      </c>
      <c r="K9" s="1054">
        <f>'2223 Band Values'!$BN$22</f>
        <v>436.41416403078438</v>
      </c>
      <c r="L9" s="122"/>
      <c r="M9" s="411" t="s">
        <v>1063</v>
      </c>
      <c r="R9" s="805"/>
    </row>
    <row r="10" spans="1:25" x14ac:dyDescent="0.25">
      <c r="A10" s="244">
        <v>9257010</v>
      </c>
      <c r="B10" s="289" t="s">
        <v>1019</v>
      </c>
      <c r="C10" s="289" t="s">
        <v>959</v>
      </c>
      <c r="D10" s="289" t="s">
        <v>1014</v>
      </c>
      <c r="F10" s="1054">
        <f>IF(F8-F9&gt;0,(F8-F9),(0))</f>
        <v>144.97644559903938</v>
      </c>
      <c r="G10" s="1054">
        <f t="shared" ref="G10:K10" si="3">IF(G8-G9&gt;0,(G8-G9),(0))</f>
        <v>103.23075761662994</v>
      </c>
      <c r="H10" s="1054">
        <f t="shared" si="3"/>
        <v>0</v>
      </c>
      <c r="I10" s="1054">
        <f t="shared" si="3"/>
        <v>0</v>
      </c>
      <c r="J10" s="1054">
        <f t="shared" si="3"/>
        <v>0</v>
      </c>
      <c r="K10" s="1054">
        <f t="shared" si="3"/>
        <v>0</v>
      </c>
      <c r="L10" s="122"/>
      <c r="M10" s="411"/>
      <c r="R10" s="805"/>
    </row>
    <row r="11" spans="1:25" x14ac:dyDescent="0.25">
      <c r="A11" s="244">
        <v>9257010</v>
      </c>
      <c r="B11" t="str">
        <f t="shared" si="0"/>
        <v>9257010c</v>
      </c>
      <c r="C11" s="289" t="s">
        <v>1020</v>
      </c>
      <c r="D11" s="289" t="s">
        <v>697</v>
      </c>
      <c r="F11" s="16">
        <f>IF(F10&lt;0,0,(F10*F7))</f>
        <v>197.13728316906412</v>
      </c>
      <c r="G11" s="16">
        <f t="shared" ref="G11:K11" si="4">IF(G10&lt;0,0,(G10*G7))</f>
        <v>2128.7042476862566</v>
      </c>
      <c r="H11" s="16">
        <f t="shared" si="4"/>
        <v>0</v>
      </c>
      <c r="I11" s="16">
        <f t="shared" si="4"/>
        <v>0</v>
      </c>
      <c r="J11" s="16">
        <f t="shared" si="4"/>
        <v>0</v>
      </c>
      <c r="K11" s="16">
        <f t="shared" si="4"/>
        <v>0</v>
      </c>
      <c r="L11" s="395">
        <f>SUM(F11:K11)</f>
        <v>2325.8415308553208</v>
      </c>
      <c r="M11" s="394">
        <f>L11-O4</f>
        <v>-6813.3444293907487</v>
      </c>
      <c r="R11" s="805"/>
    </row>
    <row r="12" spans="1:25" x14ac:dyDescent="0.25">
      <c r="A12" s="244"/>
      <c r="C12" s="289"/>
      <c r="D12" s="289" t="s">
        <v>1064</v>
      </c>
      <c r="F12" s="1309">
        <f>IF(F11&gt;0,(F7),(0))</f>
        <v>1.3597883597883598</v>
      </c>
      <c r="G12" s="1309">
        <f t="shared" ref="G12:K12" si="5">IF(G11&gt;0,(G7),(0))</f>
        <v>20.620833333333334</v>
      </c>
      <c r="H12" s="1309">
        <f t="shared" si="5"/>
        <v>0</v>
      </c>
      <c r="I12" s="1309">
        <f t="shared" si="5"/>
        <v>0</v>
      </c>
      <c r="J12" s="1309">
        <f t="shared" si="5"/>
        <v>0</v>
      </c>
      <c r="K12" s="1309">
        <f t="shared" si="5"/>
        <v>0</v>
      </c>
      <c r="L12" s="16"/>
      <c r="M12" s="16"/>
      <c r="R12" s="805"/>
    </row>
    <row r="13" spans="1:25" x14ac:dyDescent="0.25">
      <c r="A13" s="1260"/>
      <c r="B13" s="1261" t="s">
        <v>208</v>
      </c>
      <c r="C13" s="466"/>
      <c r="D13" s="466"/>
      <c r="E13" s="467"/>
      <c r="F13" s="468"/>
      <c r="G13" s="468"/>
      <c r="H13" s="468"/>
      <c r="I13" s="468"/>
      <c r="J13" s="468"/>
      <c r="K13" s="468"/>
      <c r="L13" s="468"/>
      <c r="M13" s="467"/>
      <c r="N13" s="467"/>
      <c r="O13" s="467"/>
      <c r="P13" s="467"/>
      <c r="Q13" s="467"/>
      <c r="R13"/>
    </row>
    <row r="14" spans="1:25" x14ac:dyDescent="0.25">
      <c r="A14" s="244">
        <v>9257005</v>
      </c>
      <c r="B14" t="str">
        <f>CONCATENATE(A14,C14)</f>
        <v>92570052021/22</v>
      </c>
      <c r="C14" s="289" t="s">
        <v>958</v>
      </c>
      <c r="D14" s="289" t="s">
        <v>1009</v>
      </c>
      <c r="E14" s="122">
        <f>SUM('2122 MFG Protection'!E20)</f>
        <v>50.391565114221365</v>
      </c>
      <c r="F14" s="1052">
        <f>SUM('2122 MFG Protection'!F20)</f>
        <v>1.3214285714285714</v>
      </c>
      <c r="G14" s="1052">
        <f>SUM('2122 MFG Protection'!G20)</f>
        <v>16.827702702702705</v>
      </c>
      <c r="H14" s="1052">
        <f>SUM('2122 MFG Protection'!H20)</f>
        <v>4.848958333333333</v>
      </c>
      <c r="I14" s="1052">
        <f>SUM('2122 MFG Protection'!I20)</f>
        <v>10.888513513513514</v>
      </c>
      <c r="J14" s="1052">
        <f>SUM('2122 MFG Protection'!J20)</f>
        <v>3.63671875</v>
      </c>
      <c r="K14" s="1052">
        <f>SUM('2122 MFG Protection'!K20)</f>
        <v>12.868243243243244</v>
      </c>
      <c r="L14" s="122">
        <f>SUM('2122 MFG Protection'!L20)</f>
        <v>0</v>
      </c>
      <c r="N14" s="16"/>
      <c r="O14" s="394">
        <f>'2122 MFG Protection'!L18</f>
        <v>1106.2590793901277</v>
      </c>
      <c r="P14" s="16"/>
      <c r="R14" s="805"/>
    </row>
    <row r="15" spans="1:25" x14ac:dyDescent="0.25">
      <c r="A15" s="244">
        <v>9257005</v>
      </c>
      <c r="B15" t="str">
        <f>CONCATENATE(A15,C15)</f>
        <v>92570052022/23</v>
      </c>
      <c r="C15" s="289" t="s">
        <v>959</v>
      </c>
      <c r="D15" t="str">
        <f>CONCATENATE(A15,C15)</f>
        <v>92570052022/23</v>
      </c>
      <c r="E15" s="122">
        <f>VLOOKUP(A15,'2223 Funding Detail'!$A$4:$M$20,13,(FALSE))</f>
        <v>88.583333333333343</v>
      </c>
      <c r="F15" s="1053">
        <f>$E$15*'2223 Band Calculations'!D6</f>
        <v>5.4234693877551026</v>
      </c>
      <c r="G15" s="1053">
        <f>$E$15*'2223 Band Calculations'!E6</f>
        <v>37.964285714285715</v>
      </c>
      <c r="H15" s="1053">
        <f>$E$15*'2223 Band Calculations'!F6</f>
        <v>6.3273809523809526</v>
      </c>
      <c r="I15" s="1053">
        <f>$E$15*'2223 Band Calculations'!G6</f>
        <v>11.750850340136056</v>
      </c>
      <c r="J15" s="1053">
        <f>$E$15*'2223 Band Calculations'!H6</f>
        <v>7.2312925170068025</v>
      </c>
      <c r="K15" s="1053">
        <f>$E$15*'2223 Band Calculations'!I6</f>
        <v>9.9430272108843543</v>
      </c>
      <c r="L15" s="460">
        <f>$E$15*'2223 Band Calculations'!J6</f>
        <v>9.9430272108843543</v>
      </c>
      <c r="N15" s="16"/>
      <c r="O15" s="16"/>
      <c r="P15" s="16"/>
      <c r="R15" s="805"/>
    </row>
    <row r="16" spans="1:25" x14ac:dyDescent="0.25">
      <c r="A16" s="244">
        <v>9257005</v>
      </c>
      <c r="B16" t="str">
        <f t="shared" ref="B16:B19" si="6">CONCATENATE(A16,C16)</f>
        <v>9257005</v>
      </c>
      <c r="E16" s="122"/>
      <c r="F16" s="461">
        <f t="shared" ref="F16:K16" si="7">F15-F14</f>
        <v>4.1020408163265314</v>
      </c>
      <c r="G16" s="461">
        <f t="shared" si="7"/>
        <v>21.13658301158301</v>
      </c>
      <c r="H16" s="461">
        <f t="shared" si="7"/>
        <v>1.4784226190476195</v>
      </c>
      <c r="I16" s="461">
        <f t="shared" si="7"/>
        <v>0.86233682662254196</v>
      </c>
      <c r="J16" s="461">
        <f t="shared" si="7"/>
        <v>3.5945737670068025</v>
      </c>
      <c r="K16" s="461">
        <f t="shared" si="7"/>
        <v>-2.9252160323588896</v>
      </c>
      <c r="L16" s="460"/>
      <c r="N16" s="16"/>
      <c r="O16" s="16"/>
      <c r="P16" s="16"/>
      <c r="R16" s="805"/>
    </row>
    <row r="17" spans="1:18" x14ac:dyDescent="0.25">
      <c r="A17" s="244">
        <v>9257005</v>
      </c>
      <c r="B17" t="str">
        <f t="shared" si="6"/>
        <v>9257005a</v>
      </c>
      <c r="C17" s="289" t="s">
        <v>1012</v>
      </c>
      <c r="D17" s="289" t="s">
        <v>1009</v>
      </c>
      <c r="F17" s="1053">
        <f t="shared" ref="F17:K17" si="8">IF(F14&gt;F15,(F15),(F14))</f>
        <v>1.3214285714285714</v>
      </c>
      <c r="G17" s="1053">
        <f t="shared" si="8"/>
        <v>16.827702702702705</v>
      </c>
      <c r="H17" s="1053">
        <f t="shared" si="8"/>
        <v>4.848958333333333</v>
      </c>
      <c r="I17" s="1053">
        <f t="shared" si="8"/>
        <v>10.888513513513514</v>
      </c>
      <c r="J17" s="1053">
        <f t="shared" si="8"/>
        <v>3.63671875</v>
      </c>
      <c r="K17" s="1053">
        <f t="shared" si="8"/>
        <v>9.9430272108843543</v>
      </c>
      <c r="L17" s="122"/>
      <c r="M17" s="16"/>
      <c r="N17" s="16"/>
      <c r="O17" s="16"/>
      <c r="P17" s="16"/>
      <c r="R17" s="805"/>
    </row>
    <row r="18" spans="1:18" x14ac:dyDescent="0.25">
      <c r="A18" s="244"/>
      <c r="B18" s="289" t="s">
        <v>1021</v>
      </c>
      <c r="C18" s="289" t="s">
        <v>958</v>
      </c>
      <c r="D18" s="289" t="s">
        <v>1014</v>
      </c>
      <c r="F18" s="394">
        <f>'2122 MFG Protection'!F19</f>
        <v>71.841212256191739</v>
      </c>
      <c r="G18" s="394">
        <f>'2122 MFG Protection'!G19</f>
        <v>60.098877831155278</v>
      </c>
      <c r="H18" s="394">
        <f>'2122 MFG Protection'!H19</f>
        <v>0</v>
      </c>
      <c r="I18" s="394">
        <f>'2122 MFG Protection'!I19</f>
        <v>0</v>
      </c>
      <c r="J18" s="394">
        <f>'2122 MFG Protection'!J19</f>
        <v>0</v>
      </c>
      <c r="K18" s="394">
        <f>'2122 MFG Protection'!K19</f>
        <v>0</v>
      </c>
      <c r="L18" s="122"/>
      <c r="M18" s="16"/>
      <c r="N18" s="16"/>
      <c r="O18" s="16"/>
      <c r="P18" s="16"/>
      <c r="R18" s="805"/>
    </row>
    <row r="19" spans="1:18" x14ac:dyDescent="0.25">
      <c r="A19" s="244">
        <v>9257005</v>
      </c>
      <c r="B19" t="str">
        <f t="shared" si="6"/>
        <v>9257005b</v>
      </c>
      <c r="C19" s="289" t="s">
        <v>1016</v>
      </c>
      <c r="D19" s="289" t="s">
        <v>1017</v>
      </c>
      <c r="F19" s="1054">
        <f>'2223 Band Values'!$BN$11</f>
        <v>150.01676778686306</v>
      </c>
      <c r="G19" s="1054">
        <f>'2223 Band Values'!$BN$8</f>
        <v>180.02012134423603</v>
      </c>
      <c r="H19" s="1054">
        <f>'2223 Band Values'!$BN$28</f>
        <v>418.69476201554426</v>
      </c>
      <c r="I19" s="1054">
        <f>'2223 Band Values'!$BN$5</f>
        <v>429.59609436588289</v>
      </c>
      <c r="J19" s="1054">
        <f>'2223 Band Values'!$BN$14</f>
        <v>429.59609436588289</v>
      </c>
      <c r="K19" s="1054">
        <f>'2223 Band Values'!$BN$22</f>
        <v>436.41416403078438</v>
      </c>
      <c r="L19" s="122"/>
      <c r="M19" s="16"/>
      <c r="N19" s="16"/>
      <c r="O19" s="16"/>
      <c r="R19" s="805"/>
    </row>
    <row r="20" spans="1:18" x14ac:dyDescent="0.25">
      <c r="A20" s="244"/>
      <c r="B20" s="289" t="s">
        <v>1022</v>
      </c>
      <c r="C20" s="289" t="s">
        <v>959</v>
      </c>
      <c r="D20" s="289" t="s">
        <v>1014</v>
      </c>
      <c r="F20" s="1054">
        <f>IF(F18-F19&gt;0,(F18-F19),(0))</f>
        <v>0</v>
      </c>
      <c r="G20" s="1054">
        <f t="shared" ref="G20:K20" si="9">IF(G18-G19&gt;0,(G18-G19),(0))</f>
        <v>0</v>
      </c>
      <c r="H20" s="1054">
        <f t="shared" si="9"/>
        <v>0</v>
      </c>
      <c r="I20" s="1054">
        <f t="shared" si="9"/>
        <v>0</v>
      </c>
      <c r="J20" s="1054">
        <f t="shared" si="9"/>
        <v>0</v>
      </c>
      <c r="K20" s="1054">
        <f t="shared" si="9"/>
        <v>0</v>
      </c>
      <c r="L20" s="122"/>
      <c r="M20" s="16"/>
      <c r="N20" s="16"/>
      <c r="O20" s="16"/>
      <c r="R20" s="805"/>
    </row>
    <row r="21" spans="1:18" x14ac:dyDescent="0.25">
      <c r="A21" s="244">
        <v>9257005</v>
      </c>
      <c r="B21" t="str">
        <f>CONCATENATE(A21,C21)</f>
        <v>9257005c</v>
      </c>
      <c r="C21" s="289" t="s">
        <v>1020</v>
      </c>
      <c r="D21" s="289" t="s">
        <v>697</v>
      </c>
      <c r="F21" s="16">
        <f>IF(F20&lt;0,0,(F20*F17))</f>
        <v>0</v>
      </c>
      <c r="G21" s="16">
        <f t="shared" ref="G21:K21" si="10">IF(G20&lt;0,0,(G20*G17))</f>
        <v>0</v>
      </c>
      <c r="H21" s="16">
        <f t="shared" si="10"/>
        <v>0</v>
      </c>
      <c r="I21" s="16">
        <f t="shared" si="10"/>
        <v>0</v>
      </c>
      <c r="J21" s="16">
        <f t="shared" si="10"/>
        <v>0</v>
      </c>
      <c r="K21" s="16">
        <f t="shared" si="10"/>
        <v>0</v>
      </c>
      <c r="L21" s="395">
        <f>SUM(F21:K21)</f>
        <v>0</v>
      </c>
      <c r="M21" s="394">
        <f>L21-O14</f>
        <v>-1106.2590793901277</v>
      </c>
      <c r="N21" s="16"/>
      <c r="O21" s="16"/>
      <c r="R21" s="805"/>
    </row>
    <row r="22" spans="1:18" x14ac:dyDescent="0.25">
      <c r="A22" s="244"/>
      <c r="C22" s="289"/>
      <c r="D22" s="289" t="s">
        <v>1064</v>
      </c>
      <c r="F22" s="1309">
        <f>IF(F21&gt;0,(F17),(0))</f>
        <v>0</v>
      </c>
      <c r="G22" s="1309">
        <f t="shared" ref="G22" si="11">IF(G21&gt;0,(G17),(0))</f>
        <v>0</v>
      </c>
      <c r="H22" s="1309">
        <f t="shared" ref="H22" si="12">IF(H21&gt;0,(H17),(0))</f>
        <v>0</v>
      </c>
      <c r="I22" s="1309">
        <f t="shared" ref="I22" si="13">IF(I21&gt;0,(I17),(0))</f>
        <v>0</v>
      </c>
      <c r="J22" s="1309">
        <f t="shared" ref="J22" si="14">IF(J21&gt;0,(J17),(0))</f>
        <v>0</v>
      </c>
      <c r="K22" s="1309">
        <f t="shared" ref="K22" si="15">IF(K21&gt;0,(K17),(0))</f>
        <v>0</v>
      </c>
      <c r="L22" s="16"/>
      <c r="M22" s="16"/>
      <c r="N22" s="16"/>
      <c r="O22" s="16"/>
      <c r="R22" s="805"/>
    </row>
    <row r="23" spans="1:18" x14ac:dyDescent="0.25">
      <c r="A23" s="1262"/>
      <c r="B23" s="829" t="s">
        <v>209</v>
      </c>
      <c r="C23" s="463"/>
      <c r="D23" s="463"/>
      <c r="E23" s="464"/>
      <c r="F23" s="464"/>
      <c r="G23" s="464"/>
      <c r="H23" s="464"/>
      <c r="I23" s="464"/>
      <c r="J23" s="464"/>
      <c r="K23" s="464"/>
      <c r="L23" s="464"/>
      <c r="M23" s="464"/>
      <c r="N23" s="464"/>
      <c r="O23" s="464"/>
      <c r="P23" s="464"/>
      <c r="Q23" s="464"/>
      <c r="R23"/>
    </row>
    <row r="24" spans="1:18" x14ac:dyDescent="0.25">
      <c r="A24" s="244">
        <v>9257025</v>
      </c>
      <c r="B24" t="str">
        <f>CONCATENATE(A24,C24)</f>
        <v>92570252021/22</v>
      </c>
      <c r="C24" s="289" t="s">
        <v>958</v>
      </c>
      <c r="D24" s="289" t="s">
        <v>1009</v>
      </c>
      <c r="E24" s="122">
        <f>SUM('2122 MFG Protection'!E29)</f>
        <v>56.761890136890145</v>
      </c>
      <c r="F24" s="1052">
        <f>SUM('2122 MFG Protection'!F29)</f>
        <v>12.077922077922077</v>
      </c>
      <c r="G24" s="1052">
        <f>SUM('2122 MFG Protection'!G29)</f>
        <v>21.231981981981988</v>
      </c>
      <c r="H24" s="1052">
        <f>SUM('2122 MFG Protection'!H29)</f>
        <v>3.0194805194805192</v>
      </c>
      <c r="I24" s="1052">
        <f>SUM('2122 MFG Protection'!I29)</f>
        <v>8.6858108108108141</v>
      </c>
      <c r="J24" s="1052">
        <f>SUM('2122 MFG Protection'!J29)</f>
        <v>4.0259740259740262</v>
      </c>
      <c r="K24" s="1052">
        <f>SUM('2122 MFG Protection'!K29)</f>
        <v>7.7207207207207231</v>
      </c>
      <c r="L24" s="122">
        <f>SUM('2122 MFG Protection'!L29)</f>
        <v>0</v>
      </c>
      <c r="N24" s="16"/>
      <c r="O24" s="394">
        <f>'2122 MFG Protection'!L27</f>
        <v>20124.481605575605</v>
      </c>
      <c r="P24" s="16"/>
      <c r="R24" s="805"/>
    </row>
    <row r="25" spans="1:18" x14ac:dyDescent="0.25">
      <c r="A25" s="244">
        <v>9257025</v>
      </c>
      <c r="B25" t="str">
        <f>CONCATENATE(A25,C25)</f>
        <v>92570252022/23</v>
      </c>
      <c r="C25" s="289" t="s">
        <v>959</v>
      </c>
      <c r="D25" t="str">
        <f>CONCATENATE(A25,C25)</f>
        <v>92570252022/23</v>
      </c>
      <c r="E25" s="122">
        <f>VLOOKUP(A25,'2223 Funding Detail'!$A$4:$M$20,13,(FALSE))</f>
        <v>84.416666666666671</v>
      </c>
      <c r="F25" s="1053">
        <f>$E$25*'2223 Band Calculations'!D8</f>
        <v>11.754219409282701</v>
      </c>
      <c r="G25" s="1053">
        <f>$E$25*'2223 Band Calculations'!E8</f>
        <v>39.536919831223628</v>
      </c>
      <c r="H25" s="1053">
        <f>$E$25*'2223 Band Calculations'!F8</f>
        <v>3.2056962025316458</v>
      </c>
      <c r="I25" s="1053">
        <f>$E$25*'2223 Band Calculations'!G8</f>
        <v>9.6170886075949369</v>
      </c>
      <c r="J25" s="1053">
        <f>$E$25*'2223 Band Calculations'!H8</f>
        <v>3.2056962025316458</v>
      </c>
      <c r="K25" s="1053">
        <f>$E$25*'2223 Band Calculations'!I8</f>
        <v>12.822784810126583</v>
      </c>
      <c r="L25" s="460">
        <f>$E$25*'2223 Band Calculations'!J8</f>
        <v>4.2742616033755274</v>
      </c>
      <c r="N25" s="16"/>
      <c r="O25" s="16"/>
      <c r="P25" s="16"/>
      <c r="R25" s="800"/>
    </row>
    <row r="26" spans="1:18" x14ac:dyDescent="0.25">
      <c r="A26" s="244">
        <v>9257025</v>
      </c>
      <c r="B26" t="str">
        <f t="shared" ref="B26:B29" si="16">CONCATENATE(A26,C26)</f>
        <v>9257025</v>
      </c>
      <c r="E26" s="122"/>
      <c r="F26" s="461">
        <f t="shared" ref="F26:K26" si="17">F25-F24</f>
        <v>-0.3237026686393758</v>
      </c>
      <c r="G26" s="461">
        <f t="shared" si="17"/>
        <v>18.304937849241639</v>
      </c>
      <c r="H26" s="461">
        <f t="shared" si="17"/>
        <v>0.18621568305112657</v>
      </c>
      <c r="I26" s="461">
        <f t="shared" si="17"/>
        <v>0.93127779678412281</v>
      </c>
      <c r="J26" s="461">
        <f t="shared" si="17"/>
        <v>-0.82027782344238043</v>
      </c>
      <c r="K26" s="461">
        <f t="shared" si="17"/>
        <v>5.10206408940586</v>
      </c>
      <c r="L26" s="460"/>
      <c r="N26" s="16"/>
      <c r="O26" s="16"/>
      <c r="P26" s="16"/>
      <c r="R26" s="800"/>
    </row>
    <row r="27" spans="1:18" x14ac:dyDescent="0.25">
      <c r="A27" s="244">
        <v>9257025</v>
      </c>
      <c r="B27" t="str">
        <f t="shared" si="16"/>
        <v>9257025a</v>
      </c>
      <c r="C27" s="289" t="s">
        <v>1012</v>
      </c>
      <c r="D27" s="289" t="s">
        <v>1009</v>
      </c>
      <c r="F27" s="1053">
        <f t="shared" ref="F27:K27" si="18">IF(F24&gt;F25,(F25),(F24))</f>
        <v>11.754219409282701</v>
      </c>
      <c r="G27" s="1053">
        <f t="shared" si="18"/>
        <v>21.231981981981988</v>
      </c>
      <c r="H27" s="1053">
        <f t="shared" si="18"/>
        <v>3.0194805194805192</v>
      </c>
      <c r="I27" s="1053">
        <f t="shared" si="18"/>
        <v>8.6858108108108141</v>
      </c>
      <c r="J27" s="1053">
        <f t="shared" si="18"/>
        <v>3.2056962025316458</v>
      </c>
      <c r="K27" s="1053">
        <f t="shared" si="18"/>
        <v>7.7207207207207231</v>
      </c>
      <c r="L27" s="122"/>
      <c r="M27" s="16"/>
      <c r="N27" s="16"/>
      <c r="O27" s="16"/>
      <c r="P27" s="16"/>
      <c r="R27" s="800"/>
    </row>
    <row r="28" spans="1:18" x14ac:dyDescent="0.25">
      <c r="A28" s="244"/>
      <c r="B28" s="289" t="s">
        <v>1023</v>
      </c>
      <c r="C28" s="289" t="s">
        <v>958</v>
      </c>
      <c r="D28" s="289" t="s">
        <v>1014</v>
      </c>
      <c r="F28" s="394">
        <f>SUM('2122 MFG Protection'!F28)</f>
        <v>437.03203156255631</v>
      </c>
      <c r="G28" s="394">
        <f>SUM('2122 MFG Protection'!G28)</f>
        <v>425.28969713751985</v>
      </c>
      <c r="H28" s="394">
        <f>SUM('2122 MFG Protection'!H28)</f>
        <v>284.38168403708369</v>
      </c>
      <c r="I28" s="394">
        <f>SUM('2122 MFG Protection'!I28)</f>
        <v>231.54117912442052</v>
      </c>
      <c r="J28" s="394">
        <f>SUM('2122 MFG Protection'!J28)</f>
        <v>231.54117912442052</v>
      </c>
      <c r="K28" s="394">
        <f>SUM('2122 MFG Protection'!K28)</f>
        <v>260.89701518701077</v>
      </c>
      <c r="L28" s="122"/>
      <c r="M28" s="16"/>
      <c r="N28" s="16"/>
      <c r="O28" s="16"/>
      <c r="P28" s="16"/>
      <c r="R28" s="800"/>
    </row>
    <row r="29" spans="1:18" x14ac:dyDescent="0.25">
      <c r="A29" s="244">
        <v>9257025</v>
      </c>
      <c r="B29" t="str">
        <f t="shared" si="16"/>
        <v>9257025b</v>
      </c>
      <c r="C29" s="289" t="s">
        <v>1016</v>
      </c>
      <c r="D29" s="289" t="s">
        <v>1017</v>
      </c>
      <c r="F29" s="1054">
        <f>'2223 Band Values'!$BN$11</f>
        <v>150.01676778686306</v>
      </c>
      <c r="G29" s="1054">
        <f>'2223 Band Values'!$BN$8</f>
        <v>180.02012134423603</v>
      </c>
      <c r="H29" s="1054">
        <f>'2223 Band Values'!$BN$28</f>
        <v>418.69476201554426</v>
      </c>
      <c r="I29" s="1054">
        <f>'2223 Band Values'!$BN$5</f>
        <v>429.59609436588289</v>
      </c>
      <c r="J29" s="1054">
        <f>'2223 Band Values'!$BN$14</f>
        <v>429.59609436588289</v>
      </c>
      <c r="K29" s="1054">
        <f>'2223 Band Values'!$BN$22</f>
        <v>436.41416403078438</v>
      </c>
      <c r="L29" s="122"/>
      <c r="M29" s="16"/>
      <c r="N29" s="16"/>
      <c r="O29" s="16"/>
      <c r="R29" s="800"/>
    </row>
    <row r="30" spans="1:18" x14ac:dyDescent="0.25">
      <c r="A30" s="244"/>
      <c r="B30" s="289" t="s">
        <v>1024</v>
      </c>
      <c r="C30" s="289" t="s">
        <v>959</v>
      </c>
      <c r="D30" s="289" t="s">
        <v>1014</v>
      </c>
      <c r="F30" s="1054">
        <f>IF(F28-F29&gt;0,(F28-F29),(0))</f>
        <v>287.01526377569326</v>
      </c>
      <c r="G30" s="1054">
        <f t="shared" ref="G30:K30" si="19">IF(G28-G29&gt;0,(G28-G29),(0))</f>
        <v>245.26957579328382</v>
      </c>
      <c r="H30" s="1054">
        <f t="shared" si="19"/>
        <v>0</v>
      </c>
      <c r="I30" s="1054">
        <f t="shared" si="19"/>
        <v>0</v>
      </c>
      <c r="J30" s="1054">
        <f t="shared" si="19"/>
        <v>0</v>
      </c>
      <c r="K30" s="1054">
        <f t="shared" si="19"/>
        <v>0</v>
      </c>
      <c r="L30" s="122"/>
      <c r="M30" s="16"/>
      <c r="N30" s="16"/>
      <c r="O30" s="16"/>
      <c r="R30" s="800"/>
    </row>
    <row r="31" spans="1:18" x14ac:dyDescent="0.25">
      <c r="A31" s="244">
        <v>9257025</v>
      </c>
      <c r="B31" t="str">
        <f>CONCATENATE(A31,C31)</f>
        <v>9257025c</v>
      </c>
      <c r="C31" s="289" t="s">
        <v>1020</v>
      </c>
      <c r="D31" s="289" t="s">
        <v>697</v>
      </c>
      <c r="F31" s="16">
        <f>IF(F30&lt;0,0,(F30*F27))</f>
        <v>3373.6403842326476</v>
      </c>
      <c r="G31" s="16">
        <f t="shared" ref="G31:K31" si="20">IF(G30&lt;0,0,(G30*G27))</f>
        <v>5207.5592139713681</v>
      </c>
      <c r="H31" s="16">
        <f t="shared" si="20"/>
        <v>0</v>
      </c>
      <c r="I31" s="16">
        <f t="shared" si="20"/>
        <v>0</v>
      </c>
      <c r="J31" s="16">
        <f t="shared" si="20"/>
        <v>0</v>
      </c>
      <c r="K31" s="16">
        <f t="shared" si="20"/>
        <v>0</v>
      </c>
      <c r="L31" s="395">
        <f>SUM(F31:K31)</f>
        <v>8581.1995982040153</v>
      </c>
      <c r="M31" s="394">
        <f>L31-O24</f>
        <v>-11543.28200737159</v>
      </c>
      <c r="N31" s="16"/>
      <c r="O31" s="16"/>
      <c r="R31" s="800"/>
    </row>
    <row r="32" spans="1:18" x14ac:dyDescent="0.25">
      <c r="A32" s="244"/>
      <c r="C32" s="289"/>
      <c r="D32" s="289" t="s">
        <v>1064</v>
      </c>
      <c r="F32" s="1309">
        <f>IF(F31&gt;0,(F27),(0))</f>
        <v>11.754219409282701</v>
      </c>
      <c r="G32" s="1309">
        <f t="shared" ref="G32" si="21">IF(G31&gt;0,(G27),(0))</f>
        <v>21.231981981981988</v>
      </c>
      <c r="H32" s="1309">
        <f t="shared" ref="H32" si="22">IF(H31&gt;0,(H27),(0))</f>
        <v>0</v>
      </c>
      <c r="I32" s="1309">
        <f t="shared" ref="I32" si="23">IF(I31&gt;0,(I27),(0))</f>
        <v>0</v>
      </c>
      <c r="J32" s="1309">
        <f t="shared" ref="J32" si="24">IF(J31&gt;0,(J27),(0))</f>
        <v>0</v>
      </c>
      <c r="K32" s="1309">
        <f t="shared" ref="K32" si="25">IF(K31&gt;0,(K27),(0))</f>
        <v>0</v>
      </c>
      <c r="L32" s="16"/>
      <c r="M32" s="16"/>
      <c r="N32" s="16"/>
      <c r="O32" s="16"/>
      <c r="R32" s="800"/>
    </row>
    <row r="33" spans="1:18" x14ac:dyDescent="0.25">
      <c r="A33" s="1262"/>
      <c r="B33" s="829" t="s">
        <v>210</v>
      </c>
      <c r="C33" s="463"/>
      <c r="D33" s="463"/>
      <c r="E33" s="464"/>
      <c r="F33" s="464"/>
      <c r="G33" s="464"/>
      <c r="H33" s="464"/>
      <c r="I33" s="464"/>
      <c r="J33" s="464"/>
      <c r="K33" s="464"/>
      <c r="L33" s="464"/>
      <c r="M33" s="464"/>
      <c r="N33" s="464"/>
      <c r="O33" s="464"/>
      <c r="P33" s="464"/>
      <c r="Q33" s="464"/>
    </row>
    <row r="34" spans="1:18" x14ac:dyDescent="0.25">
      <c r="A34" s="244">
        <v>9257011</v>
      </c>
      <c r="B34" t="str">
        <f>CONCATENATE(A34,C34)</f>
        <v>92570112021/22</v>
      </c>
      <c r="C34" s="289" t="s">
        <v>958</v>
      </c>
      <c r="D34" s="289" t="s">
        <v>1009</v>
      </c>
      <c r="E34" s="122">
        <f>SUM('2122 MFG Protection'!E38)</f>
        <v>0</v>
      </c>
      <c r="F34" s="1052">
        <f>SUM('2122 MFG Protection'!F38)</f>
        <v>0</v>
      </c>
      <c r="G34" s="1052">
        <f>SUM('2122 MFG Protection'!G38)</f>
        <v>0</v>
      </c>
      <c r="H34" s="1052">
        <f>SUM('2122 MFG Protection'!H38)</f>
        <v>0</v>
      </c>
      <c r="I34" s="1052">
        <f>SUM('2122 MFG Protection'!I38)</f>
        <v>0</v>
      </c>
      <c r="J34" s="1052">
        <f>SUM('2122 MFG Protection'!J38)</f>
        <v>0</v>
      </c>
      <c r="K34" s="1052">
        <f>SUM('2122 MFG Protection'!K38)</f>
        <v>0</v>
      </c>
      <c r="L34" s="122">
        <f>SUM('2122 MFG Protection'!L38)</f>
        <v>0</v>
      </c>
      <c r="N34" s="16"/>
      <c r="O34" s="394">
        <f>'2122 MFG Protection'!L36</f>
        <v>0</v>
      </c>
      <c r="P34" s="16"/>
      <c r="R34" s="800"/>
    </row>
    <row r="35" spans="1:18" x14ac:dyDescent="0.25">
      <c r="A35" s="244">
        <v>9257011</v>
      </c>
      <c r="B35" t="str">
        <f>CONCATENATE(A35,C35)</f>
        <v>92570112022/23</v>
      </c>
      <c r="C35" s="289" t="s">
        <v>959</v>
      </c>
      <c r="D35" t="str">
        <f>CONCATENATE(A35,C35)</f>
        <v>92570112022/23</v>
      </c>
      <c r="E35" s="122" t="e">
        <f>VLOOKUP(A35,'2223 Funding Detail'!$A$4:$M$20,13,(FALSE))</f>
        <v>#N/A</v>
      </c>
      <c r="F35" s="1053" t="e">
        <f>$E$35*'2223 Band Calculations'!#REF!</f>
        <v>#N/A</v>
      </c>
      <c r="G35" s="1053" t="e">
        <f>$E$35*'2223 Band Calculations'!#REF!</f>
        <v>#N/A</v>
      </c>
      <c r="H35" s="1053" t="e">
        <f>$E$35*'2223 Band Calculations'!#REF!</f>
        <v>#N/A</v>
      </c>
      <c r="I35" s="1053" t="e">
        <f>$E$35*'2223 Band Calculations'!#REF!</f>
        <v>#N/A</v>
      </c>
      <c r="J35" s="1053" t="e">
        <f>$E$35*'2223 Band Calculations'!#REF!</f>
        <v>#N/A</v>
      </c>
      <c r="K35" s="1053" t="e">
        <f>$E$35*'2223 Band Calculations'!#REF!</f>
        <v>#N/A</v>
      </c>
      <c r="L35" s="460" t="e">
        <f>$E$35*'2223 Band Calculations'!#REF!</f>
        <v>#N/A</v>
      </c>
      <c r="N35" s="16"/>
      <c r="O35" s="16"/>
      <c r="P35" s="16"/>
      <c r="R35" s="800"/>
    </row>
    <row r="36" spans="1:18" x14ac:dyDescent="0.25">
      <c r="A36" s="244">
        <v>9257011</v>
      </c>
      <c r="B36" t="str">
        <f t="shared" ref="B36:B39" si="26">CONCATENATE(A36,C36)</f>
        <v>9257011</v>
      </c>
      <c r="F36" s="461" t="e">
        <f t="shared" ref="F36:K36" si="27">F35-F34</f>
        <v>#N/A</v>
      </c>
      <c r="G36" s="461" t="e">
        <f t="shared" si="27"/>
        <v>#N/A</v>
      </c>
      <c r="H36" s="461" t="e">
        <f t="shared" si="27"/>
        <v>#N/A</v>
      </c>
      <c r="I36" s="461" t="e">
        <f t="shared" si="27"/>
        <v>#N/A</v>
      </c>
      <c r="J36" s="461" t="e">
        <f t="shared" si="27"/>
        <v>#N/A</v>
      </c>
      <c r="K36" s="461" t="e">
        <f t="shared" si="27"/>
        <v>#N/A</v>
      </c>
      <c r="L36" s="460"/>
      <c r="N36" s="16"/>
      <c r="O36" s="16"/>
      <c r="P36" s="16"/>
      <c r="R36" s="800"/>
    </row>
    <row r="37" spans="1:18" x14ac:dyDescent="0.25">
      <c r="A37" s="244">
        <v>9257011</v>
      </c>
      <c r="B37" t="str">
        <f t="shared" si="26"/>
        <v>9257011a</v>
      </c>
      <c r="C37" s="289" t="s">
        <v>1012</v>
      </c>
      <c r="D37" s="289" t="s">
        <v>1009</v>
      </c>
      <c r="F37" s="1053" t="e">
        <f t="shared" ref="F37:K37" si="28">IF(F34&gt;F35,(F35),(F34))</f>
        <v>#N/A</v>
      </c>
      <c r="G37" s="1053" t="e">
        <f t="shared" si="28"/>
        <v>#N/A</v>
      </c>
      <c r="H37" s="1053" t="e">
        <f t="shared" si="28"/>
        <v>#N/A</v>
      </c>
      <c r="I37" s="1053" t="e">
        <f t="shared" si="28"/>
        <v>#N/A</v>
      </c>
      <c r="J37" s="1053" t="e">
        <f t="shared" si="28"/>
        <v>#N/A</v>
      </c>
      <c r="K37" s="1053" t="e">
        <f t="shared" si="28"/>
        <v>#N/A</v>
      </c>
      <c r="L37" s="122"/>
      <c r="M37" s="16"/>
      <c r="N37" s="16"/>
      <c r="O37" s="16"/>
      <c r="P37" s="16"/>
      <c r="R37" s="800"/>
    </row>
    <row r="38" spans="1:18" x14ac:dyDescent="0.25">
      <c r="A38" s="244"/>
      <c r="B38" s="289" t="s">
        <v>1025</v>
      </c>
      <c r="C38" s="289" t="s">
        <v>958</v>
      </c>
      <c r="D38" s="289" t="s">
        <v>1014</v>
      </c>
      <c r="F38" s="394">
        <f>SUM('2122 MFG Protection'!F37)</f>
        <v>0</v>
      </c>
      <c r="G38" s="394">
        <f>SUM('2122 MFG Protection'!G37)</f>
        <v>0</v>
      </c>
      <c r="H38" s="394">
        <f>SUM('2122 MFG Protection'!H37)</f>
        <v>0</v>
      </c>
      <c r="I38" s="394">
        <f>SUM('2122 MFG Protection'!I37)</f>
        <v>0</v>
      </c>
      <c r="J38" s="394">
        <f>SUM('2122 MFG Protection'!J37)</f>
        <v>0</v>
      </c>
      <c r="K38" s="394">
        <f>SUM('2122 MFG Protection'!K37)</f>
        <v>0</v>
      </c>
      <c r="L38" s="122"/>
      <c r="M38" s="16"/>
      <c r="N38" s="16"/>
      <c r="O38" s="16"/>
      <c r="P38" s="16"/>
      <c r="R38" s="800"/>
    </row>
    <row r="39" spans="1:18" x14ac:dyDescent="0.25">
      <c r="A39" s="244">
        <v>9257011</v>
      </c>
      <c r="B39" t="str">
        <f t="shared" si="26"/>
        <v>9257011b</v>
      </c>
      <c r="C39" s="289" t="s">
        <v>1016</v>
      </c>
      <c r="D39" s="289" t="s">
        <v>1017</v>
      </c>
      <c r="F39" s="1054">
        <f>'2223 Band Values'!$BN$11</f>
        <v>150.01676778686306</v>
      </c>
      <c r="G39" s="1054">
        <f>'2223 Band Values'!$BN$8</f>
        <v>180.02012134423603</v>
      </c>
      <c r="H39" s="1054">
        <f>'2223 Band Values'!$BN$28</f>
        <v>418.69476201554426</v>
      </c>
      <c r="I39" s="1054">
        <f>'2223 Band Values'!$BN$5</f>
        <v>429.59609436588289</v>
      </c>
      <c r="J39" s="1054">
        <f>'2223 Band Values'!$BN$14</f>
        <v>429.59609436588289</v>
      </c>
      <c r="K39" s="1054">
        <f>'2223 Band Values'!$BN$22</f>
        <v>436.41416403078438</v>
      </c>
      <c r="L39" s="122"/>
      <c r="M39" s="16"/>
      <c r="R39" s="800"/>
    </row>
    <row r="40" spans="1:18" x14ac:dyDescent="0.25">
      <c r="A40" s="244"/>
      <c r="B40" t="s">
        <v>1026</v>
      </c>
      <c r="C40" s="289" t="s">
        <v>959</v>
      </c>
      <c r="D40" s="289" t="s">
        <v>1014</v>
      </c>
      <c r="F40" s="1054">
        <f>IF(F38-F39&gt;0,(F38-F39),(0))</f>
        <v>0</v>
      </c>
      <c r="G40" s="1054">
        <f t="shared" ref="G40:K40" si="29">IF(G38-G39&gt;0,(G38-G39),(0))</f>
        <v>0</v>
      </c>
      <c r="H40" s="1054">
        <f t="shared" si="29"/>
        <v>0</v>
      </c>
      <c r="I40" s="1054">
        <f t="shared" si="29"/>
        <v>0</v>
      </c>
      <c r="J40" s="1054">
        <f t="shared" si="29"/>
        <v>0</v>
      </c>
      <c r="K40" s="1054">
        <f t="shared" si="29"/>
        <v>0</v>
      </c>
      <c r="L40" s="122"/>
      <c r="M40" s="16"/>
      <c r="R40" s="800"/>
    </row>
    <row r="41" spans="1:18" x14ac:dyDescent="0.25">
      <c r="A41" s="244">
        <v>9257011</v>
      </c>
      <c r="B41" t="str">
        <f>CONCATENATE(A41,C41)</f>
        <v>9257011c</v>
      </c>
      <c r="C41" s="289" t="s">
        <v>1020</v>
      </c>
      <c r="D41" s="289" t="s">
        <v>697</v>
      </c>
      <c r="F41" s="16" t="e">
        <f>IF(F40&lt;0,0,(F40*F37))</f>
        <v>#N/A</v>
      </c>
      <c r="G41" s="16" t="e">
        <f t="shared" ref="G41:K41" si="30">IF(G40&lt;0,0,(G40*G37))</f>
        <v>#N/A</v>
      </c>
      <c r="H41" s="16" t="e">
        <f t="shared" si="30"/>
        <v>#N/A</v>
      </c>
      <c r="I41" s="16" t="e">
        <f t="shared" si="30"/>
        <v>#N/A</v>
      </c>
      <c r="J41" s="16" t="e">
        <f t="shared" si="30"/>
        <v>#N/A</v>
      </c>
      <c r="K41" s="16" t="e">
        <f t="shared" si="30"/>
        <v>#N/A</v>
      </c>
      <c r="L41" s="395" t="e">
        <f>SUM(F41:K41)</f>
        <v>#N/A</v>
      </c>
      <c r="M41" s="394" t="e">
        <f>L41-O34</f>
        <v>#N/A</v>
      </c>
      <c r="R41" s="800"/>
    </row>
    <row r="42" spans="1:18" x14ac:dyDescent="0.25">
      <c r="A42" s="249"/>
      <c r="C42" s="289"/>
      <c r="D42" s="289"/>
      <c r="F42" s="16"/>
      <c r="G42" s="16"/>
      <c r="H42" s="16"/>
      <c r="I42" s="16"/>
      <c r="J42" s="16"/>
      <c r="K42" s="16"/>
      <c r="L42" s="395"/>
      <c r="M42" s="394"/>
      <c r="R42" s="800"/>
    </row>
    <row r="43" spans="1:18" x14ac:dyDescent="0.25">
      <c r="A43" s="463"/>
      <c r="B43" s="463" t="s">
        <v>211</v>
      </c>
      <c r="C43" s="463"/>
      <c r="D43" s="463"/>
      <c r="E43" s="464"/>
      <c r="F43" s="465"/>
      <c r="G43" s="465"/>
      <c r="H43" s="465"/>
      <c r="I43" s="465"/>
      <c r="J43" s="465"/>
      <c r="K43" s="465"/>
      <c r="L43" s="465"/>
      <c r="M43" s="465"/>
      <c r="N43" s="464"/>
      <c r="O43" s="464"/>
      <c r="P43" s="464"/>
      <c r="Q43" s="464"/>
    </row>
    <row r="44" spans="1:18" x14ac:dyDescent="0.25">
      <c r="A44" s="244">
        <v>9257024</v>
      </c>
      <c r="B44" t="str">
        <f>CONCATENATE(A44,C44)</f>
        <v>92570242021/22</v>
      </c>
      <c r="C44" s="289" t="s">
        <v>958</v>
      </c>
      <c r="D44" s="289" t="s">
        <v>1009</v>
      </c>
      <c r="E44" s="122">
        <f>SUM('2122 MFG Protection'!E47)</f>
        <v>65.595540699382894</v>
      </c>
      <c r="F44" s="1052">
        <f>SUM('2122 MFG Protection'!F47)</f>
        <v>7.0773092369477926</v>
      </c>
      <c r="G44" s="1052">
        <f>SUM('2122 MFG Protection'!G47)</f>
        <v>33.619918699186996</v>
      </c>
      <c r="H44" s="1052">
        <f>SUM('2122 MFG Protection'!H47)</f>
        <v>1.0110441767068277</v>
      </c>
      <c r="I44" s="1052">
        <f>SUM('2122 MFG Protection'!I47)</f>
        <v>10.877032520325205</v>
      </c>
      <c r="J44" s="1052">
        <f>SUM('2122 MFG Protection'!J47)</f>
        <v>7.0773092369477926</v>
      </c>
      <c r="K44" s="1052">
        <f>SUM('2122 MFG Protection'!K47)</f>
        <v>5.9329268292682933</v>
      </c>
      <c r="L44" s="122">
        <f>SUM('2122 MFG Protection'!L47)</f>
        <v>0</v>
      </c>
      <c r="N44" s="16"/>
      <c r="O44" s="394">
        <f>'2122 MFG Protection'!L45</f>
        <v>21452.798486354863</v>
      </c>
      <c r="R44" s="800"/>
    </row>
    <row r="45" spans="1:18" x14ac:dyDescent="0.25">
      <c r="A45" s="244">
        <v>9257024</v>
      </c>
      <c r="B45" t="str">
        <f>CONCATENATE(A45,C45)</f>
        <v>92570242022/23</v>
      </c>
      <c r="C45" s="289" t="s">
        <v>959</v>
      </c>
      <c r="D45" t="str">
        <f>CONCATENATE(A45,C45)</f>
        <v>92570242022/23</v>
      </c>
      <c r="E45" s="122">
        <f>VLOOKUP(A45,'2223 Funding Detail'!$A$4:$M$20,13,(FALSE))</f>
        <v>86.333333333333343</v>
      </c>
      <c r="F45" s="1059">
        <f>$E$45*'2223 Band Calculations'!D9</f>
        <v>6.166666666666667</v>
      </c>
      <c r="G45" s="1059">
        <f>$E$45*'2223 Band Calculations'!E9</f>
        <v>44.194444444444443</v>
      </c>
      <c r="H45" s="1059">
        <f>$E$45*'2223 Band Calculations'!F9</f>
        <v>2.0555555555555558</v>
      </c>
      <c r="I45" s="1059">
        <f>$E$45*'2223 Band Calculations'!G9</f>
        <v>15.416666666666668</v>
      </c>
      <c r="J45" s="1059">
        <f>$E$45*'2223 Band Calculations'!H9</f>
        <v>7.1944444444444446</v>
      </c>
      <c r="K45" s="1059">
        <f>$E$45*'2223 Band Calculations'!I9</f>
        <v>6.166666666666667</v>
      </c>
      <c r="L45" s="469">
        <f>$E$45*'2223 Band Calculations'!J9</f>
        <v>5.1388888888888893</v>
      </c>
      <c r="N45" s="16"/>
      <c r="R45" s="800"/>
    </row>
    <row r="46" spans="1:18" x14ac:dyDescent="0.25">
      <c r="A46" s="244">
        <v>9257024</v>
      </c>
      <c r="B46" t="str">
        <f t="shared" ref="B46:B49" si="31">CONCATENATE(A46,C46)</f>
        <v>9257024</v>
      </c>
      <c r="F46" s="461">
        <f t="shared" ref="F46:K46" si="32">F45-F44</f>
        <v>-0.91064257028112561</v>
      </c>
      <c r="G46" s="461">
        <f t="shared" si="32"/>
        <v>10.574525745257446</v>
      </c>
      <c r="H46" s="461">
        <f t="shared" si="32"/>
        <v>1.0445113788487281</v>
      </c>
      <c r="I46" s="461">
        <f t="shared" si="32"/>
        <v>4.5396341463414629</v>
      </c>
      <c r="J46" s="461">
        <f t="shared" si="32"/>
        <v>0.11713520749665207</v>
      </c>
      <c r="K46" s="461">
        <f t="shared" si="32"/>
        <v>0.23373983739837367</v>
      </c>
      <c r="R46" s="800"/>
    </row>
    <row r="47" spans="1:18" x14ac:dyDescent="0.25">
      <c r="A47" s="244">
        <v>9257024</v>
      </c>
      <c r="B47" t="str">
        <f t="shared" si="31"/>
        <v>9257024a</v>
      </c>
      <c r="C47" s="289" t="s">
        <v>1012</v>
      </c>
      <c r="D47" s="289" t="s">
        <v>1009</v>
      </c>
      <c r="F47" s="1053">
        <f t="shared" ref="F47:K47" si="33">IF(F44&gt;F45,(F45),(F44))</f>
        <v>6.166666666666667</v>
      </c>
      <c r="G47" s="1053">
        <f t="shared" si="33"/>
        <v>33.619918699186996</v>
      </c>
      <c r="H47" s="1053">
        <f t="shared" si="33"/>
        <v>1.0110441767068277</v>
      </c>
      <c r="I47" s="1053">
        <f t="shared" si="33"/>
        <v>10.877032520325205</v>
      </c>
      <c r="J47" s="1053">
        <f t="shared" si="33"/>
        <v>7.0773092369477926</v>
      </c>
      <c r="K47" s="1053">
        <f t="shared" si="33"/>
        <v>5.9329268292682933</v>
      </c>
      <c r="L47" s="122"/>
      <c r="M47" s="16"/>
      <c r="O47" s="16"/>
      <c r="P47" s="16"/>
      <c r="R47" s="800"/>
    </row>
    <row r="48" spans="1:18" x14ac:dyDescent="0.25">
      <c r="A48" s="244"/>
      <c r="B48" t="s">
        <v>1027</v>
      </c>
      <c r="C48" s="289" t="s">
        <v>958</v>
      </c>
      <c r="D48" s="289" t="s">
        <v>1014</v>
      </c>
      <c r="F48" s="394">
        <f>SUM('2122 MFG Protection'!F46)</f>
        <v>407.59417380865347</v>
      </c>
      <c r="G48" s="394">
        <f>SUM('2122 MFG Protection'!G46)</f>
        <v>395.85183938361706</v>
      </c>
      <c r="H48" s="394">
        <f>SUM('2122 MFG Protection'!H46)</f>
        <v>254.9438262831809</v>
      </c>
      <c r="I48" s="394">
        <f>SUM('2122 MFG Protection'!I46)</f>
        <v>202.1033213705177</v>
      </c>
      <c r="J48" s="394">
        <f>SUM('2122 MFG Protection'!J46)</f>
        <v>202.10332137051776</v>
      </c>
      <c r="K48" s="394">
        <f>SUM('2122 MFG Protection'!K46)</f>
        <v>231.45915743310795</v>
      </c>
      <c r="L48" s="122"/>
      <c r="M48" s="16"/>
      <c r="O48" s="16"/>
      <c r="P48" s="16"/>
      <c r="R48" s="800"/>
    </row>
    <row r="49" spans="1:18" x14ac:dyDescent="0.25">
      <c r="A49" s="244">
        <v>9257024</v>
      </c>
      <c r="B49" t="str">
        <f t="shared" si="31"/>
        <v>9257024b</v>
      </c>
      <c r="C49" s="289" t="s">
        <v>1016</v>
      </c>
      <c r="D49" s="289" t="s">
        <v>1017</v>
      </c>
      <c r="F49" s="1054">
        <f>'2223 Band Values'!$BN$11</f>
        <v>150.01676778686306</v>
      </c>
      <c r="G49" s="1054">
        <f>'2223 Band Values'!$BN$8</f>
        <v>180.02012134423603</v>
      </c>
      <c r="H49" s="1054">
        <f>'2223 Band Values'!$BN$28</f>
        <v>418.69476201554426</v>
      </c>
      <c r="I49" s="1054">
        <f>'2223 Band Values'!$BN$5</f>
        <v>429.59609436588289</v>
      </c>
      <c r="J49" s="1054">
        <f>'2223 Band Values'!$BN$14</f>
        <v>429.59609436588289</v>
      </c>
      <c r="K49" s="1054">
        <f>'2223 Band Values'!$BN$22</f>
        <v>436.41416403078438</v>
      </c>
      <c r="L49" s="122"/>
      <c r="M49" s="16"/>
      <c r="R49" s="800"/>
    </row>
    <row r="50" spans="1:18" x14ac:dyDescent="0.25">
      <c r="A50" s="244"/>
      <c r="B50" t="s">
        <v>1028</v>
      </c>
      <c r="C50" s="289" t="s">
        <v>959</v>
      </c>
      <c r="D50" s="289" t="s">
        <v>1014</v>
      </c>
      <c r="F50" s="1054">
        <f>IF(F48-F49&gt;0,(F48-F49),(0))</f>
        <v>257.57740602179041</v>
      </c>
      <c r="G50" s="1054">
        <f t="shared" ref="G50:K50" si="34">IF(G48-G49&gt;0,(G48-G49),(0))</f>
        <v>215.83171803938103</v>
      </c>
      <c r="H50" s="1054">
        <f t="shared" si="34"/>
        <v>0</v>
      </c>
      <c r="I50" s="1054">
        <f t="shared" si="34"/>
        <v>0</v>
      </c>
      <c r="J50" s="1054">
        <f t="shared" si="34"/>
        <v>0</v>
      </c>
      <c r="K50" s="1054">
        <f t="shared" si="34"/>
        <v>0</v>
      </c>
      <c r="L50" s="122"/>
      <c r="M50" s="16"/>
      <c r="R50" s="800"/>
    </row>
    <row r="51" spans="1:18" x14ac:dyDescent="0.25">
      <c r="A51" s="244">
        <v>9257024</v>
      </c>
      <c r="B51" t="str">
        <f>CONCATENATE(A51,C51)</f>
        <v>9257024c</v>
      </c>
      <c r="C51" s="289" t="s">
        <v>1020</v>
      </c>
      <c r="D51" s="289" t="s">
        <v>697</v>
      </c>
      <c r="F51" s="16">
        <f>IF(F50&lt;0,0,(F50*F47))</f>
        <v>1588.394003801041</v>
      </c>
      <c r="G51" s="16">
        <f t="shared" ref="G51:K51" si="35">IF(G50&lt;0,0,(G50*G47))</f>
        <v>7256.2448131898418</v>
      </c>
      <c r="H51" s="16">
        <f t="shared" si="35"/>
        <v>0</v>
      </c>
      <c r="I51" s="16">
        <f t="shared" si="35"/>
        <v>0</v>
      </c>
      <c r="J51" s="16">
        <f t="shared" si="35"/>
        <v>0</v>
      </c>
      <c r="K51" s="16">
        <f t="shared" si="35"/>
        <v>0</v>
      </c>
      <c r="L51" s="395">
        <f>SUM(F51:K51)</f>
        <v>8844.6388169908823</v>
      </c>
      <c r="M51" s="394">
        <f>L51-O44</f>
        <v>-12608.15966936398</v>
      </c>
      <c r="R51" s="800"/>
    </row>
    <row r="52" spans="1:18" x14ac:dyDescent="0.25">
      <c r="A52" s="249"/>
      <c r="C52" s="289"/>
      <c r="D52" s="289" t="s">
        <v>1064</v>
      </c>
      <c r="F52" s="1309">
        <f>IF(F51&gt;0,(F47),(0))</f>
        <v>6.166666666666667</v>
      </c>
      <c r="G52" s="1309">
        <f t="shared" ref="G52" si="36">IF(G51&gt;0,(G47),(0))</f>
        <v>33.619918699186996</v>
      </c>
      <c r="H52" s="1309">
        <f t="shared" ref="H52" si="37">IF(H51&gt;0,(H47),(0))</f>
        <v>0</v>
      </c>
      <c r="I52" s="1309">
        <f t="shared" ref="I52" si="38">IF(I51&gt;0,(I47),(0))</f>
        <v>0</v>
      </c>
      <c r="J52" s="1309">
        <f t="shared" ref="J52" si="39">IF(J51&gt;0,(J47),(0))</f>
        <v>0</v>
      </c>
      <c r="K52" s="1309">
        <f t="shared" ref="K52" si="40">IF(K51&gt;0,(K47),(0))</f>
        <v>0</v>
      </c>
      <c r="L52" s="16"/>
      <c r="M52" s="16"/>
      <c r="R52" s="800"/>
    </row>
    <row r="53" spans="1:18" x14ac:dyDescent="0.25">
      <c r="A53" s="463"/>
      <c r="B53" s="463" t="s">
        <v>257</v>
      </c>
      <c r="C53" s="463"/>
      <c r="D53" s="463"/>
      <c r="E53" s="464"/>
      <c r="F53" s="465"/>
      <c r="G53" s="465"/>
      <c r="H53" s="465"/>
      <c r="I53" s="465"/>
      <c r="J53" s="465"/>
      <c r="K53" s="465"/>
      <c r="L53" s="465"/>
      <c r="M53" s="465"/>
      <c r="N53" s="464"/>
      <c r="O53" s="464"/>
      <c r="P53" s="464"/>
      <c r="Q53" s="464"/>
    </row>
    <row r="54" spans="1:18" x14ac:dyDescent="0.25">
      <c r="A54" s="244">
        <v>9257031</v>
      </c>
      <c r="B54" t="str">
        <f>CONCATENATE(A54,C54)</f>
        <v>92570312021/22</v>
      </c>
      <c r="C54" s="289" t="s">
        <v>958</v>
      </c>
      <c r="D54" s="289" t="s">
        <v>1009</v>
      </c>
      <c r="E54" s="122">
        <f>'2122 MFG Protection'!E56</f>
        <v>73.75</v>
      </c>
      <c r="F54" s="1052">
        <f>SUM('2122 MFG Protection'!F56)</f>
        <v>0</v>
      </c>
      <c r="G54" s="1052">
        <f>SUM('2122 MFG Protection'!G56)</f>
        <v>0</v>
      </c>
      <c r="H54" s="1052">
        <f>SUM('2122 MFG Protection'!H56)</f>
        <v>73.75</v>
      </c>
      <c r="I54" s="1052">
        <f>SUM('2122 MFG Protection'!I56)</f>
        <v>0</v>
      </c>
      <c r="J54" s="1052">
        <f>SUM('2122 MFG Protection'!J56)</f>
        <v>0</v>
      </c>
      <c r="K54" s="1052">
        <f>SUM('2122 MFG Protection'!K56)</f>
        <v>0</v>
      </c>
      <c r="L54" s="122">
        <f>SUM('2122 MFG Protection'!L56)</f>
        <v>0</v>
      </c>
      <c r="N54" s="16"/>
      <c r="O54" s="394">
        <f>'2122 MFG Protection'!L54</f>
        <v>17799.737007142194</v>
      </c>
      <c r="R54" s="800"/>
    </row>
    <row r="55" spans="1:18" x14ac:dyDescent="0.25">
      <c r="A55" s="244">
        <v>9257031</v>
      </c>
      <c r="B55" t="str">
        <f>CONCATENATE(A55,C55)</f>
        <v>92570312022/23</v>
      </c>
      <c r="C55" s="289" t="s">
        <v>959</v>
      </c>
      <c r="D55" t="str">
        <f>CONCATENATE(A55,C55)</f>
        <v>92570312022/23</v>
      </c>
      <c r="E55" s="122">
        <f>VLOOKUP(A55,'2223 Funding Detail'!$A$4:$M$20,13,(FALSE))</f>
        <v>80.416666666666671</v>
      </c>
      <c r="F55" s="1053">
        <f>$E$55*'2223 Band Calculations'!D31</f>
        <v>0</v>
      </c>
      <c r="G55" s="1053">
        <f>$E$55*'2223 Band Calculations'!E31</f>
        <v>0</v>
      </c>
      <c r="H55" s="1053">
        <f>$E$55*'2223 Band Calculations'!F31</f>
        <v>80.416666666666671</v>
      </c>
      <c r="I55" s="1053">
        <f>$E$55*'2223 Band Calculations'!G31</f>
        <v>0</v>
      </c>
      <c r="J55" s="1053">
        <f>$E$55*'2223 Band Calculations'!H31</f>
        <v>0</v>
      </c>
      <c r="K55" s="1053">
        <f>$E$55*'2223 Band Calculations'!I31</f>
        <v>0</v>
      </c>
      <c r="L55" s="460">
        <f>$E$55*'2223 Band Calculations'!J31</f>
        <v>0</v>
      </c>
      <c r="N55" s="16"/>
      <c r="R55" s="800"/>
    </row>
    <row r="56" spans="1:18" x14ac:dyDescent="0.25">
      <c r="A56" s="244">
        <v>9257031</v>
      </c>
      <c r="B56" t="str">
        <f t="shared" ref="B56:B59" si="41">CONCATENATE(A56,C56)</f>
        <v>9257031</v>
      </c>
      <c r="F56" s="461">
        <f t="shared" ref="F56:K56" si="42">F55-F54</f>
        <v>0</v>
      </c>
      <c r="G56" s="461">
        <f t="shared" si="42"/>
        <v>0</v>
      </c>
      <c r="H56" s="461">
        <f t="shared" si="42"/>
        <v>6.6666666666666714</v>
      </c>
      <c r="I56" s="461">
        <f t="shared" si="42"/>
        <v>0</v>
      </c>
      <c r="J56" s="461">
        <f t="shared" si="42"/>
        <v>0</v>
      </c>
      <c r="K56" s="461">
        <f t="shared" si="42"/>
        <v>0</v>
      </c>
      <c r="R56" s="800"/>
    </row>
    <row r="57" spans="1:18" x14ac:dyDescent="0.25">
      <c r="A57" s="244">
        <v>9257031</v>
      </c>
      <c r="B57" t="str">
        <f t="shared" si="41"/>
        <v>9257031a</v>
      </c>
      <c r="C57" s="289" t="s">
        <v>1012</v>
      </c>
      <c r="D57" s="289" t="s">
        <v>1009</v>
      </c>
      <c r="F57" s="1053">
        <f t="shared" ref="F57:K57" si="43">IF(F54&gt;F55,(F55),(F54))</f>
        <v>0</v>
      </c>
      <c r="G57" s="1053">
        <f t="shared" si="43"/>
        <v>0</v>
      </c>
      <c r="H57" s="1053">
        <f t="shared" si="43"/>
        <v>73.75</v>
      </c>
      <c r="I57" s="1053">
        <f t="shared" si="43"/>
        <v>0</v>
      </c>
      <c r="J57" s="1053">
        <f t="shared" si="43"/>
        <v>0</v>
      </c>
      <c r="K57" s="1053">
        <f t="shared" si="43"/>
        <v>0</v>
      </c>
      <c r="L57" s="122"/>
      <c r="M57" s="16"/>
      <c r="O57" s="16"/>
      <c r="P57" s="16"/>
      <c r="R57" s="800"/>
    </row>
    <row r="58" spans="1:18" x14ac:dyDescent="0.25">
      <c r="A58" s="244"/>
      <c r="B58" t="s">
        <v>1029</v>
      </c>
      <c r="C58" s="289" t="s">
        <v>958</v>
      </c>
      <c r="D58" s="289" t="s">
        <v>1014</v>
      </c>
      <c r="F58" s="394">
        <f>SUM('2122 MFG Protection'!F55)</f>
        <v>0</v>
      </c>
      <c r="G58" s="394">
        <f>SUM('2122 MFG Protection'!G55)</f>
        <v>0</v>
      </c>
      <c r="H58" s="394">
        <f>SUM('2122 MFG Protection'!H55)</f>
        <v>241.35236619853822</v>
      </c>
      <c r="I58" s="394">
        <f>SUM('2122 MFG Protection'!I55)</f>
        <v>0</v>
      </c>
      <c r="J58" s="394">
        <f>SUM('2122 MFG Protection'!J55)</f>
        <v>0</v>
      </c>
      <c r="K58" s="394">
        <f>SUM('2122 MFG Protection'!K55)</f>
        <v>0</v>
      </c>
      <c r="L58" s="122"/>
      <c r="M58" s="16"/>
      <c r="O58" s="16"/>
      <c r="P58" s="16"/>
      <c r="R58" s="800"/>
    </row>
    <row r="59" spans="1:18" x14ac:dyDescent="0.25">
      <c r="A59" s="244">
        <v>9257031</v>
      </c>
      <c r="B59" t="str">
        <f t="shared" si="41"/>
        <v>9257031b</v>
      </c>
      <c r="C59" s="289" t="s">
        <v>1016</v>
      </c>
      <c r="D59" s="289" t="s">
        <v>1017</v>
      </c>
      <c r="F59" s="1054">
        <f>'2223 Band Values'!$BN$11</f>
        <v>150.01676778686306</v>
      </c>
      <c r="G59" s="1054">
        <f>'2223 Band Values'!$BN$8</f>
        <v>180.02012134423603</v>
      </c>
      <c r="H59" s="1054">
        <f>'2223 Band Values'!$BN$28</f>
        <v>418.69476201554426</v>
      </c>
      <c r="I59" s="1054">
        <f>'2223 Band Values'!$BN$5</f>
        <v>429.59609436588289</v>
      </c>
      <c r="J59" s="1054">
        <f>'2223 Band Values'!$BN$14</f>
        <v>429.59609436588289</v>
      </c>
      <c r="K59" s="1054">
        <f>'2223 Band Values'!$BN$22</f>
        <v>436.41416403078438</v>
      </c>
      <c r="L59" s="122"/>
      <c r="M59" s="16"/>
      <c r="R59" s="800"/>
    </row>
    <row r="60" spans="1:18" x14ac:dyDescent="0.25">
      <c r="A60" s="244"/>
      <c r="B60" t="s">
        <v>1030</v>
      </c>
      <c r="C60" s="289" t="s">
        <v>959</v>
      </c>
      <c r="D60" s="289" t="s">
        <v>1014</v>
      </c>
      <c r="F60" s="1054">
        <f>IF(F58-F59&gt;0,(F58-F59),(0))</f>
        <v>0</v>
      </c>
      <c r="G60" s="1054">
        <f t="shared" ref="G60:K60" si="44">IF(G58-G59&gt;0,(G58-G59),(0))</f>
        <v>0</v>
      </c>
      <c r="H60" s="1054">
        <f t="shared" si="44"/>
        <v>0</v>
      </c>
      <c r="I60" s="1054">
        <f t="shared" si="44"/>
        <v>0</v>
      </c>
      <c r="J60" s="1054">
        <f t="shared" si="44"/>
        <v>0</v>
      </c>
      <c r="K60" s="1054">
        <f t="shared" si="44"/>
        <v>0</v>
      </c>
      <c r="L60" s="122"/>
      <c r="M60" s="16"/>
      <c r="R60" s="800"/>
    </row>
    <row r="61" spans="1:18" x14ac:dyDescent="0.25">
      <c r="A61" s="244">
        <v>9257031</v>
      </c>
      <c r="B61" t="str">
        <f>CONCATENATE(A61,C61)</f>
        <v>9257031c</v>
      </c>
      <c r="C61" s="289" t="s">
        <v>1020</v>
      </c>
      <c r="D61" s="289" t="s">
        <v>697</v>
      </c>
      <c r="F61" s="16">
        <f>IF(F60&lt;0,0,(F60*F57))</f>
        <v>0</v>
      </c>
      <c r="G61" s="16">
        <f t="shared" ref="G61:K61" si="45">IF(G60&lt;0,0,(G60*G57))</f>
        <v>0</v>
      </c>
      <c r="H61" s="16">
        <f t="shared" si="45"/>
        <v>0</v>
      </c>
      <c r="I61" s="16">
        <f t="shared" si="45"/>
        <v>0</v>
      </c>
      <c r="J61" s="16">
        <f t="shared" si="45"/>
        <v>0</v>
      </c>
      <c r="K61" s="16">
        <f t="shared" si="45"/>
        <v>0</v>
      </c>
      <c r="L61" s="395">
        <f>SUM(F61:K61)</f>
        <v>0</v>
      </c>
      <c r="M61" s="394">
        <f>L61-O54</f>
        <v>-17799.737007142194</v>
      </c>
      <c r="R61" s="800"/>
    </row>
    <row r="62" spans="1:18" x14ac:dyDescent="0.25">
      <c r="A62" s="249"/>
      <c r="C62" s="289"/>
      <c r="D62" s="289" t="s">
        <v>1064</v>
      </c>
      <c r="F62" s="1309">
        <f>IF(F61&gt;0,(F57),(0))</f>
        <v>0</v>
      </c>
      <c r="G62" s="1309">
        <f t="shared" ref="G62" si="46">IF(G61&gt;0,(G57),(0))</f>
        <v>0</v>
      </c>
      <c r="H62" s="1309">
        <f t="shared" ref="H62" si="47">IF(H61&gt;0,(H57),(0))</f>
        <v>0</v>
      </c>
      <c r="I62" s="1309">
        <f t="shared" ref="I62" si="48">IF(I61&gt;0,(I57),(0))</f>
        <v>0</v>
      </c>
      <c r="J62" s="1309">
        <f t="shared" ref="J62" si="49">IF(J61&gt;0,(J57),(0))</f>
        <v>0</v>
      </c>
      <c r="K62" s="1309">
        <f t="shared" ref="K62" si="50">IF(K61&gt;0,(K57),(0))</f>
        <v>0</v>
      </c>
      <c r="L62" s="16"/>
      <c r="M62" s="16"/>
      <c r="R62" s="800"/>
    </row>
    <row r="63" spans="1:18" x14ac:dyDescent="0.25">
      <c r="A63" s="463"/>
      <c r="B63" s="463" t="s">
        <v>220</v>
      </c>
      <c r="C63" s="463"/>
      <c r="D63" s="463"/>
      <c r="E63" s="464"/>
      <c r="F63" s="465"/>
      <c r="G63" s="465"/>
      <c r="H63" s="465"/>
      <c r="I63" s="465"/>
      <c r="J63" s="465"/>
      <c r="K63" s="465"/>
      <c r="L63" s="465"/>
      <c r="M63" s="465"/>
      <c r="N63" s="464"/>
      <c r="O63" s="464"/>
      <c r="P63" s="464"/>
      <c r="Q63" s="464"/>
    </row>
    <row r="64" spans="1:18" x14ac:dyDescent="0.25">
      <c r="A64" s="244">
        <v>9257033</v>
      </c>
      <c r="B64" t="str">
        <f>CONCATENATE(A64,C64)</f>
        <v>92570332021/22</v>
      </c>
      <c r="C64" s="289" t="s">
        <v>958</v>
      </c>
      <c r="D64" s="289" t="s">
        <v>1009</v>
      </c>
      <c r="E64" s="122">
        <f>SUM('2122 MFG Protection'!E65)</f>
        <v>0</v>
      </c>
      <c r="F64" s="1052">
        <f>SUM('2122 MFG Protection'!F65)</f>
        <v>0</v>
      </c>
      <c r="G64" s="1052">
        <f>SUM('2122 MFG Protection'!G65)</f>
        <v>0</v>
      </c>
      <c r="H64" s="1052">
        <f>SUM('2122 MFG Protection'!H65)</f>
        <v>0</v>
      </c>
      <c r="I64" s="1052">
        <f>SUM('2122 MFG Protection'!I65)</f>
        <v>0</v>
      </c>
      <c r="J64" s="1052">
        <f>SUM('2122 MFG Protection'!J65)</f>
        <v>0</v>
      </c>
      <c r="K64" s="1052">
        <f>SUM('2122 MFG Protection'!K65)</f>
        <v>0</v>
      </c>
      <c r="L64" s="122">
        <f>SUM('2122 MFG Protection'!L65)</f>
        <v>0</v>
      </c>
      <c r="N64" s="16"/>
      <c r="O64" s="394">
        <f>'2122 MFG Protection'!L63</f>
        <v>0</v>
      </c>
      <c r="R64" s="800"/>
    </row>
    <row r="65" spans="1:18" x14ac:dyDescent="0.25">
      <c r="A65" s="244">
        <v>9257033</v>
      </c>
      <c r="B65" t="str">
        <f>CONCATENATE(A65,C65)</f>
        <v>92570332022/23</v>
      </c>
      <c r="C65" s="289" t="s">
        <v>959</v>
      </c>
      <c r="D65" t="str">
        <f>CONCATENATE(A65,C65)</f>
        <v>92570332022/23</v>
      </c>
      <c r="E65" s="122">
        <f>VLOOKUP(A65,'2223 Funding Detail'!$A$4:$M$20,13,(FALSE))</f>
        <v>106.16666666666669</v>
      </c>
      <c r="F65" s="1053">
        <f>$E$65*'2223 Band Calculations'!D11</f>
        <v>14.745370370370374</v>
      </c>
      <c r="G65" s="1053">
        <f>$E$65*'2223 Band Calculations'!E11</f>
        <v>66.845679012345698</v>
      </c>
      <c r="H65" s="1053">
        <f>$E$65*'2223 Band Calculations'!F11</f>
        <v>4.9151234567901243</v>
      </c>
      <c r="I65" s="1053">
        <f>$E$65*'2223 Band Calculations'!G11</f>
        <v>10.813271604938272</v>
      </c>
      <c r="J65" s="1053">
        <f>$E$65*'2223 Band Calculations'!H11</f>
        <v>3.9320987654320994</v>
      </c>
      <c r="K65" s="1053">
        <f>$E$65*'2223 Band Calculations'!I11</f>
        <v>3.9320987654320994</v>
      </c>
      <c r="L65" s="460">
        <f>$E$65*'2223 Band Calculations'!J11</f>
        <v>0.98302469135802484</v>
      </c>
      <c r="N65" s="16"/>
      <c r="R65" s="800"/>
    </row>
    <row r="66" spans="1:18" x14ac:dyDescent="0.25">
      <c r="A66" s="244">
        <v>9257033</v>
      </c>
      <c r="B66" t="str">
        <f t="shared" ref="B66:B69" si="51">CONCATENATE(A66,C66)</f>
        <v>9257033</v>
      </c>
      <c r="F66" s="461">
        <f t="shared" ref="F66:K66" si="52">F65-F64</f>
        <v>14.745370370370374</v>
      </c>
      <c r="G66" s="461">
        <f t="shared" si="52"/>
        <v>66.845679012345698</v>
      </c>
      <c r="H66" s="461">
        <f t="shared" si="52"/>
        <v>4.9151234567901243</v>
      </c>
      <c r="I66" s="461">
        <f t="shared" si="52"/>
        <v>10.813271604938272</v>
      </c>
      <c r="J66" s="461">
        <f t="shared" si="52"/>
        <v>3.9320987654320994</v>
      </c>
      <c r="K66" s="461">
        <f t="shared" si="52"/>
        <v>3.9320987654320994</v>
      </c>
      <c r="R66" s="800"/>
    </row>
    <row r="67" spans="1:18" x14ac:dyDescent="0.25">
      <c r="A67" s="244">
        <v>9257033</v>
      </c>
      <c r="B67" t="str">
        <f t="shared" si="51"/>
        <v>9257033a</v>
      </c>
      <c r="C67" s="289" t="s">
        <v>1012</v>
      </c>
      <c r="D67" s="289" t="s">
        <v>1009</v>
      </c>
      <c r="F67" s="1053">
        <f t="shared" ref="F67:K67" si="53">IF(F64&gt;F65,(F65),(F64))</f>
        <v>0</v>
      </c>
      <c r="G67" s="1053">
        <f t="shared" si="53"/>
        <v>0</v>
      </c>
      <c r="H67" s="1053">
        <f t="shared" si="53"/>
        <v>0</v>
      </c>
      <c r="I67" s="1053">
        <f t="shared" si="53"/>
        <v>0</v>
      </c>
      <c r="J67" s="1053">
        <f t="shared" si="53"/>
        <v>0</v>
      </c>
      <c r="K67" s="1053">
        <f t="shared" si="53"/>
        <v>0</v>
      </c>
      <c r="L67" s="122"/>
      <c r="M67" s="16"/>
      <c r="O67" s="16"/>
      <c r="P67" s="16"/>
      <c r="R67" s="800"/>
    </row>
    <row r="68" spans="1:18" x14ac:dyDescent="0.25">
      <c r="A68" s="244"/>
      <c r="B68" t="s">
        <v>1031</v>
      </c>
      <c r="C68" s="289" t="s">
        <v>958</v>
      </c>
      <c r="D68" s="289" t="s">
        <v>1014</v>
      </c>
      <c r="F68" s="394">
        <f>SUM('2122 MFG Protection'!F64)</f>
        <v>0</v>
      </c>
      <c r="G68" s="394">
        <f>SUM('2122 MFG Protection'!G64)</f>
        <v>0</v>
      </c>
      <c r="H68" s="394">
        <f>SUM('2122 MFG Protection'!H64)</f>
        <v>0</v>
      </c>
      <c r="I68" s="394">
        <f>SUM('2122 MFG Protection'!I64)</f>
        <v>0</v>
      </c>
      <c r="J68" s="394">
        <f>SUM('2122 MFG Protection'!J64)</f>
        <v>0</v>
      </c>
      <c r="K68" s="394">
        <f>SUM('2122 MFG Protection'!K64)</f>
        <v>0</v>
      </c>
      <c r="L68" s="122"/>
      <c r="M68" s="16"/>
      <c r="O68" s="16"/>
      <c r="P68" s="16"/>
      <c r="R68" s="800"/>
    </row>
    <row r="69" spans="1:18" x14ac:dyDescent="0.25">
      <c r="A69" s="244">
        <v>9257033</v>
      </c>
      <c r="B69" t="str">
        <f t="shared" si="51"/>
        <v>9257033b</v>
      </c>
      <c r="C69" s="289" t="s">
        <v>1016</v>
      </c>
      <c r="D69" s="289" t="s">
        <v>1017</v>
      </c>
      <c r="F69" s="1054">
        <f>'2223 Band Values'!$BN$11</f>
        <v>150.01676778686306</v>
      </c>
      <c r="G69" s="1054">
        <f>'2223 Band Values'!$BN$8</f>
        <v>180.02012134423603</v>
      </c>
      <c r="H69" s="1054">
        <f>'2223 Band Values'!$BN$28</f>
        <v>418.69476201554426</v>
      </c>
      <c r="I69" s="1054">
        <f>'2223 Band Values'!$BN$5</f>
        <v>429.59609436588289</v>
      </c>
      <c r="J69" s="1054">
        <f>'2223 Band Values'!$BN$14</f>
        <v>429.59609436588289</v>
      </c>
      <c r="K69" s="1054">
        <f>'2223 Band Values'!$BN$22</f>
        <v>436.41416403078438</v>
      </c>
      <c r="L69" s="122"/>
      <c r="M69" s="16"/>
      <c r="R69" s="800"/>
    </row>
    <row r="70" spans="1:18" x14ac:dyDescent="0.25">
      <c r="A70" s="244"/>
      <c r="B70" t="s">
        <v>1032</v>
      </c>
      <c r="C70" s="289" t="s">
        <v>959</v>
      </c>
      <c r="D70" s="289" t="s">
        <v>1014</v>
      </c>
      <c r="F70" s="1054">
        <f>IF(F68-F69&gt;0,(F68-F69),(0))</f>
        <v>0</v>
      </c>
      <c r="G70" s="1054">
        <f t="shared" ref="G70:K70" si="54">IF(G68-G69&gt;0,(G68-G69),(0))</f>
        <v>0</v>
      </c>
      <c r="H70" s="1054">
        <f t="shared" si="54"/>
        <v>0</v>
      </c>
      <c r="I70" s="1054">
        <f t="shared" si="54"/>
        <v>0</v>
      </c>
      <c r="J70" s="1054">
        <f t="shared" si="54"/>
        <v>0</v>
      </c>
      <c r="K70" s="1054">
        <f t="shared" si="54"/>
        <v>0</v>
      </c>
      <c r="L70" s="122"/>
      <c r="M70" s="16"/>
      <c r="R70" s="800"/>
    </row>
    <row r="71" spans="1:18" x14ac:dyDescent="0.25">
      <c r="A71" s="244">
        <v>9257033</v>
      </c>
      <c r="B71" t="str">
        <f>CONCATENATE(A71,C71)</f>
        <v>9257033c</v>
      </c>
      <c r="C71" s="289" t="s">
        <v>1020</v>
      </c>
      <c r="D71" s="289" t="s">
        <v>697</v>
      </c>
      <c r="F71" s="16">
        <f>IF(F70&lt;0,0,(F70*F67))</f>
        <v>0</v>
      </c>
      <c r="G71" s="16">
        <f t="shared" ref="G71:K71" si="55">IF(G70&lt;0,0,(G70*G67))</f>
        <v>0</v>
      </c>
      <c r="H71" s="16">
        <f t="shared" si="55"/>
        <v>0</v>
      </c>
      <c r="I71" s="16">
        <f t="shared" si="55"/>
        <v>0</v>
      </c>
      <c r="J71" s="16">
        <f t="shared" si="55"/>
        <v>0</v>
      </c>
      <c r="K71" s="16">
        <f t="shared" si="55"/>
        <v>0</v>
      </c>
      <c r="L71" s="395">
        <f>SUM(F71:K71)</f>
        <v>0</v>
      </c>
      <c r="M71" s="394">
        <f>L71-O64</f>
        <v>0</v>
      </c>
      <c r="R71" s="800"/>
    </row>
    <row r="72" spans="1:18" x14ac:dyDescent="0.25">
      <c r="A72" s="249"/>
      <c r="C72" s="289"/>
      <c r="D72" s="289" t="s">
        <v>1064</v>
      </c>
      <c r="F72" s="1309">
        <f>IF(F71&gt;0,(F67),(0))</f>
        <v>0</v>
      </c>
      <c r="G72" s="1309">
        <f t="shared" ref="G72" si="56">IF(G71&gt;0,(G67),(0))</f>
        <v>0</v>
      </c>
      <c r="H72" s="1309">
        <f t="shared" ref="H72" si="57">IF(H71&gt;0,(H67),(0))</f>
        <v>0</v>
      </c>
      <c r="I72" s="1309">
        <f t="shared" ref="I72" si="58">IF(I71&gt;0,(I67),(0))</f>
        <v>0</v>
      </c>
      <c r="J72" s="1309">
        <f t="shared" ref="J72" si="59">IF(J71&gt;0,(J67),(0))</f>
        <v>0</v>
      </c>
      <c r="K72" s="1309">
        <f t="shared" ref="K72" si="60">IF(K71&gt;0,(K67),(0))</f>
        <v>0</v>
      </c>
      <c r="L72" s="16"/>
      <c r="M72" s="16"/>
      <c r="R72" s="800"/>
    </row>
    <row r="73" spans="1:18" x14ac:dyDescent="0.25">
      <c r="A73" s="463"/>
      <c r="B73" s="463" t="s">
        <v>212</v>
      </c>
      <c r="C73" s="463"/>
      <c r="D73" s="463"/>
      <c r="E73" s="464"/>
      <c r="F73" s="465"/>
      <c r="G73" s="465"/>
      <c r="H73" s="465"/>
      <c r="I73" s="465"/>
      <c r="J73" s="465"/>
      <c r="K73" s="465"/>
      <c r="L73" s="465"/>
      <c r="M73" s="465"/>
      <c r="N73" s="464"/>
      <c r="O73" s="464"/>
      <c r="P73" s="464"/>
      <c r="Q73" s="464"/>
    </row>
    <row r="74" spans="1:18" x14ac:dyDescent="0.25">
      <c r="A74" s="244">
        <v>9257008</v>
      </c>
      <c r="B74" t="str">
        <f>CONCATENATE(A74,C74)</f>
        <v>92570082021/22</v>
      </c>
      <c r="C74" s="289" t="s">
        <v>958</v>
      </c>
      <c r="D74" s="289" t="s">
        <v>1009</v>
      </c>
      <c r="E74" s="122">
        <f>SUM('2122 MFG Protection'!E74)</f>
        <v>0</v>
      </c>
      <c r="F74" s="1052">
        <f>SUM('2122 MFG Protection'!F74)</f>
        <v>0</v>
      </c>
      <c r="G74" s="1052">
        <f>SUM('2122 MFG Protection'!G74)</f>
        <v>0</v>
      </c>
      <c r="H74" s="1052">
        <f>SUM('2122 MFG Protection'!H74)</f>
        <v>0</v>
      </c>
      <c r="I74" s="1052">
        <f>SUM('2122 MFG Protection'!I74)</f>
        <v>0</v>
      </c>
      <c r="J74" s="1052">
        <f>SUM('2122 MFG Protection'!J74)</f>
        <v>0</v>
      </c>
      <c r="K74" s="1052">
        <f>SUM('2122 MFG Protection'!K74)</f>
        <v>0</v>
      </c>
      <c r="L74" s="122">
        <f>SUM('2122 MFG Protection'!L74)</f>
        <v>0</v>
      </c>
      <c r="N74" s="16"/>
      <c r="O74" s="394">
        <f>'2122 MFG Protection'!L72</f>
        <v>0</v>
      </c>
      <c r="R74" s="800"/>
    </row>
    <row r="75" spans="1:18" x14ac:dyDescent="0.25">
      <c r="A75" s="244">
        <v>9257008</v>
      </c>
      <c r="B75" t="str">
        <f>CONCATENATE(A75,C75)</f>
        <v>92570082022/23</v>
      </c>
      <c r="C75" s="289" t="s">
        <v>959</v>
      </c>
      <c r="D75" t="str">
        <f>CONCATENATE(A75,C75)</f>
        <v>92570082022/23</v>
      </c>
      <c r="E75" s="122">
        <f>VLOOKUP(A75,'2223 Funding Detail'!$A$4:$M$20,13,(FALSE))</f>
        <v>100.16666666666667</v>
      </c>
      <c r="F75" s="1053">
        <f>$E$75*'2223 Band Calculations'!D12</f>
        <v>11.018333333333334</v>
      </c>
      <c r="G75" s="1053">
        <f>$E$75*'2223 Band Calculations'!E12</f>
        <v>64.106666666666669</v>
      </c>
      <c r="H75" s="1053">
        <f>$E$75*'2223 Band Calculations'!F12</f>
        <v>7.0116666666666676</v>
      </c>
      <c r="I75" s="1053">
        <f>$E$75*'2223 Band Calculations'!G12</f>
        <v>9.0150000000000006</v>
      </c>
      <c r="J75" s="1053">
        <f>$E$75*'2223 Band Calculations'!H12</f>
        <v>0</v>
      </c>
      <c r="K75" s="1053">
        <f>$E$75*'2223 Band Calculations'!I12</f>
        <v>9.0150000000000006</v>
      </c>
      <c r="L75" s="460">
        <f>$E$75*'2223 Band Calculations'!J12</f>
        <v>0</v>
      </c>
      <c r="N75" s="16"/>
      <c r="R75" s="800"/>
    </row>
    <row r="76" spans="1:18" x14ac:dyDescent="0.25">
      <c r="A76" s="244">
        <v>9257008</v>
      </c>
      <c r="B76" t="str">
        <f t="shared" ref="B76:B79" si="61">CONCATENATE(A76,C76)</f>
        <v>9257008</v>
      </c>
      <c r="F76" s="461">
        <f t="shared" ref="F76:K76" si="62">F75-F74</f>
        <v>11.018333333333334</v>
      </c>
      <c r="G76" s="461">
        <f t="shared" si="62"/>
        <v>64.106666666666669</v>
      </c>
      <c r="H76" s="461">
        <f t="shared" si="62"/>
        <v>7.0116666666666676</v>
      </c>
      <c r="I76" s="461">
        <f t="shared" si="62"/>
        <v>9.0150000000000006</v>
      </c>
      <c r="J76" s="461">
        <f t="shared" si="62"/>
        <v>0</v>
      </c>
      <c r="K76" s="461">
        <f t="shared" si="62"/>
        <v>9.0150000000000006</v>
      </c>
      <c r="R76" s="800"/>
    </row>
    <row r="77" spans="1:18" x14ac:dyDescent="0.25">
      <c r="A77" s="244">
        <v>9257008</v>
      </c>
      <c r="B77" t="str">
        <f t="shared" si="61"/>
        <v>9257008a</v>
      </c>
      <c r="C77" s="289" t="s">
        <v>1012</v>
      </c>
      <c r="D77" s="289" t="s">
        <v>1009</v>
      </c>
      <c r="F77" s="1053">
        <f t="shared" ref="F77:K77" si="63">IF(F74&gt;F75,(F75),(F74))</f>
        <v>0</v>
      </c>
      <c r="G77" s="1053">
        <f t="shared" si="63"/>
        <v>0</v>
      </c>
      <c r="H77" s="1053">
        <f t="shared" si="63"/>
        <v>0</v>
      </c>
      <c r="I77" s="1053">
        <f t="shared" si="63"/>
        <v>0</v>
      </c>
      <c r="J77" s="1053">
        <f t="shared" si="63"/>
        <v>0</v>
      </c>
      <c r="K77" s="1053">
        <f t="shared" si="63"/>
        <v>0</v>
      </c>
      <c r="L77" s="122"/>
      <c r="M77" s="16"/>
      <c r="O77" s="16"/>
      <c r="P77" s="16"/>
      <c r="R77" s="800"/>
    </row>
    <row r="78" spans="1:18" x14ac:dyDescent="0.25">
      <c r="A78" s="244"/>
      <c r="B78" t="s">
        <v>1033</v>
      </c>
      <c r="C78" s="289" t="s">
        <v>958</v>
      </c>
      <c r="D78" s="289" t="s">
        <v>1014</v>
      </c>
      <c r="F78" s="394">
        <f>SUM('2122 MFG Protection'!F73)</f>
        <v>0</v>
      </c>
      <c r="G78" s="394">
        <f>SUM('2122 MFG Protection'!G73)</f>
        <v>0</v>
      </c>
      <c r="H78" s="394">
        <f>SUM('2122 MFG Protection'!H73)</f>
        <v>0</v>
      </c>
      <c r="I78" s="394">
        <f>SUM('2122 MFG Protection'!I73)</f>
        <v>0</v>
      </c>
      <c r="J78" s="394">
        <f>SUM('2122 MFG Protection'!J73)</f>
        <v>0</v>
      </c>
      <c r="K78" s="394">
        <f>SUM('2122 MFG Protection'!K73)</f>
        <v>0</v>
      </c>
      <c r="L78" s="122"/>
      <c r="M78" s="16"/>
      <c r="O78" s="16"/>
      <c r="P78" s="16"/>
      <c r="R78" s="800"/>
    </row>
    <row r="79" spans="1:18" x14ac:dyDescent="0.25">
      <c r="A79" s="244">
        <v>9257008</v>
      </c>
      <c r="B79" t="str">
        <f t="shared" si="61"/>
        <v>9257008b</v>
      </c>
      <c r="C79" s="289" t="s">
        <v>1016</v>
      </c>
      <c r="D79" s="289" t="s">
        <v>1017</v>
      </c>
      <c r="F79" s="1054">
        <f>'2223 Band Values'!$BN$11</f>
        <v>150.01676778686306</v>
      </c>
      <c r="G79" s="1054">
        <f>'2223 Band Values'!$BN$8</f>
        <v>180.02012134423603</v>
      </c>
      <c r="H79" s="1054">
        <f>'2223 Band Values'!$BN$28</f>
        <v>418.69476201554426</v>
      </c>
      <c r="I79" s="1054">
        <f>'2223 Band Values'!$BN$5</f>
        <v>429.59609436588289</v>
      </c>
      <c r="J79" s="1054">
        <f>'2223 Band Values'!$BN$14</f>
        <v>429.59609436588289</v>
      </c>
      <c r="K79" s="1054">
        <f>'2223 Band Values'!$BN$22</f>
        <v>436.41416403078438</v>
      </c>
      <c r="L79" s="122"/>
      <c r="M79" s="16"/>
      <c r="R79" s="800"/>
    </row>
    <row r="80" spans="1:18" x14ac:dyDescent="0.25">
      <c r="A80" s="244"/>
      <c r="B80" t="s">
        <v>1034</v>
      </c>
      <c r="C80" s="289" t="s">
        <v>959</v>
      </c>
      <c r="D80" s="289" t="s">
        <v>1014</v>
      </c>
      <c r="F80" s="1054">
        <f>IF(F78-F79&gt;0,(F78-F79),(0))</f>
        <v>0</v>
      </c>
      <c r="G80" s="1054">
        <f t="shared" ref="G80:K80" si="64">IF(G78-G79&gt;0,(G78-G79),(0))</f>
        <v>0</v>
      </c>
      <c r="H80" s="1054">
        <f t="shared" si="64"/>
        <v>0</v>
      </c>
      <c r="I80" s="1054">
        <f t="shared" si="64"/>
        <v>0</v>
      </c>
      <c r="J80" s="1054">
        <f t="shared" si="64"/>
        <v>0</v>
      </c>
      <c r="K80" s="1054">
        <f t="shared" si="64"/>
        <v>0</v>
      </c>
      <c r="L80" s="122"/>
      <c r="M80" s="16"/>
      <c r="R80" s="800"/>
    </row>
    <row r="81" spans="1:18" x14ac:dyDescent="0.25">
      <c r="A81" s="244">
        <v>9257008</v>
      </c>
      <c r="B81" t="str">
        <f>CONCATENATE(A81,C81)</f>
        <v>9257008c</v>
      </c>
      <c r="C81" s="289" t="s">
        <v>1020</v>
      </c>
      <c r="D81" s="289" t="s">
        <v>697</v>
      </c>
      <c r="F81" s="16">
        <f>IF(F80&lt;0,0,(F80*F77))</f>
        <v>0</v>
      </c>
      <c r="G81" s="16">
        <f t="shared" ref="G81:K81" si="65">IF(G80&lt;0,0,(G80*G77))</f>
        <v>0</v>
      </c>
      <c r="H81" s="16">
        <f t="shared" si="65"/>
        <v>0</v>
      </c>
      <c r="I81" s="16">
        <f t="shared" si="65"/>
        <v>0</v>
      </c>
      <c r="J81" s="16">
        <f t="shared" si="65"/>
        <v>0</v>
      </c>
      <c r="K81" s="16">
        <f t="shared" si="65"/>
        <v>0</v>
      </c>
      <c r="L81" s="395">
        <f>SUM(F81:K81)</f>
        <v>0</v>
      </c>
      <c r="M81" s="394">
        <f>L81-O74</f>
        <v>0</v>
      </c>
      <c r="R81" s="800"/>
    </row>
    <row r="82" spans="1:18" x14ac:dyDescent="0.25">
      <c r="A82" s="249"/>
      <c r="C82" s="289"/>
      <c r="D82" s="289" t="s">
        <v>1064</v>
      </c>
      <c r="F82" s="1309">
        <f>IF(F81&gt;0,(F77),(0))</f>
        <v>0</v>
      </c>
      <c r="G82" s="1309">
        <f t="shared" ref="G82" si="66">IF(G81&gt;0,(G77),(0))</f>
        <v>0</v>
      </c>
      <c r="H82" s="1309">
        <f t="shared" ref="H82" si="67">IF(H81&gt;0,(H77),(0))</f>
        <v>0</v>
      </c>
      <c r="I82" s="1309">
        <f t="shared" ref="I82" si="68">IF(I81&gt;0,(I77),(0))</f>
        <v>0</v>
      </c>
      <c r="J82" s="1309">
        <f t="shared" ref="J82" si="69">IF(J81&gt;0,(J77),(0))</f>
        <v>0</v>
      </c>
      <c r="K82" s="1309">
        <f t="shared" ref="K82" si="70">IF(K81&gt;0,(K77),(0))</f>
        <v>0</v>
      </c>
      <c r="L82" s="16"/>
      <c r="M82" s="16"/>
      <c r="R82" s="800"/>
    </row>
    <row r="83" spans="1:18" x14ac:dyDescent="0.25">
      <c r="A83" s="463"/>
      <c r="B83" s="463" t="s">
        <v>221</v>
      </c>
      <c r="C83" s="463"/>
      <c r="D83" s="463"/>
      <c r="E83" s="464"/>
      <c r="F83" s="465"/>
      <c r="G83" s="465"/>
      <c r="H83" s="465"/>
      <c r="I83" s="465"/>
      <c r="J83" s="465"/>
      <c r="K83" s="465"/>
      <c r="L83" s="465"/>
      <c r="M83" s="465"/>
      <c r="N83" s="464"/>
      <c r="O83" s="464"/>
      <c r="P83" s="464"/>
      <c r="Q83" s="464"/>
    </row>
    <row r="84" spans="1:18" x14ac:dyDescent="0.25">
      <c r="A84" s="244">
        <v>9257034</v>
      </c>
      <c r="B84" t="str">
        <f>CONCATENATE(A84,C84)</f>
        <v>92570342021/22</v>
      </c>
      <c r="C84" s="289" t="s">
        <v>958</v>
      </c>
      <c r="D84" s="289" t="s">
        <v>1009</v>
      </c>
      <c r="E84" s="122">
        <f>SUM('2122 MFG Protection'!E83)</f>
        <v>110.66917688792691</v>
      </c>
      <c r="F84" s="1053">
        <f>SUM('2122 MFG Protection'!F83)</f>
        <v>48.923363095238102</v>
      </c>
      <c r="G84" s="1053">
        <f>SUM('2122 MFG Protection'!G83)</f>
        <v>31.227678571428569</v>
      </c>
      <c r="H84" s="1053">
        <f>SUM('2122 MFG Protection'!H83)</f>
        <v>17.417508417508415</v>
      </c>
      <c r="I84" s="1053">
        <f>SUM('2122 MFG Protection'!I83)</f>
        <v>3.7323232323232323</v>
      </c>
      <c r="J84" s="1053">
        <f>SUM('2122 MFG Protection'!J83)</f>
        <v>4.1636904761904763</v>
      </c>
      <c r="K84" s="1053">
        <f>SUM('2122 MFG Protection'!K83)</f>
        <v>5.2046130952380958</v>
      </c>
      <c r="L84" s="460">
        <f>SUM('2122 MFG Protection'!L83)</f>
        <v>0</v>
      </c>
      <c r="N84" s="16"/>
      <c r="O84" s="394">
        <f>'2122 MFG Protection'!L81</f>
        <v>59535.284511571168</v>
      </c>
      <c r="R84" s="800"/>
    </row>
    <row r="85" spans="1:18" x14ac:dyDescent="0.25">
      <c r="A85" s="244">
        <v>9257034</v>
      </c>
      <c r="B85" t="str">
        <f>CONCATENATE(A85,C85)</f>
        <v>92570342022/23</v>
      </c>
      <c r="C85" s="289" t="s">
        <v>959</v>
      </c>
      <c r="D85" t="str">
        <f>CONCATENATE(A85,C85)</f>
        <v>92570342022/23</v>
      </c>
      <c r="E85" s="122">
        <f>VLOOKUP(A85,'2223 Funding Detail'!$A$4:$M$20,13,(FALSE))</f>
        <v>122.16666666666667</v>
      </c>
      <c r="F85" s="1053">
        <f>$E$85*'2223 Band Calculations'!D13</f>
        <v>54.296296296296298</v>
      </c>
      <c r="G85" s="1053">
        <f>$E$85*'2223 Band Calculations'!E13</f>
        <v>39.591049382716051</v>
      </c>
      <c r="H85" s="1053">
        <f>$E$85*'2223 Band Calculations'!F13</f>
        <v>11.311728395061728</v>
      </c>
      <c r="I85" s="1053">
        <f>$E$85*'2223 Band Calculations'!G13</f>
        <v>5.6558641975308639</v>
      </c>
      <c r="J85" s="1053">
        <f>$E$85*'2223 Band Calculations'!H13</f>
        <v>3.3935185185185186</v>
      </c>
      <c r="K85" s="1053">
        <f>$E$85*'2223 Band Calculations'!I13</f>
        <v>6.7870370370370372</v>
      </c>
      <c r="L85" s="460">
        <f>$E$85*'2223 Band Calculations'!J13</f>
        <v>1.1311728395061729</v>
      </c>
      <c r="N85" s="16"/>
      <c r="R85" s="800"/>
    </row>
    <row r="86" spans="1:18" x14ac:dyDescent="0.25">
      <c r="A86" s="244">
        <v>9257034</v>
      </c>
      <c r="B86" t="str">
        <f t="shared" ref="B86:B89" si="71">CONCATENATE(A86,C86)</f>
        <v>9257034</v>
      </c>
      <c r="F86" s="461">
        <f t="shared" ref="F86:K86" si="72">F85-F84</f>
        <v>5.3729332010581956</v>
      </c>
      <c r="G86" s="461">
        <f t="shared" si="72"/>
        <v>8.3633708112874814</v>
      </c>
      <c r="H86" s="461">
        <f t="shared" si="72"/>
        <v>-6.1057800224466874</v>
      </c>
      <c r="I86" s="461">
        <f t="shared" si="72"/>
        <v>1.9235409652076316</v>
      </c>
      <c r="J86" s="461">
        <f t="shared" si="72"/>
        <v>-0.77017195767195767</v>
      </c>
      <c r="K86" s="461">
        <f t="shared" si="72"/>
        <v>1.5824239417989414</v>
      </c>
      <c r="R86" s="800"/>
    </row>
    <row r="87" spans="1:18" x14ac:dyDescent="0.25">
      <c r="A87" s="244">
        <v>9257034</v>
      </c>
      <c r="B87" t="str">
        <f t="shared" si="71"/>
        <v>9257034a</v>
      </c>
      <c r="C87" s="289" t="s">
        <v>1012</v>
      </c>
      <c r="D87" s="289" t="s">
        <v>1009</v>
      </c>
      <c r="F87" s="1053">
        <f t="shared" ref="F87:K87" si="73">IF(F84&gt;F85,(F85),(F84))</f>
        <v>48.923363095238102</v>
      </c>
      <c r="G87" s="1053">
        <f t="shared" si="73"/>
        <v>31.227678571428569</v>
      </c>
      <c r="H87" s="1053">
        <f t="shared" si="73"/>
        <v>11.311728395061728</v>
      </c>
      <c r="I87" s="1053">
        <f t="shared" si="73"/>
        <v>3.7323232323232323</v>
      </c>
      <c r="J87" s="1053">
        <f t="shared" si="73"/>
        <v>3.3935185185185186</v>
      </c>
      <c r="K87" s="1053">
        <f t="shared" si="73"/>
        <v>5.2046130952380958</v>
      </c>
      <c r="L87" s="122"/>
      <c r="M87" s="16"/>
      <c r="O87" s="16"/>
      <c r="P87" s="16"/>
      <c r="R87" s="800"/>
    </row>
    <row r="88" spans="1:18" x14ac:dyDescent="0.25">
      <c r="A88" s="244"/>
      <c r="B88" t="s">
        <v>1035</v>
      </c>
      <c r="C88" s="289" t="s">
        <v>958</v>
      </c>
      <c r="D88" s="289" t="s">
        <v>1014</v>
      </c>
      <c r="F88" s="394">
        <f>SUM('2122 MFG Protection'!F82)</f>
        <v>588.23996076291996</v>
      </c>
      <c r="G88" s="394">
        <f>SUM('2122 MFG Protection'!G82)</f>
        <v>576.4976263378835</v>
      </c>
      <c r="H88" s="394">
        <f>SUM('2122 MFG Protection'!H82)</f>
        <v>435.58961323744734</v>
      </c>
      <c r="I88" s="394">
        <f>SUM('2122 MFG Protection'!I82)</f>
        <v>382.74910832478417</v>
      </c>
      <c r="J88" s="394">
        <f>SUM('2122 MFG Protection'!J82)</f>
        <v>382.74910832478417</v>
      </c>
      <c r="K88" s="394">
        <f>SUM('2122 MFG Protection'!K82)</f>
        <v>412.10494438737436</v>
      </c>
      <c r="L88" s="122"/>
      <c r="M88" s="16"/>
      <c r="O88" s="16"/>
      <c r="P88" s="16"/>
      <c r="R88" s="800"/>
    </row>
    <row r="89" spans="1:18" x14ac:dyDescent="0.25">
      <c r="A89" s="244">
        <v>9257034</v>
      </c>
      <c r="B89" t="str">
        <f t="shared" si="71"/>
        <v>9257034b</v>
      </c>
      <c r="C89" s="289" t="s">
        <v>1016</v>
      </c>
      <c r="D89" s="289" t="s">
        <v>1017</v>
      </c>
      <c r="F89" s="1054">
        <f>'2223 Band Values'!$BN$11</f>
        <v>150.01676778686306</v>
      </c>
      <c r="G89" s="1054">
        <f>'2223 Band Values'!$BN$8</f>
        <v>180.02012134423603</v>
      </c>
      <c r="H89" s="1054">
        <f>'2223 Band Values'!$BN$28</f>
        <v>418.69476201554426</v>
      </c>
      <c r="I89" s="1054">
        <f>'2223 Band Values'!$BN$5</f>
        <v>429.59609436588289</v>
      </c>
      <c r="J89" s="1054">
        <f>'2223 Band Values'!$BN$14</f>
        <v>429.59609436588289</v>
      </c>
      <c r="K89" s="1054">
        <f>'2223 Band Values'!$BN$22</f>
        <v>436.41416403078438</v>
      </c>
      <c r="L89" s="122"/>
      <c r="M89" s="16"/>
      <c r="R89" s="800"/>
    </row>
    <row r="90" spans="1:18" x14ac:dyDescent="0.25">
      <c r="A90" s="244"/>
      <c r="B90" t="s">
        <v>1036</v>
      </c>
      <c r="C90" s="289" t="s">
        <v>959</v>
      </c>
      <c r="D90" s="289" t="s">
        <v>1014</v>
      </c>
      <c r="F90" s="1054">
        <f>IF(F88-F89&gt;0,(F88-F89),(0))</f>
        <v>438.22319297605691</v>
      </c>
      <c r="G90" s="1054">
        <f t="shared" ref="G90:K90" si="74">IF(G88-G89&gt;0,(G88-G89),(0))</f>
        <v>396.47750499364747</v>
      </c>
      <c r="H90" s="1054">
        <f t="shared" si="74"/>
        <v>16.894851221903082</v>
      </c>
      <c r="I90" s="1054">
        <f t="shared" si="74"/>
        <v>0</v>
      </c>
      <c r="J90" s="1054">
        <f t="shared" si="74"/>
        <v>0</v>
      </c>
      <c r="K90" s="1054">
        <f t="shared" si="74"/>
        <v>0</v>
      </c>
      <c r="L90" s="122"/>
      <c r="M90" s="16"/>
      <c r="R90" s="800"/>
    </row>
    <row r="91" spans="1:18" x14ac:dyDescent="0.25">
      <c r="A91" s="244">
        <v>9257034</v>
      </c>
      <c r="B91" t="str">
        <f>CONCATENATE(A91,C91)</f>
        <v>9257034c</v>
      </c>
      <c r="C91" s="289" t="s">
        <v>1020</v>
      </c>
      <c r="D91" s="289" t="s">
        <v>697</v>
      </c>
      <c r="F91" s="16">
        <f t="shared" ref="F91:K91" si="75">IF(F90&lt;0,0,(F90*F87))</f>
        <v>21439.352386722228</v>
      </c>
      <c r="G91" s="16">
        <f t="shared" si="75"/>
        <v>12381.072086743588</v>
      </c>
      <c r="H91" s="16">
        <f t="shared" si="75"/>
        <v>191.10996829714441</v>
      </c>
      <c r="I91" s="16">
        <f t="shared" si="75"/>
        <v>0</v>
      </c>
      <c r="J91" s="16">
        <f t="shared" si="75"/>
        <v>0</v>
      </c>
      <c r="K91" s="16">
        <f t="shared" si="75"/>
        <v>0</v>
      </c>
      <c r="L91" s="395">
        <f>SUM(F91:K91)</f>
        <v>34011.53444176296</v>
      </c>
      <c r="M91" s="394">
        <f>L91-O84</f>
        <v>-25523.750069808208</v>
      </c>
      <c r="R91" s="800"/>
    </row>
    <row r="92" spans="1:18" x14ac:dyDescent="0.25">
      <c r="A92" s="249"/>
      <c r="C92" s="289"/>
      <c r="D92" s="289" t="s">
        <v>1064</v>
      </c>
      <c r="F92" s="1309">
        <f>IF(F91&gt;0,(F87),(0))</f>
        <v>48.923363095238102</v>
      </c>
      <c r="G92" s="1309">
        <f t="shared" ref="G92" si="76">IF(G91&gt;0,(G87),(0))</f>
        <v>31.227678571428569</v>
      </c>
      <c r="H92" s="1309">
        <f t="shared" ref="H92" si="77">IF(H91&gt;0,(H87),(0))</f>
        <v>11.311728395061728</v>
      </c>
      <c r="I92" s="1309">
        <f t="shared" ref="I92" si="78">IF(I91&gt;0,(I87),(0))</f>
        <v>0</v>
      </c>
      <c r="J92" s="1309">
        <f t="shared" ref="J92" si="79">IF(J91&gt;0,(J87),(0))</f>
        <v>0</v>
      </c>
      <c r="K92" s="1309">
        <f t="shared" ref="K92" si="80">IF(K91&gt;0,(K87),(0))</f>
        <v>0</v>
      </c>
      <c r="L92" s="16"/>
      <c r="M92" s="16"/>
      <c r="R92" s="800"/>
    </row>
    <row r="93" spans="1:18" x14ac:dyDescent="0.25">
      <c r="A93" s="463"/>
      <c r="B93" s="463" t="s">
        <v>213</v>
      </c>
      <c r="C93" s="463"/>
      <c r="D93" s="463"/>
      <c r="E93" s="464"/>
      <c r="F93" s="465"/>
      <c r="G93" s="465"/>
      <c r="H93" s="465"/>
      <c r="I93" s="465"/>
      <c r="J93" s="465"/>
      <c r="K93" s="465"/>
      <c r="L93" s="465"/>
      <c r="M93" s="465"/>
      <c r="N93" s="464"/>
      <c r="O93" s="464"/>
      <c r="P93" s="464"/>
      <c r="Q93" s="464"/>
    </row>
    <row r="94" spans="1:18" x14ac:dyDescent="0.25">
      <c r="A94" s="244">
        <v>9257002</v>
      </c>
      <c r="B94" t="str">
        <f>CONCATENATE(A94,C94)</f>
        <v>92570022021/22</v>
      </c>
      <c r="C94" s="289" t="s">
        <v>958</v>
      </c>
      <c r="D94" s="289" t="s">
        <v>1009</v>
      </c>
      <c r="E94" s="804">
        <f>SUM('2122 MFG Protection'!E92)</f>
        <v>0</v>
      </c>
      <c r="F94" s="1060">
        <f>SUM('2122 MFG Protection'!F92)</f>
        <v>0</v>
      </c>
      <c r="G94" s="1060">
        <f>SUM('2122 MFG Protection'!G92)</f>
        <v>0</v>
      </c>
      <c r="H94" s="1060">
        <f>SUM('2122 MFG Protection'!H92)</f>
        <v>0</v>
      </c>
      <c r="I94" s="1060">
        <f>SUM('2122 MFG Protection'!I92)</f>
        <v>0</v>
      </c>
      <c r="J94" s="1060">
        <f>SUM('2122 MFG Protection'!J92)</f>
        <v>0</v>
      </c>
      <c r="K94" s="1060">
        <f>SUM('2122 MFG Protection'!K92)</f>
        <v>0</v>
      </c>
      <c r="L94" s="804">
        <f>SUM('2122 MFG Protection'!L92)</f>
        <v>0</v>
      </c>
      <c r="N94" s="16"/>
      <c r="O94" s="394">
        <f>'2122 MFG Protection'!L90</f>
        <v>0</v>
      </c>
      <c r="R94" s="800"/>
    </row>
    <row r="95" spans="1:18" x14ac:dyDescent="0.25">
      <c r="A95" s="244">
        <v>9257002</v>
      </c>
      <c r="B95" t="str">
        <f>CONCATENATE(A95,C95)</f>
        <v>92570022022/23</v>
      </c>
      <c r="C95" s="289" t="s">
        <v>959</v>
      </c>
      <c r="D95" t="str">
        <f>CONCATENATE(A95,C95)</f>
        <v>92570022022/23</v>
      </c>
      <c r="E95" s="122">
        <f>VLOOKUP(A95,'2223 Funding Detail'!$A$4:$M$20,13,(FALSE))</f>
        <v>155.66666666666669</v>
      </c>
      <c r="F95" s="1053">
        <f>$E$95*'2223 Band Calculations'!D14</f>
        <v>52.23713646532439</v>
      </c>
      <c r="G95" s="1053">
        <f>$E$95*'2223 Band Calculations'!E14</f>
        <v>60.59507829977629</v>
      </c>
      <c r="H95" s="1053">
        <f>$E$95*'2223 Band Calculations'!F14</f>
        <v>20.894854586129757</v>
      </c>
      <c r="I95" s="1053">
        <f>$E$95*'2223 Band Calculations'!G14</f>
        <v>5.2237136465324392</v>
      </c>
      <c r="J95" s="1053">
        <f>$E$95*'2223 Band Calculations'!H14</f>
        <v>3.1342281879194633</v>
      </c>
      <c r="K95" s="1053">
        <f>$E$95*'2223 Band Calculations'!I14</f>
        <v>11.492170022371367</v>
      </c>
      <c r="L95" s="460">
        <f>$E$95*'2223 Band Calculations'!J14</f>
        <v>2.0894854586129754</v>
      </c>
      <c r="N95" s="16"/>
      <c r="R95" s="800"/>
    </row>
    <row r="96" spans="1:18" x14ac:dyDescent="0.25">
      <c r="A96" s="244">
        <v>9257002</v>
      </c>
      <c r="B96" t="str">
        <f t="shared" ref="B96:B99" si="81">CONCATENATE(A96,C96)</f>
        <v>9257002</v>
      </c>
      <c r="F96" s="461">
        <f t="shared" ref="F96:K96" si="82">F95-F94</f>
        <v>52.23713646532439</v>
      </c>
      <c r="G96" s="461">
        <f t="shared" si="82"/>
        <v>60.59507829977629</v>
      </c>
      <c r="H96" s="461">
        <f t="shared" si="82"/>
        <v>20.894854586129757</v>
      </c>
      <c r="I96" s="461">
        <f>I95-I94</f>
        <v>5.2237136465324392</v>
      </c>
      <c r="J96" s="461">
        <f t="shared" si="82"/>
        <v>3.1342281879194633</v>
      </c>
      <c r="K96" s="461">
        <f t="shared" si="82"/>
        <v>11.492170022371367</v>
      </c>
      <c r="R96" s="800"/>
    </row>
    <row r="97" spans="1:18" x14ac:dyDescent="0.25">
      <c r="A97" s="244">
        <v>9257002</v>
      </c>
      <c r="B97" t="str">
        <f t="shared" si="81"/>
        <v>9257002a</v>
      </c>
      <c r="C97" s="289" t="s">
        <v>1012</v>
      </c>
      <c r="D97" s="289" t="s">
        <v>1009</v>
      </c>
      <c r="F97" s="1053">
        <f t="shared" ref="F97:K97" si="83">IF(F94&gt;F95,(F95),(F94))</f>
        <v>0</v>
      </c>
      <c r="G97" s="1053">
        <f t="shared" si="83"/>
        <v>0</v>
      </c>
      <c r="H97" s="1053">
        <f t="shared" si="83"/>
        <v>0</v>
      </c>
      <c r="I97" s="1053">
        <f t="shared" si="83"/>
        <v>0</v>
      </c>
      <c r="J97" s="1053">
        <f t="shared" si="83"/>
        <v>0</v>
      </c>
      <c r="K97" s="1053">
        <f t="shared" si="83"/>
        <v>0</v>
      </c>
      <c r="L97" s="122"/>
      <c r="M97" s="16"/>
      <c r="O97" s="16"/>
      <c r="P97" s="16"/>
      <c r="R97" s="800"/>
    </row>
    <row r="98" spans="1:18" x14ac:dyDescent="0.25">
      <c r="A98" s="244"/>
      <c r="B98" t="s">
        <v>1037</v>
      </c>
      <c r="C98" s="289" t="s">
        <v>958</v>
      </c>
      <c r="D98" s="289" t="s">
        <v>1014</v>
      </c>
      <c r="F98" s="394">
        <f>SUM('2122 MFG Protection'!F91)</f>
        <v>0</v>
      </c>
      <c r="G98" s="394">
        <f>SUM('2122 MFG Protection'!G91)</f>
        <v>0</v>
      </c>
      <c r="H98" s="394">
        <f>SUM('2122 MFG Protection'!H91)</f>
        <v>0</v>
      </c>
      <c r="I98" s="394">
        <f>SUM('2122 MFG Protection'!I91)</f>
        <v>0</v>
      </c>
      <c r="J98" s="394">
        <f>SUM('2122 MFG Protection'!J91)</f>
        <v>0</v>
      </c>
      <c r="K98" s="394">
        <f>SUM('2122 MFG Protection'!K91)</f>
        <v>0</v>
      </c>
      <c r="L98" s="122"/>
      <c r="M98" s="16"/>
      <c r="O98" s="16"/>
      <c r="P98" s="16"/>
      <c r="R98" s="800"/>
    </row>
    <row r="99" spans="1:18" x14ac:dyDescent="0.25">
      <c r="A99" s="244">
        <v>9257002</v>
      </c>
      <c r="B99" t="str">
        <f t="shared" si="81"/>
        <v>9257002b</v>
      </c>
      <c r="C99" s="289" t="s">
        <v>1016</v>
      </c>
      <c r="D99" s="289" t="s">
        <v>1017</v>
      </c>
      <c r="F99" s="1054">
        <f>'2223 Band Values'!$BN$11</f>
        <v>150.01676778686306</v>
      </c>
      <c r="G99" s="1054">
        <f>'2223 Band Values'!$BN$8</f>
        <v>180.02012134423603</v>
      </c>
      <c r="H99" s="1054">
        <f>'2223 Band Values'!$BN$28</f>
        <v>418.69476201554426</v>
      </c>
      <c r="I99" s="1054">
        <f>'2223 Band Values'!$BN$5</f>
        <v>429.59609436588289</v>
      </c>
      <c r="J99" s="1054">
        <f>'2223 Band Values'!$BN$14</f>
        <v>429.59609436588289</v>
      </c>
      <c r="K99" s="1054">
        <f>'2223 Band Values'!$BN$22</f>
        <v>436.41416403078438</v>
      </c>
      <c r="L99" s="122"/>
      <c r="M99" s="16"/>
      <c r="O99" s="16"/>
      <c r="P99" s="16"/>
      <c r="R99" s="800"/>
    </row>
    <row r="100" spans="1:18" x14ac:dyDescent="0.25">
      <c r="A100" s="244"/>
      <c r="B100" t="s">
        <v>1038</v>
      </c>
      <c r="C100" s="289" t="s">
        <v>959</v>
      </c>
      <c r="D100" s="289" t="s">
        <v>1014</v>
      </c>
      <c r="F100" s="1054">
        <f>IF(F98-F99&gt;0,(F98-F99),(0))</f>
        <v>0</v>
      </c>
      <c r="G100" s="1054">
        <f t="shared" ref="G100:K100" si="84">IF(G98-G99&gt;0,(G98-G99),(0))</f>
        <v>0</v>
      </c>
      <c r="H100" s="1054">
        <f t="shared" si="84"/>
        <v>0</v>
      </c>
      <c r="I100" s="1054">
        <f t="shared" si="84"/>
        <v>0</v>
      </c>
      <c r="J100" s="1054">
        <f t="shared" si="84"/>
        <v>0</v>
      </c>
      <c r="K100" s="1054">
        <f t="shared" si="84"/>
        <v>0</v>
      </c>
      <c r="L100" s="122"/>
      <c r="M100" s="16"/>
      <c r="O100" s="16"/>
      <c r="P100" s="16"/>
      <c r="R100" s="800"/>
    </row>
    <row r="101" spans="1:18" x14ac:dyDescent="0.25">
      <c r="A101" s="244">
        <v>9257002</v>
      </c>
      <c r="B101" t="str">
        <f>CONCATENATE(A101,C101)</f>
        <v>9257002c</v>
      </c>
      <c r="C101" s="289" t="s">
        <v>1020</v>
      </c>
      <c r="D101" s="289" t="s">
        <v>697</v>
      </c>
      <c r="F101" s="16">
        <f t="shared" ref="F101" si="85">IF(F100&lt;0,0,(F100*F97))</f>
        <v>0</v>
      </c>
      <c r="G101" s="16">
        <f t="shared" ref="G101" si="86">IF(G100&lt;0,0,(G100*G97))</f>
        <v>0</v>
      </c>
      <c r="H101" s="16">
        <f t="shared" ref="H101" si="87">IF(H100&lt;0,0,(H100*H97))</f>
        <v>0</v>
      </c>
      <c r="I101" s="16">
        <f t="shared" ref="I101" si="88">IF(I100&lt;0,0,(I100*I97))</f>
        <v>0</v>
      </c>
      <c r="J101" s="16">
        <f t="shared" ref="J101" si="89">IF(J100&lt;0,0,(J100*J97))</f>
        <v>0</v>
      </c>
      <c r="K101" s="16">
        <f t="shared" ref="K101" si="90">IF(K100&lt;0,0,(K100*K97))</f>
        <v>0</v>
      </c>
      <c r="L101" s="395">
        <f>SUM(F101:K101)</f>
        <v>0</v>
      </c>
      <c r="M101" s="394">
        <f>L101-O94</f>
        <v>0</v>
      </c>
      <c r="O101" s="16"/>
      <c r="P101" s="16"/>
      <c r="R101" s="800"/>
    </row>
    <row r="102" spans="1:18" x14ac:dyDescent="0.25">
      <c r="A102" s="249"/>
      <c r="C102" s="289"/>
      <c r="D102" s="289" t="s">
        <v>1064</v>
      </c>
      <c r="F102" s="1309">
        <f>IF(F101&gt;0,(F97),(0))</f>
        <v>0</v>
      </c>
      <c r="G102" s="1309">
        <f t="shared" ref="G102" si="91">IF(G101&gt;0,(G97),(0))</f>
        <v>0</v>
      </c>
      <c r="H102" s="1309">
        <f t="shared" ref="H102" si="92">IF(H101&gt;0,(H97),(0))</f>
        <v>0</v>
      </c>
      <c r="I102" s="1309">
        <f t="shared" ref="I102" si="93">IF(I101&gt;0,(I97),(0))</f>
        <v>0</v>
      </c>
      <c r="J102" s="1309">
        <f t="shared" ref="J102" si="94">IF(J101&gt;0,(J97),(0))</f>
        <v>0</v>
      </c>
      <c r="K102" s="1309">
        <f t="shared" ref="K102" si="95">IF(K101&gt;0,(K97),(0))</f>
        <v>0</v>
      </c>
      <c r="L102" s="16"/>
      <c r="M102" s="16"/>
      <c r="O102" s="16"/>
      <c r="P102" s="16"/>
      <c r="R102" s="800"/>
    </row>
    <row r="103" spans="1:18" x14ac:dyDescent="0.25">
      <c r="A103" s="463"/>
      <c r="B103" s="463" t="s">
        <v>214</v>
      </c>
      <c r="C103" s="463"/>
      <c r="D103" s="463"/>
      <c r="E103" s="464"/>
      <c r="F103" s="465"/>
      <c r="G103" s="465"/>
      <c r="H103" s="465"/>
      <c r="I103" s="465"/>
      <c r="J103" s="465"/>
      <c r="K103" s="465"/>
      <c r="L103" s="465"/>
      <c r="M103" s="465"/>
      <c r="N103" s="464"/>
      <c r="O103" s="464"/>
      <c r="P103" s="464"/>
      <c r="Q103" s="464"/>
    </row>
    <row r="104" spans="1:18" x14ac:dyDescent="0.25">
      <c r="A104" s="767">
        <v>9257009</v>
      </c>
      <c r="B104" t="str">
        <f>CONCATENATE(A104,C104)</f>
        <v>92570092021/22</v>
      </c>
      <c r="C104" s="289" t="s">
        <v>958</v>
      </c>
      <c r="D104" s="289" t="s">
        <v>1009</v>
      </c>
      <c r="E104" s="122">
        <f>SUM('2122 MFG Protection'!E101)</f>
        <v>116.05780369470477</v>
      </c>
      <c r="F104" s="1052">
        <f>SUM('2122 MFG Protection'!F101)</f>
        <v>23.122739018087856</v>
      </c>
      <c r="G104" s="1052">
        <f>SUM('2122 MFG Protection'!G101)</f>
        <v>68.084577114427873</v>
      </c>
      <c r="H104" s="1052">
        <f>SUM('2122 MFG Protection'!H101)</f>
        <v>10.88</v>
      </c>
      <c r="I104" s="1052">
        <f>SUM('2122 MFG Protection'!I101)</f>
        <v>2.0024875621890548</v>
      </c>
      <c r="J104" s="1052">
        <f>SUM('2122 MFG Protection'!J101)</f>
        <v>1.0880000000000001</v>
      </c>
      <c r="K104" s="1052">
        <f>SUM('2122 MFG Protection'!K101)</f>
        <v>10.88</v>
      </c>
      <c r="L104" s="122">
        <f>SUM('2122 MFG Protection'!L101)</f>
        <v>0</v>
      </c>
      <c r="M104" s="16"/>
      <c r="N104" s="16"/>
      <c r="O104" s="394">
        <f>'2122 MFG Protection'!L99</f>
        <v>60152.544594865052</v>
      </c>
      <c r="R104" s="800"/>
    </row>
    <row r="105" spans="1:18" x14ac:dyDescent="0.25">
      <c r="A105" s="767">
        <v>9257009</v>
      </c>
      <c r="B105" t="str">
        <f>CONCATENATE(A105,C105)</f>
        <v>92570092022/23</v>
      </c>
      <c r="C105" s="289" t="s">
        <v>959</v>
      </c>
      <c r="D105" t="str">
        <f>CONCATENATE(A105,C105)</f>
        <v>92570092022/23</v>
      </c>
      <c r="E105" s="122">
        <f>VLOOKUP(A105,'2223 Funding Detail'!$A$4:$M$20,13,(FALSE))</f>
        <v>198.91666666666669</v>
      </c>
      <c r="F105" s="1053">
        <f>$E$105*'2223 Band Calculations'!D15</f>
        <v>33.275031429597696</v>
      </c>
      <c r="G105" s="1053">
        <f>$E$105*'2223 Band Calculations'!E15</f>
        <v>106.0448096264368</v>
      </c>
      <c r="H105" s="1053">
        <f>$E$105*'2223 Band Calculations'!F15</f>
        <v>11.837890625000002</v>
      </c>
      <c r="I105" s="1053">
        <f>$E$105*'2223 Band Calculations'!G15</f>
        <v>14.872238685344827</v>
      </c>
      <c r="J105" s="1053">
        <f>$E$105*'2223 Band Calculations'!H15</f>
        <v>7.4037580818965516</v>
      </c>
      <c r="K105" s="1053">
        <f>$E$105*'2223 Band Calculations'!I15</f>
        <v>15.991558908045981</v>
      </c>
      <c r="L105" s="460">
        <f>$E$105*'2223 Band Calculations'!J15</f>
        <v>9.4913793103448292</v>
      </c>
      <c r="N105" s="16"/>
      <c r="R105" s="800"/>
    </row>
    <row r="106" spans="1:18" x14ac:dyDescent="0.25">
      <c r="A106" s="767">
        <v>9257009</v>
      </c>
      <c r="B106" t="str">
        <f t="shared" ref="B106:B109" si="96">CONCATENATE(A106,C106)</f>
        <v>9257009</v>
      </c>
      <c r="F106" s="461">
        <f t="shared" ref="F106:K106" si="97">F105-F104</f>
        <v>10.152292411509841</v>
      </c>
      <c r="G106" s="461">
        <f t="shared" si="97"/>
        <v>37.960232512008929</v>
      </c>
      <c r="H106" s="461">
        <f t="shared" si="97"/>
        <v>0.95789062500000099</v>
      </c>
      <c r="I106" s="461">
        <f t="shared" si="97"/>
        <v>12.869751123155773</v>
      </c>
      <c r="J106" s="461">
        <f t="shared" si="97"/>
        <v>6.3157580818965515</v>
      </c>
      <c r="K106" s="461">
        <f t="shared" si="97"/>
        <v>5.1115589080459802</v>
      </c>
      <c r="L106" s="122">
        <f>L104+L105</f>
        <v>9.4913793103448292</v>
      </c>
      <c r="M106" s="16"/>
      <c r="R106" s="800"/>
    </row>
    <row r="107" spans="1:18" x14ac:dyDescent="0.25">
      <c r="A107" s="767">
        <v>9257009</v>
      </c>
      <c r="B107" t="str">
        <f t="shared" si="96"/>
        <v>9257009a</v>
      </c>
      <c r="C107" s="289" t="s">
        <v>1012</v>
      </c>
      <c r="D107" s="289" t="s">
        <v>1009</v>
      </c>
      <c r="F107" s="1053">
        <f t="shared" ref="F107:K107" si="98">IF(F104&gt;F105,(F105),(F104))</f>
        <v>23.122739018087856</v>
      </c>
      <c r="G107" s="1053">
        <f t="shared" si="98"/>
        <v>68.084577114427873</v>
      </c>
      <c r="H107" s="1053">
        <f t="shared" si="98"/>
        <v>10.88</v>
      </c>
      <c r="I107" s="1053">
        <f t="shared" si="98"/>
        <v>2.0024875621890548</v>
      </c>
      <c r="J107" s="1053">
        <f t="shared" si="98"/>
        <v>1.0880000000000001</v>
      </c>
      <c r="K107" s="1053">
        <f t="shared" si="98"/>
        <v>10.88</v>
      </c>
      <c r="L107" s="122"/>
      <c r="M107" s="16"/>
      <c r="R107" s="800"/>
    </row>
    <row r="108" spans="1:18" x14ac:dyDescent="0.25">
      <c r="A108" s="767"/>
      <c r="B108" t="s">
        <v>1039</v>
      </c>
      <c r="C108" s="289" t="s">
        <v>958</v>
      </c>
      <c r="D108" s="289" t="s">
        <v>1014</v>
      </c>
      <c r="F108" s="394">
        <f>SUM('2122 MFG Protection'!F100)</f>
        <v>561.4811419557285</v>
      </c>
      <c r="G108" s="394">
        <f>SUM('2122 MFG Protection'!G100)</f>
        <v>549.73880753069204</v>
      </c>
      <c r="H108" s="394">
        <f>SUM('2122 MFG Protection'!H100)</f>
        <v>408.83079443025588</v>
      </c>
      <c r="I108" s="394">
        <f>SUM('2122 MFG Protection'!I100)</f>
        <v>355.99028951759271</v>
      </c>
      <c r="J108" s="394">
        <f>SUM('2122 MFG Protection'!J100)</f>
        <v>355.99028951759271</v>
      </c>
      <c r="K108" s="394">
        <f>SUM('2122 MFG Protection'!K100)</f>
        <v>385.34612558018296</v>
      </c>
      <c r="L108" s="122"/>
      <c r="M108" s="16"/>
      <c r="R108" s="800"/>
    </row>
    <row r="109" spans="1:18" x14ac:dyDescent="0.25">
      <c r="A109" s="767">
        <v>9257009</v>
      </c>
      <c r="B109" t="str">
        <f t="shared" si="96"/>
        <v>9257009b</v>
      </c>
      <c r="C109" s="289" t="s">
        <v>1016</v>
      </c>
      <c r="D109" s="289" t="s">
        <v>1017</v>
      </c>
      <c r="F109" s="1054">
        <f>'2223 Band Values'!$BN$11</f>
        <v>150.01676778686306</v>
      </c>
      <c r="G109" s="1054">
        <f>'2223 Band Values'!$BN$8</f>
        <v>180.02012134423603</v>
      </c>
      <c r="H109" s="1054">
        <f>'2223 Band Values'!$BN$28</f>
        <v>418.69476201554426</v>
      </c>
      <c r="I109" s="1054">
        <f>'2223 Band Values'!$BN$5</f>
        <v>429.59609436588289</v>
      </c>
      <c r="J109" s="1054">
        <f>'2223 Band Values'!$BN$14</f>
        <v>429.59609436588289</v>
      </c>
      <c r="K109" s="1054">
        <f>'2223 Band Values'!$BN$22</f>
        <v>436.41416403078438</v>
      </c>
      <c r="L109" s="122"/>
      <c r="M109" s="16"/>
      <c r="R109" s="800"/>
    </row>
    <row r="110" spans="1:18" x14ac:dyDescent="0.25">
      <c r="A110" s="767"/>
      <c r="B110" t="s">
        <v>1040</v>
      </c>
      <c r="C110" s="289" t="s">
        <v>959</v>
      </c>
      <c r="D110" s="289" t="s">
        <v>1014</v>
      </c>
      <c r="F110" s="1054">
        <f>IF(F108-F109&gt;0,(F108-F109),(0))</f>
        <v>411.46437416886545</v>
      </c>
      <c r="G110" s="1054">
        <f t="shared" ref="G110:K110" si="99">IF(G108-G109&gt;0,(G108-G109),(0))</f>
        <v>369.71868618645601</v>
      </c>
      <c r="H110" s="1054">
        <f t="shared" si="99"/>
        <v>0</v>
      </c>
      <c r="I110" s="1054">
        <f t="shared" si="99"/>
        <v>0</v>
      </c>
      <c r="J110" s="1054">
        <f t="shared" si="99"/>
        <v>0</v>
      </c>
      <c r="K110" s="1054">
        <f t="shared" si="99"/>
        <v>0</v>
      </c>
      <c r="L110" s="122"/>
      <c r="M110" s="16"/>
      <c r="R110" s="800"/>
    </row>
    <row r="111" spans="1:18" x14ac:dyDescent="0.25">
      <c r="A111" s="767">
        <v>9257009</v>
      </c>
      <c r="B111" t="str">
        <f>CONCATENATE(A111,C111)</f>
        <v>9257009c</v>
      </c>
      <c r="C111" s="289" t="s">
        <v>1020</v>
      </c>
      <c r="D111" s="289" t="s">
        <v>697</v>
      </c>
      <c r="F111" s="16">
        <f t="shared" ref="F111" si="100">IF(F110&lt;0,0,(F110*F107))</f>
        <v>9514.1833391475266</v>
      </c>
      <c r="G111" s="16">
        <f t="shared" ref="G111" si="101">IF(G110&lt;0,0,(G110*G107))</f>
        <v>25172.140400306722</v>
      </c>
      <c r="H111" s="16">
        <f t="shared" ref="H111" si="102">IF(H110&lt;0,0,(H110*H107))</f>
        <v>0</v>
      </c>
      <c r="I111" s="16">
        <f t="shared" ref="I111" si="103">IF(I110&lt;0,0,(I110*I107))</f>
        <v>0</v>
      </c>
      <c r="J111" s="16">
        <f t="shared" ref="J111" si="104">IF(J110&lt;0,0,(J110*J107))</f>
        <v>0</v>
      </c>
      <c r="K111" s="16">
        <f t="shared" ref="K111" si="105">IF(K110&lt;0,0,(K110*K107))</f>
        <v>0</v>
      </c>
      <c r="L111" s="395">
        <f>SUM(F111:K111)</f>
        <v>34686.323739454252</v>
      </c>
      <c r="M111" s="394">
        <f>L111-O104</f>
        <v>-25466.2208554108</v>
      </c>
      <c r="R111" s="800"/>
    </row>
    <row r="112" spans="1:18" x14ac:dyDescent="0.25">
      <c r="A112" s="91"/>
      <c r="C112" s="289"/>
      <c r="D112" s="289" t="s">
        <v>1064</v>
      </c>
      <c r="F112" s="1309">
        <f>IF(F111&gt;0,(F107),(0))</f>
        <v>23.122739018087856</v>
      </c>
      <c r="G112" s="1309">
        <f t="shared" ref="G112" si="106">IF(G111&gt;0,(G107),(0))</f>
        <v>68.084577114427873</v>
      </c>
      <c r="H112" s="1309">
        <f t="shared" ref="H112" si="107">IF(H111&gt;0,(H107),(0))</f>
        <v>0</v>
      </c>
      <c r="I112" s="1309">
        <f t="shared" ref="I112" si="108">IF(I111&gt;0,(I107),(0))</f>
        <v>0</v>
      </c>
      <c r="J112" s="1309">
        <f t="shared" ref="J112" si="109">IF(J111&gt;0,(J107),(0))</f>
        <v>0</v>
      </c>
      <c r="K112" s="1309">
        <f t="shared" ref="K112" si="110">IF(K111&gt;0,(K107),(0))</f>
        <v>0</v>
      </c>
      <c r="L112" s="16"/>
      <c r="M112" s="16"/>
      <c r="R112" s="800"/>
    </row>
    <row r="113" spans="1:18" x14ac:dyDescent="0.25">
      <c r="A113" s="463"/>
      <c r="B113" s="463" t="s">
        <v>890</v>
      </c>
      <c r="C113" s="463"/>
      <c r="D113" s="463"/>
      <c r="E113" s="464"/>
      <c r="F113" s="465"/>
      <c r="G113" s="465"/>
      <c r="H113" s="465"/>
      <c r="I113" s="465"/>
      <c r="J113" s="465"/>
      <c r="K113" s="465"/>
      <c r="L113" s="465"/>
      <c r="M113" s="465"/>
      <c r="N113" s="464"/>
      <c r="O113" s="464"/>
      <c r="P113" s="464"/>
      <c r="Q113" s="464"/>
    </row>
    <row r="114" spans="1:18" x14ac:dyDescent="0.25">
      <c r="A114" s="244">
        <v>9257029</v>
      </c>
      <c r="B114" t="str">
        <f>CONCATENATE(A114,C114)</f>
        <v>92570292021/22</v>
      </c>
      <c r="C114" s="289" t="s">
        <v>958</v>
      </c>
      <c r="D114" s="289" t="s">
        <v>1009</v>
      </c>
      <c r="E114" s="122">
        <f>SUM('2122 MFG Protection'!E110)</f>
        <v>56.75</v>
      </c>
      <c r="F114" s="1052">
        <f>SUM('2122 MFG Protection'!F110)</f>
        <v>0</v>
      </c>
      <c r="G114" s="1052">
        <f>SUM('2122 MFG Protection'!G110)</f>
        <v>0</v>
      </c>
      <c r="H114" s="1052">
        <f>SUM('2122 MFG Protection'!H110)</f>
        <v>56.75</v>
      </c>
      <c r="I114" s="1052">
        <f>SUM('2122 MFG Protection'!I110)</f>
        <v>0</v>
      </c>
      <c r="J114" s="1052">
        <f>SUM('2122 MFG Protection'!J110)</f>
        <v>0</v>
      </c>
      <c r="K114" s="1052">
        <f>SUM('2122 MFG Protection'!K110)</f>
        <v>0</v>
      </c>
      <c r="L114" s="122">
        <f>SUM('2122 MFG Protection'!L110)</f>
        <v>0</v>
      </c>
      <c r="N114" s="16"/>
      <c r="O114" s="394">
        <f>'2122 MFG Protection'!L108</f>
        <v>4968.7663456613536</v>
      </c>
      <c r="R114" s="800"/>
    </row>
    <row r="115" spans="1:18" x14ac:dyDescent="0.25">
      <c r="A115" s="244">
        <v>9257029</v>
      </c>
      <c r="B115" t="str">
        <f>CONCATENATE(A115,C115)</f>
        <v>92570292022/23</v>
      </c>
      <c r="C115" s="289" t="s">
        <v>959</v>
      </c>
      <c r="D115" t="str">
        <f>CONCATENATE(A115,C115)</f>
        <v>92570292022/23</v>
      </c>
      <c r="E115" s="122">
        <f>VLOOKUP(A115,'2223 Funding Detail'!$A$4:$M$20,13,(FALSE))</f>
        <v>78.583333333333343</v>
      </c>
      <c r="F115" s="1053">
        <f>$E$115*'2223 Band Calculations'!D16</f>
        <v>0</v>
      </c>
      <c r="G115" s="1053">
        <f>$E$115*'2223 Band Calculations'!E16</f>
        <v>0</v>
      </c>
      <c r="H115" s="1053">
        <f>$E$115*'2223 Band Calculations'!F16</f>
        <v>78.583333333333343</v>
      </c>
      <c r="I115" s="1053">
        <f>$E$115*'2223 Band Calculations'!G16</f>
        <v>0</v>
      </c>
      <c r="J115" s="1053">
        <f>$E$115*'2223 Band Calculations'!H16</f>
        <v>0</v>
      </c>
      <c r="K115" s="1053">
        <f>$E$115*'2223 Band Calculations'!I16</f>
        <v>0</v>
      </c>
      <c r="L115" s="460">
        <f>$E$115*'2223 Band Calculations'!J16</f>
        <v>0</v>
      </c>
      <c r="N115" s="16"/>
      <c r="R115" s="800"/>
    </row>
    <row r="116" spans="1:18" x14ac:dyDescent="0.25">
      <c r="A116" s="244">
        <v>9257029</v>
      </c>
      <c r="B116" t="str">
        <f t="shared" ref="B116:B119" si="111">CONCATENATE(A116,C116)</f>
        <v>9257029</v>
      </c>
      <c r="F116" s="461">
        <f t="shared" ref="F116:K116" si="112">F115-F114</f>
        <v>0</v>
      </c>
      <c r="G116" s="461">
        <f t="shared" si="112"/>
        <v>0</v>
      </c>
      <c r="H116" s="461">
        <f t="shared" si="112"/>
        <v>21.833333333333343</v>
      </c>
      <c r="I116" s="461">
        <f t="shared" si="112"/>
        <v>0</v>
      </c>
      <c r="J116" s="461">
        <f t="shared" si="112"/>
        <v>0</v>
      </c>
      <c r="K116" s="461">
        <f t="shared" si="112"/>
        <v>0</v>
      </c>
      <c r="R116" s="800"/>
    </row>
    <row r="117" spans="1:18" x14ac:dyDescent="0.25">
      <c r="A117" s="244">
        <v>9257029</v>
      </c>
      <c r="B117" t="str">
        <f t="shared" si="111"/>
        <v>9257029a</v>
      </c>
      <c r="C117" s="289" t="s">
        <v>1012</v>
      </c>
      <c r="D117" s="289" t="s">
        <v>1009</v>
      </c>
      <c r="F117" s="1053">
        <f t="shared" ref="F117:K117" si="113">IF(F114&gt;F115,(F115),(F114))</f>
        <v>0</v>
      </c>
      <c r="G117" s="1053">
        <f t="shared" si="113"/>
        <v>0</v>
      </c>
      <c r="H117" s="1053">
        <f t="shared" si="113"/>
        <v>56.75</v>
      </c>
      <c r="I117" s="1053">
        <f t="shared" si="113"/>
        <v>0</v>
      </c>
      <c r="J117" s="1053">
        <f t="shared" si="113"/>
        <v>0</v>
      </c>
      <c r="K117" s="1053">
        <f t="shared" si="113"/>
        <v>0</v>
      </c>
      <c r="L117" s="122"/>
      <c r="M117" s="16"/>
      <c r="O117" s="16"/>
      <c r="P117" s="16"/>
      <c r="R117" s="800"/>
    </row>
    <row r="118" spans="1:18" x14ac:dyDescent="0.25">
      <c r="A118" s="244"/>
      <c r="B118" t="s">
        <v>1041</v>
      </c>
      <c r="C118" s="289" t="s">
        <v>958</v>
      </c>
      <c r="D118" s="289" t="s">
        <v>1014</v>
      </c>
      <c r="F118" s="394">
        <f>SUM('2122 MFG Protection'!F109)</f>
        <v>0</v>
      </c>
      <c r="G118" s="394">
        <f>SUM('2122 MFG Protection'!G109)</f>
        <v>0</v>
      </c>
      <c r="H118" s="394">
        <f>SUM('2122 MFG Protection'!H109)</f>
        <v>87.555354108570114</v>
      </c>
      <c r="I118" s="394">
        <f>SUM('2122 MFG Protection'!I109)</f>
        <v>0</v>
      </c>
      <c r="J118" s="394">
        <f>SUM('2122 MFG Protection'!J109)</f>
        <v>0</v>
      </c>
      <c r="K118" s="394">
        <f>SUM('2122 MFG Protection'!K109)</f>
        <v>0</v>
      </c>
      <c r="L118" s="122"/>
      <c r="M118" s="16"/>
      <c r="O118" s="16"/>
      <c r="P118" s="16"/>
      <c r="R118" s="800"/>
    </row>
    <row r="119" spans="1:18" x14ac:dyDescent="0.25">
      <c r="A119" s="244">
        <v>9257029</v>
      </c>
      <c r="B119" t="str">
        <f t="shared" si="111"/>
        <v>9257029b</v>
      </c>
      <c r="C119" s="289" t="s">
        <v>1016</v>
      </c>
      <c r="D119" s="289" t="s">
        <v>1017</v>
      </c>
      <c r="F119" s="1054">
        <f>'2223 Band Values'!$BN$11</f>
        <v>150.01676778686306</v>
      </c>
      <c r="G119" s="1054">
        <f>'2223 Band Values'!$BN$8</f>
        <v>180.02012134423603</v>
      </c>
      <c r="H119" s="1054">
        <f>'2223 Band Values'!$BN$28</f>
        <v>418.69476201554426</v>
      </c>
      <c r="I119" s="1054">
        <f>'2223 Band Values'!$BN$5</f>
        <v>429.59609436588289</v>
      </c>
      <c r="J119" s="1054">
        <f>'2223 Band Values'!$BN$14</f>
        <v>429.59609436588289</v>
      </c>
      <c r="K119" s="1054">
        <f>'2223 Band Values'!$BN$22</f>
        <v>436.41416403078438</v>
      </c>
      <c r="L119" s="122"/>
      <c r="M119" s="16"/>
      <c r="R119" s="800"/>
    </row>
    <row r="120" spans="1:18" x14ac:dyDescent="0.25">
      <c r="A120" s="244"/>
      <c r="B120" t="s">
        <v>1042</v>
      </c>
      <c r="C120" s="289" t="s">
        <v>959</v>
      </c>
      <c r="D120" s="289" t="s">
        <v>1014</v>
      </c>
      <c r="F120" s="1054">
        <f>IF(F118-F119&gt;0,(F118-F119),(0))</f>
        <v>0</v>
      </c>
      <c r="G120" s="1054">
        <f t="shared" ref="G120:K120" si="114">IF(G118-G119&gt;0,(G118-G119),(0))</f>
        <v>0</v>
      </c>
      <c r="H120" s="1054">
        <f t="shared" si="114"/>
        <v>0</v>
      </c>
      <c r="I120" s="1054">
        <f t="shared" si="114"/>
        <v>0</v>
      </c>
      <c r="J120" s="1054">
        <f t="shared" si="114"/>
        <v>0</v>
      </c>
      <c r="K120" s="1054">
        <f t="shared" si="114"/>
        <v>0</v>
      </c>
      <c r="L120" s="122"/>
      <c r="M120" s="16"/>
      <c r="R120" s="800"/>
    </row>
    <row r="121" spans="1:18" x14ac:dyDescent="0.25">
      <c r="A121" s="244">
        <v>9257029</v>
      </c>
      <c r="B121" t="str">
        <f>CONCATENATE(A121,C121)</f>
        <v>9257029c</v>
      </c>
      <c r="C121" s="289" t="s">
        <v>1020</v>
      </c>
      <c r="D121" s="289" t="s">
        <v>697</v>
      </c>
      <c r="F121" s="16">
        <f t="shared" ref="F121" si="115">IF(F120&lt;0,0,(F120*F117))</f>
        <v>0</v>
      </c>
      <c r="G121" s="16">
        <f t="shared" ref="G121" si="116">IF(G120&lt;0,0,(G120*G117))</f>
        <v>0</v>
      </c>
      <c r="H121" s="16">
        <f t="shared" ref="H121" si="117">IF(H120&lt;0,0,(H120*H117))</f>
        <v>0</v>
      </c>
      <c r="I121" s="16">
        <f t="shared" ref="I121" si="118">IF(I120&lt;0,0,(I120*I117))</f>
        <v>0</v>
      </c>
      <c r="J121" s="16">
        <f t="shared" ref="J121" si="119">IF(J120&lt;0,0,(J120*J117))</f>
        <v>0</v>
      </c>
      <c r="K121" s="16">
        <f t="shared" ref="K121" si="120">IF(K120&lt;0,0,(K120*K117))</f>
        <v>0</v>
      </c>
      <c r="L121" s="395">
        <f>SUM(F121:K121)</f>
        <v>0</v>
      </c>
      <c r="M121" s="394">
        <f>L121-O114</f>
        <v>-4968.7663456613536</v>
      </c>
      <c r="R121" s="800"/>
    </row>
    <row r="122" spans="1:18" x14ac:dyDescent="0.25">
      <c r="A122" s="249"/>
      <c r="C122" s="289"/>
      <c r="D122" s="289" t="s">
        <v>1064</v>
      </c>
      <c r="F122" s="1309">
        <f>IF(F121&gt;0,(F117),(0))</f>
        <v>0</v>
      </c>
      <c r="G122" s="1309">
        <f t="shared" ref="G122" si="121">IF(G121&gt;0,(G117),(0))</f>
        <v>0</v>
      </c>
      <c r="H122" s="1309">
        <f t="shared" ref="H122" si="122">IF(H121&gt;0,(H117),(0))</f>
        <v>0</v>
      </c>
      <c r="I122" s="1309">
        <f t="shared" ref="I122" si="123">IF(I121&gt;0,(I117),(0))</f>
        <v>0</v>
      </c>
      <c r="J122" s="1309">
        <f t="shared" ref="J122" si="124">IF(J121&gt;0,(J117),(0))</f>
        <v>0</v>
      </c>
      <c r="K122" s="1309">
        <f t="shared" ref="K122" si="125">IF(K121&gt;0,(K117),(0))</f>
        <v>0</v>
      </c>
      <c r="L122" s="16"/>
      <c r="M122" s="16"/>
      <c r="R122" s="800"/>
    </row>
    <row r="123" spans="1:18" x14ac:dyDescent="0.25">
      <c r="A123" s="463"/>
      <c r="B123" s="463" t="s">
        <v>1043</v>
      </c>
      <c r="C123" s="463"/>
      <c r="D123" s="463"/>
      <c r="E123" s="464"/>
      <c r="F123" s="465"/>
      <c r="G123" s="465"/>
      <c r="H123" s="465"/>
      <c r="I123" s="465"/>
      <c r="J123" s="465"/>
      <c r="K123" s="465"/>
      <c r="L123" s="465"/>
      <c r="M123" s="465"/>
      <c r="N123" s="464"/>
      <c r="O123" s="464"/>
      <c r="P123" s="464"/>
      <c r="Q123" s="464"/>
    </row>
    <row r="124" spans="1:18" x14ac:dyDescent="0.25">
      <c r="A124" s="244">
        <v>9257032</v>
      </c>
      <c r="B124" t="str">
        <f>CONCATENATE(A124,C124)</f>
        <v>92570322021/22</v>
      </c>
      <c r="C124" s="289" t="s">
        <v>958</v>
      </c>
      <c r="D124" s="289" t="s">
        <v>1009</v>
      </c>
      <c r="E124" s="122">
        <f>SUM('2122 MFG Protection'!E119)</f>
        <v>71.416666666666671</v>
      </c>
      <c r="F124" s="1052">
        <f>SUM('2122 MFG Protection'!F119)</f>
        <v>0</v>
      </c>
      <c r="G124" s="1052">
        <f>SUM('2122 MFG Protection'!G119)</f>
        <v>0</v>
      </c>
      <c r="H124" s="1052">
        <f>SUM('2122 MFG Protection'!H119)</f>
        <v>71.416666666666671</v>
      </c>
      <c r="I124" s="1052">
        <f>SUM('2122 MFG Protection'!I119)</f>
        <v>0</v>
      </c>
      <c r="J124" s="1052">
        <f>SUM('2122 MFG Protection'!J119)</f>
        <v>0</v>
      </c>
      <c r="K124" s="1052">
        <f>SUM('2122 MFG Protection'!K119)</f>
        <v>0</v>
      </c>
      <c r="L124" s="122">
        <f>SUM('2122 MFG Protection'!L119)</f>
        <v>0</v>
      </c>
      <c r="N124" s="16"/>
      <c r="O124" s="394">
        <f>'2122 MFG Protection'!L117</f>
        <v>26861.708477914828</v>
      </c>
      <c r="R124" s="800"/>
    </row>
    <row r="125" spans="1:18" x14ac:dyDescent="0.25">
      <c r="A125" s="244">
        <v>9257032</v>
      </c>
      <c r="B125" t="str">
        <f>CONCATENATE(A125,C125)</f>
        <v>92570322022/23</v>
      </c>
      <c r="C125" s="289" t="s">
        <v>959</v>
      </c>
      <c r="D125" t="str">
        <f>CONCATENATE(A125,C125)</f>
        <v>92570322022/23</v>
      </c>
      <c r="E125" s="122">
        <f>VLOOKUP(A125,'2223 Funding Detail'!$A$4:$M$20,13,(FALSE))</f>
        <v>104</v>
      </c>
      <c r="F125" s="1053">
        <f>$E$125*'2223 Band Calculations'!D17</f>
        <v>0</v>
      </c>
      <c r="G125" s="1053">
        <f>$E$125*'2223 Band Calculations'!E17</f>
        <v>0</v>
      </c>
      <c r="H125" s="1053">
        <f>$E$125*'2223 Band Calculations'!F17</f>
        <v>104</v>
      </c>
      <c r="I125" s="1053">
        <f>$E$125*'2223 Band Calculations'!G17</f>
        <v>0</v>
      </c>
      <c r="J125" s="1053">
        <f>$E$125*'2223 Band Calculations'!H17</f>
        <v>0</v>
      </c>
      <c r="K125" s="1053">
        <f>$E$125*'2223 Band Calculations'!I17</f>
        <v>0</v>
      </c>
      <c r="L125" s="460">
        <f>$E$125*'2223 Band Calculations'!J17</f>
        <v>0</v>
      </c>
      <c r="N125" s="16"/>
      <c r="R125" s="800"/>
    </row>
    <row r="126" spans="1:18" x14ac:dyDescent="0.25">
      <c r="A126" s="244">
        <v>9257032</v>
      </c>
      <c r="B126" t="str">
        <f t="shared" ref="B126:B129" si="126">CONCATENATE(A126,C126)</f>
        <v>9257032</v>
      </c>
      <c r="F126" s="461">
        <f t="shared" ref="F126:K126" si="127">F125-F124</f>
        <v>0</v>
      </c>
      <c r="G126" s="461">
        <f t="shared" si="127"/>
        <v>0</v>
      </c>
      <c r="H126" s="461">
        <f t="shared" si="127"/>
        <v>32.583333333333329</v>
      </c>
      <c r="I126" s="461">
        <f t="shared" si="127"/>
        <v>0</v>
      </c>
      <c r="J126" s="461">
        <f t="shared" si="127"/>
        <v>0</v>
      </c>
      <c r="K126" s="461">
        <f t="shared" si="127"/>
        <v>0</v>
      </c>
      <c r="R126" s="800"/>
    </row>
    <row r="127" spans="1:18" x14ac:dyDescent="0.25">
      <c r="A127" s="244">
        <v>9257032</v>
      </c>
      <c r="B127" t="str">
        <f t="shared" si="126"/>
        <v>9257032a</v>
      </c>
      <c r="C127" s="289" t="s">
        <v>1012</v>
      </c>
      <c r="D127" s="289" t="s">
        <v>1009</v>
      </c>
      <c r="F127" s="1053">
        <f t="shared" ref="F127:K127" si="128">IF(F124&gt;F125,(F125),(F124))</f>
        <v>0</v>
      </c>
      <c r="G127" s="1053">
        <f t="shared" si="128"/>
        <v>0</v>
      </c>
      <c r="H127" s="1053">
        <f t="shared" si="128"/>
        <v>71.416666666666671</v>
      </c>
      <c r="I127" s="1053">
        <f t="shared" si="128"/>
        <v>0</v>
      </c>
      <c r="J127" s="1053">
        <f t="shared" si="128"/>
        <v>0</v>
      </c>
      <c r="K127" s="1053">
        <f t="shared" si="128"/>
        <v>0</v>
      </c>
      <c r="L127" s="122"/>
      <c r="M127" s="16"/>
      <c r="O127" s="16"/>
      <c r="P127" s="16"/>
      <c r="R127" s="800"/>
    </row>
    <row r="128" spans="1:18" x14ac:dyDescent="0.25">
      <c r="A128" s="244"/>
      <c r="B128" t="s">
        <v>1044</v>
      </c>
      <c r="C128" s="289" t="s">
        <v>958</v>
      </c>
      <c r="D128" s="289" t="s">
        <v>1014</v>
      </c>
      <c r="F128" s="394">
        <f>SUM('2122 MFG Protection'!F118)</f>
        <v>0</v>
      </c>
      <c r="G128" s="394">
        <f>SUM('2122 MFG Protection'!G118)</f>
        <v>0</v>
      </c>
      <c r="H128" s="394">
        <f>SUM('2122 MFG Protection'!H118)</f>
        <v>376.12660645855067</v>
      </c>
      <c r="I128" s="394">
        <f>SUM('2122 MFG Protection'!I118)</f>
        <v>0</v>
      </c>
      <c r="J128" s="394">
        <f>SUM('2122 MFG Protection'!J118)</f>
        <v>0</v>
      </c>
      <c r="K128" s="394">
        <f>SUM('2122 MFG Protection'!K118)</f>
        <v>0</v>
      </c>
      <c r="L128" s="122"/>
      <c r="M128" s="16"/>
      <c r="O128" s="16"/>
      <c r="P128" s="16"/>
      <c r="R128" s="800"/>
    </row>
    <row r="129" spans="1:18" x14ac:dyDescent="0.25">
      <c r="A129" s="244">
        <v>9257032</v>
      </c>
      <c r="B129" t="str">
        <f t="shared" si="126"/>
        <v>9257032b</v>
      </c>
      <c r="C129" s="289" t="s">
        <v>1016</v>
      </c>
      <c r="D129" s="289" t="s">
        <v>1017</v>
      </c>
      <c r="F129" s="1054">
        <f>'2223 Band Values'!$BN$11</f>
        <v>150.01676778686306</v>
      </c>
      <c r="G129" s="1054">
        <f>'2223 Band Values'!$BN$8</f>
        <v>180.02012134423603</v>
      </c>
      <c r="H129" s="1054">
        <f>'2223 Band Values'!$BN$28</f>
        <v>418.69476201554426</v>
      </c>
      <c r="I129" s="1054">
        <f>'2223 Band Values'!$BN$5</f>
        <v>429.59609436588289</v>
      </c>
      <c r="J129" s="1054">
        <f>'2223 Band Values'!$BN$14</f>
        <v>429.59609436588289</v>
      </c>
      <c r="K129" s="1054">
        <f>'2223 Band Values'!$BN$22</f>
        <v>436.41416403078438</v>
      </c>
      <c r="L129" s="122"/>
      <c r="M129" s="16"/>
      <c r="R129" s="800"/>
    </row>
    <row r="130" spans="1:18" x14ac:dyDescent="0.25">
      <c r="A130" s="244"/>
      <c r="B130" t="s">
        <v>1045</v>
      </c>
      <c r="C130" s="289" t="s">
        <v>959</v>
      </c>
      <c r="D130" s="289" t="s">
        <v>1014</v>
      </c>
      <c r="F130" s="1054">
        <f>IF(F128-F129&gt;0,(F128-F129),(0))</f>
        <v>0</v>
      </c>
      <c r="G130" s="1054">
        <f t="shared" ref="G130:K130" si="129">IF(G128-G129&gt;0,(G128-G129),(0))</f>
        <v>0</v>
      </c>
      <c r="H130" s="1054">
        <f t="shared" si="129"/>
        <v>0</v>
      </c>
      <c r="I130" s="1054">
        <f t="shared" si="129"/>
        <v>0</v>
      </c>
      <c r="J130" s="1054">
        <f t="shared" si="129"/>
        <v>0</v>
      </c>
      <c r="K130" s="1054">
        <f t="shared" si="129"/>
        <v>0</v>
      </c>
      <c r="L130" s="122"/>
      <c r="M130" s="16"/>
      <c r="R130" s="800"/>
    </row>
    <row r="131" spans="1:18" x14ac:dyDescent="0.25">
      <c r="A131" s="244">
        <v>9257032</v>
      </c>
      <c r="B131" t="str">
        <f>CONCATENATE(A131,C131)</f>
        <v>9257032c</v>
      </c>
      <c r="C131" s="289" t="s">
        <v>1020</v>
      </c>
      <c r="D131" s="289" t="s">
        <v>697</v>
      </c>
      <c r="F131" s="16">
        <f t="shared" ref="F131" si="130">IF(F130&lt;0,0,(F130*F127))</f>
        <v>0</v>
      </c>
      <c r="G131" s="16">
        <f t="shared" ref="G131" si="131">IF(G130&lt;0,0,(G130*G127))</f>
        <v>0</v>
      </c>
      <c r="H131" s="16">
        <f t="shared" ref="H131" si="132">IF(H130&lt;0,0,(H130*H127))</f>
        <v>0</v>
      </c>
      <c r="I131" s="16">
        <f t="shared" ref="I131" si="133">IF(I130&lt;0,0,(I130*I127))</f>
        <v>0</v>
      </c>
      <c r="J131" s="16">
        <f t="shared" ref="J131" si="134">IF(J130&lt;0,0,(J130*J127))</f>
        <v>0</v>
      </c>
      <c r="K131" s="16">
        <f t="shared" ref="K131" si="135">IF(K130&lt;0,0,(K130*K127))</f>
        <v>0</v>
      </c>
      <c r="L131" s="395">
        <f>SUM(F131:K131)</f>
        <v>0</v>
      </c>
      <c r="M131" s="394">
        <f>L131-O124</f>
        <v>-26861.708477914828</v>
      </c>
      <c r="R131" s="800"/>
    </row>
    <row r="132" spans="1:18" x14ac:dyDescent="0.25">
      <c r="A132" s="249"/>
      <c r="C132" s="289"/>
      <c r="D132" s="289" t="s">
        <v>1064</v>
      </c>
      <c r="F132" s="1309">
        <f>IF(F131&gt;0,(F127),(0))</f>
        <v>0</v>
      </c>
      <c r="G132" s="1309">
        <f t="shared" ref="G132" si="136">IF(G131&gt;0,(G127),(0))</f>
        <v>0</v>
      </c>
      <c r="H132" s="1309">
        <f t="shared" ref="H132" si="137">IF(H131&gt;0,(H127),(0))</f>
        <v>0</v>
      </c>
      <c r="I132" s="1309">
        <f t="shared" ref="I132" si="138">IF(I131&gt;0,(I127),(0))</f>
        <v>0</v>
      </c>
      <c r="J132" s="1309">
        <f t="shared" ref="J132" si="139">IF(J131&gt;0,(J127),(0))</f>
        <v>0</v>
      </c>
      <c r="K132" s="1309">
        <f t="shared" ref="K132" si="140">IF(K131&gt;0,(K127),(0))</f>
        <v>0</v>
      </c>
      <c r="L132" s="16"/>
      <c r="M132" s="16"/>
      <c r="R132" s="800"/>
    </row>
    <row r="133" spans="1:18" x14ac:dyDescent="0.25">
      <c r="A133" s="463"/>
      <c r="B133" s="463" t="s">
        <v>1046</v>
      </c>
      <c r="C133" s="463"/>
      <c r="D133" s="463"/>
      <c r="E133" s="464"/>
      <c r="F133" s="465"/>
      <c r="G133" s="465"/>
      <c r="H133" s="465"/>
      <c r="I133" s="465"/>
      <c r="J133" s="465"/>
      <c r="K133" s="465"/>
      <c r="L133" s="465"/>
      <c r="M133" s="465"/>
      <c r="N133" s="464"/>
      <c r="O133" s="464"/>
      <c r="P133" s="464"/>
      <c r="Q133" s="464"/>
    </row>
    <row r="134" spans="1:18" x14ac:dyDescent="0.25">
      <c r="A134" s="244">
        <v>9257030</v>
      </c>
      <c r="B134" t="str">
        <f>CONCATENATE(A134,C134)</f>
        <v>92570302021/22</v>
      </c>
      <c r="C134" s="289" t="s">
        <v>958</v>
      </c>
      <c r="D134" s="289" t="s">
        <v>1009</v>
      </c>
      <c r="E134" s="122">
        <f>SUM('2122 MFG Protection'!E128)</f>
        <v>72.333333333333343</v>
      </c>
      <c r="F134" s="1052">
        <f>SUM('2122 MFG Protection'!F128)</f>
        <v>0</v>
      </c>
      <c r="G134" s="1052">
        <f>SUM('2122 MFG Protection'!G128)</f>
        <v>0</v>
      </c>
      <c r="H134" s="1052">
        <f>SUM('2122 MFG Protection'!H128)</f>
        <v>72.333333333333343</v>
      </c>
      <c r="I134" s="1052">
        <f>SUM('2122 MFG Protection'!I128)</f>
        <v>0</v>
      </c>
      <c r="J134" s="1052">
        <f>SUM('2122 MFG Protection'!J128)</f>
        <v>0</v>
      </c>
      <c r="K134" s="1052">
        <f>SUM('2122 MFG Protection'!K128)</f>
        <v>0</v>
      </c>
      <c r="L134" s="122">
        <f>SUM('2122 MFG Protection'!L128)</f>
        <v>0</v>
      </c>
      <c r="N134" s="16"/>
      <c r="O134" s="394">
        <f>'2122 MFG Protection'!L126</f>
        <v>33252.755302644044</v>
      </c>
      <c r="R134" s="800"/>
    </row>
    <row r="135" spans="1:18" x14ac:dyDescent="0.25">
      <c r="A135" s="244">
        <v>9257030</v>
      </c>
      <c r="B135" t="str">
        <f>CONCATENATE(A135,C135)</f>
        <v>92570302022/23</v>
      </c>
      <c r="C135" s="289" t="s">
        <v>959</v>
      </c>
      <c r="D135" t="str">
        <f>CONCATENATE(A135,C135)</f>
        <v>92570302022/23</v>
      </c>
      <c r="E135" s="122">
        <f>VLOOKUP(A135,'2223 Funding Detail'!$A$4:$M$20,13,(FALSE))</f>
        <v>70.833333333333343</v>
      </c>
      <c r="F135" s="1053">
        <f>$E$135*'2223 Band Calculations'!D18</f>
        <v>0</v>
      </c>
      <c r="G135" s="1053">
        <f>$E$135*'2223 Band Calculations'!E18</f>
        <v>0</v>
      </c>
      <c r="H135" s="1053">
        <f>$E$135*'2223 Band Calculations'!F18</f>
        <v>70.833333333333343</v>
      </c>
      <c r="I135" s="1053">
        <f>$E$135*'2223 Band Calculations'!G18</f>
        <v>0</v>
      </c>
      <c r="J135" s="1053">
        <f>$E$135*'2223 Band Calculations'!H18</f>
        <v>0</v>
      </c>
      <c r="K135" s="1053">
        <f>$E$135*'2223 Band Calculations'!I18</f>
        <v>0</v>
      </c>
      <c r="L135" s="460">
        <f>$E$135*'2223 Band Calculations'!J18</f>
        <v>0</v>
      </c>
      <c r="N135" s="16"/>
      <c r="R135" s="800"/>
    </row>
    <row r="136" spans="1:18" x14ac:dyDescent="0.25">
      <c r="A136" s="244">
        <v>9257030</v>
      </c>
      <c r="B136" t="str">
        <f t="shared" ref="B136:B139" si="141">CONCATENATE(A136,C136)</f>
        <v>9257030</v>
      </c>
      <c r="F136" s="461">
        <f t="shared" ref="F136:K136" si="142">F135-F134</f>
        <v>0</v>
      </c>
      <c r="G136" s="461">
        <f t="shared" si="142"/>
        <v>0</v>
      </c>
      <c r="H136" s="461">
        <f t="shared" si="142"/>
        <v>-1.5</v>
      </c>
      <c r="I136" s="461">
        <f t="shared" si="142"/>
        <v>0</v>
      </c>
      <c r="J136" s="461">
        <f t="shared" si="142"/>
        <v>0</v>
      </c>
      <c r="K136" s="461">
        <f t="shared" si="142"/>
        <v>0</v>
      </c>
      <c r="R136" s="800"/>
    </row>
    <row r="137" spans="1:18" x14ac:dyDescent="0.25">
      <c r="A137" s="244">
        <v>9257030</v>
      </c>
      <c r="B137" t="str">
        <f t="shared" si="141"/>
        <v>9257030a</v>
      </c>
      <c r="C137" s="289" t="s">
        <v>1012</v>
      </c>
      <c r="D137" s="289" t="s">
        <v>1009</v>
      </c>
      <c r="F137" s="1053">
        <f t="shared" ref="F137:K137" si="143">IF(F134&gt;F135,(F135),(F134))</f>
        <v>0</v>
      </c>
      <c r="G137" s="1053">
        <f t="shared" si="143"/>
        <v>0</v>
      </c>
      <c r="H137" s="1053">
        <f t="shared" si="143"/>
        <v>70.833333333333343</v>
      </c>
      <c r="I137" s="1053">
        <f t="shared" si="143"/>
        <v>0</v>
      </c>
      <c r="J137" s="1053">
        <f t="shared" si="143"/>
        <v>0</v>
      </c>
      <c r="K137" s="1053">
        <f t="shared" si="143"/>
        <v>0</v>
      </c>
      <c r="L137" s="122"/>
      <c r="M137" s="16"/>
      <c r="O137" s="16"/>
      <c r="P137" s="16"/>
      <c r="R137" s="800"/>
    </row>
    <row r="138" spans="1:18" x14ac:dyDescent="0.25">
      <c r="A138" s="244"/>
      <c r="B138" t="s">
        <v>1047</v>
      </c>
      <c r="C138" s="289" t="s">
        <v>958</v>
      </c>
      <c r="D138" s="289" t="s">
        <v>1014</v>
      </c>
      <c r="F138" s="394">
        <f>SUM('2122 MFG Protection'!F127)</f>
        <v>0</v>
      </c>
      <c r="G138" s="394">
        <f>SUM('2122 MFG Protection'!G127)</f>
        <v>0</v>
      </c>
      <c r="H138" s="394">
        <f>SUM('2122 MFG Protection'!H127)</f>
        <v>459.7155110964614</v>
      </c>
      <c r="I138" s="394">
        <f>SUM('2122 MFG Protection'!I127)</f>
        <v>0</v>
      </c>
      <c r="J138" s="394">
        <f>SUM('2122 MFG Protection'!J127)</f>
        <v>0</v>
      </c>
      <c r="K138" s="394">
        <f>SUM('2122 MFG Protection'!K127)</f>
        <v>0</v>
      </c>
      <c r="L138" s="122"/>
      <c r="M138" s="16"/>
      <c r="O138" s="16"/>
      <c r="P138" s="16"/>
      <c r="R138" s="800"/>
    </row>
    <row r="139" spans="1:18" x14ac:dyDescent="0.25">
      <c r="A139" s="244">
        <v>9257030</v>
      </c>
      <c r="B139" t="str">
        <f t="shared" si="141"/>
        <v>9257030b</v>
      </c>
      <c r="C139" s="289" t="s">
        <v>1016</v>
      </c>
      <c r="D139" s="289" t="s">
        <v>1017</v>
      </c>
      <c r="F139" s="1054">
        <f>'2223 Band Values'!$BN$11</f>
        <v>150.01676778686306</v>
      </c>
      <c r="G139" s="1054">
        <f>'2223 Band Values'!$BN$8</f>
        <v>180.02012134423603</v>
      </c>
      <c r="H139" s="1054">
        <f>'2223 Band Values'!$BN$28</f>
        <v>418.69476201554426</v>
      </c>
      <c r="I139" s="1054">
        <f>'2223 Band Values'!$BN$5</f>
        <v>429.59609436588289</v>
      </c>
      <c r="J139" s="1054">
        <f>'2223 Band Values'!$BN$14</f>
        <v>429.59609436588289</v>
      </c>
      <c r="K139" s="1054">
        <f>'2223 Band Values'!$BN$22</f>
        <v>436.41416403078438</v>
      </c>
      <c r="L139" s="122"/>
      <c r="M139" s="16"/>
      <c r="R139" s="800"/>
    </row>
    <row r="140" spans="1:18" x14ac:dyDescent="0.25">
      <c r="A140" s="244"/>
      <c r="B140" t="s">
        <v>1048</v>
      </c>
      <c r="C140" s="289" t="s">
        <v>959</v>
      </c>
      <c r="D140" s="289" t="s">
        <v>1014</v>
      </c>
      <c r="F140" s="1054">
        <f>IF(F138-F139&gt;0,(F138-F139),(0))</f>
        <v>0</v>
      </c>
      <c r="G140" s="1054">
        <f t="shared" ref="G140:K140" si="144">IF(G138-G139&gt;0,(G138-G139),(0))</f>
        <v>0</v>
      </c>
      <c r="H140" s="1054">
        <f t="shared" si="144"/>
        <v>41.020749080917142</v>
      </c>
      <c r="I140" s="1054">
        <f t="shared" si="144"/>
        <v>0</v>
      </c>
      <c r="J140" s="1054">
        <f t="shared" si="144"/>
        <v>0</v>
      </c>
      <c r="K140" s="1054">
        <f t="shared" si="144"/>
        <v>0</v>
      </c>
      <c r="L140" s="122"/>
      <c r="M140" s="16"/>
      <c r="R140" s="800"/>
    </row>
    <row r="141" spans="1:18" x14ac:dyDescent="0.25">
      <c r="A141" s="244">
        <v>9257030</v>
      </c>
      <c r="B141" t="str">
        <f>CONCATENATE(A141,C141)</f>
        <v>9257030c</v>
      </c>
      <c r="C141" s="289" t="s">
        <v>1020</v>
      </c>
      <c r="D141" s="289" t="s">
        <v>697</v>
      </c>
      <c r="F141" s="16">
        <f t="shared" ref="F141" si="145">IF(F140&lt;0,0,(F140*F137))</f>
        <v>0</v>
      </c>
      <c r="G141" s="16">
        <f t="shared" ref="G141" si="146">IF(G140&lt;0,0,(G140*G137))</f>
        <v>0</v>
      </c>
      <c r="H141" s="16">
        <f>IF(H140&lt;0,0,(H140*H137))</f>
        <v>2905.6363932316312</v>
      </c>
      <c r="I141" s="16">
        <f t="shared" ref="I141" si="147">IF(I140&lt;0,0,(I140*I137))</f>
        <v>0</v>
      </c>
      <c r="J141" s="16">
        <f t="shared" ref="J141" si="148">IF(J140&lt;0,0,(J140*J137))</f>
        <v>0</v>
      </c>
      <c r="K141" s="16">
        <f t="shared" ref="K141" si="149">IF(K140&lt;0,0,(K140*K137))</f>
        <v>0</v>
      </c>
      <c r="L141" s="395">
        <f>SUM(F141:K141)</f>
        <v>2905.6363932316312</v>
      </c>
      <c r="M141" s="394">
        <f>L141-O134</f>
        <v>-30347.118909412413</v>
      </c>
      <c r="R141" s="800"/>
    </row>
    <row r="142" spans="1:18" x14ac:dyDescent="0.25">
      <c r="A142" s="249"/>
      <c r="C142" s="289"/>
      <c r="D142" s="289" t="s">
        <v>1064</v>
      </c>
      <c r="F142" s="1309">
        <f>IF(F141&gt;0,(F137),(0))</f>
        <v>0</v>
      </c>
      <c r="G142" s="1309">
        <f t="shared" ref="G142" si="150">IF(G141&gt;0,(G137),(0))</f>
        <v>0</v>
      </c>
      <c r="H142" s="1309">
        <f t="shared" ref="H142" si="151">IF(H141&gt;0,(H137),(0))</f>
        <v>70.833333333333343</v>
      </c>
      <c r="I142" s="1309">
        <f t="shared" ref="I142" si="152">IF(I141&gt;0,(I137),(0))</f>
        <v>0</v>
      </c>
      <c r="J142" s="1309">
        <f t="shared" ref="J142" si="153">IF(J141&gt;0,(J137),(0))</f>
        <v>0</v>
      </c>
      <c r="K142" s="1309">
        <f t="shared" ref="K142" si="154">IF(K141&gt;0,(K137),(0))</f>
        <v>0</v>
      </c>
      <c r="L142" s="16"/>
      <c r="M142" s="16"/>
      <c r="R142" s="800"/>
    </row>
    <row r="143" spans="1:18" x14ac:dyDescent="0.25">
      <c r="A143" s="463"/>
      <c r="B143" s="463" t="s">
        <v>215</v>
      </c>
      <c r="C143" s="463"/>
      <c r="D143" s="463"/>
      <c r="E143" s="464"/>
      <c r="F143" s="465"/>
      <c r="G143" s="465"/>
      <c r="H143" s="465"/>
      <c r="I143" s="465"/>
      <c r="J143" s="465"/>
      <c r="K143" s="465"/>
      <c r="L143" s="465"/>
      <c r="M143" s="465"/>
      <c r="N143" s="464"/>
      <c r="O143" s="464"/>
      <c r="P143" s="464"/>
      <c r="Q143" s="464"/>
    </row>
    <row r="144" spans="1:18" x14ac:dyDescent="0.25">
      <c r="A144" s="244">
        <v>9257028</v>
      </c>
      <c r="B144" t="str">
        <f>CONCATENATE(A144,C144)</f>
        <v>92570282021/22</v>
      </c>
      <c r="C144" s="289" t="s">
        <v>958</v>
      </c>
      <c r="D144" s="289" t="s">
        <v>1009</v>
      </c>
      <c r="E144" s="122">
        <f>SUM('2122 MFG Protection'!E137)</f>
        <v>0</v>
      </c>
      <c r="F144" s="1052">
        <f>SUM('2122 MFG Protection'!F137)</f>
        <v>0</v>
      </c>
      <c r="G144" s="1052">
        <f>SUM('2122 MFG Protection'!G137)</f>
        <v>0</v>
      </c>
      <c r="H144" s="1052">
        <f>SUM('2122 MFG Protection'!H137)</f>
        <v>0</v>
      </c>
      <c r="I144" s="1052">
        <f>SUM('2122 MFG Protection'!I137)</f>
        <v>0</v>
      </c>
      <c r="J144" s="1052">
        <f>SUM('2122 MFG Protection'!J137)</f>
        <v>0</v>
      </c>
      <c r="K144" s="1052">
        <f>SUM('2122 MFG Protection'!K137)</f>
        <v>0</v>
      </c>
      <c r="L144" s="122">
        <f>SUM('2122 MFG Protection'!L137)</f>
        <v>0</v>
      </c>
      <c r="N144" s="16"/>
      <c r="O144" s="394">
        <f>'2122 MFG Protection'!L135</f>
        <v>0</v>
      </c>
      <c r="R144" s="800"/>
    </row>
    <row r="145" spans="1:18" x14ac:dyDescent="0.25">
      <c r="A145" s="244">
        <v>9257028</v>
      </c>
      <c r="B145" t="str">
        <f>CONCATENATE(A145,C145)</f>
        <v>92570282022/23</v>
      </c>
      <c r="C145" s="289" t="s">
        <v>959</v>
      </c>
      <c r="D145" t="str">
        <f>CONCATENATE(A145,C145)</f>
        <v>92570282022/23</v>
      </c>
      <c r="E145" s="122">
        <f>VLOOKUP(A145,'2223 Funding Detail'!$A$4:$M$20,13,(FALSE))</f>
        <v>129.91666666666669</v>
      </c>
      <c r="F145" s="1053">
        <f>$E$145*'2223 Band Calculations'!D19</f>
        <v>12.009103641456585</v>
      </c>
      <c r="G145" s="1053">
        <f>$E$145*'2223 Band Calculations'!E19</f>
        <v>57.862044817927185</v>
      </c>
      <c r="H145" s="1053">
        <f>$E$145*'2223 Band Calculations'!F19</f>
        <v>9.8256302521008418</v>
      </c>
      <c r="I145" s="1053">
        <f>$E$145*'2223 Band Calculations'!G19</f>
        <v>12.009103641456585</v>
      </c>
      <c r="J145" s="1053">
        <f>$E$145*'2223 Band Calculations'!H19</f>
        <v>12.009103641456585</v>
      </c>
      <c r="K145" s="1053">
        <f>$E$145*'2223 Band Calculations'!I19</f>
        <v>9.8256302521008418</v>
      </c>
      <c r="L145" s="460">
        <f>$E$145*'2223 Band Calculations'!J19</f>
        <v>16.37605042016807</v>
      </c>
      <c r="N145" s="16"/>
      <c r="R145" s="800"/>
    </row>
    <row r="146" spans="1:18" x14ac:dyDescent="0.25">
      <c r="A146" s="244">
        <v>9257028</v>
      </c>
      <c r="B146" t="str">
        <f t="shared" ref="B146:B149" si="155">CONCATENATE(A146,C146)</f>
        <v>9257028</v>
      </c>
      <c r="F146" s="461">
        <f t="shared" ref="F146:K146" si="156">F145-F144</f>
        <v>12.009103641456585</v>
      </c>
      <c r="G146" s="461">
        <f t="shared" si="156"/>
        <v>57.862044817927185</v>
      </c>
      <c r="H146" s="461">
        <f t="shared" si="156"/>
        <v>9.8256302521008418</v>
      </c>
      <c r="I146" s="461">
        <f t="shared" si="156"/>
        <v>12.009103641456585</v>
      </c>
      <c r="J146" s="461">
        <f t="shared" si="156"/>
        <v>12.009103641456585</v>
      </c>
      <c r="K146" s="461">
        <f t="shared" si="156"/>
        <v>9.8256302521008418</v>
      </c>
      <c r="R146" s="800"/>
    </row>
    <row r="147" spans="1:18" x14ac:dyDescent="0.25">
      <c r="A147" s="244">
        <v>9257028</v>
      </c>
      <c r="B147" t="str">
        <f t="shared" si="155"/>
        <v>9257028a</v>
      </c>
      <c r="C147" s="289" t="s">
        <v>1012</v>
      </c>
      <c r="D147" s="289" t="s">
        <v>1009</v>
      </c>
      <c r="F147" s="1053">
        <f t="shared" ref="F147:K147" si="157">IF(F144&gt;F145,(F145),(F144))</f>
        <v>0</v>
      </c>
      <c r="G147" s="1053">
        <f t="shared" si="157"/>
        <v>0</v>
      </c>
      <c r="H147" s="1053">
        <f t="shared" si="157"/>
        <v>0</v>
      </c>
      <c r="I147" s="1053">
        <f t="shared" si="157"/>
        <v>0</v>
      </c>
      <c r="J147" s="1053">
        <f t="shared" si="157"/>
        <v>0</v>
      </c>
      <c r="K147" s="1053">
        <f t="shared" si="157"/>
        <v>0</v>
      </c>
      <c r="L147" s="122"/>
      <c r="M147" s="16"/>
      <c r="O147" s="16"/>
      <c r="P147" s="16"/>
      <c r="R147" s="800"/>
    </row>
    <row r="148" spans="1:18" x14ac:dyDescent="0.25">
      <c r="A148" s="244"/>
      <c r="B148" t="s">
        <v>1049</v>
      </c>
      <c r="C148" s="289" t="s">
        <v>958</v>
      </c>
      <c r="D148" s="289" t="s">
        <v>1014</v>
      </c>
      <c r="F148" s="394">
        <f>SUM('2122 MFG Protection'!F136)</f>
        <v>0</v>
      </c>
      <c r="G148" s="394">
        <f>SUM('2122 MFG Protection'!G136)</f>
        <v>0</v>
      </c>
      <c r="H148" s="394">
        <f>SUM('2122 MFG Protection'!H136)</f>
        <v>0</v>
      </c>
      <c r="I148" s="394">
        <f>SUM('2122 MFG Protection'!I136)</f>
        <v>0</v>
      </c>
      <c r="J148" s="394">
        <f>SUM('2122 MFG Protection'!J136)</f>
        <v>0</v>
      </c>
      <c r="K148" s="394">
        <f>SUM('2122 MFG Protection'!K136)</f>
        <v>0</v>
      </c>
      <c r="L148" s="122"/>
      <c r="M148" s="16"/>
      <c r="O148" s="16"/>
      <c r="P148" s="16"/>
      <c r="R148" s="800"/>
    </row>
    <row r="149" spans="1:18" x14ac:dyDescent="0.25">
      <c r="A149" s="244">
        <v>9257028</v>
      </c>
      <c r="B149" t="str">
        <f t="shared" si="155"/>
        <v>9257028b</v>
      </c>
      <c r="C149" s="289" t="s">
        <v>1016</v>
      </c>
      <c r="D149" s="289" t="s">
        <v>1017</v>
      </c>
      <c r="F149" s="1054">
        <f>'2223 Band Values'!$BN$11</f>
        <v>150.01676778686306</v>
      </c>
      <c r="G149" s="1054">
        <f>'2223 Band Values'!$BN$8</f>
        <v>180.02012134423603</v>
      </c>
      <c r="H149" s="1054">
        <f>'2223 Band Values'!$BN$28</f>
        <v>418.69476201554426</v>
      </c>
      <c r="I149" s="1054">
        <f>'2223 Band Values'!$BN$5</f>
        <v>429.59609436588289</v>
      </c>
      <c r="J149" s="1054">
        <f>'2223 Band Values'!$BN$14</f>
        <v>429.59609436588289</v>
      </c>
      <c r="K149" s="1054">
        <f>'2223 Band Values'!$BN$22</f>
        <v>436.41416403078438</v>
      </c>
      <c r="L149" s="122"/>
      <c r="M149" s="16"/>
      <c r="R149" s="800"/>
    </row>
    <row r="150" spans="1:18" x14ac:dyDescent="0.25">
      <c r="A150" s="244"/>
      <c r="B150" t="s">
        <v>1050</v>
      </c>
      <c r="C150" s="289" t="s">
        <v>959</v>
      </c>
      <c r="D150" s="289" t="s">
        <v>1014</v>
      </c>
      <c r="F150" s="1054">
        <f>IF(F148-F149&gt;0,(F148-F149),(0))</f>
        <v>0</v>
      </c>
      <c r="G150" s="1054">
        <f t="shared" ref="G150:K150" si="158">IF(G148-G149&gt;0,(G148-G149),(0))</f>
        <v>0</v>
      </c>
      <c r="H150" s="1054">
        <f t="shared" si="158"/>
        <v>0</v>
      </c>
      <c r="I150" s="1054">
        <f t="shared" si="158"/>
        <v>0</v>
      </c>
      <c r="J150" s="1054">
        <f t="shared" si="158"/>
        <v>0</v>
      </c>
      <c r="K150" s="1054">
        <f t="shared" si="158"/>
        <v>0</v>
      </c>
      <c r="L150" s="122"/>
      <c r="M150" s="16"/>
      <c r="R150" s="800"/>
    </row>
    <row r="151" spans="1:18" x14ac:dyDescent="0.25">
      <c r="A151" s="244">
        <v>9257028</v>
      </c>
      <c r="B151" t="str">
        <f>CONCATENATE(A151,C151)</f>
        <v>9257028c</v>
      </c>
      <c r="C151" s="289" t="s">
        <v>1020</v>
      </c>
      <c r="D151" s="289" t="s">
        <v>697</v>
      </c>
      <c r="F151" s="16">
        <f t="shared" ref="F151" si="159">IF(F150&lt;0,0,(F150*F147))</f>
        <v>0</v>
      </c>
      <c r="G151" s="16">
        <f t="shared" ref="G151" si="160">IF(G150&lt;0,0,(G150*G147))</f>
        <v>0</v>
      </c>
      <c r="H151" s="16">
        <f t="shared" ref="H151" si="161">IF(H150&lt;0,0,(H150*H147))</f>
        <v>0</v>
      </c>
      <c r="I151" s="16">
        <f t="shared" ref="I151" si="162">IF(I150&lt;0,0,(I150*I147))</f>
        <v>0</v>
      </c>
      <c r="J151" s="16">
        <f t="shared" ref="J151" si="163">IF(J150&lt;0,0,(J150*J147))</f>
        <v>0</v>
      </c>
      <c r="K151" s="16">
        <f t="shared" ref="K151" si="164">IF(K150&lt;0,0,(K150*K147))</f>
        <v>0</v>
      </c>
      <c r="L151" s="395">
        <f>SUM(F151:K151)</f>
        <v>0</v>
      </c>
      <c r="M151" s="394">
        <f>L151-O144</f>
        <v>0</v>
      </c>
      <c r="R151" s="800"/>
    </row>
    <row r="152" spans="1:18" x14ac:dyDescent="0.25">
      <c r="A152" s="249"/>
      <c r="C152" s="289"/>
      <c r="D152" s="289" t="s">
        <v>1064</v>
      </c>
      <c r="F152" s="1309">
        <f>IF(F151&gt;0,(F147),(0))</f>
        <v>0</v>
      </c>
      <c r="G152" s="1309">
        <f t="shared" ref="G152" si="165">IF(G151&gt;0,(G147),(0))</f>
        <v>0</v>
      </c>
      <c r="H152" s="1309">
        <f t="shared" ref="H152" si="166">IF(H151&gt;0,(H147),(0))</f>
        <v>0</v>
      </c>
      <c r="I152" s="1309">
        <f t="shared" ref="I152" si="167">IF(I151&gt;0,(I147),(0))</f>
        <v>0</v>
      </c>
      <c r="J152" s="1309">
        <f t="shared" ref="J152" si="168">IF(J151&gt;0,(J147),(0))</f>
        <v>0</v>
      </c>
      <c r="K152" s="1309">
        <f t="shared" ref="K152" si="169">IF(K151&gt;0,(K147),(0))</f>
        <v>0</v>
      </c>
      <c r="L152" s="16"/>
      <c r="M152" s="16"/>
      <c r="R152" s="800"/>
    </row>
    <row r="153" spans="1:18" x14ac:dyDescent="0.25">
      <c r="A153" s="463"/>
      <c r="B153" s="463" t="s">
        <v>216</v>
      </c>
      <c r="C153" s="463"/>
      <c r="D153" s="463"/>
      <c r="E153" s="464"/>
      <c r="F153" s="465"/>
      <c r="G153" s="465"/>
      <c r="H153" s="465"/>
      <c r="I153" s="465"/>
      <c r="J153" s="465"/>
      <c r="K153" s="465"/>
      <c r="L153" s="465"/>
      <c r="M153" s="465"/>
      <c r="N153" s="464"/>
      <c r="O153" s="464"/>
      <c r="P153" s="464"/>
      <c r="Q153" s="464"/>
    </row>
    <row r="154" spans="1:18" x14ac:dyDescent="0.25">
      <c r="A154" s="244">
        <v>9257021</v>
      </c>
      <c r="B154" t="str">
        <f>CONCATENATE(A154,C154)</f>
        <v>92570212021/22</v>
      </c>
      <c r="C154" s="289" t="s">
        <v>958</v>
      </c>
      <c r="D154" s="289" t="s">
        <v>1009</v>
      </c>
      <c r="E154" s="122">
        <f>SUM('2122 MFG Protection'!E146)</f>
        <v>144.8835880256951</v>
      </c>
      <c r="F154" s="1052">
        <f>SUM('2122 MFG Protection'!F146)</f>
        <v>44.189814814814817</v>
      </c>
      <c r="G154" s="1052">
        <f>SUM('2122 MFG Protection'!G146)</f>
        <v>55.973765432098773</v>
      </c>
      <c r="H154" s="1052">
        <f>SUM('2122 MFG Protection'!H146)</f>
        <v>13.297256097560975</v>
      </c>
      <c r="I154" s="1052">
        <f>SUM('2122 MFG Protection'!I146)</f>
        <v>6.8739711934156382</v>
      </c>
      <c r="J154" s="1052">
        <f>SUM('2122 MFG Protection'!J146)</f>
        <v>9.2057926829268286</v>
      </c>
      <c r="K154" s="1052">
        <f>SUM('2122 MFG Protection'!K146)</f>
        <v>15.342987804878048</v>
      </c>
      <c r="L154" s="122">
        <f>'202021 MFG Protection'!L109</f>
        <v>0.98199588477366251</v>
      </c>
      <c r="N154" s="16"/>
      <c r="O154" s="394">
        <f>'2122 MFG Protection'!L144</f>
        <v>12937.523007891316</v>
      </c>
      <c r="R154" s="800"/>
    </row>
    <row r="155" spans="1:18" x14ac:dyDescent="0.25">
      <c r="A155" s="244">
        <v>9257021</v>
      </c>
      <c r="B155" t="str">
        <f>CONCATENATE(A155,C155)</f>
        <v>92570212022/23</v>
      </c>
      <c r="C155" s="289" t="s">
        <v>959</v>
      </c>
      <c r="D155" t="str">
        <f>CONCATENATE(A155,C155)</f>
        <v>92570212022/23</v>
      </c>
      <c r="E155" s="122">
        <f>VLOOKUP(A155,'2223 Funding Detail'!$A$4:$M$20,13,(FALSE))</f>
        <v>174.25</v>
      </c>
      <c r="F155" s="1053">
        <f>$E$155*'2223 Band Calculations'!D20</f>
        <v>43.817251461988299</v>
      </c>
      <c r="G155" s="1053">
        <f>$E$155*'2223 Band Calculations'!E20</f>
        <v>82.53947368421052</v>
      </c>
      <c r="H155" s="1053">
        <f>$E$155*'2223 Band Calculations'!F20</f>
        <v>16.30409356725146</v>
      </c>
      <c r="I155" s="1053">
        <f>$E$155*'2223 Band Calculations'!G20</f>
        <v>13.247076023391813</v>
      </c>
      <c r="J155" s="1053">
        <f>$E$155*'2223 Band Calculations'!H20</f>
        <v>6.1140350877192979</v>
      </c>
      <c r="K155" s="1053">
        <f>$E$155*'2223 Band Calculations'!I20</f>
        <v>10.190058479532164</v>
      </c>
      <c r="L155" s="460">
        <f>$E$155*'2223 Band Calculations'!J20</f>
        <v>2.0380116959064325</v>
      </c>
      <c r="N155" s="16"/>
      <c r="R155" s="800"/>
    </row>
    <row r="156" spans="1:18" x14ac:dyDescent="0.25">
      <c r="A156" s="244">
        <v>9257021</v>
      </c>
      <c r="B156" t="str">
        <f t="shared" ref="B156:B159" si="170">CONCATENATE(A156,C156)</f>
        <v>9257021</v>
      </c>
      <c r="F156" s="461">
        <f t="shared" ref="F156:K156" si="171">F155-F154</f>
        <v>-0.37256335282651776</v>
      </c>
      <c r="G156" s="461">
        <f t="shared" si="171"/>
        <v>26.565708252111747</v>
      </c>
      <c r="H156" s="461">
        <f t="shared" si="171"/>
        <v>3.0068374696904847</v>
      </c>
      <c r="I156" s="461">
        <f t="shared" si="171"/>
        <v>6.3731048299761746</v>
      </c>
      <c r="J156" s="461">
        <f t="shared" si="171"/>
        <v>-3.0917575952075307</v>
      </c>
      <c r="K156" s="461">
        <f t="shared" si="171"/>
        <v>-5.1529293253458839</v>
      </c>
      <c r="R156" s="800"/>
    </row>
    <row r="157" spans="1:18" x14ac:dyDescent="0.25">
      <c r="A157" s="244">
        <v>9257021</v>
      </c>
      <c r="B157" t="str">
        <f t="shared" si="170"/>
        <v>9257021a</v>
      </c>
      <c r="C157" s="289" t="s">
        <v>1012</v>
      </c>
      <c r="D157" s="289" t="s">
        <v>1009</v>
      </c>
      <c r="F157" s="1053">
        <f t="shared" ref="F157:K157" si="172">IF(F154&gt;F155,(F155),(F154))</f>
        <v>43.817251461988299</v>
      </c>
      <c r="G157" s="1053">
        <f t="shared" si="172"/>
        <v>55.973765432098773</v>
      </c>
      <c r="H157" s="1053">
        <f t="shared" si="172"/>
        <v>13.297256097560975</v>
      </c>
      <c r="I157" s="1053">
        <f t="shared" si="172"/>
        <v>6.8739711934156382</v>
      </c>
      <c r="J157" s="1053">
        <f t="shared" si="172"/>
        <v>6.1140350877192979</v>
      </c>
      <c r="K157" s="1053">
        <f t="shared" si="172"/>
        <v>10.190058479532164</v>
      </c>
      <c r="L157" s="122"/>
      <c r="M157" s="16"/>
      <c r="O157" s="16"/>
      <c r="P157" s="16"/>
      <c r="R157" s="800"/>
    </row>
    <row r="158" spans="1:18" x14ac:dyDescent="0.25">
      <c r="A158" s="244"/>
      <c r="B158" t="s">
        <v>1051</v>
      </c>
      <c r="C158" s="289" t="s">
        <v>958</v>
      </c>
      <c r="D158" s="289" t="s">
        <v>1014</v>
      </c>
      <c r="F158" s="394">
        <f>SUM('2122 MFG Protection'!F145)</f>
        <v>135.72583614833866</v>
      </c>
      <c r="G158" s="394">
        <f>SUM('2122 MFG Protection'!G145)</f>
        <v>123.9835017233022</v>
      </c>
      <c r="H158" s="394">
        <f>SUM('2122 MFG Protection'!H145)</f>
        <v>0</v>
      </c>
      <c r="I158" s="394">
        <f>SUM('2122 MFG Protection'!I145)</f>
        <v>0</v>
      </c>
      <c r="J158" s="394">
        <f>SUM('2122 MFG Protection'!J145)</f>
        <v>0</v>
      </c>
      <c r="K158" s="394">
        <f>SUM('2122 MFG Protection'!K145)</f>
        <v>0</v>
      </c>
      <c r="L158" s="122"/>
      <c r="M158" s="16"/>
      <c r="O158" s="16"/>
      <c r="P158" s="16"/>
      <c r="R158" s="800"/>
    </row>
    <row r="159" spans="1:18" x14ac:dyDescent="0.25">
      <c r="A159" s="244">
        <v>9257021</v>
      </c>
      <c r="B159" t="str">
        <f t="shared" si="170"/>
        <v>9257021b</v>
      </c>
      <c r="C159" s="289" t="s">
        <v>1016</v>
      </c>
      <c r="D159" s="289" t="s">
        <v>1017</v>
      </c>
      <c r="F159" s="1054">
        <f>'2223 Band Values'!$BN$11</f>
        <v>150.01676778686306</v>
      </c>
      <c r="G159" s="1054">
        <f>'2223 Band Values'!$BN$8</f>
        <v>180.02012134423603</v>
      </c>
      <c r="H159" s="1054">
        <f>'2223 Band Values'!$BN$28</f>
        <v>418.69476201554426</v>
      </c>
      <c r="I159" s="1054">
        <f>'2223 Band Values'!$BN$5</f>
        <v>429.59609436588289</v>
      </c>
      <c r="J159" s="1054">
        <f>'2223 Band Values'!$BN$14</f>
        <v>429.59609436588289</v>
      </c>
      <c r="K159" s="1054">
        <f>'2223 Band Values'!$BN$22</f>
        <v>436.41416403078438</v>
      </c>
      <c r="L159" s="122"/>
      <c r="M159" s="16"/>
      <c r="R159" s="800"/>
    </row>
    <row r="160" spans="1:18" x14ac:dyDescent="0.25">
      <c r="A160" s="244"/>
      <c r="B160" t="s">
        <v>1052</v>
      </c>
      <c r="C160" s="289" t="s">
        <v>959</v>
      </c>
      <c r="D160" s="289" t="s">
        <v>1014</v>
      </c>
      <c r="F160" s="1054">
        <f>IF(F158-F159&gt;0,(F158-F159),(0))</f>
        <v>0</v>
      </c>
      <c r="G160" s="1054">
        <f t="shared" ref="G160:K160" si="173">IF(G158-G159&gt;0,(G158-G159),(0))</f>
        <v>0</v>
      </c>
      <c r="H160" s="1054">
        <f t="shared" si="173"/>
        <v>0</v>
      </c>
      <c r="I160" s="1054">
        <f t="shared" si="173"/>
        <v>0</v>
      </c>
      <c r="J160" s="1054">
        <f t="shared" si="173"/>
        <v>0</v>
      </c>
      <c r="K160" s="1054">
        <f t="shared" si="173"/>
        <v>0</v>
      </c>
      <c r="L160" s="122"/>
      <c r="M160" s="16"/>
      <c r="R160" s="800"/>
    </row>
    <row r="161" spans="1:18" x14ac:dyDescent="0.25">
      <c r="A161" s="244">
        <v>9257021</v>
      </c>
      <c r="B161" t="str">
        <f>CONCATENATE(A161,C161)</f>
        <v>9257021c</v>
      </c>
      <c r="C161" s="289" t="s">
        <v>1020</v>
      </c>
      <c r="D161" s="289" t="s">
        <v>697</v>
      </c>
      <c r="F161" s="16">
        <f t="shared" ref="F161" si="174">IF(F160&lt;0,0,(F160*F157))</f>
        <v>0</v>
      </c>
      <c r="G161" s="16">
        <f t="shared" ref="G161" si="175">IF(G160&lt;0,0,(G160*G157))</f>
        <v>0</v>
      </c>
      <c r="H161" s="16">
        <f t="shared" ref="H161" si="176">IF(H160&lt;0,0,(H160*H157))</f>
        <v>0</v>
      </c>
      <c r="I161" s="16">
        <f t="shared" ref="I161" si="177">IF(I160&lt;0,0,(I160*I157))</f>
        <v>0</v>
      </c>
      <c r="J161" s="16">
        <f t="shared" ref="J161" si="178">IF(J160&lt;0,0,(J160*J157))</f>
        <v>0</v>
      </c>
      <c r="K161" s="16">
        <f t="shared" ref="K161" si="179">IF(K160&lt;0,0,(K160*K157))</f>
        <v>0</v>
      </c>
      <c r="L161" s="395">
        <f>SUM(F161:K161)</f>
        <v>0</v>
      </c>
      <c r="M161" s="394">
        <f>L161-O154</f>
        <v>-12937.523007891316</v>
      </c>
      <c r="R161" s="800"/>
    </row>
    <row r="162" spans="1:18" x14ac:dyDescent="0.25">
      <c r="A162" s="249"/>
      <c r="C162" s="289"/>
      <c r="D162" s="289" t="s">
        <v>1064</v>
      </c>
      <c r="F162" s="1309">
        <f>IF(F161&gt;0,(F157),(0))</f>
        <v>0</v>
      </c>
      <c r="G162" s="1309">
        <f t="shared" ref="G162" si="180">IF(G161&gt;0,(G157),(0))</f>
        <v>0</v>
      </c>
      <c r="H162" s="1309">
        <f t="shared" ref="H162" si="181">IF(H161&gt;0,(H157),(0))</f>
        <v>0</v>
      </c>
      <c r="I162" s="1309">
        <f t="shared" ref="I162" si="182">IF(I161&gt;0,(I157),(0))</f>
        <v>0</v>
      </c>
      <c r="J162" s="1309">
        <f t="shared" ref="J162" si="183">IF(J161&gt;0,(J157),(0))</f>
        <v>0</v>
      </c>
      <c r="K162" s="1309">
        <f t="shared" ref="K162" si="184">IF(K161&gt;0,(K157),(0))</f>
        <v>0</v>
      </c>
      <c r="L162" s="16"/>
      <c r="M162" s="16"/>
      <c r="R162" s="800"/>
    </row>
    <row r="163" spans="1:18" x14ac:dyDescent="0.25">
      <c r="A163" s="463"/>
      <c r="B163" s="463" t="s">
        <v>217</v>
      </c>
      <c r="C163" s="463"/>
      <c r="D163" s="463"/>
      <c r="E163" s="464"/>
      <c r="F163" s="465"/>
      <c r="G163" s="465"/>
      <c r="H163" s="465"/>
      <c r="I163" s="465"/>
      <c r="J163" s="465"/>
      <c r="K163" s="465"/>
      <c r="L163" s="465"/>
      <c r="M163" s="465"/>
      <c r="N163" s="464"/>
      <c r="O163" s="464"/>
      <c r="P163" s="464"/>
      <c r="Q163" s="464"/>
    </row>
    <row r="164" spans="1:18" x14ac:dyDescent="0.25">
      <c r="A164" s="244">
        <v>9257015</v>
      </c>
      <c r="B164" t="str">
        <f>CONCATENATE(A164,C164)</f>
        <v>92570152021/22</v>
      </c>
      <c r="C164" s="289" t="s">
        <v>958</v>
      </c>
      <c r="D164" s="289" t="s">
        <v>1009</v>
      </c>
      <c r="E164" s="122">
        <f>SUM('2122 MFG Protection'!E155)</f>
        <v>0</v>
      </c>
      <c r="F164" s="1052">
        <f>SUM('2122 MFG Protection'!F155)</f>
        <v>0</v>
      </c>
      <c r="G164" s="1052">
        <f>SUM('2122 MFG Protection'!G155)</f>
        <v>0</v>
      </c>
      <c r="H164" s="1052">
        <f>SUM('2122 MFG Protection'!H155)</f>
        <v>0</v>
      </c>
      <c r="I164" s="1052">
        <f>SUM('2122 MFG Protection'!I155)</f>
        <v>0</v>
      </c>
      <c r="J164" s="1052">
        <f>SUM('2122 MFG Protection'!J155)</f>
        <v>0</v>
      </c>
      <c r="K164" s="1052">
        <f>SUM('2122 MFG Protection'!K155)</f>
        <v>0</v>
      </c>
      <c r="L164" s="122">
        <f>SUM('2122 MFG Protection'!L155)</f>
        <v>0</v>
      </c>
      <c r="N164" s="16"/>
      <c r="O164" s="394">
        <f>'2122 MFG Protection'!L153</f>
        <v>0</v>
      </c>
      <c r="R164" s="800"/>
    </row>
    <row r="165" spans="1:18" x14ac:dyDescent="0.25">
      <c r="A165" s="244">
        <v>9257015</v>
      </c>
      <c r="B165" t="str">
        <f>CONCATENATE(A165,C165)</f>
        <v>92570152022/23</v>
      </c>
      <c r="C165" s="289" t="s">
        <v>959</v>
      </c>
      <c r="D165" t="str">
        <f>CONCATENATE(A165,C165)</f>
        <v>92570152022/23</v>
      </c>
      <c r="E165" s="122">
        <f>VLOOKUP(A165,'2223 Funding Detail'!$A$4:$M$20,13,(FALSE))</f>
        <v>226.5</v>
      </c>
      <c r="F165" s="1053">
        <f>$E$165*'2223 Band Calculations'!D21</f>
        <v>71.473333333333329</v>
      </c>
      <c r="G165" s="1053">
        <f>$E$165*'2223 Band Calculations'!E21</f>
        <v>87.58</v>
      </c>
      <c r="H165" s="1053">
        <f>$E$165*'2223 Band Calculations'!F21</f>
        <v>4.0266666666666664</v>
      </c>
      <c r="I165" s="1053">
        <f>$E$165*'2223 Band Calculations'!G21</f>
        <v>21.14</v>
      </c>
      <c r="J165" s="1053">
        <f>$E$165*'2223 Band Calculations'!H21</f>
        <v>4.0266666666666664</v>
      </c>
      <c r="K165" s="1053">
        <f>$E$165*'2223 Band Calculations'!I21</f>
        <v>36.24</v>
      </c>
      <c r="L165" s="460">
        <f>$E$165*'2223 Band Calculations'!J21</f>
        <v>2.0133333333333332</v>
      </c>
      <c r="N165" s="16"/>
      <c r="R165" s="800"/>
    </row>
    <row r="166" spans="1:18" x14ac:dyDescent="0.25">
      <c r="A166" s="244">
        <v>9257015</v>
      </c>
      <c r="B166" t="str">
        <f t="shared" ref="B166:B169" si="185">CONCATENATE(A166,C166)</f>
        <v>9257015</v>
      </c>
      <c r="F166" s="461">
        <f t="shared" ref="F166:K166" si="186">F165-F164</f>
        <v>71.473333333333329</v>
      </c>
      <c r="G166" s="461">
        <f t="shared" si="186"/>
        <v>87.58</v>
      </c>
      <c r="H166" s="461">
        <f t="shared" si="186"/>
        <v>4.0266666666666664</v>
      </c>
      <c r="I166" s="461">
        <f t="shared" si="186"/>
        <v>21.14</v>
      </c>
      <c r="J166" s="461">
        <f t="shared" si="186"/>
        <v>4.0266666666666664</v>
      </c>
      <c r="K166" s="461">
        <f t="shared" si="186"/>
        <v>36.24</v>
      </c>
      <c r="L166" s="460"/>
      <c r="R166" s="800"/>
    </row>
    <row r="167" spans="1:18" x14ac:dyDescent="0.25">
      <c r="A167" s="244">
        <v>9257015</v>
      </c>
      <c r="B167" t="str">
        <f t="shared" si="185"/>
        <v>9257015a</v>
      </c>
      <c r="C167" s="289" t="s">
        <v>1012</v>
      </c>
      <c r="D167" s="289" t="s">
        <v>1009</v>
      </c>
      <c r="F167" s="1053">
        <f t="shared" ref="F167:K167" si="187">IF(F164&gt;F165,(F165),(F164))</f>
        <v>0</v>
      </c>
      <c r="G167" s="1053">
        <f t="shared" si="187"/>
        <v>0</v>
      </c>
      <c r="H167" s="1053">
        <f t="shared" si="187"/>
        <v>0</v>
      </c>
      <c r="I167" s="1053">
        <f t="shared" si="187"/>
        <v>0</v>
      </c>
      <c r="J167" s="1053">
        <f t="shared" si="187"/>
        <v>0</v>
      </c>
      <c r="K167" s="1053">
        <f t="shared" si="187"/>
        <v>0</v>
      </c>
      <c r="L167" s="122"/>
      <c r="M167" s="16"/>
      <c r="O167" s="16"/>
      <c r="P167" s="16"/>
      <c r="R167" s="800"/>
    </row>
    <row r="168" spans="1:18" x14ac:dyDescent="0.25">
      <c r="A168" s="244"/>
      <c r="B168" t="s">
        <v>1053</v>
      </c>
      <c r="C168" s="289" t="s">
        <v>958</v>
      </c>
      <c r="D168" s="289" t="s">
        <v>1014</v>
      </c>
      <c r="F168" s="394">
        <f>SUM('2122 MFG Protection'!F154)</f>
        <v>0</v>
      </c>
      <c r="G168" s="394">
        <f>SUM('2122 MFG Protection'!G154)</f>
        <v>0</v>
      </c>
      <c r="H168" s="394">
        <f>SUM('2122 MFG Protection'!H154)</f>
        <v>0</v>
      </c>
      <c r="I168" s="394">
        <f>SUM('2122 MFG Protection'!I154)</f>
        <v>0</v>
      </c>
      <c r="J168" s="394">
        <f>SUM('2122 MFG Protection'!J154)</f>
        <v>0</v>
      </c>
      <c r="K168" s="394">
        <f>SUM('2122 MFG Protection'!K154)</f>
        <v>0</v>
      </c>
      <c r="L168" s="122"/>
      <c r="M168" s="16"/>
      <c r="O168" s="16"/>
      <c r="P168" s="16"/>
      <c r="R168" s="800"/>
    </row>
    <row r="169" spans="1:18" x14ac:dyDescent="0.25">
      <c r="A169" s="244">
        <v>9257015</v>
      </c>
      <c r="B169" t="str">
        <f t="shared" si="185"/>
        <v>9257015b</v>
      </c>
      <c r="C169" s="289" t="s">
        <v>1016</v>
      </c>
      <c r="D169" s="289" t="s">
        <v>1017</v>
      </c>
      <c r="F169" s="1054">
        <f>'2223 Band Values'!$BN$11</f>
        <v>150.01676778686306</v>
      </c>
      <c r="G169" s="1054">
        <f>'2223 Band Values'!$BN$8</f>
        <v>180.02012134423603</v>
      </c>
      <c r="H169" s="1054">
        <f>'2223 Band Values'!$BN$28</f>
        <v>418.69476201554426</v>
      </c>
      <c r="I169" s="1054">
        <f>'2223 Band Values'!$BN$5</f>
        <v>429.59609436588289</v>
      </c>
      <c r="J169" s="1054">
        <f>'2223 Band Values'!$BN$14</f>
        <v>429.59609436588289</v>
      </c>
      <c r="K169" s="1054">
        <f>'2223 Band Values'!$BN$22</f>
        <v>436.41416403078438</v>
      </c>
      <c r="L169" s="122"/>
      <c r="M169" s="16"/>
      <c r="R169" s="800"/>
    </row>
    <row r="170" spans="1:18" x14ac:dyDescent="0.25">
      <c r="A170" s="244"/>
      <c r="B170" t="s">
        <v>1054</v>
      </c>
      <c r="C170" s="289" t="s">
        <v>959</v>
      </c>
      <c r="D170" s="289" t="s">
        <v>1014</v>
      </c>
      <c r="F170" s="1054">
        <f>IF(F168-F169&gt;0,(F168-F169),(0))</f>
        <v>0</v>
      </c>
      <c r="G170" s="1054">
        <f t="shared" ref="G170:K170" si="188">IF(G168-G169&gt;0,(G168-G169),(0))</f>
        <v>0</v>
      </c>
      <c r="H170" s="1054">
        <f t="shared" si="188"/>
        <v>0</v>
      </c>
      <c r="I170" s="1054">
        <f t="shared" si="188"/>
        <v>0</v>
      </c>
      <c r="J170" s="1054">
        <f t="shared" si="188"/>
        <v>0</v>
      </c>
      <c r="K170" s="1054">
        <f t="shared" si="188"/>
        <v>0</v>
      </c>
      <c r="L170" s="122"/>
      <c r="M170" s="16"/>
      <c r="R170" s="800"/>
    </row>
    <row r="171" spans="1:18" x14ac:dyDescent="0.25">
      <c r="A171" s="244">
        <v>9257015</v>
      </c>
      <c r="B171" t="str">
        <f>CONCATENATE(A171,C171)</f>
        <v>9257015c</v>
      </c>
      <c r="C171" s="289" t="s">
        <v>1020</v>
      </c>
      <c r="D171" s="289" t="s">
        <v>697</v>
      </c>
      <c r="F171" s="16">
        <f t="shared" ref="F171" si="189">IF(F170&lt;0,0,(F170*F167))</f>
        <v>0</v>
      </c>
      <c r="G171" s="16">
        <f t="shared" ref="G171" si="190">IF(G170&lt;0,0,(G170*G167))</f>
        <v>0</v>
      </c>
      <c r="H171" s="16">
        <f t="shared" ref="H171" si="191">IF(H170&lt;0,0,(H170*H167))</f>
        <v>0</v>
      </c>
      <c r="I171" s="16">
        <f t="shared" ref="I171" si="192">IF(I170&lt;0,0,(I170*I167))</f>
        <v>0</v>
      </c>
      <c r="J171" s="16">
        <f t="shared" ref="J171" si="193">IF(J170&lt;0,0,(J170*J167))</f>
        <v>0</v>
      </c>
      <c r="K171" s="16">
        <f t="shared" ref="K171" si="194">IF(K170&lt;0,0,(K170*K167))</f>
        <v>0</v>
      </c>
      <c r="L171" s="395">
        <f>SUM(F171:K171)</f>
        <v>0</v>
      </c>
      <c r="M171" s="394">
        <f>L171-O164</f>
        <v>0</v>
      </c>
      <c r="R171" s="800"/>
    </row>
    <row r="172" spans="1:18" x14ac:dyDescent="0.25">
      <c r="A172" s="249"/>
      <c r="C172" s="289"/>
      <c r="D172" s="289" t="s">
        <v>1064</v>
      </c>
      <c r="F172" s="1309">
        <f>IF(F171&gt;0,(F167),(0))</f>
        <v>0</v>
      </c>
      <c r="G172" s="1309">
        <f t="shared" ref="G172" si="195">IF(G171&gt;0,(G167),(0))</f>
        <v>0</v>
      </c>
      <c r="H172" s="1309">
        <f t="shared" ref="H172" si="196">IF(H171&gt;0,(H167),(0))</f>
        <v>0</v>
      </c>
      <c r="I172" s="1309">
        <f t="shared" ref="I172" si="197">IF(I171&gt;0,(I167),(0))</f>
        <v>0</v>
      </c>
      <c r="J172" s="1309">
        <f t="shared" ref="J172" si="198">IF(J171&gt;0,(J167),(0))</f>
        <v>0</v>
      </c>
      <c r="K172" s="1309">
        <f t="shared" ref="K172" si="199">IF(K171&gt;0,(K167),(0))</f>
        <v>0</v>
      </c>
      <c r="L172" s="16"/>
      <c r="M172" s="16"/>
      <c r="R172" s="800"/>
    </row>
    <row r="173" spans="1:18" x14ac:dyDescent="0.25">
      <c r="A173" s="463"/>
      <c r="B173" s="463" t="s">
        <v>219</v>
      </c>
      <c r="C173" s="463"/>
      <c r="D173" s="463"/>
      <c r="E173" s="464"/>
      <c r="F173" s="465"/>
      <c r="G173" s="465"/>
      <c r="H173" s="465"/>
      <c r="I173" s="465"/>
      <c r="J173" s="465"/>
      <c r="K173" s="465"/>
      <c r="L173" s="465"/>
      <c r="M173" s="465"/>
      <c r="N173" s="464"/>
      <c r="O173" s="464"/>
      <c r="P173" s="464"/>
      <c r="Q173" s="464"/>
    </row>
    <row r="174" spans="1:18" x14ac:dyDescent="0.25">
      <c r="A174" s="244">
        <v>9257016</v>
      </c>
      <c r="B174" t="str">
        <f>CONCATENATE(A174,C174)</f>
        <v>92570162021/22</v>
      </c>
      <c r="C174" s="289" t="s">
        <v>958</v>
      </c>
      <c r="D174" s="289" t="s">
        <v>1009</v>
      </c>
      <c r="E174" s="122">
        <f>SUM('2122 MFG Protection'!E164)</f>
        <v>0</v>
      </c>
      <c r="F174" s="1052">
        <f>SUM('2122 MFG Protection'!F164)</f>
        <v>0</v>
      </c>
      <c r="G174" s="1052">
        <f>SUM('2122 MFG Protection'!G164)</f>
        <v>0</v>
      </c>
      <c r="H174" s="1052">
        <f>SUM('2122 MFG Protection'!H164)</f>
        <v>0</v>
      </c>
      <c r="I174" s="1052">
        <f>SUM('2122 MFG Protection'!I164)</f>
        <v>0</v>
      </c>
      <c r="J174" s="1052">
        <f>SUM('2122 MFG Protection'!J164)</f>
        <v>0</v>
      </c>
      <c r="K174" s="1052">
        <f>SUM('2122 MFG Protection'!K164)</f>
        <v>0</v>
      </c>
      <c r="L174" s="122">
        <f>SUM('2122 MFG Protection'!L164)</f>
        <v>0</v>
      </c>
      <c r="N174" s="16"/>
      <c r="O174" s="394">
        <f>'2122 MFG Protection'!L162</f>
        <v>0</v>
      </c>
      <c r="R174" s="800"/>
    </row>
    <row r="175" spans="1:18" x14ac:dyDescent="0.25">
      <c r="A175" s="244">
        <v>9257016</v>
      </c>
      <c r="B175" t="str">
        <f>CONCATENATE(A175,C175)</f>
        <v>92570162022/23</v>
      </c>
      <c r="C175" s="289" t="s">
        <v>959</v>
      </c>
      <c r="D175" t="str">
        <f>CONCATENATE(A175,C175)</f>
        <v>92570162022/23</v>
      </c>
      <c r="E175" s="122">
        <f>VLOOKUP(A175,'2223 Funding Detail'!$A$4:$M$20,13,(FALSE))</f>
        <v>164.75</v>
      </c>
      <c r="F175" s="1053">
        <f>$E$175*'2223 Band Calculations'!D22</f>
        <v>25.268404907975462</v>
      </c>
      <c r="G175" s="1053">
        <f>$E$175*'2223 Band Calculations'!E22</f>
        <v>31.332822085889571</v>
      </c>
      <c r="H175" s="1053">
        <f>$E$175*'2223 Band Calculations'!F22</f>
        <v>2.0214723926380369</v>
      </c>
      <c r="I175" s="1053">
        <f>$E$175*'2223 Band Calculations'!G22</f>
        <v>37.397239263803677</v>
      </c>
      <c r="J175" s="1053">
        <f>$E$175*'2223 Band Calculations'!H22</f>
        <v>30.322085889570552</v>
      </c>
      <c r="K175" s="1053">
        <f>$E$175*'2223 Band Calculations'!I22</f>
        <v>3.0322085889570554</v>
      </c>
      <c r="L175" s="460">
        <f>$E$175*'2223 Band Calculations'!J22</f>
        <v>35.375766871165645</v>
      </c>
      <c r="N175" s="16"/>
      <c r="R175" s="800"/>
    </row>
    <row r="176" spans="1:18" x14ac:dyDescent="0.25">
      <c r="A176" s="244">
        <v>9257016</v>
      </c>
      <c r="B176" t="str">
        <f t="shared" ref="B176:B179" si="200">CONCATENATE(A176,C176)</f>
        <v>9257016</v>
      </c>
      <c r="F176" s="461">
        <f t="shared" ref="F176:K176" si="201">F175-F174</f>
        <v>25.268404907975462</v>
      </c>
      <c r="G176" s="461">
        <f t="shared" si="201"/>
        <v>31.332822085889571</v>
      </c>
      <c r="H176" s="461">
        <f t="shared" si="201"/>
        <v>2.0214723926380369</v>
      </c>
      <c r="I176" s="461">
        <f t="shared" si="201"/>
        <v>37.397239263803677</v>
      </c>
      <c r="J176" s="461">
        <f t="shared" si="201"/>
        <v>30.322085889570552</v>
      </c>
      <c r="K176" s="461">
        <f t="shared" si="201"/>
        <v>3.0322085889570554</v>
      </c>
      <c r="R176" s="800"/>
    </row>
    <row r="177" spans="1:18" x14ac:dyDescent="0.25">
      <c r="A177" s="244">
        <v>9257016</v>
      </c>
      <c r="B177" t="str">
        <f t="shared" si="200"/>
        <v>9257016a</v>
      </c>
      <c r="C177" s="289" t="s">
        <v>1012</v>
      </c>
      <c r="D177" s="289" t="s">
        <v>1009</v>
      </c>
      <c r="F177" s="1053">
        <f t="shared" ref="F177:K177" si="202">IF(F174&gt;F175,(F175),(F174))</f>
        <v>0</v>
      </c>
      <c r="G177" s="1053">
        <f t="shared" si="202"/>
        <v>0</v>
      </c>
      <c r="H177" s="1053">
        <f t="shared" si="202"/>
        <v>0</v>
      </c>
      <c r="I177" s="1053">
        <f t="shared" si="202"/>
        <v>0</v>
      </c>
      <c r="J177" s="1053">
        <f t="shared" si="202"/>
        <v>0</v>
      </c>
      <c r="K177" s="1053">
        <f t="shared" si="202"/>
        <v>0</v>
      </c>
      <c r="L177" s="122"/>
      <c r="M177" s="16"/>
      <c r="O177" s="16"/>
      <c r="P177" s="16"/>
      <c r="R177" s="800"/>
    </row>
    <row r="178" spans="1:18" x14ac:dyDescent="0.25">
      <c r="A178" s="244"/>
      <c r="B178" t="s">
        <v>1055</v>
      </c>
      <c r="C178" s="289" t="s">
        <v>958</v>
      </c>
      <c r="D178" s="289" t="s">
        <v>1014</v>
      </c>
      <c r="F178" s="394">
        <f>SUM('2122 MFG Protection'!F163)</f>
        <v>0</v>
      </c>
      <c r="G178" s="394">
        <f>SUM('2122 MFG Protection'!G163)</f>
        <v>0</v>
      </c>
      <c r="H178" s="394">
        <f>SUM('2122 MFG Protection'!H163)</f>
        <v>0</v>
      </c>
      <c r="I178" s="394">
        <f>SUM('2122 MFG Protection'!I163)</f>
        <v>0</v>
      </c>
      <c r="J178" s="394">
        <f>SUM('2122 MFG Protection'!J163)</f>
        <v>0</v>
      </c>
      <c r="K178" s="394">
        <f>SUM('2122 MFG Protection'!K163)</f>
        <v>0</v>
      </c>
      <c r="L178" s="122"/>
      <c r="M178" s="16"/>
      <c r="O178" s="16"/>
      <c r="P178" s="16"/>
      <c r="R178" s="800"/>
    </row>
    <row r="179" spans="1:18" x14ac:dyDescent="0.25">
      <c r="A179" s="244">
        <v>9257016</v>
      </c>
      <c r="B179" t="str">
        <f t="shared" si="200"/>
        <v>9257016b</v>
      </c>
      <c r="C179" s="289" t="s">
        <v>1016</v>
      </c>
      <c r="D179" s="289" t="s">
        <v>1017</v>
      </c>
      <c r="F179" s="1054">
        <f>'2223 Band Values'!$BN$11</f>
        <v>150.01676778686306</v>
      </c>
      <c r="G179" s="1054">
        <f>'2223 Band Values'!$BN$8</f>
        <v>180.02012134423603</v>
      </c>
      <c r="H179" s="1054">
        <f>'2223 Band Values'!$BN$28</f>
        <v>418.69476201554426</v>
      </c>
      <c r="I179" s="1054">
        <f>'2223 Band Values'!$BN$5</f>
        <v>429.59609436588289</v>
      </c>
      <c r="J179" s="1054">
        <f>'2223 Band Values'!$BN$14</f>
        <v>429.59609436588289</v>
      </c>
      <c r="K179" s="1054">
        <f>'2223 Band Values'!$BN$22</f>
        <v>436.41416403078438</v>
      </c>
      <c r="L179" s="122"/>
      <c r="M179" s="16"/>
      <c r="R179" s="800"/>
    </row>
    <row r="180" spans="1:18" x14ac:dyDescent="0.25">
      <c r="A180" s="244"/>
      <c r="B180" t="s">
        <v>1056</v>
      </c>
      <c r="C180" s="289" t="s">
        <v>959</v>
      </c>
      <c r="D180" s="289" t="s">
        <v>1014</v>
      </c>
      <c r="F180" s="1054">
        <f>IF(F178-F179&gt;0,(F178-F179),(0))</f>
        <v>0</v>
      </c>
      <c r="G180" s="1054">
        <f t="shared" ref="G180:K180" si="203">IF(G178-G179&gt;0,(G178-G179),(0))</f>
        <v>0</v>
      </c>
      <c r="H180" s="1054">
        <f t="shared" si="203"/>
        <v>0</v>
      </c>
      <c r="I180" s="1054">
        <f t="shared" si="203"/>
        <v>0</v>
      </c>
      <c r="J180" s="1054">
        <f t="shared" si="203"/>
        <v>0</v>
      </c>
      <c r="K180" s="1054">
        <f t="shared" si="203"/>
        <v>0</v>
      </c>
      <c r="L180" s="122"/>
      <c r="M180" s="16"/>
      <c r="R180" s="800"/>
    </row>
    <row r="181" spans="1:18" x14ac:dyDescent="0.25">
      <c r="A181" s="244">
        <v>9257016</v>
      </c>
      <c r="B181" t="str">
        <f>CONCATENATE(A181,C181)</f>
        <v>9257016c</v>
      </c>
      <c r="C181" s="289" t="s">
        <v>1020</v>
      </c>
      <c r="D181" s="289" t="s">
        <v>697</v>
      </c>
      <c r="F181" s="16">
        <f t="shared" ref="F181" si="204">IF(F180&lt;0,0,(F180*F177))</f>
        <v>0</v>
      </c>
      <c r="G181" s="16">
        <f t="shared" ref="G181" si="205">IF(G180&lt;0,0,(G180*G177))</f>
        <v>0</v>
      </c>
      <c r="H181" s="16">
        <f t="shared" ref="H181" si="206">IF(H180&lt;0,0,(H180*H177))</f>
        <v>0</v>
      </c>
      <c r="I181" s="16">
        <f t="shared" ref="I181" si="207">IF(I180&lt;0,0,(I180*I177))</f>
        <v>0</v>
      </c>
      <c r="J181" s="16">
        <f t="shared" ref="J181" si="208">IF(J180&lt;0,0,(J180*J177))</f>
        <v>0</v>
      </c>
      <c r="K181" s="16">
        <f t="shared" ref="K181" si="209">IF(K180&lt;0,0,(K180*K177))</f>
        <v>0</v>
      </c>
      <c r="L181" s="395">
        <f>SUM(F181:K181)</f>
        <v>0</v>
      </c>
      <c r="M181" s="394">
        <f>L181-O174</f>
        <v>0</v>
      </c>
      <c r="R181" s="800"/>
    </row>
    <row r="182" spans="1:18" x14ac:dyDescent="0.25">
      <c r="A182" s="249"/>
      <c r="C182" s="289"/>
      <c r="D182" s="289" t="s">
        <v>1064</v>
      </c>
      <c r="F182" s="1309">
        <f>IF(F181&gt;0,(F177),(0))</f>
        <v>0</v>
      </c>
      <c r="G182" s="1309">
        <f t="shared" ref="G182" si="210">IF(G181&gt;0,(G177),(0))</f>
        <v>0</v>
      </c>
      <c r="H182" s="1309">
        <f t="shared" ref="H182" si="211">IF(H181&gt;0,(H177),(0))</f>
        <v>0</v>
      </c>
      <c r="I182" s="1309">
        <f t="shared" ref="I182" si="212">IF(I181&gt;0,(I177),(0))</f>
        <v>0</v>
      </c>
      <c r="J182" s="1309">
        <f t="shared" ref="J182" si="213">IF(J181&gt;0,(J177),(0))</f>
        <v>0</v>
      </c>
      <c r="K182" s="1309">
        <f t="shared" ref="K182" si="214">IF(K181&gt;0,(K177),(0))</f>
        <v>0</v>
      </c>
      <c r="L182" s="16"/>
      <c r="M182" s="16"/>
      <c r="R182" s="800"/>
    </row>
    <row r="183" spans="1:18" x14ac:dyDescent="0.25">
      <c r="A183" s="463"/>
      <c r="B183" s="463"/>
      <c r="C183" s="463"/>
      <c r="D183" s="463"/>
      <c r="E183" s="464"/>
      <c r="F183" s="465"/>
      <c r="G183" s="465"/>
      <c r="H183" s="465"/>
      <c r="I183" s="465"/>
      <c r="J183" s="465"/>
      <c r="K183" s="465"/>
      <c r="L183" s="465"/>
      <c r="M183" s="465"/>
      <c r="N183" s="464"/>
      <c r="O183" s="464"/>
      <c r="P183" s="464"/>
      <c r="Q183" s="464"/>
    </row>
    <row r="185" spans="1:18" x14ac:dyDescent="0.25">
      <c r="E185"/>
      <c r="F185"/>
      <c r="G185"/>
      <c r="H185"/>
      <c r="I185"/>
      <c r="J185" s="316" t="s">
        <v>1065</v>
      </c>
      <c r="K185"/>
      <c r="L185" s="395">
        <f>L11+L21+L31+L51+L61+L71+L81+L91+L101+L111+L121+L131+L141+L151+L161+L171+L181</f>
        <v>91355.174520499058</v>
      </c>
      <c r="M185"/>
      <c r="N185"/>
      <c r="O185"/>
      <c r="P185"/>
      <c r="Q185"/>
      <c r="R185"/>
    </row>
    <row r="187" spans="1:18" x14ac:dyDescent="0.25">
      <c r="J187" s="316" t="s">
        <v>1066</v>
      </c>
      <c r="L187" s="16">
        <f>SUM('2122 MFG Protection'!L167)</f>
        <v>267331.04437925667</v>
      </c>
    </row>
    <row r="189" spans="1:18" x14ac:dyDescent="0.25">
      <c r="J189" s="316" t="s">
        <v>1059</v>
      </c>
      <c r="L189" s="16">
        <f>L185-L187</f>
        <v>-175975.86985875759</v>
      </c>
    </row>
  </sheetData>
  <conditionalFormatting sqref="L189">
    <cfRule type="cellIs" dxfId="5" priority="1" operator="lessThan">
      <formula>0</formula>
    </cfRule>
  </conditionalFormatting>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FFC000"/>
  </sheetPr>
  <dimension ref="A3:Y171"/>
  <sheetViews>
    <sheetView workbookViewId="0">
      <selection activeCell="F9" sqref="F9"/>
    </sheetView>
  </sheetViews>
  <sheetFormatPr defaultRowHeight="12.5" x14ac:dyDescent="0.25"/>
  <cols>
    <col min="2" max="2" width="25.54296875" bestFit="1" customWidth="1"/>
    <col min="4" max="4" width="18.7265625" customWidth="1"/>
    <col min="5" max="5" width="8.7265625" style="2"/>
    <col min="6" max="6" width="10.54296875" style="2" customWidth="1"/>
    <col min="7" max="7" width="10.54296875" style="2" bestFit="1" customWidth="1"/>
    <col min="8" max="8" width="11.453125" style="2" bestFit="1" customWidth="1"/>
    <col min="9" max="12" width="9.54296875" style="2" bestFit="1" customWidth="1"/>
    <col min="13" max="13" width="9.7265625" style="2" bestFit="1" customWidth="1"/>
    <col min="14" max="18" width="8.7265625" style="2"/>
  </cols>
  <sheetData>
    <row r="3" spans="1:25" x14ac:dyDescent="0.25">
      <c r="B3" t="s">
        <v>205</v>
      </c>
      <c r="E3" s="2" t="s">
        <v>128</v>
      </c>
      <c r="F3" s="2" t="s">
        <v>735</v>
      </c>
      <c r="G3" s="2" t="s">
        <v>736</v>
      </c>
      <c r="H3" s="316" t="s">
        <v>737</v>
      </c>
      <c r="I3" s="2" t="s">
        <v>738</v>
      </c>
      <c r="J3" s="2" t="s">
        <v>739</v>
      </c>
      <c r="K3" s="2" t="s">
        <v>741</v>
      </c>
      <c r="L3" s="316" t="s">
        <v>743</v>
      </c>
      <c r="R3"/>
    </row>
    <row r="4" spans="1:25" ht="13" x14ac:dyDescent="0.3">
      <c r="A4" s="244">
        <v>9257010</v>
      </c>
      <c r="B4" t="str">
        <f>CONCATENATE(A4,C4)</f>
        <v>92570102020/21</v>
      </c>
      <c r="C4" t="s">
        <v>947</v>
      </c>
      <c r="D4" s="289" t="s">
        <v>1009</v>
      </c>
      <c r="E4" s="122">
        <f>'202021 MFG Protection'!E9</f>
        <v>50.076041666666661</v>
      </c>
      <c r="F4" s="122">
        <f>'202021 MFG Protection'!F9</f>
        <v>2.9458333333333342</v>
      </c>
      <c r="G4" s="122">
        <f>'202021 MFG Protection'!G9</f>
        <v>20.620833333333334</v>
      </c>
      <c r="H4" s="122">
        <f>'202021 MFG Protection'!H9</f>
        <v>3.927083333333333</v>
      </c>
      <c r="I4" s="122">
        <f>'202021 MFG Protection'!I9</f>
        <v>8.8375000000000004</v>
      </c>
      <c r="J4" s="122">
        <f>'202021 MFG Protection'!J9</f>
        <v>2.9453125</v>
      </c>
      <c r="K4" s="122">
        <f>'202021 MFG Protection'!K9</f>
        <v>10.799479166666666</v>
      </c>
      <c r="L4" s="122">
        <f>'202021 MFG Protection'!L9</f>
        <v>0</v>
      </c>
      <c r="N4" s="16">
        <f>'202021 MFG Protection'!N4</f>
        <v>353.70488551108429</v>
      </c>
      <c r="O4" s="16">
        <f>VLOOKUP(A4,'2021 Funding Detail'!$A$4:$W$23,23,(FALSE))</f>
        <v>17712.140584556619</v>
      </c>
      <c r="P4" s="16"/>
      <c r="R4" s="805"/>
      <c r="T4" s="856" t="s">
        <v>1011</v>
      </c>
      <c r="U4" s="182"/>
      <c r="V4" s="182"/>
      <c r="W4" s="182"/>
      <c r="X4" s="182"/>
      <c r="Y4" s="182"/>
    </row>
    <row r="5" spans="1:25" x14ac:dyDescent="0.25">
      <c r="A5" s="244">
        <v>9257010</v>
      </c>
      <c r="B5" t="str">
        <f>CONCATENATE(A5,C5)</f>
        <v>92570102021/22</v>
      </c>
      <c r="C5" t="s">
        <v>958</v>
      </c>
      <c r="E5" s="122">
        <f>VLOOKUP(A5,'2122 Funding Detail'!$A$4:$M$21,13,(FALSE))</f>
        <v>85.666666666666671</v>
      </c>
      <c r="F5" s="460">
        <f>$E$5*'2122 Band Calculations'!D6</f>
        <v>1.3597883597883598</v>
      </c>
      <c r="G5" s="460">
        <f>$E$5*'2122 Band Calculations'!E6</f>
        <v>27.195767195767196</v>
      </c>
      <c r="H5" s="460">
        <f>$E$5*'2122 Band Calculations'!F6</f>
        <v>8.1587301587301582</v>
      </c>
      <c r="I5" s="460">
        <f>$E$5*'2122 Band Calculations'!G6</f>
        <v>14.957671957671957</v>
      </c>
      <c r="J5" s="460">
        <f>$E$5*'2122 Band Calculations'!H6</f>
        <v>5.4391534391534391</v>
      </c>
      <c r="K5" s="460">
        <f>$E$5*'2122 Band Calculations'!I6</f>
        <v>16.317460317460316</v>
      </c>
      <c r="L5" s="460">
        <f>$E$5*'2122 Band Calculations'!J6</f>
        <v>12.238095238095237</v>
      </c>
      <c r="N5" s="16">
        <f>IF(N4&gt;0,(N4),(0))</f>
        <v>353.70488551108429</v>
      </c>
      <c r="O5" s="16"/>
      <c r="P5" s="16"/>
      <c r="R5" s="805"/>
      <c r="T5" s="1528" t="s">
        <v>1067</v>
      </c>
      <c r="U5" s="1528"/>
      <c r="V5" s="1528"/>
      <c r="W5" s="1528"/>
      <c r="X5" s="1528"/>
      <c r="Y5" s="1528"/>
    </row>
    <row r="6" spans="1:25" x14ac:dyDescent="0.25">
      <c r="A6" s="244">
        <v>9257010</v>
      </c>
      <c r="B6" t="str">
        <f t="shared" ref="B6:B10" si="0">CONCATENATE(A6,C6)</f>
        <v>9257010</v>
      </c>
      <c r="F6" s="461">
        <f t="shared" ref="F6:K6" si="1">F5-F4</f>
        <v>-1.5860449735449744</v>
      </c>
      <c r="G6" s="461">
        <f t="shared" si="1"/>
        <v>6.5749338624338627</v>
      </c>
      <c r="H6" s="461">
        <f t="shared" si="1"/>
        <v>4.2316468253968251</v>
      </c>
      <c r="I6" s="461">
        <f t="shared" si="1"/>
        <v>6.1201719576719569</v>
      </c>
      <c r="J6" s="461">
        <f t="shared" si="1"/>
        <v>2.4938409391534391</v>
      </c>
      <c r="K6" s="461">
        <f t="shared" si="1"/>
        <v>5.5179811507936503</v>
      </c>
      <c r="N6" s="16"/>
      <c r="O6" s="16"/>
      <c r="P6" s="16"/>
      <c r="R6" s="805"/>
      <c r="T6" s="1528"/>
      <c r="U6" s="1528"/>
      <c r="V6" s="1528"/>
      <c r="W6" s="1528"/>
      <c r="X6" s="1528"/>
      <c r="Y6" s="1528"/>
    </row>
    <row r="7" spans="1:25" x14ac:dyDescent="0.25">
      <c r="A7" s="244">
        <v>9257010</v>
      </c>
      <c r="B7" t="str">
        <f t="shared" si="0"/>
        <v>9257010a</v>
      </c>
      <c r="C7" s="289" t="s">
        <v>1012</v>
      </c>
      <c r="D7" s="289" t="s">
        <v>1009</v>
      </c>
      <c r="F7" s="460">
        <f t="shared" ref="F7:K7" si="2">IF(F4&gt;F5,(F5),(F4))</f>
        <v>1.3597883597883598</v>
      </c>
      <c r="G7" s="460">
        <f t="shared" si="2"/>
        <v>20.620833333333334</v>
      </c>
      <c r="H7" s="460">
        <f t="shared" si="2"/>
        <v>3.927083333333333</v>
      </c>
      <c r="I7" s="460">
        <f t="shared" si="2"/>
        <v>8.8375000000000004</v>
      </c>
      <c r="J7" s="460">
        <f t="shared" si="2"/>
        <v>2.9453125</v>
      </c>
      <c r="K7" s="460">
        <f t="shared" si="2"/>
        <v>10.799479166666666</v>
      </c>
      <c r="L7" s="122"/>
      <c r="M7" s="16"/>
      <c r="N7" s="16"/>
      <c r="O7" s="16"/>
      <c r="P7" s="16"/>
      <c r="R7" s="805"/>
      <c r="T7" s="1528"/>
      <c r="U7" s="1528"/>
      <c r="V7" s="1528"/>
      <c r="W7" s="1528"/>
      <c r="X7" s="1528"/>
      <c r="Y7" s="1528"/>
    </row>
    <row r="8" spans="1:25" x14ac:dyDescent="0.25">
      <c r="A8" s="244">
        <v>9257010</v>
      </c>
      <c r="B8" t="str">
        <f>CONCATENATE(A8,C8)</f>
        <v>9257010b</v>
      </c>
      <c r="C8" s="289" t="s">
        <v>1016</v>
      </c>
      <c r="D8" s="289" t="s">
        <v>1017</v>
      </c>
      <c r="F8" s="16">
        <f>VLOOKUP($F$3,'2122 Band Values'!$A$5:$AU$24,47,(FALSE))</f>
        <v>58.711672125181849</v>
      </c>
      <c r="G8" s="16">
        <f>VLOOKUP($G$3,'2122 Band Values'!$A$5:$AU$24,47,(FALSE))</f>
        <v>70.45400655021831</v>
      </c>
      <c r="H8" s="16">
        <f>VLOOKUP($H$3,'2122 Band Values'!$A$5:$AU$24,47,(FALSE))</f>
        <v>211.36201965065447</v>
      </c>
      <c r="I8" s="16">
        <f>VLOOKUP($I$3,'2122 Band Values'!$A$5:$AU$24,47,(FALSE))</f>
        <v>264.20252456331764</v>
      </c>
      <c r="J8" s="16">
        <f>VLOOKUP($J$3,'2122 Band Values'!$A$5:$AU$24,47,(FALSE))</f>
        <v>264.20252456331764</v>
      </c>
      <c r="K8" s="16">
        <f>VLOOKUP($K$3,'2122 Band Values'!$A$5:$AU$24,47,(FALSE))</f>
        <v>234.8466885007274</v>
      </c>
      <c r="L8" s="122"/>
      <c r="M8" s="16"/>
      <c r="R8" s="805"/>
    </row>
    <row r="9" spans="1:25" x14ac:dyDescent="0.25">
      <c r="A9" s="244">
        <v>9257010</v>
      </c>
      <c r="B9" t="str">
        <f t="shared" si="0"/>
        <v>9257010c</v>
      </c>
      <c r="C9" s="289" t="s">
        <v>1020</v>
      </c>
      <c r="D9" s="289" t="s">
        <v>697</v>
      </c>
      <c r="F9" s="16">
        <f>IF(F8&gt;$N$5,(0*F7),(($N$5-F8)*F7))</f>
        <v>401.1283377787139</v>
      </c>
      <c r="G9" s="16">
        <f>IF(G8&gt;$N$5,(0*G7),(($N$5-G8)*G7))</f>
        <v>5840.8691665721908</v>
      </c>
      <c r="H9" s="16">
        <f t="shared" ref="H9:K9" si="3">IF(H8&gt;$N$5,(0*H7),(($N$5-H8)*H7))</f>
        <v>558.99229613939622</v>
      </c>
      <c r="I9" s="16">
        <f t="shared" si="3"/>
        <v>790.97711487588776</v>
      </c>
      <c r="J9" s="16">
        <f t="shared" si="3"/>
        <v>263.61242247896894</v>
      </c>
      <c r="K9" s="16">
        <f t="shared" si="3"/>
        <v>1283.6066224009114</v>
      </c>
      <c r="L9" s="395">
        <f>SUM(F9:K9)</f>
        <v>9139.18596024607</v>
      </c>
      <c r="M9" s="16">
        <f>L9-O4</f>
        <v>-8572.9546243105488</v>
      </c>
      <c r="R9" s="805"/>
    </row>
    <row r="10" spans="1:25" x14ac:dyDescent="0.25">
      <c r="A10" s="244">
        <v>9257010</v>
      </c>
      <c r="B10" t="str">
        <f t="shared" si="0"/>
        <v>9257010d</v>
      </c>
      <c r="C10" s="289" t="s">
        <v>1068</v>
      </c>
      <c r="D10" s="289" t="s">
        <v>1014</v>
      </c>
      <c r="F10" s="16">
        <f t="shared" ref="F10:K10" si="4">IF(F9&gt;0,(F9/F7),(0))</f>
        <v>294.99321338590244</v>
      </c>
      <c r="G10" s="16">
        <f t="shared" si="4"/>
        <v>283.25087896086598</v>
      </c>
      <c r="H10" s="16">
        <f>IF(H9&gt;0,(H9/H7),(0))</f>
        <v>142.34286586042981</v>
      </c>
      <c r="I10" s="16">
        <f t="shared" si="4"/>
        <v>89.502360947766647</v>
      </c>
      <c r="J10" s="16">
        <f t="shared" si="4"/>
        <v>89.502360947766647</v>
      </c>
      <c r="K10" s="16">
        <f t="shared" si="4"/>
        <v>118.85819701035689</v>
      </c>
      <c r="L10" s="16"/>
      <c r="M10" s="16"/>
      <c r="R10" s="805"/>
    </row>
    <row r="11" spans="1:25" ht="13" x14ac:dyDescent="0.3">
      <c r="A11" s="244"/>
      <c r="C11" s="184" t="s">
        <v>1069</v>
      </c>
      <c r="D11" s="184" t="s">
        <v>1070</v>
      </c>
      <c r="E11" s="799">
        <f>SUM(F11:K11)</f>
        <v>48.489996693121689</v>
      </c>
      <c r="F11" s="799">
        <f>IF(F4&lt;F5,F4,F5)</f>
        <v>1.3597883597883598</v>
      </c>
      <c r="G11" s="799">
        <f t="shared" ref="G11:K11" si="5">IF(G4&lt;G5,G4,G5)</f>
        <v>20.620833333333334</v>
      </c>
      <c r="H11" s="799">
        <f t="shared" si="5"/>
        <v>3.927083333333333</v>
      </c>
      <c r="I11" s="799">
        <f t="shared" si="5"/>
        <v>8.8375000000000004</v>
      </c>
      <c r="J11" s="799">
        <f t="shared" si="5"/>
        <v>2.9453125</v>
      </c>
      <c r="K11" s="799">
        <f t="shared" si="5"/>
        <v>10.799479166666666</v>
      </c>
      <c r="L11" s="799">
        <v>0</v>
      </c>
      <c r="M11" s="16"/>
      <c r="R11" s="805"/>
    </row>
    <row r="12" spans="1:25" x14ac:dyDescent="0.25">
      <c r="A12" s="1260"/>
      <c r="B12" s="1261" t="s">
        <v>208</v>
      </c>
      <c r="C12" s="466"/>
      <c r="D12" s="466"/>
      <c r="E12" s="467"/>
      <c r="F12" s="468"/>
      <c r="G12" s="468"/>
      <c r="H12" s="468"/>
      <c r="I12" s="468"/>
      <c r="J12" s="468"/>
      <c r="K12" s="468"/>
      <c r="L12" s="467"/>
      <c r="M12" s="467"/>
      <c r="N12" s="467"/>
      <c r="O12" s="467"/>
      <c r="P12" s="467"/>
      <c r="Q12" s="467"/>
      <c r="R12"/>
    </row>
    <row r="13" spans="1:25" x14ac:dyDescent="0.25">
      <c r="A13" s="244">
        <v>9257005</v>
      </c>
      <c r="B13" t="str">
        <f>CONCATENATE(A13,C13)</f>
        <v>92570052020/21</v>
      </c>
      <c r="C13" t="s">
        <v>947</v>
      </c>
      <c r="D13" s="289" t="s">
        <v>1009</v>
      </c>
      <c r="E13" s="122">
        <f>'202021 MFG Protection'!E16</f>
        <v>53.919094876126124</v>
      </c>
      <c r="F13" s="122">
        <f>'202021 MFG Protection'!F16</f>
        <v>4.848958333333333</v>
      </c>
      <c r="G13" s="122">
        <f>'202021 MFG Protection'!G16</f>
        <v>16.827702702702705</v>
      </c>
      <c r="H13" s="122">
        <f>'202021 MFG Protection'!H16</f>
        <v>4.848958333333333</v>
      </c>
      <c r="I13" s="122">
        <f>'202021 MFG Protection'!I16</f>
        <v>10.888513513513514</v>
      </c>
      <c r="J13" s="122">
        <f>'202021 MFG Protection'!J16</f>
        <v>3.63671875</v>
      </c>
      <c r="K13" s="122">
        <f>'202021 MFG Protection'!K16</f>
        <v>12.868243243243244</v>
      </c>
      <c r="L13" s="122">
        <f>'202021 MFG Protection'!L16</f>
        <v>0</v>
      </c>
      <c r="N13" s="16">
        <f>'202021 MFG Protection'!N11</f>
        <v>130.55288438137359</v>
      </c>
      <c r="O13" s="16">
        <f>VLOOKUP(A13,'2021 Funding Detail'!$A$4:$W$23,23,(FALSE))</f>
        <v>7039.2933593112066</v>
      </c>
      <c r="P13" s="16"/>
      <c r="R13" s="805"/>
    </row>
    <row r="14" spans="1:25" x14ac:dyDescent="0.25">
      <c r="A14" s="244">
        <v>9257005</v>
      </c>
      <c r="B14" t="str">
        <f>CONCATENATE(A14,C14)</f>
        <v>92570052021/22</v>
      </c>
      <c r="C14" t="s">
        <v>958</v>
      </c>
      <c r="D14" t="str">
        <f>CONCATENATE(A14,C14)</f>
        <v>92570052021/22</v>
      </c>
      <c r="E14" s="122">
        <f>VLOOKUP(A14,'2122 Funding Detail'!$A$4:$M$21,13,(FALSE))</f>
        <v>83.25</v>
      </c>
      <c r="F14" s="460">
        <f>$E$14*'2122 Band Calculations'!D6</f>
        <v>1.3214285714285714</v>
      </c>
      <c r="G14" s="460">
        <f>$E$14*'2122 Band Calculations'!E6</f>
        <v>26.428571428571427</v>
      </c>
      <c r="H14" s="460">
        <f>$E$14*'2122 Band Calculations'!F6</f>
        <v>7.9285714285714279</v>
      </c>
      <c r="I14" s="460">
        <f>$E$14*'2122 Band Calculations'!G6</f>
        <v>14.535714285714285</v>
      </c>
      <c r="J14" s="460">
        <f>$E$14*'2122 Band Calculations'!H6</f>
        <v>5.2857142857142856</v>
      </c>
      <c r="K14" s="460">
        <f>$E$14*'2122 Band Calculations'!I6</f>
        <v>15.857142857142856</v>
      </c>
      <c r="L14" s="460">
        <f>$E$14*'2122 Band Calculations'!J6</f>
        <v>11.892857142857142</v>
      </c>
      <c r="N14" s="16">
        <f>IF(N13&gt;0,(N13),(0))</f>
        <v>130.55288438137359</v>
      </c>
      <c r="O14" s="16"/>
      <c r="P14" s="16"/>
      <c r="R14" s="805"/>
    </row>
    <row r="15" spans="1:25" x14ac:dyDescent="0.25">
      <c r="A15" s="244">
        <v>9257005</v>
      </c>
      <c r="B15" t="str">
        <f t="shared" ref="B15:B19" si="6">CONCATENATE(A15,C15)</f>
        <v>9257005</v>
      </c>
      <c r="E15" s="122"/>
      <c r="F15" s="461">
        <f t="shared" ref="F15:K15" si="7">F14-F13</f>
        <v>-3.5275297619047619</v>
      </c>
      <c r="G15" s="461">
        <f t="shared" si="7"/>
        <v>9.6008687258687218</v>
      </c>
      <c r="H15" s="461">
        <f t="shared" si="7"/>
        <v>3.0796130952380949</v>
      </c>
      <c r="I15" s="461">
        <f t="shared" si="7"/>
        <v>3.6472007722007707</v>
      </c>
      <c r="J15" s="461">
        <f t="shared" si="7"/>
        <v>1.6489955357142856</v>
      </c>
      <c r="K15" s="461">
        <f t="shared" si="7"/>
        <v>2.988899613899612</v>
      </c>
      <c r="L15" s="460"/>
      <c r="N15" s="16"/>
      <c r="O15" s="16"/>
      <c r="P15" s="16"/>
      <c r="R15" s="805"/>
    </row>
    <row r="16" spans="1:25" x14ac:dyDescent="0.25">
      <c r="A16" s="244">
        <v>9257005</v>
      </c>
      <c r="B16" t="str">
        <f t="shared" si="6"/>
        <v>9257005a</v>
      </c>
      <c r="C16" s="289" t="s">
        <v>1012</v>
      </c>
      <c r="D16" s="289" t="s">
        <v>1009</v>
      </c>
      <c r="F16" s="460">
        <f t="shared" ref="F16:K16" si="8">IF(F13&gt;F14,(F14),(F13))</f>
        <v>1.3214285714285714</v>
      </c>
      <c r="G16" s="460">
        <f t="shared" si="8"/>
        <v>16.827702702702705</v>
      </c>
      <c r="H16" s="460">
        <f t="shared" si="8"/>
        <v>4.848958333333333</v>
      </c>
      <c r="I16" s="460">
        <f t="shared" si="8"/>
        <v>10.888513513513514</v>
      </c>
      <c r="J16" s="460">
        <f t="shared" si="8"/>
        <v>3.63671875</v>
      </c>
      <c r="K16" s="460">
        <f t="shared" si="8"/>
        <v>12.868243243243244</v>
      </c>
      <c r="L16" s="122"/>
      <c r="M16" s="16"/>
      <c r="N16" s="16"/>
      <c r="O16" s="16"/>
      <c r="P16" s="16"/>
      <c r="R16" s="805"/>
    </row>
    <row r="17" spans="1:18" x14ac:dyDescent="0.25">
      <c r="A17" s="244">
        <v>9257005</v>
      </c>
      <c r="B17" t="str">
        <f t="shared" si="6"/>
        <v>9257005b</v>
      </c>
      <c r="C17" s="289" t="s">
        <v>1016</v>
      </c>
      <c r="D17" s="289" t="s">
        <v>1017</v>
      </c>
      <c r="F17" s="16">
        <f>VLOOKUP($F$3,'2122 Band Values'!$A$5:$AU$24,47,(FALSE))</f>
        <v>58.711672125181849</v>
      </c>
      <c r="G17" s="16">
        <f>VLOOKUP($G$3,'2122 Band Values'!$A$5:$AU$24,47,(FALSE))</f>
        <v>70.45400655021831</v>
      </c>
      <c r="H17" s="16">
        <f>VLOOKUP($H$3,'2122 Band Values'!$A$5:$AU$24,47,(FALSE))</f>
        <v>211.36201965065447</v>
      </c>
      <c r="I17" s="16">
        <f>VLOOKUP($I$3,'2122 Band Values'!$A$5:$AU$24,47,(FALSE))</f>
        <v>264.20252456331764</v>
      </c>
      <c r="J17" s="16">
        <f>VLOOKUP($J$3,'2122 Band Values'!$A$5:$AU$24,47,(FALSE))</f>
        <v>264.20252456331764</v>
      </c>
      <c r="K17" s="16">
        <f>VLOOKUP($K$3,'2122 Band Values'!$A$5:$AU$24,47,(FALSE))</f>
        <v>234.8466885007274</v>
      </c>
      <c r="L17" s="122"/>
      <c r="M17" s="16"/>
      <c r="N17" s="16"/>
      <c r="O17" s="16"/>
      <c r="R17" s="805"/>
    </row>
    <row r="18" spans="1:18" x14ac:dyDescent="0.25">
      <c r="A18" s="244">
        <v>9257005</v>
      </c>
      <c r="B18" t="str">
        <f>CONCATENATE(A18,C18)</f>
        <v>9257005c</v>
      </c>
      <c r="C18" s="289" t="s">
        <v>1020</v>
      </c>
      <c r="D18" s="289" t="s">
        <v>697</v>
      </c>
      <c r="F18" s="16">
        <f t="shared" ref="F18:K18" si="9">IF(F17&gt;$N$14,(0*F16),(($N$14-F17)*F16))</f>
        <v>94.93303048139623</v>
      </c>
      <c r="G18" s="16">
        <f t="shared" si="9"/>
        <v>1011.3260489087314</v>
      </c>
      <c r="H18" s="16">
        <f t="shared" si="9"/>
        <v>0</v>
      </c>
      <c r="I18" s="16">
        <f t="shared" si="9"/>
        <v>0</v>
      </c>
      <c r="J18" s="16">
        <f t="shared" si="9"/>
        <v>0</v>
      </c>
      <c r="K18" s="16">
        <f t="shared" si="9"/>
        <v>0</v>
      </c>
      <c r="L18" s="395">
        <f>SUM(F18:K18)</f>
        <v>1106.2590793901277</v>
      </c>
      <c r="M18" s="16">
        <f>L18-O13</f>
        <v>-5933.0342799210794</v>
      </c>
      <c r="N18" s="16"/>
      <c r="O18" s="16"/>
      <c r="R18" s="805"/>
    </row>
    <row r="19" spans="1:18" x14ac:dyDescent="0.25">
      <c r="A19" s="244">
        <v>9257005</v>
      </c>
      <c r="B19" t="str">
        <f t="shared" si="6"/>
        <v>9257005d</v>
      </c>
      <c r="C19" s="289" t="s">
        <v>1068</v>
      </c>
      <c r="D19" s="289" t="s">
        <v>1014</v>
      </c>
      <c r="F19" s="16">
        <f t="shared" ref="F19:K19" si="10">IF(F18&gt;0,(F18/F16),(0))</f>
        <v>71.841212256191739</v>
      </c>
      <c r="G19" s="16">
        <f t="shared" si="10"/>
        <v>60.098877831155278</v>
      </c>
      <c r="H19" s="16">
        <f t="shared" si="10"/>
        <v>0</v>
      </c>
      <c r="I19" s="16">
        <f t="shared" si="10"/>
        <v>0</v>
      </c>
      <c r="J19" s="16">
        <f t="shared" si="10"/>
        <v>0</v>
      </c>
      <c r="K19" s="16">
        <f t="shared" si="10"/>
        <v>0</v>
      </c>
      <c r="L19" s="16"/>
      <c r="M19" s="16"/>
      <c r="N19" s="16"/>
      <c r="O19" s="16"/>
      <c r="R19" s="805"/>
    </row>
    <row r="20" spans="1:18" ht="13" x14ac:dyDescent="0.3">
      <c r="A20" s="244"/>
      <c r="C20" s="184" t="s">
        <v>1069</v>
      </c>
      <c r="D20" s="184" t="s">
        <v>1070</v>
      </c>
      <c r="E20" s="799">
        <f>SUM(F20:K20)</f>
        <v>50.391565114221365</v>
      </c>
      <c r="F20" s="799">
        <f>IF(F13&lt;F14,F13,F14)</f>
        <v>1.3214285714285714</v>
      </c>
      <c r="G20" s="799">
        <f t="shared" ref="G20:K20" si="11">IF(G13&lt;G14,G13,G14)</f>
        <v>16.827702702702705</v>
      </c>
      <c r="H20" s="799">
        <f t="shared" si="11"/>
        <v>4.848958333333333</v>
      </c>
      <c r="I20" s="799">
        <f t="shared" si="11"/>
        <v>10.888513513513514</v>
      </c>
      <c r="J20" s="799">
        <f t="shared" si="11"/>
        <v>3.63671875</v>
      </c>
      <c r="K20" s="799">
        <f t="shared" si="11"/>
        <v>12.868243243243244</v>
      </c>
      <c r="L20" s="799">
        <v>0</v>
      </c>
      <c r="M20" s="16"/>
      <c r="N20" s="16"/>
      <c r="O20" s="16"/>
      <c r="R20" s="805"/>
    </row>
    <row r="21" spans="1:18" x14ac:dyDescent="0.25">
      <c r="A21" s="1262"/>
      <c r="B21" s="829" t="s">
        <v>209</v>
      </c>
      <c r="C21" s="463"/>
      <c r="D21" s="463"/>
      <c r="E21" s="464"/>
      <c r="F21" s="464"/>
      <c r="G21" s="464"/>
      <c r="H21" s="464"/>
      <c r="I21" s="464"/>
      <c r="J21" s="464"/>
      <c r="K21" s="464"/>
      <c r="L21" s="464"/>
      <c r="M21" s="464"/>
      <c r="N21" s="464"/>
      <c r="O21" s="464"/>
      <c r="P21" s="464"/>
      <c r="Q21" s="464"/>
      <c r="R21"/>
    </row>
    <row r="22" spans="1:18" x14ac:dyDescent="0.25">
      <c r="A22" s="244">
        <v>9257025</v>
      </c>
      <c r="B22" t="str">
        <f>CONCATENATE(A22,C22)</f>
        <v>92570252020/21</v>
      </c>
      <c r="C22" t="s">
        <v>947</v>
      </c>
      <c r="D22" s="289" t="s">
        <v>1009</v>
      </c>
      <c r="E22" s="122">
        <f>'202021 MFG Protection'!E23</f>
        <v>59.016891891891909</v>
      </c>
      <c r="F22" s="122">
        <f>'202021 MFG Protection'!F23</f>
        <v>12.216216216216218</v>
      </c>
      <c r="G22" s="122">
        <f>'202021 MFG Protection'!G23</f>
        <v>21.231981981981988</v>
      </c>
      <c r="H22" s="122">
        <f>'202021 MFG Protection'!H23</f>
        <v>5.0900900900900918</v>
      </c>
      <c r="I22" s="122">
        <f>'202021 MFG Protection'!I23</f>
        <v>8.6858108108108141</v>
      </c>
      <c r="J22" s="122">
        <f>'202021 MFG Protection'!J23</f>
        <v>4.0720720720720731</v>
      </c>
      <c r="K22" s="122">
        <f>'202021 MFG Protection'!K23</f>
        <v>7.7207207207207231</v>
      </c>
      <c r="L22" s="122">
        <f>'202021 MFG Protection'!L23</f>
        <v>0</v>
      </c>
      <c r="N22" s="16">
        <f>'202021 MFG Protection'!N18</f>
        <v>495.74370368773816</v>
      </c>
      <c r="O22" s="16">
        <f>VLOOKUP(A22,'2021 Funding Detail'!$A$4:$W$23,23,(FALSE))</f>
        <v>29257.252566625339</v>
      </c>
      <c r="P22" s="16"/>
      <c r="R22" s="805"/>
    </row>
    <row r="23" spans="1:18" x14ac:dyDescent="0.25">
      <c r="A23" s="244">
        <v>9257025</v>
      </c>
      <c r="B23" t="str">
        <f>CONCATENATE(A23,C23)</f>
        <v>92570252021/22</v>
      </c>
      <c r="C23" t="s">
        <v>958</v>
      </c>
      <c r="D23" t="str">
        <f>CONCATENATE(A23,C23)</f>
        <v>92570252021/22</v>
      </c>
      <c r="E23" s="122">
        <f>VLOOKUP(A23,'2122 Funding Detail'!$A$4:$M$21,13,(FALSE))</f>
        <v>77.5</v>
      </c>
      <c r="F23" s="460">
        <f>$E$23*'2122 Band Calculations'!D8</f>
        <v>12.077922077922077</v>
      </c>
      <c r="G23" s="460">
        <f>$E$23*'2122 Band Calculations'!E8</f>
        <v>31.201298701298704</v>
      </c>
      <c r="H23" s="460">
        <f>$E$23*'2122 Band Calculations'!F8</f>
        <v>3.0194805194805192</v>
      </c>
      <c r="I23" s="460">
        <f>$E$23*'2122 Band Calculations'!G8</f>
        <v>12.077922077922077</v>
      </c>
      <c r="J23" s="460">
        <f>$E$23*'2122 Band Calculations'!H8</f>
        <v>4.0259740259740262</v>
      </c>
      <c r="K23" s="460">
        <f>$E$23*'2122 Band Calculations'!I8</f>
        <v>11.071428571428571</v>
      </c>
      <c r="L23" s="460">
        <f>$E$23*'2122 Band Calculations'!J8</f>
        <v>4.0259740259740262</v>
      </c>
      <c r="N23" s="16">
        <f>IF(N22&gt;0,(N22),(0))</f>
        <v>495.74370368773816</v>
      </c>
      <c r="O23" s="16"/>
      <c r="P23" s="16"/>
      <c r="R23" s="800"/>
    </row>
    <row r="24" spans="1:18" x14ac:dyDescent="0.25">
      <c r="A24" s="244">
        <v>9257025</v>
      </c>
      <c r="B24" t="str">
        <f t="shared" ref="B24:B28" si="12">CONCATENATE(A24,C24)</f>
        <v>9257025</v>
      </c>
      <c r="E24" s="122"/>
      <c r="F24" s="461">
        <f t="shared" ref="F24:K24" si="13">F23-F22</f>
        <v>-0.13829413829414072</v>
      </c>
      <c r="G24" s="461">
        <f t="shared" si="13"/>
        <v>9.9693167193167156</v>
      </c>
      <c r="H24" s="461">
        <f t="shared" si="13"/>
        <v>-2.0706095706095726</v>
      </c>
      <c r="I24" s="461">
        <f t="shared" si="13"/>
        <v>3.3921112671112628</v>
      </c>
      <c r="J24" s="461">
        <f t="shared" si="13"/>
        <v>-4.6098046098046908E-2</v>
      </c>
      <c r="K24" s="461">
        <f t="shared" si="13"/>
        <v>3.350707850707848</v>
      </c>
      <c r="L24" s="460"/>
      <c r="N24" s="16"/>
      <c r="O24" s="16"/>
      <c r="P24" s="16"/>
      <c r="R24" s="800"/>
    </row>
    <row r="25" spans="1:18" x14ac:dyDescent="0.25">
      <c r="A25" s="244">
        <v>9257025</v>
      </c>
      <c r="B25" t="str">
        <f t="shared" si="12"/>
        <v>9257025a</v>
      </c>
      <c r="C25" s="289" t="s">
        <v>1012</v>
      </c>
      <c r="D25" s="289" t="s">
        <v>1009</v>
      </c>
      <c r="F25" s="460">
        <f t="shared" ref="F25:K25" si="14">IF(F22&gt;F23,(F23),(F22))</f>
        <v>12.077922077922077</v>
      </c>
      <c r="G25" s="460">
        <f t="shared" si="14"/>
        <v>21.231981981981988</v>
      </c>
      <c r="H25" s="460">
        <f t="shared" si="14"/>
        <v>3.0194805194805192</v>
      </c>
      <c r="I25" s="460">
        <f t="shared" si="14"/>
        <v>8.6858108108108141</v>
      </c>
      <c r="J25" s="460">
        <f t="shared" si="14"/>
        <v>4.0259740259740262</v>
      </c>
      <c r="K25" s="460">
        <f t="shared" si="14"/>
        <v>7.7207207207207231</v>
      </c>
      <c r="L25" s="122"/>
      <c r="M25" s="16"/>
      <c r="N25" s="16"/>
      <c r="O25" s="16"/>
      <c r="P25" s="16"/>
      <c r="R25" s="800"/>
    </row>
    <row r="26" spans="1:18" x14ac:dyDescent="0.25">
      <c r="A26" s="244">
        <v>9257025</v>
      </c>
      <c r="B26" t="str">
        <f t="shared" si="12"/>
        <v>9257025b</v>
      </c>
      <c r="C26" s="289" t="s">
        <v>1016</v>
      </c>
      <c r="D26" s="289" t="s">
        <v>1017</v>
      </c>
      <c r="F26" s="16">
        <f>VLOOKUP($F$3,'2122 Band Values'!$A$5:$AU$24,47,(FALSE))</f>
        <v>58.711672125181849</v>
      </c>
      <c r="G26" s="16">
        <f>VLOOKUP($G$3,'2122 Band Values'!$A$5:$AU$24,47,(FALSE))</f>
        <v>70.45400655021831</v>
      </c>
      <c r="H26" s="16">
        <f>VLOOKUP($H$3,'2122 Band Values'!$A$5:$AU$24,47,(FALSE))</f>
        <v>211.36201965065447</v>
      </c>
      <c r="I26" s="16">
        <f>VLOOKUP($I$3,'2122 Band Values'!$A$5:$AU$24,47,(FALSE))</f>
        <v>264.20252456331764</v>
      </c>
      <c r="J26" s="16">
        <f>VLOOKUP($J$3,'2122 Band Values'!$A$5:$AU$24,47,(FALSE))</f>
        <v>264.20252456331764</v>
      </c>
      <c r="K26" s="16">
        <f>VLOOKUP($K$3,'2122 Band Values'!$A$5:$AU$24,47,(FALSE))</f>
        <v>234.8466885007274</v>
      </c>
      <c r="L26" s="122"/>
      <c r="M26" s="16"/>
      <c r="N26" s="16"/>
      <c r="O26" s="16"/>
      <c r="R26" s="800"/>
    </row>
    <row r="27" spans="1:18" x14ac:dyDescent="0.25">
      <c r="A27" s="244">
        <v>9257025</v>
      </c>
      <c r="B27" t="str">
        <f>CONCATENATE(A27,C27)</f>
        <v>9257025c</v>
      </c>
      <c r="C27" s="289" t="s">
        <v>1020</v>
      </c>
      <c r="D27" s="289" t="s">
        <v>697</v>
      </c>
      <c r="F27" s="16">
        <f t="shared" ref="F27:K27" si="15">IF(F26&gt;$N$23,(0*F25),(($N$23-F26)*F25))</f>
        <v>5278.4388227685367</v>
      </c>
      <c r="G27" s="16">
        <f t="shared" si="15"/>
        <v>9029.7431867463984</v>
      </c>
      <c r="H27" s="16">
        <f t="shared" si="15"/>
        <v>858.68495504703833</v>
      </c>
      <c r="I27" s="16">
        <f t="shared" si="15"/>
        <v>2011.1228767867749</v>
      </c>
      <c r="J27" s="16">
        <f t="shared" si="15"/>
        <v>932.17877309831647</v>
      </c>
      <c r="K27" s="16">
        <f t="shared" si="15"/>
        <v>2014.3129911285432</v>
      </c>
      <c r="L27" s="395">
        <f>SUM(F27:K27)</f>
        <v>20124.481605575605</v>
      </c>
      <c r="M27" s="16">
        <f>L27-O22</f>
        <v>-9132.7709610497332</v>
      </c>
      <c r="N27" s="16"/>
      <c r="O27" s="16"/>
      <c r="R27" s="800"/>
    </row>
    <row r="28" spans="1:18" x14ac:dyDescent="0.25">
      <c r="A28" s="244">
        <v>9257025</v>
      </c>
      <c r="B28" t="str">
        <f t="shared" si="12"/>
        <v>9257025d</v>
      </c>
      <c r="C28" s="289" t="s">
        <v>1068</v>
      </c>
      <c r="D28" s="289" t="s">
        <v>1014</v>
      </c>
      <c r="F28" s="16">
        <f t="shared" ref="F28:K28" si="16">IF(F27&gt;0,(F27/F25),(0))</f>
        <v>437.03203156255631</v>
      </c>
      <c r="G28" s="16">
        <f t="shared" si="16"/>
        <v>425.28969713751985</v>
      </c>
      <c r="H28" s="16">
        <f t="shared" si="16"/>
        <v>284.38168403708369</v>
      </c>
      <c r="I28" s="16">
        <f t="shared" si="16"/>
        <v>231.54117912442052</v>
      </c>
      <c r="J28" s="16">
        <f t="shared" si="16"/>
        <v>231.54117912442052</v>
      </c>
      <c r="K28" s="16">
        <f t="shared" si="16"/>
        <v>260.89701518701077</v>
      </c>
      <c r="L28" s="16"/>
      <c r="M28" s="16"/>
      <c r="N28" s="16"/>
      <c r="O28" s="16"/>
      <c r="R28" s="800"/>
    </row>
    <row r="29" spans="1:18" ht="13" x14ac:dyDescent="0.3">
      <c r="A29" s="244"/>
      <c r="C29" s="184" t="s">
        <v>1069</v>
      </c>
      <c r="D29" s="184" t="s">
        <v>1070</v>
      </c>
      <c r="E29" s="799">
        <f>SUM(F29:K29)</f>
        <v>56.761890136890145</v>
      </c>
      <c r="F29" s="799">
        <f>IF(F22&lt;F23,F22,F23)</f>
        <v>12.077922077922077</v>
      </c>
      <c r="G29" s="799">
        <f t="shared" ref="G29:K29" si="17">IF(G22&lt;G23,G22,G23)</f>
        <v>21.231981981981988</v>
      </c>
      <c r="H29" s="799">
        <f t="shared" si="17"/>
        <v>3.0194805194805192</v>
      </c>
      <c r="I29" s="799">
        <f t="shared" si="17"/>
        <v>8.6858108108108141</v>
      </c>
      <c r="J29" s="799">
        <f t="shared" si="17"/>
        <v>4.0259740259740262</v>
      </c>
      <c r="K29" s="799">
        <f t="shared" si="17"/>
        <v>7.7207207207207231</v>
      </c>
      <c r="L29" s="799">
        <v>0</v>
      </c>
      <c r="M29" s="16"/>
      <c r="N29" s="16"/>
      <c r="O29" s="16"/>
      <c r="R29" s="800"/>
    </row>
    <row r="30" spans="1:18" x14ac:dyDescent="0.25">
      <c r="A30" s="1262"/>
      <c r="B30" s="829" t="s">
        <v>210</v>
      </c>
      <c r="C30" s="463"/>
      <c r="D30" s="463"/>
      <c r="E30" s="464"/>
      <c r="F30" s="464"/>
      <c r="G30" s="464"/>
      <c r="H30" s="464"/>
      <c r="I30" s="464"/>
      <c r="J30" s="464"/>
      <c r="K30" s="464"/>
      <c r="L30" s="464"/>
      <c r="M30" s="464"/>
      <c r="N30" s="464"/>
      <c r="O30" s="464"/>
      <c r="P30" s="464"/>
      <c r="Q30" s="464"/>
    </row>
    <row r="31" spans="1:18" x14ac:dyDescent="0.25">
      <c r="A31" s="244">
        <v>9257011</v>
      </c>
      <c r="B31" t="str">
        <f>CONCATENATE(A31,C31)</f>
        <v>92570112020/21</v>
      </c>
      <c r="C31" t="s">
        <v>947</v>
      </c>
      <c r="D31" s="289" t="s">
        <v>1009</v>
      </c>
      <c r="E31" s="122">
        <f>'202021 MFG Protection'!E30</f>
        <v>0</v>
      </c>
      <c r="F31" s="122">
        <f>'202021 MFG Protection'!F30</f>
        <v>0</v>
      </c>
      <c r="G31" s="122">
        <f>'202021 MFG Protection'!G30</f>
        <v>0</v>
      </c>
      <c r="H31" s="122">
        <f>'202021 MFG Protection'!H30</f>
        <v>0</v>
      </c>
      <c r="I31" s="122">
        <f>'202021 MFG Protection'!I30</f>
        <v>0</v>
      </c>
      <c r="J31" s="122">
        <f>'202021 MFG Protection'!J30</f>
        <v>0</v>
      </c>
      <c r="K31" s="122">
        <f>'202021 MFG Protection'!K30</f>
        <v>0</v>
      </c>
      <c r="L31" s="122">
        <f>'202021 MFG Protection'!L30</f>
        <v>0</v>
      </c>
      <c r="N31" s="16">
        <f>'202021 MFG Protection'!N25</f>
        <v>-1218.8814552167642</v>
      </c>
      <c r="O31" s="16">
        <f>VLOOKUP(A31,'2021 Funding Detail'!$A$4:$W$23,23,(FALSE))</f>
        <v>0</v>
      </c>
      <c r="P31" s="16"/>
      <c r="R31" s="800"/>
    </row>
    <row r="32" spans="1:18" x14ac:dyDescent="0.25">
      <c r="A32" s="244">
        <v>9257011</v>
      </c>
      <c r="B32" t="str">
        <f>CONCATENATE(A32,C32)</f>
        <v>92570112021/22</v>
      </c>
      <c r="C32" t="s">
        <v>958</v>
      </c>
      <c r="D32" t="str">
        <f>CONCATENATE(A32,C32)</f>
        <v>92570112021/22</v>
      </c>
      <c r="E32" s="122">
        <f>VLOOKUP(A32,'2122 Funding Detail'!$A$4:$M$21,13,(FALSE))</f>
        <v>58</v>
      </c>
      <c r="F32" s="460">
        <f>$E$32*'2122 Band Calculations'!D9</f>
        <v>3.2830188679245285</v>
      </c>
      <c r="G32" s="460">
        <f>$E$32*'2122 Band Calculations'!E9</f>
        <v>20.79245283018868</v>
      </c>
      <c r="H32" s="460">
        <f>$E$32*'2122 Band Calculations'!F9</f>
        <v>1.0943396226415094</v>
      </c>
      <c r="I32" s="460">
        <f>$E$32*'2122 Band Calculations'!G9</f>
        <v>9.8490566037735849</v>
      </c>
      <c r="J32" s="460">
        <f>$E$32*'2122 Band Calculations'!H9</f>
        <v>7.6603773584905657</v>
      </c>
      <c r="K32" s="460">
        <f>$E$32*'2122 Band Calculations'!I9</f>
        <v>8.7547169811320753</v>
      </c>
      <c r="L32" s="460">
        <f>$E$32*'2122 Band Calculations'!J9</f>
        <v>6.5660377358490569</v>
      </c>
      <c r="N32" s="16">
        <f>IF(N31&gt;0,(N31),(0))</f>
        <v>0</v>
      </c>
      <c r="O32" s="16"/>
      <c r="P32" s="16"/>
      <c r="R32" s="800"/>
    </row>
    <row r="33" spans="1:18" x14ac:dyDescent="0.25">
      <c r="A33" s="244">
        <v>9257011</v>
      </c>
      <c r="B33" t="str">
        <f t="shared" ref="B33:B37" si="18">CONCATENATE(A33,C33)</f>
        <v>9257011</v>
      </c>
      <c r="F33" s="461">
        <f t="shared" ref="F33:K33" si="19">F32-F31</f>
        <v>3.2830188679245285</v>
      </c>
      <c r="G33" s="461">
        <f t="shared" si="19"/>
        <v>20.79245283018868</v>
      </c>
      <c r="H33" s="461">
        <f t="shared" si="19"/>
        <v>1.0943396226415094</v>
      </c>
      <c r="I33" s="461">
        <f t="shared" si="19"/>
        <v>9.8490566037735849</v>
      </c>
      <c r="J33" s="461">
        <f t="shared" si="19"/>
        <v>7.6603773584905657</v>
      </c>
      <c r="K33" s="461">
        <f t="shared" si="19"/>
        <v>8.7547169811320753</v>
      </c>
      <c r="L33" s="460"/>
      <c r="N33" s="16"/>
      <c r="O33" s="16"/>
      <c r="P33" s="16"/>
      <c r="R33" s="800"/>
    </row>
    <row r="34" spans="1:18" x14ac:dyDescent="0.25">
      <c r="A34" s="244">
        <v>9257011</v>
      </c>
      <c r="B34" t="str">
        <f t="shared" si="18"/>
        <v>9257011a</v>
      </c>
      <c r="C34" s="289" t="s">
        <v>1012</v>
      </c>
      <c r="D34" s="289" t="s">
        <v>1009</v>
      </c>
      <c r="F34" s="460">
        <f>IF(F31&gt;F32,(F32),(F31))</f>
        <v>0</v>
      </c>
      <c r="G34" s="460">
        <f t="shared" ref="G34:K34" si="20">IF(G31&gt;G32,(G32),(G31))</f>
        <v>0</v>
      </c>
      <c r="H34" s="460">
        <f t="shared" si="20"/>
        <v>0</v>
      </c>
      <c r="I34" s="460">
        <f t="shared" si="20"/>
        <v>0</v>
      </c>
      <c r="J34" s="460">
        <f t="shared" si="20"/>
        <v>0</v>
      </c>
      <c r="K34" s="460">
        <f t="shared" si="20"/>
        <v>0</v>
      </c>
      <c r="L34" s="122"/>
      <c r="M34" s="16"/>
      <c r="N34" s="16"/>
      <c r="O34" s="16"/>
      <c r="P34" s="16"/>
      <c r="R34" s="800"/>
    </row>
    <row r="35" spans="1:18" x14ac:dyDescent="0.25">
      <c r="A35" s="244">
        <v>9257011</v>
      </c>
      <c r="B35" t="str">
        <f t="shared" si="18"/>
        <v>9257011b</v>
      </c>
      <c r="C35" s="289" t="s">
        <v>1016</v>
      </c>
      <c r="D35" s="289" t="s">
        <v>1017</v>
      </c>
      <c r="F35" s="16">
        <f>VLOOKUP($F$3,'2122 Band Values'!$A$5:$AU$24,47,(FALSE))</f>
        <v>58.711672125181849</v>
      </c>
      <c r="G35" s="16">
        <f>VLOOKUP($G$3,'2122 Band Values'!$A$5:$AU$24,47,(FALSE))</f>
        <v>70.45400655021831</v>
      </c>
      <c r="H35" s="16">
        <f>VLOOKUP($H$3,'2122 Band Values'!$A$5:$AU$24,47,(FALSE))</f>
        <v>211.36201965065447</v>
      </c>
      <c r="I35" s="16">
        <f>VLOOKUP($I$3,'2122 Band Values'!$A$5:$AU$24,47,(FALSE))</f>
        <v>264.20252456331764</v>
      </c>
      <c r="J35" s="16">
        <f>VLOOKUP($J$3,'2122 Band Values'!$A$5:$AU$24,47,(FALSE))</f>
        <v>264.20252456331764</v>
      </c>
      <c r="K35" s="16">
        <f>VLOOKUP($K$3,'2122 Band Values'!$A$5:$AU$24,47,(FALSE))</f>
        <v>234.8466885007274</v>
      </c>
      <c r="L35" s="122"/>
      <c r="M35" s="16"/>
      <c r="R35" s="800"/>
    </row>
    <row r="36" spans="1:18" x14ac:dyDescent="0.25">
      <c r="A36" s="244">
        <v>9257011</v>
      </c>
      <c r="B36" t="str">
        <f>CONCATENATE(A36,C36)</f>
        <v>9257011c</v>
      </c>
      <c r="C36" s="289" t="s">
        <v>1020</v>
      </c>
      <c r="D36" s="289" t="s">
        <v>697</v>
      </c>
      <c r="F36" s="16">
        <f t="shared" ref="F36:K36" si="21">IF(F35&gt;$N$32,(0*F34),(($N$32-F35)*F34))</f>
        <v>0</v>
      </c>
      <c r="G36" s="16">
        <f t="shared" si="21"/>
        <v>0</v>
      </c>
      <c r="H36" s="16">
        <f t="shared" si="21"/>
        <v>0</v>
      </c>
      <c r="I36" s="16">
        <f t="shared" si="21"/>
        <v>0</v>
      </c>
      <c r="J36" s="16">
        <f t="shared" si="21"/>
        <v>0</v>
      </c>
      <c r="K36" s="16">
        <f t="shared" si="21"/>
        <v>0</v>
      </c>
      <c r="L36" s="395">
        <f>SUM(F36:K36)</f>
        <v>0</v>
      </c>
      <c r="M36" s="16">
        <f>L36-O31</f>
        <v>0</v>
      </c>
      <c r="R36" s="800"/>
    </row>
    <row r="37" spans="1:18" x14ac:dyDescent="0.25">
      <c r="A37" s="244">
        <v>9257011</v>
      </c>
      <c r="B37" t="str">
        <f t="shared" si="18"/>
        <v>9257011d</v>
      </c>
      <c r="C37" s="289" t="s">
        <v>1068</v>
      </c>
      <c r="D37" s="289" t="s">
        <v>1014</v>
      </c>
      <c r="F37" s="16">
        <f t="shared" ref="F37:K37" si="22">IF(F36&gt;0,(F36/F34),(0))</f>
        <v>0</v>
      </c>
      <c r="G37" s="16">
        <f t="shared" si="22"/>
        <v>0</v>
      </c>
      <c r="H37" s="16">
        <f t="shared" si="22"/>
        <v>0</v>
      </c>
      <c r="I37" s="16">
        <f t="shared" si="22"/>
        <v>0</v>
      </c>
      <c r="J37" s="16">
        <f t="shared" si="22"/>
        <v>0</v>
      </c>
      <c r="K37" s="16">
        <f t="shared" si="22"/>
        <v>0</v>
      </c>
      <c r="L37" s="16"/>
      <c r="M37" s="16"/>
      <c r="R37" s="800"/>
    </row>
    <row r="38" spans="1:18" ht="13" x14ac:dyDescent="0.3">
      <c r="A38" s="249"/>
      <c r="C38" s="184" t="s">
        <v>1069</v>
      </c>
      <c r="D38" s="184" t="s">
        <v>1070</v>
      </c>
      <c r="E38" s="799">
        <f>SUM(F38:K38)</f>
        <v>0</v>
      </c>
      <c r="F38" s="799">
        <f>IF(F31&lt;F32,F31,F32)</f>
        <v>0</v>
      </c>
      <c r="G38" s="799">
        <f t="shared" ref="G38:K38" si="23">IF(G31&lt;G32,G31,G32)</f>
        <v>0</v>
      </c>
      <c r="H38" s="799">
        <f t="shared" si="23"/>
        <v>0</v>
      </c>
      <c r="I38" s="799">
        <f t="shared" si="23"/>
        <v>0</v>
      </c>
      <c r="J38" s="799">
        <f t="shared" si="23"/>
        <v>0</v>
      </c>
      <c r="K38" s="799">
        <f t="shared" si="23"/>
        <v>0</v>
      </c>
      <c r="L38" s="799">
        <v>0</v>
      </c>
      <c r="M38" s="16"/>
      <c r="R38" s="800"/>
    </row>
    <row r="39" spans="1:18" x14ac:dyDescent="0.25">
      <c r="A39" s="463"/>
      <c r="B39" s="463" t="s">
        <v>211</v>
      </c>
      <c r="C39" s="463"/>
      <c r="D39" s="463"/>
      <c r="E39" s="464"/>
      <c r="F39" s="465"/>
      <c r="G39" s="465"/>
      <c r="H39" s="465"/>
      <c r="I39" s="465"/>
      <c r="J39" s="465"/>
      <c r="K39" s="465"/>
      <c r="L39" s="465"/>
      <c r="M39" s="465"/>
      <c r="N39" s="464"/>
      <c r="O39" s="464"/>
      <c r="P39" s="464"/>
      <c r="Q39" s="464"/>
    </row>
    <row r="40" spans="1:18" x14ac:dyDescent="0.25">
      <c r="A40" s="244">
        <v>9257024</v>
      </c>
      <c r="B40" t="str">
        <f>CONCATENATE(A40,C40)</f>
        <v>92570242020/21</v>
      </c>
      <c r="C40" t="s">
        <v>947</v>
      </c>
      <c r="D40" s="289" t="s">
        <v>1009</v>
      </c>
      <c r="E40" s="122">
        <f>'202021 MFG Protection'!E37</f>
        <v>70.315946713684014</v>
      </c>
      <c r="F40" s="122">
        <f>'202021 MFG Protection'!F37</f>
        <v>8.8993902439024399</v>
      </c>
      <c r="G40" s="122">
        <f>'202021 MFG Protection'!G37</f>
        <v>33.619918699186996</v>
      </c>
      <c r="H40" s="122">
        <f>'202021 MFG Protection'!H37</f>
        <v>1.9776422764227646</v>
      </c>
      <c r="I40" s="122">
        <f>'202021 MFG Protection'!I37</f>
        <v>10.877032520325205</v>
      </c>
      <c r="J40" s="122">
        <f>'202021 MFG Protection'!J37</f>
        <v>9.009036144578312</v>
      </c>
      <c r="K40" s="122">
        <f>'202021 MFG Protection'!K37</f>
        <v>5.9329268292682933</v>
      </c>
      <c r="L40" s="122">
        <f>'202021 MFG Protection'!L37</f>
        <v>0</v>
      </c>
      <c r="N40" s="16">
        <f>'202021 MFG Protection'!N32</f>
        <v>466.30584593383537</v>
      </c>
      <c r="O40" s="16">
        <f>VLOOKUP(A40,'2021 Funding Detail'!$A$4:$W$23,23,(FALSE))</f>
        <v>32788.737014962913</v>
      </c>
      <c r="R40" s="800"/>
    </row>
    <row r="41" spans="1:18" x14ac:dyDescent="0.25">
      <c r="A41" s="244">
        <v>9257024</v>
      </c>
      <c r="B41" t="str">
        <f>CONCATENATE(A41,C41)</f>
        <v>92570242021/22</v>
      </c>
      <c r="C41" t="s">
        <v>958</v>
      </c>
      <c r="D41" t="str">
        <f>CONCATENATE(A41,C41)</f>
        <v>92570242021/22</v>
      </c>
      <c r="E41" s="122">
        <f>VLOOKUP(A41,'2122 Funding Detail'!$A$4:$M$21,13,(FALSE))</f>
        <v>83.916666666666686</v>
      </c>
      <c r="F41" s="469">
        <f>$E$41*'2122 Band Calculations'!D10</f>
        <v>7.0773092369477926</v>
      </c>
      <c r="G41" s="469">
        <f>$E$41*'2122 Band Calculations'!E10</f>
        <v>38.419678714859444</v>
      </c>
      <c r="H41" s="469">
        <f>$E$41*'2122 Band Calculations'!F10</f>
        <v>1.0110441767068277</v>
      </c>
      <c r="I41" s="469">
        <f>$E$41*'2122 Band Calculations'!G10</f>
        <v>15.165662650602412</v>
      </c>
      <c r="J41" s="469">
        <f>$E$41*'2122 Band Calculations'!H10</f>
        <v>7.0773092369477926</v>
      </c>
      <c r="K41" s="469">
        <f>$E$41*'2122 Band Calculations'!I10</f>
        <v>6.0662650602409647</v>
      </c>
      <c r="L41" s="469">
        <f>$E$41*'2122 Band Calculations'!J10</f>
        <v>9.0993975903614484</v>
      </c>
      <c r="N41" s="16">
        <f>IF(N40&gt;0,(N40),(0))</f>
        <v>466.30584593383537</v>
      </c>
      <c r="R41" s="800"/>
    </row>
    <row r="42" spans="1:18" x14ac:dyDescent="0.25">
      <c r="A42" s="244">
        <v>9257024</v>
      </c>
      <c r="B42" t="str">
        <f t="shared" ref="B42:B46" si="24">CONCATENATE(A42,C42)</f>
        <v>9257024</v>
      </c>
      <c r="F42" s="461">
        <f t="shared" ref="F42:K42" si="25">F41-F40</f>
        <v>-1.8220810069546474</v>
      </c>
      <c r="G42" s="461">
        <f t="shared" si="25"/>
        <v>4.7997600156724474</v>
      </c>
      <c r="H42" s="461">
        <f t="shared" si="25"/>
        <v>-0.96659809971593691</v>
      </c>
      <c r="I42" s="461">
        <f t="shared" si="25"/>
        <v>4.2886301302772072</v>
      </c>
      <c r="J42" s="461">
        <f t="shared" si="25"/>
        <v>-1.9317269076305195</v>
      </c>
      <c r="K42" s="461">
        <f t="shared" si="25"/>
        <v>0.13333823097267139</v>
      </c>
      <c r="R42" s="800"/>
    </row>
    <row r="43" spans="1:18" x14ac:dyDescent="0.25">
      <c r="A43" s="244">
        <v>9257024</v>
      </c>
      <c r="B43" t="str">
        <f t="shared" si="24"/>
        <v>9257024a</v>
      </c>
      <c r="C43" s="289" t="s">
        <v>1012</v>
      </c>
      <c r="D43" s="289" t="s">
        <v>1009</v>
      </c>
      <c r="F43" s="460">
        <f t="shared" ref="F43:K43" si="26">IF(F40&gt;F41,(F41),(F40))</f>
        <v>7.0773092369477926</v>
      </c>
      <c r="G43" s="460">
        <f t="shared" si="26"/>
        <v>33.619918699186996</v>
      </c>
      <c r="H43" s="460">
        <f t="shared" si="26"/>
        <v>1.0110441767068277</v>
      </c>
      <c r="I43" s="460">
        <f t="shared" si="26"/>
        <v>10.877032520325205</v>
      </c>
      <c r="J43" s="460">
        <f t="shared" si="26"/>
        <v>7.0773092369477926</v>
      </c>
      <c r="K43" s="460">
        <f t="shared" si="26"/>
        <v>5.9329268292682933</v>
      </c>
      <c r="L43" s="122"/>
      <c r="M43" s="16"/>
      <c r="O43" s="16"/>
      <c r="P43" s="16"/>
      <c r="R43" s="800"/>
    </row>
    <row r="44" spans="1:18" x14ac:dyDescent="0.25">
      <c r="A44" s="244">
        <v>9257024</v>
      </c>
      <c r="B44" t="str">
        <f t="shared" si="24"/>
        <v>9257024b</v>
      </c>
      <c r="C44" s="289" t="s">
        <v>1016</v>
      </c>
      <c r="D44" s="289" t="s">
        <v>1017</v>
      </c>
      <c r="F44" s="16">
        <f>VLOOKUP($F$3,'2122 Band Values'!$A$5:$AU$24,47,(FALSE))</f>
        <v>58.711672125181849</v>
      </c>
      <c r="G44" s="16">
        <f>VLOOKUP($G$3,'2122 Band Values'!$A$5:$AU$24,47,(FALSE))</f>
        <v>70.45400655021831</v>
      </c>
      <c r="H44" s="16">
        <f>VLOOKUP($H$3,'2122 Band Values'!$A$5:$AU$24,47,(FALSE))</f>
        <v>211.36201965065447</v>
      </c>
      <c r="I44" s="16">
        <f>VLOOKUP($I$3,'2122 Band Values'!$A$5:$AU$24,47,(FALSE))</f>
        <v>264.20252456331764</v>
      </c>
      <c r="J44" s="16">
        <f>VLOOKUP($J$3,'2122 Band Values'!$A$5:$AU$24,47,(FALSE))</f>
        <v>264.20252456331764</v>
      </c>
      <c r="K44" s="16">
        <f>VLOOKUP($K$3,'2122 Band Values'!$A$5:$AU$24,47,(FALSE))</f>
        <v>234.8466885007274</v>
      </c>
      <c r="L44" s="122"/>
      <c r="M44" s="16"/>
      <c r="R44" s="800"/>
    </row>
    <row r="45" spans="1:18" x14ac:dyDescent="0.25">
      <c r="A45" s="244">
        <v>9257024</v>
      </c>
      <c r="B45" t="str">
        <f>CONCATENATE(A45,C45)</f>
        <v>9257024c</v>
      </c>
      <c r="C45" s="289" t="s">
        <v>1020</v>
      </c>
      <c r="D45" s="289" t="s">
        <v>697</v>
      </c>
      <c r="F45" s="16">
        <f t="shared" ref="F45:K45" si="27">IF(F44&gt;$N$41,(0*F43),(($N$41-F44)*F43))</f>
        <v>2884.6700112220874</v>
      </c>
      <c r="G45" s="16">
        <f t="shared" si="27"/>
        <v>13308.506657000835</v>
      </c>
      <c r="H45" s="16">
        <f t="shared" si="27"/>
        <v>257.75947095096711</v>
      </c>
      <c r="I45" s="16">
        <f t="shared" si="27"/>
        <v>2198.2843990128572</v>
      </c>
      <c r="J45" s="16">
        <f t="shared" si="27"/>
        <v>1430.3477031533935</v>
      </c>
      <c r="K45" s="16">
        <f t="shared" si="27"/>
        <v>1373.2302450147199</v>
      </c>
      <c r="L45" s="395">
        <f>SUM(F45:K45)</f>
        <v>21452.798486354863</v>
      </c>
      <c r="M45" s="16">
        <f>L45-O40</f>
        <v>-11335.938528608051</v>
      </c>
      <c r="R45" s="800"/>
    </row>
    <row r="46" spans="1:18" x14ac:dyDescent="0.25">
      <c r="A46" s="244">
        <v>9257024</v>
      </c>
      <c r="B46" t="str">
        <f t="shared" si="24"/>
        <v>9257024d</v>
      </c>
      <c r="C46" s="289" t="s">
        <v>1068</v>
      </c>
      <c r="D46" s="289" t="s">
        <v>1014</v>
      </c>
      <c r="F46" s="16">
        <f t="shared" ref="F46:K46" si="28">IF(F45&gt;0,(F45/F43),(0))</f>
        <v>407.59417380865347</v>
      </c>
      <c r="G46" s="16">
        <f t="shared" si="28"/>
        <v>395.85183938361706</v>
      </c>
      <c r="H46" s="16">
        <f t="shared" si="28"/>
        <v>254.9438262831809</v>
      </c>
      <c r="I46" s="16">
        <f t="shared" si="28"/>
        <v>202.1033213705177</v>
      </c>
      <c r="J46" s="16">
        <f t="shared" si="28"/>
        <v>202.10332137051776</v>
      </c>
      <c r="K46" s="16">
        <f t="shared" si="28"/>
        <v>231.45915743310795</v>
      </c>
      <c r="L46" s="16"/>
      <c r="M46" s="16"/>
      <c r="R46" s="800"/>
    </row>
    <row r="47" spans="1:18" ht="13" x14ac:dyDescent="0.3">
      <c r="A47" s="249"/>
      <c r="C47" s="184" t="s">
        <v>1069</v>
      </c>
      <c r="D47" s="184" t="s">
        <v>1070</v>
      </c>
      <c r="E47" s="799">
        <f>SUM(F47:K47)</f>
        <v>65.595540699382894</v>
      </c>
      <c r="F47" s="799">
        <f>IF(F40&lt;F41,F40,F41)</f>
        <v>7.0773092369477926</v>
      </c>
      <c r="G47" s="799">
        <f t="shared" ref="G47:K47" si="29">IF(G40&lt;G41,G40,G41)</f>
        <v>33.619918699186996</v>
      </c>
      <c r="H47" s="799">
        <f t="shared" si="29"/>
        <v>1.0110441767068277</v>
      </c>
      <c r="I47" s="799">
        <f t="shared" si="29"/>
        <v>10.877032520325205</v>
      </c>
      <c r="J47" s="799">
        <f t="shared" si="29"/>
        <v>7.0773092369477926</v>
      </c>
      <c r="K47" s="799">
        <f t="shared" si="29"/>
        <v>5.9329268292682933</v>
      </c>
      <c r="L47" s="799">
        <v>0</v>
      </c>
      <c r="M47" s="16"/>
      <c r="R47" s="800"/>
    </row>
    <row r="48" spans="1:18" x14ac:dyDescent="0.25">
      <c r="A48" s="463"/>
      <c r="B48" s="463" t="s">
        <v>257</v>
      </c>
      <c r="C48" s="463"/>
      <c r="D48" s="463"/>
      <c r="E48" s="464"/>
      <c r="F48" s="465"/>
      <c r="G48" s="465"/>
      <c r="H48" s="465"/>
      <c r="I48" s="465"/>
      <c r="J48" s="465"/>
      <c r="K48" s="465"/>
      <c r="L48" s="465"/>
      <c r="M48" s="465"/>
      <c r="N48" s="464"/>
      <c r="O48" s="464"/>
      <c r="P48" s="464"/>
      <c r="Q48" s="464"/>
    </row>
    <row r="49" spans="1:18" x14ac:dyDescent="0.25">
      <c r="A49" s="244">
        <v>9257031</v>
      </c>
      <c r="B49" t="str">
        <f>CONCATENATE(A49,C49)</f>
        <v>92570312020/21</v>
      </c>
      <c r="C49" t="s">
        <v>947</v>
      </c>
      <c r="D49" s="289" t="s">
        <v>1009</v>
      </c>
      <c r="E49" s="122">
        <f>'202021 MFG Protection'!E44</f>
        <v>73.75</v>
      </c>
      <c r="F49" s="122">
        <f>'202021 MFG Protection'!F44</f>
        <v>0</v>
      </c>
      <c r="G49" s="122">
        <f>'202021 MFG Protection'!G44</f>
        <v>0</v>
      </c>
      <c r="H49" s="122">
        <f>'202021 MFG Protection'!H44</f>
        <v>73.75</v>
      </c>
      <c r="I49" s="122">
        <f>'202021 MFG Protection'!I44</f>
        <v>0</v>
      </c>
      <c r="J49" s="122">
        <f>'202021 MFG Protection'!J44</f>
        <v>0</v>
      </c>
      <c r="K49" s="122">
        <f>'202021 MFG Protection'!K44</f>
        <v>0</v>
      </c>
      <c r="L49" s="122">
        <f>'202021 MFG Protection'!L44</f>
        <v>0</v>
      </c>
      <c r="N49" s="16">
        <f>'202021 MFG Protection'!N39</f>
        <v>452.71438584919269</v>
      </c>
      <c r="O49" s="16">
        <f>VLOOKUP(A49,'2021 Funding Detail'!$A$4:$W$23,23,(FALSE))</f>
        <v>33387.685956377958</v>
      </c>
      <c r="R49" s="800"/>
    </row>
    <row r="50" spans="1:18" x14ac:dyDescent="0.25">
      <c r="A50" s="244">
        <v>9257031</v>
      </c>
      <c r="B50" t="str">
        <f>CONCATENATE(A50,C50)</f>
        <v>92570312021/22</v>
      </c>
      <c r="C50" t="s">
        <v>958</v>
      </c>
      <c r="D50" t="str">
        <f>CONCATENATE(A50,C50)</f>
        <v>92570312021/22</v>
      </c>
      <c r="E50" s="122">
        <f>VLOOKUP(A50,'2122 Funding Detail'!$A$4:$M$21,13,(FALSE))</f>
        <v>80.583333333333343</v>
      </c>
      <c r="F50" s="460">
        <f>$E$50*'2122 Band Calculations'!D33</f>
        <v>0</v>
      </c>
      <c r="G50" s="460">
        <f>$E$50*'2122 Band Calculations'!E33</f>
        <v>0</v>
      </c>
      <c r="H50" s="460">
        <f>$E$50*'2122 Band Calculations'!F33</f>
        <v>80.583333333333343</v>
      </c>
      <c r="I50" s="460">
        <f>$E$50*'2122 Band Calculations'!G33</f>
        <v>0</v>
      </c>
      <c r="J50" s="460">
        <f>$E$50*'2122 Band Calculations'!H33</f>
        <v>0</v>
      </c>
      <c r="K50" s="460">
        <f>$E$50*'2122 Band Calculations'!I33</f>
        <v>0</v>
      </c>
      <c r="L50" s="460">
        <f>$E$50*'2122 Band Calculations'!J33</f>
        <v>0</v>
      </c>
      <c r="N50" s="16">
        <f>IF(N49&gt;0,(N49),(0))</f>
        <v>452.71438584919269</v>
      </c>
      <c r="R50" s="800"/>
    </row>
    <row r="51" spans="1:18" x14ac:dyDescent="0.25">
      <c r="A51" s="244">
        <v>9257031</v>
      </c>
      <c r="B51" t="str">
        <f t="shared" ref="B51:B55" si="30">CONCATENATE(A51,C51)</f>
        <v>9257031</v>
      </c>
      <c r="F51" s="461">
        <f t="shared" ref="F51:K51" si="31">F50-F49</f>
        <v>0</v>
      </c>
      <c r="G51" s="461">
        <f t="shared" si="31"/>
        <v>0</v>
      </c>
      <c r="H51" s="461">
        <f t="shared" si="31"/>
        <v>6.8333333333333428</v>
      </c>
      <c r="I51" s="461">
        <f t="shared" si="31"/>
        <v>0</v>
      </c>
      <c r="J51" s="461">
        <f t="shared" si="31"/>
        <v>0</v>
      </c>
      <c r="K51" s="461">
        <f t="shared" si="31"/>
        <v>0</v>
      </c>
      <c r="R51" s="800"/>
    </row>
    <row r="52" spans="1:18" x14ac:dyDescent="0.25">
      <c r="A52" s="244">
        <v>9257031</v>
      </c>
      <c r="B52" t="str">
        <f t="shared" si="30"/>
        <v>9257031a</v>
      </c>
      <c r="C52" s="289" t="s">
        <v>1012</v>
      </c>
      <c r="D52" s="289" t="s">
        <v>1009</v>
      </c>
      <c r="F52" s="460">
        <f t="shared" ref="F52:K52" si="32">IF(F49&gt;F50,(F50),(F49))</f>
        <v>0</v>
      </c>
      <c r="G52" s="460">
        <f t="shared" si="32"/>
        <v>0</v>
      </c>
      <c r="H52" s="460">
        <f t="shared" si="32"/>
        <v>73.75</v>
      </c>
      <c r="I52" s="460">
        <f t="shared" si="32"/>
        <v>0</v>
      </c>
      <c r="J52" s="460">
        <f t="shared" si="32"/>
        <v>0</v>
      </c>
      <c r="K52" s="460">
        <f t="shared" si="32"/>
        <v>0</v>
      </c>
      <c r="L52" s="122"/>
      <c r="M52" s="16"/>
      <c r="O52" s="16"/>
      <c r="P52" s="16"/>
      <c r="R52" s="800"/>
    </row>
    <row r="53" spans="1:18" x14ac:dyDescent="0.25">
      <c r="A53" s="244">
        <v>9257031</v>
      </c>
      <c r="B53" t="str">
        <f t="shared" si="30"/>
        <v>9257031b</v>
      </c>
      <c r="C53" s="289" t="s">
        <v>1016</v>
      </c>
      <c r="D53" s="289" t="s">
        <v>1017</v>
      </c>
      <c r="F53" s="16">
        <f>VLOOKUP($F$3,'2122 Band Values'!$A$5:$AU$24,47,(FALSE))</f>
        <v>58.711672125181849</v>
      </c>
      <c r="G53" s="16">
        <f>VLOOKUP($G$3,'2122 Band Values'!$A$5:$AU$24,47,(FALSE))</f>
        <v>70.45400655021831</v>
      </c>
      <c r="H53" s="16">
        <f>VLOOKUP($H$3,'2122 Band Values'!$A$5:$AU$24,47,(FALSE))</f>
        <v>211.36201965065447</v>
      </c>
      <c r="I53" s="16">
        <f>VLOOKUP($I$3,'2122 Band Values'!$A$5:$AU$24,47,(FALSE))</f>
        <v>264.20252456331764</v>
      </c>
      <c r="J53" s="16">
        <f>VLOOKUP($J$3,'2122 Band Values'!$A$5:$AU$24,47,(FALSE))</f>
        <v>264.20252456331764</v>
      </c>
      <c r="K53" s="16">
        <f>VLOOKUP($K$3,'2122 Band Values'!$A$5:$AU$24,47,(FALSE))</f>
        <v>234.8466885007274</v>
      </c>
      <c r="L53" s="122"/>
      <c r="M53" s="16"/>
      <c r="R53" s="800"/>
    </row>
    <row r="54" spans="1:18" x14ac:dyDescent="0.25">
      <c r="A54" s="244">
        <v>9257031</v>
      </c>
      <c r="B54" t="str">
        <f>CONCATENATE(A54,C54)</f>
        <v>9257031c</v>
      </c>
      <c r="C54" s="289" t="s">
        <v>1020</v>
      </c>
      <c r="D54" s="289" t="s">
        <v>697</v>
      </c>
      <c r="F54" s="16">
        <f t="shared" ref="F54:K54" si="33">IF(F53&gt;$N$50,(0*F52),(($N$50-F53)*F52))</f>
        <v>0</v>
      </c>
      <c r="G54" s="16">
        <f t="shared" si="33"/>
        <v>0</v>
      </c>
      <c r="H54" s="16">
        <f t="shared" si="33"/>
        <v>17799.737007142194</v>
      </c>
      <c r="I54" s="16">
        <f t="shared" si="33"/>
        <v>0</v>
      </c>
      <c r="J54" s="16">
        <f t="shared" si="33"/>
        <v>0</v>
      </c>
      <c r="K54" s="16">
        <f t="shared" si="33"/>
        <v>0</v>
      </c>
      <c r="L54" s="395">
        <f>SUM(F54:K54)</f>
        <v>17799.737007142194</v>
      </c>
      <c r="M54" s="16">
        <f>L54-O49</f>
        <v>-15587.948949235764</v>
      </c>
      <c r="R54" s="800"/>
    </row>
    <row r="55" spans="1:18" x14ac:dyDescent="0.25">
      <c r="A55" s="244">
        <v>9257031</v>
      </c>
      <c r="B55" t="str">
        <f t="shared" si="30"/>
        <v>9257031d</v>
      </c>
      <c r="C55" s="289" t="s">
        <v>1068</v>
      </c>
      <c r="D55" s="289" t="s">
        <v>1014</v>
      </c>
      <c r="F55" s="16">
        <f t="shared" ref="F55:K55" si="34">IF(F54&gt;0,(F54/F52),(0))</f>
        <v>0</v>
      </c>
      <c r="G55" s="16">
        <f t="shared" si="34"/>
        <v>0</v>
      </c>
      <c r="H55" s="16">
        <f t="shared" si="34"/>
        <v>241.35236619853822</v>
      </c>
      <c r="I55" s="16">
        <f t="shared" si="34"/>
        <v>0</v>
      </c>
      <c r="J55" s="16">
        <f t="shared" si="34"/>
        <v>0</v>
      </c>
      <c r="K55" s="16">
        <f t="shared" si="34"/>
        <v>0</v>
      </c>
      <c r="L55" s="16"/>
      <c r="M55" s="16"/>
      <c r="R55" s="800"/>
    </row>
    <row r="56" spans="1:18" ht="13" x14ac:dyDescent="0.3">
      <c r="A56" s="249"/>
      <c r="C56" s="184" t="s">
        <v>1069</v>
      </c>
      <c r="D56" s="184" t="s">
        <v>1070</v>
      </c>
      <c r="E56" s="799">
        <f>SUM(F56:K56)</f>
        <v>73.75</v>
      </c>
      <c r="F56" s="799">
        <f>IF(F49&lt;F50,F49,F50)</f>
        <v>0</v>
      </c>
      <c r="G56" s="799">
        <f t="shared" ref="G56:K56" si="35">IF(G49&lt;G50,G49,G50)</f>
        <v>0</v>
      </c>
      <c r="H56" s="799">
        <f t="shared" si="35"/>
        <v>73.75</v>
      </c>
      <c r="I56" s="799">
        <f t="shared" si="35"/>
        <v>0</v>
      </c>
      <c r="J56" s="799">
        <f t="shared" si="35"/>
        <v>0</v>
      </c>
      <c r="K56" s="799">
        <f t="shared" si="35"/>
        <v>0</v>
      </c>
      <c r="L56" s="799">
        <v>0</v>
      </c>
      <c r="M56" s="16"/>
      <c r="R56" s="800"/>
    </row>
    <row r="57" spans="1:18" x14ac:dyDescent="0.25">
      <c r="A57" s="463"/>
      <c r="B57" s="463" t="s">
        <v>220</v>
      </c>
      <c r="C57" s="463"/>
      <c r="D57" s="463"/>
      <c r="E57" s="464"/>
      <c r="F57" s="465"/>
      <c r="G57" s="465"/>
      <c r="H57" s="465"/>
      <c r="I57" s="465"/>
      <c r="J57" s="465"/>
      <c r="K57" s="465"/>
      <c r="L57" s="465"/>
      <c r="M57" s="465"/>
      <c r="N57" s="464"/>
      <c r="O57" s="464"/>
      <c r="P57" s="464"/>
      <c r="Q57" s="464"/>
    </row>
    <row r="58" spans="1:18" x14ac:dyDescent="0.25">
      <c r="A58" s="244">
        <v>9257033</v>
      </c>
      <c r="B58" t="str">
        <f>CONCATENATE(A58,C58)</f>
        <v>92570332020/21</v>
      </c>
      <c r="C58" t="s">
        <v>947</v>
      </c>
      <c r="D58" s="289" t="s">
        <v>1009</v>
      </c>
      <c r="E58" s="122">
        <f>'202021 MFG Protection'!E51</f>
        <v>0</v>
      </c>
      <c r="F58" s="122">
        <f>'202021 MFG Protection'!F51</f>
        <v>0</v>
      </c>
      <c r="G58" s="122">
        <f>'202021 MFG Protection'!G51</f>
        <v>0</v>
      </c>
      <c r="H58" s="122">
        <f>'202021 MFG Protection'!H51</f>
        <v>0</v>
      </c>
      <c r="I58" s="122">
        <f>'202021 MFG Protection'!I51</f>
        <v>0</v>
      </c>
      <c r="J58" s="122">
        <f>'202021 MFG Protection'!J51</f>
        <v>0</v>
      </c>
      <c r="K58" s="122">
        <f>'202021 MFG Protection'!K51</f>
        <v>0</v>
      </c>
      <c r="L58" s="122">
        <f>'202021 MFG Protection'!L51</f>
        <v>0</v>
      </c>
      <c r="N58" s="16">
        <f>'202021 MFG Protection'!N46</f>
        <v>-280.10359679189787</v>
      </c>
      <c r="O58" s="16">
        <f>VLOOKUP(A58,'2021 Funding Detail'!$A$4:$W$23,23,(FALSE))</f>
        <v>0</v>
      </c>
      <c r="R58" s="800"/>
    </row>
    <row r="59" spans="1:18" x14ac:dyDescent="0.25">
      <c r="A59" s="244">
        <v>9257033</v>
      </c>
      <c r="B59" t="str">
        <f>CONCATENATE(A59,C59)</f>
        <v>92570332021/22</v>
      </c>
      <c r="C59" t="s">
        <v>958</v>
      </c>
      <c r="D59" t="str">
        <f>CONCATENATE(A59,C59)</f>
        <v>92570332021/22</v>
      </c>
      <c r="E59" s="122">
        <f>VLOOKUP(A59,'2122 Funding Detail'!$A$4:$M$21,13,(FALSE))</f>
        <v>98.416666666666671</v>
      </c>
      <c r="F59" s="460">
        <f>$E$59*'2122 Band Calculations'!D12</f>
        <v>16.575438596491228</v>
      </c>
      <c r="G59" s="460">
        <f>$E$59*'2122 Band Calculations'!E12</f>
        <v>52.834210526315793</v>
      </c>
      <c r="H59" s="460">
        <f>$E$59*'2122 Band Calculations'!F12</f>
        <v>6.215789473684211</v>
      </c>
      <c r="I59" s="460">
        <f>$E$59*'2122 Band Calculations'!G12</f>
        <v>14.503508771929823</v>
      </c>
      <c r="J59" s="460">
        <f>$E$59*'2122 Band Calculations'!H12</f>
        <v>4.143859649122807</v>
      </c>
      <c r="K59" s="460">
        <f>$E$59*'2122 Band Calculations'!I12</f>
        <v>4.143859649122807</v>
      </c>
      <c r="L59" s="460">
        <f>$E$59*'2122 Band Calculations'!J12</f>
        <v>0</v>
      </c>
      <c r="N59" s="16">
        <f>IF(N58&gt;0,(N58),(0))</f>
        <v>0</v>
      </c>
      <c r="R59" s="800"/>
    </row>
    <row r="60" spans="1:18" x14ac:dyDescent="0.25">
      <c r="A60" s="244">
        <v>9257033</v>
      </c>
      <c r="B60" t="str">
        <f t="shared" ref="B60:B64" si="36">CONCATENATE(A60,C60)</f>
        <v>9257033</v>
      </c>
      <c r="F60" s="461">
        <f t="shared" ref="F60:K60" si="37">F59-F58</f>
        <v>16.575438596491228</v>
      </c>
      <c r="G60" s="461">
        <f t="shared" si="37"/>
        <v>52.834210526315793</v>
      </c>
      <c r="H60" s="461">
        <f t="shared" si="37"/>
        <v>6.215789473684211</v>
      </c>
      <c r="I60" s="461">
        <f t="shared" si="37"/>
        <v>14.503508771929823</v>
      </c>
      <c r="J60" s="461">
        <f t="shared" si="37"/>
        <v>4.143859649122807</v>
      </c>
      <c r="K60" s="461">
        <f t="shared" si="37"/>
        <v>4.143859649122807</v>
      </c>
      <c r="R60" s="800"/>
    </row>
    <row r="61" spans="1:18" x14ac:dyDescent="0.25">
      <c r="A61" s="244">
        <v>9257033</v>
      </c>
      <c r="B61" t="str">
        <f t="shared" si="36"/>
        <v>9257033a</v>
      </c>
      <c r="C61" s="289" t="s">
        <v>1012</v>
      </c>
      <c r="D61" s="289" t="s">
        <v>1009</v>
      </c>
      <c r="F61" s="460">
        <f t="shared" ref="F61:K61" si="38">IF(F58&gt;F59,(F59),(F58))</f>
        <v>0</v>
      </c>
      <c r="G61" s="460">
        <f t="shared" si="38"/>
        <v>0</v>
      </c>
      <c r="H61" s="460">
        <f t="shared" si="38"/>
        <v>0</v>
      </c>
      <c r="I61" s="460">
        <f t="shared" si="38"/>
        <v>0</v>
      </c>
      <c r="J61" s="460">
        <f t="shared" si="38"/>
        <v>0</v>
      </c>
      <c r="K61" s="460">
        <f t="shared" si="38"/>
        <v>0</v>
      </c>
      <c r="L61" s="122"/>
      <c r="M61" s="16"/>
      <c r="O61" s="16"/>
      <c r="P61" s="16"/>
      <c r="R61" s="800"/>
    </row>
    <row r="62" spans="1:18" x14ac:dyDescent="0.25">
      <c r="A62" s="244">
        <v>9257033</v>
      </c>
      <c r="B62" t="str">
        <f t="shared" si="36"/>
        <v>9257033b</v>
      </c>
      <c r="C62" s="289" t="s">
        <v>1016</v>
      </c>
      <c r="D62" s="289" t="s">
        <v>1017</v>
      </c>
      <c r="F62" s="16">
        <f>VLOOKUP($F$3,'2122 Band Values'!$A$5:$AU$24,47,(FALSE))</f>
        <v>58.711672125181849</v>
      </c>
      <c r="G62" s="16">
        <f>VLOOKUP($G$3,'2122 Band Values'!$A$5:$AU$24,47,(FALSE))</f>
        <v>70.45400655021831</v>
      </c>
      <c r="H62" s="16">
        <f>VLOOKUP($H$3,'2122 Band Values'!$A$5:$AU$24,47,(FALSE))</f>
        <v>211.36201965065447</v>
      </c>
      <c r="I62" s="16">
        <f>VLOOKUP($I$3,'2122 Band Values'!$A$5:$AU$24,47,(FALSE))</f>
        <v>264.20252456331764</v>
      </c>
      <c r="J62" s="16">
        <f>VLOOKUP($J$3,'2122 Band Values'!$A$5:$AU$24,47,(FALSE))</f>
        <v>264.20252456331764</v>
      </c>
      <c r="K62" s="16">
        <f>VLOOKUP($K$3,'2122 Band Values'!$A$5:$AU$24,47,(FALSE))</f>
        <v>234.8466885007274</v>
      </c>
      <c r="L62" s="122"/>
      <c r="M62" s="16"/>
      <c r="R62" s="800"/>
    </row>
    <row r="63" spans="1:18" x14ac:dyDescent="0.25">
      <c r="A63" s="244">
        <v>9257033</v>
      </c>
      <c r="B63" t="str">
        <f>CONCATENATE(A63,C63)</f>
        <v>9257033c</v>
      </c>
      <c r="C63" s="289" t="s">
        <v>1020</v>
      </c>
      <c r="D63" s="289" t="s">
        <v>697</v>
      </c>
      <c r="F63" s="16">
        <f t="shared" ref="F63:K63" si="39">IF(F62&gt;$N$59,(0*F61),(($N$59-F62)*F61))</f>
        <v>0</v>
      </c>
      <c r="G63" s="16">
        <f t="shared" si="39"/>
        <v>0</v>
      </c>
      <c r="H63" s="16">
        <f t="shared" si="39"/>
        <v>0</v>
      </c>
      <c r="I63" s="16">
        <f t="shared" si="39"/>
        <v>0</v>
      </c>
      <c r="J63" s="16">
        <f t="shared" si="39"/>
        <v>0</v>
      </c>
      <c r="K63" s="16">
        <f t="shared" si="39"/>
        <v>0</v>
      </c>
      <c r="L63" s="395">
        <f>SUM(F63:K63)</f>
        <v>0</v>
      </c>
      <c r="M63" s="16">
        <f>L63-O58</f>
        <v>0</v>
      </c>
      <c r="R63" s="800"/>
    </row>
    <row r="64" spans="1:18" x14ac:dyDescent="0.25">
      <c r="A64" s="244">
        <v>9257033</v>
      </c>
      <c r="B64" t="str">
        <f t="shared" si="36"/>
        <v>9257033d</v>
      </c>
      <c r="C64" s="289" t="s">
        <v>1068</v>
      </c>
      <c r="D64" s="289" t="s">
        <v>1014</v>
      </c>
      <c r="F64" s="16">
        <f t="shared" ref="F64:K64" si="40">IF(F63&gt;0,(F63/F61),(0))</f>
        <v>0</v>
      </c>
      <c r="G64" s="16">
        <f t="shared" si="40"/>
        <v>0</v>
      </c>
      <c r="H64" s="16">
        <f t="shared" si="40"/>
        <v>0</v>
      </c>
      <c r="I64" s="16">
        <f t="shared" si="40"/>
        <v>0</v>
      </c>
      <c r="J64" s="16">
        <f t="shared" si="40"/>
        <v>0</v>
      </c>
      <c r="K64" s="16">
        <f t="shared" si="40"/>
        <v>0</v>
      </c>
      <c r="L64" s="16"/>
      <c r="M64" s="16"/>
      <c r="R64" s="800"/>
    </row>
    <row r="65" spans="1:18" ht="13" x14ac:dyDescent="0.3">
      <c r="A65" s="249"/>
      <c r="C65" s="184" t="s">
        <v>1069</v>
      </c>
      <c r="D65" s="184" t="s">
        <v>1070</v>
      </c>
      <c r="E65" s="799">
        <f>SUM(F65:K65)</f>
        <v>0</v>
      </c>
      <c r="F65" s="799">
        <f>IF(F58&lt;F59,F58,F59)</f>
        <v>0</v>
      </c>
      <c r="G65" s="799">
        <f t="shared" ref="G65:K65" si="41">IF(G58&lt;G59,G58,G59)</f>
        <v>0</v>
      </c>
      <c r="H65" s="799">
        <f t="shared" si="41"/>
        <v>0</v>
      </c>
      <c r="I65" s="799">
        <f t="shared" si="41"/>
        <v>0</v>
      </c>
      <c r="J65" s="799">
        <f t="shared" si="41"/>
        <v>0</v>
      </c>
      <c r="K65" s="799">
        <f t="shared" si="41"/>
        <v>0</v>
      </c>
      <c r="L65" s="799">
        <v>0</v>
      </c>
      <c r="M65" s="16"/>
      <c r="R65" s="800"/>
    </row>
    <row r="66" spans="1:18" x14ac:dyDescent="0.25">
      <c r="A66" s="463"/>
      <c r="B66" s="463" t="s">
        <v>212</v>
      </c>
      <c r="C66" s="463"/>
      <c r="D66" s="463"/>
      <c r="E66" s="464"/>
      <c r="F66" s="465"/>
      <c r="G66" s="465"/>
      <c r="H66" s="465"/>
      <c r="I66" s="465"/>
      <c r="J66" s="465"/>
      <c r="K66" s="465"/>
      <c r="L66" s="465"/>
      <c r="M66" s="465"/>
      <c r="N66" s="464"/>
      <c r="O66" s="464"/>
      <c r="P66" s="464"/>
      <c r="Q66" s="464"/>
    </row>
    <row r="67" spans="1:18" x14ac:dyDescent="0.25">
      <c r="A67" s="244">
        <v>9257008</v>
      </c>
      <c r="B67" t="str">
        <f>CONCATENATE(A67,C67)</f>
        <v>92570082020/21</v>
      </c>
      <c r="C67" t="s">
        <v>947</v>
      </c>
      <c r="D67" s="289" t="s">
        <v>1009</v>
      </c>
      <c r="E67" s="122">
        <f>'202021 MFG Protection'!E72</f>
        <v>0</v>
      </c>
      <c r="F67" s="122">
        <f>'202021 MFG Protection'!F72</f>
        <v>0</v>
      </c>
      <c r="G67" s="122">
        <f>'202021 MFG Protection'!G72</f>
        <v>0</v>
      </c>
      <c r="H67" s="122">
        <f>'202021 MFG Protection'!H72</f>
        <v>0</v>
      </c>
      <c r="I67" s="122">
        <f>'202021 MFG Protection'!I72</f>
        <v>0</v>
      </c>
      <c r="J67" s="122">
        <f>'202021 MFG Protection'!J72</f>
        <v>0</v>
      </c>
      <c r="K67" s="122">
        <f>'202021 MFG Protection'!K72</f>
        <v>0</v>
      </c>
      <c r="L67" s="122">
        <f>'202021 MFG Protection'!L72</f>
        <v>0</v>
      </c>
      <c r="N67" s="16">
        <f>'202021 MFG Protection'!N53</f>
        <v>-74.125537404355782</v>
      </c>
      <c r="O67" s="16">
        <f>VLOOKUP(A67,'2021 Funding Detail'!$A$4:$W$23,23,(FALSE))</f>
        <v>0</v>
      </c>
      <c r="R67" s="800"/>
    </row>
    <row r="68" spans="1:18" x14ac:dyDescent="0.25">
      <c r="A68" s="244">
        <v>9257008</v>
      </c>
      <c r="B68" t="str">
        <f>CONCATENATE(A68,C68)</f>
        <v>92570082021/22</v>
      </c>
      <c r="C68" t="s">
        <v>958</v>
      </c>
      <c r="D68" t="str">
        <f>CONCATENATE(A68,C68)</f>
        <v>92570082021/22</v>
      </c>
      <c r="E68" s="122">
        <f>VLOOKUP(A68,'2122 Funding Detail'!$A$4:$M$21,13,(FALSE))</f>
        <v>98.583333333333343</v>
      </c>
      <c r="F68" s="460">
        <f>$E$68*'2122 Band Calculations'!D13</f>
        <v>9.9579124579124585</v>
      </c>
      <c r="G68" s="460">
        <f>$E$68*'2122 Band Calculations'!E13</f>
        <v>57.755892255892263</v>
      </c>
      <c r="H68" s="460">
        <f>$E$68*'2122 Band Calculations'!F13</f>
        <v>7.966329966329968</v>
      </c>
      <c r="I68" s="460">
        <f>$E$68*'2122 Band Calculations'!G13</f>
        <v>8.9621212121212128</v>
      </c>
      <c r="J68" s="460">
        <f>$E$68*'2122 Band Calculations'!H13</f>
        <v>0.995791245791246</v>
      </c>
      <c r="K68" s="460">
        <f>$E$68*'2122 Band Calculations'!I13</f>
        <v>11.949494949494952</v>
      </c>
      <c r="L68" s="460">
        <f>$E$68*'2122 Band Calculations'!J13</f>
        <v>0.995791245791246</v>
      </c>
      <c r="N68" s="16">
        <f>IF(N67&gt;0,(N67),(0))</f>
        <v>0</v>
      </c>
      <c r="R68" s="800"/>
    </row>
    <row r="69" spans="1:18" x14ac:dyDescent="0.25">
      <c r="A69" s="244">
        <v>9257008</v>
      </c>
      <c r="B69" t="str">
        <f t="shared" ref="B69:B73" si="42">CONCATENATE(A69,C69)</f>
        <v>9257008</v>
      </c>
      <c r="F69" s="461">
        <f t="shared" ref="F69:K69" si="43">F68-F67</f>
        <v>9.9579124579124585</v>
      </c>
      <c r="G69" s="461">
        <f t="shared" si="43"/>
        <v>57.755892255892263</v>
      </c>
      <c r="H69" s="461">
        <f t="shared" si="43"/>
        <v>7.966329966329968</v>
      </c>
      <c r="I69" s="461">
        <f t="shared" si="43"/>
        <v>8.9621212121212128</v>
      </c>
      <c r="J69" s="461">
        <f t="shared" si="43"/>
        <v>0.995791245791246</v>
      </c>
      <c r="K69" s="461">
        <f t="shared" si="43"/>
        <v>11.949494949494952</v>
      </c>
      <c r="R69" s="800"/>
    </row>
    <row r="70" spans="1:18" x14ac:dyDescent="0.25">
      <c r="A70" s="244">
        <v>9257008</v>
      </c>
      <c r="B70" t="str">
        <f t="shared" si="42"/>
        <v>9257008a</v>
      </c>
      <c r="C70" s="289" t="s">
        <v>1012</v>
      </c>
      <c r="D70" s="289" t="s">
        <v>1009</v>
      </c>
      <c r="F70" s="460">
        <f t="shared" ref="F70:K70" si="44">IF(F67&gt;F68,(F68),(F67))</f>
        <v>0</v>
      </c>
      <c r="G70" s="460">
        <f t="shared" si="44"/>
        <v>0</v>
      </c>
      <c r="H70" s="460">
        <f t="shared" si="44"/>
        <v>0</v>
      </c>
      <c r="I70" s="460">
        <f t="shared" si="44"/>
        <v>0</v>
      </c>
      <c r="J70" s="460">
        <f t="shared" si="44"/>
        <v>0</v>
      </c>
      <c r="K70" s="460">
        <f t="shared" si="44"/>
        <v>0</v>
      </c>
      <c r="L70" s="122"/>
      <c r="M70" s="16"/>
      <c r="O70" s="16"/>
      <c r="P70" s="16"/>
      <c r="R70" s="800"/>
    </row>
    <row r="71" spans="1:18" x14ac:dyDescent="0.25">
      <c r="A71" s="244">
        <v>9257008</v>
      </c>
      <c r="B71" t="str">
        <f t="shared" si="42"/>
        <v>9257008b</v>
      </c>
      <c r="C71" s="289" t="s">
        <v>1016</v>
      </c>
      <c r="D71" s="289" t="s">
        <v>1017</v>
      </c>
      <c r="F71" s="16">
        <f>VLOOKUP($F$3,'2122 Band Values'!$A$5:$AU$24,47,(FALSE))</f>
        <v>58.711672125181849</v>
      </c>
      <c r="G71" s="16">
        <f>VLOOKUP($G$3,'2122 Band Values'!$A$5:$AU$24,47,(FALSE))</f>
        <v>70.45400655021831</v>
      </c>
      <c r="H71" s="16">
        <f>VLOOKUP($H$3,'2122 Band Values'!$A$5:$AU$24,47,(FALSE))</f>
        <v>211.36201965065447</v>
      </c>
      <c r="I71" s="16">
        <f>VLOOKUP($I$3,'2122 Band Values'!$A$5:$AU$24,47,(FALSE))</f>
        <v>264.20252456331764</v>
      </c>
      <c r="J71" s="16">
        <f>VLOOKUP($J$3,'2122 Band Values'!$A$5:$AU$24,47,(FALSE))</f>
        <v>264.20252456331764</v>
      </c>
      <c r="K71" s="16">
        <f>VLOOKUP($K$3,'2122 Band Values'!$A$5:$AU$24,47,(FALSE))</f>
        <v>234.8466885007274</v>
      </c>
      <c r="L71" s="122"/>
      <c r="M71" s="16"/>
      <c r="R71" s="800"/>
    </row>
    <row r="72" spans="1:18" x14ac:dyDescent="0.25">
      <c r="A72" s="244">
        <v>9257008</v>
      </c>
      <c r="B72" t="str">
        <f>CONCATENATE(A72,C72)</f>
        <v>9257008c</v>
      </c>
      <c r="C72" s="289" t="s">
        <v>1020</v>
      </c>
      <c r="D72" s="289" t="s">
        <v>697</v>
      </c>
      <c r="F72" s="16">
        <f t="shared" ref="F72:K72" si="45">IF(F71&gt;$N$68,(0*F70),(($N$68-F71)*F70))</f>
        <v>0</v>
      </c>
      <c r="G72" s="16">
        <f t="shared" si="45"/>
        <v>0</v>
      </c>
      <c r="H72" s="16">
        <f t="shared" si="45"/>
        <v>0</v>
      </c>
      <c r="I72" s="16">
        <f t="shared" si="45"/>
        <v>0</v>
      </c>
      <c r="J72" s="16">
        <f t="shared" si="45"/>
        <v>0</v>
      </c>
      <c r="K72" s="16">
        <f t="shared" si="45"/>
        <v>0</v>
      </c>
      <c r="L72" s="395">
        <f>SUM(F72:K72)</f>
        <v>0</v>
      </c>
      <c r="M72" s="16">
        <f>L72-O67</f>
        <v>0</v>
      </c>
      <c r="R72" s="800"/>
    </row>
    <row r="73" spans="1:18" x14ac:dyDescent="0.25">
      <c r="A73" s="244">
        <v>9257008</v>
      </c>
      <c r="B73" t="str">
        <f t="shared" si="42"/>
        <v>9257008d</v>
      </c>
      <c r="C73" s="289" t="s">
        <v>1068</v>
      </c>
      <c r="D73" s="289" t="s">
        <v>1014</v>
      </c>
      <c r="F73" s="16">
        <f t="shared" ref="F73:K73" si="46">IF(F72&gt;0,(F72/F70),(0))</f>
        <v>0</v>
      </c>
      <c r="G73" s="16">
        <f t="shared" si="46"/>
        <v>0</v>
      </c>
      <c r="H73" s="16">
        <f t="shared" si="46"/>
        <v>0</v>
      </c>
      <c r="I73" s="16">
        <f t="shared" si="46"/>
        <v>0</v>
      </c>
      <c r="J73" s="16">
        <f t="shared" si="46"/>
        <v>0</v>
      </c>
      <c r="K73" s="16">
        <f t="shared" si="46"/>
        <v>0</v>
      </c>
      <c r="L73" s="16"/>
      <c r="M73" s="16"/>
      <c r="R73" s="800"/>
    </row>
    <row r="74" spans="1:18" ht="13" x14ac:dyDescent="0.3">
      <c r="A74" s="249"/>
      <c r="C74" s="184" t="s">
        <v>1069</v>
      </c>
      <c r="D74" s="184" t="s">
        <v>1070</v>
      </c>
      <c r="E74" s="799">
        <f>SUM(F74:K74)</f>
        <v>0</v>
      </c>
      <c r="F74" s="799">
        <f>IF(F67&lt;F68,F67,F68)</f>
        <v>0</v>
      </c>
      <c r="G74" s="799">
        <f t="shared" ref="G74:K74" si="47">IF(G67&lt;G68,G67,G68)</f>
        <v>0</v>
      </c>
      <c r="H74" s="799">
        <f t="shared" si="47"/>
        <v>0</v>
      </c>
      <c r="I74" s="799">
        <f t="shared" si="47"/>
        <v>0</v>
      </c>
      <c r="J74" s="799">
        <f t="shared" si="47"/>
        <v>0</v>
      </c>
      <c r="K74" s="799">
        <f t="shared" si="47"/>
        <v>0</v>
      </c>
      <c r="L74" s="799">
        <v>0</v>
      </c>
      <c r="M74" s="16"/>
      <c r="R74" s="800"/>
    </row>
    <row r="75" spans="1:18" x14ac:dyDescent="0.25">
      <c r="A75" s="463"/>
      <c r="B75" s="463" t="s">
        <v>221</v>
      </c>
      <c r="C75" s="463"/>
      <c r="D75" s="463"/>
      <c r="E75" s="464"/>
      <c r="F75" s="465"/>
      <c r="G75" s="465"/>
      <c r="H75" s="465"/>
      <c r="I75" s="465"/>
      <c r="J75" s="465"/>
      <c r="K75" s="465"/>
      <c r="L75" s="465"/>
      <c r="M75" s="465"/>
      <c r="N75" s="464"/>
      <c r="O75" s="464"/>
      <c r="P75" s="464"/>
      <c r="Q75" s="464"/>
    </row>
    <row r="76" spans="1:18" x14ac:dyDescent="0.25">
      <c r="A76" s="244">
        <v>9257034</v>
      </c>
      <c r="B76" t="str">
        <f>CONCATENATE(A76,C76)</f>
        <v>92570342020/21</v>
      </c>
      <c r="C76" t="s">
        <v>947</v>
      </c>
      <c r="D76" s="289" t="s">
        <v>1009</v>
      </c>
      <c r="E76" s="122">
        <f>'202021 MFG Protection'!E60</f>
        <v>116.58333333333334</v>
      </c>
      <c r="F76" s="460">
        <f>'202021 MFG Protection'!F65</f>
        <v>48.923363095238102</v>
      </c>
      <c r="G76" s="460">
        <f>'202021 MFG Protection'!G65</f>
        <v>31.227678571428569</v>
      </c>
      <c r="H76" s="460">
        <f>'202021 MFG Protection'!H65</f>
        <v>19.404434250764524</v>
      </c>
      <c r="I76" s="460">
        <f>'202021 MFG Protection'!I65</f>
        <v>5.2046130952380958</v>
      </c>
      <c r="J76" s="460">
        <f>'202021 MFG Protection'!J65</f>
        <v>4.1636904761904763</v>
      </c>
      <c r="K76" s="460">
        <f>'202021 MFG Protection'!K65</f>
        <v>5.2046130952380958</v>
      </c>
      <c r="L76" s="460">
        <f>'202021 MFG Protection'!L65</f>
        <v>0</v>
      </c>
      <c r="N76" s="16">
        <f>'202021 MFG Protection'!N60</f>
        <v>646.95163288810181</v>
      </c>
      <c r="O76" s="16">
        <f>VLOOKUP(A76,'2021 Funding Detail'!$A$4:$W$23,23,(FALSE))</f>
        <v>73835.549941176447</v>
      </c>
      <c r="R76" s="800"/>
    </row>
    <row r="77" spans="1:18" x14ac:dyDescent="0.25">
      <c r="A77" s="244">
        <v>9257034</v>
      </c>
      <c r="B77" t="str">
        <f>CONCATENATE(A77,C77)</f>
        <v>92570342021/22</v>
      </c>
      <c r="C77" t="s">
        <v>958</v>
      </c>
      <c r="D77" t="str">
        <f>CONCATENATE(A77,C77)</f>
        <v>92570342021/22</v>
      </c>
      <c r="E77" s="122">
        <f>VLOOKUP(A77,'2122 Funding Detail'!$A$4:$M$21,13,(FALSE))</f>
        <v>123.16666666666666</v>
      </c>
      <c r="F77" s="460">
        <f>$E$77*'2122 Band Calculations'!D14</f>
        <v>52.252525252525253</v>
      </c>
      <c r="G77" s="460">
        <f>$E$77*'2122 Band Calculations'!E14</f>
        <v>36.079124579124574</v>
      </c>
      <c r="H77" s="460">
        <f>$E$77*'2122 Band Calculations'!F14</f>
        <v>17.417508417508415</v>
      </c>
      <c r="I77" s="460">
        <f>$E$77*'2122 Band Calculations'!G14</f>
        <v>3.7323232323232323</v>
      </c>
      <c r="J77" s="460">
        <f>$E$77*'2122 Band Calculations'!H14</f>
        <v>4.9764309764309766</v>
      </c>
      <c r="K77" s="460">
        <f>$E$77*'2122 Band Calculations'!I14</f>
        <v>7.4646464646464645</v>
      </c>
      <c r="L77" s="460">
        <f>$E$77*'2122 Band Calculations'!J14</f>
        <v>1.2441077441077442</v>
      </c>
      <c r="N77" s="16">
        <f>IF(N76&gt;0,(N76),(0))</f>
        <v>646.95163288810181</v>
      </c>
      <c r="R77" s="800"/>
    </row>
    <row r="78" spans="1:18" x14ac:dyDescent="0.25">
      <c r="A78" s="244">
        <v>9257034</v>
      </c>
      <c r="B78" t="str">
        <f t="shared" ref="B78:B82" si="48">CONCATENATE(A78,C78)</f>
        <v>9257034</v>
      </c>
      <c r="F78" s="461">
        <f t="shared" ref="F78:K78" si="49">F77-F76</f>
        <v>3.3291621572871506</v>
      </c>
      <c r="G78" s="461">
        <f t="shared" si="49"/>
        <v>4.8514460076960049</v>
      </c>
      <c r="H78" s="461">
        <f t="shared" si="49"/>
        <v>-1.9869258332561088</v>
      </c>
      <c r="I78" s="461">
        <f t="shared" si="49"/>
        <v>-1.4722898629148635</v>
      </c>
      <c r="J78" s="461">
        <f t="shared" si="49"/>
        <v>0.81274050024050037</v>
      </c>
      <c r="K78" s="461">
        <f t="shared" si="49"/>
        <v>2.2600333694083687</v>
      </c>
      <c r="R78" s="800"/>
    </row>
    <row r="79" spans="1:18" x14ac:dyDescent="0.25">
      <c r="A79" s="244">
        <v>9257034</v>
      </c>
      <c r="B79" t="str">
        <f t="shared" si="48"/>
        <v>9257034a</v>
      </c>
      <c r="C79" s="289" t="s">
        <v>1012</v>
      </c>
      <c r="D79" s="289" t="s">
        <v>1009</v>
      </c>
      <c r="F79" s="460">
        <f t="shared" ref="F79:K79" si="50">IF(F76&gt;F77,(F77),(F76))</f>
        <v>48.923363095238102</v>
      </c>
      <c r="G79" s="460">
        <f t="shared" si="50"/>
        <v>31.227678571428569</v>
      </c>
      <c r="H79" s="460">
        <f t="shared" si="50"/>
        <v>17.417508417508415</v>
      </c>
      <c r="I79" s="460">
        <f t="shared" si="50"/>
        <v>3.7323232323232323</v>
      </c>
      <c r="J79" s="460">
        <f t="shared" si="50"/>
        <v>4.1636904761904763</v>
      </c>
      <c r="K79" s="460">
        <f t="shared" si="50"/>
        <v>5.2046130952380958</v>
      </c>
      <c r="L79" s="122"/>
      <c r="M79" s="16"/>
      <c r="O79" s="16"/>
      <c r="P79" s="16"/>
      <c r="R79" s="800"/>
    </row>
    <row r="80" spans="1:18" x14ac:dyDescent="0.25">
      <c r="A80" s="244">
        <v>9257034</v>
      </c>
      <c r="B80" t="str">
        <f t="shared" si="48"/>
        <v>9257034b</v>
      </c>
      <c r="C80" s="289" t="s">
        <v>1016</v>
      </c>
      <c r="D80" s="289" t="s">
        <v>1017</v>
      </c>
      <c r="F80" s="16">
        <f>VLOOKUP($F$3,'2122 Band Values'!$A$5:$AU$24,47,(FALSE))</f>
        <v>58.711672125181849</v>
      </c>
      <c r="G80" s="16">
        <f>VLOOKUP($G$3,'2122 Band Values'!$A$5:$AU$24,47,(FALSE))</f>
        <v>70.45400655021831</v>
      </c>
      <c r="H80" s="16">
        <f>VLOOKUP($H$3,'2122 Band Values'!$A$5:$AU$24,47,(FALSE))</f>
        <v>211.36201965065447</v>
      </c>
      <c r="I80" s="16">
        <f>VLOOKUP($I$3,'2122 Band Values'!$A$5:$AU$24,47,(FALSE))</f>
        <v>264.20252456331764</v>
      </c>
      <c r="J80" s="16">
        <f>VLOOKUP($J$3,'2122 Band Values'!$A$5:$AU$24,47,(FALSE))</f>
        <v>264.20252456331764</v>
      </c>
      <c r="K80" s="16">
        <f>VLOOKUP($K$3,'2122 Band Values'!$A$5:$AU$24,47,(FALSE))</f>
        <v>234.8466885007274</v>
      </c>
      <c r="L80" s="122"/>
      <c r="M80" s="16"/>
      <c r="R80" s="800"/>
    </row>
    <row r="81" spans="1:18" x14ac:dyDescent="0.25">
      <c r="A81" s="244">
        <v>9257034</v>
      </c>
      <c r="B81" t="str">
        <f>CONCATENATE(A81,C81)</f>
        <v>9257034c</v>
      </c>
      <c r="C81" s="289" t="s">
        <v>1020</v>
      </c>
      <c r="D81" s="289" t="s">
        <v>697</v>
      </c>
      <c r="F81" s="16">
        <f t="shared" ref="F81:K81" si="51">IF(F80&gt;$N$77,(0*F79),(($N$77-F80)*F79))</f>
        <v>28778.677187532947</v>
      </c>
      <c r="G81" s="16">
        <f t="shared" si="51"/>
        <v>18002.68257247096</v>
      </c>
      <c r="H81" s="16">
        <f t="shared" si="51"/>
        <v>7586.8857551424744</v>
      </c>
      <c r="I81" s="16">
        <f t="shared" si="51"/>
        <v>1428.5433891515934</v>
      </c>
      <c r="J81" s="16">
        <f t="shared" si="51"/>
        <v>1593.6488171023009</v>
      </c>
      <c r="K81" s="16">
        <f t="shared" si="51"/>
        <v>2144.8467901708959</v>
      </c>
      <c r="L81" s="395">
        <f>SUM(F81:K81)</f>
        <v>59535.284511571168</v>
      </c>
      <c r="M81" s="16">
        <f>L81-O76</f>
        <v>-14300.265429605279</v>
      </c>
      <c r="R81" s="800"/>
    </row>
    <row r="82" spans="1:18" x14ac:dyDescent="0.25">
      <c r="A82" s="244">
        <v>9257034</v>
      </c>
      <c r="B82" t="str">
        <f t="shared" si="48"/>
        <v>9257034d</v>
      </c>
      <c r="C82" s="289" t="s">
        <v>1068</v>
      </c>
      <c r="D82" s="289" t="s">
        <v>1014</v>
      </c>
      <c r="F82" s="16">
        <f t="shared" ref="F82:K82" si="52">IF(F81&gt;0,(F81/F79),(0))</f>
        <v>588.23996076291996</v>
      </c>
      <c r="G82" s="16">
        <f t="shared" si="52"/>
        <v>576.4976263378835</v>
      </c>
      <c r="H82" s="16">
        <f t="shared" si="52"/>
        <v>435.58961323744734</v>
      </c>
      <c r="I82" s="16">
        <f t="shared" si="52"/>
        <v>382.74910832478417</v>
      </c>
      <c r="J82" s="16">
        <f t="shared" si="52"/>
        <v>382.74910832478417</v>
      </c>
      <c r="K82" s="16">
        <f t="shared" si="52"/>
        <v>412.10494438737436</v>
      </c>
      <c r="L82" s="16"/>
      <c r="M82" s="16"/>
      <c r="R82" s="800"/>
    </row>
    <row r="83" spans="1:18" ht="13" x14ac:dyDescent="0.3">
      <c r="A83" s="249"/>
      <c r="C83" s="184" t="s">
        <v>1069</v>
      </c>
      <c r="D83" s="184" t="s">
        <v>1070</v>
      </c>
      <c r="E83" s="799">
        <f>SUM(F83:K83)</f>
        <v>110.66917688792691</v>
      </c>
      <c r="F83" s="799">
        <f>IF(F76&lt;F77,F76,F77)</f>
        <v>48.923363095238102</v>
      </c>
      <c r="G83" s="799">
        <f t="shared" ref="G83:K83" si="53">IF(G76&lt;G77,G76,G77)</f>
        <v>31.227678571428569</v>
      </c>
      <c r="H83" s="799">
        <f t="shared" si="53"/>
        <v>17.417508417508415</v>
      </c>
      <c r="I83" s="799">
        <f t="shared" si="53"/>
        <v>3.7323232323232323</v>
      </c>
      <c r="J83" s="799">
        <f t="shared" si="53"/>
        <v>4.1636904761904763</v>
      </c>
      <c r="K83" s="799">
        <f t="shared" si="53"/>
        <v>5.2046130952380958</v>
      </c>
      <c r="L83" s="799">
        <v>0</v>
      </c>
      <c r="M83" s="16"/>
      <c r="R83" s="800"/>
    </row>
    <row r="84" spans="1:18" x14ac:dyDescent="0.25">
      <c r="A84" s="463"/>
      <c r="B84" s="463" t="s">
        <v>213</v>
      </c>
      <c r="C84" s="463"/>
      <c r="D84" s="463"/>
      <c r="E84" s="464"/>
      <c r="F84" s="465"/>
      <c r="G84" s="465"/>
      <c r="H84" s="465"/>
      <c r="I84" s="465"/>
      <c r="J84" s="465"/>
      <c r="K84" s="465"/>
      <c r="L84" s="465"/>
      <c r="M84" s="465"/>
      <c r="N84" s="464"/>
      <c r="O84" s="464"/>
      <c r="P84" s="464"/>
      <c r="Q84" s="464"/>
    </row>
    <row r="85" spans="1:18" x14ac:dyDescent="0.25">
      <c r="A85" s="244">
        <v>9257002</v>
      </c>
      <c r="B85" t="str">
        <f>CONCATENATE(A85,C85)</f>
        <v>92570022020/21</v>
      </c>
      <c r="C85" t="s">
        <v>947</v>
      </c>
      <c r="D85" s="289" t="s">
        <v>1009</v>
      </c>
      <c r="E85" s="804">
        <f>'202021 MFG Protection'!E72</f>
        <v>0</v>
      </c>
      <c r="F85" s="804">
        <f>'202021 MFG Protection'!F72</f>
        <v>0</v>
      </c>
      <c r="G85" s="804">
        <f>'202021 MFG Protection'!G72</f>
        <v>0</v>
      </c>
      <c r="H85" s="804">
        <f>'202021 MFG Protection'!H72</f>
        <v>0</v>
      </c>
      <c r="I85" s="804">
        <f>'202021 MFG Protection'!I72</f>
        <v>0</v>
      </c>
      <c r="J85" s="804">
        <f>'202021 MFG Protection'!J72</f>
        <v>0</v>
      </c>
      <c r="K85" s="804">
        <f>'202021 MFG Protection'!K72</f>
        <v>0</v>
      </c>
      <c r="L85" s="804">
        <f>'202021 MFG Protection'!L72</f>
        <v>0</v>
      </c>
      <c r="N85" s="16">
        <f>'202021 MFG Protection'!N67</f>
        <v>-323.78150158713288</v>
      </c>
      <c r="O85" s="16">
        <f>VLOOKUP(A85,'2021 Funding Detail'!$A$4:$W$23,23,(FALSE))</f>
        <v>0</v>
      </c>
      <c r="R85" s="800"/>
    </row>
    <row r="86" spans="1:18" x14ac:dyDescent="0.25">
      <c r="A86" s="244">
        <v>9257002</v>
      </c>
      <c r="B86" t="str">
        <f>CONCATENATE(A86,C86)</f>
        <v>92570022021/22</v>
      </c>
      <c r="C86" t="s">
        <v>958</v>
      </c>
      <c r="D86" t="str">
        <f>CONCATENATE(A86,C86)</f>
        <v>92570022021/22</v>
      </c>
      <c r="E86" s="122">
        <f>VLOOKUP(A86,'2122 Funding Detail'!$A$4:$M$21,13,(FALSE))</f>
        <v>150.58333333333334</v>
      </c>
      <c r="F86" s="460">
        <f>$E$86*'2122 Band Calculations'!D15</f>
        <v>53.398345153664309</v>
      </c>
      <c r="G86" s="460">
        <f>$E$86*'2122 Band Calculations'!E15</f>
        <v>57.670212765957451</v>
      </c>
      <c r="H86" s="460">
        <f>$E$86*'2122 Band Calculations'!F15</f>
        <v>19.223404255319149</v>
      </c>
      <c r="I86" s="460">
        <f>$E$86*'2122 Band Calculations'!G15</f>
        <v>4.2718676122931445</v>
      </c>
      <c r="J86" s="460">
        <f>$E$86*'2122 Band Calculations'!H15</f>
        <v>3.2039007092198584</v>
      </c>
      <c r="K86" s="460">
        <f>$E$86*'2122 Band Calculations'!I15</f>
        <v>11.747635933806148</v>
      </c>
      <c r="L86" s="460">
        <f>$E$86*'2122 Band Calculations'!J15</f>
        <v>1.0679669030732861</v>
      </c>
      <c r="N86" s="16">
        <f>IF(N85&gt;0,(N85),(0))</f>
        <v>0</v>
      </c>
      <c r="R86" s="800"/>
    </row>
    <row r="87" spans="1:18" x14ac:dyDescent="0.25">
      <c r="A87" s="244">
        <v>9257002</v>
      </c>
      <c r="B87" t="str">
        <f t="shared" ref="B87:B91" si="54">CONCATENATE(A87,C87)</f>
        <v>9257002</v>
      </c>
      <c r="F87" s="461">
        <f t="shared" ref="F87:K87" si="55">F86-F85</f>
        <v>53.398345153664309</v>
      </c>
      <c r="G87" s="461">
        <f t="shared" si="55"/>
        <v>57.670212765957451</v>
      </c>
      <c r="H87" s="461">
        <f t="shared" si="55"/>
        <v>19.223404255319149</v>
      </c>
      <c r="I87" s="461">
        <f>I86-I85</f>
        <v>4.2718676122931445</v>
      </c>
      <c r="J87" s="461">
        <f t="shared" si="55"/>
        <v>3.2039007092198584</v>
      </c>
      <c r="K87" s="461">
        <f t="shared" si="55"/>
        <v>11.747635933806148</v>
      </c>
      <c r="R87" s="800"/>
    </row>
    <row r="88" spans="1:18" x14ac:dyDescent="0.25">
      <c r="A88" s="244">
        <v>9257002</v>
      </c>
      <c r="B88" t="str">
        <f t="shared" si="54"/>
        <v>9257002a</v>
      </c>
      <c r="C88" s="289" t="s">
        <v>1012</v>
      </c>
      <c r="D88" s="289" t="s">
        <v>1009</v>
      </c>
      <c r="F88" s="460">
        <f t="shared" ref="F88:K88" si="56">IF(F85&gt;F86,(F86),(F85))</f>
        <v>0</v>
      </c>
      <c r="G88" s="460">
        <f t="shared" si="56"/>
        <v>0</v>
      </c>
      <c r="H88" s="460">
        <f t="shared" si="56"/>
        <v>0</v>
      </c>
      <c r="I88" s="460">
        <f t="shared" si="56"/>
        <v>0</v>
      </c>
      <c r="J88" s="460">
        <f t="shared" si="56"/>
        <v>0</v>
      </c>
      <c r="K88" s="460">
        <f t="shared" si="56"/>
        <v>0</v>
      </c>
      <c r="L88" s="122"/>
      <c r="M88" s="16"/>
      <c r="O88" s="16"/>
      <c r="P88" s="16"/>
      <c r="R88" s="800"/>
    </row>
    <row r="89" spans="1:18" x14ac:dyDescent="0.25">
      <c r="A89" s="244">
        <v>9257002</v>
      </c>
      <c r="B89" t="str">
        <f t="shared" si="54"/>
        <v>9257002b</v>
      </c>
      <c r="C89" s="289" t="s">
        <v>1016</v>
      </c>
      <c r="D89" s="289" t="s">
        <v>1017</v>
      </c>
      <c r="F89" s="16">
        <f>VLOOKUP($F$3,'2122 Band Values'!$A$5:$AU$24,47,(FALSE))</f>
        <v>58.711672125181849</v>
      </c>
      <c r="G89" s="16">
        <f>VLOOKUP($G$3,'2122 Band Values'!$A$5:$AU$24,47,(FALSE))</f>
        <v>70.45400655021831</v>
      </c>
      <c r="H89" s="16">
        <f>VLOOKUP($H$3,'2122 Band Values'!$A$5:$AU$24,47,(FALSE))</f>
        <v>211.36201965065447</v>
      </c>
      <c r="I89" s="16">
        <f>VLOOKUP($I$3,'2122 Band Values'!$A$5:$AU$24,47,(FALSE))</f>
        <v>264.20252456331764</v>
      </c>
      <c r="J89" s="16">
        <f>VLOOKUP($J$3,'2122 Band Values'!$A$5:$AU$24,47,(FALSE))</f>
        <v>264.20252456331764</v>
      </c>
      <c r="K89" s="16">
        <f>VLOOKUP($K$3,'2122 Band Values'!$A$5:$AU$24,47,(FALSE))</f>
        <v>234.8466885007274</v>
      </c>
      <c r="L89" s="122"/>
      <c r="M89" s="16"/>
      <c r="O89" s="16"/>
      <c r="P89" s="16"/>
      <c r="R89" s="800"/>
    </row>
    <row r="90" spans="1:18" x14ac:dyDescent="0.25">
      <c r="A90" s="244">
        <v>9257002</v>
      </c>
      <c r="B90" t="str">
        <f>CONCATENATE(A90,C90)</f>
        <v>9257002c</v>
      </c>
      <c r="C90" s="289" t="s">
        <v>1020</v>
      </c>
      <c r="D90" s="289" t="s">
        <v>697</v>
      </c>
      <c r="F90" s="16">
        <f t="shared" ref="F90:K90" si="57">IF(F89&gt;N86,(0*F88),(($N$86-F89)*F88))</f>
        <v>0</v>
      </c>
      <c r="G90" s="16">
        <f t="shared" si="57"/>
        <v>0</v>
      </c>
      <c r="H90" s="16">
        <f t="shared" si="57"/>
        <v>0</v>
      </c>
      <c r="I90" s="16">
        <f t="shared" si="57"/>
        <v>0</v>
      </c>
      <c r="J90" s="16">
        <f t="shared" si="57"/>
        <v>0</v>
      </c>
      <c r="K90" s="16">
        <f t="shared" si="57"/>
        <v>0</v>
      </c>
      <c r="L90" s="395">
        <f>SUM(F90:K90)</f>
        <v>0</v>
      </c>
      <c r="M90" s="16">
        <f>L90-O85</f>
        <v>0</v>
      </c>
      <c r="O90" s="16"/>
      <c r="P90" s="16"/>
      <c r="R90" s="800"/>
    </row>
    <row r="91" spans="1:18" x14ac:dyDescent="0.25">
      <c r="A91" s="244">
        <v>9257002</v>
      </c>
      <c r="B91" t="str">
        <f t="shared" si="54"/>
        <v>9257002d</v>
      </c>
      <c r="C91" s="289" t="s">
        <v>1068</v>
      </c>
      <c r="D91" s="289" t="s">
        <v>1014</v>
      </c>
      <c r="F91" s="16">
        <f t="shared" ref="F91:K91" si="58">IF(F90&gt;0,(F90/F88),(0))</f>
        <v>0</v>
      </c>
      <c r="G91" s="16">
        <f t="shared" si="58"/>
        <v>0</v>
      </c>
      <c r="H91" s="16">
        <f t="shared" si="58"/>
        <v>0</v>
      </c>
      <c r="I91" s="16">
        <f t="shared" si="58"/>
        <v>0</v>
      </c>
      <c r="J91" s="16">
        <f t="shared" si="58"/>
        <v>0</v>
      </c>
      <c r="K91" s="16">
        <f t="shared" si="58"/>
        <v>0</v>
      </c>
      <c r="L91" s="16"/>
      <c r="M91" s="16"/>
      <c r="R91" s="800"/>
    </row>
    <row r="92" spans="1:18" ht="13" x14ac:dyDescent="0.3">
      <c r="A92" s="249"/>
      <c r="C92" s="184" t="s">
        <v>1069</v>
      </c>
      <c r="D92" s="184" t="s">
        <v>1070</v>
      </c>
      <c r="E92" s="799">
        <f>SUM(F92:K92)</f>
        <v>0</v>
      </c>
      <c r="F92" s="799">
        <f>IF(F85&lt;F86,F85,F86)</f>
        <v>0</v>
      </c>
      <c r="G92" s="799">
        <f t="shared" ref="G92:K92" si="59">IF(G85&lt;G86,G85,G86)</f>
        <v>0</v>
      </c>
      <c r="H92" s="799">
        <f t="shared" si="59"/>
        <v>0</v>
      </c>
      <c r="I92" s="799">
        <f t="shared" si="59"/>
        <v>0</v>
      </c>
      <c r="J92" s="799">
        <f t="shared" si="59"/>
        <v>0</v>
      </c>
      <c r="K92" s="799">
        <f t="shared" si="59"/>
        <v>0</v>
      </c>
      <c r="L92" s="799">
        <v>0</v>
      </c>
      <c r="M92" s="16"/>
      <c r="R92" s="800"/>
    </row>
    <row r="93" spans="1:18" x14ac:dyDescent="0.25">
      <c r="A93" s="463"/>
      <c r="B93" s="463" t="s">
        <v>214</v>
      </c>
      <c r="C93" s="463"/>
      <c r="D93" s="463"/>
      <c r="E93" s="464"/>
      <c r="F93" s="465"/>
      <c r="G93" s="465"/>
      <c r="H93" s="465"/>
      <c r="I93" s="465"/>
      <c r="J93" s="465"/>
      <c r="K93" s="465"/>
      <c r="L93" s="465"/>
      <c r="M93" s="465"/>
      <c r="N93" s="464"/>
      <c r="O93" s="464"/>
      <c r="P93" s="464"/>
      <c r="Q93" s="464"/>
    </row>
    <row r="94" spans="1:18" x14ac:dyDescent="0.25">
      <c r="A94" s="767">
        <v>9257009</v>
      </c>
      <c r="B94" t="str">
        <f>CONCATENATE(A94,C94)</f>
        <v>92570092020/21</v>
      </c>
      <c r="C94" t="s">
        <v>947</v>
      </c>
      <c r="D94" s="289" t="s">
        <v>1009</v>
      </c>
      <c r="E94" s="122">
        <f>'202021 MFG Protection'!E79</f>
        <v>124.74081144664277</v>
      </c>
      <c r="F94" s="122">
        <f>'202021 MFG Protection'!F79</f>
        <v>23.122739018087856</v>
      </c>
      <c r="G94" s="122">
        <f>'202021 MFG Protection'!G79</f>
        <v>68.084577114427873</v>
      </c>
      <c r="H94" s="122">
        <f>'202021 MFG Protection'!H79</f>
        <v>11.561369509043928</v>
      </c>
      <c r="I94" s="122">
        <f>'202021 MFG Protection'!I79</f>
        <v>2.0024875621890548</v>
      </c>
      <c r="J94" s="122">
        <f>'202021 MFG Protection'!J79</f>
        <v>4.2041343669250653</v>
      </c>
      <c r="K94" s="122">
        <f>'202021 MFG Protection'!K79</f>
        <v>15.765503875968992</v>
      </c>
      <c r="L94" s="122">
        <f>'202021 MFG Protection'!L79</f>
        <v>0</v>
      </c>
      <c r="M94" s="16"/>
      <c r="N94" s="16">
        <f>'202021 MFG Protection'!M79</f>
        <v>620.19281408091035</v>
      </c>
      <c r="O94" s="16">
        <f>VLOOKUP(A94,'2021 Funding Detail'!$A$4:$W$23,23,(FALSE))</f>
        <v>77363.354881829611</v>
      </c>
      <c r="R94" s="800"/>
    </row>
    <row r="95" spans="1:18" x14ac:dyDescent="0.25">
      <c r="A95" s="767">
        <v>9257009</v>
      </c>
      <c r="B95" t="str">
        <f>CONCATENATE(A95,C95)</f>
        <v>92570092021/22</v>
      </c>
      <c r="C95" t="s">
        <v>958</v>
      </c>
      <c r="D95" t="str">
        <f>CONCATENATE(A95,C95)</f>
        <v>92570092021/22</v>
      </c>
      <c r="E95" s="122">
        <f>VLOOKUP(A95,'2122 Funding Detail'!$A$4:$M$21,13,(FALSE))</f>
        <v>136</v>
      </c>
      <c r="F95" s="460">
        <f>$E$95*'2122 Band Calculations'!D16</f>
        <v>31.552000000000003</v>
      </c>
      <c r="G95" s="460">
        <f>$E$95*'2122 Band Calculations'!E16</f>
        <v>78.335999999999999</v>
      </c>
      <c r="H95" s="460">
        <f>$E$95*'2122 Band Calculations'!F16</f>
        <v>10.88</v>
      </c>
      <c r="I95" s="460">
        <f>$E$95*'2122 Band Calculations'!G16</f>
        <v>3.2640000000000002</v>
      </c>
      <c r="J95" s="460">
        <f>$E$95*'2122 Band Calculations'!H16</f>
        <v>1.0880000000000001</v>
      </c>
      <c r="K95" s="460">
        <f>$E$95*'2122 Band Calculations'!I16</f>
        <v>10.88</v>
      </c>
      <c r="L95" s="460">
        <f>$E$95*'2122 Band Calculations'!J16</f>
        <v>0</v>
      </c>
      <c r="N95" s="16">
        <f>IF(N94&gt;0,(N94),(0))</f>
        <v>620.19281408091035</v>
      </c>
      <c r="R95" s="800"/>
    </row>
    <row r="96" spans="1:18" x14ac:dyDescent="0.25">
      <c r="A96" s="767">
        <v>9257009</v>
      </c>
      <c r="B96" t="str">
        <f t="shared" ref="B96:B100" si="60">CONCATENATE(A96,C96)</f>
        <v>9257009</v>
      </c>
      <c r="F96" s="461">
        <f t="shared" ref="F96:K96" si="61">F95-F94</f>
        <v>8.4292609819121473</v>
      </c>
      <c r="G96" s="461">
        <f t="shared" si="61"/>
        <v>10.251422885572126</v>
      </c>
      <c r="H96" s="461">
        <f t="shared" si="61"/>
        <v>-0.68136950904392712</v>
      </c>
      <c r="I96" s="461">
        <f t="shared" si="61"/>
        <v>1.2615124378109455</v>
      </c>
      <c r="J96" s="461">
        <f t="shared" si="61"/>
        <v>-3.1161343669250652</v>
      </c>
      <c r="K96" s="461">
        <f t="shared" si="61"/>
        <v>-4.8855038759689915</v>
      </c>
      <c r="L96" s="122">
        <f>L94+L95</f>
        <v>0</v>
      </c>
      <c r="M96" s="16"/>
      <c r="R96" s="800"/>
    </row>
    <row r="97" spans="1:18" x14ac:dyDescent="0.25">
      <c r="A97" s="767">
        <v>9257009</v>
      </c>
      <c r="B97" t="str">
        <f t="shared" si="60"/>
        <v>9257009a</v>
      </c>
      <c r="C97" s="289" t="s">
        <v>1012</v>
      </c>
      <c r="D97" s="289" t="s">
        <v>1009</v>
      </c>
      <c r="F97" s="460">
        <f t="shared" ref="F97:K97" si="62">IF(F94&gt;F95,(F95),(F94))</f>
        <v>23.122739018087856</v>
      </c>
      <c r="G97" s="460">
        <f t="shared" si="62"/>
        <v>68.084577114427873</v>
      </c>
      <c r="H97" s="460">
        <f t="shared" si="62"/>
        <v>10.88</v>
      </c>
      <c r="I97" s="460">
        <f t="shared" si="62"/>
        <v>2.0024875621890548</v>
      </c>
      <c r="J97" s="460">
        <f t="shared" si="62"/>
        <v>1.0880000000000001</v>
      </c>
      <c r="K97" s="460">
        <f t="shared" si="62"/>
        <v>10.88</v>
      </c>
      <c r="L97" s="122"/>
      <c r="M97" s="16"/>
      <c r="R97" s="800"/>
    </row>
    <row r="98" spans="1:18" x14ac:dyDescent="0.25">
      <c r="A98" s="767">
        <v>9257009</v>
      </c>
      <c r="B98" t="str">
        <f t="shared" si="60"/>
        <v>9257009b</v>
      </c>
      <c r="C98" s="289" t="s">
        <v>1016</v>
      </c>
      <c r="D98" s="289" t="s">
        <v>1017</v>
      </c>
      <c r="F98" s="16">
        <f>VLOOKUP($F$3,'2122 Band Values'!$A$5:$AU$24,47,(FALSE))</f>
        <v>58.711672125181849</v>
      </c>
      <c r="G98" s="16">
        <f>VLOOKUP($G$3,'2122 Band Values'!$A$5:$AU$24,47,(FALSE))</f>
        <v>70.45400655021831</v>
      </c>
      <c r="H98" s="16">
        <f>VLOOKUP($H$3,'2122 Band Values'!$A$5:$AU$24,47,(FALSE))</f>
        <v>211.36201965065447</v>
      </c>
      <c r="I98" s="16">
        <f>VLOOKUP($I$3,'2122 Band Values'!$A$5:$AU$24,47,(FALSE))</f>
        <v>264.20252456331764</v>
      </c>
      <c r="J98" s="16">
        <f>VLOOKUP($J$3,'2122 Band Values'!$A$5:$AU$24,47,(FALSE))</f>
        <v>264.20252456331764</v>
      </c>
      <c r="K98" s="16">
        <f>VLOOKUP($K$3,'2122 Band Values'!$A$5:$AU$24,47,(FALSE))</f>
        <v>234.8466885007274</v>
      </c>
      <c r="L98" s="122"/>
      <c r="M98" s="16"/>
      <c r="R98" s="800"/>
    </row>
    <row r="99" spans="1:18" x14ac:dyDescent="0.25">
      <c r="A99" s="767">
        <v>9257009</v>
      </c>
      <c r="B99" t="str">
        <f>CONCATENATE(A99,C99)</f>
        <v>9257009c</v>
      </c>
      <c r="C99" s="289" t="s">
        <v>1020</v>
      </c>
      <c r="D99" s="289" t="s">
        <v>697</v>
      </c>
      <c r="F99" s="16">
        <f t="shared" ref="F99:K99" si="63">IF(F98&gt;$N$95,(0*F97),(($N$95-F98)*F97))</f>
        <v>12982.981909020249</v>
      </c>
      <c r="G99" s="16">
        <f t="shared" si="63"/>
        <v>37428.734234117022</v>
      </c>
      <c r="H99" s="16">
        <f t="shared" si="63"/>
        <v>4448.0790434011842</v>
      </c>
      <c r="I99" s="16">
        <f t="shared" si="63"/>
        <v>712.86612701906006</v>
      </c>
      <c r="J99" s="16">
        <f t="shared" si="63"/>
        <v>387.3174349951409</v>
      </c>
      <c r="K99" s="16">
        <f t="shared" si="63"/>
        <v>4192.5658463123909</v>
      </c>
      <c r="L99" s="395">
        <f>SUM(F99:K99)</f>
        <v>60152.544594865052</v>
      </c>
      <c r="M99" s="16">
        <f>L99-O94</f>
        <v>-17210.810286964559</v>
      </c>
      <c r="R99" s="800"/>
    </row>
    <row r="100" spans="1:18" x14ac:dyDescent="0.25">
      <c r="A100" s="767">
        <v>9257009</v>
      </c>
      <c r="B100" t="str">
        <f t="shared" si="60"/>
        <v>9257009d</v>
      </c>
      <c r="C100" s="289" t="s">
        <v>1068</v>
      </c>
      <c r="D100" s="289" t="s">
        <v>1014</v>
      </c>
      <c r="F100" s="16">
        <f t="shared" ref="F100:K100" si="64">IF(F99&gt;0,(F99/F97),(0))</f>
        <v>561.4811419557285</v>
      </c>
      <c r="G100" s="16">
        <f t="shared" si="64"/>
        <v>549.73880753069204</v>
      </c>
      <c r="H100" s="16">
        <f t="shared" si="64"/>
        <v>408.83079443025588</v>
      </c>
      <c r="I100" s="16">
        <f t="shared" si="64"/>
        <v>355.99028951759271</v>
      </c>
      <c r="J100" s="16">
        <f t="shared" si="64"/>
        <v>355.99028951759271</v>
      </c>
      <c r="K100" s="16">
        <f t="shared" si="64"/>
        <v>385.34612558018296</v>
      </c>
      <c r="L100" s="16"/>
      <c r="M100" s="16"/>
      <c r="R100" s="800"/>
    </row>
    <row r="101" spans="1:18" ht="13" x14ac:dyDescent="0.3">
      <c r="A101" s="91"/>
      <c r="C101" s="184" t="s">
        <v>1069</v>
      </c>
      <c r="D101" s="184" t="s">
        <v>1070</v>
      </c>
      <c r="E101" s="799">
        <f>SUM(F101:K101)</f>
        <v>116.05780369470477</v>
      </c>
      <c r="F101" s="799">
        <f>IF(F94&lt;F95,F94,F95)</f>
        <v>23.122739018087856</v>
      </c>
      <c r="G101" s="799">
        <f t="shared" ref="G101:K101" si="65">IF(G94&lt;G95,G94,G95)</f>
        <v>68.084577114427873</v>
      </c>
      <c r="H101" s="799">
        <f t="shared" si="65"/>
        <v>10.88</v>
      </c>
      <c r="I101" s="799">
        <f t="shared" si="65"/>
        <v>2.0024875621890548</v>
      </c>
      <c r="J101" s="799">
        <f t="shared" si="65"/>
        <v>1.0880000000000001</v>
      </c>
      <c r="K101" s="799">
        <f t="shared" si="65"/>
        <v>10.88</v>
      </c>
      <c r="L101" s="799">
        <v>0</v>
      </c>
      <c r="M101" s="16"/>
      <c r="R101" s="800"/>
    </row>
    <row r="102" spans="1:18" x14ac:dyDescent="0.25">
      <c r="A102" s="463"/>
      <c r="B102" s="463" t="s">
        <v>890</v>
      </c>
      <c r="C102" s="463"/>
      <c r="D102" s="463"/>
      <c r="E102" s="464"/>
      <c r="F102" s="465"/>
      <c r="G102" s="465"/>
      <c r="H102" s="465"/>
      <c r="I102" s="465"/>
      <c r="J102" s="465"/>
      <c r="K102" s="465"/>
      <c r="L102" s="465"/>
      <c r="M102" s="465"/>
      <c r="N102" s="464"/>
      <c r="O102" s="464"/>
      <c r="P102" s="464"/>
      <c r="Q102" s="464"/>
    </row>
    <row r="103" spans="1:18" x14ac:dyDescent="0.25">
      <c r="A103" s="244">
        <v>9257029</v>
      </c>
      <c r="B103" t="str">
        <f>CONCATENATE(A103,C103)</f>
        <v>92570292020/21</v>
      </c>
      <c r="C103" t="s">
        <v>947</v>
      </c>
      <c r="D103" s="289" t="s">
        <v>1009</v>
      </c>
      <c r="E103" s="122">
        <f>'202021 MFG Protection'!E86</f>
        <v>56.75</v>
      </c>
      <c r="F103" s="122">
        <f>'202021 MFG Protection'!F86</f>
        <v>0</v>
      </c>
      <c r="G103" s="122">
        <f>'202021 MFG Protection'!G86</f>
        <v>0</v>
      </c>
      <c r="H103" s="122">
        <f>'202021 MFG Protection'!H86</f>
        <v>56.75</v>
      </c>
      <c r="I103" s="122">
        <f>'202021 MFG Protection'!I86</f>
        <v>0</v>
      </c>
      <c r="J103" s="122">
        <f>'202021 MFG Protection'!J86</f>
        <v>0</v>
      </c>
      <c r="K103" s="122">
        <f>'202021 MFG Protection'!K86</f>
        <v>0</v>
      </c>
      <c r="L103" s="122">
        <f>'202021 MFG Protection'!L86</f>
        <v>0</v>
      </c>
      <c r="N103" s="16">
        <f>'202021 MFG Protection'!N81</f>
        <v>298.91737375922457</v>
      </c>
      <c r="O103" s="16">
        <f>VLOOKUP(A103,'2021 Funding Detail'!$A$4:$W$23,23,(FALSE))</f>
        <v>16963.560960835996</v>
      </c>
      <c r="R103" s="800"/>
    </row>
    <row r="104" spans="1:18" x14ac:dyDescent="0.25">
      <c r="A104" s="244">
        <v>9257029</v>
      </c>
      <c r="B104" t="str">
        <f>CONCATENATE(A104,C104)</f>
        <v>92570292021/22</v>
      </c>
      <c r="C104" t="s">
        <v>958</v>
      </c>
      <c r="D104" t="str">
        <f>CONCATENATE(A104,C104)</f>
        <v>92570292021/22</v>
      </c>
      <c r="E104" s="122">
        <f>VLOOKUP(A104,'2122 Funding Detail'!$A$4:$M$21,13,(FALSE))</f>
        <v>74.666666666666671</v>
      </c>
      <c r="F104" s="460">
        <f>$E$104*'2122 Band Calculations'!D17</f>
        <v>0</v>
      </c>
      <c r="G104" s="460">
        <f>$E$104*'2122 Band Calculations'!E17</f>
        <v>0</v>
      </c>
      <c r="H104" s="460">
        <f>$E$104*'2122 Band Calculations'!F17</f>
        <v>74.666666666666671</v>
      </c>
      <c r="I104" s="460">
        <f>$E$104*'2122 Band Calculations'!G17</f>
        <v>0</v>
      </c>
      <c r="J104" s="460">
        <f>$E$104*'2122 Band Calculations'!H17</f>
        <v>0</v>
      </c>
      <c r="K104" s="460">
        <f>$E$104*'2122 Band Calculations'!I17</f>
        <v>0</v>
      </c>
      <c r="L104" s="460">
        <f>$E$104*'2122 Band Calculations'!J17</f>
        <v>0</v>
      </c>
      <c r="N104" s="16">
        <f>IF(N103&gt;0,(N103),(0))</f>
        <v>298.91737375922457</v>
      </c>
      <c r="R104" s="800"/>
    </row>
    <row r="105" spans="1:18" x14ac:dyDescent="0.25">
      <c r="A105" s="244">
        <v>9257029</v>
      </c>
      <c r="B105" t="str">
        <f t="shared" ref="B105:B109" si="66">CONCATENATE(A105,C105)</f>
        <v>9257029</v>
      </c>
      <c r="F105" s="461">
        <f t="shared" ref="F105:K105" si="67">F104-F103</f>
        <v>0</v>
      </c>
      <c r="G105" s="461">
        <f t="shared" si="67"/>
        <v>0</v>
      </c>
      <c r="H105" s="461">
        <f t="shared" si="67"/>
        <v>17.916666666666671</v>
      </c>
      <c r="I105" s="461">
        <f t="shared" si="67"/>
        <v>0</v>
      </c>
      <c r="J105" s="461">
        <f t="shared" si="67"/>
        <v>0</v>
      </c>
      <c r="K105" s="461">
        <f t="shared" si="67"/>
        <v>0</v>
      </c>
      <c r="R105" s="800"/>
    </row>
    <row r="106" spans="1:18" x14ac:dyDescent="0.25">
      <c r="A106" s="244">
        <v>9257029</v>
      </c>
      <c r="B106" t="str">
        <f t="shared" si="66"/>
        <v>9257029a</v>
      </c>
      <c r="C106" s="289" t="s">
        <v>1012</v>
      </c>
      <c r="D106" s="289" t="s">
        <v>1009</v>
      </c>
      <c r="F106" s="460">
        <f t="shared" ref="F106:K106" si="68">IF(F103&gt;F104,(F104),(F103))</f>
        <v>0</v>
      </c>
      <c r="G106" s="460">
        <f t="shared" si="68"/>
        <v>0</v>
      </c>
      <c r="H106" s="460">
        <f t="shared" si="68"/>
        <v>56.75</v>
      </c>
      <c r="I106" s="460">
        <f t="shared" si="68"/>
        <v>0</v>
      </c>
      <c r="J106" s="460">
        <f t="shared" si="68"/>
        <v>0</v>
      </c>
      <c r="K106" s="460">
        <f t="shared" si="68"/>
        <v>0</v>
      </c>
      <c r="L106" s="122"/>
      <c r="M106" s="16"/>
      <c r="O106" s="16"/>
      <c r="P106" s="16"/>
      <c r="R106" s="800"/>
    </row>
    <row r="107" spans="1:18" x14ac:dyDescent="0.25">
      <c r="A107" s="244">
        <v>9257029</v>
      </c>
      <c r="B107" t="str">
        <f t="shared" si="66"/>
        <v>9257029b</v>
      </c>
      <c r="C107" s="289" t="s">
        <v>1016</v>
      </c>
      <c r="D107" s="289" t="s">
        <v>1017</v>
      </c>
      <c r="F107" s="16">
        <f>VLOOKUP($F$3,'2122 Band Values'!$A$5:$AU$24,47,(FALSE))</f>
        <v>58.711672125181849</v>
      </c>
      <c r="G107" s="16">
        <f>VLOOKUP($G$3,'2122 Band Values'!$A$5:$AU$24,47,(FALSE))</f>
        <v>70.45400655021831</v>
      </c>
      <c r="H107" s="16">
        <f>VLOOKUP($H$3,'2122 Band Values'!$A$5:$AU$24,47,(FALSE))</f>
        <v>211.36201965065447</v>
      </c>
      <c r="I107" s="16">
        <f>VLOOKUP($I$3,'2122 Band Values'!$A$5:$AU$24,47,(FALSE))</f>
        <v>264.20252456331764</v>
      </c>
      <c r="J107" s="16">
        <f>VLOOKUP($J$3,'2122 Band Values'!$A$5:$AU$24,47,(FALSE))</f>
        <v>264.20252456331764</v>
      </c>
      <c r="K107" s="16">
        <f>VLOOKUP($K$3,'2122 Band Values'!$A$5:$AU$24,47,(FALSE))</f>
        <v>234.8466885007274</v>
      </c>
      <c r="L107" s="122"/>
      <c r="M107" s="16"/>
      <c r="R107" s="800"/>
    </row>
    <row r="108" spans="1:18" x14ac:dyDescent="0.25">
      <c r="A108" s="244">
        <v>9257029</v>
      </c>
      <c r="B108" t="str">
        <f>CONCATENATE(A108,C108)</f>
        <v>9257029c</v>
      </c>
      <c r="C108" s="289" t="s">
        <v>1020</v>
      </c>
      <c r="D108" s="289" t="s">
        <v>697</v>
      </c>
      <c r="F108" s="16">
        <f t="shared" ref="F108:K108" si="69">IF(F107&gt;$N$104,(0*F106),(($N$104-F107)*F106))</f>
        <v>0</v>
      </c>
      <c r="G108" s="16">
        <f t="shared" si="69"/>
        <v>0</v>
      </c>
      <c r="H108" s="16">
        <f t="shared" si="69"/>
        <v>4968.7663456613536</v>
      </c>
      <c r="I108" s="16">
        <f t="shared" si="69"/>
        <v>0</v>
      </c>
      <c r="J108" s="16">
        <f t="shared" si="69"/>
        <v>0</v>
      </c>
      <c r="K108" s="16">
        <f t="shared" si="69"/>
        <v>0</v>
      </c>
      <c r="L108" s="395">
        <f>SUM(F108:K108)</f>
        <v>4968.7663456613536</v>
      </c>
      <c r="M108" s="16">
        <f>L108-O103</f>
        <v>-11994.794615174642</v>
      </c>
      <c r="R108" s="800"/>
    </row>
    <row r="109" spans="1:18" x14ac:dyDescent="0.25">
      <c r="A109" s="244">
        <v>9257029</v>
      </c>
      <c r="B109" t="str">
        <f t="shared" si="66"/>
        <v>9257029d</v>
      </c>
      <c r="C109" s="289" t="s">
        <v>1068</v>
      </c>
      <c r="D109" s="289" t="s">
        <v>1014</v>
      </c>
      <c r="F109" s="16">
        <f t="shared" ref="F109:K109" si="70">IF(F108&gt;0,(F108/F106),(0))</f>
        <v>0</v>
      </c>
      <c r="G109" s="16">
        <f t="shared" si="70"/>
        <v>0</v>
      </c>
      <c r="H109" s="16">
        <f t="shared" si="70"/>
        <v>87.555354108570114</v>
      </c>
      <c r="I109" s="16">
        <f t="shared" si="70"/>
        <v>0</v>
      </c>
      <c r="J109" s="16">
        <f t="shared" si="70"/>
        <v>0</v>
      </c>
      <c r="K109" s="16">
        <f t="shared" si="70"/>
        <v>0</v>
      </c>
      <c r="L109" s="16"/>
      <c r="M109" s="16"/>
      <c r="R109" s="800"/>
    </row>
    <row r="110" spans="1:18" ht="13" x14ac:dyDescent="0.3">
      <c r="A110" s="249"/>
      <c r="C110" s="184" t="s">
        <v>1069</v>
      </c>
      <c r="D110" s="184" t="s">
        <v>1070</v>
      </c>
      <c r="E110" s="799">
        <f>SUM(F110:K110)</f>
        <v>56.75</v>
      </c>
      <c r="F110" s="799">
        <f>IF(F103&lt;F104,F103,F104)</f>
        <v>0</v>
      </c>
      <c r="G110" s="799">
        <f t="shared" ref="G110:K110" si="71">IF(G103&lt;G104,G103,G104)</f>
        <v>0</v>
      </c>
      <c r="H110" s="799">
        <f t="shared" si="71"/>
        <v>56.75</v>
      </c>
      <c r="I110" s="799">
        <f t="shared" si="71"/>
        <v>0</v>
      </c>
      <c r="J110" s="799">
        <f t="shared" si="71"/>
        <v>0</v>
      </c>
      <c r="K110" s="799">
        <f t="shared" si="71"/>
        <v>0</v>
      </c>
      <c r="L110" s="799">
        <v>0</v>
      </c>
      <c r="M110" s="16"/>
      <c r="R110" s="800"/>
    </row>
    <row r="111" spans="1:18" x14ac:dyDescent="0.25">
      <c r="A111" s="463"/>
      <c r="B111" s="463" t="s">
        <v>1043</v>
      </c>
      <c r="C111" s="463"/>
      <c r="D111" s="463"/>
      <c r="E111" s="464"/>
      <c r="F111" s="465"/>
      <c r="G111" s="465"/>
      <c r="H111" s="465"/>
      <c r="I111" s="465"/>
      <c r="J111" s="465"/>
      <c r="K111" s="465"/>
      <c r="L111" s="465"/>
      <c r="M111" s="465"/>
      <c r="N111" s="464"/>
      <c r="O111" s="464"/>
      <c r="P111" s="464"/>
      <c r="Q111" s="464"/>
    </row>
    <row r="112" spans="1:18" x14ac:dyDescent="0.25">
      <c r="A112" s="244">
        <v>9257032</v>
      </c>
      <c r="B112" t="str">
        <f>CONCATENATE(A112,C112)</f>
        <v>92570322020/21</v>
      </c>
      <c r="C112" t="s">
        <v>947</v>
      </c>
      <c r="D112" s="289" t="s">
        <v>1009</v>
      </c>
      <c r="E112" s="122">
        <f>'202021 MFG Protection'!E93</f>
        <v>71.416666666666671</v>
      </c>
      <c r="F112" s="122">
        <f>'202021 MFG Protection'!F93</f>
        <v>0</v>
      </c>
      <c r="G112" s="122">
        <f>'202021 MFG Protection'!G93</f>
        <v>0</v>
      </c>
      <c r="H112" s="122">
        <f>'202021 MFG Protection'!H93</f>
        <v>71.416666666666671</v>
      </c>
      <c r="I112" s="122">
        <f>'202021 MFG Protection'!I93</f>
        <v>0</v>
      </c>
      <c r="J112" s="122">
        <f>'202021 MFG Protection'!J93</f>
        <v>0</v>
      </c>
      <c r="K112" s="122">
        <f>'202021 MFG Protection'!K93</f>
        <v>0</v>
      </c>
      <c r="L112" s="122">
        <f>'202021 MFG Protection'!L93</f>
        <v>0</v>
      </c>
      <c r="N112" s="16">
        <f>'202021 MFG Protection'!N88</f>
        <v>587.48862610920514</v>
      </c>
      <c r="O112" s="16">
        <f>VLOOKUP(A112,'2021 Funding Detail'!$A$4:$W$23,23,(FALSE))</f>
        <v>41956.479381299068</v>
      </c>
      <c r="R112" s="800"/>
    </row>
    <row r="113" spans="1:18" x14ac:dyDescent="0.25">
      <c r="A113" s="244">
        <v>9257032</v>
      </c>
      <c r="B113" t="str">
        <f>CONCATENATE(A113,C113)</f>
        <v>92570322021/22</v>
      </c>
      <c r="C113" t="s">
        <v>958</v>
      </c>
      <c r="D113" t="str">
        <f>CONCATENATE(A113,C113)</f>
        <v>92570322021/22</v>
      </c>
      <c r="E113" s="122">
        <f>VLOOKUP(A113,'2122 Funding Detail'!$A$4:$M$21,13,(FALSE))</f>
        <v>94.833333333333343</v>
      </c>
      <c r="F113" s="460">
        <f>$E$113*'2122 Band Calculations'!D18</f>
        <v>0</v>
      </c>
      <c r="G113" s="460">
        <f>$E$113*'2122 Band Calculations'!E18</f>
        <v>0</v>
      </c>
      <c r="H113" s="460">
        <f>$E$113*'2122 Band Calculations'!F18</f>
        <v>94.833333333333343</v>
      </c>
      <c r="I113" s="460">
        <f>$E$113*'2122 Band Calculations'!G18</f>
        <v>0</v>
      </c>
      <c r="J113" s="460">
        <f>$E$113*'2122 Band Calculations'!H18</f>
        <v>0</v>
      </c>
      <c r="K113" s="460">
        <f>$E$113*'2122 Band Calculations'!I18</f>
        <v>0</v>
      </c>
      <c r="L113" s="460">
        <f>$E$113*'2122 Band Calculations'!J18</f>
        <v>0</v>
      </c>
      <c r="N113" s="16">
        <f>IF(N112&gt;0,(N112),(0))</f>
        <v>587.48862610920514</v>
      </c>
      <c r="R113" s="800"/>
    </row>
    <row r="114" spans="1:18" x14ac:dyDescent="0.25">
      <c r="A114" s="244">
        <v>9257032</v>
      </c>
      <c r="B114" t="str">
        <f t="shared" ref="B114:B118" si="72">CONCATENATE(A114,C114)</f>
        <v>9257032</v>
      </c>
      <c r="F114" s="461">
        <f t="shared" ref="F114:K114" si="73">F113-F112</f>
        <v>0</v>
      </c>
      <c r="G114" s="461">
        <f t="shared" si="73"/>
        <v>0</v>
      </c>
      <c r="H114" s="461">
        <f t="shared" si="73"/>
        <v>23.416666666666671</v>
      </c>
      <c r="I114" s="461">
        <f t="shared" si="73"/>
        <v>0</v>
      </c>
      <c r="J114" s="461">
        <f t="shared" si="73"/>
        <v>0</v>
      </c>
      <c r="K114" s="461">
        <f t="shared" si="73"/>
        <v>0</v>
      </c>
      <c r="R114" s="800"/>
    </row>
    <row r="115" spans="1:18" x14ac:dyDescent="0.25">
      <c r="A115" s="244">
        <v>9257032</v>
      </c>
      <c r="B115" t="str">
        <f t="shared" si="72"/>
        <v>9257032a</v>
      </c>
      <c r="C115" s="289" t="s">
        <v>1012</v>
      </c>
      <c r="D115" s="289" t="s">
        <v>1009</v>
      </c>
      <c r="F115" s="460">
        <f t="shared" ref="F115:K115" si="74">IF(F112&gt;F113,(F113),(F112))</f>
        <v>0</v>
      </c>
      <c r="G115" s="460">
        <f t="shared" si="74"/>
        <v>0</v>
      </c>
      <c r="H115" s="460">
        <f t="shared" si="74"/>
        <v>71.416666666666671</v>
      </c>
      <c r="I115" s="460">
        <f t="shared" si="74"/>
        <v>0</v>
      </c>
      <c r="J115" s="460">
        <f t="shared" si="74"/>
        <v>0</v>
      </c>
      <c r="K115" s="460">
        <f t="shared" si="74"/>
        <v>0</v>
      </c>
      <c r="L115" s="122"/>
      <c r="M115" s="16"/>
      <c r="O115" s="16"/>
      <c r="P115" s="16"/>
      <c r="R115" s="800"/>
    </row>
    <row r="116" spans="1:18" x14ac:dyDescent="0.25">
      <c r="A116" s="244">
        <v>9257032</v>
      </c>
      <c r="B116" t="str">
        <f t="shared" si="72"/>
        <v>9257032b</v>
      </c>
      <c r="C116" s="289" t="s">
        <v>1016</v>
      </c>
      <c r="D116" s="289" t="s">
        <v>1017</v>
      </c>
      <c r="F116" s="16">
        <f>VLOOKUP($F$3,'2122 Band Values'!$A$5:$AU$24,47,(FALSE))</f>
        <v>58.711672125181849</v>
      </c>
      <c r="G116" s="16">
        <f>VLOOKUP($G$3,'2122 Band Values'!$A$5:$AU$24,47,(FALSE))</f>
        <v>70.45400655021831</v>
      </c>
      <c r="H116" s="16">
        <f>VLOOKUP($H$3,'2122 Band Values'!$A$5:$AU$24,47,(FALSE))</f>
        <v>211.36201965065447</v>
      </c>
      <c r="I116" s="16">
        <f>VLOOKUP($I$3,'2122 Band Values'!$A$5:$AU$24,47,(FALSE))</f>
        <v>264.20252456331764</v>
      </c>
      <c r="J116" s="16">
        <f>VLOOKUP($J$3,'2122 Band Values'!$A$5:$AU$24,47,(FALSE))</f>
        <v>264.20252456331764</v>
      </c>
      <c r="K116" s="16">
        <f>VLOOKUP($K$3,'2122 Band Values'!$A$5:$AU$24,47,(FALSE))</f>
        <v>234.8466885007274</v>
      </c>
      <c r="L116" s="122"/>
      <c r="M116" s="16"/>
      <c r="R116" s="800"/>
    </row>
    <row r="117" spans="1:18" x14ac:dyDescent="0.25">
      <c r="A117" s="244">
        <v>9257032</v>
      </c>
      <c r="B117" t="str">
        <f>CONCATENATE(A117,C117)</f>
        <v>9257032c</v>
      </c>
      <c r="C117" s="289" t="s">
        <v>1020</v>
      </c>
      <c r="D117" s="289" t="s">
        <v>697</v>
      </c>
      <c r="F117" s="16">
        <f t="shared" ref="F117:K117" si="75">IF(F116&gt;$N$113,(0*F115),(($N$113-F116)*F115))</f>
        <v>0</v>
      </c>
      <c r="G117" s="16">
        <f t="shared" si="75"/>
        <v>0</v>
      </c>
      <c r="H117" s="16">
        <f t="shared" si="75"/>
        <v>26861.708477914828</v>
      </c>
      <c r="I117" s="16">
        <f t="shared" si="75"/>
        <v>0</v>
      </c>
      <c r="J117" s="16">
        <f t="shared" si="75"/>
        <v>0</v>
      </c>
      <c r="K117" s="16">
        <f t="shared" si="75"/>
        <v>0</v>
      </c>
      <c r="L117" s="395">
        <f>SUM(F117:K117)</f>
        <v>26861.708477914828</v>
      </c>
      <c r="M117" s="16">
        <f>L117-O112</f>
        <v>-15094.77090338424</v>
      </c>
      <c r="R117" s="800"/>
    </row>
    <row r="118" spans="1:18" x14ac:dyDescent="0.25">
      <c r="A118" s="244">
        <v>9257032</v>
      </c>
      <c r="B118" t="str">
        <f t="shared" si="72"/>
        <v>9257032d</v>
      </c>
      <c r="C118" s="289" t="s">
        <v>1068</v>
      </c>
      <c r="D118" s="289" t="s">
        <v>1014</v>
      </c>
      <c r="F118" s="16">
        <f t="shared" ref="F118:K118" si="76">IF(F117&gt;0,(F117/F115),(0))</f>
        <v>0</v>
      </c>
      <c r="G118" s="16">
        <f t="shared" si="76"/>
        <v>0</v>
      </c>
      <c r="H118" s="16">
        <f t="shared" si="76"/>
        <v>376.12660645855067</v>
      </c>
      <c r="I118" s="16">
        <f t="shared" si="76"/>
        <v>0</v>
      </c>
      <c r="J118" s="16">
        <f t="shared" si="76"/>
        <v>0</v>
      </c>
      <c r="K118" s="16">
        <f t="shared" si="76"/>
        <v>0</v>
      </c>
      <c r="L118" s="16"/>
      <c r="M118" s="16"/>
      <c r="R118" s="800"/>
    </row>
    <row r="119" spans="1:18" ht="13" x14ac:dyDescent="0.3">
      <c r="A119" s="249"/>
      <c r="C119" s="184" t="s">
        <v>1069</v>
      </c>
      <c r="D119" s="184" t="s">
        <v>1070</v>
      </c>
      <c r="E119" s="799">
        <f>SUM(F119:K119)</f>
        <v>71.416666666666671</v>
      </c>
      <c r="F119" s="799">
        <f>IF(F112&lt;F113,F112,F113)</f>
        <v>0</v>
      </c>
      <c r="G119" s="799">
        <f t="shared" ref="G119:K119" si="77">IF(G112&lt;G113,G112,G113)</f>
        <v>0</v>
      </c>
      <c r="H119" s="799">
        <f t="shared" si="77"/>
        <v>71.416666666666671</v>
      </c>
      <c r="I119" s="799">
        <f t="shared" si="77"/>
        <v>0</v>
      </c>
      <c r="J119" s="799">
        <f t="shared" si="77"/>
        <v>0</v>
      </c>
      <c r="K119" s="799">
        <f t="shared" si="77"/>
        <v>0</v>
      </c>
      <c r="L119" s="799">
        <v>0</v>
      </c>
      <c r="M119" s="16"/>
      <c r="R119" s="800"/>
    </row>
    <row r="120" spans="1:18" x14ac:dyDescent="0.25">
      <c r="A120" s="463"/>
      <c r="B120" s="463" t="s">
        <v>1046</v>
      </c>
      <c r="C120" s="463"/>
      <c r="D120" s="463"/>
      <c r="E120" s="464"/>
      <c r="F120" s="465"/>
      <c r="G120" s="465"/>
      <c r="H120" s="465"/>
      <c r="I120" s="465"/>
      <c r="J120" s="465"/>
      <c r="K120" s="465"/>
      <c r="L120" s="465"/>
      <c r="M120" s="465"/>
      <c r="N120" s="464"/>
      <c r="O120" s="464"/>
      <c r="P120" s="464"/>
      <c r="Q120" s="464"/>
    </row>
    <row r="121" spans="1:18" x14ac:dyDescent="0.25">
      <c r="A121" s="244">
        <v>9257030</v>
      </c>
      <c r="B121" t="str">
        <f>CONCATENATE(A121,C121)</f>
        <v>92570302020/21</v>
      </c>
      <c r="C121" t="s">
        <v>947</v>
      </c>
      <c r="D121" s="289" t="s">
        <v>1009</v>
      </c>
      <c r="E121" s="122">
        <f>'202021 MFG Protection'!E100</f>
        <v>72.333333333333343</v>
      </c>
      <c r="F121" s="122">
        <f>'202021 MFG Protection'!F100</f>
        <v>0</v>
      </c>
      <c r="G121" s="122">
        <f>'202021 MFG Protection'!G100</f>
        <v>0</v>
      </c>
      <c r="H121" s="122">
        <f>'202021 MFG Protection'!H100</f>
        <v>72.333333333333343</v>
      </c>
      <c r="I121" s="122">
        <f>'202021 MFG Protection'!I100</f>
        <v>0</v>
      </c>
      <c r="J121" s="122">
        <f>'202021 MFG Protection'!J100</f>
        <v>0</v>
      </c>
      <c r="K121" s="122">
        <f>'202021 MFG Protection'!K100</f>
        <v>0</v>
      </c>
      <c r="L121" s="122">
        <f>'202021 MFG Protection'!L100</f>
        <v>0</v>
      </c>
      <c r="N121" s="16">
        <f>'202021 MFG Protection'!N95</f>
        <v>671.07753074711582</v>
      </c>
      <c r="O121" s="16">
        <f>VLOOKUP(A121,'2021 Funding Detail'!$A$4:$W$23,23,(FALSE))</f>
        <v>48541.274724041381</v>
      </c>
      <c r="R121" s="800"/>
    </row>
    <row r="122" spans="1:18" x14ac:dyDescent="0.25">
      <c r="A122" s="244">
        <v>9257030</v>
      </c>
      <c r="B122" t="str">
        <f>CONCATENATE(A122,C122)</f>
        <v>92570302021/22</v>
      </c>
      <c r="C122" t="s">
        <v>958</v>
      </c>
      <c r="D122" t="str">
        <f>CONCATENATE(A122,C122)</f>
        <v>92570302021/22</v>
      </c>
      <c r="E122" s="122">
        <f>VLOOKUP(A122,'2122 Funding Detail'!$A$4:$M$21,13,(FALSE))</f>
        <v>73.25</v>
      </c>
      <c r="F122" s="460">
        <f>$E$122*'2122 Band Calculations'!D19</f>
        <v>0</v>
      </c>
      <c r="G122" s="460">
        <f>$E$122*'2122 Band Calculations'!E19</f>
        <v>0</v>
      </c>
      <c r="H122" s="460">
        <f>$E$122*'2122 Band Calculations'!F19</f>
        <v>73.25</v>
      </c>
      <c r="I122" s="460">
        <f>$E$122*'2122 Band Calculations'!G19</f>
        <v>0</v>
      </c>
      <c r="J122" s="460">
        <f>$E$122*'2122 Band Calculations'!H19</f>
        <v>0</v>
      </c>
      <c r="K122" s="460">
        <f>$E$122*'2122 Band Calculations'!I19</f>
        <v>0</v>
      </c>
      <c r="L122" s="460">
        <f>$E$122*'2122 Band Calculations'!J19</f>
        <v>0</v>
      </c>
      <c r="N122" s="16">
        <f>IF(N121&gt;0,(N121),(0))</f>
        <v>671.07753074711582</v>
      </c>
      <c r="R122" s="800"/>
    </row>
    <row r="123" spans="1:18" x14ac:dyDescent="0.25">
      <c r="A123" s="244">
        <v>9257030</v>
      </c>
      <c r="B123" t="str">
        <f t="shared" ref="B123:B127" si="78">CONCATENATE(A123,C123)</f>
        <v>9257030</v>
      </c>
      <c r="F123" s="461">
        <f t="shared" ref="F123:K123" si="79">F122-F121</f>
        <v>0</v>
      </c>
      <c r="G123" s="461">
        <f t="shared" si="79"/>
        <v>0</v>
      </c>
      <c r="H123" s="461">
        <f t="shared" si="79"/>
        <v>0.91666666666665719</v>
      </c>
      <c r="I123" s="461">
        <f t="shared" si="79"/>
        <v>0</v>
      </c>
      <c r="J123" s="461">
        <f t="shared" si="79"/>
        <v>0</v>
      </c>
      <c r="K123" s="461">
        <f t="shared" si="79"/>
        <v>0</v>
      </c>
      <c r="R123" s="800"/>
    </row>
    <row r="124" spans="1:18" x14ac:dyDescent="0.25">
      <c r="A124" s="244">
        <v>9257030</v>
      </c>
      <c r="B124" t="str">
        <f t="shared" si="78"/>
        <v>9257030a</v>
      </c>
      <c r="C124" s="289" t="s">
        <v>1012</v>
      </c>
      <c r="D124" s="289" t="s">
        <v>1009</v>
      </c>
      <c r="F124" s="460">
        <f t="shared" ref="F124:K124" si="80">IF(F121&gt;F122,(F122),(F121))</f>
        <v>0</v>
      </c>
      <c r="G124" s="460">
        <f t="shared" si="80"/>
        <v>0</v>
      </c>
      <c r="H124" s="460">
        <f t="shared" si="80"/>
        <v>72.333333333333343</v>
      </c>
      <c r="I124" s="460">
        <f t="shared" si="80"/>
        <v>0</v>
      </c>
      <c r="J124" s="460">
        <f t="shared" si="80"/>
        <v>0</v>
      </c>
      <c r="K124" s="460">
        <f t="shared" si="80"/>
        <v>0</v>
      </c>
      <c r="L124" s="122"/>
      <c r="M124" s="16"/>
      <c r="O124" s="16"/>
      <c r="P124" s="16"/>
      <c r="R124" s="800"/>
    </row>
    <row r="125" spans="1:18" x14ac:dyDescent="0.25">
      <c r="A125" s="244">
        <v>9257030</v>
      </c>
      <c r="B125" t="str">
        <f t="shared" si="78"/>
        <v>9257030b</v>
      </c>
      <c r="C125" s="289" t="s">
        <v>1016</v>
      </c>
      <c r="D125" s="289" t="s">
        <v>1017</v>
      </c>
      <c r="F125" s="16">
        <f>VLOOKUP($F$3,'2122 Band Values'!$A$5:$AU$24,47,(FALSE))</f>
        <v>58.711672125181849</v>
      </c>
      <c r="G125" s="16">
        <f>VLOOKUP($G$3,'2122 Band Values'!$A$5:$AU$24,47,(FALSE))</f>
        <v>70.45400655021831</v>
      </c>
      <c r="H125" s="16">
        <f>VLOOKUP($H$3,'2122 Band Values'!$A$5:$AU$24,47,(FALSE))</f>
        <v>211.36201965065447</v>
      </c>
      <c r="I125" s="16">
        <f>VLOOKUP($I$3,'2122 Band Values'!$A$5:$AU$24,47,(FALSE))</f>
        <v>264.20252456331764</v>
      </c>
      <c r="J125" s="16">
        <f>VLOOKUP($J$3,'2122 Band Values'!$A$5:$AU$24,47,(FALSE))</f>
        <v>264.20252456331764</v>
      </c>
      <c r="K125" s="16">
        <f>VLOOKUP($K$3,'2122 Band Values'!$A$5:$AU$24,47,(FALSE))</f>
        <v>234.8466885007274</v>
      </c>
      <c r="L125" s="122"/>
      <c r="M125" s="16"/>
      <c r="R125" s="800"/>
    </row>
    <row r="126" spans="1:18" x14ac:dyDescent="0.25">
      <c r="A126" s="244">
        <v>9257030</v>
      </c>
      <c r="B126" t="str">
        <f>CONCATENATE(A126,C126)</f>
        <v>9257030c</v>
      </c>
      <c r="C126" s="289" t="s">
        <v>1020</v>
      </c>
      <c r="D126" s="289" t="s">
        <v>697</v>
      </c>
      <c r="F126" s="16">
        <f t="shared" ref="F126:K126" si="81">IF(F125&gt;$N$122,(0*F124),(($N$122-F125)*F124))</f>
        <v>0</v>
      </c>
      <c r="G126" s="16">
        <f t="shared" si="81"/>
        <v>0</v>
      </c>
      <c r="H126" s="16">
        <f t="shared" si="81"/>
        <v>33252.755302644044</v>
      </c>
      <c r="I126" s="16">
        <f t="shared" si="81"/>
        <v>0</v>
      </c>
      <c r="J126" s="16">
        <f t="shared" si="81"/>
        <v>0</v>
      </c>
      <c r="K126" s="16">
        <f t="shared" si="81"/>
        <v>0</v>
      </c>
      <c r="L126" s="395">
        <f>SUM(F126:K126)</f>
        <v>33252.755302644044</v>
      </c>
      <c r="M126" s="16">
        <f>L126-O121</f>
        <v>-15288.519421397337</v>
      </c>
      <c r="R126" s="800"/>
    </row>
    <row r="127" spans="1:18" x14ac:dyDescent="0.25">
      <c r="A127" s="244">
        <v>9257030</v>
      </c>
      <c r="B127" t="str">
        <f t="shared" si="78"/>
        <v>9257030d</v>
      </c>
      <c r="C127" s="289" t="s">
        <v>1068</v>
      </c>
      <c r="D127" s="289" t="s">
        <v>1014</v>
      </c>
      <c r="F127" s="16">
        <f t="shared" ref="F127:K127" si="82">IF(F126&gt;0,(F126/F124),(0))</f>
        <v>0</v>
      </c>
      <c r="G127" s="16">
        <f t="shared" si="82"/>
        <v>0</v>
      </c>
      <c r="H127" s="16">
        <f t="shared" si="82"/>
        <v>459.7155110964614</v>
      </c>
      <c r="I127" s="16">
        <f t="shared" si="82"/>
        <v>0</v>
      </c>
      <c r="J127" s="16">
        <f t="shared" si="82"/>
        <v>0</v>
      </c>
      <c r="K127" s="16">
        <f t="shared" si="82"/>
        <v>0</v>
      </c>
      <c r="L127" s="16"/>
      <c r="M127" s="16"/>
      <c r="R127" s="800"/>
    </row>
    <row r="128" spans="1:18" ht="13" x14ac:dyDescent="0.3">
      <c r="A128" s="249"/>
      <c r="C128" s="184" t="s">
        <v>1069</v>
      </c>
      <c r="D128" s="184" t="s">
        <v>1070</v>
      </c>
      <c r="E128" s="799">
        <f>SUM(F128:K128)</f>
        <v>72.333333333333343</v>
      </c>
      <c r="F128" s="799">
        <f>IF(F121&lt;F122,F121,F122)</f>
        <v>0</v>
      </c>
      <c r="G128" s="799">
        <f t="shared" ref="G128:K128" si="83">IF(G121&lt;G122,G121,G122)</f>
        <v>0</v>
      </c>
      <c r="H128" s="799">
        <f t="shared" si="83"/>
        <v>72.333333333333343</v>
      </c>
      <c r="I128" s="799">
        <f t="shared" si="83"/>
        <v>0</v>
      </c>
      <c r="J128" s="799">
        <f t="shared" si="83"/>
        <v>0</v>
      </c>
      <c r="K128" s="799">
        <f t="shared" si="83"/>
        <v>0</v>
      </c>
      <c r="L128" s="799">
        <v>0</v>
      </c>
      <c r="M128" s="16"/>
      <c r="R128" s="800"/>
    </row>
    <row r="129" spans="1:18" x14ac:dyDescent="0.25">
      <c r="A129" s="463"/>
      <c r="B129" s="463" t="s">
        <v>215</v>
      </c>
      <c r="C129" s="463"/>
      <c r="D129" s="463"/>
      <c r="E129" s="464"/>
      <c r="F129" s="465"/>
      <c r="G129" s="465"/>
      <c r="H129" s="465"/>
      <c r="I129" s="465"/>
      <c r="J129" s="465"/>
      <c r="K129" s="465"/>
      <c r="L129" s="465"/>
      <c r="M129" s="465"/>
      <c r="N129" s="464"/>
      <c r="O129" s="464"/>
      <c r="P129" s="464"/>
      <c r="Q129" s="464"/>
    </row>
    <row r="130" spans="1:18" x14ac:dyDescent="0.25">
      <c r="A130" s="244">
        <v>9257028</v>
      </c>
      <c r="B130" t="str">
        <f>CONCATENATE(A130,C130)</f>
        <v>92570282020/21</v>
      </c>
      <c r="C130" t="s">
        <v>947</v>
      </c>
      <c r="D130" s="289" t="s">
        <v>1009</v>
      </c>
      <c r="E130" s="122">
        <f>'202021 MFG Protection'!E107</f>
        <v>0</v>
      </c>
      <c r="F130" s="122">
        <f>'202021 MFG Protection'!F107</f>
        <v>0</v>
      </c>
      <c r="G130" s="122">
        <f>'202021 MFG Protection'!G107</f>
        <v>0</v>
      </c>
      <c r="H130" s="122">
        <f>'202021 MFG Protection'!H107</f>
        <v>0</v>
      </c>
      <c r="I130" s="122">
        <f>'202021 MFG Protection'!I107</f>
        <v>0</v>
      </c>
      <c r="J130" s="122">
        <f>'202021 MFG Protection'!J107</f>
        <v>0</v>
      </c>
      <c r="K130" s="122">
        <f>'202021 MFG Protection'!K107</f>
        <v>0</v>
      </c>
      <c r="L130" s="122">
        <f>'202021 MFG Protection'!L107</f>
        <v>0</v>
      </c>
      <c r="N130" s="16">
        <f>'202021 MFG Protection'!N102</f>
        <v>-262.82852311932766</v>
      </c>
      <c r="O130" s="16">
        <f>VLOOKUP(A130,'2021 Funding Detail'!$A$4:$W$23,23,(FALSE))</f>
        <v>0</v>
      </c>
      <c r="R130" s="800"/>
    </row>
    <row r="131" spans="1:18" x14ac:dyDescent="0.25">
      <c r="A131" s="244">
        <v>9257028</v>
      </c>
      <c r="B131" t="str">
        <f>CONCATENATE(A131,C131)</f>
        <v>92570282021/22</v>
      </c>
      <c r="C131" t="s">
        <v>958</v>
      </c>
      <c r="D131" t="str">
        <f>CONCATENATE(A131,C131)</f>
        <v>92570282021/22</v>
      </c>
      <c r="E131" s="122">
        <f>VLOOKUP(A131,'2122 Funding Detail'!$A$4:$M$21,13,(FALSE))</f>
        <v>112.16666666666667</v>
      </c>
      <c r="F131" s="460">
        <f>$E$131*'2122 Band Calculations'!D20</f>
        <v>9.9950495049504955</v>
      </c>
      <c r="G131" s="460">
        <f>$E$131*'2122 Band Calculations'!E20</f>
        <v>45.533003300330037</v>
      </c>
      <c r="H131" s="460">
        <f>$E$131*'2122 Band Calculations'!F20</f>
        <v>8.8844884488448841</v>
      </c>
      <c r="I131" s="460">
        <f>$E$131*'2122 Band Calculations'!G20</f>
        <v>9.9950495049504955</v>
      </c>
      <c r="J131" s="460">
        <f>$E$131*'2122 Band Calculations'!H20</f>
        <v>14.437293729372938</v>
      </c>
      <c r="K131" s="460">
        <f>$E$131*'2122 Band Calculations'!I20</f>
        <v>11.105610561056107</v>
      </c>
      <c r="L131" s="460">
        <f>$E$131*'2122 Band Calculations'!J20</f>
        <v>12.216171617161717</v>
      </c>
      <c r="N131" s="16">
        <f>IF(N130&gt;0,(N130),(0))</f>
        <v>0</v>
      </c>
      <c r="R131" s="800"/>
    </row>
    <row r="132" spans="1:18" x14ac:dyDescent="0.25">
      <c r="A132" s="244">
        <v>9257028</v>
      </c>
      <c r="B132" t="str">
        <f t="shared" ref="B132:B136" si="84">CONCATENATE(A132,C132)</f>
        <v>9257028</v>
      </c>
      <c r="F132" s="461">
        <f t="shared" ref="F132:K132" si="85">F131-F130</f>
        <v>9.9950495049504955</v>
      </c>
      <c r="G132" s="461">
        <f t="shared" si="85"/>
        <v>45.533003300330037</v>
      </c>
      <c r="H132" s="461">
        <f t="shared" si="85"/>
        <v>8.8844884488448841</v>
      </c>
      <c r="I132" s="461">
        <f t="shared" si="85"/>
        <v>9.9950495049504955</v>
      </c>
      <c r="J132" s="461">
        <f t="shared" si="85"/>
        <v>14.437293729372938</v>
      </c>
      <c r="K132" s="461">
        <f t="shared" si="85"/>
        <v>11.105610561056107</v>
      </c>
      <c r="R132" s="800"/>
    </row>
    <row r="133" spans="1:18" x14ac:dyDescent="0.25">
      <c r="A133" s="244">
        <v>9257028</v>
      </c>
      <c r="B133" t="str">
        <f t="shared" si="84"/>
        <v>9257028a</v>
      </c>
      <c r="C133" s="289" t="s">
        <v>1012</v>
      </c>
      <c r="D133" s="289" t="s">
        <v>1009</v>
      </c>
      <c r="F133" s="460">
        <f t="shared" ref="F133:K133" si="86">IF(F130&gt;F131,(F131),(F130))</f>
        <v>0</v>
      </c>
      <c r="G133" s="460">
        <f t="shared" si="86"/>
        <v>0</v>
      </c>
      <c r="H133" s="460">
        <f t="shared" si="86"/>
        <v>0</v>
      </c>
      <c r="I133" s="460">
        <f t="shared" si="86"/>
        <v>0</v>
      </c>
      <c r="J133" s="460">
        <f t="shared" si="86"/>
        <v>0</v>
      </c>
      <c r="K133" s="460">
        <f t="shared" si="86"/>
        <v>0</v>
      </c>
      <c r="L133" s="122"/>
      <c r="M133" s="16"/>
      <c r="O133" s="16"/>
      <c r="P133" s="16"/>
      <c r="R133" s="800"/>
    </row>
    <row r="134" spans="1:18" x14ac:dyDescent="0.25">
      <c r="A134" s="244">
        <v>9257028</v>
      </c>
      <c r="B134" t="str">
        <f t="shared" si="84"/>
        <v>9257028b</v>
      </c>
      <c r="C134" s="289" t="s">
        <v>1016</v>
      </c>
      <c r="D134" s="289" t="s">
        <v>1017</v>
      </c>
      <c r="F134" s="16">
        <f>VLOOKUP($F$3,'2122 Band Values'!$A$5:$AU$24,47,(FALSE))</f>
        <v>58.711672125181849</v>
      </c>
      <c r="G134" s="16">
        <f>VLOOKUP($G$3,'2122 Band Values'!$A$5:$AU$24,47,(FALSE))</f>
        <v>70.45400655021831</v>
      </c>
      <c r="H134" s="16">
        <f>VLOOKUP($H$3,'2122 Band Values'!$A$5:$AU$24,47,(FALSE))</f>
        <v>211.36201965065447</v>
      </c>
      <c r="I134" s="16">
        <f>VLOOKUP($I$3,'2122 Band Values'!$A$5:$AU$24,47,(FALSE))</f>
        <v>264.20252456331764</v>
      </c>
      <c r="J134" s="16">
        <f>VLOOKUP($J$3,'2122 Band Values'!$A$5:$AU$24,47,(FALSE))</f>
        <v>264.20252456331764</v>
      </c>
      <c r="K134" s="16">
        <f>VLOOKUP($K$3,'2122 Band Values'!$A$5:$AU$24,47,(FALSE))</f>
        <v>234.8466885007274</v>
      </c>
      <c r="L134" s="122"/>
      <c r="M134" s="16"/>
      <c r="R134" s="800"/>
    </row>
    <row r="135" spans="1:18" x14ac:dyDescent="0.25">
      <c r="A135" s="244">
        <v>9257028</v>
      </c>
      <c r="B135" t="str">
        <f>CONCATENATE(A135,C135)</f>
        <v>9257028c</v>
      </c>
      <c r="C135" s="289" t="s">
        <v>1020</v>
      </c>
      <c r="D135" s="289" t="s">
        <v>697</v>
      </c>
      <c r="F135" s="16">
        <f t="shared" ref="F135:K135" si="87">IF(F134&gt;$N$131,(0*F133),(($N$131-F134)*F133))</f>
        <v>0</v>
      </c>
      <c r="G135" s="16">
        <f t="shared" si="87"/>
        <v>0</v>
      </c>
      <c r="H135" s="16">
        <f t="shared" si="87"/>
        <v>0</v>
      </c>
      <c r="I135" s="16">
        <f t="shared" si="87"/>
        <v>0</v>
      </c>
      <c r="J135" s="16">
        <f t="shared" si="87"/>
        <v>0</v>
      </c>
      <c r="K135" s="16">
        <f t="shared" si="87"/>
        <v>0</v>
      </c>
      <c r="L135" s="395">
        <f>SUM(F135:K135)</f>
        <v>0</v>
      </c>
      <c r="M135" s="16">
        <f>L135-O130</f>
        <v>0</v>
      </c>
      <c r="R135" s="800"/>
    </row>
    <row r="136" spans="1:18" x14ac:dyDescent="0.25">
      <c r="A136" s="244">
        <v>9257028</v>
      </c>
      <c r="B136" t="str">
        <f t="shared" si="84"/>
        <v>9257028d</v>
      </c>
      <c r="C136" s="289" t="s">
        <v>1068</v>
      </c>
      <c r="D136" s="289" t="s">
        <v>1014</v>
      </c>
      <c r="F136" s="16">
        <f t="shared" ref="F136:K136" si="88">IF(F135&gt;0,(F135/F133),(0))</f>
        <v>0</v>
      </c>
      <c r="G136" s="16">
        <f t="shared" si="88"/>
        <v>0</v>
      </c>
      <c r="H136" s="16">
        <f t="shared" si="88"/>
        <v>0</v>
      </c>
      <c r="I136" s="16">
        <f t="shared" si="88"/>
        <v>0</v>
      </c>
      <c r="J136" s="16">
        <f t="shared" si="88"/>
        <v>0</v>
      </c>
      <c r="K136" s="16">
        <f t="shared" si="88"/>
        <v>0</v>
      </c>
      <c r="L136" s="16"/>
      <c r="M136" s="16"/>
      <c r="R136" s="800"/>
    </row>
    <row r="137" spans="1:18" ht="13" x14ac:dyDescent="0.3">
      <c r="A137" s="249"/>
      <c r="C137" s="184" t="s">
        <v>1069</v>
      </c>
      <c r="D137" s="184" t="s">
        <v>1070</v>
      </c>
      <c r="E137" s="799">
        <f>SUM(F137:K137)</f>
        <v>0</v>
      </c>
      <c r="F137" s="799">
        <f>IF(F130&lt;F131,F130,F131)</f>
        <v>0</v>
      </c>
      <c r="G137" s="799">
        <f t="shared" ref="G137:K137" si="89">IF(G130&lt;G131,G130,G131)</f>
        <v>0</v>
      </c>
      <c r="H137" s="799">
        <f t="shared" si="89"/>
        <v>0</v>
      </c>
      <c r="I137" s="799">
        <f t="shared" si="89"/>
        <v>0</v>
      </c>
      <c r="J137" s="799">
        <f t="shared" si="89"/>
        <v>0</v>
      </c>
      <c r="K137" s="799">
        <f t="shared" si="89"/>
        <v>0</v>
      </c>
      <c r="L137" s="799">
        <v>0</v>
      </c>
      <c r="M137" s="16"/>
      <c r="R137" s="800"/>
    </row>
    <row r="138" spans="1:18" x14ac:dyDescent="0.25">
      <c r="A138" s="463"/>
      <c r="B138" s="463" t="s">
        <v>216</v>
      </c>
      <c r="C138" s="463"/>
      <c r="D138" s="463"/>
      <c r="E138" s="464"/>
      <c r="F138" s="465"/>
      <c r="G138" s="465"/>
      <c r="H138" s="465"/>
      <c r="I138" s="465"/>
      <c r="J138" s="465"/>
      <c r="K138" s="465"/>
      <c r="L138" s="465"/>
      <c r="M138" s="465"/>
      <c r="N138" s="464"/>
      <c r="O138" s="464"/>
      <c r="P138" s="464"/>
      <c r="Q138" s="464"/>
    </row>
    <row r="139" spans="1:18" x14ac:dyDescent="0.25">
      <c r="A139" s="244">
        <v>9257021</v>
      </c>
      <c r="B139" t="str">
        <f>CONCATENATE(A139,C139)</f>
        <v>92570212020/21</v>
      </c>
      <c r="C139" t="s">
        <v>947</v>
      </c>
      <c r="D139" s="289" t="s">
        <v>1009</v>
      </c>
      <c r="E139" s="122">
        <f>'202021 MFG Protection'!E109</f>
        <v>159.08333333333334</v>
      </c>
      <c r="F139" s="122">
        <f>'202021 MFG Protection'!F109</f>
        <v>44.189814814814817</v>
      </c>
      <c r="G139" s="122">
        <f>'202021 MFG Protection'!G109</f>
        <v>55.973765432098773</v>
      </c>
      <c r="H139" s="122">
        <f>'202021 MFG Protection'!H109</f>
        <v>15.7119341563786</v>
      </c>
      <c r="I139" s="122">
        <f>'202021 MFG Protection'!I109</f>
        <v>6.8739711934156382</v>
      </c>
      <c r="J139" s="122">
        <f>'202021 MFG Protection'!J109</f>
        <v>11.783950617283951</v>
      </c>
      <c r="K139" s="122">
        <f>'202021 MFG Protection'!K109</f>
        <v>23.567901234567902</v>
      </c>
      <c r="L139" s="122">
        <f>'202021 MFG Protection'!L109</f>
        <v>0.98199588477366251</v>
      </c>
      <c r="N139" s="16">
        <f>'202021 MFG Protection'!N109</f>
        <v>194.43750827352051</v>
      </c>
      <c r="O139" s="16">
        <f>VLOOKUP(A139,'2021 Funding Detail'!$A$4:$W$23,23,(FALSE))</f>
        <v>29747.944095442574</v>
      </c>
      <c r="R139" s="800"/>
    </row>
    <row r="140" spans="1:18" x14ac:dyDescent="0.25">
      <c r="A140" s="244">
        <v>9257021</v>
      </c>
      <c r="B140" t="str">
        <f>CONCATENATE(A140,C140)</f>
        <v>92570212021/22</v>
      </c>
      <c r="C140" t="s">
        <v>958</v>
      </c>
      <c r="D140" t="str">
        <f>CONCATENATE(A140,C140)</f>
        <v>92570212021/22</v>
      </c>
      <c r="E140" s="122">
        <f>VLOOKUP(A140,'2122 Funding Detail'!$A$4:$M$21,13,(FALSE))</f>
        <v>167.75</v>
      </c>
      <c r="F140" s="460">
        <f>$E$140*'2122 Band Calculations'!D21</f>
        <v>45.006097560975611</v>
      </c>
      <c r="G140" s="460">
        <f>$E$140*'2122 Band Calculations'!E21</f>
        <v>71.600609756097555</v>
      </c>
      <c r="H140" s="460">
        <f>$E$140*'2122 Band Calculations'!F21</f>
        <v>13.297256097560975</v>
      </c>
      <c r="I140" s="460">
        <f>$E$140*'2122 Band Calculations'!G21</f>
        <v>11.251524390243903</v>
      </c>
      <c r="J140" s="460">
        <f>$E$140*'2122 Band Calculations'!H21</f>
        <v>9.2057926829268286</v>
      </c>
      <c r="K140" s="460">
        <f>$E$140*'2122 Band Calculations'!I21</f>
        <v>15.342987804878048</v>
      </c>
      <c r="L140" s="460">
        <f>$E$140*'2122 Band Calculations'!J21</f>
        <v>2.0457317073170733</v>
      </c>
      <c r="N140" s="16">
        <f>IF(N139&gt;0,(N139),(0))</f>
        <v>194.43750827352051</v>
      </c>
      <c r="R140" s="800"/>
    </row>
    <row r="141" spans="1:18" x14ac:dyDescent="0.25">
      <c r="A141" s="244">
        <v>9257021</v>
      </c>
      <c r="B141" t="str">
        <f t="shared" ref="B141:B145" si="90">CONCATENATE(A141,C141)</f>
        <v>9257021</v>
      </c>
      <c r="F141" s="461">
        <f t="shared" ref="F141:K141" si="91">F140-F139</f>
        <v>0.81628274616079466</v>
      </c>
      <c r="G141" s="461">
        <f t="shared" si="91"/>
        <v>15.626844323998782</v>
      </c>
      <c r="H141" s="461">
        <f t="shared" si="91"/>
        <v>-2.4146780588176249</v>
      </c>
      <c r="I141" s="461">
        <f t="shared" si="91"/>
        <v>4.3775531968282646</v>
      </c>
      <c r="J141" s="461">
        <f t="shared" si="91"/>
        <v>-2.5781579343571224</v>
      </c>
      <c r="K141" s="461">
        <f t="shared" si="91"/>
        <v>-8.2249134296898543</v>
      </c>
      <c r="R141" s="800"/>
    </row>
    <row r="142" spans="1:18" x14ac:dyDescent="0.25">
      <c r="A142" s="244">
        <v>9257021</v>
      </c>
      <c r="B142" t="str">
        <f t="shared" si="90"/>
        <v>9257021a</v>
      </c>
      <c r="C142" s="289" t="s">
        <v>1012</v>
      </c>
      <c r="D142" s="289" t="s">
        <v>1009</v>
      </c>
      <c r="F142" s="460">
        <f t="shared" ref="F142:K142" si="92">IF(F139&gt;F140,(F140),(F139))</f>
        <v>44.189814814814817</v>
      </c>
      <c r="G142" s="460">
        <f t="shared" si="92"/>
        <v>55.973765432098773</v>
      </c>
      <c r="H142" s="460">
        <f t="shared" si="92"/>
        <v>13.297256097560975</v>
      </c>
      <c r="I142" s="460">
        <f t="shared" si="92"/>
        <v>6.8739711934156382</v>
      </c>
      <c r="J142" s="460">
        <f t="shared" si="92"/>
        <v>9.2057926829268286</v>
      </c>
      <c r="K142" s="460">
        <f t="shared" si="92"/>
        <v>15.342987804878048</v>
      </c>
      <c r="L142" s="122"/>
      <c r="M142" s="16"/>
      <c r="O142" s="16"/>
      <c r="P142" s="16"/>
      <c r="R142" s="800"/>
    </row>
    <row r="143" spans="1:18" x14ac:dyDescent="0.25">
      <c r="A143" s="244">
        <v>9257021</v>
      </c>
      <c r="B143" t="str">
        <f t="shared" si="90"/>
        <v>9257021b</v>
      </c>
      <c r="C143" s="289" t="s">
        <v>1016</v>
      </c>
      <c r="D143" s="289" t="s">
        <v>1017</v>
      </c>
      <c r="F143" s="16">
        <f>VLOOKUP($F$3,'2122 Band Values'!$A$5:$AU$24,47,(FALSE))</f>
        <v>58.711672125181849</v>
      </c>
      <c r="G143" s="16">
        <f>VLOOKUP($G$3,'2122 Band Values'!$A$5:$AU$24,47,(FALSE))</f>
        <v>70.45400655021831</v>
      </c>
      <c r="H143" s="16">
        <f>VLOOKUP($H$3,'2122 Band Values'!$A$5:$AU$24,47,(FALSE))</f>
        <v>211.36201965065447</v>
      </c>
      <c r="I143" s="16">
        <f>VLOOKUP($I$3,'2122 Band Values'!$A$5:$AU$24,47,(FALSE))</f>
        <v>264.20252456331764</v>
      </c>
      <c r="J143" s="16">
        <f>VLOOKUP($J$3,'2122 Band Values'!$A$5:$AU$24,47,(FALSE))</f>
        <v>264.20252456331764</v>
      </c>
      <c r="K143" s="16">
        <f>VLOOKUP($K$3,'2122 Band Values'!$A$5:$AU$24,47,(FALSE))</f>
        <v>234.8466885007274</v>
      </c>
      <c r="L143" s="122"/>
      <c r="M143" s="16"/>
      <c r="R143" s="800"/>
    </row>
    <row r="144" spans="1:18" x14ac:dyDescent="0.25">
      <c r="A144" s="244">
        <v>9257021</v>
      </c>
      <c r="B144" t="str">
        <f>CONCATENATE(A144,C144)</f>
        <v>9257021c</v>
      </c>
      <c r="C144" s="289" t="s">
        <v>1020</v>
      </c>
      <c r="D144" s="289" t="s">
        <v>697</v>
      </c>
      <c r="F144" s="16">
        <f>IF(F143&gt;$N$140,(0*F142),(($N$140-F143)*F142))</f>
        <v>5997.6995649809842</v>
      </c>
      <c r="G144" s="16">
        <f t="shared" ref="G144:K144" si="93">IF(G143&gt;$N$140,(0*G142),(($N$140-G143)*G142))</f>
        <v>6939.8234429103313</v>
      </c>
      <c r="H144" s="16">
        <f t="shared" si="93"/>
        <v>0</v>
      </c>
      <c r="I144" s="16">
        <f t="shared" si="93"/>
        <v>0</v>
      </c>
      <c r="J144" s="16">
        <f t="shared" si="93"/>
        <v>0</v>
      </c>
      <c r="K144" s="16">
        <f t="shared" si="93"/>
        <v>0</v>
      </c>
      <c r="L144" s="395">
        <f>SUM(F144:K144)</f>
        <v>12937.523007891316</v>
      </c>
      <c r="M144" s="16">
        <f>L144-O139</f>
        <v>-16810.421087551258</v>
      </c>
      <c r="R144" s="800"/>
    </row>
    <row r="145" spans="1:18" x14ac:dyDescent="0.25">
      <c r="A145" s="244">
        <v>9257021</v>
      </c>
      <c r="B145" t="str">
        <f t="shared" si="90"/>
        <v>9257021d</v>
      </c>
      <c r="C145" s="289" t="s">
        <v>1068</v>
      </c>
      <c r="D145" s="289" t="s">
        <v>1014</v>
      </c>
      <c r="F145" s="16">
        <f>IF(F144&gt;0,(F144/F142),(0))</f>
        <v>135.72583614833866</v>
      </c>
      <c r="G145" s="16">
        <f t="shared" ref="G145:K145" si="94">IF(G144&gt;0,(G144/G142),(0))</f>
        <v>123.9835017233022</v>
      </c>
      <c r="H145" s="16">
        <f t="shared" si="94"/>
        <v>0</v>
      </c>
      <c r="I145" s="16">
        <f t="shared" si="94"/>
        <v>0</v>
      </c>
      <c r="J145" s="16">
        <f t="shared" si="94"/>
        <v>0</v>
      </c>
      <c r="K145" s="16">
        <f t="shared" si="94"/>
        <v>0</v>
      </c>
      <c r="L145" s="16"/>
      <c r="M145" s="16"/>
      <c r="R145" s="800"/>
    </row>
    <row r="146" spans="1:18" ht="13" x14ac:dyDescent="0.3">
      <c r="A146" s="249"/>
      <c r="C146" s="184" t="s">
        <v>1069</v>
      </c>
      <c r="D146" s="184" t="s">
        <v>1070</v>
      </c>
      <c r="E146" s="799">
        <f>SUM(F146:K146)</f>
        <v>144.8835880256951</v>
      </c>
      <c r="F146" s="799">
        <f>IF(F139&lt;F140,F139,F140)</f>
        <v>44.189814814814817</v>
      </c>
      <c r="G146" s="799">
        <f t="shared" ref="G146:K146" si="95">IF(G139&lt;G140,G139,G140)</f>
        <v>55.973765432098773</v>
      </c>
      <c r="H146" s="799">
        <f t="shared" si="95"/>
        <v>13.297256097560975</v>
      </c>
      <c r="I146" s="799">
        <f t="shared" si="95"/>
        <v>6.8739711934156382</v>
      </c>
      <c r="J146" s="799">
        <f t="shared" si="95"/>
        <v>9.2057926829268286</v>
      </c>
      <c r="K146" s="799">
        <f t="shared" si="95"/>
        <v>15.342987804878048</v>
      </c>
      <c r="L146" s="799">
        <v>0</v>
      </c>
      <c r="M146" s="16"/>
      <c r="R146" s="800"/>
    </row>
    <row r="147" spans="1:18" x14ac:dyDescent="0.25">
      <c r="A147" s="463"/>
      <c r="B147" s="463" t="s">
        <v>217</v>
      </c>
      <c r="C147" s="463"/>
      <c r="D147" s="463"/>
      <c r="E147" s="464"/>
      <c r="F147" s="465"/>
      <c r="G147" s="465"/>
      <c r="H147" s="465"/>
      <c r="I147" s="465"/>
      <c r="J147" s="465"/>
      <c r="K147" s="465"/>
      <c r="L147" s="465"/>
      <c r="M147" s="465"/>
      <c r="N147" s="464"/>
      <c r="O147" s="464"/>
      <c r="P147" s="464"/>
      <c r="Q147" s="464"/>
    </row>
    <row r="148" spans="1:18" x14ac:dyDescent="0.25">
      <c r="A148" s="244">
        <v>9257015</v>
      </c>
      <c r="B148" t="str">
        <f>CONCATENATE(A148,C148)</f>
        <v>92570152020/21</v>
      </c>
      <c r="C148" t="s">
        <v>947</v>
      </c>
      <c r="D148" s="289" t="s">
        <v>1009</v>
      </c>
      <c r="E148" s="122">
        <f>'202021 MFG Protection'!E121</f>
        <v>0</v>
      </c>
      <c r="F148" s="122">
        <f>'202021 MFG Protection'!F121</f>
        <v>0</v>
      </c>
      <c r="G148" s="122">
        <f>'202021 MFG Protection'!G121</f>
        <v>0</v>
      </c>
      <c r="H148" s="122">
        <f>'202021 MFG Protection'!H121</f>
        <v>0</v>
      </c>
      <c r="I148" s="122">
        <f>'202021 MFG Protection'!I121</f>
        <v>0</v>
      </c>
      <c r="J148" s="122">
        <f>'202021 MFG Protection'!J121</f>
        <v>0</v>
      </c>
      <c r="K148" s="122">
        <f>'202021 MFG Protection'!K121</f>
        <v>0</v>
      </c>
      <c r="L148" s="122">
        <f>'202021 MFG Protection'!L121</f>
        <v>0</v>
      </c>
      <c r="N148" s="16">
        <f>'202021 MFG Protection'!N116</f>
        <v>-133.4314770990095</v>
      </c>
      <c r="O148" s="16">
        <f>VLOOKUP(A148,'2021 Funding Detail'!$A$4:$W$23,23,(FALSE))</f>
        <v>0</v>
      </c>
      <c r="R148" s="800"/>
    </row>
    <row r="149" spans="1:18" x14ac:dyDescent="0.25">
      <c r="A149" s="244">
        <v>9257015</v>
      </c>
      <c r="B149" t="str">
        <f>CONCATENATE(A149,C149)</f>
        <v>92570152021/22</v>
      </c>
      <c r="C149" t="s">
        <v>958</v>
      </c>
      <c r="D149" t="str">
        <f>CONCATENATE(A149,C149)</f>
        <v>92570152021/22</v>
      </c>
      <c r="E149" s="122">
        <f>VLOOKUP(A149,'2122 Funding Detail'!$A$4:$M$21,13,(FALSE))</f>
        <v>228.08333333333334</v>
      </c>
      <c r="F149" s="460">
        <f>$E$149*'2122 Band Calculations'!D22</f>
        <v>75.69137168141593</v>
      </c>
      <c r="G149" s="460">
        <f>$E$149*'2122 Band Calculations'!E22</f>
        <v>87.801991150442475</v>
      </c>
      <c r="H149" s="460">
        <f>$E$149*'2122 Band Calculations'!F22</f>
        <v>4.0368731563421827</v>
      </c>
      <c r="I149" s="460">
        <f>$E$149*'2122 Band Calculations'!G22</f>
        <v>20.184365781710916</v>
      </c>
      <c r="J149" s="460">
        <f>$E$149*'2122 Band Calculations'!H22</f>
        <v>5.046091445427729</v>
      </c>
      <c r="K149" s="460">
        <f>$E$149*'2122 Band Calculations'!I22</f>
        <v>32.294985250737462</v>
      </c>
      <c r="L149" s="460">
        <f>$E$149*'2122 Band Calculations'!J22</f>
        <v>3.0276548672566372</v>
      </c>
      <c r="N149" s="16">
        <f>IF(N148&gt;0,(N148),(0))</f>
        <v>0</v>
      </c>
      <c r="R149" s="800"/>
    </row>
    <row r="150" spans="1:18" x14ac:dyDescent="0.25">
      <c r="A150" s="244">
        <v>9257015</v>
      </c>
      <c r="B150" t="str">
        <f t="shared" ref="B150:B154" si="96">CONCATENATE(A150,C150)</f>
        <v>9257015</v>
      </c>
      <c r="F150" s="461">
        <f t="shared" ref="F150:K150" si="97">F149-F148</f>
        <v>75.69137168141593</v>
      </c>
      <c r="G150" s="461">
        <f t="shared" si="97"/>
        <v>87.801991150442475</v>
      </c>
      <c r="H150" s="461">
        <f t="shared" si="97"/>
        <v>4.0368731563421827</v>
      </c>
      <c r="I150" s="461">
        <f t="shared" si="97"/>
        <v>20.184365781710916</v>
      </c>
      <c r="J150" s="461">
        <f t="shared" si="97"/>
        <v>5.046091445427729</v>
      </c>
      <c r="K150" s="461">
        <f t="shared" si="97"/>
        <v>32.294985250737462</v>
      </c>
      <c r="L150" s="460"/>
      <c r="R150" s="800"/>
    </row>
    <row r="151" spans="1:18" x14ac:dyDescent="0.25">
      <c r="A151" s="244">
        <v>9257015</v>
      </c>
      <c r="B151" t="str">
        <f t="shared" si="96"/>
        <v>9257015a</v>
      </c>
      <c r="C151" s="289" t="s">
        <v>1012</v>
      </c>
      <c r="D151" s="289" t="s">
        <v>1009</v>
      </c>
      <c r="F151" s="460">
        <f t="shared" ref="F151:K151" si="98">IF(F148&gt;F149,(F149),(F148))</f>
        <v>0</v>
      </c>
      <c r="G151" s="460">
        <f t="shared" si="98"/>
        <v>0</v>
      </c>
      <c r="H151" s="460">
        <f t="shared" si="98"/>
        <v>0</v>
      </c>
      <c r="I151" s="460">
        <f t="shared" si="98"/>
        <v>0</v>
      </c>
      <c r="J151" s="460">
        <f t="shared" si="98"/>
        <v>0</v>
      </c>
      <c r="K151" s="460">
        <f t="shared" si="98"/>
        <v>0</v>
      </c>
      <c r="L151" s="122"/>
      <c r="M151" s="16"/>
      <c r="O151" s="16"/>
      <c r="P151" s="16"/>
      <c r="R151" s="800"/>
    </row>
    <row r="152" spans="1:18" x14ac:dyDescent="0.25">
      <c r="A152" s="244">
        <v>9257015</v>
      </c>
      <c r="B152" t="str">
        <f t="shared" si="96"/>
        <v>9257015b</v>
      </c>
      <c r="C152" s="289" t="s">
        <v>1016</v>
      </c>
      <c r="D152" s="289" t="s">
        <v>1017</v>
      </c>
      <c r="F152" s="16">
        <f>VLOOKUP($F$3,'2122 Band Values'!$A$5:$AU$24,47,(FALSE))</f>
        <v>58.711672125181849</v>
      </c>
      <c r="G152" s="16">
        <f>VLOOKUP($G$3,'2122 Band Values'!$A$5:$AU$24,47,(FALSE))</f>
        <v>70.45400655021831</v>
      </c>
      <c r="H152" s="16">
        <f>VLOOKUP($H$3,'2122 Band Values'!$A$5:$AU$24,47,(FALSE))</f>
        <v>211.36201965065447</v>
      </c>
      <c r="I152" s="16">
        <f>VLOOKUP($I$3,'2122 Band Values'!$A$5:$AU$24,47,(FALSE))</f>
        <v>264.20252456331764</v>
      </c>
      <c r="J152" s="16">
        <f>VLOOKUP($J$3,'2122 Band Values'!$A$5:$AU$24,47,(FALSE))</f>
        <v>264.20252456331764</v>
      </c>
      <c r="K152" s="16">
        <f>VLOOKUP($K$3,'2122 Band Values'!$A$5:$AU$24,47,(FALSE))</f>
        <v>234.8466885007274</v>
      </c>
      <c r="L152" s="122"/>
      <c r="M152" s="16"/>
      <c r="R152" s="800"/>
    </row>
    <row r="153" spans="1:18" x14ac:dyDescent="0.25">
      <c r="A153" s="244">
        <v>9257015</v>
      </c>
      <c r="B153" t="str">
        <f>CONCATENATE(A153,C153)</f>
        <v>9257015c</v>
      </c>
      <c r="C153" s="289" t="s">
        <v>1020</v>
      </c>
      <c r="D153" s="289" t="s">
        <v>697</v>
      </c>
      <c r="F153" s="16">
        <f t="shared" ref="F153:K153" si="99">IF(F152&gt;$N$149,(0*F151),(($N$149-F152)*F151))</f>
        <v>0</v>
      </c>
      <c r="G153" s="16">
        <f t="shared" si="99"/>
        <v>0</v>
      </c>
      <c r="H153" s="16">
        <f t="shared" si="99"/>
        <v>0</v>
      </c>
      <c r="I153" s="16">
        <f t="shared" si="99"/>
        <v>0</v>
      </c>
      <c r="J153" s="16">
        <f t="shared" si="99"/>
        <v>0</v>
      </c>
      <c r="K153" s="16">
        <f t="shared" si="99"/>
        <v>0</v>
      </c>
      <c r="L153" s="395">
        <f>SUM(F153:K153)</f>
        <v>0</v>
      </c>
      <c r="M153" s="16">
        <f>L153-O148</f>
        <v>0</v>
      </c>
      <c r="R153" s="800"/>
    </row>
    <row r="154" spans="1:18" x14ac:dyDescent="0.25">
      <c r="A154" s="244">
        <v>9257015</v>
      </c>
      <c r="B154" t="str">
        <f t="shared" si="96"/>
        <v>9257015d</v>
      </c>
      <c r="C154" s="289" t="s">
        <v>1068</v>
      </c>
      <c r="D154" s="289" t="s">
        <v>1014</v>
      </c>
      <c r="F154" s="16">
        <f t="shared" ref="F154:K154" si="100">IF(F153&gt;0,(F153/F151),(0))</f>
        <v>0</v>
      </c>
      <c r="G154" s="16">
        <f t="shared" si="100"/>
        <v>0</v>
      </c>
      <c r="H154" s="16">
        <f t="shared" si="100"/>
        <v>0</v>
      </c>
      <c r="I154" s="16">
        <f t="shared" si="100"/>
        <v>0</v>
      </c>
      <c r="J154" s="16">
        <f t="shared" si="100"/>
        <v>0</v>
      </c>
      <c r="K154" s="16">
        <f t="shared" si="100"/>
        <v>0</v>
      </c>
      <c r="L154" s="16"/>
      <c r="M154" s="16"/>
      <c r="R154" s="800"/>
    </row>
    <row r="155" spans="1:18" ht="13" x14ac:dyDescent="0.3">
      <c r="A155" s="249"/>
      <c r="C155" s="184" t="s">
        <v>1069</v>
      </c>
      <c r="D155" s="184" t="s">
        <v>1070</v>
      </c>
      <c r="E155" s="799">
        <f>SUM(F155:K155)</f>
        <v>0</v>
      </c>
      <c r="F155" s="799">
        <f>IF(F148&lt;F149,F148,F149)</f>
        <v>0</v>
      </c>
      <c r="G155" s="799">
        <f t="shared" ref="G155:K155" si="101">IF(G148&lt;G149,G148,G149)</f>
        <v>0</v>
      </c>
      <c r="H155" s="799">
        <f t="shared" si="101"/>
        <v>0</v>
      </c>
      <c r="I155" s="799">
        <f t="shared" si="101"/>
        <v>0</v>
      </c>
      <c r="J155" s="799">
        <f t="shared" si="101"/>
        <v>0</v>
      </c>
      <c r="K155" s="799">
        <f t="shared" si="101"/>
        <v>0</v>
      </c>
      <c r="L155" s="799">
        <v>0</v>
      </c>
      <c r="M155" s="16"/>
      <c r="R155" s="800"/>
    </row>
    <row r="156" spans="1:18" x14ac:dyDescent="0.25">
      <c r="A156" s="463"/>
      <c r="B156" s="463" t="s">
        <v>219</v>
      </c>
      <c r="C156" s="463"/>
      <c r="D156" s="463"/>
      <c r="E156" s="464"/>
      <c r="F156" s="465"/>
      <c r="G156" s="465"/>
      <c r="H156" s="465"/>
      <c r="I156" s="465"/>
      <c r="J156" s="465"/>
      <c r="K156" s="465"/>
      <c r="L156" s="465"/>
      <c r="M156" s="465"/>
      <c r="N156" s="464"/>
      <c r="O156" s="464"/>
      <c r="P156" s="464"/>
      <c r="Q156" s="464"/>
    </row>
    <row r="157" spans="1:18" x14ac:dyDescent="0.25">
      <c r="A157" s="244">
        <v>9257016</v>
      </c>
      <c r="B157" t="str">
        <f>CONCATENATE(A157,C157)</f>
        <v>92570162020/21</v>
      </c>
      <c r="C157" t="s">
        <v>947</v>
      </c>
      <c r="D157" s="289" t="s">
        <v>1009</v>
      </c>
      <c r="E157" s="122">
        <f>'202021 MFG Protection'!E128</f>
        <v>0</v>
      </c>
      <c r="F157" s="122">
        <f>'202021 MFG Protection'!F128</f>
        <v>0</v>
      </c>
      <c r="G157" s="122">
        <f>'202021 MFG Protection'!G128</f>
        <v>0</v>
      </c>
      <c r="H157" s="122">
        <f>'202021 MFG Protection'!H128</f>
        <v>0</v>
      </c>
      <c r="I157" s="122">
        <f>'202021 MFG Protection'!I128</f>
        <v>0</v>
      </c>
      <c r="J157" s="122">
        <f>'202021 MFG Protection'!J128</f>
        <v>0</v>
      </c>
      <c r="K157" s="122">
        <f>'202021 MFG Protection'!K128</f>
        <v>0</v>
      </c>
      <c r="L157" s="122">
        <f>'202021 MFG Protection'!L128</f>
        <v>0</v>
      </c>
      <c r="N157" s="16">
        <f>'202021 MFG Protection'!N123</f>
        <v>-445.82028854968303</v>
      </c>
      <c r="O157" s="16">
        <f>VLOOKUP(A157,'2021 Funding Detail'!$A$4:$W$23,23,(FALSE))</f>
        <v>0</v>
      </c>
      <c r="R157" s="800"/>
    </row>
    <row r="158" spans="1:18" x14ac:dyDescent="0.25">
      <c r="A158" s="244">
        <v>9257016</v>
      </c>
      <c r="B158" t="str">
        <f>CONCATENATE(A158,C158)</f>
        <v>92570162021/22</v>
      </c>
      <c r="C158" t="s">
        <v>958</v>
      </c>
      <c r="D158" t="str">
        <f>CONCATENATE(A158,C158)</f>
        <v>92570162021/22</v>
      </c>
      <c r="E158" s="122">
        <f>VLOOKUP(A158,'2122 Funding Detail'!$A$4:$M$21,13,(FALSE))</f>
        <v>162.08333333333334</v>
      </c>
      <c r="F158" s="460">
        <f>$E$158*'2122 Band Calculations'!D23</f>
        <v>29.195134575569362</v>
      </c>
      <c r="G158" s="460">
        <f>$E$158*'2122 Band Calculations'!E23</f>
        <v>25.168219461697721</v>
      </c>
      <c r="H158" s="460">
        <f>$E$158*'2122 Band Calculations'!F23</f>
        <v>1.0067287784679089</v>
      </c>
      <c r="I158" s="460">
        <f>$E$158*'2122 Band Calculations'!G23</f>
        <v>36.242236024844722</v>
      </c>
      <c r="J158" s="460">
        <f>$E$158*'2122 Band Calculations'!H23</f>
        <v>34.228778467908903</v>
      </c>
      <c r="K158" s="460">
        <f>$E$158*'2122 Band Calculations'!I23</f>
        <v>2.0134575569358177</v>
      </c>
      <c r="L158" s="460">
        <f>$E$158*'2122 Band Calculations'!J23</f>
        <v>34.228778467908903</v>
      </c>
      <c r="N158" s="16">
        <f>IF(N157&gt;0,(N157),(0))</f>
        <v>0</v>
      </c>
      <c r="R158" s="800"/>
    </row>
    <row r="159" spans="1:18" x14ac:dyDescent="0.25">
      <c r="A159" s="244">
        <v>9257016</v>
      </c>
      <c r="B159" t="str">
        <f t="shared" ref="B159:B163" si="102">CONCATENATE(A159,C159)</f>
        <v>9257016</v>
      </c>
      <c r="F159" s="461">
        <f t="shared" ref="F159:K159" si="103">F158-F157</f>
        <v>29.195134575569362</v>
      </c>
      <c r="G159" s="461">
        <f t="shared" si="103"/>
        <v>25.168219461697721</v>
      </c>
      <c r="H159" s="461">
        <f t="shared" si="103"/>
        <v>1.0067287784679089</v>
      </c>
      <c r="I159" s="461">
        <f t="shared" si="103"/>
        <v>36.242236024844722</v>
      </c>
      <c r="J159" s="461">
        <f t="shared" si="103"/>
        <v>34.228778467908903</v>
      </c>
      <c r="K159" s="461">
        <f t="shared" si="103"/>
        <v>2.0134575569358177</v>
      </c>
      <c r="R159" s="800"/>
    </row>
    <row r="160" spans="1:18" x14ac:dyDescent="0.25">
      <c r="A160" s="244">
        <v>9257016</v>
      </c>
      <c r="B160" t="str">
        <f t="shared" si="102"/>
        <v>9257016a</v>
      </c>
      <c r="C160" s="289" t="s">
        <v>1012</v>
      </c>
      <c r="D160" s="289" t="s">
        <v>1009</v>
      </c>
      <c r="F160" s="460">
        <f t="shared" ref="F160:K160" si="104">IF(F157&gt;F158,(F158),(F157))</f>
        <v>0</v>
      </c>
      <c r="G160" s="460">
        <f t="shared" si="104"/>
        <v>0</v>
      </c>
      <c r="H160" s="460">
        <f t="shared" si="104"/>
        <v>0</v>
      </c>
      <c r="I160" s="460">
        <f t="shared" si="104"/>
        <v>0</v>
      </c>
      <c r="J160" s="460">
        <f t="shared" si="104"/>
        <v>0</v>
      </c>
      <c r="K160" s="460">
        <f t="shared" si="104"/>
        <v>0</v>
      </c>
      <c r="L160" s="122"/>
      <c r="M160" s="16"/>
      <c r="O160" s="16"/>
      <c r="P160" s="16"/>
      <c r="R160" s="800"/>
    </row>
    <row r="161" spans="1:18" x14ac:dyDescent="0.25">
      <c r="A161" s="244">
        <v>9257016</v>
      </c>
      <c r="B161" t="str">
        <f t="shared" si="102"/>
        <v>9257016b</v>
      </c>
      <c r="C161" s="289" t="s">
        <v>1016</v>
      </c>
      <c r="D161" s="289" t="s">
        <v>1017</v>
      </c>
      <c r="F161" s="16">
        <f>VLOOKUP($F$3,'2122 Band Values'!$A$5:$AU$24,47,(FALSE))</f>
        <v>58.711672125181849</v>
      </c>
      <c r="G161" s="16">
        <f>VLOOKUP($G$3,'2122 Band Values'!$A$5:$AU$24,47,(FALSE))</f>
        <v>70.45400655021831</v>
      </c>
      <c r="H161" s="16">
        <f>VLOOKUP($H$3,'2122 Band Values'!$A$5:$AU$24,47,(FALSE))</f>
        <v>211.36201965065447</v>
      </c>
      <c r="I161" s="16">
        <f>VLOOKUP($I$3,'2122 Band Values'!$A$5:$AU$24,47,(FALSE))</f>
        <v>264.20252456331764</v>
      </c>
      <c r="J161" s="16">
        <f>VLOOKUP($J$3,'2122 Band Values'!$A$5:$AU$24,47,(FALSE))</f>
        <v>264.20252456331764</v>
      </c>
      <c r="K161" s="16">
        <f>VLOOKUP($K$3,'2122 Band Values'!$A$5:$AU$24,47,(FALSE))</f>
        <v>234.8466885007274</v>
      </c>
      <c r="L161" s="122"/>
      <c r="M161" s="16"/>
      <c r="R161" s="800"/>
    </row>
    <row r="162" spans="1:18" x14ac:dyDescent="0.25">
      <c r="A162" s="244">
        <v>9257016</v>
      </c>
      <c r="B162" t="str">
        <f>CONCATENATE(A162,C162)</f>
        <v>9257016c</v>
      </c>
      <c r="C162" s="289" t="s">
        <v>1020</v>
      </c>
      <c r="D162" s="289" t="s">
        <v>697</v>
      </c>
      <c r="F162" s="16">
        <f t="shared" ref="F162:K162" si="105">IF(F161&gt;$N$158,(0*F160),(($N$158-F161)*F160))</f>
        <v>0</v>
      </c>
      <c r="G162" s="16">
        <f t="shared" si="105"/>
        <v>0</v>
      </c>
      <c r="H162" s="16">
        <f t="shared" si="105"/>
        <v>0</v>
      </c>
      <c r="I162" s="16">
        <f t="shared" si="105"/>
        <v>0</v>
      </c>
      <c r="J162" s="16">
        <f t="shared" si="105"/>
        <v>0</v>
      </c>
      <c r="K162" s="16">
        <f t="shared" si="105"/>
        <v>0</v>
      </c>
      <c r="L162" s="395">
        <f>SUM(F162:K162)</f>
        <v>0</v>
      </c>
      <c r="M162" s="16">
        <f>L162-O157</f>
        <v>0</v>
      </c>
      <c r="R162" s="800"/>
    </row>
    <row r="163" spans="1:18" x14ac:dyDescent="0.25">
      <c r="A163" s="244">
        <v>9257016</v>
      </c>
      <c r="B163" t="str">
        <f t="shared" si="102"/>
        <v>9257016d</v>
      </c>
      <c r="C163" s="289" t="s">
        <v>1068</v>
      </c>
      <c r="D163" s="289" t="s">
        <v>1014</v>
      </c>
      <c r="F163" s="16">
        <f t="shared" ref="F163:K163" si="106">IF(F162&gt;0,(F162/F160),(0))</f>
        <v>0</v>
      </c>
      <c r="G163" s="16">
        <f t="shared" si="106"/>
        <v>0</v>
      </c>
      <c r="H163" s="16">
        <f t="shared" si="106"/>
        <v>0</v>
      </c>
      <c r="I163" s="16">
        <f t="shared" si="106"/>
        <v>0</v>
      </c>
      <c r="J163" s="16">
        <f t="shared" si="106"/>
        <v>0</v>
      </c>
      <c r="K163" s="16">
        <f t="shared" si="106"/>
        <v>0</v>
      </c>
      <c r="L163" s="16"/>
      <c r="M163" s="16"/>
      <c r="R163" s="800"/>
    </row>
    <row r="164" spans="1:18" ht="13" x14ac:dyDescent="0.3">
      <c r="A164" s="249"/>
      <c r="C164" s="184" t="s">
        <v>1069</v>
      </c>
      <c r="D164" s="184" t="s">
        <v>1070</v>
      </c>
      <c r="E164" s="799">
        <f>SUM(F164:K164)</f>
        <v>0</v>
      </c>
      <c r="F164" s="799">
        <f>IF(F157&lt;F158,F157,F158)</f>
        <v>0</v>
      </c>
      <c r="G164" s="799">
        <f t="shared" ref="G164:K164" si="107">IF(G157&lt;G158,G157,G158)</f>
        <v>0</v>
      </c>
      <c r="H164" s="799">
        <f t="shared" si="107"/>
        <v>0</v>
      </c>
      <c r="I164" s="799">
        <f t="shared" si="107"/>
        <v>0</v>
      </c>
      <c r="J164" s="799">
        <f t="shared" si="107"/>
        <v>0</v>
      </c>
      <c r="K164" s="799">
        <f t="shared" si="107"/>
        <v>0</v>
      </c>
      <c r="L164" s="799">
        <v>0</v>
      </c>
      <c r="M164" s="16"/>
      <c r="R164" s="800"/>
    </row>
    <row r="165" spans="1:18" x14ac:dyDescent="0.25">
      <c r="A165" s="463"/>
      <c r="B165" s="463"/>
      <c r="C165" s="463"/>
      <c r="D165" s="463"/>
      <c r="E165" s="464"/>
      <c r="F165" s="465"/>
      <c r="G165" s="465"/>
      <c r="H165" s="465"/>
      <c r="I165" s="465"/>
      <c r="J165" s="465"/>
      <c r="K165" s="465"/>
      <c r="L165" s="465"/>
      <c r="M165" s="465"/>
      <c r="N165" s="464"/>
      <c r="O165" s="464"/>
      <c r="P165" s="464"/>
      <c r="Q165" s="464"/>
    </row>
    <row r="167" spans="1:18" x14ac:dyDescent="0.25">
      <c r="E167"/>
      <c r="F167"/>
      <c r="G167"/>
      <c r="H167"/>
      <c r="I167"/>
      <c r="J167" s="316" t="s">
        <v>1071</v>
      </c>
      <c r="K167"/>
      <c r="L167" s="395">
        <f>L9+L18+L27+L36+L45+L54+L63+L72+L81+L90+L99+L108+L117+L126+L135+L144+L153+L162</f>
        <v>267331.04437925667</v>
      </c>
      <c r="M167"/>
      <c r="N167"/>
      <c r="O167"/>
      <c r="P167"/>
      <c r="Q167"/>
      <c r="R167"/>
    </row>
    <row r="169" spans="1:18" x14ac:dyDescent="0.25">
      <c r="J169" s="316" t="s">
        <v>1072</v>
      </c>
      <c r="L169" s="16">
        <f>'202021 MFG Protection'!L131</f>
        <v>408593.27346645918</v>
      </c>
    </row>
    <row r="171" spans="1:18" x14ac:dyDescent="0.25">
      <c r="J171" s="316" t="s">
        <v>1059</v>
      </c>
      <c r="L171" s="16">
        <f>L167-L169</f>
        <v>-141262.22908720252</v>
      </c>
    </row>
  </sheetData>
  <mergeCells count="1">
    <mergeCell ref="T5:Y7"/>
  </mergeCells>
  <conditionalFormatting sqref="L171">
    <cfRule type="cellIs" dxfId="4" priority="1" operator="lessThan">
      <formula>0</formula>
    </cfRule>
  </conditionalFormatting>
  <pageMargins left="0.7" right="0.7" top="0.75" bottom="0.75" header="0.3" footer="0.3"/>
  <pageSetup orientation="portrait" horizontalDpi="90" verticalDpi="9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FF00"/>
    <pageSetUpPr fitToPage="1"/>
  </sheetPr>
  <dimension ref="A1:P27"/>
  <sheetViews>
    <sheetView zoomScaleNormal="100" workbookViewId="0">
      <selection activeCell="B3" sqref="B3"/>
    </sheetView>
  </sheetViews>
  <sheetFormatPr defaultColWidth="8.7265625" defaultRowHeight="15.5" x14ac:dyDescent="0.35"/>
  <cols>
    <col min="1" max="1" width="8.7265625" style="895"/>
    <col min="2" max="2" width="10.81640625" style="895" customWidth="1"/>
    <col min="3" max="3" width="14.54296875" style="895" hidden="1" customWidth="1"/>
    <col min="4" max="4" width="38.1796875" style="895" hidden="1" customWidth="1"/>
    <col min="5" max="5" width="38.7265625" style="895" customWidth="1"/>
    <col min="6" max="6" width="14.7265625" style="895" customWidth="1"/>
    <col min="7" max="13" width="10.7265625" style="895" customWidth="1"/>
    <col min="14" max="14" width="6.81640625" style="895" customWidth="1"/>
    <col min="15" max="15" width="27.54296875" style="895" customWidth="1"/>
    <col min="16" max="16384" width="8.7265625" style="895"/>
  </cols>
  <sheetData>
    <row r="1" spans="1:16" x14ac:dyDescent="0.35">
      <c r="A1" s="1022" t="s">
        <v>1073</v>
      </c>
    </row>
    <row r="3" spans="1:16" x14ac:dyDescent="0.35">
      <c r="A3" s="914" t="s">
        <v>95</v>
      </c>
      <c r="B3" s="915"/>
      <c r="D3" s="906"/>
      <c r="E3" s="906"/>
      <c r="F3" s="906"/>
      <c r="G3" s="911" t="e">
        <f>VLOOKUP(B3,'2223 Funding Detail'!A1:AN22,2,FALSE)</f>
        <v>#N/A</v>
      </c>
    </row>
    <row r="5" spans="1:16" x14ac:dyDescent="0.35">
      <c r="C5" s="1098" t="s">
        <v>1074</v>
      </c>
      <c r="D5" s="1098"/>
      <c r="E5" s="1098"/>
      <c r="F5" s="1098" t="s">
        <v>1075</v>
      </c>
      <c r="G5" s="1098" t="s">
        <v>735</v>
      </c>
      <c r="H5" s="1098" t="s">
        <v>736</v>
      </c>
      <c r="I5" s="1098" t="s">
        <v>737</v>
      </c>
      <c r="J5" s="1098" t="s">
        <v>738</v>
      </c>
      <c r="K5" s="1098" t="s">
        <v>739</v>
      </c>
      <c r="L5" s="1098" t="s">
        <v>741</v>
      </c>
      <c r="M5" s="1098" t="s">
        <v>743</v>
      </c>
      <c r="O5" s="1098" t="s">
        <v>1076</v>
      </c>
      <c r="P5" s="895">
        <v>5</v>
      </c>
    </row>
    <row r="6" spans="1:16" x14ac:dyDescent="0.35">
      <c r="C6" s="1321" t="s">
        <v>959</v>
      </c>
      <c r="D6" s="1321" t="str">
        <f>CONCATENATE(B3,C6)</f>
        <v>2022/23</v>
      </c>
      <c r="E6" s="1321" t="s">
        <v>1077</v>
      </c>
      <c r="F6" s="1322" t="e">
        <f>VLOOKUP($D$6,'2324 MFG Protection'!$B$4:$O$180,4,(FALSE))</f>
        <v>#N/A</v>
      </c>
      <c r="G6" s="1322" t="e">
        <f>VLOOKUP($D$6,'2324 MFG Protection'!$B$4:$O$180,5,(FALSE))</f>
        <v>#N/A</v>
      </c>
      <c r="H6" s="1322" t="e">
        <f>VLOOKUP($D$6,'2324 MFG Protection'!$B$4:$O$180,6,(FALSE))</f>
        <v>#N/A</v>
      </c>
      <c r="I6" s="1322" t="e">
        <f>VLOOKUP($D$6,'2324 MFG Protection'!$B$4:$O$180,7,(FALSE))</f>
        <v>#N/A</v>
      </c>
      <c r="J6" s="1322" t="e">
        <f>VLOOKUP($D$6,'2324 MFG Protection'!$B$4:$O$180,8,(FALSE))</f>
        <v>#N/A</v>
      </c>
      <c r="K6" s="1322" t="e">
        <f>VLOOKUP($D$6,'2324 MFG Protection'!$B$4:$O$180,9,(FALSE))</f>
        <v>#N/A</v>
      </c>
      <c r="L6" s="1323" t="e">
        <f>VLOOKUP($D$6,'2324 MFG Protection'!$B$4:$O$180,10,(FALSE))</f>
        <v>#N/A</v>
      </c>
      <c r="M6" s="1322" t="e">
        <f>VLOOKUP($D$6,'2324 MFG Protection'!$B$4:$O$180,11,(FALSE))</f>
        <v>#N/A</v>
      </c>
      <c r="O6" s="1122" t="e">
        <f>VLOOKUP($D$6,'2324 MFG Protection'!$B$4:$O$180,14,(FALSE))</f>
        <v>#N/A</v>
      </c>
    </row>
    <row r="7" spans="1:16" x14ac:dyDescent="0.35">
      <c r="C7" s="1321" t="s">
        <v>975</v>
      </c>
      <c r="D7" s="1321" t="str">
        <f>CONCATENATE(B3,C7)</f>
        <v>2023/24</v>
      </c>
      <c r="E7" s="1321" t="s">
        <v>1078</v>
      </c>
      <c r="F7" s="1324" t="e">
        <f>VLOOKUP($D$7,'2324 MFG Protection'!$B$4:$O$180,4,FALSE)</f>
        <v>#N/A</v>
      </c>
      <c r="G7" s="1324" t="e">
        <f>VLOOKUP($D$7,'2324 MFG Protection'!$B$4:$O$180,5,FALSE)</f>
        <v>#N/A</v>
      </c>
      <c r="H7" s="1324" t="e">
        <f>VLOOKUP($D$7,'2324 MFG Protection'!$B$4:$O$180,6,FALSE)</f>
        <v>#N/A</v>
      </c>
      <c r="I7" s="1324" t="e">
        <f>VLOOKUP($D$7,'2324 MFG Protection'!$B$4:$O$180,7,FALSE)</f>
        <v>#N/A</v>
      </c>
      <c r="J7" s="1324" t="e">
        <f>VLOOKUP($D$7,'2324 MFG Protection'!$B$4:$O$180,8,FALSE)</f>
        <v>#N/A</v>
      </c>
      <c r="K7" s="1324" t="e">
        <f>VLOOKUP($D$7,'2324 MFG Protection'!$B$4:$O$180,9,FALSE)</f>
        <v>#N/A</v>
      </c>
      <c r="L7" s="1324" t="e">
        <f>VLOOKUP($D$7,'2324 MFG Protection'!$B$4:$O$180,10,FALSE)</f>
        <v>#N/A</v>
      </c>
      <c r="M7" s="1324" t="e">
        <f>VLOOKUP($D$7,'2324 MFG Protection'!$B$4:$O$180,11,FALSE)</f>
        <v>#N/A</v>
      </c>
      <c r="O7" s="1298"/>
    </row>
    <row r="8" spans="1:16" x14ac:dyDescent="0.35">
      <c r="C8" s="1321" t="s">
        <v>1012</v>
      </c>
      <c r="D8" s="1321" t="str">
        <f>CONCATENATE(B3,C8)</f>
        <v>a</v>
      </c>
      <c r="E8" s="1325" t="s">
        <v>1079</v>
      </c>
      <c r="F8" s="1326"/>
      <c r="G8" s="1327" t="e">
        <f>VLOOKUP($D$8,'2324 MFG Protection'!$B$4:$O$180,5,(FALSE))</f>
        <v>#N/A</v>
      </c>
      <c r="H8" s="1327" t="e">
        <f>VLOOKUP($D$8,'2324 MFG Protection'!$B$4:$O$180,6,(FALSE))</f>
        <v>#N/A</v>
      </c>
      <c r="I8" s="1327" t="e">
        <f>VLOOKUP($D$8,'2324 MFG Protection'!$B$4:$O$180,7,(FALSE))</f>
        <v>#N/A</v>
      </c>
      <c r="J8" s="1327" t="e">
        <f>VLOOKUP($D$8,'2324 MFG Protection'!$B$4:$O$180,8,(FALSE))</f>
        <v>#N/A</v>
      </c>
      <c r="K8" s="1327" t="e">
        <f>VLOOKUP($D$8,'2324 MFG Protection'!$B$4:$O$180,9,(FALSE))</f>
        <v>#N/A</v>
      </c>
      <c r="L8" s="1327" t="e">
        <f>VLOOKUP($D$8,'2324 MFG Protection'!$B$4:$O$180,10,(FALSE))</f>
        <v>#N/A</v>
      </c>
      <c r="M8" s="1326"/>
      <c r="N8" s="895">
        <v>1</v>
      </c>
      <c r="O8" s="1298"/>
    </row>
    <row r="9" spans="1:16" x14ac:dyDescent="0.35">
      <c r="C9" s="1099" t="s">
        <v>1080</v>
      </c>
      <c r="D9" s="1099" t="str">
        <f>CONCATENATE(B3,C9)</f>
        <v>e</v>
      </c>
      <c r="E9" s="1100" t="s">
        <v>1081</v>
      </c>
      <c r="F9" s="1099"/>
      <c r="G9" s="1101" t="e">
        <f>VLOOKUP($D$9,'2324 MFG Protection'!$B$4:$O$180,5,(FALSE))</f>
        <v>#N/A</v>
      </c>
      <c r="H9" s="1101" t="e">
        <f>VLOOKUP($D$9,'2324 MFG Protection'!$B$4:$O$180,6,(FALSE))</f>
        <v>#N/A</v>
      </c>
      <c r="I9" s="1101" t="e">
        <f>VLOOKUP($D$9,'2324 MFG Protection'!$B$4:$O$180,7,(FALSE))</f>
        <v>#N/A</v>
      </c>
      <c r="J9" s="1101" t="e">
        <f>VLOOKUP($D$9,'2324 MFG Protection'!$B$4:$O$180,8,(FALSE))</f>
        <v>#N/A</v>
      </c>
      <c r="K9" s="1101" t="e">
        <f>VLOOKUP($D$9,'2324 MFG Protection'!$B$4:$O$180,9,(FALSE))</f>
        <v>#N/A</v>
      </c>
      <c r="L9" s="1101" t="e">
        <f>VLOOKUP($D$9,'2324 MFG Protection'!$B$4:$O$180,10,(FALSE))</f>
        <v>#N/A</v>
      </c>
      <c r="M9" s="1099"/>
      <c r="N9" s="895">
        <v>2</v>
      </c>
      <c r="O9" s="1298"/>
    </row>
    <row r="10" spans="1:16" x14ac:dyDescent="0.35">
      <c r="C10" s="1099" t="s">
        <v>1016</v>
      </c>
      <c r="D10" s="1099" t="str">
        <f>CONCATENATE(B3,C10)</f>
        <v>b</v>
      </c>
      <c r="E10" s="1102" t="s">
        <v>1082</v>
      </c>
      <c r="F10" s="1099"/>
      <c r="G10" s="1103" t="e">
        <f>VLOOKUP($D$10,'2324 MFG Protection'!$B$4:$O$180,5,(FALSE))</f>
        <v>#N/A</v>
      </c>
      <c r="H10" s="1103" t="e">
        <f>VLOOKUP($D$10,'2324 MFG Protection'!$B$4:$O$180,6,(FALSE))</f>
        <v>#N/A</v>
      </c>
      <c r="I10" s="1103" t="e">
        <f>VLOOKUP($D$10,'2324 MFG Protection'!$B$4:$O$180,7,(FALSE))</f>
        <v>#N/A</v>
      </c>
      <c r="J10" s="1103" t="e">
        <f>VLOOKUP($D$10,'2324 MFG Protection'!$B$4:$O$180,8,(FALSE))</f>
        <v>#N/A</v>
      </c>
      <c r="K10" s="1103" t="e">
        <f>VLOOKUP($D$10,'2324 MFG Protection'!$B$4:$O$180,9,(FALSE))</f>
        <v>#N/A</v>
      </c>
      <c r="L10" s="1103" t="e">
        <f>VLOOKUP($D$10,'2324 MFG Protection'!$B$4:$O$180,10,(FALSE))</f>
        <v>#N/A</v>
      </c>
      <c r="M10" s="1099"/>
      <c r="N10" s="895">
        <v>3</v>
      </c>
      <c r="O10" s="1298"/>
    </row>
    <row r="11" spans="1:16" x14ac:dyDescent="0.35">
      <c r="C11" s="1099" t="s">
        <v>1068</v>
      </c>
      <c r="D11" s="1099" t="str">
        <f>CONCATENATE(B3,C11)</f>
        <v>d</v>
      </c>
      <c r="E11" s="1121" t="s">
        <v>1083</v>
      </c>
      <c r="F11" s="1098"/>
      <c r="G11" s="1122" t="e">
        <f>VLOOKUP($D$11,'2324 MFG Protection'!$B$4:$O$180,5,(FALSE))</f>
        <v>#N/A</v>
      </c>
      <c r="H11" s="1122" t="e">
        <f>VLOOKUP($D$11,'2324 MFG Protection'!$B$4:$O$180,6,(FALSE))</f>
        <v>#N/A</v>
      </c>
      <c r="I11" s="1122" t="e">
        <f>VLOOKUP($D$11,'2324 MFG Protection'!$B$4:$O$180,7,(FALSE))</f>
        <v>#N/A</v>
      </c>
      <c r="J11" s="1122" t="e">
        <f>VLOOKUP($D$11,'2324 MFG Protection'!$B$4:$O$180,8,(FALSE))</f>
        <v>#N/A</v>
      </c>
      <c r="K11" s="1122" t="e">
        <f>VLOOKUP($D$11,'2324 MFG Protection'!$B$4:$O$180,9,(FALSE))</f>
        <v>#N/A</v>
      </c>
      <c r="L11" s="1122" t="e">
        <f>VLOOKUP($D$11,'2324 MFG Protection'!$B$4:$O$180,10,(FALSE))</f>
        <v>#N/A</v>
      </c>
      <c r="M11" s="1099"/>
      <c r="N11" s="895">
        <v>4</v>
      </c>
      <c r="O11" s="1098" t="s">
        <v>1084</v>
      </c>
      <c r="P11" s="895">
        <v>6</v>
      </c>
    </row>
    <row r="12" spans="1:16" x14ac:dyDescent="0.35">
      <c r="C12" s="1099" t="s">
        <v>1020</v>
      </c>
      <c r="D12" s="1099" t="str">
        <f>CONCATENATE(B3,C12)</f>
        <v>c</v>
      </c>
      <c r="E12" s="1102" t="s">
        <v>1085</v>
      </c>
      <c r="F12" s="1099"/>
      <c r="G12" s="1103" t="e">
        <f>VLOOKUP($D$12,'2324 MFG Protection'!$B$4:$O$180,5,(FALSE))</f>
        <v>#N/A</v>
      </c>
      <c r="H12" s="1103" t="e">
        <f>VLOOKUP($D$12,'2324 MFG Protection'!$B$4:$O$180,6,(FALSE))</f>
        <v>#N/A</v>
      </c>
      <c r="I12" s="1103" t="e">
        <f>VLOOKUP($D$12,'2324 MFG Protection'!$B$4:$O$180,7,(FALSE))</f>
        <v>#N/A</v>
      </c>
      <c r="J12" s="1103" t="e">
        <f>VLOOKUP($D$12,'2324 MFG Protection'!$B$4:$O$180,8,(FALSE))</f>
        <v>#N/A</v>
      </c>
      <c r="K12" s="1103" t="e">
        <f>VLOOKUP($D$12,'2324 MFG Protection'!$B$4:$O$180,9,(FALSE))</f>
        <v>#N/A</v>
      </c>
      <c r="L12" s="1103" t="e">
        <f>VLOOKUP($D$12,'2324 MFG Protection'!$B$4:$O$180,10,(FALSE))</f>
        <v>#N/A</v>
      </c>
      <c r="M12" s="1103"/>
      <c r="O12" s="1122" t="e">
        <f>SUM(G12:L12)</f>
        <v>#N/A</v>
      </c>
    </row>
    <row r="13" spans="1:16" x14ac:dyDescent="0.35">
      <c r="G13" s="907"/>
      <c r="L13" s="971"/>
    </row>
    <row r="14" spans="1:16" x14ac:dyDescent="0.35">
      <c r="G14" s="971"/>
    </row>
    <row r="15" spans="1:16" ht="63.75" customHeight="1" x14ac:dyDescent="0.35">
      <c r="A15" s="1506" t="s">
        <v>1681</v>
      </c>
      <c r="B15" s="1529"/>
      <c r="C15" s="1529"/>
      <c r="D15" s="1529"/>
      <c r="E15" s="1529"/>
      <c r="F15" s="1529"/>
      <c r="G15" s="1529"/>
      <c r="H15" s="1529"/>
      <c r="I15" s="1529"/>
      <c r="J15" s="1529"/>
      <c r="K15" s="1529"/>
      <c r="L15" s="1529"/>
      <c r="M15" s="1529"/>
      <c r="N15" s="1529"/>
    </row>
    <row r="16" spans="1:16" x14ac:dyDescent="0.35">
      <c r="A16" s="910"/>
      <c r="B16" s="988"/>
      <c r="C16" s="988"/>
      <c r="D16" s="988"/>
      <c r="E16" s="988"/>
      <c r="F16" s="988"/>
      <c r="G16" s="988"/>
      <c r="H16" s="988"/>
      <c r="I16" s="988"/>
      <c r="J16" s="988"/>
      <c r="K16" s="988"/>
      <c r="L16" s="988"/>
      <c r="M16" s="988"/>
      <c r="N16" s="988"/>
    </row>
    <row r="17" spans="1:14" ht="31.5" customHeight="1" x14ac:dyDescent="0.35">
      <c r="A17" s="1509" t="s">
        <v>1086</v>
      </c>
      <c r="B17" s="1509"/>
      <c r="C17" s="1509"/>
      <c r="D17" s="1509"/>
      <c r="E17" s="1509"/>
      <c r="F17" s="1509"/>
      <c r="G17" s="1509"/>
      <c r="H17" s="1509"/>
      <c r="I17" s="1509"/>
      <c r="J17" s="1509"/>
      <c r="K17" s="1509"/>
      <c r="L17" s="1509"/>
      <c r="M17" s="1509"/>
      <c r="N17" s="1509"/>
    </row>
    <row r="18" spans="1:14" x14ac:dyDescent="0.35">
      <c r="A18" s="1013"/>
      <c r="B18" s="1013"/>
      <c r="C18" s="1013"/>
      <c r="D18" s="1013"/>
      <c r="E18" s="1013"/>
      <c r="F18" s="1013"/>
      <c r="G18" s="1013"/>
      <c r="H18" s="1013"/>
    </row>
    <row r="19" spans="1:14" ht="47.25" customHeight="1" x14ac:dyDescent="0.35">
      <c r="A19" s="1506" t="s">
        <v>1087</v>
      </c>
      <c r="B19" s="1506"/>
      <c r="C19" s="1506"/>
      <c r="D19" s="1506"/>
      <c r="E19" s="1506"/>
      <c r="F19" s="1506"/>
      <c r="G19" s="1506"/>
      <c r="H19" s="1506"/>
      <c r="I19" s="1506"/>
      <c r="J19" s="1506"/>
      <c r="K19" s="1506"/>
      <c r="L19" s="1506"/>
      <c r="M19" s="1506"/>
      <c r="N19" s="1506"/>
    </row>
    <row r="20" spans="1:14" x14ac:dyDescent="0.35">
      <c r="A20" s="1013"/>
      <c r="B20" s="1013"/>
      <c r="C20" s="1013"/>
      <c r="D20" s="1013"/>
      <c r="E20" s="1013"/>
      <c r="F20" s="1013"/>
      <c r="G20" s="1013"/>
      <c r="H20" s="1013"/>
    </row>
    <row r="21" spans="1:14" ht="39.65" customHeight="1" x14ac:dyDescent="0.35">
      <c r="A21" s="1506" t="s">
        <v>1088</v>
      </c>
      <c r="B21" s="1506"/>
      <c r="C21" s="1506"/>
      <c r="D21" s="1506"/>
      <c r="E21" s="1506"/>
      <c r="F21" s="1506"/>
      <c r="G21" s="1506"/>
      <c r="H21" s="1506"/>
      <c r="I21" s="1506"/>
      <c r="J21" s="1506"/>
      <c r="K21" s="1506"/>
      <c r="L21" s="1506"/>
      <c r="M21" s="1506"/>
      <c r="N21" s="1506"/>
    </row>
    <row r="22" spans="1:14" ht="40.5" customHeight="1" x14ac:dyDescent="0.35">
      <c r="A22" s="1506"/>
      <c r="B22" s="1506"/>
      <c r="C22" s="1506"/>
      <c r="D22" s="1506"/>
      <c r="E22" s="1506"/>
      <c r="F22" s="1506"/>
      <c r="G22" s="1506"/>
      <c r="H22" s="1506"/>
      <c r="I22" s="1506"/>
      <c r="J22" s="1506"/>
      <c r="K22" s="1506"/>
      <c r="L22" s="1506"/>
      <c r="M22" s="1506"/>
      <c r="N22" s="1506"/>
    </row>
    <row r="23" spans="1:14" x14ac:dyDescent="0.35">
      <c r="A23" s="1015"/>
      <c r="B23" s="1015"/>
      <c r="C23" s="1015"/>
      <c r="D23" s="1015"/>
      <c r="E23" s="1015"/>
      <c r="F23" s="1015"/>
      <c r="G23" s="1015"/>
      <c r="H23" s="1015"/>
    </row>
    <row r="24" spans="1:14" ht="31.5" customHeight="1" x14ac:dyDescent="0.35">
      <c r="A24" s="1506" t="s">
        <v>1089</v>
      </c>
      <c r="B24" s="1506"/>
      <c r="C24" s="1506"/>
      <c r="D24" s="1506"/>
      <c r="E24" s="1506"/>
      <c r="F24" s="1506"/>
      <c r="G24" s="1506"/>
      <c r="H24" s="1506"/>
      <c r="I24" s="1529"/>
      <c r="J24" s="1529"/>
      <c r="K24" s="1529"/>
      <c r="L24" s="1529"/>
      <c r="M24" s="1529"/>
      <c r="N24" s="1529"/>
    </row>
    <row r="25" spans="1:14" x14ac:dyDescent="0.35">
      <c r="A25" s="1015"/>
      <c r="B25" s="1015"/>
      <c r="C25" s="1015"/>
      <c r="D25" s="1015"/>
      <c r="E25" s="1015"/>
      <c r="F25" s="1015"/>
      <c r="G25" s="1015"/>
      <c r="H25" s="1015"/>
    </row>
    <row r="26" spans="1:14" ht="31.5" customHeight="1" x14ac:dyDescent="0.35">
      <c r="A26" s="1530" t="s">
        <v>1090</v>
      </c>
      <c r="B26" s="1530"/>
      <c r="C26" s="1530"/>
      <c r="D26" s="1530"/>
      <c r="E26" s="1530"/>
      <c r="F26" s="1530"/>
      <c r="G26" s="1530"/>
      <c r="H26" s="1530"/>
      <c r="I26" s="1529"/>
      <c r="J26" s="1529"/>
      <c r="K26" s="1529"/>
      <c r="L26" s="1529"/>
      <c r="M26" s="1529"/>
      <c r="N26" s="1529"/>
    </row>
    <row r="27" spans="1:14" x14ac:dyDescent="0.35">
      <c r="A27" s="1013"/>
      <c r="B27" s="910"/>
      <c r="C27" s="910"/>
      <c r="D27" s="910"/>
      <c r="E27" s="910"/>
      <c r="F27" s="910"/>
      <c r="G27" s="910"/>
      <c r="H27" s="910"/>
    </row>
  </sheetData>
  <sheetProtection algorithmName="SHA-512" hashValue="xfR1Ih9/JJaYY/v8NiQm83T6LV/lgqPVPkkbC4wBqM0VUh119vIxcMCBAgsE4nnVKX3g8DO5PrprDB6X2DMn5g==" saltValue="6dc9GKlkgWXf3L2aUxaBCw==" spinCount="100000" sheet="1" objects="1" scenarios="1"/>
  <mergeCells count="6">
    <mergeCell ref="A15:N15"/>
    <mergeCell ref="A24:N24"/>
    <mergeCell ref="A26:N26"/>
    <mergeCell ref="A21:N22"/>
    <mergeCell ref="A19:N19"/>
    <mergeCell ref="A17:N17"/>
  </mergeCells>
  <pageMargins left="0.70866141732283472" right="0.70866141732283472" top="0.74803149606299213" bottom="0.74803149606299213" header="0.31496062992125984" footer="0.31496062992125984"/>
  <pageSetup paperSize="9" scale="73" orientation="landscape" r:id="rId1"/>
  <headerFooter>
    <oddHeader>&amp;CLincolnshire County Council</oddHeader>
    <oddFooter>&amp;C2023/24 Special School Budget Share Calculation
Local Protection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BAF59-BA17-4764-BF54-8A9E35F65FEC}">
  <sheetPr>
    <tabColor rgb="FFFFFF00"/>
    <pageSetUpPr fitToPage="1"/>
  </sheetPr>
  <dimension ref="A1:N28"/>
  <sheetViews>
    <sheetView zoomScaleNormal="100" workbookViewId="0">
      <selection activeCell="B3" sqref="B3"/>
    </sheetView>
  </sheetViews>
  <sheetFormatPr defaultColWidth="8.7265625" defaultRowHeight="15.5" x14ac:dyDescent="0.35"/>
  <cols>
    <col min="1" max="1" width="8.7265625" style="895"/>
    <col min="2" max="2" width="14.6328125" style="895" customWidth="1"/>
    <col min="3" max="3" width="24.26953125" style="895" customWidth="1"/>
    <col min="4" max="11" width="14.6328125" style="895" customWidth="1"/>
    <col min="12" max="12" width="22.7265625" style="895" customWidth="1"/>
    <col min="13" max="13" width="28.7265625" style="895" customWidth="1"/>
    <col min="14" max="14" width="28.81640625" style="895" bestFit="1" customWidth="1"/>
    <col min="15" max="16384" width="8.7265625" style="895"/>
  </cols>
  <sheetData>
    <row r="1" spans="1:13" x14ac:dyDescent="0.35">
      <c r="A1" s="1022" t="s">
        <v>1091</v>
      </c>
    </row>
    <row r="3" spans="1:13" x14ac:dyDescent="0.35">
      <c r="A3" s="914" t="s">
        <v>95</v>
      </c>
      <c r="B3" s="915"/>
      <c r="D3" s="906"/>
      <c r="E3" s="906"/>
      <c r="F3" s="906"/>
      <c r="G3" s="911" t="e">
        <f>VLOOKUP(B3,'2223 Funding Detail'!A1:AN22,2,FALSE)</f>
        <v>#N/A</v>
      </c>
    </row>
    <row r="4" spans="1:13" x14ac:dyDescent="0.35">
      <c r="A4" s="914"/>
      <c r="B4" s="1399"/>
      <c r="D4" s="906"/>
      <c r="E4" s="906"/>
      <c r="F4" s="906"/>
      <c r="G4" s="911"/>
    </row>
    <row r="5" spans="1:13" ht="15.65" customHeight="1" x14ac:dyDescent="0.35">
      <c r="A5" s="1531" t="s">
        <v>1092</v>
      </c>
      <c r="B5" s="1531"/>
      <c r="C5" s="1531"/>
      <c r="D5" s="1531"/>
      <c r="E5" s="1531"/>
      <c r="F5" s="1531"/>
      <c r="G5" s="1531"/>
      <c r="H5" s="1531"/>
      <c r="I5" s="1531"/>
      <c r="J5" s="1531"/>
      <c r="K5" s="1531"/>
      <c r="L5" s="1531"/>
    </row>
    <row r="6" spans="1:13" x14ac:dyDescent="0.35">
      <c r="A6" s="1531"/>
      <c r="B6" s="1531"/>
      <c r="C6" s="1531"/>
      <c r="D6" s="1531"/>
      <c r="E6" s="1531"/>
      <c r="F6" s="1531"/>
      <c r="G6" s="1531"/>
      <c r="H6" s="1531"/>
      <c r="I6" s="1531"/>
      <c r="J6" s="1531"/>
      <c r="K6" s="1531"/>
      <c r="L6" s="1531"/>
    </row>
    <row r="7" spans="1:13" x14ac:dyDescent="0.35">
      <c r="A7" s="914"/>
      <c r="B7" s="1399"/>
      <c r="D7" s="906"/>
      <c r="E7" s="906"/>
      <c r="F7" s="906"/>
      <c r="G7" s="911"/>
    </row>
    <row r="8" spans="1:13" x14ac:dyDescent="0.35">
      <c r="A8" s="914"/>
      <c r="B8" s="1098" t="s">
        <v>1074</v>
      </c>
      <c r="C8" s="1098" t="s">
        <v>1682</v>
      </c>
      <c r="D8" s="1098" t="s">
        <v>735</v>
      </c>
      <c r="E8" s="1098" t="s">
        <v>736</v>
      </c>
      <c r="F8" s="1098" t="s">
        <v>737</v>
      </c>
      <c r="G8" s="1098" t="s">
        <v>738</v>
      </c>
      <c r="H8" s="1098" t="s">
        <v>739</v>
      </c>
      <c r="I8" s="1098" t="s">
        <v>741</v>
      </c>
      <c r="J8" s="1098" t="s">
        <v>743</v>
      </c>
      <c r="L8" s="1098" t="s">
        <v>1093</v>
      </c>
    </row>
    <row r="9" spans="1:13" x14ac:dyDescent="0.35">
      <c r="A9" s="914"/>
      <c r="B9" s="1099" t="s">
        <v>958</v>
      </c>
      <c r="C9" s="1400" t="e">
        <f>VLOOKUP(B3,'2122 3% MFG Calculation'!A5:AO24,3,FALSE)</f>
        <v>#N/A</v>
      </c>
      <c r="D9" s="1396" t="e">
        <f>VLOOKUP($B$3,'2122 3% MFG Calculation'!$A$5:$AO$24,5,FALSE)</f>
        <v>#N/A</v>
      </c>
      <c r="E9" s="1396" t="e">
        <f>VLOOKUP($B$3,'2122 3% MFG Calculation'!$A$5:$AO$24,6,FALSE)</f>
        <v>#N/A</v>
      </c>
      <c r="F9" s="1396" t="e">
        <f>VLOOKUP($B$3,'2122 3% MFG Calculation'!$A$5:$AO$24,7,FALSE)</f>
        <v>#N/A</v>
      </c>
      <c r="G9" s="1396" t="e">
        <f>VLOOKUP($B$3,'2122 3% MFG Calculation'!$A$5:$AO$24,8,FALSE)</f>
        <v>#N/A</v>
      </c>
      <c r="H9" s="1396" t="e">
        <f>VLOOKUP($B$3,'2122 3% MFG Calculation'!$A$5:$AO$24,9,FALSE)</f>
        <v>#N/A</v>
      </c>
      <c r="I9" s="1396" t="e">
        <f>VLOOKUP($B$3,'2122 3% MFG Calculation'!$A$5:$AO$24,10,FALSE)</f>
        <v>#N/A</v>
      </c>
      <c r="J9" s="1396" t="e">
        <f>VLOOKUP($B$3,'2122 3% MFG Calculation'!$A$5:$AO$24,11,FALSE)</f>
        <v>#N/A</v>
      </c>
      <c r="K9" s="895">
        <v>1</v>
      </c>
      <c r="L9" s="1103" t="e">
        <f>VLOOKUP(B3,'2122 3% MFG Calculation'!A5:AO24,29,FALSE)</f>
        <v>#N/A</v>
      </c>
      <c r="M9" s="895">
        <v>4</v>
      </c>
    </row>
    <row r="10" spans="1:13" x14ac:dyDescent="0.35">
      <c r="A10" s="914"/>
      <c r="C10" s="906"/>
      <c r="D10" s="906"/>
      <c r="E10" s="906"/>
      <c r="F10" s="911"/>
      <c r="M10" s="1298"/>
    </row>
    <row r="11" spans="1:13" ht="31" x14ac:dyDescent="0.35">
      <c r="B11" s="1098" t="s">
        <v>1074</v>
      </c>
      <c r="C11" s="1098" t="s">
        <v>985</v>
      </c>
      <c r="D11" s="1098" t="s">
        <v>1094</v>
      </c>
      <c r="E11" s="1098" t="s">
        <v>1095</v>
      </c>
      <c r="F11" s="1098" t="s">
        <v>1096</v>
      </c>
      <c r="G11" s="1404" t="s">
        <v>612</v>
      </c>
      <c r="H11" s="1098" t="s">
        <v>357</v>
      </c>
      <c r="I11" s="1397"/>
      <c r="J11" s="1098" t="s">
        <v>1097</v>
      </c>
      <c r="K11" s="1299"/>
      <c r="L11" s="1098" t="s">
        <v>1098</v>
      </c>
    </row>
    <row r="12" spans="1:13" x14ac:dyDescent="0.35">
      <c r="B12" s="1099" t="s">
        <v>958</v>
      </c>
      <c r="C12" s="1532" t="e">
        <f>VLOOKUP(B3,'2122 3% MFG Calculation'!A5:AO24,4,FALSE)</f>
        <v>#N/A</v>
      </c>
      <c r="D12" s="1103" t="e">
        <f>VLOOKUP($B$3,'2122 3% MFG Calculation'!$A$5:$AO$24,19,FALSE)</f>
        <v>#N/A</v>
      </c>
      <c r="E12" s="1103" t="e">
        <f>VLOOKUP($B$3,'2122 3% MFG Calculation'!$A$5:$AO$24,20,FALSE)</f>
        <v>#N/A</v>
      </c>
      <c r="F12" s="1103" t="e">
        <f>VLOOKUP($B$3,'2122 3% MFG Calculation'!$A$5:$AO$24,21,FALSE)</f>
        <v>#N/A</v>
      </c>
      <c r="G12" s="1103" t="e">
        <f>VLOOKUP($B$3,'2122 3% MFG Calculation'!$A$5:$AO$24,22,FALSE)</f>
        <v>#N/A</v>
      </c>
      <c r="H12" s="1103" t="e">
        <f>VLOOKUP($B$3,'2122 3% MFG Calculation'!$A$5:$AO$24,23,FALSE)</f>
        <v>#N/A</v>
      </c>
      <c r="I12" s="1398"/>
      <c r="J12" s="1103" t="e">
        <f>VLOOKUP($B$3,'2122 3% MFG Calculation'!$A$5:$AO$24,28,FALSE)</f>
        <v>#N/A</v>
      </c>
      <c r="K12" s="973">
        <v>2</v>
      </c>
      <c r="L12" s="1103" t="e">
        <f>VLOOKUP(B3,'2122 3% MFG Calculation'!A5:AO24,39,FALSE)</f>
        <v>#N/A</v>
      </c>
      <c r="M12" s="895">
        <v>5</v>
      </c>
    </row>
    <row r="13" spans="1:13" x14ac:dyDescent="0.35">
      <c r="B13" s="1099" t="s">
        <v>975</v>
      </c>
      <c r="C13" s="1533"/>
      <c r="D13" s="1103" t="e">
        <f>VLOOKUP($B$3,'2122 3% MFG Calculation'!$A$5:$AO$24,33,FALSE)</f>
        <v>#N/A</v>
      </c>
      <c r="E13" s="1103" t="e">
        <f>VLOOKUP($B$3,'2122 3% MFG Calculation'!$A$5:$AO$24,32,FALSE)</f>
        <v>#N/A</v>
      </c>
      <c r="F13" s="1103" t="e">
        <f>VLOOKUP($B$3,'2122 3% MFG Calculation'!$A$5:$AO$24,34,FALSE)</f>
        <v>#N/A</v>
      </c>
      <c r="G13" s="1103" t="e">
        <f>VLOOKUP($B$3,'2122 3% MFG Calculation'!$A$5:$AO$24,35,FALSE)</f>
        <v>#N/A</v>
      </c>
      <c r="H13" s="1103" t="e">
        <f>VLOOKUP($B$3,'2122 3% MFG Calculation'!$A$5:$AO$24,36,FALSE)</f>
        <v>#N/A</v>
      </c>
      <c r="I13" s="1398"/>
      <c r="J13" s="1103" t="e">
        <f>VLOOKUP($B$3,'2122 3% MFG Calculation'!$A$5:$AO$24,28,FALSE)</f>
        <v>#N/A</v>
      </c>
      <c r="K13" s="973">
        <v>3</v>
      </c>
      <c r="L13" s="1607"/>
    </row>
    <row r="14" spans="1:13" ht="46.5" x14ac:dyDescent="0.35">
      <c r="B14" s="1298"/>
      <c r="C14" s="1395"/>
      <c r="D14" s="1298"/>
      <c r="E14" s="1297"/>
      <c r="F14" s="1297"/>
      <c r="G14" s="1297"/>
      <c r="H14" s="1297"/>
      <c r="I14" s="1297"/>
      <c r="J14" s="1299"/>
      <c r="K14" s="1299"/>
      <c r="L14" s="1404" t="s">
        <v>1099</v>
      </c>
    </row>
    <row r="15" spans="1:13" x14ac:dyDescent="0.35">
      <c r="L15" s="1608" t="e">
        <f>VLOOKUP(B3,'2122 3% MFG Calculation'!A5:AO24,40,FALSE)</f>
        <v>#N/A</v>
      </c>
      <c r="M15" s="895">
        <v>6</v>
      </c>
    </row>
    <row r="17" spans="1:14" ht="25" customHeight="1" x14ac:dyDescent="0.35">
      <c r="A17" s="1506" t="s">
        <v>1100</v>
      </c>
      <c r="B17" s="1506"/>
      <c r="C17" s="1506"/>
      <c r="D17" s="1506"/>
      <c r="E17" s="1506"/>
      <c r="F17" s="1506"/>
      <c r="G17" s="1506"/>
      <c r="H17" s="1506"/>
      <c r="I17" s="1506"/>
      <c r="J17" s="1506"/>
      <c r="K17" s="1506"/>
      <c r="L17" s="1506"/>
      <c r="M17" s="910"/>
    </row>
    <row r="18" spans="1:14" x14ac:dyDescent="0.35">
      <c r="A18" s="910"/>
      <c r="B18" s="988"/>
      <c r="C18" s="1013"/>
      <c r="D18" s="1013"/>
      <c r="E18" s="1013"/>
      <c r="F18" s="1013"/>
      <c r="G18" s="1013"/>
      <c r="H18" s="1013"/>
      <c r="M18" s="988"/>
    </row>
    <row r="19" spans="1:14" ht="31.5" customHeight="1" x14ac:dyDescent="0.35">
      <c r="A19" s="1506" t="s">
        <v>1101</v>
      </c>
      <c r="B19" s="1506"/>
      <c r="C19" s="1506"/>
      <c r="D19" s="1506"/>
      <c r="E19" s="1506"/>
      <c r="F19" s="1506"/>
      <c r="G19" s="1506"/>
      <c r="H19" s="1506"/>
      <c r="I19" s="1506"/>
      <c r="J19" s="1506"/>
      <c r="K19" s="1506"/>
      <c r="L19" s="1506"/>
      <c r="M19" s="909"/>
      <c r="N19" s="909"/>
    </row>
    <row r="20" spans="1:14" x14ac:dyDescent="0.35">
      <c r="A20" s="1013"/>
      <c r="B20" s="1013"/>
      <c r="C20" s="1013"/>
      <c r="D20" s="1013"/>
      <c r="E20" s="1013"/>
      <c r="F20" s="1013"/>
      <c r="G20" s="1013"/>
      <c r="H20" s="1013"/>
    </row>
    <row r="21" spans="1:14" ht="47.25" customHeight="1" x14ac:dyDescent="0.35">
      <c r="A21" s="1506" t="s">
        <v>1683</v>
      </c>
      <c r="B21" s="1506"/>
      <c r="C21" s="1506"/>
      <c r="D21" s="1506"/>
      <c r="E21" s="1506"/>
      <c r="F21" s="1506"/>
      <c r="G21" s="1506"/>
      <c r="H21" s="1506"/>
      <c r="I21" s="1506"/>
      <c r="J21" s="1506"/>
      <c r="K21" s="1506"/>
      <c r="L21" s="1506"/>
      <c r="M21" s="910"/>
    </row>
    <row r="22" spans="1:14" x14ac:dyDescent="0.35">
      <c r="A22" s="1013"/>
      <c r="B22" s="1013"/>
      <c r="C22" s="910"/>
      <c r="D22" s="910"/>
      <c r="E22" s="910"/>
      <c r="F22" s="910"/>
      <c r="G22" s="910"/>
      <c r="H22" s="910"/>
      <c r="I22" s="910"/>
      <c r="J22" s="910"/>
      <c r="K22" s="910"/>
      <c r="L22" s="910"/>
    </row>
    <row r="23" spans="1:14" ht="34.5" customHeight="1" x14ac:dyDescent="0.35">
      <c r="A23" s="1506" t="s">
        <v>1102</v>
      </c>
      <c r="B23" s="1506"/>
      <c r="C23" s="1506"/>
      <c r="D23" s="1506"/>
      <c r="E23" s="1506"/>
      <c r="F23" s="1506"/>
      <c r="G23" s="1506"/>
      <c r="H23" s="1506"/>
      <c r="I23" s="1506"/>
      <c r="J23" s="1506"/>
      <c r="K23" s="1506"/>
      <c r="L23" s="1506"/>
      <c r="M23" s="910"/>
    </row>
    <row r="24" spans="1:14" x14ac:dyDescent="0.35">
      <c r="A24" s="1015"/>
      <c r="B24" s="1015"/>
      <c r="C24" s="1015"/>
      <c r="D24" s="1015"/>
      <c r="E24" s="1015"/>
      <c r="F24" s="1015"/>
      <c r="G24" s="1015"/>
      <c r="H24" s="1015"/>
    </row>
    <row r="25" spans="1:14" ht="46.5" customHeight="1" x14ac:dyDescent="0.35">
      <c r="A25" s="1506" t="s">
        <v>1103</v>
      </c>
      <c r="B25" s="1506"/>
      <c r="C25" s="1506"/>
      <c r="D25" s="1506"/>
      <c r="E25" s="1506"/>
      <c r="F25" s="1506"/>
      <c r="G25" s="1506"/>
      <c r="H25" s="1506"/>
      <c r="I25" s="1506"/>
      <c r="J25" s="1506"/>
      <c r="K25" s="1506"/>
      <c r="L25" s="1506"/>
      <c r="M25" s="910"/>
    </row>
    <row r="26" spans="1:14" x14ac:dyDescent="0.35">
      <c r="A26" s="1015"/>
      <c r="B26" s="1015"/>
      <c r="C26" s="910"/>
      <c r="D26" s="910"/>
      <c r="E26" s="910"/>
      <c r="F26" s="910"/>
      <c r="G26" s="910"/>
      <c r="H26" s="910"/>
    </row>
    <row r="27" spans="1:14" ht="46.5" customHeight="1" x14ac:dyDescent="0.35">
      <c r="A27" s="1506" t="s">
        <v>1104</v>
      </c>
      <c r="B27" s="1506"/>
      <c r="C27" s="1506"/>
      <c r="D27" s="1506"/>
      <c r="E27" s="1506"/>
      <c r="F27" s="1506"/>
      <c r="G27" s="1506"/>
      <c r="H27" s="1506"/>
      <c r="I27" s="1506"/>
      <c r="J27" s="1506"/>
      <c r="K27" s="1506"/>
      <c r="L27" s="1506"/>
      <c r="M27" s="1342"/>
    </row>
    <row r="28" spans="1:14" x14ac:dyDescent="0.35">
      <c r="A28" s="1013"/>
      <c r="B28" s="910"/>
    </row>
  </sheetData>
  <sheetProtection algorithmName="SHA-512" hashValue="OF7q5Xwg4h9TsITfwhGXmQllYh/FqsDwYwQ0ITsz94QgEqax2VIXgverXo2XmspcivM9yeENOIf8nDInNc43eA==" saltValue="Jgp05yTPTQlvMTErhF87aw==" spinCount="100000" sheet="1" objects="1" scenarios="1"/>
  <mergeCells count="8">
    <mergeCell ref="A25:L25"/>
    <mergeCell ref="A27:L27"/>
    <mergeCell ref="A19:L19"/>
    <mergeCell ref="A5:L6"/>
    <mergeCell ref="C12:C13"/>
    <mergeCell ref="A17:L17"/>
    <mergeCell ref="A21:L21"/>
    <mergeCell ref="A23:L23"/>
  </mergeCells>
  <pageMargins left="0.7" right="0.7" top="0.75" bottom="0.75" header="0.3" footer="0.3"/>
  <pageSetup scale="57" orientation="landscape" horizontalDpi="90" verticalDpi="90" r:id="rId1"/>
  <headerFooter>
    <oddHeader>&amp;CLincolnshire County Council</oddHeader>
    <oddFooter>&amp;C2023/24 Special School Budget Share Calculation
MFG DfE Protection</oddFooter>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57F51-F97E-4E40-8064-4D4A53F63E59}">
  <sheetPr>
    <tabColor theme="4" tint="0.79998168889431442"/>
  </sheetPr>
  <dimension ref="A2:AY87"/>
  <sheetViews>
    <sheetView zoomScaleNormal="100" workbookViewId="0">
      <selection activeCell="C24" sqref="C24"/>
    </sheetView>
  </sheetViews>
  <sheetFormatPr defaultRowHeight="12.5" x14ac:dyDescent="0.25"/>
  <cols>
    <col min="2" max="2" width="29.453125" customWidth="1"/>
    <col min="3" max="3" width="10.1796875" style="1089" bestFit="1" customWidth="1"/>
    <col min="4" max="4" width="21.54296875" style="1089" customWidth="1"/>
    <col min="5" max="5" width="10.1796875" style="1089" bestFit="1" customWidth="1"/>
    <col min="6" max="6" width="10" style="1089" bestFit="1" customWidth="1"/>
    <col min="7" max="7" width="9" style="1089" bestFit="1" customWidth="1"/>
    <col min="8" max="9" width="9.26953125" style="1089" bestFit="1" customWidth="1"/>
    <col min="10" max="10" width="10" style="1089" bestFit="1" customWidth="1"/>
    <col min="11" max="11" width="9.26953125" style="1089" bestFit="1" customWidth="1"/>
    <col min="12" max="13" width="9.453125" style="1089" hidden="1" customWidth="1"/>
    <col min="14" max="18" width="9.26953125" style="1089" hidden="1" customWidth="1"/>
    <col min="19" max="19" width="11.54296875" style="1089" bestFit="1" customWidth="1"/>
    <col min="20" max="20" width="10.1796875" style="1089" bestFit="1" customWidth="1"/>
    <col min="21" max="22" width="9.26953125" style="1089" bestFit="1" customWidth="1"/>
    <col min="23" max="26" width="11.54296875" style="1089" bestFit="1" customWidth="1"/>
    <col min="28" max="28" width="10.1796875" bestFit="1" customWidth="1"/>
    <col min="29" max="29" width="13.81640625" customWidth="1"/>
    <col min="30" max="30" width="16.54296875" style="1337" customWidth="1"/>
    <col min="31" max="31" width="9.26953125" bestFit="1" customWidth="1"/>
    <col min="32" max="32" width="10.1796875" bestFit="1" customWidth="1"/>
    <col min="33" max="33" width="9.81640625" bestFit="1" customWidth="1"/>
    <col min="35" max="35" width="10.1796875" bestFit="1" customWidth="1"/>
    <col min="36" max="36" width="9.81640625" bestFit="1" customWidth="1"/>
    <col min="38" max="38" width="10.1796875" bestFit="1" customWidth="1"/>
    <col min="39" max="39" width="11.54296875" bestFit="1" customWidth="1"/>
  </cols>
  <sheetData>
    <row r="2" spans="1:41" ht="52.5" x14ac:dyDescent="0.5">
      <c r="A2" s="1535" t="s">
        <v>1105</v>
      </c>
      <c r="B2" s="1535"/>
      <c r="C2" s="184" t="s">
        <v>1106</v>
      </c>
      <c r="AC2" s="466"/>
      <c r="AD2" s="1372" t="s">
        <v>1107</v>
      </c>
      <c r="AE2" s="19" t="s">
        <v>1108</v>
      </c>
      <c r="AF2" s="2"/>
      <c r="AG2" s="2"/>
      <c r="AH2" s="822" t="s">
        <v>1109</v>
      </c>
    </row>
    <row r="3" spans="1:41" ht="37.5" x14ac:dyDescent="0.25">
      <c r="C3" s="822" t="s">
        <v>1110</v>
      </c>
      <c r="D3" s="1373" t="s">
        <v>985</v>
      </c>
      <c r="E3" s="243" t="s">
        <v>901</v>
      </c>
      <c r="F3" s="243" t="s">
        <v>902</v>
      </c>
      <c r="G3" s="243" t="s">
        <v>903</v>
      </c>
      <c r="H3" s="243" t="s">
        <v>904</v>
      </c>
      <c r="I3" s="243" t="s">
        <v>905</v>
      </c>
      <c r="J3" s="243" t="s">
        <v>906</v>
      </c>
      <c r="K3" s="243" t="s">
        <v>907</v>
      </c>
      <c r="L3" s="243" t="s">
        <v>735</v>
      </c>
      <c r="M3" s="243" t="s">
        <v>736</v>
      </c>
      <c r="N3" s="243" t="s">
        <v>737</v>
      </c>
      <c r="O3" s="243" t="s">
        <v>738</v>
      </c>
      <c r="P3" s="243" t="s">
        <v>739</v>
      </c>
      <c r="Q3" s="243" t="s">
        <v>741</v>
      </c>
      <c r="R3" s="243" t="s">
        <v>743</v>
      </c>
      <c r="S3" s="243" t="s">
        <v>1094</v>
      </c>
      <c r="T3" s="243" t="s">
        <v>1111</v>
      </c>
      <c r="U3" s="243" t="s">
        <v>1112</v>
      </c>
      <c r="V3" s="243" t="s">
        <v>1113</v>
      </c>
      <c r="W3" s="243" t="s">
        <v>189</v>
      </c>
      <c r="X3" s="243" t="s">
        <v>1114</v>
      </c>
      <c r="Y3" s="243" t="s">
        <v>618</v>
      </c>
      <c r="Z3" s="243" t="s">
        <v>1115</v>
      </c>
      <c r="AA3" s="243" t="s">
        <v>1116</v>
      </c>
      <c r="AB3" s="243" t="s">
        <v>1117</v>
      </c>
      <c r="AC3" s="243" t="s">
        <v>1118</v>
      </c>
      <c r="AD3" s="1374"/>
      <c r="AE3" s="1337"/>
      <c r="AF3" s="822" t="s">
        <v>1095</v>
      </c>
      <c r="AG3" s="822" t="s">
        <v>1094</v>
      </c>
      <c r="AH3" s="822" t="s">
        <v>1096</v>
      </c>
      <c r="AI3" s="822" t="s">
        <v>1113</v>
      </c>
      <c r="AJ3" s="243" t="s">
        <v>189</v>
      </c>
      <c r="AK3" s="822" t="s">
        <v>1119</v>
      </c>
      <c r="AL3" s="19" t="s">
        <v>1120</v>
      </c>
      <c r="AM3" s="243" t="s">
        <v>1121</v>
      </c>
      <c r="AN3" s="822" t="s">
        <v>1119</v>
      </c>
      <c r="AO3" s="19" t="s">
        <v>1120</v>
      </c>
    </row>
    <row r="4" spans="1:41" x14ac:dyDescent="0.25">
      <c r="C4" s="1373"/>
      <c r="D4" s="1373"/>
      <c r="E4" s="243"/>
      <c r="F4" s="243"/>
      <c r="G4" s="243"/>
      <c r="H4" s="243"/>
      <c r="I4" s="243"/>
      <c r="J4" s="243"/>
      <c r="K4" s="243"/>
      <c r="L4" s="243"/>
      <c r="M4" s="243"/>
      <c r="N4" s="243"/>
      <c r="O4" s="243"/>
      <c r="P4" s="243"/>
      <c r="Q4" s="243"/>
      <c r="R4" s="243"/>
      <c r="S4" s="243"/>
      <c r="T4" s="243"/>
      <c r="U4" s="243"/>
      <c r="V4" s="243"/>
      <c r="W4" s="243"/>
      <c r="X4" s="243"/>
      <c r="Y4" s="243"/>
      <c r="Z4" s="243"/>
      <c r="AA4" s="243"/>
      <c r="AB4" s="243"/>
      <c r="AC4" s="243"/>
      <c r="AD4" s="1374"/>
      <c r="AE4" s="1337"/>
      <c r="AF4" s="822"/>
      <c r="AG4" s="822"/>
      <c r="AH4" s="822"/>
      <c r="AI4" s="822"/>
      <c r="AJ4" s="243"/>
      <c r="AK4" s="822"/>
      <c r="AL4" s="1089"/>
      <c r="AM4" s="1089"/>
      <c r="AN4" s="1089"/>
      <c r="AO4" s="1089"/>
    </row>
    <row r="5" spans="1:41" ht="25" x14ac:dyDescent="0.25">
      <c r="A5" s="91">
        <v>9257010</v>
      </c>
      <c r="B5" t="s">
        <v>996</v>
      </c>
      <c r="C5" s="1375">
        <f>VLOOKUP(A5,'[20]2122 Funding Detail'!$A$4:Z$21,13,(FALSE))</f>
        <v>85.666666666666671</v>
      </c>
      <c r="D5" s="1375" t="str">
        <f>VLOOKUP(A5,'[20]2122 Funding Detail'!$A$4:AA$21,3,(FALSE))</f>
        <v>School Size 5</v>
      </c>
      <c r="E5" s="1376">
        <f>VLOOKUP(A5,'[20]2122 Band Calculations'!$A$72:$J$89,4,(FALSE))</f>
        <v>1.5873015873015872E-2</v>
      </c>
      <c r="F5" s="1376">
        <f>VLOOKUP(A5,'[20]2122 Band Calculations'!$A$72:$J$89,5,(FALSE))</f>
        <v>0.31746031746031744</v>
      </c>
      <c r="G5" s="1376">
        <f>VLOOKUP(A5,'[20]2122 Band Calculations'!$A$72:$J$89,6,(FALSE))</f>
        <v>9.5238095238095233E-2</v>
      </c>
      <c r="H5" s="1376">
        <f>VLOOKUP(A5,'[20]2122 Band Calculations'!$A$72:$J$89,7,(FALSE))</f>
        <v>0.17460317460317459</v>
      </c>
      <c r="I5" s="1376">
        <f>VLOOKUP(A5,'[20]2122 Band Calculations'!$A$72:$J$89,8,(FALSE))</f>
        <v>6.3492063492063489E-2</v>
      </c>
      <c r="J5" s="1376">
        <f>VLOOKUP(A5,'[20]2122 Band Calculations'!$A$72:$J$89,9,(FALSE))</f>
        <v>0.19047619047619047</v>
      </c>
      <c r="K5" s="1376">
        <f>VLOOKUP(A5,'[20]2122 Band Calculations'!$A$72:$J$89,10,(FALSE))</f>
        <v>0.14285714285714285</v>
      </c>
      <c r="L5" s="1377">
        <v>6286.622831709632</v>
      </c>
      <c r="M5" s="1377">
        <v>7483.9238429115967</v>
      </c>
      <c r="N5" s="1377">
        <v>12059.161550335179</v>
      </c>
      <c r="O5" s="1377">
        <v>14998.922493994021</v>
      </c>
      <c r="P5" s="1377">
        <v>14998.922493994021</v>
      </c>
      <c r="Q5" s="1377">
        <v>16085.825977239108</v>
      </c>
      <c r="R5" s="1377">
        <v>22876.188537117905</v>
      </c>
      <c r="S5" s="1377">
        <f>VLOOKUP(A5,'[20]2122 Funding Detail'!$A$4:$Y$21,8,(FALSE))+VLOOKUP(A5,'[20]2122 Funding Detail'!$A$4:$Z$21,9,(FALSE))</f>
        <v>1180336.4303991422</v>
      </c>
      <c r="T5" s="1377">
        <f>VLOOKUP(A5,'[20]2122 Funding Detail'!$A$4:$Y$21,4,(FALSE))+VLOOKUP(A5,'[20]2122 Funding Detail'!$A$4:$Z$21,5,(FALSE))</f>
        <v>540000</v>
      </c>
      <c r="U5" s="1377">
        <f>VLOOKUP(A5,'[20]2122 Funding Detail'!$A$4:$Y$21,10,(FALSE))</f>
        <v>7630.4500000000007</v>
      </c>
      <c r="V5" s="1377">
        <f>VLOOKUP(A5,'[20]2122 Funding Detail'!$A$4:$Y$21,17,(FALSE))</f>
        <v>9139.18596024607</v>
      </c>
      <c r="W5" s="1377">
        <f>VLOOKUP(A5,'[20]2122 Funding Detail'!$A$4:$Y$21,18,(FALSE))</f>
        <v>1737106.0663593882</v>
      </c>
      <c r="X5" s="1377">
        <v>1737106.0663593882</v>
      </c>
      <c r="Y5" s="1377">
        <f>VLOOKUP(A5,'[20]2122 Funding Detail'!$A$4:$Y$21,22,(FALSE))</f>
        <v>856666.66666666674</v>
      </c>
      <c r="Z5" s="1377">
        <f>VLOOKUP(A5,'[20]2122 Funding Detail'!$A$4:$Y$21,24,(FALSE))</f>
        <v>880439.39969272143</v>
      </c>
      <c r="AA5" s="1377">
        <f>VLOOKUP(A5,'[20]2122 Funding Detail'!$A$4:$Y$21,21,(FALSE))</f>
        <v>20277.502720148499</v>
      </c>
      <c r="AB5" s="16">
        <f>VLOOKUP(A5,'[20]2122 Pay &amp; Pension Allocations'!A56:V73,22,(FALSE))</f>
        <v>65551.014693693302</v>
      </c>
      <c r="AC5" s="16">
        <f t="shared" ref="AC5:AC22" si="0">W5-AB5</f>
        <v>1671555.0516656949</v>
      </c>
      <c r="AD5" s="1374"/>
      <c r="AE5" s="1378" t="str">
        <f>D81</f>
        <v>School Size 5</v>
      </c>
      <c r="AF5" s="1379">
        <f>H81+I81</f>
        <v>605289.80000000005</v>
      </c>
      <c r="AG5" s="16">
        <f>VLOOKUP(A5,'[20]DfE 2122 Funding Detail'!$A$3:$Y$21,8,(FALSE))</f>
        <v>1251225.5767195767</v>
      </c>
      <c r="AH5" s="16">
        <f>VLOOKUP(A5,'[20]DfE 2122 Funding Detail'!$A$3:$Y$21,10,(FALSE))</f>
        <v>8171.9</v>
      </c>
      <c r="AI5" s="16">
        <f>'[20]DfE 2122 MFG Protection'!L10</f>
        <v>2325.8415308553208</v>
      </c>
      <c r="AJ5" s="16">
        <f t="shared" ref="AJ5:AJ15" si="1">SUM(AF5:AI5)</f>
        <v>1867013.118250432</v>
      </c>
      <c r="AK5" s="1380">
        <f t="shared" ref="AK5:AK14" si="2">(AJ5-W5)/W5</f>
        <v>7.4783603837906026E-2</v>
      </c>
      <c r="AL5" t="b">
        <f t="shared" ref="AL5:AL22" si="3">IF(AK5&gt;3%,(TRUE),(FALSE))</f>
        <v>1</v>
      </c>
      <c r="AM5" s="1381">
        <f>AJ5-AB5</f>
        <v>1801462.1035567387</v>
      </c>
      <c r="AN5" s="1382">
        <f>(AM5-AC5)/AC5</f>
        <v>7.77162868561177E-2</v>
      </c>
      <c r="AO5" t="b">
        <f t="shared" ref="AO5:AO22" si="4">IF(AN5&gt;3%,(TRUE),(FALSE))</f>
        <v>1</v>
      </c>
    </row>
    <row r="6" spans="1:41" ht="25" x14ac:dyDescent="0.25">
      <c r="A6" s="91">
        <v>9257005</v>
      </c>
      <c r="B6" t="s">
        <v>805</v>
      </c>
      <c r="C6" s="1375">
        <f>VLOOKUP(A6,'[20]2122 Funding Detail'!$A$4:Z$21,13,(FALSE))</f>
        <v>83.25</v>
      </c>
      <c r="D6" s="1375" t="str">
        <f>VLOOKUP(A6,'[20]2122 Funding Detail'!$A$4:AA$21,3,(FALSE))</f>
        <v>School Size 4</v>
      </c>
      <c r="E6" s="1376">
        <f>VLOOKUP(A6,'[20]2122 Band Calculations'!$A$72:$J$89,4,(FALSE))</f>
        <v>0.05</v>
      </c>
      <c r="F6" s="1376">
        <f>VLOOKUP(A6,'[20]2122 Band Calculations'!$A$72:$J$89,5,(FALSE))</f>
        <v>0.4</v>
      </c>
      <c r="G6" s="1376">
        <f>VLOOKUP(A6,'[20]2122 Band Calculations'!$A$72:$J$89,6,(FALSE))</f>
        <v>6.25E-2</v>
      </c>
      <c r="H6" s="1376">
        <f>VLOOKUP(A6,'[20]2122 Band Calculations'!$A$72:$J$89,7,(FALSE))</f>
        <v>0.15</v>
      </c>
      <c r="I6" s="1376">
        <f>VLOOKUP(A6,'[20]2122 Band Calculations'!$A$72:$J$89,8,(FALSE))</f>
        <v>0.125</v>
      </c>
      <c r="J6" s="1376">
        <f>VLOOKUP(A6,'[20]2122 Band Calculations'!$A$72:$J$89,9,(FALSE))</f>
        <v>0.15</v>
      </c>
      <c r="K6" s="1376">
        <f>VLOOKUP(A6,'[20]2122 Band Calculations'!$A$72:$J$89,10,(FALSE))</f>
        <v>6.25E-2</v>
      </c>
      <c r="L6" s="1377">
        <v>6286.622831709632</v>
      </c>
      <c r="M6" s="1377">
        <v>7483.9238429115967</v>
      </c>
      <c r="N6" s="1377">
        <v>12059.161550335179</v>
      </c>
      <c r="O6" s="1377">
        <v>14998.922493994021</v>
      </c>
      <c r="P6" s="1377">
        <v>14998.922493994021</v>
      </c>
      <c r="Q6" s="1377">
        <v>16085.825977239108</v>
      </c>
      <c r="R6" s="1377">
        <v>22876.188537117905</v>
      </c>
      <c r="S6" s="1377">
        <f>VLOOKUP(A6,'[20]2122 Funding Detail'!$A$4:$Y$21,8,(FALSE))+VLOOKUP(A6,'[20]2122 Funding Detail'!$A$4:$Z$21,9,(FALSE))</f>
        <v>1015119.2930423757</v>
      </c>
      <c r="T6" s="1377">
        <f>VLOOKUP(A6,'[20]2122 Funding Detail'!$A$4:$Y$21,4,(FALSE))+VLOOKUP(A6,'[20]2122 Funding Detail'!$A$4:$Z$21,5,(FALSE))</f>
        <v>470000</v>
      </c>
      <c r="U6" s="1377">
        <f>VLOOKUP(A6,'[20]2122 Funding Detail'!$A$4:$Y$21,10,(FALSE))</f>
        <v>10323.550000000001</v>
      </c>
      <c r="V6" s="1377">
        <f>VLOOKUP(A6,'[20]2122 Funding Detail'!$A$4:$Y$21,17,(FALSE))</f>
        <v>1106.2590793901277</v>
      </c>
      <c r="W6" s="1377">
        <f>VLOOKUP(A6,'[20]2122 Funding Detail'!$A$4:$Y$21,18,(FALSE))</f>
        <v>1496549.102121766</v>
      </c>
      <c r="X6" s="1377">
        <v>1496549.102121766</v>
      </c>
      <c r="Y6" s="1377">
        <f>VLOOKUP(A6,'[20]2122 Funding Detail'!$A$4:$Y$21,22,(FALSE))</f>
        <v>832500</v>
      </c>
      <c r="Z6" s="1377">
        <f>VLOOKUP(A6,'[20]2122 Funding Detail'!$A$4:$Y$21,24,(FALSE))</f>
        <v>664049.10212176596</v>
      </c>
      <c r="AA6" s="1377">
        <f>VLOOKUP(A6,'[20]2122 Funding Detail'!$A$4:$Y$21,21,(FALSE))</f>
        <v>17976.565791252444</v>
      </c>
      <c r="AB6" s="16">
        <f>VLOOKUP(A6,'[20]2122 Pay &amp; Pension Allocations'!A57:V74,22,(FALSE))</f>
        <v>64140.621918921053</v>
      </c>
      <c r="AC6" s="16">
        <f t="shared" si="0"/>
        <v>1432408.4802028448</v>
      </c>
      <c r="AD6" s="1374"/>
      <c r="AE6" s="1378" t="str">
        <f>D79</f>
        <v>School Size 4</v>
      </c>
      <c r="AF6" s="1379">
        <f>H79+I79</f>
        <v>516153.60000000003</v>
      </c>
      <c r="AG6" s="16">
        <f>VLOOKUP(A6,'[20]DfE 2122 Funding Detail'!$A$3:$Y$21,8,(FALSE))</f>
        <v>1074791.8406250002</v>
      </c>
      <c r="AH6" s="16">
        <f>VLOOKUP(A6,'[20]DfE 2122 Funding Detail'!$A$3:$Y$21,10,(FALSE))</f>
        <v>11056.1</v>
      </c>
      <c r="AI6" s="16">
        <f>'[20]DfE 2122 MFG Protection'!L19</f>
        <v>0</v>
      </c>
      <c r="AJ6" s="16">
        <f t="shared" si="1"/>
        <v>1602001.5406250004</v>
      </c>
      <c r="AK6" s="1380">
        <f t="shared" si="2"/>
        <v>7.0463734436596079E-2</v>
      </c>
      <c r="AL6" t="b">
        <f t="shared" si="3"/>
        <v>1</v>
      </c>
      <c r="AM6" s="1381">
        <f t="shared" ref="AM6:AM22" si="5">AJ6-AB6</f>
        <v>1537860.9187060792</v>
      </c>
      <c r="AN6" s="1382">
        <f t="shared" ref="AN6:AN24" si="6">(AM6-AC6)/AC6</f>
        <v>7.3618971097058283E-2</v>
      </c>
      <c r="AO6" t="b">
        <f t="shared" si="4"/>
        <v>1</v>
      </c>
    </row>
    <row r="7" spans="1:41" ht="25" x14ac:dyDescent="0.25">
      <c r="A7" s="91">
        <v>9257025</v>
      </c>
      <c r="B7" t="s">
        <v>806</v>
      </c>
      <c r="C7" s="1375">
        <f>VLOOKUP(A7,'[20]2122 Funding Detail'!$A$4:Z$21,13,(FALSE))</f>
        <v>77.5</v>
      </c>
      <c r="D7" s="1375" t="str">
        <f>VLOOKUP(A7,'[20]2122 Funding Detail'!$A$4:AA$21,3,(FALSE))</f>
        <v>School Size 4</v>
      </c>
      <c r="E7" s="1376">
        <f>VLOOKUP(A7,'[20]2122 Band Calculations'!$A$72:$J$89,4,(FALSE))</f>
        <v>0.15584415584415584</v>
      </c>
      <c r="F7" s="1376">
        <f>VLOOKUP(A7,'[20]2122 Band Calculations'!$A$72:$J$89,5,(FALSE))</f>
        <v>0.40259740259740262</v>
      </c>
      <c r="G7" s="1376">
        <f>VLOOKUP(A7,'[20]2122 Band Calculations'!$A$72:$J$89,6,(FALSE))</f>
        <v>3.896103896103896E-2</v>
      </c>
      <c r="H7" s="1376">
        <f>VLOOKUP(A7,'[20]2122 Band Calculations'!$A$72:$J$89,7,(FALSE))</f>
        <v>0.15584415584415584</v>
      </c>
      <c r="I7" s="1376">
        <f>VLOOKUP(A7,'[20]2122 Band Calculations'!$A$72:$J$89,8,(FALSE))</f>
        <v>5.1948051948051951E-2</v>
      </c>
      <c r="J7" s="1376">
        <f>VLOOKUP(A7,'[20]2122 Band Calculations'!$A$72:$J$89,9,(FALSE))</f>
        <v>0.14285714285714285</v>
      </c>
      <c r="K7" s="1376">
        <f>VLOOKUP(A7,'[20]2122 Band Calculations'!$A$72:$J$89,10,(FALSE))</f>
        <v>5.1948051948051951E-2</v>
      </c>
      <c r="L7" s="1377">
        <v>6286.622831709632</v>
      </c>
      <c r="M7" s="1377">
        <v>7483.9238429115967</v>
      </c>
      <c r="N7" s="1377">
        <v>12059.161550335179</v>
      </c>
      <c r="O7" s="1377">
        <v>14998.922493994021</v>
      </c>
      <c r="P7" s="1377">
        <v>14998.922493994021</v>
      </c>
      <c r="Q7" s="1377">
        <v>16085.825977239108</v>
      </c>
      <c r="R7" s="1377">
        <v>22876.188537117905</v>
      </c>
      <c r="S7" s="1377">
        <f>VLOOKUP(A7,'[20]2122 Funding Detail'!$A$4:$Y$21,8,(FALSE))+VLOOKUP(A7,'[20]2122 Funding Detail'!$A$4:$Z$21,9,(FALSE))</f>
        <v>865539.32222329197</v>
      </c>
      <c r="T7" s="1377">
        <f>VLOOKUP(A7,'[20]2122 Funding Detail'!$A$4:$Y$21,4,(FALSE))+VLOOKUP(A7,'[20]2122 Funding Detail'!$A$4:$Z$21,5,(FALSE))</f>
        <v>470000</v>
      </c>
      <c r="U7" s="1377">
        <f>VLOOKUP(A7,'[20]2122 Funding Detail'!$A$4:$Y$21,10,(FALSE))</f>
        <v>9425.85</v>
      </c>
      <c r="V7" s="1377">
        <f>VLOOKUP(A7,'[20]2122 Funding Detail'!$A$4:$Y$21,17,(FALSE))</f>
        <v>20124.481605575605</v>
      </c>
      <c r="W7" s="1377">
        <f>VLOOKUP(A7,'[20]2122 Funding Detail'!$A$4:$Y$21,18,(FALSE))</f>
        <v>1365089.6538288677</v>
      </c>
      <c r="X7" s="1377">
        <v>1365089.6538288677</v>
      </c>
      <c r="Y7" s="1377">
        <f>VLOOKUP(A7,'[20]2122 Funding Detail'!$A$4:$Y$21,22,(FALSE))</f>
        <v>775000</v>
      </c>
      <c r="Z7" s="1377">
        <f>VLOOKUP(A7,'[20]2122 Funding Detail'!$A$4:$Y$21,24,(FALSE))</f>
        <v>590089.65382886771</v>
      </c>
      <c r="AA7" s="1377">
        <f>VLOOKUP(A7,'[20]2122 Funding Detail'!$A$4:$Y$21,21,(FALSE))</f>
        <v>17614.060049404743</v>
      </c>
      <c r="AB7" s="16">
        <f>VLOOKUP(A7,'[20]2122 Pay &amp; Pension Allocations'!A58:V75,22,(FALSE))</f>
        <v>59153.696869799751</v>
      </c>
      <c r="AC7" s="16">
        <f t="shared" si="0"/>
        <v>1305935.9569590678</v>
      </c>
      <c r="AD7" s="1374"/>
      <c r="AE7" s="1378" t="str">
        <f>D79</f>
        <v>School Size 4</v>
      </c>
      <c r="AF7" s="1379">
        <f>H79+I79</f>
        <v>516153.60000000003</v>
      </c>
      <c r="AG7" s="16">
        <f>VLOOKUP(A7,'[20]DfE 2122 Funding Detail'!$A$3:$Y$21,8,(FALSE))</f>
        <v>915978.53896103892</v>
      </c>
      <c r="AH7" s="16">
        <f>VLOOKUP(A7,'[20]DfE 2122 Funding Detail'!$A$3:$Y$21,10,(FALSE))</f>
        <v>10094.699999999999</v>
      </c>
      <c r="AI7" s="16">
        <f>'[20]DfE 2122 MFG Protection'!L28</f>
        <v>8674.107205028442</v>
      </c>
      <c r="AJ7" s="16">
        <f t="shared" si="1"/>
        <v>1450900.9461660674</v>
      </c>
      <c r="AK7" s="1380">
        <f t="shared" si="2"/>
        <v>6.2861286873365507E-2</v>
      </c>
      <c r="AL7" t="b">
        <f t="shared" si="3"/>
        <v>1</v>
      </c>
      <c r="AM7" s="1381">
        <f t="shared" si="5"/>
        <v>1391747.2492962675</v>
      </c>
      <c r="AN7" s="1382">
        <f t="shared" si="6"/>
        <v>6.5708652771162862E-2</v>
      </c>
      <c r="AO7" t="b">
        <f t="shared" si="4"/>
        <v>1</v>
      </c>
    </row>
    <row r="8" spans="1:41" ht="50" x14ac:dyDescent="0.25">
      <c r="A8" s="91">
        <v>9257011</v>
      </c>
      <c r="B8" t="s">
        <v>210</v>
      </c>
      <c r="C8" s="1375">
        <f>VLOOKUP(A8,'[20]2122 Funding Detail'!$A$4:Z$21,13,(FALSE))</f>
        <v>58</v>
      </c>
      <c r="D8" s="1375" t="str">
        <f>VLOOKUP(A8,'[20]2122 Funding Detail'!$A$4:AA$21,3,(FALSE))</f>
        <v>School Size 3 Transition Point</v>
      </c>
      <c r="E8" s="1376">
        <f>VLOOKUP(A8,'[20]2122 Band Calculations'!$A$72:$J$89,4,(FALSE))</f>
        <v>5.6603773584905662E-2</v>
      </c>
      <c r="F8" s="1376">
        <f>VLOOKUP(A8,'[20]2122 Band Calculations'!$A$72:$J$89,5,(FALSE))</f>
        <v>0.35849056603773582</v>
      </c>
      <c r="G8" s="1376">
        <f>VLOOKUP(A8,'[20]2122 Band Calculations'!$A$72:$J$89,6,(FALSE))</f>
        <v>1.8867924528301886E-2</v>
      </c>
      <c r="H8" s="1376">
        <f>VLOOKUP(A8,'[20]2122 Band Calculations'!$A$72:$J$89,7,(FALSE))</f>
        <v>0.16981132075471697</v>
      </c>
      <c r="I8" s="1376">
        <f>VLOOKUP(A8,'[20]2122 Band Calculations'!$A$72:$J$89,8,(FALSE))</f>
        <v>0.13207547169811321</v>
      </c>
      <c r="J8" s="1376">
        <f>VLOOKUP(A8,'[20]2122 Band Calculations'!$A$72:$J$89,9,(FALSE))</f>
        <v>0.15094339622641509</v>
      </c>
      <c r="K8" s="1376">
        <f>VLOOKUP(A8,'[20]2122 Band Calculations'!$A$72:$J$89,10,(FALSE))</f>
        <v>0.11320754716981132</v>
      </c>
      <c r="L8" s="1377">
        <v>6286.622831709632</v>
      </c>
      <c r="M8" s="1377">
        <v>7483.9238429115967</v>
      </c>
      <c r="N8" s="1377">
        <v>12059.161550335179</v>
      </c>
      <c r="O8" s="1377">
        <v>14998.922493994021</v>
      </c>
      <c r="P8" s="1377">
        <v>14998.922493994021</v>
      </c>
      <c r="Q8" s="1377">
        <v>16085.825977239108</v>
      </c>
      <c r="R8" s="1377">
        <v>22876.188537117905</v>
      </c>
      <c r="S8" s="1377">
        <f>VLOOKUP(A8,'[20]2122 Funding Detail'!$A$4:$Y$21,8,(FALSE))+VLOOKUP(A8,'[20]2122 Funding Detail'!$A$4:$Z$21,9,(FALSE))</f>
        <v>745984.05200580985</v>
      </c>
      <c r="T8" s="1377">
        <f>VLOOKUP(A8,'[20]2122 Funding Detail'!$A$4:$Y$21,4,(FALSE))+VLOOKUP(A8,'[20]2122 Funding Detail'!$A$4:$Z$21,5,(FALSE))</f>
        <v>437500</v>
      </c>
      <c r="U8" s="1377">
        <f>VLOOKUP(A8,'[20]2122 Funding Detail'!$A$4:$Y$21,10,(FALSE))</f>
        <v>10772.400000000001</v>
      </c>
      <c r="V8" s="1377">
        <f>VLOOKUP(A8,'[20]2122 Funding Detail'!$A$4:$Y$21,17,(FALSE))</f>
        <v>0</v>
      </c>
      <c r="W8" s="1377">
        <f>VLOOKUP(A8,'[20]2122 Funding Detail'!$A$4:$Y$21,18,(FALSE))</f>
        <v>1194256.4520058099</v>
      </c>
      <c r="X8" s="1377">
        <v>1194256.4520058099</v>
      </c>
      <c r="Y8" s="1377">
        <f>VLOOKUP(A8,'[20]2122 Funding Detail'!$A$4:$Y$21,22,(FALSE))</f>
        <v>580000</v>
      </c>
      <c r="Z8" s="1377">
        <f>VLOOKUP(A8,'[20]2122 Funding Detail'!$A$4:$Y$21,24,(FALSE))</f>
        <v>614256.45200580987</v>
      </c>
      <c r="AA8" s="1377">
        <f>VLOOKUP(A8,'[20]2122 Funding Detail'!$A$4:$Y$21,21,(FALSE))</f>
        <v>20590.628482858792</v>
      </c>
      <c r="AB8" s="16">
        <f>VLOOKUP(A8,'[20]2122 Pay &amp; Pension Allocations'!A59:V76,22,(FALSE))</f>
        <v>46003.448783977954</v>
      </c>
      <c r="AC8" s="16">
        <f t="shared" si="0"/>
        <v>1148253.003221832</v>
      </c>
      <c r="AD8" s="1374"/>
      <c r="AE8" s="1378" t="str">
        <f>D78</f>
        <v>School Size 3 Transition Point</v>
      </c>
      <c r="AF8" s="1379">
        <f>H78+I78</f>
        <v>474093.55000000005</v>
      </c>
      <c r="AG8" s="16">
        <f>VLOOKUP(A8,'[20]DfE 2122 Funding Detail'!$A$3:$Y$21,8,(FALSE))</f>
        <v>790436.03773584915</v>
      </c>
      <c r="AH8" s="16">
        <f>VLOOKUP(A8,'[20]DfE 2122 Funding Detail'!$A$3:$Y$21,10,(FALSE))</f>
        <v>11536.8</v>
      </c>
      <c r="AI8" s="16">
        <f>'[20]DfE 2122 MFG Protection'!L37</f>
        <v>0</v>
      </c>
      <c r="AJ8" s="16">
        <f t="shared" si="1"/>
        <v>1276066.3877358492</v>
      </c>
      <c r="AK8" s="1380">
        <f t="shared" si="2"/>
        <v>6.8502820807570891E-2</v>
      </c>
      <c r="AL8" t="b">
        <f t="shared" si="3"/>
        <v>1</v>
      </c>
      <c r="AM8" s="1381">
        <f t="shared" si="5"/>
        <v>1230062.9389518714</v>
      </c>
      <c r="AN8" s="1382">
        <f t="shared" si="6"/>
        <v>7.1247308302693324E-2</v>
      </c>
      <c r="AO8" t="b">
        <f t="shared" si="4"/>
        <v>1</v>
      </c>
    </row>
    <row r="9" spans="1:41" ht="25" x14ac:dyDescent="0.25">
      <c r="A9" s="91">
        <v>9257024</v>
      </c>
      <c r="B9" t="s">
        <v>807</v>
      </c>
      <c r="C9" s="1375">
        <f>VLOOKUP(A9,'[20]2122 Funding Detail'!$A$4:Z$21,13,(FALSE))</f>
        <v>83.916666666666686</v>
      </c>
      <c r="D9" s="1375" t="str">
        <f>VLOOKUP(A9,'[20]2122 Funding Detail'!$A$4:AA$21,3,(FALSE))</f>
        <v>School Size 4</v>
      </c>
      <c r="E9" s="1376">
        <f>VLOOKUP(A9,'[20]2122 Band Calculations'!$A$72:$J$89,4,(FALSE))</f>
        <v>8.4337349397590355E-2</v>
      </c>
      <c r="F9" s="1376">
        <f>VLOOKUP(A9,'[20]2122 Band Calculations'!$A$72:$J$89,5,(FALSE))</f>
        <v>0.45783132530120479</v>
      </c>
      <c r="G9" s="1376">
        <f>VLOOKUP(A9,'[20]2122 Band Calculations'!$A$72:$J$89,6,(FALSE))</f>
        <v>1.2048192771084338E-2</v>
      </c>
      <c r="H9" s="1376">
        <f>VLOOKUP(A9,'[20]2122 Band Calculations'!$A$72:$J$89,7,(FALSE))</f>
        <v>0.18072289156626506</v>
      </c>
      <c r="I9" s="1376">
        <f>VLOOKUP(A9,'[20]2122 Band Calculations'!$A$72:$J$89,8,(FALSE))</f>
        <v>8.4337349397590355E-2</v>
      </c>
      <c r="J9" s="1376">
        <f>VLOOKUP(A9,'[20]2122 Band Calculations'!$A$72:$J$89,9,(FALSE))</f>
        <v>7.2289156626506021E-2</v>
      </c>
      <c r="K9" s="1376">
        <f>VLOOKUP(A9,'[20]2122 Band Calculations'!$A$72:$J$89,10,(FALSE))</f>
        <v>0.10843373493975904</v>
      </c>
      <c r="L9" s="1377">
        <v>6286.622831709632</v>
      </c>
      <c r="M9" s="1377">
        <v>7483.9238429115967</v>
      </c>
      <c r="N9" s="1377">
        <v>12059.161550335179</v>
      </c>
      <c r="O9" s="1377">
        <v>14998.922493994021</v>
      </c>
      <c r="P9" s="1377">
        <v>14998.922493994021</v>
      </c>
      <c r="Q9" s="1377">
        <v>16085.825977239108</v>
      </c>
      <c r="R9" s="1377">
        <v>22876.188537117905</v>
      </c>
      <c r="S9" s="1377">
        <f>VLOOKUP(A9,'[20]2122 Funding Detail'!$A$4:$Y$21,8,(FALSE))+VLOOKUP(A9,'[20]2122 Funding Detail'!$A$4:$Z$21,9,(FALSE))</f>
        <v>986239.80019386101</v>
      </c>
      <c r="T9" s="1377">
        <f>VLOOKUP(A9,'[20]2122 Funding Detail'!$A$4:$Y$21,4,(FALSE))+VLOOKUP(A9,'[20]2122 Funding Detail'!$A$4:$Z$21,5,(FALSE))</f>
        <v>470000</v>
      </c>
      <c r="U9" s="1377">
        <f>VLOOKUP(A9,'[20]2122 Funding Detail'!$A$4:$Y$21,10,(FALSE))</f>
        <v>9874.7000000000007</v>
      </c>
      <c r="V9" s="1377">
        <f>VLOOKUP(A9,'[20]2122 Funding Detail'!$A$4:$Y$21,17,(FALSE))</f>
        <v>21452.798486354863</v>
      </c>
      <c r="W9" s="1377">
        <f>VLOOKUP(A9,'[20]2122 Funding Detail'!$A$4:$Y$21,18,(FALSE))</f>
        <v>1487567.2986802158</v>
      </c>
      <c r="X9" s="1377">
        <v>1487567.2986802158</v>
      </c>
      <c r="Y9" s="1377">
        <f>VLOOKUP(A9,'[20]2122 Funding Detail'!$A$4:$Y$21,22,(FALSE))</f>
        <v>839166.66666666686</v>
      </c>
      <c r="Z9" s="1377">
        <f>VLOOKUP(A9,'[20]2122 Funding Detail'!$A$4:$Y$21,24,(FALSE))</f>
        <v>648400.63201354898</v>
      </c>
      <c r="AA9" s="1377">
        <f>VLOOKUP(A9,'[20]2122 Funding Detail'!$A$4:$Y$21,21,(FALSE))</f>
        <v>17726.720540379927</v>
      </c>
      <c r="AB9" s="16">
        <f>VLOOKUP(A9,'[20]2122 Pay &amp; Pension Allocations'!A60:V77,22,(FALSE))</f>
        <v>59372.650306774223</v>
      </c>
      <c r="AC9" s="16">
        <f t="shared" si="0"/>
        <v>1428194.6483734415</v>
      </c>
      <c r="AD9" s="1374"/>
      <c r="AE9" s="1378" t="str">
        <f>D79</f>
        <v>School Size 4</v>
      </c>
      <c r="AF9" s="1379">
        <f>H79+I79</f>
        <v>516153.60000000003</v>
      </c>
      <c r="AG9" s="16">
        <f>VLOOKUP(A9,'[20]DfE 2122 Funding Detail'!$A$3:$Y$21,8,(FALSE))</f>
        <v>1044747.3343373494</v>
      </c>
      <c r="AH9" s="16">
        <f>VLOOKUP(A9,'[20]DfE 2122 Funding Detail'!$A$3:$Y$21,10,(FALSE))</f>
        <v>10575.4</v>
      </c>
      <c r="AI9" s="16">
        <f>'[20]DfE 2122 MFG Protection'!L46</f>
        <v>9079.1997680569111</v>
      </c>
      <c r="AJ9" s="16">
        <f t="shared" si="1"/>
        <v>1580555.5341054061</v>
      </c>
      <c r="AK9" s="1380">
        <f t="shared" si="2"/>
        <v>6.2510271305164053E-2</v>
      </c>
      <c r="AL9" t="b">
        <f t="shared" si="3"/>
        <v>1</v>
      </c>
      <c r="AM9" s="1381">
        <f t="shared" si="5"/>
        <v>1521182.8837986318</v>
      </c>
      <c r="AN9" s="1382">
        <f t="shared" si="6"/>
        <v>6.5108937028362207E-2</v>
      </c>
      <c r="AO9" t="b">
        <f t="shared" si="4"/>
        <v>1</v>
      </c>
    </row>
    <row r="10" spans="1:41" ht="25" x14ac:dyDescent="0.25">
      <c r="A10" s="91">
        <v>9257031</v>
      </c>
      <c r="B10" t="s">
        <v>557</v>
      </c>
      <c r="C10" s="1375">
        <f>VLOOKUP(A10,'[20]2122 Funding Detail'!$A$4:Z$21,13,(FALSE))</f>
        <v>80.583333333333343</v>
      </c>
      <c r="D10" s="1375" t="str">
        <f>VLOOKUP(A10,'[20]2122 Funding Detail'!$A$4:AA$21,3,(FALSE))</f>
        <v>School Size 5</v>
      </c>
      <c r="E10" s="1376">
        <f>VLOOKUP(A10,'[20]2122 Band Calculations'!$A$72:$J$89,4,(FALSE))</f>
        <v>0</v>
      </c>
      <c r="F10" s="1376">
        <f>VLOOKUP(A10,'[20]2122 Band Calculations'!$A$72:$J$89,5,(FALSE))</f>
        <v>0</v>
      </c>
      <c r="G10" s="1376">
        <f>VLOOKUP(A10,'[20]2122 Band Calculations'!$A$72:$J$89,6,(FALSE))</f>
        <v>1</v>
      </c>
      <c r="H10" s="1376">
        <f>VLOOKUP(A10,'[20]2122 Band Calculations'!$A$72:$J$89,7,(FALSE))</f>
        <v>0</v>
      </c>
      <c r="I10" s="1376">
        <f>VLOOKUP(A10,'[20]2122 Band Calculations'!$A$72:$J$89,8,(FALSE))</f>
        <v>0</v>
      </c>
      <c r="J10" s="1376">
        <f>VLOOKUP(A10,'[20]2122 Band Calculations'!$A$72:$J$89,9,(FALSE))</f>
        <v>0</v>
      </c>
      <c r="K10" s="1376">
        <f>VLOOKUP(A10,'[20]2122 Band Calculations'!$A$72:$J$89,10,(FALSE))</f>
        <v>0</v>
      </c>
      <c r="L10" s="1377">
        <v>6286.622831709632</v>
      </c>
      <c r="M10" s="1377">
        <v>7483.9238429115967</v>
      </c>
      <c r="N10" s="1377">
        <v>12059.161550335179</v>
      </c>
      <c r="O10" s="1377">
        <v>14998.922493994021</v>
      </c>
      <c r="P10" s="1377">
        <v>14998.922493994021</v>
      </c>
      <c r="Q10" s="1377">
        <v>16085.825977239108</v>
      </c>
      <c r="R10" s="1377">
        <v>22876.188537117905</v>
      </c>
      <c r="S10" s="1377">
        <f>VLOOKUP(A10,'[20]2122 Funding Detail'!$A$4:$Y$21,8,(FALSE))+VLOOKUP(A10,'[20]2122 Funding Detail'!$A$4:$Z$21,9,(FALSE))</f>
        <v>1184104.5182645097</v>
      </c>
      <c r="T10" s="1377">
        <f>VLOOKUP(A10,'[20]2122 Funding Detail'!$A$4:$Y$21,4,(FALSE))+VLOOKUP(A10,'[20]2122 Funding Detail'!$A$4:$Z$21,5,(FALSE))</f>
        <v>445000</v>
      </c>
      <c r="U10" s="1377">
        <f>VLOOKUP(A10,'[20]2122 Funding Detail'!$A$4:$Y$21,10,(FALSE))</f>
        <v>21095.95</v>
      </c>
      <c r="V10" s="1377">
        <f>VLOOKUP(A10,'[20]2122 Funding Detail'!$A$4:$Y$21,17,(FALSE))</f>
        <v>17799.737007142194</v>
      </c>
      <c r="W10" s="1377">
        <f>VLOOKUP(A10,'[20]2122 Funding Detail'!$A$4:$Y$21,18,(FALSE))</f>
        <v>1668000.205271652</v>
      </c>
      <c r="X10" s="1377">
        <v>1668000.205271652</v>
      </c>
      <c r="Y10" s="1377">
        <f>VLOOKUP(A10,'[20]2122 Funding Detail'!$A$4:$Y$21,22,(FALSE))</f>
        <v>805833.33333333337</v>
      </c>
      <c r="Z10" s="1377">
        <f>VLOOKUP(A10,'[20]2122 Funding Detail'!$A$4:$Y$21,24,(FALSE))</f>
        <v>862166.8719383186</v>
      </c>
      <c r="AA10" s="1377">
        <f>VLOOKUP(A10,'[20]2122 Funding Detail'!$A$4:$Y$21,21,(FALSE))</f>
        <v>20699.071833774375</v>
      </c>
      <c r="AB10" s="16">
        <f>VLOOKUP(A10,'[20]2122 Pay &amp; Pension Allocations'!A61:V78,22,(FALSE))</f>
        <v>60527.552121208268</v>
      </c>
      <c r="AC10" s="16">
        <f t="shared" si="0"/>
        <v>1607472.6531504437</v>
      </c>
      <c r="AD10" s="1374"/>
      <c r="AE10" s="1378" t="str">
        <f>D81</f>
        <v>School Size 5</v>
      </c>
      <c r="AF10" s="1379">
        <f>J81+K81</f>
        <v>504803</v>
      </c>
      <c r="AG10" s="16">
        <f>VLOOKUP(A10,'[20]DfE 2122 Funding Detail'!$A$3:$Y$21,8,(FALSE))</f>
        <v>1254440.75</v>
      </c>
      <c r="AH10" s="16">
        <f>VLOOKUP(A10,'[20]DfE 2122 Funding Detail'!$A$3:$Y$21,10,(FALSE))</f>
        <v>22592.899999999998</v>
      </c>
      <c r="AI10" s="16">
        <f>'[20]DfE 2122 MFG Protection'!L55</f>
        <v>0</v>
      </c>
      <c r="AJ10" s="16">
        <f t="shared" si="1"/>
        <v>1781836.65</v>
      </c>
      <c r="AK10" s="1380">
        <f t="shared" si="2"/>
        <v>6.8247260622973621E-2</v>
      </c>
      <c r="AL10" t="b">
        <f t="shared" si="3"/>
        <v>1</v>
      </c>
      <c r="AM10" s="1381">
        <f t="shared" si="5"/>
        <v>1721309.0978787916</v>
      </c>
      <c r="AN10" s="1382">
        <f t="shared" si="6"/>
        <v>7.0817033499912335E-2</v>
      </c>
      <c r="AO10" t="b">
        <f t="shared" si="4"/>
        <v>1</v>
      </c>
    </row>
    <row r="11" spans="1:41" ht="25" x14ac:dyDescent="0.25">
      <c r="A11" s="91">
        <v>9257033</v>
      </c>
      <c r="B11" t="s">
        <v>816</v>
      </c>
      <c r="C11" s="1375">
        <f>VLOOKUP(A11,'[20]2122 Funding Detail'!$A$4:Z$21,13,(FALSE))</f>
        <v>98.416666666666671</v>
      </c>
      <c r="D11" s="1375" t="str">
        <f>VLOOKUP(A11,'[20]2122 Funding Detail'!$A$4:AA$21,3,(FALSE))</f>
        <v>School Size 4</v>
      </c>
      <c r="E11" s="1376">
        <f>VLOOKUP(A11,'[20]2122 Band Calculations'!$A$72:$J$89,4,(FALSE))</f>
        <v>0.16842105263157894</v>
      </c>
      <c r="F11" s="1376">
        <f>VLOOKUP(A11,'[20]2122 Band Calculations'!$A$72:$J$89,5,(FALSE))</f>
        <v>0.5368421052631579</v>
      </c>
      <c r="G11" s="1376">
        <f>VLOOKUP(A11,'[20]2122 Band Calculations'!$A$72:$J$89,6,(FALSE))</f>
        <v>6.3157894736842107E-2</v>
      </c>
      <c r="H11" s="1376">
        <f>VLOOKUP(A11,'[20]2122 Band Calculations'!$A$72:$J$89,7,(FALSE))</f>
        <v>0.14736842105263157</v>
      </c>
      <c r="I11" s="1376">
        <f>VLOOKUP(A11,'[20]2122 Band Calculations'!$A$72:$J$89,8,(FALSE))</f>
        <v>4.2105263157894736E-2</v>
      </c>
      <c r="J11" s="1376">
        <f>VLOOKUP(A11,'[20]2122 Band Calculations'!$A$72:$J$89,9,(FALSE))</f>
        <v>4.2105263157894736E-2</v>
      </c>
      <c r="K11" s="1376">
        <f>VLOOKUP(A11,'[20]2122 Band Calculations'!$A$72:$J$89,10,(FALSE))</f>
        <v>0</v>
      </c>
      <c r="L11" s="1377">
        <v>6286.622831709632</v>
      </c>
      <c r="M11" s="1377">
        <v>7483.9238429115967</v>
      </c>
      <c r="N11" s="1377">
        <v>12059.161550335179</v>
      </c>
      <c r="O11" s="1377">
        <v>14998.922493994021</v>
      </c>
      <c r="P11" s="1377">
        <v>14998.922493994021</v>
      </c>
      <c r="Q11" s="1377">
        <v>16085.825977239108</v>
      </c>
      <c r="R11" s="1377">
        <v>22876.188537117905</v>
      </c>
      <c r="S11" s="1377">
        <f>VLOOKUP(A11,'[20]2122 Funding Detail'!$A$4:$Y$21,8,(FALSE))+VLOOKUP(A11,'[20]2122 Funding Detail'!$A$4:$Z$21,9,(FALSE))</f>
        <v>937294.39214900963</v>
      </c>
      <c r="T11" s="1377">
        <f>VLOOKUP(A11,'[20]2122 Funding Detail'!$A$4:$Y$21,4,(FALSE))+VLOOKUP(A11,'[20]2122 Funding Detail'!$A$4:$Z$21,5,(FALSE))</f>
        <v>470000</v>
      </c>
      <c r="U11" s="1377">
        <f>VLOOKUP(A11,'[20]2122 Funding Detail'!$A$4:$Y$21,10,(FALSE))</f>
        <v>21993.65</v>
      </c>
      <c r="V11" s="1377">
        <f>VLOOKUP(A11,'[20]2122 Funding Detail'!$A$4:$Y$21,17,(FALSE))</f>
        <v>0</v>
      </c>
      <c r="W11" s="1377">
        <f>VLOOKUP(A11,'[20]2122 Funding Detail'!$A$4:$Y$21,18,(FALSE))</f>
        <v>1429288.0421490096</v>
      </c>
      <c r="X11" s="1377">
        <v>1429288.0421490096</v>
      </c>
      <c r="Y11" s="1377">
        <f>VLOOKUP(A11,'[20]2122 Funding Detail'!$A$4:$Y$21,22,(FALSE))</f>
        <v>984166.66666666674</v>
      </c>
      <c r="Z11" s="1377">
        <f>VLOOKUP(A11,'[20]2122 Funding Detail'!$A$4:$Y$21,24,(FALSE))</f>
        <v>445121.3754823429</v>
      </c>
      <c r="AA11" s="1377">
        <f>VLOOKUP(A11,'[20]2122 Funding Detail'!$A$4:$Y$21,21,(FALSE))</f>
        <v>14522.825153080537</v>
      </c>
      <c r="AB11" s="16">
        <f>VLOOKUP(A11,'[20]2122 Pay &amp; Pension Allocations'!A62:V79,22,(FALSE))</f>
        <v>70964.480012963322</v>
      </c>
      <c r="AC11" s="16">
        <f t="shared" si="0"/>
        <v>1358323.5621360464</v>
      </c>
      <c r="AD11" s="1374"/>
      <c r="AE11" s="1378" t="str">
        <f>D79</f>
        <v>School Size 4</v>
      </c>
      <c r="AF11" s="1379">
        <f>H79+I79</f>
        <v>516153.60000000003</v>
      </c>
      <c r="AG11" s="16">
        <f>VLOOKUP(A11,'[20]DfE 2122 Funding Detail'!$A$3:$Y$21,8,(FALSE))</f>
        <v>990593.79298245627</v>
      </c>
      <c r="AH11" s="16">
        <f>VLOOKUP(A11,'[20]DfE 2122 Funding Detail'!$A$3:$Y$21,10,(FALSE))</f>
        <v>23554.3</v>
      </c>
      <c r="AI11" s="16">
        <f>'[20]DfE 2122 MFG Protection'!L64</f>
        <v>0</v>
      </c>
      <c r="AJ11" s="16">
        <f t="shared" si="1"/>
        <v>1530301.6929824564</v>
      </c>
      <c r="AK11" s="1380">
        <f t="shared" si="2"/>
        <v>7.0674103367972932E-2</v>
      </c>
      <c r="AL11" t="b">
        <f t="shared" si="3"/>
        <v>1</v>
      </c>
      <c r="AM11" s="1381">
        <f t="shared" si="5"/>
        <v>1459337.2129694931</v>
      </c>
      <c r="AN11" s="1382">
        <f t="shared" si="6"/>
        <v>7.4366412870433218E-2</v>
      </c>
      <c r="AO11" t="b">
        <f t="shared" si="4"/>
        <v>1</v>
      </c>
    </row>
    <row r="12" spans="1:41" ht="25" x14ac:dyDescent="0.25">
      <c r="A12" s="91">
        <v>9257008</v>
      </c>
      <c r="B12" t="s">
        <v>340</v>
      </c>
      <c r="C12" s="1375">
        <f>VLOOKUP(A12,'[20]2122 Funding Detail'!$A$4:Z$21,13,(FALSE))</f>
        <v>98.583333333333343</v>
      </c>
      <c r="D12" s="1375" t="str">
        <f>VLOOKUP(A12,'[20]2122 Funding Detail'!$A$4:AA$21,3,(FALSE))</f>
        <v>School Size 4</v>
      </c>
      <c r="E12" s="1376">
        <f>VLOOKUP(A12,'[20]2122 Band Calculations'!$A$72:$J$89,4,(FALSE))</f>
        <v>0.10101010101010101</v>
      </c>
      <c r="F12" s="1376">
        <f>VLOOKUP(A12,'[20]2122 Band Calculations'!$A$72:$J$89,5,(FALSE))</f>
        <v>0.58585858585858586</v>
      </c>
      <c r="G12" s="1376">
        <f>VLOOKUP(A12,'[20]2122 Band Calculations'!$A$72:$J$89,6,(FALSE))</f>
        <v>8.0808080808080815E-2</v>
      </c>
      <c r="H12" s="1376">
        <f>VLOOKUP(A12,'[20]2122 Band Calculations'!$A$72:$J$89,7,(FALSE))</f>
        <v>9.0909090909090912E-2</v>
      </c>
      <c r="I12" s="1376">
        <f>VLOOKUP(A12,'[20]2122 Band Calculations'!$A$72:$J$89,8,(FALSE))</f>
        <v>1.0101010101010102E-2</v>
      </c>
      <c r="J12" s="1376">
        <f>VLOOKUP(A12,'[20]2122 Band Calculations'!$A$72:$J$89,9,(FALSE))</f>
        <v>0.12121212121212122</v>
      </c>
      <c r="K12" s="1376">
        <f>VLOOKUP(A12,'[20]2122 Band Calculations'!$A$72:$J$89,10,(FALSE))</f>
        <v>1.0101010101010102E-2</v>
      </c>
      <c r="L12" s="1377">
        <v>6286.622831709632</v>
      </c>
      <c r="M12" s="1377">
        <v>7483.9238429115967</v>
      </c>
      <c r="N12" s="1377">
        <v>12059.161550335179</v>
      </c>
      <c r="O12" s="1377">
        <v>14998.922493994021</v>
      </c>
      <c r="P12" s="1377">
        <v>14998.922493994021</v>
      </c>
      <c r="Q12" s="1377">
        <v>16085.825977239108</v>
      </c>
      <c r="R12" s="1377">
        <v>22876.188537117905</v>
      </c>
      <c r="S12" s="1377">
        <f>VLOOKUP(A12,'[20]2122 Funding Detail'!$A$4:$Y$21,8,(FALSE))+VLOOKUP(A12,'[20]2122 Funding Detail'!$A$4:$Z$21,9,(FALSE))</f>
        <v>976256.24013912433</v>
      </c>
      <c r="T12" s="1377">
        <f>VLOOKUP(A12,'[20]2122 Funding Detail'!$A$4:$Y$21,4,(FALSE))+VLOOKUP(A12,'[20]2122 Funding Detail'!$A$4:$Z$21,5,(FALSE))</f>
        <v>470000</v>
      </c>
      <c r="U12" s="1377">
        <f>VLOOKUP(A12,'[20]2122 Funding Detail'!$A$4:$Y$21,10,(FALSE))</f>
        <v>14363.2</v>
      </c>
      <c r="V12" s="1377">
        <f>VLOOKUP(A12,'[20]2122 Funding Detail'!$A$4:$Y$21,17,(FALSE))</f>
        <v>0</v>
      </c>
      <c r="W12" s="1377">
        <f>VLOOKUP(A12,'[20]2122 Funding Detail'!$A$4:$Y$21,18,(FALSE))</f>
        <v>1460619.4401391244</v>
      </c>
      <c r="X12" s="1377">
        <v>1460619.4401391244</v>
      </c>
      <c r="Y12" s="1377">
        <f>VLOOKUP(A12,'[20]2122 Funding Detail'!$A$4:$Y$21,22,(FALSE))</f>
        <v>985833.33333333337</v>
      </c>
      <c r="Z12" s="1377">
        <f>VLOOKUP(A12,'[20]2122 Funding Detail'!$A$4:$Y$21,24,(FALSE))</f>
        <v>474786.10680579103</v>
      </c>
      <c r="AA12" s="1377">
        <f>VLOOKUP(A12,'[20]2122 Funding Detail'!$A$4:$Y$21,21,(FALSE))</f>
        <v>14816.088995494076</v>
      </c>
      <c r="AB12" s="16">
        <f>VLOOKUP(A12,'[20]2122 Pay &amp; Pension Allocations'!A63:V80,22,(FALSE))</f>
        <v>72895.990389827464</v>
      </c>
      <c r="AC12" s="16">
        <f t="shared" si="0"/>
        <v>1387723.449749297</v>
      </c>
      <c r="AD12" s="1374"/>
      <c r="AE12" s="1378" t="str">
        <f>D79</f>
        <v>School Size 4</v>
      </c>
      <c r="AF12" s="1379">
        <f>H79+I79</f>
        <v>516153.60000000003</v>
      </c>
      <c r="AG12" s="16">
        <f>VLOOKUP(A12,'[20]DfE 2122 Funding Detail'!$A$3:$Y$21,8,(FALSE))</f>
        <v>1031868.7626262626</v>
      </c>
      <c r="AH12" s="16">
        <f>VLOOKUP(A12,'[20]DfE 2122 Funding Detail'!$A$3:$Y$21,10,(FALSE))</f>
        <v>15382.4</v>
      </c>
      <c r="AI12" s="16">
        <f>'[20]DfE 2122 MFG Protection'!L73</f>
        <v>0</v>
      </c>
      <c r="AJ12" s="16">
        <f t="shared" si="1"/>
        <v>1563404.7626262626</v>
      </c>
      <c r="AK12" s="1380">
        <f t="shared" si="2"/>
        <v>7.0371049201801594E-2</v>
      </c>
      <c r="AL12" t="b">
        <f t="shared" si="3"/>
        <v>1</v>
      </c>
      <c r="AM12" s="1381">
        <f t="shared" si="5"/>
        <v>1490508.7722364352</v>
      </c>
      <c r="AN12" s="1382">
        <f t="shared" si="6"/>
        <v>7.4067583498504105E-2</v>
      </c>
      <c r="AO12" t="b">
        <f t="shared" si="4"/>
        <v>1</v>
      </c>
    </row>
    <row r="13" spans="1:41" ht="50" x14ac:dyDescent="0.25">
      <c r="A13" s="91">
        <v>9257034</v>
      </c>
      <c r="B13" t="s">
        <v>817</v>
      </c>
      <c r="C13" s="1375">
        <f>VLOOKUP(A13,'[20]2122 Funding Detail'!$A$4:Z$21,13,(FALSE))</f>
        <v>123.16666666666666</v>
      </c>
      <c r="D13" s="1375" t="str">
        <f>VLOOKUP(A13,'[20]2122 Funding Detail'!$A$4:AA$21,3,(FALSE))</f>
        <v>School Size 4 Transition Point</v>
      </c>
      <c r="E13" s="1376">
        <f>VLOOKUP(A13,'[20]2122 Band Calculations'!$A$72:$J$89,4,(FALSE))</f>
        <v>0.42424242424242425</v>
      </c>
      <c r="F13" s="1376">
        <f>VLOOKUP(A13,'[20]2122 Band Calculations'!$A$72:$J$89,5,(FALSE))</f>
        <v>0.29292929292929293</v>
      </c>
      <c r="G13" s="1376">
        <f>VLOOKUP(A13,'[20]2122 Band Calculations'!$A$72:$J$89,6,(FALSE))</f>
        <v>0.14141414141414141</v>
      </c>
      <c r="H13" s="1376">
        <f>VLOOKUP(A13,'[20]2122 Band Calculations'!$A$72:$J$89,7,(FALSE))</f>
        <v>3.0303030303030304E-2</v>
      </c>
      <c r="I13" s="1376">
        <f>VLOOKUP(A13,'[20]2122 Band Calculations'!$A$72:$J$89,8,(FALSE))</f>
        <v>4.0404040404040407E-2</v>
      </c>
      <c r="J13" s="1376">
        <f>VLOOKUP(A13,'[20]2122 Band Calculations'!$A$72:$J$89,9,(FALSE))</f>
        <v>6.0606060606060608E-2</v>
      </c>
      <c r="K13" s="1376">
        <f>VLOOKUP(A13,'[20]2122 Band Calculations'!$A$72:$J$89,10,(FALSE))</f>
        <v>1.0101010101010102E-2</v>
      </c>
      <c r="L13" s="1377">
        <v>6286.622831709632</v>
      </c>
      <c r="M13" s="1377">
        <v>7483.9238429115967</v>
      </c>
      <c r="N13" s="1377">
        <v>12059.161550335179</v>
      </c>
      <c r="O13" s="1377">
        <v>14998.922493994021</v>
      </c>
      <c r="P13" s="1377">
        <v>14998.922493994021</v>
      </c>
      <c r="Q13" s="1377">
        <v>16085.825977239108</v>
      </c>
      <c r="R13" s="1377">
        <v>22876.188537117905</v>
      </c>
      <c r="S13" s="1377">
        <f>VLOOKUP(A13,'[20]2122 Funding Detail'!$A$4:$Y$21,8,(FALSE))+VLOOKUP(A13,'[20]2122 Funding Detail'!$A$4:$Z$21,9,(FALSE))</f>
        <v>1133598.3981502512</v>
      </c>
      <c r="T13" s="1377">
        <f>VLOOKUP(A13,'[20]2122 Funding Detail'!$A$4:$Y$21,4,(FALSE))+VLOOKUP(A13,'[20]2122 Funding Detail'!$A$4:$Z$21,5,(FALSE))</f>
        <v>505000</v>
      </c>
      <c r="U13" s="1401">
        <v>21095.95</v>
      </c>
      <c r="V13" s="1377">
        <f>VLOOKUP(A13,'[20]2122 Funding Detail'!$A$4:$Y$21,17,(FALSE))</f>
        <v>59535.284511571168</v>
      </c>
      <c r="W13" s="1377">
        <f>SUM(S13:V13)</f>
        <v>1719229.6326618223</v>
      </c>
      <c r="X13" s="1377">
        <v>1719229.6326618223</v>
      </c>
      <c r="Y13" s="1377">
        <f>VLOOKUP(A13,'[20]2122 Funding Detail'!$A$4:$Y$21,22,(FALSE))</f>
        <v>1231666.6666666665</v>
      </c>
      <c r="Z13" s="1377">
        <f>VLOOKUP(A13,'[20]2122 Funding Detail'!$A$4:$Y$21,24,(FALSE))</f>
        <v>487562.96599515574</v>
      </c>
      <c r="AA13" s="1377">
        <f>VLOOKUP(A13,'[20]2122 Funding Detail'!$A$4:$Y$21,21,(FALSE))</f>
        <v>13958.562646780696</v>
      </c>
      <c r="AB13" s="16">
        <f>VLOOKUP(A13,'[20]2122 Pay &amp; Pension Allocations'!A64:V81,22,(FALSE))</f>
        <v>82422.383649202602</v>
      </c>
      <c r="AC13" s="16">
        <f t="shared" si="0"/>
        <v>1636807.2490126197</v>
      </c>
      <c r="AD13" s="1374"/>
      <c r="AE13" s="1378" t="str">
        <f>D80</f>
        <v>School Size 4 Transition Point</v>
      </c>
      <c r="AF13" s="1379">
        <f>H80+I80</f>
        <v>560721.69999999995</v>
      </c>
      <c r="AG13" s="16">
        <f>VLOOKUP(A13,'[20]DfE 2122 Funding Detail'!$A$3:$Y$21,8,(FALSE))</f>
        <v>1198177.7744107745</v>
      </c>
      <c r="AH13" s="394">
        <f>2.53*47*190</f>
        <v>22592.899999999998</v>
      </c>
      <c r="AI13" s="16">
        <f>'[20]DfE 2122 MFG Protection'!L82</f>
        <v>34114.690686835864</v>
      </c>
      <c r="AJ13" s="16">
        <f t="shared" si="1"/>
        <v>1815607.0650976102</v>
      </c>
      <c r="AK13" s="1380">
        <f t="shared" si="2"/>
        <v>5.6058498879274332E-2</v>
      </c>
      <c r="AL13" t="b">
        <f t="shared" si="3"/>
        <v>1</v>
      </c>
      <c r="AM13" s="1381">
        <f t="shared" si="5"/>
        <v>1733184.6814484077</v>
      </c>
      <c r="AN13" s="1382">
        <f t="shared" si="6"/>
        <v>5.8881357284998749E-2</v>
      </c>
      <c r="AO13" t="b">
        <f t="shared" si="4"/>
        <v>1</v>
      </c>
    </row>
    <row r="14" spans="1:41" ht="25" x14ac:dyDescent="0.25">
      <c r="A14" s="91">
        <v>9257002</v>
      </c>
      <c r="B14" t="s">
        <v>808</v>
      </c>
      <c r="C14" s="1375">
        <f>VLOOKUP(A14,'[20]2122 Funding Detail'!$A$4:Z$21,13,(FALSE))</f>
        <v>150.58333333333334</v>
      </c>
      <c r="D14" s="1375" t="str">
        <f>VLOOKUP(A14,'[20]2122 Funding Detail'!$A$4:AA$21,3,(FALSE))</f>
        <v>School Size 5</v>
      </c>
      <c r="E14" s="1376">
        <f>VLOOKUP(A14,'[20]2122 Band Calculations'!$A$72:$J$89,4,(FALSE))</f>
        <v>0.3546099290780142</v>
      </c>
      <c r="F14" s="1376">
        <f>VLOOKUP(A14,'[20]2122 Band Calculations'!$A$72:$J$89,5,(FALSE))</f>
        <v>0.38297872340425532</v>
      </c>
      <c r="G14" s="1376">
        <f>VLOOKUP(A14,'[20]2122 Band Calculations'!$A$72:$J$89,6,(FALSE))</f>
        <v>0.1276595744680851</v>
      </c>
      <c r="H14" s="1376">
        <f>VLOOKUP(A14,'[20]2122 Band Calculations'!$A$72:$J$89,7,(FALSE))</f>
        <v>2.8368794326241134E-2</v>
      </c>
      <c r="I14" s="1376">
        <f>VLOOKUP(A14,'[20]2122 Band Calculations'!$A$72:$J$89,8,(FALSE))</f>
        <v>2.1276595744680851E-2</v>
      </c>
      <c r="J14" s="1376">
        <f>VLOOKUP(A14,'[20]2122 Band Calculations'!$A$72:$J$89,9,(FALSE))</f>
        <v>7.8014184397163122E-2</v>
      </c>
      <c r="K14" s="1376">
        <f>VLOOKUP(A14,'[20]2122 Band Calculations'!$A$72:$J$89,10,(FALSE))</f>
        <v>7.0921985815602835E-3</v>
      </c>
      <c r="L14" s="1377">
        <v>6286.622831709632</v>
      </c>
      <c r="M14" s="1377">
        <v>7483.9238429115967</v>
      </c>
      <c r="N14" s="1377">
        <v>12059.161550335179</v>
      </c>
      <c r="O14" s="1377">
        <v>14998.922493994021</v>
      </c>
      <c r="P14" s="1377">
        <v>14998.922493994021</v>
      </c>
      <c r="Q14" s="1377">
        <v>16085.825977239108</v>
      </c>
      <c r="R14" s="1377">
        <v>22876.188537117905</v>
      </c>
      <c r="S14" s="1377">
        <f>VLOOKUP(A14,'[20]2122 Funding Detail'!$A$4:$Y$21,8,(FALSE))+VLOOKUP(A14,'[20]2122 Funding Detail'!$A$4:$Z$21,9,(FALSE))</f>
        <v>1375296.4529772336</v>
      </c>
      <c r="T14" s="1377">
        <f>VLOOKUP(A14,'[20]2122 Funding Detail'!$A$4:$Y$21,4,(FALSE))+VLOOKUP(A14,'[20]2122 Funding Detail'!$A$4:$Z$21,5,(FALSE))</f>
        <v>540000</v>
      </c>
      <c r="U14" s="1377">
        <f>VLOOKUP(A14,'[20]2122 Funding Detail'!$A$4:$Y$21,10,(FALSE))</f>
        <v>18851.7</v>
      </c>
      <c r="V14" s="1377">
        <f>VLOOKUP(A14,'[20]2122 Funding Detail'!$A$4:$Y$21,17,(FALSE))</f>
        <v>0</v>
      </c>
      <c r="W14" s="1377">
        <f>VLOOKUP(A14,'[20]2122 Funding Detail'!$A$4:$Y$21,18,(FALSE))</f>
        <v>1934148.1529772335</v>
      </c>
      <c r="X14" s="1377">
        <v>1934148.1529772335</v>
      </c>
      <c r="Y14" s="1377">
        <f>VLOOKUP(A14,'[20]2122 Funding Detail'!$A$4:$Y$21,22,(FALSE))</f>
        <v>1505833.3333333335</v>
      </c>
      <c r="Z14" s="1377">
        <f>VLOOKUP(A14,'[20]2122 Funding Detail'!$A$4:$Y$21,24,(FALSE))</f>
        <v>428314.81964390003</v>
      </c>
      <c r="AA14" s="1377">
        <f>VLOOKUP(A14,'[20]2122 Funding Detail'!$A$4:$Y$21,21,(FALSE))</f>
        <v>12844.370689389485</v>
      </c>
      <c r="AB14" s="16">
        <f>VLOOKUP(A14,'[20]2122 Pay &amp; Pension Allocations'!A65:V82,22,(FALSE))</f>
        <v>101278.63051555897</v>
      </c>
      <c r="AC14" s="16">
        <f t="shared" si="0"/>
        <v>1832869.5224616746</v>
      </c>
      <c r="AD14" s="1374"/>
      <c r="AE14" s="1378" t="str">
        <f>D81</f>
        <v>School Size 5</v>
      </c>
      <c r="AF14" s="1379">
        <f>H81+I81</f>
        <v>605289.80000000005</v>
      </c>
      <c r="AG14" s="16">
        <f>VLOOKUP(A14,'[20]DfE 2122 Funding Detail'!$A$3:$Y$21,8,(FALSE))</f>
        <v>1453321.40070922</v>
      </c>
      <c r="AH14" s="16">
        <f>VLOOKUP(A14,'[20]DfE 2122 Funding Detail'!$A$3:$Y$21,10,(FALSE))</f>
        <v>20189.399999999998</v>
      </c>
      <c r="AI14" s="16">
        <f>'[20]DfE 2122 MFG Protection'!L91</f>
        <v>0</v>
      </c>
      <c r="AJ14" s="16">
        <f t="shared" si="1"/>
        <v>2078800.6007092199</v>
      </c>
      <c r="AK14" s="1380">
        <f t="shared" si="2"/>
        <v>7.4788711252198006E-2</v>
      </c>
      <c r="AL14" t="b">
        <f t="shared" si="3"/>
        <v>1</v>
      </c>
      <c r="AM14" s="1381">
        <f t="shared" si="5"/>
        <v>1977521.9701936611</v>
      </c>
      <c r="AN14" s="1382">
        <f t="shared" si="6"/>
        <v>7.892130124882421E-2</v>
      </c>
      <c r="AO14" t="b">
        <f t="shared" si="4"/>
        <v>1</v>
      </c>
    </row>
    <row r="15" spans="1:41" ht="50" x14ac:dyDescent="0.25">
      <c r="A15" s="91"/>
      <c r="B15" t="s">
        <v>546</v>
      </c>
      <c r="C15" s="1375">
        <v>136</v>
      </c>
      <c r="D15" s="1375" t="s">
        <v>759</v>
      </c>
      <c r="E15" s="1403">
        <v>0.23200000000000001</v>
      </c>
      <c r="F15" s="1376">
        <v>0.57599999999999996</v>
      </c>
      <c r="G15" s="1403">
        <v>0.08</v>
      </c>
      <c r="H15" s="1376">
        <v>2.4E-2</v>
      </c>
      <c r="I15" s="1376">
        <v>8.0000000000000002E-3</v>
      </c>
      <c r="J15" s="1376">
        <v>0.08</v>
      </c>
      <c r="K15" s="1376">
        <v>0</v>
      </c>
      <c r="L15" s="1377">
        <v>6286.622831709632</v>
      </c>
      <c r="M15" s="1377">
        <v>7483.9238429115967</v>
      </c>
      <c r="N15" s="1377">
        <v>12059.161550335179</v>
      </c>
      <c r="O15" s="1377">
        <v>14998.922493994021</v>
      </c>
      <c r="P15" s="1377">
        <v>14998.922493994021</v>
      </c>
      <c r="Q15" s="1377">
        <v>16085.825977239108</v>
      </c>
      <c r="R15" s="1377">
        <v>22876.188537117905</v>
      </c>
      <c r="S15" s="1401">
        <v>1184777.7567382953</v>
      </c>
      <c r="T15" s="1377">
        <v>505000</v>
      </c>
      <c r="U15" s="1377">
        <v>22442.5</v>
      </c>
      <c r="V15" s="1401">
        <v>60152.544594865052</v>
      </c>
      <c r="W15" s="1401">
        <f>SUM(S15:V15)</f>
        <v>1772372.8013331604</v>
      </c>
      <c r="X15" s="1377">
        <v>1772372.8013331604</v>
      </c>
      <c r="Y15" s="1377">
        <v>1360000</v>
      </c>
      <c r="Z15" s="1377">
        <v>394604.27277057781</v>
      </c>
      <c r="AA15" s="1377">
        <v>12901.502005666014</v>
      </c>
      <c r="AB15" s="394">
        <v>93359.332019482608</v>
      </c>
      <c r="AC15" s="394">
        <f t="shared" si="0"/>
        <v>1679013.4693136779</v>
      </c>
      <c r="AD15" s="1374"/>
      <c r="AE15" s="1383" t="s">
        <v>759</v>
      </c>
      <c r="AF15" s="230">
        <v>560721.69999999995</v>
      </c>
      <c r="AG15" s="394">
        <v>1251260.9280000001</v>
      </c>
      <c r="AH15" s="16">
        <v>24035</v>
      </c>
      <c r="AI15" s="16">
        <v>34686.323739454252</v>
      </c>
      <c r="AJ15" s="16">
        <f t="shared" si="1"/>
        <v>1870703.9517394542</v>
      </c>
      <c r="AK15" s="1380">
        <v>5.566748040265812E-2</v>
      </c>
      <c r="AL15" t="b">
        <v>1</v>
      </c>
      <c r="AM15" s="1402">
        <f>AJ15-AB15</f>
        <v>1777344.6197199717</v>
      </c>
      <c r="AN15" s="1382">
        <v>5.8786529738191672E-2</v>
      </c>
      <c r="AO15" t="b">
        <v>1</v>
      </c>
    </row>
    <row r="16" spans="1:41" ht="50" x14ac:dyDescent="0.25">
      <c r="A16" s="91">
        <v>9257029</v>
      </c>
      <c r="B16" t="s">
        <v>890</v>
      </c>
      <c r="C16" s="1375">
        <f>VLOOKUP(A16,'[20]2122 Funding Detail'!$A$4:Z$21,13,(FALSE))</f>
        <v>74.666666666666671</v>
      </c>
      <c r="D16" s="1375" t="str">
        <f>VLOOKUP(A16,'[20]2122 Funding Detail'!$A$4:AA$21,3,(FALSE))</f>
        <v>School Size 4 Transition Point</v>
      </c>
      <c r="E16" s="1376">
        <f>VLOOKUP(A16,'[20]2122 Band Calculations'!$A$72:$J$89,4,(FALSE))</f>
        <v>0</v>
      </c>
      <c r="F16" s="1376">
        <f>VLOOKUP(A16,'[20]2122 Band Calculations'!$A$72:$J$89,5,(FALSE))</f>
        <v>0</v>
      </c>
      <c r="G16" s="1376">
        <f>VLOOKUP(A16,'[20]2122 Band Calculations'!$A$72:$J$89,6,(FALSE))</f>
        <v>1</v>
      </c>
      <c r="H16" s="1376">
        <f>VLOOKUP(A16,'[20]2122 Band Calculations'!$A$72:$J$89,7,(FALSE))</f>
        <v>0</v>
      </c>
      <c r="I16" s="1376">
        <f>VLOOKUP(A16,'[20]2122 Band Calculations'!$A$72:$J$89,8,(FALSE))</f>
        <v>0</v>
      </c>
      <c r="J16" s="1376">
        <f>VLOOKUP(A16,'[20]2122 Band Calculations'!$A$72:$J$89,9,(FALSE))</f>
        <v>0</v>
      </c>
      <c r="K16" s="1376">
        <f>VLOOKUP(A16,'[20]2122 Band Calculations'!$A$72:$J$89,10,(FALSE))</f>
        <v>0</v>
      </c>
      <c r="L16" s="1377">
        <v>6286.622831709632</v>
      </c>
      <c r="M16" s="1377">
        <v>7483.9238429115967</v>
      </c>
      <c r="N16" s="1377">
        <v>12059.161550335179</v>
      </c>
      <c r="O16" s="1377">
        <v>14998.922493994021</v>
      </c>
      <c r="P16" s="1377">
        <v>14998.922493994021</v>
      </c>
      <c r="Q16" s="1377">
        <v>16085.825977239108</v>
      </c>
      <c r="R16" s="1377">
        <v>22876.188537117905</v>
      </c>
      <c r="S16" s="1377">
        <f>VLOOKUP(A16,'[20]2122 Funding Detail'!$A$4:$Y$21,8,(FALSE))+VLOOKUP(A16,'[20]2122 Funding Detail'!$A$4:$Z$21,9,(FALSE))</f>
        <v>1097164.0624250267</v>
      </c>
      <c r="T16" s="1377">
        <f>VLOOKUP(A16,'[20]2122 Funding Detail'!$A$4:$Y$21,4,(FALSE))+VLOOKUP(A16,'[20]2122 Funding Detail'!$A$4:$Z$21,5,(FALSE))</f>
        <v>435000</v>
      </c>
      <c r="U16" s="1377">
        <f>VLOOKUP(A16,'[20]2122 Funding Detail'!$A$4:$Y$21,10,(FALSE))</f>
        <v>10323.550000000001</v>
      </c>
      <c r="V16" s="1377">
        <f>VLOOKUP(A16,'[20]2122 Funding Detail'!$A$4:$Y$21,17,(FALSE))</f>
        <v>4968.7663456613536</v>
      </c>
      <c r="W16" s="1377">
        <f>VLOOKUP(A16,'[20]2122 Funding Detail'!$A$4:$Y$21,18,(FALSE))</f>
        <v>1547456.3787706883</v>
      </c>
      <c r="X16" s="1377">
        <v>1547456.3787706883</v>
      </c>
      <c r="Y16" s="1377">
        <f>VLOOKUP(A16,'[20]2122 Funding Detail'!$A$4:$Y$21,22,(FALSE))</f>
        <v>746666.66666666674</v>
      </c>
      <c r="Z16" s="1377">
        <f>VLOOKUP(A16,'[20]2122 Funding Detail'!$A$4:$Y$21,24,(FALSE))</f>
        <v>800789.71210402157</v>
      </c>
      <c r="AA16" s="1377">
        <f>VLOOKUP(A16,'[20]2122 Funding Detail'!$A$4:$Y$21,21,(FALSE))</f>
        <v>20724.862215678859</v>
      </c>
      <c r="AB16" s="16">
        <f>VLOOKUP(A16,'[20]2122 Pay &amp; Pension Allocations'!A67:V84,22,(FALSE))</f>
        <v>55715.445274666607</v>
      </c>
      <c r="AC16" s="16">
        <f t="shared" si="0"/>
        <v>1491740.9334960217</v>
      </c>
      <c r="AD16" s="1374"/>
      <c r="AE16" s="1383" t="str">
        <f>D80</f>
        <v>School Size 4 Transition Point</v>
      </c>
      <c r="AF16" s="230">
        <f>J80+K80</f>
        <v>485979.75</v>
      </c>
      <c r="AG16" s="16">
        <f>VLOOKUP(A16,'[20]DfE 2122 Funding Detail'!$A$3:$Y$21,8,(FALSE))</f>
        <v>1162336</v>
      </c>
      <c r="AH16" s="16">
        <f>VLOOKUP(A16,'[20]DfE 2122 Funding Detail'!$A$3:$Y$21,10,(FALSE))</f>
        <v>11056.1</v>
      </c>
      <c r="AI16" s="16">
        <f>'[20]DfE 2122 MFG Protection'!L109</f>
        <v>0</v>
      </c>
      <c r="AJ16" s="16">
        <f>SUM(AE16:AI16)</f>
        <v>1659371.85</v>
      </c>
      <c r="AK16" s="1380">
        <f t="shared" ref="AK16:AK22" si="7">(AJ16-W16)/W16</f>
        <v>7.232221390189901E-2</v>
      </c>
      <c r="AL16" t="b">
        <f t="shared" si="3"/>
        <v>1</v>
      </c>
      <c r="AM16" s="1381">
        <f t="shared" si="5"/>
        <v>1603656.4047253334</v>
      </c>
      <c r="AN16" s="1382">
        <f t="shared" si="6"/>
        <v>7.5023396299133766E-2</v>
      </c>
      <c r="AO16" t="b">
        <f t="shared" si="4"/>
        <v>1</v>
      </c>
    </row>
    <row r="17" spans="1:51" ht="50" x14ac:dyDescent="0.25">
      <c r="A17" s="91">
        <v>9257032</v>
      </c>
      <c r="B17" t="s">
        <v>813</v>
      </c>
      <c r="C17" s="1375">
        <f>VLOOKUP(A17,'[20]2122 Funding Detail'!$A$4:Z$21,13,(FALSE))</f>
        <v>94.833333333333343</v>
      </c>
      <c r="D17" s="1375" t="str">
        <f>VLOOKUP(A17,'[20]2122 Funding Detail'!$A$4:AA$21,3,(FALSE))</f>
        <v>School Size 4 Transition Point</v>
      </c>
      <c r="E17" s="1376">
        <f>VLOOKUP(A17,'[20]2122 Band Calculations'!$A$72:$J$89,4,(FALSE))</f>
        <v>0</v>
      </c>
      <c r="F17" s="1376">
        <f>VLOOKUP(A17,'[20]2122 Band Calculations'!$A$72:$J$89,5,(FALSE))</f>
        <v>0</v>
      </c>
      <c r="G17" s="1376">
        <f>VLOOKUP(A17,'[20]2122 Band Calculations'!$A$72:$J$89,6,(FALSE))</f>
        <v>1</v>
      </c>
      <c r="H17" s="1376">
        <f>VLOOKUP(A17,'[20]2122 Band Calculations'!$A$72:$J$89,7,(FALSE))</f>
        <v>0</v>
      </c>
      <c r="I17" s="1376">
        <f>VLOOKUP(A17,'[20]2122 Band Calculations'!$A$72:$J$89,8,(FALSE))</f>
        <v>0</v>
      </c>
      <c r="J17" s="1376">
        <f>VLOOKUP(A17,'[20]2122 Band Calculations'!$A$72:$J$89,9,(FALSE))</f>
        <v>0</v>
      </c>
      <c r="K17" s="1376">
        <f>VLOOKUP(A17,'[20]2122 Band Calculations'!$A$72:$J$89,10,(FALSE))</f>
        <v>0</v>
      </c>
      <c r="L17" s="1377">
        <v>6286.622831709632</v>
      </c>
      <c r="M17" s="1377">
        <v>7483.9238429115967</v>
      </c>
      <c r="N17" s="1377">
        <v>12059.161550335179</v>
      </c>
      <c r="O17" s="1377">
        <v>14998.922493994021</v>
      </c>
      <c r="P17" s="1377">
        <v>14998.922493994021</v>
      </c>
      <c r="Q17" s="1377">
        <v>16085.825977239108</v>
      </c>
      <c r="R17" s="1377">
        <v>22876.188537117905</v>
      </c>
      <c r="S17" s="1377">
        <f>VLOOKUP(A17,'[20]2122 Funding Detail'!$A$4:$Y$21,8,(FALSE))+VLOOKUP(A17,'[20]2122 Funding Detail'!$A$4:$Z$21,9,(FALSE))</f>
        <v>1393496.3203567863</v>
      </c>
      <c r="T17" s="1377">
        <f>VLOOKUP(A17,'[20]2122 Funding Detail'!$A$4:$Y$21,4,(FALSE))+VLOOKUP(A17,'[20]2122 Funding Detail'!$A$4:$Z$21,5,(FALSE))</f>
        <v>435000</v>
      </c>
      <c r="U17" s="1377">
        <f>VLOOKUP(A17,'[20]2122 Funding Detail'!$A$4:$Y$21,10,(FALSE))</f>
        <v>19300.55</v>
      </c>
      <c r="V17" s="1377">
        <f>VLOOKUP(A17,'[20]2122 Funding Detail'!$A$4:$Y$21,17,(FALSE))</f>
        <v>26861.708477914828</v>
      </c>
      <c r="W17" s="1377">
        <f>VLOOKUP(A17,'[20]2122 Funding Detail'!$A$4:$Y$21,18,(FALSE))</f>
        <v>1874658.5788347009</v>
      </c>
      <c r="X17" s="1377">
        <v>1874658.5788347009</v>
      </c>
      <c r="Y17" s="1377">
        <f>VLOOKUP(A17,'[20]2122 Funding Detail'!$A$4:$Y$21,22,(FALSE))</f>
        <v>948333.33333333337</v>
      </c>
      <c r="Z17" s="1377">
        <f>VLOOKUP(A17,'[20]2122 Funding Detail'!$A$4:$Y$21,24,(FALSE))</f>
        <v>926325.24550136749</v>
      </c>
      <c r="AA17" s="1377">
        <f>VLOOKUP(A17,'[20]2122 Funding Detail'!$A$4:$Y$21,21,(FALSE))</f>
        <v>19767.928775058353</v>
      </c>
      <c r="AB17" s="16">
        <f>VLOOKUP(A17,'[20]2122 Pay &amp; Pension Allocations'!A68:V85,22,(FALSE))</f>
        <v>67500.587413583271</v>
      </c>
      <c r="AC17" s="16">
        <f t="shared" si="0"/>
        <v>1807157.9914211177</v>
      </c>
      <c r="AD17" s="1374"/>
      <c r="AE17" s="1383" t="str">
        <f>D80</f>
        <v>School Size 4 Transition Point</v>
      </c>
      <c r="AF17" s="230">
        <f>J80+K80</f>
        <v>485979.75</v>
      </c>
      <c r="AG17" s="16">
        <f>VLOOKUP(A17,'[20]DfE 2122 Funding Detail'!$A$3:$Y$21,8,(FALSE))</f>
        <v>1476270.5</v>
      </c>
      <c r="AH17" s="16">
        <f>VLOOKUP(A17,'[20]DfE 2122 Funding Detail'!$A$3:$Y$21,10,(FALSE))</f>
        <v>20670.099999999999</v>
      </c>
      <c r="AI17" s="16">
        <f>'[20]DfE 2122 MFG Protection'!L118</f>
        <v>0</v>
      </c>
      <c r="AJ17" s="16">
        <f>SUM(AE17:AI17)</f>
        <v>1982920.35</v>
      </c>
      <c r="AK17" s="1380">
        <f t="shared" si="7"/>
        <v>5.7750127083191542E-2</v>
      </c>
      <c r="AL17" t="b">
        <f t="shared" si="3"/>
        <v>1</v>
      </c>
      <c r="AM17" s="1381">
        <f t="shared" si="5"/>
        <v>1915419.7625864169</v>
      </c>
      <c r="AN17" s="1382">
        <f t="shared" si="6"/>
        <v>5.9907197754283811E-2</v>
      </c>
      <c r="AO17" t="b">
        <f t="shared" si="4"/>
        <v>1</v>
      </c>
    </row>
    <row r="18" spans="1:51" ht="50" x14ac:dyDescent="0.25">
      <c r="A18" s="91">
        <v>9257030</v>
      </c>
      <c r="B18" t="s">
        <v>815</v>
      </c>
      <c r="C18" s="1375">
        <f>VLOOKUP(A18,'[20]2122 Funding Detail'!$A$4:Z$21,13,(FALSE))</f>
        <v>73.25</v>
      </c>
      <c r="D18" s="1375" t="str">
        <f>VLOOKUP(A18,'[20]2122 Funding Detail'!$A$4:AA$21,3,(FALSE))</f>
        <v>School Size 4 Transition Point</v>
      </c>
      <c r="E18" s="1376">
        <f>VLOOKUP(A18,'[20]2122 Band Calculations'!$A$72:$J$89,4,(FALSE))</f>
        <v>0</v>
      </c>
      <c r="F18" s="1376">
        <f>VLOOKUP(A18,'[20]2122 Band Calculations'!$A$72:$J$89,5,(FALSE))</f>
        <v>0</v>
      </c>
      <c r="G18" s="1376">
        <f>VLOOKUP(A18,'[20]2122 Band Calculations'!$A$72:$J$89,6,(FALSE))</f>
        <v>1</v>
      </c>
      <c r="H18" s="1376">
        <f>VLOOKUP(A18,'[20]2122 Band Calculations'!$A$72:$J$89,7,(FALSE))</f>
        <v>0</v>
      </c>
      <c r="I18" s="1376">
        <f>VLOOKUP(A18,'[20]2122 Band Calculations'!$A$72:$J$89,8,(FALSE))</f>
        <v>0</v>
      </c>
      <c r="J18" s="1376">
        <f>VLOOKUP(A18,'[20]2122 Band Calculations'!$A$72:$J$89,9,(FALSE))</f>
        <v>0</v>
      </c>
      <c r="K18" s="1376">
        <f>VLOOKUP(A18,'[20]2122 Band Calculations'!$A$72:$J$89,10,(FALSE))</f>
        <v>0</v>
      </c>
      <c r="L18" s="1377">
        <v>6286.622831709632</v>
      </c>
      <c r="M18" s="1377">
        <v>7483.9238429115967</v>
      </c>
      <c r="N18" s="1377">
        <v>12059.161550335179</v>
      </c>
      <c r="O18" s="1377">
        <v>14998.922493994021</v>
      </c>
      <c r="P18" s="1377">
        <v>14998.922493994021</v>
      </c>
      <c r="Q18" s="1377">
        <v>16085.825977239108</v>
      </c>
      <c r="R18" s="1377">
        <v>22876.188537117905</v>
      </c>
      <c r="S18" s="1377">
        <f>VLOOKUP(A18,'[20]2122 Funding Detail'!$A$4:$Y$21,8,(FALSE))+VLOOKUP(A18,'[20]2122 Funding Detail'!$A$4:$Z$21,9,(FALSE))</f>
        <v>1076347.3335620519</v>
      </c>
      <c r="T18" s="1377">
        <f>VLOOKUP(A18,'[20]2122 Funding Detail'!$A$4:$Y$21,4,(FALSE))+VLOOKUP(A18,'[20]2122 Funding Detail'!$A$4:$Z$21,5,(FALSE))</f>
        <v>435000</v>
      </c>
      <c r="U18" s="1377">
        <f>VLOOKUP(A18,'[20]2122 Funding Detail'!$A$4:$Y$21,10,(FALSE))</f>
        <v>8977</v>
      </c>
      <c r="V18" s="1377">
        <f>VLOOKUP(A18,'[20]2122 Funding Detail'!$A$4:$Y$21,17,(FALSE))</f>
        <v>33252.755302644044</v>
      </c>
      <c r="W18" s="1377">
        <f>VLOOKUP(A18,'[20]2122 Funding Detail'!$A$4:$Y$21,18,(FALSE))</f>
        <v>1553577.088864696</v>
      </c>
      <c r="X18" s="1377">
        <v>1553577.088864696</v>
      </c>
      <c r="Y18" s="1377">
        <f>VLOOKUP(A18,'[20]2122 Funding Detail'!$A$4:$Y$21,22,(FALSE))</f>
        <v>732500</v>
      </c>
      <c r="Z18" s="1377">
        <f>VLOOKUP(A18,'[20]2122 Funding Detail'!$A$4:$Y$21,24,(FALSE))</f>
        <v>821077.08886469598</v>
      </c>
      <c r="AA18" s="1377">
        <f>VLOOKUP(A18,'[20]2122 Funding Detail'!$A$4:$Y$21,21,(FALSE))</f>
        <v>21209.243533989025</v>
      </c>
      <c r="AB18" s="16">
        <f>VLOOKUP(A18,'[20]2122 Pay &amp; Pension Allocations'!A69:V86,22,(FALSE))</f>
        <v>54887.563388874943</v>
      </c>
      <c r="AC18" s="16">
        <f t="shared" si="0"/>
        <v>1498689.525475821</v>
      </c>
      <c r="AD18" s="466"/>
      <c r="AE18" s="1383" t="str">
        <f>D80</f>
        <v>School Size 4 Transition Point</v>
      </c>
      <c r="AF18" s="230">
        <f>J80+K80</f>
        <v>485979.75</v>
      </c>
      <c r="AG18" s="16">
        <f>VLOOKUP(A18,'[20]DfE 2122 Funding Detail'!$A$3:$Y$21,8,(FALSE))</f>
        <v>1140282.75</v>
      </c>
      <c r="AH18" s="16">
        <f>VLOOKUP(A18,'[20]DfE 2122 Funding Detail'!$A$3:$Y$21,10,(FALSE))</f>
        <v>9614</v>
      </c>
      <c r="AI18" s="16">
        <f>'[20]DfE 2122 MFG Protection'!L127</f>
        <v>2967.1675168530028</v>
      </c>
      <c r="AJ18" s="16">
        <f>SUM(AE18:AI18)</f>
        <v>1638843.667516853</v>
      </c>
      <c r="AK18" s="1380">
        <f t="shared" si="7"/>
        <v>5.4884034569837183E-2</v>
      </c>
      <c r="AL18" t="b">
        <f t="shared" si="3"/>
        <v>1</v>
      </c>
      <c r="AM18" s="1381">
        <f t="shared" si="5"/>
        <v>1583956.104127978</v>
      </c>
      <c r="AN18" s="1382">
        <f t="shared" si="6"/>
        <v>5.6894091272897622E-2</v>
      </c>
      <c r="AO18" t="b">
        <f t="shared" si="4"/>
        <v>1</v>
      </c>
    </row>
    <row r="19" spans="1:51" ht="24.75" customHeight="1" x14ac:dyDescent="0.25">
      <c r="A19" s="91">
        <v>9257028</v>
      </c>
      <c r="B19" t="str">
        <f>'[21]2122 Funding Detail'!B18</f>
        <v>Bourne Willoughby</v>
      </c>
      <c r="C19" s="1375">
        <f>VLOOKUP(A19,'[20]2122 Funding Detail'!$A$4:Z$21,13,(FALSE))</f>
        <v>112.16666666666667</v>
      </c>
      <c r="D19" s="1375" t="str">
        <f>VLOOKUP(A19,'[20]2122 Funding Detail'!$A$4:AA$21,3,(FALSE))</f>
        <v>School Size 5</v>
      </c>
      <c r="E19" s="1376">
        <f>VLOOKUP(A19,'[20]2122 Band Calculations'!$A$72:$J$89,4,(FALSE))</f>
        <v>8.9108910891089105E-2</v>
      </c>
      <c r="F19" s="1376">
        <f>VLOOKUP(A19,'[20]2122 Band Calculations'!$A$72:$J$89,5,(FALSE))</f>
        <v>0.40594059405940597</v>
      </c>
      <c r="G19" s="1376">
        <f>VLOOKUP(A19,'[20]2122 Band Calculations'!$A$72:$J$89,6,(FALSE))</f>
        <v>7.9207920792079209E-2</v>
      </c>
      <c r="H19" s="1376">
        <f>VLOOKUP(A19,'[20]2122 Band Calculations'!$A$72:$J$89,7,(FALSE))</f>
        <v>8.9108910891089105E-2</v>
      </c>
      <c r="I19" s="1376">
        <f>VLOOKUP(A19,'[20]2122 Band Calculations'!$A$72:$J$89,8,(FALSE))</f>
        <v>0.12871287128712872</v>
      </c>
      <c r="J19" s="1376">
        <f>VLOOKUP(A19,'[20]2122 Band Calculations'!$A$72:$J$89,9,(FALSE))</f>
        <v>9.9009900990099015E-2</v>
      </c>
      <c r="K19" s="1376">
        <f>VLOOKUP(A19,'[20]2122 Band Calculations'!$A$72:$J$89,10,(FALSE))</f>
        <v>0.10891089108910891</v>
      </c>
      <c r="L19" s="1377">
        <f>'[20]2122 Band Calculations'!G92</f>
        <v>6286.622831709632</v>
      </c>
      <c r="M19" s="1377">
        <f>'[20]2122 Band Calculations'!G94</f>
        <v>7483.9238429115967</v>
      </c>
      <c r="N19" s="1377">
        <f>'[20]2122 Band Calculations'!G96+'[20]2122 Band Calculations'!G18</f>
        <v>12059.161550335179</v>
      </c>
      <c r="O19" s="1377">
        <f>'[20]2122 Band Calculations'!G98</f>
        <v>14998.922493994021</v>
      </c>
      <c r="P19" s="1377">
        <f>'[20]2122 Band Calculations'!G100</f>
        <v>14998.922493994021</v>
      </c>
      <c r="Q19" s="1377">
        <f>'[20]2122 Band Calculations'!G102</f>
        <v>16085.825977239108</v>
      </c>
      <c r="R19" s="1377">
        <f>'[20]2122 Band Calculations'!G104</f>
        <v>22876.188537117905</v>
      </c>
      <c r="S19" s="1377">
        <f>VLOOKUP(A19,'[20]2122 Funding Detail'!$A$4:$Y$21,8,(FALSE))+VLOOKUP(A19,'[20]2122 Funding Detail'!$A$4:$Z$21,9,(FALSE))</f>
        <v>1358711.9305104094</v>
      </c>
      <c r="T19" s="1377">
        <f>VLOOKUP(A19,'[20]2122 Funding Detail'!$A$4:$Y$21,4,(FALSE))+VLOOKUP(A19,'[20]2122 Funding Detail'!$A$4:$Z$21,5,(FALSE))</f>
        <v>540000</v>
      </c>
      <c r="U19" s="1377">
        <f>VLOOKUP(A19,'[20]2122 Funding Detail'!$A$4:$Y$21,10,(FALSE))</f>
        <v>14363.2</v>
      </c>
      <c r="V19" s="1377">
        <f>VLOOKUP(A19,'[20]2122 Funding Detail'!$A$4:$Y$21,17,(FALSE))</f>
        <v>0</v>
      </c>
      <c r="W19" s="1377">
        <f>VLOOKUP(A19,'[20]2122 Funding Detail'!$A$4:$Y$21,18,(FALSE))</f>
        <v>1913075.1305104094</v>
      </c>
      <c r="X19" s="1377">
        <v>1913075.1305104094</v>
      </c>
      <c r="Y19" s="1377">
        <f>VLOOKUP(A19,'[20]2122 Funding Detail'!$A$4:$Y$21,22,(FALSE))</f>
        <v>1121666.6666666667</v>
      </c>
      <c r="Z19" s="1377">
        <f>VLOOKUP(A19,'[20]2122 Funding Detail'!$A$4:$Y$21,24,(FALSE))</f>
        <v>791408.46384374262</v>
      </c>
      <c r="AA19" s="1377">
        <f>VLOOKUP(A19,'[20]2122 Funding Detail'!$A$4:$Y$21,21,(FALSE))</f>
        <v>17055.647523124004</v>
      </c>
      <c r="AB19" s="16">
        <f>VLOOKUP(A19,'[20]2122 Pay &amp; Pension Allocations'!A70:V87,22,(FALSE))</f>
        <v>78768.115720583548</v>
      </c>
      <c r="AC19" s="16">
        <f t="shared" si="0"/>
        <v>1834307.0147898258</v>
      </c>
      <c r="AD19" s="1384"/>
      <c r="AE19" s="1383" t="str">
        <f>D81</f>
        <v>School Size 5</v>
      </c>
      <c r="AF19" s="16">
        <f>H81+I81</f>
        <v>605289.80000000005</v>
      </c>
      <c r="AG19" s="16">
        <f>VLOOKUP(A19,'[20]DfE 2122 Funding Detail'!$A$3:$Y$21,8,(FALSE))</f>
        <v>1439431.5016501651</v>
      </c>
      <c r="AH19" s="16">
        <f>VLOOKUP(A19,'[20]DfE 2122 Funding Detail'!$A$3:$Y$21,10,(FALSE))</f>
        <v>15382.4</v>
      </c>
      <c r="AI19" s="16">
        <f>'[20]DfE 2122 MFG Protection'!L136</f>
        <v>0</v>
      </c>
      <c r="AJ19" s="16">
        <f>SUM(AF19:AI19)</f>
        <v>2060103.701650165</v>
      </c>
      <c r="AK19" s="1380">
        <f t="shared" si="7"/>
        <v>7.6854572407999658E-2</v>
      </c>
      <c r="AL19" t="b">
        <f t="shared" si="3"/>
        <v>1</v>
      </c>
      <c r="AM19" s="1381">
        <f t="shared" si="5"/>
        <v>1981335.5859295814</v>
      </c>
      <c r="AN19" s="1382">
        <f t="shared" si="6"/>
        <v>8.0154832290494263E-2</v>
      </c>
      <c r="AO19" t="b">
        <f t="shared" si="4"/>
        <v>1</v>
      </c>
    </row>
    <row r="20" spans="1:51" ht="50" x14ac:dyDescent="0.25">
      <c r="A20" s="249">
        <v>9257021</v>
      </c>
      <c r="B20" s="36" t="s">
        <v>809</v>
      </c>
      <c r="C20" s="1375">
        <f>VLOOKUP(A20,'[20]2122 Funding Detail'!$A$4:Z$21,13,(FALSE))</f>
        <v>167.75</v>
      </c>
      <c r="D20" s="1375" t="str">
        <f>VLOOKUP(A20,'[20]2122 Funding Detail'!$A$4:AA$21,3,(FALSE))</f>
        <v>School Size 5 Transition Point</v>
      </c>
      <c r="E20" s="1376">
        <f>VLOOKUP(A20,'[20]2122 Band Calculations'!$A$72:$J$89,4,(FALSE))</f>
        <v>0.26829268292682928</v>
      </c>
      <c r="F20" s="1376">
        <f>VLOOKUP(A20,'[20]2122 Band Calculations'!$A$72:$J$89,5,(FALSE))</f>
        <v>0.42682926829268292</v>
      </c>
      <c r="G20" s="1376">
        <f>VLOOKUP(A20,'[20]2122 Band Calculations'!$A$72:$J$89,6,(FALSE))</f>
        <v>7.926829268292683E-2</v>
      </c>
      <c r="H20" s="1376">
        <f>VLOOKUP(A20,'[20]2122 Band Calculations'!$A$72:$J$89,7,(FALSE))</f>
        <v>6.7073170731707321E-2</v>
      </c>
      <c r="I20" s="1376">
        <f>VLOOKUP(A20,'[20]2122 Band Calculations'!$A$72:$J$89,8,(FALSE))</f>
        <v>5.4878048780487805E-2</v>
      </c>
      <c r="J20" s="1376">
        <f>VLOOKUP(A20,'[20]2122 Band Calculations'!$A$72:$J$89,9,(FALSE))</f>
        <v>9.1463414634146339E-2</v>
      </c>
      <c r="K20" s="1376">
        <f>VLOOKUP(A20,'[20]2122 Band Calculations'!$A$72:$J$89,10,(FALSE))</f>
        <v>1.2195121951219513E-2</v>
      </c>
      <c r="L20" s="1377">
        <v>6286.622831709632</v>
      </c>
      <c r="M20" s="1377">
        <v>7483.9238429115967</v>
      </c>
      <c r="N20" s="1377">
        <v>12059.161550335179</v>
      </c>
      <c r="O20" s="1377">
        <v>14998.922493994021</v>
      </c>
      <c r="P20" s="1377">
        <v>14998.922493994021</v>
      </c>
      <c r="Q20" s="1377">
        <v>16085.825977239108</v>
      </c>
      <c r="R20" s="1377">
        <v>22876.188537117905</v>
      </c>
      <c r="S20" s="1377">
        <f>VLOOKUP(A20,'[20]2122 Funding Detail'!$A$4:$Y$21,8,(FALSE))+VLOOKUP(A20,'[20]2122 Funding Detail'!$A$4:$Z$21,9,(FALSE))</f>
        <v>1614622.7895360524</v>
      </c>
      <c r="T20" s="1377">
        <f>VLOOKUP(A20,'[20]2122 Funding Detail'!$A$4:$Y$21,4,(FALSE))+VLOOKUP(A20,'[20]2122 Funding Detail'!$A$4:$Z$21,5,(FALSE))</f>
        <v>585000</v>
      </c>
      <c r="U20" s="1377">
        <f>VLOOKUP(A20,'[20]2122 Funding Detail'!$A$4:$Y$21,10,(FALSE))</f>
        <v>25584.45</v>
      </c>
      <c r="V20" s="1377">
        <f>VLOOKUP(A20,'[20]2122 Funding Detail'!$A$4:$Y$21,17,(FALSE))</f>
        <v>12937.523007891316</v>
      </c>
      <c r="W20" s="1377">
        <f>VLOOKUP(A20,'[20]2122 Funding Detail'!$A$4:$Y$21,18,(FALSE))</f>
        <v>2238144.7625439442</v>
      </c>
      <c r="X20" s="1377">
        <v>2238144.7625439442</v>
      </c>
      <c r="Y20" s="1377">
        <f>VLOOKUP(A20,'[20]2122 Funding Detail'!$A$4:$Y$21,22,(FALSE))</f>
        <v>1677500</v>
      </c>
      <c r="Z20" s="1377">
        <f>VLOOKUP(A20,'[20]2122 Funding Detail'!$A$4:$Y$21,24,(FALSE))</f>
        <v>560644.76254394418</v>
      </c>
      <c r="AA20" s="1377">
        <f>VLOOKUP(A20,'[20]2122 Funding Detail'!$A$4:$Y$21,21,(FALSE))</f>
        <v>13342.144635135286</v>
      </c>
      <c r="AB20" s="16">
        <f>VLOOKUP(A20,'[20]2122 Pay &amp; Pension Allocations'!A71:V88,22,(FALSE))</f>
        <v>118206.64476197984</v>
      </c>
      <c r="AC20" s="16">
        <f t="shared" si="0"/>
        <v>2119938.1177819641</v>
      </c>
      <c r="AD20" s="466"/>
      <c r="AE20" s="1383" t="str">
        <f>'[20]DfE MFG'!D79</f>
        <v>School Size 5 Transition Point</v>
      </c>
      <c r="AF20" s="16">
        <f>H82+I82</f>
        <v>660518.40000000002</v>
      </c>
      <c r="AG20" s="16">
        <f>VLOOKUP(A20,'[20]DfE 2122 Funding Detail'!$A$3:$Y$21,8,(FALSE))</f>
        <v>1706746.8033536589</v>
      </c>
      <c r="AH20" s="16">
        <f>VLOOKUP(A20,'[20]DfE 2122 Funding Detail'!$A$3:$Y$21,10,(FALSE))</f>
        <v>27399.899999999998</v>
      </c>
      <c r="AI20" s="16">
        <f>'[20]DfE 2122 MFG Protection'!L145</f>
        <v>0</v>
      </c>
      <c r="AJ20" s="16">
        <f>SUM(AF20:AI20)</f>
        <v>2394665.1033536587</v>
      </c>
      <c r="AK20" s="1380">
        <f t="shared" si="7"/>
        <v>6.9933072886585179E-2</v>
      </c>
      <c r="AL20" t="b">
        <f t="shared" si="3"/>
        <v>1</v>
      </c>
      <c r="AM20" s="1381">
        <f t="shared" si="5"/>
        <v>2276458.4585916786</v>
      </c>
      <c r="AN20" s="1382">
        <f t="shared" si="6"/>
        <v>7.3832504589085676E-2</v>
      </c>
      <c r="AO20" t="b">
        <f t="shared" si="4"/>
        <v>1</v>
      </c>
    </row>
    <row r="21" spans="1:51" ht="50" x14ac:dyDescent="0.25">
      <c r="A21" s="249">
        <v>9257015</v>
      </c>
      <c r="B21" s="36" t="s">
        <v>217</v>
      </c>
      <c r="C21" s="1375">
        <f>VLOOKUP(A21,'[20]2122 Funding Detail'!$A$4:Z$21,13,(FALSE))</f>
        <v>228.08333333333334</v>
      </c>
      <c r="D21" s="1375" t="str">
        <f>VLOOKUP(A21,'[20]2122 Funding Detail'!$A$4:AA$21,3,(FALSE))</f>
        <v>School Size 6 Transition Point</v>
      </c>
      <c r="E21" s="1376">
        <f>VLOOKUP(A21,'[20]2122 Band Calculations'!$A$72:$J$89,4,(FALSE))</f>
        <v>0.33185840707964603</v>
      </c>
      <c r="F21" s="1376">
        <f>VLOOKUP(A21,'[20]2122 Band Calculations'!$A$72:$J$89,5,(FALSE))</f>
        <v>0.38495575221238937</v>
      </c>
      <c r="G21" s="1376">
        <f>VLOOKUP(A21,'[20]2122 Band Calculations'!$A$72:$J$89,6,(FALSE))</f>
        <v>1.7699115044247787E-2</v>
      </c>
      <c r="H21" s="1376">
        <f>VLOOKUP(A21,'[20]2122 Band Calculations'!$A$72:$J$89,7,(FALSE))</f>
        <v>8.8495575221238937E-2</v>
      </c>
      <c r="I21" s="1376">
        <f>VLOOKUP(A21,'[20]2122 Band Calculations'!$A$72:$J$89,8,(FALSE))</f>
        <v>2.2123893805309734E-2</v>
      </c>
      <c r="J21" s="1376">
        <f>VLOOKUP(A21,'[20]2122 Band Calculations'!$A$72:$J$89,9,(FALSE))</f>
        <v>0.1415929203539823</v>
      </c>
      <c r="K21" s="1376">
        <f>VLOOKUP(A21,'[20]2122 Band Calculations'!$A$72:$J$89,10,(FALSE))</f>
        <v>1.3274336283185841E-2</v>
      </c>
      <c r="L21" s="1377">
        <v>6286.622831709632</v>
      </c>
      <c r="M21" s="1377">
        <v>7483.9238429115967</v>
      </c>
      <c r="N21" s="1377">
        <v>12059.161550335179</v>
      </c>
      <c r="O21" s="1377">
        <v>14998.922493994021</v>
      </c>
      <c r="P21" s="1377">
        <v>14998.922493994021</v>
      </c>
      <c r="Q21" s="1377">
        <v>16085.825977239108</v>
      </c>
      <c r="R21" s="1377">
        <v>22876.188537117905</v>
      </c>
      <c r="S21" s="1377">
        <f>VLOOKUP(A21,'[20]2122 Funding Detail'!$A$4:$Y$21,8,(FALSE))+VLOOKUP(A21,'[20]2122 Funding Detail'!$A$4:$Z$21,9,(FALSE))</f>
        <v>2159447.3754066583</v>
      </c>
      <c r="T21" s="1377">
        <f>VLOOKUP(A21,'[20]2122 Funding Detail'!$A$4:$Y$21,4,(FALSE))+VLOOKUP(A21,'[20]2122 Funding Detail'!$A$4:$Z$21,5,(FALSE))</f>
        <v>670000</v>
      </c>
      <c r="U21" s="1377">
        <f>VLOOKUP(A21,'[20]2122 Funding Detail'!$A$4:$Y$21,10,(FALSE))</f>
        <v>21544.800000000003</v>
      </c>
      <c r="V21" s="1377">
        <f>VLOOKUP(A21,'[20]2122 Funding Detail'!$A$4:$Y$21,17,(FALSE))</f>
        <v>0</v>
      </c>
      <c r="W21" s="1377">
        <f>VLOOKUP(A21,'[20]2122 Funding Detail'!$A$4:$Y$21,18,(FALSE))</f>
        <v>2850992.1754066581</v>
      </c>
      <c r="X21" s="1377">
        <v>2850992.1754066581</v>
      </c>
      <c r="Y21" s="1377">
        <f>VLOOKUP(A21,'[20]2122 Funding Detail'!$A$4:$Y$21,22,(FALSE))</f>
        <v>2280833.3333333335</v>
      </c>
      <c r="Z21" s="1377">
        <f>VLOOKUP(A21,'[20]2122 Funding Detail'!$A$4:$Y$21,24,(FALSE))</f>
        <v>570158.8420733246</v>
      </c>
      <c r="AA21" s="1377">
        <f>VLOOKUP(A21,'[20]2122 Funding Detail'!$A$4:$Y$21,21,(FALSE))</f>
        <v>12499.783012378479</v>
      </c>
      <c r="AB21" s="16">
        <f>VLOOKUP(A21,'[20]2122 Pay &amp; Pension Allocations'!A72:V89,22,(FALSE))</f>
        <v>160090.15138303587</v>
      </c>
      <c r="AC21" s="16">
        <f t="shared" si="0"/>
        <v>2690902.0240236223</v>
      </c>
      <c r="AD21" s="466"/>
      <c r="AE21" s="1383" t="str">
        <f>D84</f>
        <v>School Size 6 Transition Point</v>
      </c>
      <c r="AF21" s="16">
        <f>H84+I84</f>
        <v>769039.2</v>
      </c>
      <c r="AG21" s="16">
        <f>VLOOKUP(A21,'[20]DfE 2122 Funding Detail'!$A$3:$Y$21,8,(FALSE))</f>
        <v>2282236.1467551626</v>
      </c>
      <c r="AH21" s="16">
        <f>VLOOKUP(A21,'[20]DfE 2122 Funding Detail'!$A$3:$Y$21,10,(FALSE))</f>
        <v>23073.599999999999</v>
      </c>
      <c r="AI21" s="16">
        <f>'[20]DfE 2122 MFG Protection'!L154</f>
        <v>0</v>
      </c>
      <c r="AJ21" s="16">
        <f>SUM(AF21:AI21)</f>
        <v>3074348.9467551629</v>
      </c>
      <c r="AK21" s="1380">
        <f t="shared" si="7"/>
        <v>7.8343523098812359E-2</v>
      </c>
      <c r="AL21" t="b">
        <f t="shared" si="3"/>
        <v>1</v>
      </c>
      <c r="AM21" s="1381">
        <f t="shared" si="5"/>
        <v>2914258.7953721271</v>
      </c>
      <c r="AN21" s="1382">
        <f t="shared" si="6"/>
        <v>8.3004423555535611E-2</v>
      </c>
      <c r="AO21" t="b">
        <f t="shared" si="4"/>
        <v>1</v>
      </c>
    </row>
    <row r="22" spans="1:51" ht="50" x14ac:dyDescent="0.25">
      <c r="A22" s="249">
        <v>9257016</v>
      </c>
      <c r="B22" s="36" t="s">
        <v>219</v>
      </c>
      <c r="C22" s="1375">
        <f>VLOOKUP(A22,'[20]2122 Funding Detail'!$A$4:Z$21,13,(FALSE))</f>
        <v>162.08333333333334</v>
      </c>
      <c r="D22" s="1375" t="str">
        <f>VLOOKUP(A22,'[20]2122 Funding Detail'!$A$4:AA$21,3,(FALSE))</f>
        <v>School Size 6 Transition Point</v>
      </c>
      <c r="E22" s="1376">
        <f>VLOOKUP(A22,'[20]2122 Band Calculations'!$A$72:$J$89,4,(FALSE))</f>
        <v>0.18012422360248448</v>
      </c>
      <c r="F22" s="1376">
        <f>VLOOKUP(A22,'[20]2122 Band Calculations'!$A$72:$J$89,5,(FALSE))</f>
        <v>0.15527950310559005</v>
      </c>
      <c r="G22" s="1376">
        <f>VLOOKUP(A22,'[20]2122 Band Calculations'!$A$72:$J$89,6,(FALSE))</f>
        <v>6.2111801242236021E-3</v>
      </c>
      <c r="H22" s="1376">
        <f>VLOOKUP(A22,'[20]2122 Band Calculations'!$A$72:$J$89,7,(FALSE))</f>
        <v>0.2236024844720497</v>
      </c>
      <c r="I22" s="1376">
        <f>VLOOKUP(A22,'[20]2122 Band Calculations'!$A$72:$J$89,8,(FALSE))</f>
        <v>0.21118012422360249</v>
      </c>
      <c r="J22" s="1376">
        <f>VLOOKUP(A22,'[20]2122 Band Calculations'!$A$72:$J$89,9,(FALSE))</f>
        <v>1.2422360248447204E-2</v>
      </c>
      <c r="K22" s="1376">
        <f>VLOOKUP(A22,'[20]2122 Band Calculations'!$A$72:$J$89,10,(FALSE))</f>
        <v>0.21118012422360249</v>
      </c>
      <c r="L22" s="1377">
        <v>6286.622831709632</v>
      </c>
      <c r="M22" s="1377">
        <v>7483.9238429115967</v>
      </c>
      <c r="N22" s="1377">
        <v>12059.161550335179</v>
      </c>
      <c r="O22" s="1377">
        <v>14998.922493994021</v>
      </c>
      <c r="P22" s="1377">
        <v>14998.922493994021</v>
      </c>
      <c r="Q22" s="1377">
        <v>16085.825977239108</v>
      </c>
      <c r="R22" s="1377">
        <v>22876.188537117905</v>
      </c>
      <c r="S22" s="1377">
        <f>VLOOKUP(A22,'[20]2122 Funding Detail'!$A$4:$Y$21,8,(FALSE))+VLOOKUP(A22,'[20]2122 Funding Detail'!$A$4:$Z$21,9,(FALSE))</f>
        <v>2259090.2745693135</v>
      </c>
      <c r="T22" s="1377">
        <f>VLOOKUP(A22,'[20]2122 Funding Detail'!$A$4:$Y$21,4,(FALSE))+VLOOKUP(A22,'[20]2122 Funding Detail'!$A$4:$Z$21,5,(FALSE))</f>
        <v>670000</v>
      </c>
      <c r="U22" s="1377">
        <f>VLOOKUP(A22,'[20]2122 Funding Detail'!$A$4:$Y$21,10,(FALSE))</f>
        <v>21544.800000000003</v>
      </c>
      <c r="V22" s="1377">
        <f>VLOOKUP(A22,'[20]2122 Funding Detail'!$A$4:$Y$21,17,(FALSE))</f>
        <v>0</v>
      </c>
      <c r="W22" s="1377">
        <f>VLOOKUP(A22,'[20]2122 Funding Detail'!$A$4:$Y$21,18,(FALSE))</f>
        <v>2950635.0745693133</v>
      </c>
      <c r="X22" s="1377">
        <v>2950635.0745693133</v>
      </c>
      <c r="Y22" s="1377">
        <f>VLOOKUP(A22,'[20]2122 Funding Detail'!$A$4:$Y$21,22,(FALSE))</f>
        <v>1620833.3333333335</v>
      </c>
      <c r="Z22" s="1377">
        <f>VLOOKUP(A22,'[20]2122 Funding Detail'!$A$4:$Y$21,24,(FALSE))</f>
        <v>1329801.7412359798</v>
      </c>
      <c r="AA22" s="1377">
        <f>VLOOKUP(A22,'[20]2122 Funding Detail'!$A$4:$Y$21,21,(FALSE))</f>
        <v>18204.432336674425</v>
      </c>
      <c r="AB22" s="16">
        <f>VLOOKUP(A22,'[20]2122 Pay &amp; Pension Allocations'!A73:V90,22,(FALSE))</f>
        <v>102627.76775947589</v>
      </c>
      <c r="AC22" s="16">
        <f t="shared" si="0"/>
        <v>2848007.3068098375</v>
      </c>
      <c r="AD22" s="466"/>
      <c r="AE22" s="1383" t="str">
        <f>D84</f>
        <v>School Size 6 Transition Point</v>
      </c>
      <c r="AF22" s="16">
        <f>H84+I84</f>
        <v>769039.2</v>
      </c>
      <c r="AG22" s="16">
        <f>VLOOKUP(A22,'[20]DfE 2122 Funding Detail'!$A$3:$Y$21,8,(FALSE))</f>
        <v>2397491.3638716359</v>
      </c>
      <c r="AH22" s="16">
        <f>VLOOKUP(A22,'[20]DfE 2122 Funding Detail'!$A$3:$Y$21,10,(FALSE))</f>
        <v>23073.599999999999</v>
      </c>
      <c r="AI22" s="16">
        <f>'[20]DfE 2122 MFG Protection'!L163</f>
        <v>0</v>
      </c>
      <c r="AJ22" s="16">
        <f>SUM(AF22:AI22)</f>
        <v>3189604.1638716361</v>
      </c>
      <c r="AK22" s="1380">
        <f t="shared" si="7"/>
        <v>8.0989035669618931E-2</v>
      </c>
      <c r="AL22" t="b">
        <f t="shared" si="3"/>
        <v>1</v>
      </c>
      <c r="AM22" s="1381">
        <f t="shared" si="5"/>
        <v>3086976.3961121603</v>
      </c>
      <c r="AN22" s="1382">
        <f t="shared" si="6"/>
        <v>8.3907470578086854E-2</v>
      </c>
      <c r="AO22" t="b">
        <f t="shared" si="4"/>
        <v>1</v>
      </c>
    </row>
    <row r="23" spans="1:51" x14ac:dyDescent="0.25">
      <c r="E23" s="1385"/>
      <c r="F23" s="1385"/>
      <c r="G23" s="1385"/>
      <c r="H23" s="1385"/>
      <c r="I23" s="1385"/>
      <c r="J23" s="1385"/>
      <c r="K23" s="1385"/>
      <c r="S23" s="1381"/>
      <c r="T23" s="1381"/>
      <c r="U23" s="1381"/>
      <c r="V23" s="1381"/>
      <c r="W23" s="1381"/>
      <c r="X23" s="1381"/>
      <c r="Y23" s="1381"/>
      <c r="Z23" s="1381"/>
      <c r="AA23" s="1381"/>
      <c r="AB23" s="1381"/>
      <c r="AC23" s="1381"/>
      <c r="AD23" s="466"/>
      <c r="AE23" s="1337"/>
    </row>
    <row r="24" spans="1:51" x14ac:dyDescent="0.25">
      <c r="A24" s="249">
        <v>9257009</v>
      </c>
      <c r="B24" s="289" t="s">
        <v>1122</v>
      </c>
      <c r="C24" s="1375">
        <f>C8+C15</f>
        <v>194</v>
      </c>
      <c r="D24" s="822" t="s">
        <v>762</v>
      </c>
      <c r="E24" s="1376">
        <f>AJ26</f>
        <v>0.1797752808988764</v>
      </c>
      <c r="F24" s="1376">
        <f>AL26</f>
        <v>0.5112359550561798</v>
      </c>
      <c r="G24" s="1376">
        <f>AN26</f>
        <v>6.1797752808988762E-2</v>
      </c>
      <c r="H24" s="1376">
        <f>AP26</f>
        <v>6.741573033707865E-2</v>
      </c>
      <c r="I24" s="1376">
        <f>AR26</f>
        <v>4.49438202247191E-2</v>
      </c>
      <c r="J24" s="1376">
        <f>AT26</f>
        <v>0.10112359550561797</v>
      </c>
      <c r="K24" s="1376">
        <f>AV26</f>
        <v>3.3707865168539325E-2</v>
      </c>
      <c r="S24" s="1375">
        <f>S8+S15</f>
        <v>1930761.808744105</v>
      </c>
      <c r="T24" s="1375">
        <f t="shared" ref="T24:X24" si="8">T8+T15</f>
        <v>942500</v>
      </c>
      <c r="U24" s="1375">
        <f t="shared" si="8"/>
        <v>33214.9</v>
      </c>
      <c r="V24" s="1375">
        <f t="shared" si="8"/>
        <v>60152.544594865052</v>
      </c>
      <c r="W24" s="1375">
        <f t="shared" si="8"/>
        <v>2966629.2533389702</v>
      </c>
      <c r="X24" s="1375">
        <f t="shared" si="8"/>
        <v>2966629.2533389702</v>
      </c>
      <c r="Y24" s="1375">
        <f>Y8+Y15</f>
        <v>1940000</v>
      </c>
      <c r="Z24" s="1375">
        <f>Z8+Z15</f>
        <v>1008860.7247763877</v>
      </c>
      <c r="AA24" s="1375">
        <f>AA8+AA15</f>
        <v>33492.13048852481</v>
      </c>
      <c r="AB24" s="1375">
        <f>AB8+AB15</f>
        <v>139362.78080346057</v>
      </c>
      <c r="AC24" s="1375">
        <f>AC8+AC15</f>
        <v>2827266.4725355096</v>
      </c>
      <c r="AD24" s="466"/>
      <c r="AE24" s="1337"/>
      <c r="AF24" s="1375">
        <f>AF8+AF15</f>
        <v>1034815.25</v>
      </c>
      <c r="AG24" s="1375">
        <f>AG8+AG15</f>
        <v>2041696.9657358492</v>
      </c>
      <c r="AH24" s="1375">
        <f>AH8+AH15</f>
        <v>35571.800000000003</v>
      </c>
      <c r="AI24" s="1375">
        <f>AI8+AI15</f>
        <v>34686.323739454252</v>
      </c>
      <c r="AJ24" s="1375">
        <f>AJ8+AJ15</f>
        <v>3146770.3394753034</v>
      </c>
      <c r="AK24" s="1380">
        <f>(AJ24-W24)/W24</f>
        <v>6.0722480213387844E-2</v>
      </c>
      <c r="AM24" s="1375">
        <f>AM8+AM15</f>
        <v>3007407.5586718433</v>
      </c>
      <c r="AN24" s="1382">
        <f t="shared" si="6"/>
        <v>6.3715637661412944E-2</v>
      </c>
    </row>
    <row r="25" spans="1:51" x14ac:dyDescent="0.25">
      <c r="B25" s="289"/>
      <c r="C25" s="1375"/>
      <c r="E25" s="1385"/>
      <c r="F25" s="1385"/>
      <c r="G25" s="1385"/>
      <c r="H25" s="1385"/>
      <c r="I25" s="1385"/>
      <c r="J25" s="1385"/>
      <c r="K25" s="1385"/>
      <c r="S25" s="1375"/>
      <c r="T25" s="1375"/>
      <c r="U25" s="1375"/>
      <c r="V25" s="1375"/>
      <c r="W25" s="1375"/>
      <c r="X25" s="1375"/>
      <c r="Y25" s="1375"/>
      <c r="Z25" s="1375"/>
      <c r="AA25" s="1375"/>
      <c r="AB25" s="1375"/>
      <c r="AC25" s="466"/>
      <c r="AE25" s="1375"/>
      <c r="AF25" s="1375"/>
      <c r="AG25" s="1375"/>
      <c r="AH25" s="1375"/>
      <c r="AI25" s="1375"/>
      <c r="AJ25" s="1380"/>
      <c r="AL25" s="1375"/>
      <c r="AM25" s="1382"/>
    </row>
    <row r="26" spans="1:51" ht="20.5" x14ac:dyDescent="0.25">
      <c r="B26" s="289"/>
      <c r="C26" s="1375"/>
      <c r="E26" s="1385"/>
      <c r="F26" s="1385"/>
      <c r="G26" s="1385"/>
      <c r="H26" s="1385"/>
      <c r="I26" s="1385"/>
      <c r="J26" s="1385"/>
      <c r="K26" s="1385"/>
      <c r="S26" s="1375"/>
      <c r="T26" s="1375"/>
      <c r="U26" s="1375"/>
      <c r="V26" s="1375"/>
      <c r="W26" s="1375"/>
      <c r="X26" s="1375"/>
      <c r="Y26" s="1375"/>
      <c r="Z26" s="1375"/>
      <c r="AA26" s="1375"/>
      <c r="AB26" s="1375"/>
      <c r="AC26" s="466"/>
      <c r="AE26" s="238">
        <v>9257009</v>
      </c>
      <c r="AF26" s="455" t="s">
        <v>214</v>
      </c>
      <c r="AG26" s="365">
        <v>4</v>
      </c>
      <c r="AH26" s="453">
        <f>125+53</f>
        <v>178</v>
      </c>
      <c r="AI26" s="369">
        <f>29+3</f>
        <v>32</v>
      </c>
      <c r="AJ26" s="368">
        <f>AI26/AH26</f>
        <v>0.1797752808988764</v>
      </c>
      <c r="AK26" s="369">
        <f>72+19</f>
        <v>91</v>
      </c>
      <c r="AL26" s="368">
        <f>AK26/AH26</f>
        <v>0.5112359550561798</v>
      </c>
      <c r="AM26" s="369">
        <f>10+1</f>
        <v>11</v>
      </c>
      <c r="AN26" s="368">
        <f>AM26/AH26</f>
        <v>6.1797752808988762E-2</v>
      </c>
      <c r="AO26" s="369">
        <f>3+9</f>
        <v>12</v>
      </c>
      <c r="AP26" s="368">
        <f>AO26/AH26</f>
        <v>6.741573033707865E-2</v>
      </c>
      <c r="AQ26" s="370">
        <f>1+7</f>
        <v>8</v>
      </c>
      <c r="AR26" s="371">
        <f>AQ26/AH26</f>
        <v>4.49438202247191E-2</v>
      </c>
      <c r="AS26" s="369">
        <f>10+8</f>
        <v>18</v>
      </c>
      <c r="AT26" s="368">
        <f>AS26/AH26</f>
        <v>0.10112359550561797</v>
      </c>
      <c r="AU26" s="370">
        <f>0+6</f>
        <v>6</v>
      </c>
      <c r="AV26" s="371">
        <f>AU26/AH26</f>
        <v>3.3707865168539325E-2</v>
      </c>
      <c r="AW26" s="316"/>
      <c r="AX26" s="376">
        <f t="shared" ref="AX26:AY26" si="9">AI26+AK26+AM26+AO26+AQ26+AS26+AU26</f>
        <v>178</v>
      </c>
      <c r="AY26" s="379">
        <f t="shared" si="9"/>
        <v>1</v>
      </c>
    </row>
    <row r="27" spans="1:51" x14ac:dyDescent="0.25">
      <c r="E27" s="1385"/>
      <c r="F27" s="1385"/>
      <c r="G27" s="1385"/>
      <c r="H27" s="1385"/>
      <c r="I27" s="1385"/>
      <c r="J27" s="1385"/>
      <c r="K27" s="1385"/>
      <c r="S27" s="1381"/>
      <c r="T27" s="1381"/>
      <c r="U27" s="1381"/>
      <c r="V27" s="1381"/>
      <c r="W27" s="1381"/>
      <c r="X27" s="1381"/>
      <c r="Y27" s="1381"/>
      <c r="Z27" s="1381"/>
      <c r="AA27" s="1381"/>
      <c r="AB27" s="1381"/>
      <c r="AC27" s="466"/>
    </row>
    <row r="28" spans="1:51" s="475" customFormat="1" ht="14" x14ac:dyDescent="0.3">
      <c r="A28" s="1386" t="s">
        <v>1123</v>
      </c>
      <c r="C28" s="1387"/>
      <c r="D28" s="1387"/>
      <c r="E28" s="1388"/>
      <c r="F28" s="1388"/>
      <c r="G28" s="1388"/>
      <c r="H28" s="1388"/>
      <c r="I28" s="1388"/>
      <c r="J28" s="1388"/>
      <c r="K28" s="1388"/>
      <c r="L28" s="1387"/>
      <c r="M28" s="1387"/>
      <c r="N28" s="1387"/>
      <c r="O28" s="1387"/>
      <c r="P28" s="1387"/>
      <c r="Q28" s="1387"/>
      <c r="R28" s="1387"/>
      <c r="S28" s="1389"/>
      <c r="T28" s="1389"/>
      <c r="U28" s="1389"/>
      <c r="V28" s="1389"/>
      <c r="W28" s="1389"/>
      <c r="X28" s="1389"/>
      <c r="Y28" s="1389"/>
      <c r="Z28" s="1389"/>
      <c r="AA28" s="1389"/>
      <c r="AB28" s="1389"/>
      <c r="AC28" s="1390"/>
      <c r="AD28" s="1391"/>
    </row>
    <row r="29" spans="1:51" s="475" customFormat="1" ht="14" x14ac:dyDescent="0.3">
      <c r="A29" s="475">
        <v>1</v>
      </c>
      <c r="B29" s="475" t="s">
        <v>1124</v>
      </c>
      <c r="C29" s="1387"/>
      <c r="D29" s="1387"/>
      <c r="E29" s="1388"/>
      <c r="F29" s="1388"/>
      <c r="G29" s="1388"/>
      <c r="H29" s="1388"/>
      <c r="I29" s="1388"/>
      <c r="J29" s="1388"/>
      <c r="K29" s="1388"/>
      <c r="L29" s="1387"/>
      <c r="M29" s="1387"/>
      <c r="N29" s="1387"/>
      <c r="O29" s="1387"/>
      <c r="P29" s="1387"/>
      <c r="Q29" s="1387"/>
      <c r="R29" s="1387"/>
      <c r="S29" s="1389"/>
      <c r="T29" s="1389"/>
      <c r="U29" s="1389"/>
      <c r="V29" s="1389"/>
      <c r="W29" s="1389"/>
      <c r="X29" s="1389"/>
      <c r="Y29" s="1389"/>
      <c r="Z29" s="1389"/>
      <c r="AA29" s="1389"/>
      <c r="AB29" s="1389"/>
      <c r="AC29" s="1390"/>
      <c r="AD29" s="1391"/>
    </row>
    <row r="30" spans="1:51" s="475" customFormat="1" ht="14" x14ac:dyDescent="0.3">
      <c r="A30" s="475">
        <v>2</v>
      </c>
      <c r="B30" s="475" t="s">
        <v>1125</v>
      </c>
      <c r="C30" s="1387"/>
      <c r="D30" s="1387"/>
      <c r="E30" s="1388"/>
      <c r="F30" s="1388"/>
      <c r="G30" s="1388"/>
      <c r="H30" s="1388"/>
      <c r="I30" s="1388"/>
      <c r="J30" s="1388"/>
      <c r="K30" s="1388"/>
      <c r="L30" s="1387"/>
      <c r="M30" s="1387"/>
      <c r="N30" s="1387"/>
      <c r="O30" s="1387"/>
      <c r="P30" s="1387"/>
      <c r="Q30" s="1387"/>
      <c r="R30" s="1387"/>
      <c r="S30" s="1389"/>
      <c r="T30" s="1389"/>
      <c r="U30" s="1389"/>
      <c r="V30" s="1389"/>
      <c r="W30" s="1389"/>
      <c r="X30" s="1389"/>
      <c r="Y30" s="1389"/>
      <c r="Z30" s="1389"/>
      <c r="AA30" s="1389"/>
      <c r="AB30" s="1389"/>
      <c r="AC30" s="1390"/>
      <c r="AD30" s="1391"/>
    </row>
    <row r="31" spans="1:51" s="475" customFormat="1" ht="14" x14ac:dyDescent="0.3">
      <c r="A31" s="475">
        <v>3</v>
      </c>
      <c r="B31" s="475" t="s">
        <v>1126</v>
      </c>
      <c r="C31" s="1387"/>
      <c r="D31" s="1387"/>
      <c r="E31" s="1388"/>
      <c r="F31" s="1388"/>
      <c r="G31" s="1388"/>
      <c r="H31" s="1388"/>
      <c r="I31" s="1388"/>
      <c r="J31" s="1388"/>
      <c r="K31" s="1388"/>
      <c r="L31" s="1387"/>
      <c r="M31" s="1387"/>
      <c r="N31" s="1387"/>
      <c r="O31" s="1387"/>
      <c r="P31" s="1387"/>
      <c r="Q31" s="1387"/>
      <c r="R31" s="1387"/>
      <c r="S31" s="1389"/>
      <c r="T31" s="1389"/>
      <c r="U31" s="1389"/>
      <c r="V31" s="1389"/>
      <c r="W31" s="1389"/>
      <c r="X31" s="1389"/>
      <c r="Y31" s="1389"/>
      <c r="Z31" s="1389"/>
      <c r="AA31" s="1389"/>
      <c r="AB31" s="1389"/>
      <c r="AC31" s="1390"/>
      <c r="AD31" s="1391"/>
    </row>
    <row r="32" spans="1:51" s="475" customFormat="1" ht="14" x14ac:dyDescent="0.3">
      <c r="A32" s="475">
        <v>4</v>
      </c>
      <c r="B32" s="475" t="s">
        <v>1127</v>
      </c>
      <c r="C32" s="1387"/>
      <c r="D32" s="1387"/>
      <c r="E32" s="1388"/>
      <c r="F32" s="1388"/>
      <c r="G32" s="1388"/>
      <c r="H32" s="1388"/>
      <c r="I32" s="1388"/>
      <c r="J32" s="1388"/>
      <c r="K32" s="1388"/>
      <c r="L32" s="1387"/>
      <c r="M32" s="1387"/>
      <c r="N32" s="1387"/>
      <c r="O32" s="1387"/>
      <c r="P32" s="1387"/>
      <c r="Q32" s="1387"/>
      <c r="R32" s="1387"/>
      <c r="S32" s="1389"/>
      <c r="T32" s="1389"/>
      <c r="U32" s="1389"/>
      <c r="V32" s="1389"/>
      <c r="W32" s="1389"/>
      <c r="X32" s="1389"/>
      <c r="Y32" s="1389"/>
      <c r="Z32" s="1389"/>
      <c r="AA32" s="1389"/>
      <c r="AB32" s="1389"/>
      <c r="AC32" s="1390"/>
      <c r="AD32" s="1391"/>
    </row>
    <row r="33" spans="1:30" s="475" customFormat="1" ht="14" x14ac:dyDescent="0.3">
      <c r="C33" s="1387"/>
      <c r="D33" s="1387"/>
      <c r="E33" s="1388"/>
      <c r="F33" s="1388"/>
      <c r="G33" s="1388"/>
      <c r="H33" s="1388"/>
      <c r="I33" s="1388"/>
      <c r="J33" s="1388"/>
      <c r="K33" s="1388"/>
      <c r="L33" s="1387"/>
      <c r="M33" s="1387"/>
      <c r="N33" s="1387"/>
      <c r="O33" s="1387"/>
      <c r="P33" s="1387"/>
      <c r="Q33" s="1387"/>
      <c r="R33" s="1387"/>
      <c r="S33" s="1389"/>
      <c r="T33" s="1389"/>
      <c r="U33" s="1389"/>
      <c r="V33" s="1389"/>
      <c r="W33" s="1389"/>
      <c r="X33" s="1389"/>
      <c r="Y33" s="1389"/>
      <c r="Z33" s="1389"/>
      <c r="AA33" s="1389"/>
      <c r="AB33" s="1389"/>
      <c r="AC33" s="1390"/>
      <c r="AD33" s="1391"/>
    </row>
    <row r="34" spans="1:30" ht="14.25" customHeight="1" x14ac:dyDescent="0.25">
      <c r="A34" s="1536" t="s">
        <v>1128</v>
      </c>
      <c r="B34" s="1536"/>
      <c r="C34" s="1536"/>
      <c r="D34" s="1536"/>
      <c r="E34" s="1536"/>
      <c r="F34" s="1536"/>
      <c r="G34" s="1536"/>
      <c r="H34" s="1536"/>
      <c r="I34" s="1536"/>
      <c r="J34" s="1536"/>
      <c r="K34" s="1536"/>
      <c r="L34" s="1536"/>
      <c r="M34" s="1536"/>
      <c r="N34" s="1536"/>
      <c r="O34" s="1536"/>
      <c r="P34" s="1536"/>
      <c r="Q34" s="1536"/>
      <c r="R34" s="1536"/>
      <c r="S34" s="1536"/>
      <c r="T34" s="1536"/>
      <c r="U34" s="1536"/>
      <c r="V34" s="1381"/>
      <c r="W34" s="1381"/>
      <c r="X34" s="1381"/>
      <c r="Y34" s="1381"/>
      <c r="Z34" s="1381"/>
      <c r="AA34" s="1381"/>
      <c r="AB34" s="1381"/>
      <c r="AC34" s="466"/>
    </row>
    <row r="35" spans="1:30" ht="14.25" customHeight="1" x14ac:dyDescent="0.25">
      <c r="A35" s="1536"/>
      <c r="B35" s="1536"/>
      <c r="C35" s="1536"/>
      <c r="D35" s="1536"/>
      <c r="E35" s="1536"/>
      <c r="F35" s="1536"/>
      <c r="G35" s="1536"/>
      <c r="H35" s="1536"/>
      <c r="I35" s="1536"/>
      <c r="J35" s="1536"/>
      <c r="K35" s="1536"/>
      <c r="L35" s="1536"/>
      <c r="M35" s="1536"/>
      <c r="N35" s="1536"/>
      <c r="O35" s="1536"/>
      <c r="P35" s="1536"/>
      <c r="Q35" s="1536"/>
      <c r="R35" s="1536"/>
      <c r="S35" s="1536"/>
      <c r="T35" s="1536"/>
      <c r="U35" s="1536"/>
      <c r="V35" s="1381"/>
      <c r="W35" s="1381"/>
      <c r="X35" s="1381"/>
      <c r="Y35" s="1381"/>
      <c r="Z35" s="1381"/>
      <c r="AA35" s="1381"/>
      <c r="AB35" s="1381"/>
      <c r="AC35" s="466"/>
    </row>
    <row r="36" spans="1:30" ht="14.25" customHeight="1" x14ac:dyDescent="0.3">
      <c r="A36" s="1387"/>
      <c r="B36" s="1387"/>
      <c r="C36" s="1387"/>
      <c r="D36" s="1387"/>
      <c r="E36" s="1387"/>
      <c r="F36" s="1387"/>
      <c r="G36" s="1387"/>
      <c r="H36" s="1387"/>
      <c r="I36" s="1387"/>
      <c r="J36" s="1387"/>
      <c r="K36" s="1387"/>
      <c r="L36" s="1387"/>
      <c r="M36" s="1387"/>
      <c r="N36" s="1387"/>
      <c r="O36" s="1387"/>
      <c r="P36" s="1387"/>
      <c r="Q36" s="1387"/>
      <c r="R36" s="1387"/>
      <c r="S36" s="1387"/>
      <c r="T36" s="1387"/>
      <c r="U36" s="1387"/>
      <c r="V36" s="1381"/>
      <c r="W36" s="1381"/>
      <c r="X36" s="1381"/>
      <c r="Y36" s="1381"/>
      <c r="Z36" s="1381"/>
      <c r="AA36" s="1381"/>
      <c r="AB36" s="1381"/>
      <c r="AC36" s="466"/>
    </row>
    <row r="37" spans="1:30" ht="14" x14ac:dyDescent="0.3">
      <c r="A37" s="475" t="s">
        <v>1129</v>
      </c>
      <c r="E37" s="1385"/>
      <c r="F37" s="1385"/>
      <c r="G37" s="1385"/>
      <c r="H37" s="1385"/>
      <c r="I37" s="1385"/>
      <c r="J37" s="1385"/>
      <c r="K37" s="1385"/>
      <c r="S37" s="1381"/>
      <c r="T37" s="1381"/>
      <c r="U37" s="1381"/>
      <c r="V37" s="1381"/>
      <c r="W37" s="1381"/>
      <c r="X37" s="1381"/>
      <c r="Y37" s="1381"/>
      <c r="Z37" s="1381"/>
      <c r="AA37" s="1381"/>
      <c r="AB37" s="1381"/>
      <c r="AC37" s="466"/>
    </row>
    <row r="38" spans="1:30" ht="14" x14ac:dyDescent="0.3">
      <c r="A38" s="475" t="s">
        <v>1130</v>
      </c>
      <c r="AC38" s="466"/>
    </row>
    <row r="39" spans="1:30" ht="14" x14ac:dyDescent="0.3">
      <c r="A39" s="475" t="s">
        <v>1131</v>
      </c>
      <c r="AC39" s="466"/>
    </row>
    <row r="40" spans="1:30" ht="14" x14ac:dyDescent="0.3">
      <c r="A40" s="475"/>
      <c r="AD40" s="1133"/>
    </row>
    <row r="41" spans="1:30" ht="14" x14ac:dyDescent="0.3">
      <c r="A41" s="475"/>
    </row>
    <row r="42" spans="1:30" ht="14" x14ac:dyDescent="0.3">
      <c r="A42" s="475"/>
    </row>
    <row r="44" spans="1:30" ht="14.5" x14ac:dyDescent="0.35">
      <c r="A44" s="475"/>
      <c r="B44" s="1392" t="s">
        <v>1132</v>
      </c>
      <c r="C44" s="1387"/>
      <c r="D44" s="1387"/>
      <c r="E44" s="1387"/>
      <c r="F44" s="1387"/>
      <c r="G44" s="1387"/>
      <c r="H44" s="1387"/>
      <c r="I44" s="1387"/>
      <c r="J44" s="1387"/>
      <c r="K44" s="1387"/>
      <c r="L44" s="1387"/>
      <c r="M44" s="1387"/>
      <c r="N44" s="1387"/>
      <c r="O44" s="1387"/>
      <c r="P44" s="1387"/>
      <c r="Q44" s="1387"/>
      <c r="R44" s="1387"/>
      <c r="S44" s="1387"/>
      <c r="T44" s="1387"/>
      <c r="U44" s="1387"/>
      <c r="V44" s="1387"/>
      <c r="AD44" s="1133"/>
    </row>
    <row r="45" spans="1:30" ht="14.25" customHeight="1" x14ac:dyDescent="0.3">
      <c r="A45" s="475">
        <v>1</v>
      </c>
      <c r="B45" s="1537" t="s">
        <v>1133</v>
      </c>
      <c r="C45" s="1537"/>
      <c r="D45" s="1537"/>
      <c r="E45" s="1537"/>
      <c r="F45" s="1537"/>
      <c r="G45" s="1537"/>
      <c r="H45" s="1537"/>
      <c r="I45" s="1537"/>
      <c r="J45" s="1537"/>
      <c r="K45" s="1537"/>
      <c r="L45" s="1537"/>
      <c r="M45" s="1537"/>
      <c r="N45" s="1537"/>
      <c r="O45" s="1537"/>
      <c r="P45" s="1537"/>
      <c r="Q45" s="1537"/>
      <c r="R45" s="1537"/>
      <c r="S45" s="1537"/>
      <c r="T45" s="1537"/>
      <c r="U45" s="1537"/>
      <c r="V45" s="1393" t="s">
        <v>206</v>
      </c>
      <c r="W45" s="1393"/>
      <c r="X45" s="1393"/>
    </row>
    <row r="46" spans="1:30" ht="14.25" customHeight="1" x14ac:dyDescent="0.3">
      <c r="A46" s="475"/>
      <c r="B46" s="1537"/>
      <c r="C46" s="1537"/>
      <c r="D46" s="1537"/>
      <c r="E46" s="1537"/>
      <c r="F46" s="1537"/>
      <c r="G46" s="1537"/>
      <c r="H46" s="1537"/>
      <c r="I46" s="1537"/>
      <c r="J46" s="1537"/>
      <c r="K46" s="1537"/>
      <c r="L46" s="1537"/>
      <c r="M46" s="1537"/>
      <c r="N46" s="1537"/>
      <c r="O46" s="1537"/>
      <c r="P46" s="1537"/>
      <c r="Q46" s="1537"/>
      <c r="R46" s="1537"/>
      <c r="S46" s="1537"/>
      <c r="T46" s="1537"/>
      <c r="U46" s="1537"/>
      <c r="V46" s="1393"/>
      <c r="W46" s="1393"/>
      <c r="X46" s="1393"/>
    </row>
    <row r="47" spans="1:30" ht="14" x14ac:dyDescent="0.3">
      <c r="A47" s="475">
        <v>2</v>
      </c>
      <c r="B47" s="1538" t="s">
        <v>1134</v>
      </c>
      <c r="C47" s="1538"/>
      <c r="D47" s="1538"/>
      <c r="E47" s="1538"/>
      <c r="F47" s="1538"/>
      <c r="G47" s="1538"/>
      <c r="H47" s="1538"/>
      <c r="I47" s="1538"/>
      <c r="J47" s="1538"/>
      <c r="K47" s="1538"/>
      <c r="L47" s="1538"/>
      <c r="M47" s="1538"/>
      <c r="N47" s="1538"/>
      <c r="O47" s="1538"/>
      <c r="P47" s="1538"/>
      <c r="Q47" s="1538"/>
      <c r="R47" s="1538"/>
      <c r="S47" s="1538"/>
      <c r="T47" s="1538"/>
      <c r="U47" s="1538"/>
      <c r="V47" s="1387" t="s">
        <v>206</v>
      </c>
    </row>
    <row r="48" spans="1:30" ht="14.25" customHeight="1" x14ac:dyDescent="0.3">
      <c r="A48" s="475">
        <v>3</v>
      </c>
      <c r="B48" s="1539" t="s">
        <v>1135</v>
      </c>
      <c r="C48" s="1539"/>
      <c r="D48" s="1539"/>
      <c r="E48" s="1539"/>
      <c r="F48" s="1539"/>
      <c r="G48" s="1539"/>
      <c r="H48" s="1539"/>
      <c r="I48" s="1539"/>
      <c r="J48" s="1539"/>
      <c r="K48" s="1539"/>
      <c r="L48" s="1539"/>
      <c r="M48" s="1539"/>
      <c r="N48" s="1539"/>
      <c r="O48" s="1539"/>
      <c r="P48" s="1539"/>
      <c r="Q48" s="1539"/>
      <c r="R48" s="1539"/>
      <c r="S48" s="1539"/>
      <c r="T48" s="1539"/>
      <c r="U48" s="1539"/>
      <c r="V48" s="1387" t="s">
        <v>206</v>
      </c>
    </row>
    <row r="49" spans="1:30" ht="14" x14ac:dyDescent="0.3">
      <c r="A49" s="475"/>
      <c r="B49" s="1539"/>
      <c r="C49" s="1539"/>
      <c r="D49" s="1539"/>
      <c r="E49" s="1539"/>
      <c r="F49" s="1539"/>
      <c r="G49" s="1539"/>
      <c r="H49" s="1539"/>
      <c r="I49" s="1539"/>
      <c r="J49" s="1539"/>
      <c r="K49" s="1539"/>
      <c r="L49" s="1539"/>
      <c r="M49" s="1539"/>
      <c r="N49" s="1539"/>
      <c r="O49" s="1539"/>
      <c r="P49" s="1539"/>
      <c r="Q49" s="1539"/>
      <c r="R49" s="1539"/>
      <c r="S49" s="1539"/>
      <c r="T49" s="1539"/>
      <c r="U49" s="1539"/>
      <c r="V49" s="1387"/>
    </row>
    <row r="50" spans="1:30" ht="14.25" customHeight="1" x14ac:dyDescent="0.3">
      <c r="A50" s="475">
        <v>4</v>
      </c>
      <c r="B50" s="1539" t="s">
        <v>1136</v>
      </c>
      <c r="C50" s="1539"/>
      <c r="D50" s="1539"/>
      <c r="E50" s="1539"/>
      <c r="F50" s="1539"/>
      <c r="G50" s="1539"/>
      <c r="H50" s="1539"/>
      <c r="I50" s="1539"/>
      <c r="J50" s="1539"/>
      <c r="K50" s="1539"/>
      <c r="L50" s="1539"/>
      <c r="M50" s="1539"/>
      <c r="N50" s="1539"/>
      <c r="O50" s="1539"/>
      <c r="P50" s="1539"/>
      <c r="Q50" s="1539"/>
      <c r="R50" s="1539"/>
      <c r="S50" s="1539"/>
      <c r="T50" s="1539"/>
      <c r="U50" s="1539"/>
      <c r="V50" s="1387" t="s">
        <v>206</v>
      </c>
    </row>
    <row r="51" spans="1:30" ht="14" x14ac:dyDescent="0.3">
      <c r="A51" s="475"/>
      <c r="B51" s="1539"/>
      <c r="C51" s="1539"/>
      <c r="D51" s="1539"/>
      <c r="E51" s="1539"/>
      <c r="F51" s="1539"/>
      <c r="G51" s="1539"/>
      <c r="H51" s="1539"/>
      <c r="I51" s="1539"/>
      <c r="J51" s="1539"/>
      <c r="K51" s="1539"/>
      <c r="L51" s="1539"/>
      <c r="M51" s="1539"/>
      <c r="N51" s="1539"/>
      <c r="O51" s="1539"/>
      <c r="P51" s="1539"/>
      <c r="Q51" s="1539"/>
      <c r="R51" s="1539"/>
      <c r="S51" s="1539"/>
      <c r="T51" s="1539"/>
      <c r="U51" s="1539"/>
      <c r="V51" s="1387"/>
    </row>
    <row r="52" spans="1:30" s="475" customFormat="1" ht="14" x14ac:dyDescent="0.3">
      <c r="A52" s="475">
        <v>5</v>
      </c>
      <c r="B52" s="1539" t="s">
        <v>1137</v>
      </c>
      <c r="C52" s="1539"/>
      <c r="D52" s="1539"/>
      <c r="E52" s="1539"/>
      <c r="F52" s="1539"/>
      <c r="G52" s="1539"/>
      <c r="H52" s="1539"/>
      <c r="I52" s="1539"/>
      <c r="J52" s="1539"/>
      <c r="K52" s="1539"/>
      <c r="L52" s="1539"/>
      <c r="M52" s="1539"/>
      <c r="N52" s="1539"/>
      <c r="O52" s="1539"/>
      <c r="P52" s="1539"/>
      <c r="Q52" s="1539"/>
      <c r="R52" s="1539"/>
      <c r="S52" s="1539"/>
      <c r="T52" s="1539"/>
      <c r="U52" s="1539"/>
      <c r="V52" s="1387" t="s">
        <v>206</v>
      </c>
      <c r="W52" s="1387"/>
      <c r="X52" s="1387"/>
      <c r="Y52" s="1387"/>
      <c r="Z52" s="1387"/>
      <c r="AD52" s="1391"/>
    </row>
    <row r="53" spans="1:30" s="475" customFormat="1" ht="14" x14ac:dyDescent="0.3">
      <c r="B53" s="1539"/>
      <c r="C53" s="1539"/>
      <c r="D53" s="1539"/>
      <c r="E53" s="1539"/>
      <c r="F53" s="1539"/>
      <c r="G53" s="1539"/>
      <c r="H53" s="1539"/>
      <c r="I53" s="1539"/>
      <c r="J53" s="1539"/>
      <c r="K53" s="1539"/>
      <c r="L53" s="1539"/>
      <c r="M53" s="1539"/>
      <c r="N53" s="1539"/>
      <c r="O53" s="1539"/>
      <c r="P53" s="1539"/>
      <c r="Q53" s="1539"/>
      <c r="R53" s="1539"/>
      <c r="S53" s="1539"/>
      <c r="T53" s="1539"/>
      <c r="U53" s="1539"/>
      <c r="V53" s="1387"/>
      <c r="W53" s="1387"/>
      <c r="X53" s="1387"/>
      <c r="Y53" s="1387"/>
      <c r="Z53" s="1387"/>
      <c r="AD53" s="1391"/>
    </row>
    <row r="54" spans="1:30" s="475" customFormat="1" ht="14" x14ac:dyDescent="0.3">
      <c r="A54" s="475">
        <v>6</v>
      </c>
      <c r="B54" s="1539" t="s">
        <v>1138</v>
      </c>
      <c r="C54" s="1539"/>
      <c r="D54" s="1539"/>
      <c r="E54" s="1539"/>
      <c r="F54" s="1539"/>
      <c r="G54" s="1539"/>
      <c r="H54" s="1539"/>
      <c r="I54" s="1539"/>
      <c r="J54" s="1539"/>
      <c r="K54" s="1539"/>
      <c r="L54" s="1539"/>
      <c r="M54" s="1539"/>
      <c r="N54" s="1539"/>
      <c r="O54" s="1539"/>
      <c r="P54" s="1539"/>
      <c r="Q54" s="1539"/>
      <c r="R54" s="1539"/>
      <c r="S54" s="1539"/>
      <c r="T54" s="1539"/>
      <c r="U54" s="1539"/>
      <c r="V54" s="1387" t="s">
        <v>206</v>
      </c>
      <c r="W54" s="1387"/>
      <c r="X54" s="1387"/>
      <c r="Y54" s="1387"/>
      <c r="Z54" s="1387"/>
      <c r="AD54" s="1391"/>
    </row>
    <row r="55" spans="1:30" s="475" customFormat="1" ht="14" x14ac:dyDescent="0.3">
      <c r="B55" s="1539"/>
      <c r="C55" s="1539"/>
      <c r="D55" s="1539"/>
      <c r="E55" s="1539"/>
      <c r="F55" s="1539"/>
      <c r="G55" s="1539"/>
      <c r="H55" s="1539"/>
      <c r="I55" s="1539"/>
      <c r="J55" s="1539"/>
      <c r="K55" s="1539"/>
      <c r="L55" s="1539"/>
      <c r="M55" s="1539"/>
      <c r="N55" s="1539"/>
      <c r="O55" s="1539"/>
      <c r="P55" s="1539"/>
      <c r="Q55" s="1539"/>
      <c r="R55" s="1539"/>
      <c r="S55" s="1539"/>
      <c r="T55" s="1539"/>
      <c r="U55" s="1539"/>
      <c r="V55" s="1387"/>
      <c r="W55" s="1387"/>
      <c r="X55" s="1387"/>
      <c r="Y55" s="1387"/>
      <c r="Z55" s="1387"/>
      <c r="AD55" s="1391"/>
    </row>
    <row r="56" spans="1:30" s="475" customFormat="1" ht="14" x14ac:dyDescent="0.3">
      <c r="A56" s="475">
        <v>7</v>
      </c>
      <c r="B56" s="1538" t="s">
        <v>1139</v>
      </c>
      <c r="C56" s="1538"/>
      <c r="D56" s="1538"/>
      <c r="E56" s="1538"/>
      <c r="F56" s="1538"/>
      <c r="G56" s="1538"/>
      <c r="H56" s="1538"/>
      <c r="I56" s="1538"/>
      <c r="J56" s="1538"/>
      <c r="K56" s="1538"/>
      <c r="L56" s="1538"/>
      <c r="M56" s="1538"/>
      <c r="N56" s="1538"/>
      <c r="O56" s="1538"/>
      <c r="P56" s="1538"/>
      <c r="Q56" s="1538"/>
      <c r="R56" s="1538"/>
      <c r="S56" s="1538"/>
      <c r="T56" s="1538"/>
      <c r="U56" s="1538"/>
      <c r="V56" s="1387" t="s">
        <v>206</v>
      </c>
      <c r="W56" s="1387"/>
      <c r="X56" s="1387"/>
      <c r="Y56" s="1387"/>
      <c r="Z56" s="1387"/>
      <c r="AD56" s="1391"/>
    </row>
    <row r="57" spans="1:30" s="475" customFormat="1" ht="14" x14ac:dyDescent="0.3">
      <c r="A57" s="475">
        <v>8</v>
      </c>
      <c r="B57" s="1538" t="s">
        <v>1140</v>
      </c>
      <c r="C57" s="1538"/>
      <c r="D57" s="1538"/>
      <c r="E57" s="1538"/>
      <c r="F57" s="1538"/>
      <c r="G57" s="1538"/>
      <c r="H57" s="1538"/>
      <c r="I57" s="1538"/>
      <c r="J57" s="1538"/>
      <c r="K57" s="1538"/>
      <c r="L57" s="1538"/>
      <c r="M57" s="1538"/>
      <c r="N57" s="1538"/>
      <c r="O57" s="1538"/>
      <c r="P57" s="1538"/>
      <c r="Q57" s="1538"/>
      <c r="R57" s="1538"/>
      <c r="S57" s="1538"/>
      <c r="T57" s="1538"/>
      <c r="U57" s="1538"/>
      <c r="V57" s="1387" t="s">
        <v>206</v>
      </c>
      <c r="W57" s="1387"/>
      <c r="X57" s="1387"/>
      <c r="Y57" s="1387"/>
      <c r="Z57" s="1387"/>
      <c r="AD57" s="1391"/>
    </row>
    <row r="58" spans="1:30" s="475" customFormat="1" ht="14" x14ac:dyDescent="0.3">
      <c r="A58" s="475">
        <v>9</v>
      </c>
      <c r="B58" s="1538" t="s">
        <v>1141</v>
      </c>
      <c r="C58" s="1538"/>
      <c r="D58" s="1538"/>
      <c r="E58" s="1538"/>
      <c r="F58" s="1538"/>
      <c r="G58" s="1538"/>
      <c r="H58" s="1538"/>
      <c r="I58" s="1538"/>
      <c r="J58" s="1538"/>
      <c r="K58" s="1538"/>
      <c r="L58" s="1538"/>
      <c r="M58" s="1538"/>
      <c r="N58" s="1538"/>
      <c r="O58" s="1538"/>
      <c r="P58" s="1538"/>
      <c r="Q58" s="1538"/>
      <c r="R58" s="1538"/>
      <c r="S58" s="1538"/>
      <c r="T58" s="1538"/>
      <c r="U58" s="1538"/>
      <c r="V58" s="1387" t="s">
        <v>206</v>
      </c>
      <c r="W58" s="1387"/>
      <c r="X58" s="1387"/>
      <c r="Y58" s="1387"/>
      <c r="Z58" s="1387"/>
      <c r="AD58" s="1391"/>
    </row>
    <row r="59" spans="1:30" s="475" customFormat="1" ht="14" x14ac:dyDescent="0.3">
      <c r="C59" s="1387"/>
      <c r="D59" s="1387"/>
      <c r="E59" s="1387"/>
      <c r="F59" s="1387"/>
      <c r="G59" s="1387"/>
      <c r="H59" s="1387"/>
      <c r="I59" s="1387"/>
      <c r="J59" s="1387"/>
      <c r="K59" s="1387"/>
      <c r="L59" s="1387"/>
      <c r="M59" s="1387"/>
      <c r="N59" s="1387"/>
      <c r="O59" s="1387"/>
      <c r="P59" s="1387"/>
      <c r="Q59" s="1387"/>
      <c r="R59" s="1387"/>
      <c r="S59" s="1387"/>
      <c r="T59" s="1387"/>
      <c r="U59" s="1387"/>
      <c r="V59" s="1387"/>
      <c r="W59" s="1387"/>
      <c r="X59" s="1387"/>
      <c r="Y59" s="1387"/>
      <c r="Z59" s="1387"/>
      <c r="AD59" s="1391"/>
    </row>
    <row r="60" spans="1:30" s="475" customFormat="1" ht="14" x14ac:dyDescent="0.3">
      <c r="B60" s="1394"/>
      <c r="C60" s="1387"/>
      <c r="D60" s="1387"/>
      <c r="E60" s="1387"/>
      <c r="F60" s="1387"/>
      <c r="G60" s="1387"/>
      <c r="H60" s="1387"/>
      <c r="I60" s="1387"/>
      <c r="J60" s="1387"/>
      <c r="K60" s="1387"/>
      <c r="L60" s="1387"/>
      <c r="M60" s="1387"/>
      <c r="N60" s="1387"/>
      <c r="O60" s="1387"/>
      <c r="P60" s="1387"/>
      <c r="Q60" s="1387"/>
      <c r="R60" s="1387"/>
      <c r="S60" s="1387"/>
      <c r="T60" s="1387"/>
      <c r="U60" s="1387"/>
      <c r="V60" s="1387"/>
      <c r="W60" s="1387"/>
      <c r="X60" s="1387"/>
      <c r="Y60" s="1387"/>
      <c r="Z60" s="1387"/>
      <c r="AD60" s="1391"/>
    </row>
    <row r="61" spans="1:30" s="475" customFormat="1" ht="14" x14ac:dyDescent="0.3">
      <c r="B61" s="1394"/>
      <c r="C61" s="1387"/>
      <c r="D61" s="1387"/>
      <c r="E61" s="1387"/>
      <c r="F61" s="1387"/>
      <c r="G61" s="1387"/>
      <c r="H61" s="1387"/>
      <c r="I61" s="1387"/>
      <c r="J61" s="1387"/>
      <c r="K61" s="1387"/>
      <c r="L61" s="1387"/>
      <c r="M61" s="1387"/>
      <c r="N61" s="1387"/>
      <c r="O61" s="1387"/>
      <c r="P61" s="1387"/>
      <c r="Q61" s="1387"/>
      <c r="R61" s="1387"/>
      <c r="S61" s="1387"/>
      <c r="T61" s="1387"/>
      <c r="U61" s="1387"/>
      <c r="V61" s="1387"/>
      <c r="W61" s="1387"/>
      <c r="X61" s="1387"/>
      <c r="Y61" s="1387"/>
      <c r="Z61" s="1387"/>
      <c r="AD61" s="1391"/>
    </row>
    <row r="62" spans="1:30" s="475" customFormat="1" ht="14" x14ac:dyDescent="0.3">
      <c r="C62" s="1387"/>
      <c r="D62" s="1387"/>
      <c r="E62" s="1387"/>
      <c r="F62" s="1387"/>
      <c r="G62" s="1387"/>
      <c r="H62" s="1387"/>
      <c r="I62" s="1387"/>
      <c r="J62" s="1387"/>
      <c r="K62" s="1387"/>
      <c r="L62" s="1387"/>
      <c r="M62" s="1387"/>
      <c r="N62" s="1387"/>
      <c r="O62" s="1387"/>
      <c r="P62" s="1387"/>
      <c r="Q62" s="1387"/>
      <c r="R62" s="1387"/>
      <c r="S62" s="1387"/>
      <c r="T62" s="1387"/>
      <c r="U62" s="1387"/>
      <c r="V62" s="1387"/>
      <c r="W62" s="1387"/>
      <c r="X62" s="1387"/>
      <c r="Y62" s="1387"/>
      <c r="Z62" s="1387"/>
      <c r="AD62" s="1391"/>
    </row>
    <row r="63" spans="1:30" s="475" customFormat="1" ht="14" x14ac:dyDescent="0.3">
      <c r="C63" s="1387"/>
      <c r="D63" s="1387"/>
      <c r="E63" s="1387"/>
      <c r="F63" s="1387"/>
      <c r="G63" s="1387"/>
      <c r="H63" s="1387"/>
      <c r="I63" s="1387"/>
      <c r="J63" s="1387"/>
      <c r="K63" s="1387"/>
      <c r="L63" s="1387"/>
      <c r="M63" s="1387"/>
      <c r="N63" s="1387"/>
      <c r="O63" s="1387"/>
      <c r="P63" s="1387"/>
      <c r="Q63" s="1387"/>
      <c r="R63" s="1387"/>
      <c r="S63" s="1387"/>
      <c r="T63" s="1387"/>
      <c r="U63" s="1387"/>
      <c r="V63" s="1387"/>
      <c r="W63" s="1387"/>
      <c r="X63" s="1387"/>
      <c r="Y63" s="1387"/>
      <c r="Z63" s="1387"/>
      <c r="AD63" s="1391"/>
    </row>
    <row r="64" spans="1:30" s="475" customFormat="1" ht="14" x14ac:dyDescent="0.3">
      <c r="C64" s="1387"/>
      <c r="D64" s="1387"/>
      <c r="E64" s="1387"/>
      <c r="F64" s="1387"/>
      <c r="G64" s="1387"/>
      <c r="H64" s="1387"/>
      <c r="I64" s="1387"/>
      <c r="J64" s="1387"/>
      <c r="K64" s="1387"/>
      <c r="L64" s="1387"/>
      <c r="M64" s="1387"/>
      <c r="N64" s="1387"/>
      <c r="O64" s="1387"/>
      <c r="P64" s="1387"/>
      <c r="Q64" s="1387"/>
      <c r="R64" s="1387"/>
      <c r="S64" s="1387"/>
      <c r="T64" s="1387"/>
      <c r="U64" s="1387"/>
      <c r="V64" s="1387"/>
      <c r="W64" s="1387"/>
      <c r="X64" s="1387"/>
      <c r="Y64" s="1387"/>
      <c r="Z64" s="1387"/>
      <c r="AD64" s="1391"/>
    </row>
    <row r="65" spans="1:30" s="475" customFormat="1" ht="14" x14ac:dyDescent="0.3">
      <c r="U65" s="1387"/>
      <c r="V65" s="1387"/>
      <c r="W65" s="1387"/>
      <c r="X65" s="1387"/>
      <c r="Y65" s="1387"/>
      <c r="Z65" s="1387"/>
      <c r="AD65" s="1391"/>
    </row>
    <row r="66" spans="1:30" s="475" customFormat="1" ht="14" x14ac:dyDescent="0.3">
      <c r="C66" s="1387"/>
      <c r="D66" s="1387"/>
      <c r="E66" s="1387"/>
      <c r="F66" s="1387"/>
      <c r="G66" s="1387"/>
      <c r="H66" s="1387"/>
      <c r="I66" s="1387"/>
      <c r="J66" s="1387"/>
      <c r="K66" s="1387"/>
      <c r="L66" s="1387"/>
      <c r="M66" s="1387"/>
      <c r="N66" s="1387"/>
      <c r="O66" s="1387"/>
      <c r="P66" s="1387"/>
      <c r="Q66" s="1387"/>
      <c r="R66" s="1387"/>
      <c r="S66" s="1387"/>
      <c r="T66" s="1387"/>
      <c r="U66" s="1387"/>
      <c r="V66" s="1387"/>
      <c r="W66" s="1387"/>
      <c r="X66" s="1387"/>
      <c r="Y66" s="1387"/>
      <c r="Z66" s="1387"/>
      <c r="AD66" s="1391"/>
    </row>
    <row r="75" spans="1:30" ht="25" x14ac:dyDescent="0.25">
      <c r="H75" s="19" t="s">
        <v>1142</v>
      </c>
      <c r="I75" s="19"/>
      <c r="J75" s="19" t="s">
        <v>1143</v>
      </c>
    </row>
    <row r="76" spans="1:30" ht="50" x14ac:dyDescent="0.25">
      <c r="A76" s="1089" t="s">
        <v>1144</v>
      </c>
      <c r="B76" s="1534" t="s">
        <v>1145</v>
      </c>
      <c r="C76" s="1534"/>
      <c r="E76" s="19" t="s">
        <v>1146</v>
      </c>
      <c r="F76" s="822" t="s">
        <v>3</v>
      </c>
      <c r="H76" s="19" t="s">
        <v>1147</v>
      </c>
      <c r="I76" s="19" t="s">
        <v>1148</v>
      </c>
      <c r="J76" s="19" t="s">
        <v>1147</v>
      </c>
      <c r="K76" s="19" t="s">
        <v>1148</v>
      </c>
    </row>
    <row r="77" spans="1:30" x14ac:dyDescent="0.25">
      <c r="B77">
        <v>600</v>
      </c>
      <c r="C77" s="1381">
        <v>600000</v>
      </c>
      <c r="D77" s="1381" t="s">
        <v>756</v>
      </c>
      <c r="E77" s="1381">
        <v>679800</v>
      </c>
      <c r="F77" s="1381">
        <v>679800</v>
      </c>
      <c r="G77" s="1381"/>
      <c r="H77" s="1381">
        <v>325943.5</v>
      </c>
      <c r="I77" s="1381">
        <v>106090</v>
      </c>
      <c r="J77" s="1381">
        <v>285600.46000000002</v>
      </c>
      <c r="K77" s="1381">
        <v>91206.5</v>
      </c>
      <c r="L77" s="1381"/>
      <c r="M77" s="1381"/>
    </row>
    <row r="78" spans="1:30" ht="25" x14ac:dyDescent="0.25">
      <c r="B78">
        <v>100</v>
      </c>
      <c r="C78" s="1381">
        <v>700000</v>
      </c>
      <c r="D78" s="1381" t="s">
        <v>757</v>
      </c>
      <c r="E78" s="1381">
        <v>793100.00000000012</v>
      </c>
      <c r="F78" s="1381">
        <v>113300.00000000012</v>
      </c>
      <c r="G78" s="1381"/>
      <c r="H78" s="1381">
        <v>362699.05000000005</v>
      </c>
      <c r="I78" s="1381">
        <v>111394.5</v>
      </c>
      <c r="J78" s="1381">
        <v>330775.23</v>
      </c>
      <c r="K78" s="1381">
        <v>91206.5</v>
      </c>
      <c r="L78" s="1381"/>
      <c r="M78" s="1381"/>
    </row>
    <row r="79" spans="1:30" x14ac:dyDescent="0.25">
      <c r="B79">
        <v>250</v>
      </c>
      <c r="C79" s="1381">
        <v>950000</v>
      </c>
      <c r="D79" s="1381" t="s">
        <v>758</v>
      </c>
      <c r="E79" s="1381">
        <v>1076350.0000000002</v>
      </c>
      <c r="F79" s="1381">
        <v>283250.00000000012</v>
      </c>
      <c r="G79" s="1381"/>
      <c r="H79" s="1381">
        <v>399454.60000000003</v>
      </c>
      <c r="I79" s="1381">
        <v>116699</v>
      </c>
      <c r="J79" s="1381">
        <v>375950</v>
      </c>
      <c r="K79" s="1381">
        <v>91206.5</v>
      </c>
      <c r="L79" s="1381"/>
      <c r="M79" s="1381"/>
    </row>
    <row r="80" spans="1:30" ht="25" x14ac:dyDescent="0.25">
      <c r="A80">
        <v>50</v>
      </c>
      <c r="B80">
        <v>150</v>
      </c>
      <c r="C80" s="1381">
        <v>1100000</v>
      </c>
      <c r="D80" s="1381" t="s">
        <v>759</v>
      </c>
      <c r="E80" s="1381">
        <v>1246300</v>
      </c>
      <c r="F80" s="1381">
        <v>169949.99999999977</v>
      </c>
      <c r="G80" s="1381"/>
      <c r="H80" s="1381">
        <v>438718.2</v>
      </c>
      <c r="I80" s="1381">
        <v>122003.5</v>
      </c>
      <c r="J80" s="1381">
        <v>394773.25</v>
      </c>
      <c r="K80" s="1381">
        <v>91206.5</v>
      </c>
      <c r="L80" s="1381"/>
      <c r="M80" s="1381"/>
    </row>
    <row r="81" spans="1:13" x14ac:dyDescent="0.25">
      <c r="A81">
        <v>50</v>
      </c>
      <c r="B81">
        <v>300</v>
      </c>
      <c r="C81" s="1381">
        <v>1400000</v>
      </c>
      <c r="D81" s="1381" t="s">
        <v>760</v>
      </c>
      <c r="E81" s="1381">
        <v>1586200.0000000002</v>
      </c>
      <c r="F81" s="1381">
        <v>339900.00000000023</v>
      </c>
      <c r="G81" s="1381"/>
      <c r="H81" s="1381">
        <v>477981.8</v>
      </c>
      <c r="I81" s="1381">
        <v>127308</v>
      </c>
      <c r="J81" s="1381">
        <v>413596.5</v>
      </c>
      <c r="K81" s="1381">
        <v>91206.5</v>
      </c>
      <c r="L81" s="1381"/>
      <c r="M81" s="1381"/>
    </row>
    <row r="82" spans="1:13" ht="25" x14ac:dyDescent="0.25">
      <c r="A82">
        <v>50</v>
      </c>
      <c r="B82">
        <v>200</v>
      </c>
      <c r="C82" s="1381">
        <v>1600000</v>
      </c>
      <c r="D82" s="1381" t="s">
        <v>761</v>
      </c>
      <c r="E82" s="1381">
        <v>1812800.0000000002</v>
      </c>
      <c r="F82" s="1381">
        <v>226600</v>
      </c>
      <c r="G82" s="1381"/>
      <c r="H82" s="1381">
        <v>522601.4</v>
      </c>
      <c r="I82" s="1381">
        <v>137917</v>
      </c>
      <c r="J82" s="1381"/>
      <c r="K82" s="1381"/>
      <c r="L82" s="1381"/>
      <c r="M82" s="1381"/>
    </row>
    <row r="83" spans="1:13" x14ac:dyDescent="0.25">
      <c r="A83">
        <v>50</v>
      </c>
      <c r="B83">
        <v>350</v>
      </c>
      <c r="C83" s="1381">
        <v>1950000</v>
      </c>
      <c r="D83" s="1381" t="s">
        <v>762</v>
      </c>
      <c r="E83" s="1381">
        <v>2209350</v>
      </c>
      <c r="F83" s="1381">
        <v>396549.99999999977</v>
      </c>
      <c r="G83" s="1381"/>
      <c r="H83" s="1381">
        <v>567221</v>
      </c>
      <c r="I83" s="1381">
        <v>148526</v>
      </c>
      <c r="J83" s="1381"/>
      <c r="K83" s="1381"/>
      <c r="L83" s="1381"/>
      <c r="M83" s="1381"/>
    </row>
    <row r="84" spans="1:13" ht="25" x14ac:dyDescent="0.25">
      <c r="A84">
        <v>50</v>
      </c>
      <c r="B84">
        <v>250</v>
      </c>
      <c r="C84" s="1381">
        <v>2200000</v>
      </c>
      <c r="D84" s="1381" t="s">
        <v>763</v>
      </c>
      <c r="E84" s="1381">
        <v>2492600</v>
      </c>
      <c r="F84" s="1381">
        <v>283250</v>
      </c>
      <c r="G84" s="1381"/>
      <c r="H84" s="1381">
        <v>615208.69999999995</v>
      </c>
      <c r="I84" s="1381">
        <v>153830.5</v>
      </c>
      <c r="J84" s="1381"/>
      <c r="K84" s="1381"/>
      <c r="L84" s="1381"/>
      <c r="M84" s="1381"/>
    </row>
    <row r="85" spans="1:13" x14ac:dyDescent="0.25">
      <c r="A85">
        <v>50</v>
      </c>
      <c r="B85">
        <v>400</v>
      </c>
      <c r="C85" s="1381">
        <v>2600000</v>
      </c>
      <c r="D85" s="1381" t="s">
        <v>764</v>
      </c>
      <c r="E85" s="1381">
        <v>2945800</v>
      </c>
      <c r="F85" s="1381">
        <v>453200</v>
      </c>
      <c r="G85" s="1381"/>
      <c r="H85" s="1381">
        <v>663196.4</v>
      </c>
      <c r="I85" s="1381">
        <v>159135</v>
      </c>
      <c r="J85" s="1381"/>
      <c r="K85" s="1381"/>
      <c r="L85" s="1381"/>
      <c r="M85" s="1381"/>
    </row>
    <row r="86" spans="1:13" ht="25" x14ac:dyDescent="0.25">
      <c r="A86">
        <v>50</v>
      </c>
      <c r="B86">
        <v>300</v>
      </c>
      <c r="C86" s="1381">
        <v>2900000</v>
      </c>
      <c r="D86" s="1381" t="s">
        <v>1149</v>
      </c>
      <c r="E86" s="1381">
        <v>3285700.0000000005</v>
      </c>
      <c r="F86" s="1381">
        <v>339900.00000000047</v>
      </c>
      <c r="G86" s="1381"/>
      <c r="H86" s="1381"/>
      <c r="I86" s="1381"/>
      <c r="J86" s="1381"/>
      <c r="K86" s="1381"/>
      <c r="L86" s="1381"/>
      <c r="M86" s="1381"/>
    </row>
    <row r="87" spans="1:13" x14ac:dyDescent="0.25">
      <c r="A87">
        <v>50</v>
      </c>
      <c r="B87">
        <v>450</v>
      </c>
      <c r="C87" s="1381">
        <v>3350000</v>
      </c>
      <c r="D87" s="1381" t="s">
        <v>1150</v>
      </c>
      <c r="E87" s="1381">
        <v>3795550.0000000005</v>
      </c>
      <c r="F87" s="1381">
        <v>509850</v>
      </c>
      <c r="G87" s="1381"/>
      <c r="H87" s="1381"/>
      <c r="I87" s="1381"/>
      <c r="J87" s="1381"/>
      <c r="K87" s="1381"/>
      <c r="L87" s="1381"/>
      <c r="M87" s="1381"/>
    </row>
  </sheetData>
  <mergeCells count="12">
    <mergeCell ref="B76:C76"/>
    <mergeCell ref="A2:B2"/>
    <mergeCell ref="A34:U35"/>
    <mergeCell ref="B45:U46"/>
    <mergeCell ref="B47:U47"/>
    <mergeCell ref="B48:U49"/>
    <mergeCell ref="B50:U51"/>
    <mergeCell ref="B52:U53"/>
    <mergeCell ref="B54:U55"/>
    <mergeCell ref="B56:U56"/>
    <mergeCell ref="B57:U57"/>
    <mergeCell ref="B58:U58"/>
  </mergeCells>
  <pageMargins left="0.7" right="0.7" top="0.75" bottom="0.75" header="0.3" footer="0.3"/>
  <pageSetup orientation="portrait" horizontalDpi="90" verticalDpi="90" r:id="rId1"/>
  <ignoredErrors>
    <ignoredError sqref="W13 W14" formula="1"/>
    <ignoredError sqref="W15" formula="1" formulaRange="1"/>
  </ignoredErrors>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CA789-2A78-402C-A1D4-659B6FB21128}">
  <sheetPr>
    <tabColor theme="3" tint="0.79998168889431442"/>
  </sheetPr>
  <dimension ref="B1:V52"/>
  <sheetViews>
    <sheetView topLeftCell="A26" workbookViewId="0">
      <selection activeCell="D53" sqref="D53"/>
    </sheetView>
  </sheetViews>
  <sheetFormatPr defaultRowHeight="12.5" x14ac:dyDescent="0.25"/>
  <cols>
    <col min="3" max="3" width="28.81640625" bestFit="1" customWidth="1"/>
    <col min="4" max="4" width="12.453125" customWidth="1"/>
    <col min="5" max="5" width="13.54296875" customWidth="1"/>
    <col min="6" max="6" width="14.453125" customWidth="1"/>
    <col min="7" max="10" width="14" customWidth="1"/>
    <col min="11" max="11" width="12.26953125" bestFit="1" customWidth="1"/>
    <col min="12" max="13" width="11.81640625" customWidth="1"/>
    <col min="14" max="14" width="28.81640625" bestFit="1" customWidth="1"/>
    <col min="15" max="15" width="11.81640625" style="2" bestFit="1" customWidth="1"/>
    <col min="16" max="16" width="12" style="2" bestFit="1" customWidth="1"/>
    <col min="17" max="17" width="10.7265625" style="2" customWidth="1"/>
    <col min="18" max="18" width="13.26953125" customWidth="1"/>
    <col min="19" max="19" width="28.81640625" bestFit="1" customWidth="1"/>
    <col min="20" max="20" width="10.7265625" customWidth="1"/>
    <col min="21" max="21" width="10" customWidth="1"/>
    <col min="22" max="22" width="11.1796875" customWidth="1"/>
  </cols>
  <sheetData>
    <row r="1" spans="3:22" hidden="1" x14ac:dyDescent="0.25">
      <c r="N1" s="1540" t="s">
        <v>1151</v>
      </c>
      <c r="O1" s="1540"/>
      <c r="P1" s="1540"/>
      <c r="Q1" s="1540"/>
    </row>
    <row r="2" spans="3:22" s="1347" customFormat="1" ht="58" hidden="1" x14ac:dyDescent="0.35">
      <c r="C2" s="1344" t="s">
        <v>183</v>
      </c>
      <c r="D2" s="1345" t="s">
        <v>1152</v>
      </c>
      <c r="E2" s="1345" t="s">
        <v>1153</v>
      </c>
      <c r="F2" s="1345" t="s">
        <v>1154</v>
      </c>
      <c r="G2" s="1345" t="s">
        <v>1155</v>
      </c>
      <c r="H2" s="1345" t="s">
        <v>1156</v>
      </c>
      <c r="I2" s="1345" t="s">
        <v>1157</v>
      </c>
      <c r="J2" s="1345" t="s">
        <v>1158</v>
      </c>
      <c r="K2" s="1345" t="s">
        <v>1159</v>
      </c>
      <c r="L2" s="1346">
        <v>3.4000000000000002E-2</v>
      </c>
      <c r="N2" s="1344" t="s">
        <v>183</v>
      </c>
      <c r="O2" s="1345" t="s">
        <v>1153</v>
      </c>
      <c r="P2" s="1348" t="s">
        <v>1154</v>
      </c>
      <c r="Q2" s="1349" t="s">
        <v>1160</v>
      </c>
      <c r="S2" s="1350" t="s">
        <v>183</v>
      </c>
      <c r="T2" s="1351" t="s">
        <v>1161</v>
      </c>
      <c r="U2" s="1351" t="s">
        <v>1162</v>
      </c>
      <c r="V2" s="1351" t="s">
        <v>1163</v>
      </c>
    </row>
    <row r="3" spans="3:22" ht="14.5" hidden="1" x14ac:dyDescent="0.35">
      <c r="C3" s="1352" t="s">
        <v>1164</v>
      </c>
      <c r="D3" s="1353">
        <v>126</v>
      </c>
      <c r="E3" s="18">
        <f t="shared" ref="E3:E19" si="0">+D3*10000</f>
        <v>1260000</v>
      </c>
      <c r="F3" s="18">
        <f>P3</f>
        <v>906127.43040856393</v>
      </c>
      <c r="G3" s="18">
        <f>V3</f>
        <v>60108.768969808189</v>
      </c>
      <c r="H3" s="18">
        <f t="shared" ref="H3:H19" si="1">SUM(F3:G3)</f>
        <v>966236.19937837217</v>
      </c>
      <c r="I3" s="18">
        <f>+H3/Q3</f>
        <v>8377.770514841377</v>
      </c>
      <c r="J3" s="18">
        <f t="shared" ref="J3:J19" si="2">+I3*D3</f>
        <v>1055599.0848700134</v>
      </c>
      <c r="K3" s="18">
        <f t="shared" ref="K3:K19" si="3">+J3+E3</f>
        <v>2315599.0848700134</v>
      </c>
      <c r="L3" s="18">
        <f t="shared" ref="L3:L19" si="4">+K3*3.4%</f>
        <v>78730.368885580465</v>
      </c>
      <c r="N3" s="237" t="s">
        <v>996</v>
      </c>
      <c r="O3" s="18">
        <v>1153333.3333333333</v>
      </c>
      <c r="P3" s="1354">
        <v>906127.43040856393</v>
      </c>
      <c r="Q3" s="1353">
        <v>115.33333333333333</v>
      </c>
      <c r="R3" s="1355"/>
      <c r="S3" s="238" t="s">
        <v>996</v>
      </c>
      <c r="T3" s="1356">
        <v>61714.047666331258</v>
      </c>
      <c r="U3" s="1357">
        <v>1605.2786965230664</v>
      </c>
      <c r="V3" s="1357">
        <f t="shared" ref="V3:V25" si="5">T3-U3</f>
        <v>60108.768969808189</v>
      </c>
    </row>
    <row r="4" spans="3:22" ht="14.5" hidden="1" x14ac:dyDescent="0.35">
      <c r="C4" s="1358" t="s">
        <v>805</v>
      </c>
      <c r="D4" s="1353">
        <v>90</v>
      </c>
      <c r="E4" s="18">
        <f t="shared" si="0"/>
        <v>900000</v>
      </c>
      <c r="F4" s="18">
        <f>P4</f>
        <v>782784.52055189444</v>
      </c>
      <c r="G4" s="18">
        <f>V4</f>
        <v>47798.131374228775</v>
      </c>
      <c r="H4" s="18">
        <f t="shared" si="1"/>
        <v>830582.65192612319</v>
      </c>
      <c r="I4" s="18">
        <f>+H4/Q4</f>
        <v>9376.285816663667</v>
      </c>
      <c r="J4" s="18">
        <f t="shared" si="2"/>
        <v>843865.72349973</v>
      </c>
      <c r="K4" s="18">
        <f t="shared" si="3"/>
        <v>1743865.72349973</v>
      </c>
      <c r="L4" s="18">
        <f t="shared" si="4"/>
        <v>59291.434598990825</v>
      </c>
      <c r="N4" s="237" t="s">
        <v>805</v>
      </c>
      <c r="O4" s="18">
        <v>885833.33333333337</v>
      </c>
      <c r="P4" s="1354">
        <v>782784.52055189444</v>
      </c>
      <c r="Q4" s="1353">
        <v>88.583333333333343</v>
      </c>
      <c r="R4" s="1359"/>
      <c r="S4" s="238" t="s">
        <v>805</v>
      </c>
      <c r="T4" s="1356">
        <v>50058.53561655683</v>
      </c>
      <c r="U4" s="1357">
        <v>2260.4042423280575</v>
      </c>
      <c r="V4" s="1357">
        <f t="shared" si="5"/>
        <v>47798.131374228775</v>
      </c>
    </row>
    <row r="5" spans="3:22" ht="14.5" hidden="1" x14ac:dyDescent="0.35">
      <c r="C5" s="1358" t="s">
        <v>806</v>
      </c>
      <c r="D5" s="1353">
        <v>89</v>
      </c>
      <c r="E5" s="18">
        <f t="shared" si="0"/>
        <v>890000</v>
      </c>
      <c r="F5" s="18">
        <f>P5</f>
        <v>616293.34814622696</v>
      </c>
      <c r="G5" s="18">
        <f>V5</f>
        <v>42008.458118403309</v>
      </c>
      <c r="H5" s="18">
        <f t="shared" si="1"/>
        <v>658301.80626463029</v>
      </c>
      <c r="I5" s="18">
        <f>+H5/Q5</f>
        <v>7798.2444967182264</v>
      </c>
      <c r="J5" s="18">
        <f t="shared" si="2"/>
        <v>694043.7602079222</v>
      </c>
      <c r="K5" s="18">
        <f t="shared" si="3"/>
        <v>1584043.7602079222</v>
      </c>
      <c r="L5" s="18">
        <f t="shared" si="4"/>
        <v>53857.487847069358</v>
      </c>
      <c r="N5" s="237" t="s">
        <v>806</v>
      </c>
      <c r="O5" s="18">
        <v>844166.66666666674</v>
      </c>
      <c r="P5" s="1354">
        <v>616293.34814622696</v>
      </c>
      <c r="Q5" s="1353">
        <v>84.416666666666671</v>
      </c>
      <c r="R5" s="1355"/>
      <c r="S5" s="238" t="s">
        <v>806</v>
      </c>
      <c r="T5" s="1356">
        <v>43556.364456440686</v>
      </c>
      <c r="U5" s="1357">
        <v>1547.9063380373802</v>
      </c>
      <c r="V5" s="1357">
        <f t="shared" si="5"/>
        <v>42008.458118403309</v>
      </c>
    </row>
    <row r="6" spans="3:22" ht="14.5" hidden="1" x14ac:dyDescent="0.35">
      <c r="C6" s="1358" t="s">
        <v>807</v>
      </c>
      <c r="D6" s="1353">
        <v>88</v>
      </c>
      <c r="E6" s="18">
        <f t="shared" si="0"/>
        <v>880000</v>
      </c>
      <c r="F6" s="18">
        <f t="shared" ref="F6:F11" si="6">P7</f>
        <v>645024.83394405304</v>
      </c>
      <c r="G6" s="18">
        <f t="shared" ref="G6:G11" si="7">V7</f>
        <v>44464.339376740681</v>
      </c>
      <c r="H6" s="18">
        <f t="shared" si="1"/>
        <v>689489.17332079378</v>
      </c>
      <c r="I6" s="18">
        <f t="shared" ref="I6:I11" si="8">+H6/Q7</f>
        <v>7986.3610809358343</v>
      </c>
      <c r="J6" s="18">
        <f t="shared" si="2"/>
        <v>702799.77512235346</v>
      </c>
      <c r="K6" s="18">
        <f t="shared" si="3"/>
        <v>1582799.7751223533</v>
      </c>
      <c r="L6" s="18">
        <f t="shared" si="4"/>
        <v>53815.192354160019</v>
      </c>
      <c r="N6" s="1360" t="s">
        <v>210</v>
      </c>
      <c r="O6" s="1361">
        <v>611666.66666666674</v>
      </c>
      <c r="P6" s="1362">
        <v>708444.52448002994</v>
      </c>
      <c r="Q6" s="1363">
        <v>61.166666666666671</v>
      </c>
      <c r="R6" s="1359"/>
      <c r="S6" s="238" t="s">
        <v>210</v>
      </c>
      <c r="T6" s="1356">
        <v>39603.335734400898</v>
      </c>
      <c r="U6" s="1357">
        <v>3237.3298965450335</v>
      </c>
      <c r="V6" s="1357">
        <f t="shared" si="5"/>
        <v>36366.005837855868</v>
      </c>
    </row>
    <row r="7" spans="3:22" ht="14.5" hidden="1" x14ac:dyDescent="0.35">
      <c r="C7" s="1358" t="s">
        <v>557</v>
      </c>
      <c r="D7" s="1353">
        <v>80</v>
      </c>
      <c r="E7" s="18">
        <f t="shared" si="0"/>
        <v>800000</v>
      </c>
      <c r="F7" s="18">
        <f t="shared" si="6"/>
        <v>920969.4617848706</v>
      </c>
      <c r="G7" s="18">
        <f t="shared" si="7"/>
        <v>52023.215273296963</v>
      </c>
      <c r="H7" s="18">
        <f t="shared" si="1"/>
        <v>972992.67705816752</v>
      </c>
      <c r="I7" s="18">
        <f t="shared" si="8"/>
        <v>12099.390802795864</v>
      </c>
      <c r="J7" s="18">
        <f t="shared" si="2"/>
        <v>967951.26422366919</v>
      </c>
      <c r="K7" s="18">
        <f t="shared" si="3"/>
        <v>1767951.2642236692</v>
      </c>
      <c r="L7" s="18">
        <f t="shared" si="4"/>
        <v>60110.342983604758</v>
      </c>
      <c r="N7" s="237" t="s">
        <v>807</v>
      </c>
      <c r="O7" s="18">
        <v>863333.33333333337</v>
      </c>
      <c r="P7" s="1354">
        <v>645024.83394405304</v>
      </c>
      <c r="Q7" s="1353">
        <v>86.333333333333343</v>
      </c>
      <c r="R7" s="1359"/>
      <c r="S7" s="238" t="s">
        <v>807</v>
      </c>
      <c r="T7" s="1356">
        <v>44985.405853811862</v>
      </c>
      <c r="U7" s="1357">
        <v>521.06647707117941</v>
      </c>
      <c r="V7" s="1357">
        <f t="shared" si="5"/>
        <v>44464.339376740681</v>
      </c>
    </row>
    <row r="8" spans="3:22" ht="14.5" hidden="1" x14ac:dyDescent="0.35">
      <c r="C8" s="1358" t="s">
        <v>816</v>
      </c>
      <c r="D8" s="1353">
        <v>112</v>
      </c>
      <c r="E8" s="18">
        <f t="shared" si="0"/>
        <v>1120000</v>
      </c>
      <c r="F8" s="18">
        <f t="shared" si="6"/>
        <v>461109.21317218104</v>
      </c>
      <c r="G8" s="18">
        <f t="shared" si="7"/>
        <v>43962.085447780861</v>
      </c>
      <c r="H8" s="18">
        <f t="shared" si="1"/>
        <v>505071.29861996189</v>
      </c>
      <c r="I8" s="18">
        <f t="shared" si="8"/>
        <v>4757.3434720875521</v>
      </c>
      <c r="J8" s="18">
        <f t="shared" si="2"/>
        <v>532822.46887380583</v>
      </c>
      <c r="K8" s="18">
        <f t="shared" si="3"/>
        <v>1652822.4688738058</v>
      </c>
      <c r="L8" s="18">
        <f t="shared" si="4"/>
        <v>56195.9639417094</v>
      </c>
      <c r="N8" s="32" t="s">
        <v>557</v>
      </c>
      <c r="O8" s="18">
        <v>804166.66666666674</v>
      </c>
      <c r="P8" s="1354">
        <v>920969.4617848706</v>
      </c>
      <c r="Q8" s="1353">
        <v>80.416666666666671</v>
      </c>
      <c r="R8" s="1359"/>
      <c r="S8" s="1364" t="s">
        <v>557</v>
      </c>
      <c r="T8" s="1356">
        <v>57770.313853546118</v>
      </c>
      <c r="U8" s="1357">
        <v>5747.0985802491568</v>
      </c>
      <c r="V8" s="1357">
        <f t="shared" si="5"/>
        <v>52023.215273296963</v>
      </c>
    </row>
    <row r="9" spans="3:22" ht="14.5" hidden="1" x14ac:dyDescent="0.35">
      <c r="C9" s="1358" t="s">
        <v>340</v>
      </c>
      <c r="D9" s="1353">
        <v>101</v>
      </c>
      <c r="E9" s="18">
        <f t="shared" si="0"/>
        <v>1010000</v>
      </c>
      <c r="F9" s="18">
        <f t="shared" si="6"/>
        <v>467888.47584672458</v>
      </c>
      <c r="G9" s="18">
        <f t="shared" si="7"/>
        <v>43646.521287627344</v>
      </c>
      <c r="H9" s="18">
        <f t="shared" si="1"/>
        <v>511534.99713435193</v>
      </c>
      <c r="I9" s="18">
        <f t="shared" si="8"/>
        <v>5106.8385737206509</v>
      </c>
      <c r="J9" s="18">
        <f t="shared" si="2"/>
        <v>515790.69594578573</v>
      </c>
      <c r="K9" s="18">
        <f t="shared" si="3"/>
        <v>1525790.6959457858</v>
      </c>
      <c r="L9" s="18">
        <f t="shared" si="4"/>
        <v>51876.883662156724</v>
      </c>
      <c r="N9" s="237" t="s">
        <v>816</v>
      </c>
      <c r="O9" s="18">
        <v>1061666.6666666667</v>
      </c>
      <c r="P9" s="1354">
        <v>461109.21317218104</v>
      </c>
      <c r="Q9" s="1353">
        <v>106.16666666666669</v>
      </c>
      <c r="R9" s="1359"/>
      <c r="S9" s="238" t="s">
        <v>816</v>
      </c>
      <c r="T9" s="1356">
        <v>45683.276395165434</v>
      </c>
      <c r="U9" s="1357">
        <v>1721.1909473845701</v>
      </c>
      <c r="V9" s="1357">
        <f t="shared" si="5"/>
        <v>43962.085447780861</v>
      </c>
    </row>
    <row r="10" spans="3:22" ht="14.5" hidden="1" x14ac:dyDescent="0.35">
      <c r="C10" s="1358" t="s">
        <v>817</v>
      </c>
      <c r="D10" s="1353">
        <v>124</v>
      </c>
      <c r="E10" s="18">
        <f t="shared" si="0"/>
        <v>1240000</v>
      </c>
      <c r="F10" s="18">
        <f t="shared" si="6"/>
        <v>484497.03719841107</v>
      </c>
      <c r="G10" s="18">
        <f t="shared" si="7"/>
        <v>43594.581115524605</v>
      </c>
      <c r="H10" s="18">
        <f t="shared" si="1"/>
        <v>528091.6183139357</v>
      </c>
      <c r="I10" s="18">
        <f t="shared" si="8"/>
        <v>4322.7144746024751</v>
      </c>
      <c r="J10" s="18">
        <f t="shared" si="2"/>
        <v>536016.59485070687</v>
      </c>
      <c r="K10" s="18">
        <f t="shared" si="3"/>
        <v>1776016.5948507069</v>
      </c>
      <c r="L10" s="18">
        <f t="shared" si="4"/>
        <v>60384.564224924041</v>
      </c>
      <c r="N10" s="237" t="s">
        <v>340</v>
      </c>
      <c r="O10" s="18">
        <v>1001666.6666666667</v>
      </c>
      <c r="P10" s="1354">
        <v>467888.47584672458</v>
      </c>
      <c r="Q10" s="1353">
        <v>100.16666666666667</v>
      </c>
      <c r="R10" s="1359"/>
      <c r="S10" s="238" t="s">
        <v>340</v>
      </c>
      <c r="T10" s="1356">
        <v>44086.654275401736</v>
      </c>
      <c r="U10" s="1357">
        <v>440.13298777439314</v>
      </c>
      <c r="V10" s="1357">
        <f t="shared" si="5"/>
        <v>43646.521287627344</v>
      </c>
    </row>
    <row r="11" spans="3:22" ht="14.5" hidden="1" x14ac:dyDescent="0.35">
      <c r="C11" s="1358" t="s">
        <v>808</v>
      </c>
      <c r="D11" s="1353">
        <v>159</v>
      </c>
      <c r="E11" s="18">
        <f t="shared" si="0"/>
        <v>1590000</v>
      </c>
      <c r="F11" s="18">
        <f t="shared" si="6"/>
        <v>534980.78324114066</v>
      </c>
      <c r="G11" s="18">
        <f t="shared" si="7"/>
        <v>58718.411281137822</v>
      </c>
      <c r="H11" s="18">
        <f t="shared" si="1"/>
        <v>593699.1945222785</v>
      </c>
      <c r="I11" s="18">
        <f t="shared" si="8"/>
        <v>3813.9134551752363</v>
      </c>
      <c r="J11" s="18">
        <f t="shared" si="2"/>
        <v>606412.23937286262</v>
      </c>
      <c r="K11" s="18">
        <f t="shared" si="3"/>
        <v>2196412.2393728625</v>
      </c>
      <c r="L11" s="18">
        <f t="shared" si="4"/>
        <v>74678.016138677325</v>
      </c>
      <c r="N11" s="237" t="s">
        <v>817</v>
      </c>
      <c r="O11" s="18">
        <v>1221666.6666666667</v>
      </c>
      <c r="P11" s="1354">
        <v>484497.03719841107</v>
      </c>
      <c r="Q11" s="1353">
        <v>122.16666666666667</v>
      </c>
      <c r="R11" s="1359"/>
      <c r="S11" s="238" t="s">
        <v>817</v>
      </c>
      <c r="T11" s="1356">
        <v>50164.565082699439</v>
      </c>
      <c r="U11" s="1357">
        <v>6569.9839671748314</v>
      </c>
      <c r="V11" s="1357">
        <f t="shared" si="5"/>
        <v>43594.581115524605</v>
      </c>
    </row>
    <row r="12" spans="3:22" ht="14.5" hidden="1" x14ac:dyDescent="0.35">
      <c r="C12" s="1358" t="s">
        <v>997</v>
      </c>
      <c r="D12" s="1353">
        <v>202</v>
      </c>
      <c r="E12" s="18">
        <f t="shared" si="0"/>
        <v>2020000</v>
      </c>
      <c r="F12" s="1365">
        <f>P6+P13</f>
        <v>1205281.7917231559</v>
      </c>
      <c r="G12" s="18">
        <f>V6+V13</f>
        <v>87148.384877222183</v>
      </c>
      <c r="H12" s="18">
        <f t="shared" si="1"/>
        <v>1292430.176600378</v>
      </c>
      <c r="I12" s="18">
        <f>+H12/(Q6+Q13)</f>
        <v>6497.344834187069</v>
      </c>
      <c r="J12" s="18">
        <f t="shared" si="2"/>
        <v>1312463.656505788</v>
      </c>
      <c r="K12" s="18">
        <f t="shared" si="3"/>
        <v>3332463.6565057877</v>
      </c>
      <c r="L12" s="18">
        <f t="shared" si="4"/>
        <v>113303.7643211968</v>
      </c>
      <c r="N12" s="237" t="s">
        <v>808</v>
      </c>
      <c r="O12" s="18">
        <v>1556666.6666666667</v>
      </c>
      <c r="P12" s="1354">
        <v>534980.78324114066</v>
      </c>
      <c r="Q12" s="1353">
        <v>155.66666666666669</v>
      </c>
      <c r="R12" s="1359"/>
      <c r="S12" s="238" t="s">
        <v>808</v>
      </c>
      <c r="T12" s="1356">
        <v>62749.423497234224</v>
      </c>
      <c r="U12" s="1357">
        <v>4031.0122160964006</v>
      </c>
      <c r="V12" s="1357">
        <f t="shared" si="5"/>
        <v>58718.411281137822</v>
      </c>
    </row>
    <row r="13" spans="3:22" ht="14.5" hidden="1" x14ac:dyDescent="0.35">
      <c r="C13" s="1358" t="s">
        <v>890</v>
      </c>
      <c r="D13" s="1353">
        <v>79</v>
      </c>
      <c r="E13" s="18">
        <f t="shared" si="0"/>
        <v>790000</v>
      </c>
      <c r="F13" s="18">
        <f t="shared" ref="F13:F19" si="9">P14</f>
        <v>888627.89187889441</v>
      </c>
      <c r="G13" s="18">
        <f t="shared" ref="G13:G19" si="10">V14</f>
        <v>57248.980020255687</v>
      </c>
      <c r="H13" s="18">
        <f t="shared" si="1"/>
        <v>945876.87189915008</v>
      </c>
      <c r="I13" s="18">
        <f t="shared" ref="I13:I19" si="11">+H13/Q14</f>
        <v>12036.609186415482</v>
      </c>
      <c r="J13" s="18">
        <f t="shared" si="2"/>
        <v>950892.12572682311</v>
      </c>
      <c r="K13" s="18">
        <f t="shared" si="3"/>
        <v>1740892.1257268232</v>
      </c>
      <c r="L13" s="18">
        <f t="shared" si="4"/>
        <v>59190.332274711996</v>
      </c>
      <c r="N13" s="237" t="s">
        <v>546</v>
      </c>
      <c r="O13" s="18">
        <v>1377500</v>
      </c>
      <c r="P13" s="1354">
        <v>496837.26724312594</v>
      </c>
      <c r="Q13" s="1353">
        <v>137.75</v>
      </c>
      <c r="R13" s="1359"/>
      <c r="S13" s="238" t="s">
        <v>546</v>
      </c>
      <c r="T13" s="1356">
        <v>55189.528305110151</v>
      </c>
      <c r="U13" s="1357">
        <v>4407.1492657438303</v>
      </c>
      <c r="V13" s="1357">
        <f t="shared" si="5"/>
        <v>50782.379039366322</v>
      </c>
    </row>
    <row r="14" spans="3:22" ht="14.5" hidden="1" x14ac:dyDescent="0.35">
      <c r="C14" s="1358" t="s">
        <v>813</v>
      </c>
      <c r="D14" s="1353">
        <v>104</v>
      </c>
      <c r="E14" s="18">
        <f t="shared" si="0"/>
        <v>1040000</v>
      </c>
      <c r="F14" s="18">
        <f t="shared" si="9"/>
        <v>1025619.1564844754</v>
      </c>
      <c r="G14" s="18">
        <f t="shared" si="10"/>
        <v>69731.662840094461</v>
      </c>
      <c r="H14" s="18">
        <f t="shared" si="1"/>
        <v>1095350.8193245698</v>
      </c>
      <c r="I14" s="18">
        <f t="shared" si="11"/>
        <v>10532.219416582402</v>
      </c>
      <c r="J14" s="18">
        <f t="shared" si="2"/>
        <v>1095350.8193245698</v>
      </c>
      <c r="K14" s="18">
        <f t="shared" si="3"/>
        <v>2135350.8193245698</v>
      </c>
      <c r="L14" s="18">
        <f t="shared" si="4"/>
        <v>72601.927857035378</v>
      </c>
      <c r="N14" s="32" t="s">
        <v>890</v>
      </c>
      <c r="O14" s="18">
        <v>785833.33333333337</v>
      </c>
      <c r="P14" s="1354">
        <v>888627.89187889441</v>
      </c>
      <c r="Q14" s="1353">
        <v>78.583333333333343</v>
      </c>
      <c r="R14" s="1359"/>
      <c r="S14" s="1364" t="s">
        <v>890</v>
      </c>
      <c r="T14" s="1356">
        <v>58744.056756366823</v>
      </c>
      <c r="U14" s="1357">
        <v>1495.0767361111384</v>
      </c>
      <c r="V14" s="1357">
        <f t="shared" si="5"/>
        <v>57248.980020255687</v>
      </c>
    </row>
    <row r="15" spans="3:22" ht="14.5" hidden="1" x14ac:dyDescent="0.35">
      <c r="C15" s="1358" t="s">
        <v>815</v>
      </c>
      <c r="D15" s="1353">
        <v>70</v>
      </c>
      <c r="E15" s="18">
        <f t="shared" si="0"/>
        <v>700000</v>
      </c>
      <c r="F15" s="18">
        <f t="shared" si="9"/>
        <v>853316.79185140773</v>
      </c>
      <c r="G15" s="18">
        <f t="shared" si="10"/>
        <v>52082.575981598558</v>
      </c>
      <c r="H15" s="18">
        <f t="shared" si="1"/>
        <v>905399.36783300631</v>
      </c>
      <c r="I15" s="18">
        <f t="shared" si="11"/>
        <v>12782.108722348323</v>
      </c>
      <c r="J15" s="18">
        <f t="shared" si="2"/>
        <v>894747.61056438263</v>
      </c>
      <c r="K15" s="18">
        <f t="shared" si="3"/>
        <v>1594747.6105643827</v>
      </c>
      <c r="L15" s="18">
        <f t="shared" si="4"/>
        <v>54221.418759189015</v>
      </c>
      <c r="N15" s="32" t="s">
        <v>813</v>
      </c>
      <c r="O15" s="18">
        <v>1040000</v>
      </c>
      <c r="P15" s="1354">
        <v>1025619.1564844754</v>
      </c>
      <c r="Q15" s="1353">
        <v>104</v>
      </c>
      <c r="R15" s="1359"/>
      <c r="S15" s="1364" t="s">
        <v>813</v>
      </c>
      <c r="T15" s="1356">
        <v>74763.844694534258</v>
      </c>
      <c r="U15" s="1357">
        <v>5032.1818544397966</v>
      </c>
      <c r="V15" s="1357">
        <f t="shared" si="5"/>
        <v>69731.662840094461</v>
      </c>
    </row>
    <row r="16" spans="3:22" ht="14.5" hidden="1" x14ac:dyDescent="0.35">
      <c r="C16" s="1358" t="s">
        <v>215</v>
      </c>
      <c r="D16" s="1353">
        <v>135</v>
      </c>
      <c r="E16" s="18">
        <f t="shared" si="0"/>
        <v>1350000</v>
      </c>
      <c r="F16" s="18">
        <f t="shared" si="9"/>
        <v>944486.86598736909</v>
      </c>
      <c r="G16" s="18">
        <f t="shared" si="10"/>
        <v>62128.622838149277</v>
      </c>
      <c r="H16" s="18">
        <f t="shared" si="1"/>
        <v>1006615.4888255184</v>
      </c>
      <c r="I16" s="18">
        <f t="shared" si="11"/>
        <v>7748.1628389392044</v>
      </c>
      <c r="J16" s="18">
        <f t="shared" si="2"/>
        <v>1046001.9832567926</v>
      </c>
      <c r="K16" s="18">
        <f t="shared" si="3"/>
        <v>2396001.9832567926</v>
      </c>
      <c r="L16" s="18">
        <f t="shared" si="4"/>
        <v>81464.067430730953</v>
      </c>
      <c r="N16" s="32" t="s">
        <v>815</v>
      </c>
      <c r="O16" s="18">
        <v>708333.33333333337</v>
      </c>
      <c r="P16" s="1354">
        <v>853316.79185140773</v>
      </c>
      <c r="Q16" s="1353">
        <v>70.833333333333343</v>
      </c>
      <c r="R16" s="1359"/>
      <c r="S16" s="1364" t="s">
        <v>815</v>
      </c>
      <c r="T16" s="1356">
        <v>56038.214663745282</v>
      </c>
      <c r="U16" s="1357">
        <v>3955.6386821467263</v>
      </c>
      <c r="V16" s="1357">
        <f t="shared" si="5"/>
        <v>52082.575981598558</v>
      </c>
    </row>
    <row r="17" spans="2:22" ht="14.5" hidden="1" x14ac:dyDescent="0.35">
      <c r="C17" s="1358" t="s">
        <v>809</v>
      </c>
      <c r="D17" s="1353">
        <v>178</v>
      </c>
      <c r="E17" s="18">
        <f t="shared" si="0"/>
        <v>1780000</v>
      </c>
      <c r="F17" s="18">
        <f>P18</f>
        <v>600502.84805452451</v>
      </c>
      <c r="G17" s="18">
        <f>V18</f>
        <v>67466.380431067868</v>
      </c>
      <c r="H17" s="18">
        <f t="shared" si="1"/>
        <v>667969.22848559241</v>
      </c>
      <c r="I17" s="18">
        <f>+H17/Q18</f>
        <v>3833.395859314734</v>
      </c>
      <c r="J17" s="18">
        <f t="shared" si="2"/>
        <v>682344.4629580226</v>
      </c>
      <c r="K17" s="18">
        <f t="shared" si="3"/>
        <v>2462344.4629580225</v>
      </c>
      <c r="L17" s="18">
        <f t="shared" si="4"/>
        <v>83719.711740572777</v>
      </c>
      <c r="N17" s="237" t="s">
        <v>215</v>
      </c>
      <c r="O17" s="18">
        <v>1299166.6666666667</v>
      </c>
      <c r="P17" s="1354">
        <v>944486.86598736909</v>
      </c>
      <c r="Q17" s="1353">
        <v>129.91666666666669</v>
      </c>
      <c r="R17" s="1359"/>
      <c r="S17" s="238" t="s">
        <v>215</v>
      </c>
      <c r="T17" s="1356">
        <v>67309.605979621076</v>
      </c>
      <c r="U17" s="1357">
        <v>5180.9831414718019</v>
      </c>
      <c r="V17" s="1357">
        <f t="shared" si="5"/>
        <v>62128.622838149277</v>
      </c>
    </row>
    <row r="18" spans="2:22" ht="14.5" hidden="1" x14ac:dyDescent="0.35">
      <c r="C18" s="1358" t="s">
        <v>217</v>
      </c>
      <c r="D18" s="1353">
        <v>225</v>
      </c>
      <c r="E18" s="18">
        <f t="shared" si="0"/>
        <v>2250000</v>
      </c>
      <c r="F18" s="18">
        <f t="shared" si="9"/>
        <v>742764.87288844166</v>
      </c>
      <c r="G18" s="18">
        <f t="shared" si="10"/>
        <v>90232.946186653251</v>
      </c>
      <c r="H18" s="18">
        <f t="shared" si="1"/>
        <v>832997.81907509489</v>
      </c>
      <c r="I18" s="18">
        <f t="shared" si="11"/>
        <v>3677.6945654529577</v>
      </c>
      <c r="J18" s="18">
        <f t="shared" si="2"/>
        <v>827481.27722691547</v>
      </c>
      <c r="K18" s="18">
        <f t="shared" si="3"/>
        <v>3077481.2772269156</v>
      </c>
      <c r="L18" s="18">
        <f t="shared" si="4"/>
        <v>104634.36342571514</v>
      </c>
      <c r="N18" s="237" t="s">
        <v>809</v>
      </c>
      <c r="O18" s="18">
        <v>1742500</v>
      </c>
      <c r="P18" s="1354">
        <v>600502.84805452451</v>
      </c>
      <c r="Q18" s="1353">
        <v>174.25</v>
      </c>
      <c r="R18" s="1359"/>
      <c r="S18" s="238" t="s">
        <v>809</v>
      </c>
      <c r="T18" s="1356">
        <v>70290.085441635732</v>
      </c>
      <c r="U18" s="1357">
        <v>2823.7050105678609</v>
      </c>
      <c r="V18" s="1357">
        <f t="shared" si="5"/>
        <v>67466.380431067868</v>
      </c>
    </row>
    <row r="19" spans="2:22" ht="14.5" hidden="1" x14ac:dyDescent="0.35">
      <c r="C19" s="1358" t="s">
        <v>219</v>
      </c>
      <c r="D19" s="1353">
        <v>166</v>
      </c>
      <c r="E19" s="18">
        <f t="shared" si="0"/>
        <v>1660000</v>
      </c>
      <c r="F19" s="18">
        <f t="shared" si="9"/>
        <v>1487641.8040477117</v>
      </c>
      <c r="G19" s="18">
        <f t="shared" si="10"/>
        <v>92341.581815730024</v>
      </c>
      <c r="H19" s="18">
        <f t="shared" si="1"/>
        <v>1579983.3858634417</v>
      </c>
      <c r="I19" s="18">
        <f t="shared" si="11"/>
        <v>9590.1874710982811</v>
      </c>
      <c r="J19" s="18">
        <f t="shared" si="2"/>
        <v>1591971.1202023146</v>
      </c>
      <c r="K19" s="18">
        <f t="shared" si="3"/>
        <v>3251971.1202023146</v>
      </c>
      <c r="L19" s="18">
        <f t="shared" si="4"/>
        <v>110567.0180868787</v>
      </c>
      <c r="N19" s="237" t="s">
        <v>217</v>
      </c>
      <c r="O19" s="18">
        <v>2265000</v>
      </c>
      <c r="P19" s="1354">
        <v>742764.87288844166</v>
      </c>
      <c r="Q19" s="1353">
        <v>226.5</v>
      </c>
      <c r="R19" s="1359"/>
      <c r="S19" s="238" t="s">
        <v>217</v>
      </c>
      <c r="T19" s="1356">
        <v>90232.946186653251</v>
      </c>
      <c r="U19" s="1357">
        <v>0</v>
      </c>
      <c r="V19" s="1357">
        <f t="shared" si="5"/>
        <v>90232.946186653251</v>
      </c>
    </row>
    <row r="20" spans="2:22" ht="14.5" hidden="1" x14ac:dyDescent="0.35">
      <c r="N20" s="237" t="s">
        <v>219</v>
      </c>
      <c r="O20" s="18">
        <v>1647500</v>
      </c>
      <c r="P20" s="1354">
        <v>1487641.8040477117</v>
      </c>
      <c r="Q20" s="1353">
        <v>164.75</v>
      </c>
      <c r="R20" s="1359"/>
      <c r="S20" s="238" t="s">
        <v>219</v>
      </c>
      <c r="T20" s="1356">
        <v>94054.254121431353</v>
      </c>
      <c r="U20" s="1357">
        <v>1712.672305701333</v>
      </c>
      <c r="V20" s="1357">
        <f t="shared" si="5"/>
        <v>92341.581815730024</v>
      </c>
    </row>
    <row r="21" spans="2:22" hidden="1" x14ac:dyDescent="0.25">
      <c r="D21" s="122">
        <f t="shared" ref="D21:L21" si="12">SUM(D3:D19)</f>
        <v>2128</v>
      </c>
      <c r="E21" s="16">
        <f t="shared" si="12"/>
        <v>21280000</v>
      </c>
      <c r="F21" s="16">
        <f t="shared" si="12"/>
        <v>13567917.127210047</v>
      </c>
      <c r="G21" s="16">
        <f t="shared" si="12"/>
        <v>1014705.6472353199</v>
      </c>
      <c r="H21" s="16">
        <f t="shared" si="12"/>
        <v>14582622.774445366</v>
      </c>
      <c r="I21" s="16">
        <f t="shared" si="12"/>
        <v>130336.58558187934</v>
      </c>
      <c r="J21" s="16">
        <f t="shared" si="12"/>
        <v>14856554.662732458</v>
      </c>
      <c r="K21" s="16">
        <f t="shared" si="12"/>
        <v>36136554.662732467</v>
      </c>
      <c r="L21" s="16">
        <f t="shared" si="12"/>
        <v>1228642.8585329037</v>
      </c>
      <c r="Q21" s="122"/>
      <c r="S21" s="238" t="s">
        <v>1165</v>
      </c>
      <c r="T21" s="1356">
        <v>56066</v>
      </c>
      <c r="U21" s="1357">
        <v>0</v>
      </c>
      <c r="V21" s="1357">
        <f t="shared" si="5"/>
        <v>56066</v>
      </c>
    </row>
    <row r="22" spans="2:22" hidden="1" x14ac:dyDescent="0.25">
      <c r="O22" s="16">
        <f>SUM(O3:O21)</f>
        <v>20870000</v>
      </c>
      <c r="P22" s="16">
        <f>SUM(P3:P21)</f>
        <v>13567917.127210047</v>
      </c>
      <c r="Q22" s="122">
        <v>2087</v>
      </c>
      <c r="S22" s="238" t="s">
        <v>1166</v>
      </c>
      <c r="T22" s="1356">
        <v>41438</v>
      </c>
      <c r="U22" s="1357">
        <v>0</v>
      </c>
      <c r="V22" s="1357">
        <f t="shared" si="5"/>
        <v>41438</v>
      </c>
    </row>
    <row r="23" spans="2:22" hidden="1" x14ac:dyDescent="0.25">
      <c r="S23" s="238" t="s">
        <v>1167</v>
      </c>
      <c r="T23" s="1356">
        <v>41438</v>
      </c>
      <c r="U23" s="1357">
        <v>0</v>
      </c>
      <c r="V23" s="1357">
        <f t="shared" si="5"/>
        <v>41438</v>
      </c>
    </row>
    <row r="24" spans="2:22" hidden="1" x14ac:dyDescent="0.25">
      <c r="S24" s="238" t="s">
        <v>1168</v>
      </c>
      <c r="T24" s="1356">
        <v>41438</v>
      </c>
      <c r="U24" s="1357">
        <v>0</v>
      </c>
      <c r="V24" s="1357">
        <f t="shared" si="5"/>
        <v>41438</v>
      </c>
    </row>
    <row r="25" spans="2:22" hidden="1" x14ac:dyDescent="0.25">
      <c r="S25" s="238" t="s">
        <v>1169</v>
      </c>
      <c r="T25" s="1356">
        <v>41438</v>
      </c>
      <c r="U25" s="1357">
        <v>0</v>
      </c>
      <c r="V25" s="1357">
        <f t="shared" si="5"/>
        <v>41438</v>
      </c>
    </row>
    <row r="26" spans="2:22" ht="13" x14ac:dyDescent="0.25">
      <c r="T26" s="1107">
        <f>SUM(T3:T25)</f>
        <v>1288812.4585806862</v>
      </c>
      <c r="U26" s="1107">
        <f>SUM(U3:U25)</f>
        <v>52288.811345366543</v>
      </c>
      <c r="V26" s="1107">
        <f>SUM(V3:V25)</f>
        <v>1236523.6472353199</v>
      </c>
    </row>
    <row r="27" spans="2:22" ht="14.5" x14ac:dyDescent="0.35">
      <c r="C27" s="1366" t="s">
        <v>1170</v>
      </c>
    </row>
    <row r="29" spans="2:22" ht="72.5" x14ac:dyDescent="0.35">
      <c r="C29" s="1344" t="s">
        <v>183</v>
      </c>
      <c r="D29" s="1345" t="s">
        <v>1152</v>
      </c>
      <c r="E29" s="1345" t="s">
        <v>1153</v>
      </c>
      <c r="F29" s="1345" t="s">
        <v>1154</v>
      </c>
      <c r="G29" s="1345" t="s">
        <v>1171</v>
      </c>
      <c r="H29" s="1345" t="s">
        <v>1155</v>
      </c>
      <c r="I29" s="1345" t="s">
        <v>1156</v>
      </c>
      <c r="J29" s="1345" t="s">
        <v>1157</v>
      </c>
      <c r="K29" s="1345" t="s">
        <v>1172</v>
      </c>
      <c r="L29" s="1345" t="s">
        <v>1173</v>
      </c>
      <c r="M29" s="1346">
        <v>3.4000000000000002E-2</v>
      </c>
      <c r="O29" s="1345" t="s">
        <v>1174</v>
      </c>
      <c r="R29" s="2"/>
    </row>
    <row r="30" spans="2:22" x14ac:dyDescent="0.25">
      <c r="B30" s="238">
        <v>9257010</v>
      </c>
      <c r="C30" s="1352" t="s">
        <v>1164</v>
      </c>
      <c r="D30" s="1353">
        <v>126</v>
      </c>
      <c r="E30" s="18">
        <f t="shared" ref="E30:E46" si="13">((+D30*10000)*5/12)+((O30*10000)*7/12)</f>
        <v>1382500</v>
      </c>
      <c r="F30" s="18">
        <v>906127.43040856393</v>
      </c>
      <c r="G30" s="18"/>
      <c r="H30" s="18">
        <f>T3</f>
        <v>61714.047666331258</v>
      </c>
      <c r="I30" s="18">
        <f t="shared" ref="I30:I46" si="14">SUM(F30:H30)</f>
        <v>967841.47807489522</v>
      </c>
      <c r="J30" s="18">
        <f>+I30/Q3</f>
        <v>8391.689116256317</v>
      </c>
      <c r="K30" s="18">
        <f t="shared" ref="K30:K47" si="15">((+J30*D30)*5/12)+((J30*O30)*7/12)</f>
        <v>1160151.0203224358</v>
      </c>
      <c r="L30" s="18">
        <f t="shared" ref="L30:L47" si="16">+E30+K30</f>
        <v>2542651.0203224355</v>
      </c>
      <c r="M30" s="18">
        <f t="shared" ref="M30:M47" si="17">+L30*3.4%</f>
        <v>86450.134690962819</v>
      </c>
      <c r="O30" s="1353">
        <v>147</v>
      </c>
      <c r="R30" s="2"/>
    </row>
    <row r="31" spans="2:22" x14ac:dyDescent="0.25">
      <c r="B31" s="238">
        <v>9257005</v>
      </c>
      <c r="C31" s="1358" t="s">
        <v>805</v>
      </c>
      <c r="D31" s="1353">
        <v>90</v>
      </c>
      <c r="E31" s="18">
        <f t="shared" si="13"/>
        <v>806666.66666666674</v>
      </c>
      <c r="F31" s="18">
        <v>782784.52055189444</v>
      </c>
      <c r="G31" s="18"/>
      <c r="H31" s="18">
        <f>T4</f>
        <v>50058.53561655683</v>
      </c>
      <c r="I31" s="18">
        <f t="shared" si="14"/>
        <v>832843.05616845132</v>
      </c>
      <c r="J31" s="18">
        <f>+I31/Q4</f>
        <v>9401.8030799825156</v>
      </c>
      <c r="K31" s="18">
        <f t="shared" si="15"/>
        <v>758412.11511858972</v>
      </c>
      <c r="L31" s="18">
        <f t="shared" si="16"/>
        <v>1565078.7817852565</v>
      </c>
      <c r="M31" s="18">
        <f t="shared" si="17"/>
        <v>53212.678580698725</v>
      </c>
      <c r="O31" s="1353">
        <v>74</v>
      </c>
      <c r="R31" s="2"/>
    </row>
    <row r="32" spans="2:22" x14ac:dyDescent="0.25">
      <c r="B32" s="238">
        <v>9257025</v>
      </c>
      <c r="C32" s="1358" t="s">
        <v>806</v>
      </c>
      <c r="D32" s="1353">
        <v>89</v>
      </c>
      <c r="E32" s="18">
        <f t="shared" si="13"/>
        <v>960000</v>
      </c>
      <c r="F32" s="18">
        <v>616293.34814622696</v>
      </c>
      <c r="G32" s="18"/>
      <c r="H32" s="18">
        <f>T5</f>
        <v>43556.364456440686</v>
      </c>
      <c r="I32" s="18">
        <f t="shared" si="14"/>
        <v>659849.71260266763</v>
      </c>
      <c r="J32" s="18">
        <f>+I32/Q5</f>
        <v>7816.5809982546998</v>
      </c>
      <c r="K32" s="18">
        <f t="shared" si="15"/>
        <v>750391.77583245118</v>
      </c>
      <c r="L32" s="18">
        <f t="shared" si="16"/>
        <v>1710391.7758324512</v>
      </c>
      <c r="M32" s="18">
        <f t="shared" si="17"/>
        <v>58153.320378303346</v>
      </c>
      <c r="O32" s="1353">
        <v>101</v>
      </c>
      <c r="R32" s="2"/>
    </row>
    <row r="33" spans="2:18" x14ac:dyDescent="0.25">
      <c r="B33" s="238">
        <v>9257024</v>
      </c>
      <c r="C33" s="1358" t="s">
        <v>807</v>
      </c>
      <c r="D33" s="1353">
        <v>88</v>
      </c>
      <c r="E33" s="18">
        <f t="shared" si="13"/>
        <v>926666.66666666674</v>
      </c>
      <c r="F33" s="18">
        <v>645024.83394405304</v>
      </c>
      <c r="G33" s="18"/>
      <c r="H33" s="18">
        <f t="shared" ref="H33:H38" si="18">T7</f>
        <v>44985.405853811862</v>
      </c>
      <c r="I33" s="18">
        <f t="shared" si="14"/>
        <v>690010.23979786492</v>
      </c>
      <c r="J33" s="18">
        <f t="shared" ref="J33:J43" si="19">+I33/Q7</f>
        <v>7992.3965999752681</v>
      </c>
      <c r="K33" s="18">
        <f t="shared" si="15"/>
        <v>740628.75159770809</v>
      </c>
      <c r="L33" s="18">
        <f t="shared" si="16"/>
        <v>1667295.4182643748</v>
      </c>
      <c r="M33" s="18">
        <f t="shared" si="17"/>
        <v>56688.044220988748</v>
      </c>
      <c r="O33" s="1353">
        <v>96</v>
      </c>
      <c r="R33" s="2"/>
    </row>
    <row r="34" spans="2:18" x14ac:dyDescent="0.25">
      <c r="B34" s="238">
        <v>9257031</v>
      </c>
      <c r="C34" s="1358" t="s">
        <v>557</v>
      </c>
      <c r="D34" s="1353">
        <v>80</v>
      </c>
      <c r="E34" s="18">
        <f t="shared" si="13"/>
        <v>805833.33333333326</v>
      </c>
      <c r="F34" s="18">
        <v>920969.4617848706</v>
      </c>
      <c r="G34" s="18"/>
      <c r="H34" s="18">
        <f t="shared" si="18"/>
        <v>57770.313853546118</v>
      </c>
      <c r="I34" s="18">
        <f t="shared" si="14"/>
        <v>978739.77563841676</v>
      </c>
      <c r="J34" s="18">
        <f t="shared" si="19"/>
        <v>12170.857313638342</v>
      </c>
      <c r="K34" s="18">
        <f t="shared" si="15"/>
        <v>980768.2518573564</v>
      </c>
      <c r="L34" s="18">
        <f t="shared" si="16"/>
        <v>1786601.5851906897</v>
      </c>
      <c r="M34" s="18">
        <f t="shared" si="17"/>
        <v>60744.45389648345</v>
      </c>
      <c r="O34" s="1353">
        <v>81</v>
      </c>
      <c r="R34" s="2"/>
    </row>
    <row r="35" spans="2:18" x14ac:dyDescent="0.25">
      <c r="B35" s="238">
        <v>9257033</v>
      </c>
      <c r="C35" s="1358" t="s">
        <v>816</v>
      </c>
      <c r="D35" s="1353">
        <v>112</v>
      </c>
      <c r="E35" s="18">
        <f t="shared" si="13"/>
        <v>1137500</v>
      </c>
      <c r="F35" s="18">
        <v>461109.21317218104</v>
      </c>
      <c r="G35" s="18"/>
      <c r="H35" s="18">
        <f t="shared" si="18"/>
        <v>45683.276395165434</v>
      </c>
      <c r="I35" s="18">
        <f t="shared" si="14"/>
        <v>506792.48956734646</v>
      </c>
      <c r="J35" s="18">
        <f t="shared" si="19"/>
        <v>4773.5556317175478</v>
      </c>
      <c r="K35" s="18">
        <f t="shared" si="15"/>
        <v>542991.95310787112</v>
      </c>
      <c r="L35" s="18">
        <f t="shared" si="16"/>
        <v>1680491.9531078711</v>
      </c>
      <c r="M35" s="18">
        <f t="shared" si="17"/>
        <v>57136.726405667621</v>
      </c>
      <c r="O35" s="1353">
        <v>115</v>
      </c>
      <c r="R35" s="2"/>
    </row>
    <row r="36" spans="2:18" x14ac:dyDescent="0.25">
      <c r="B36" s="238">
        <v>9257008</v>
      </c>
      <c r="C36" s="1358" t="s">
        <v>340</v>
      </c>
      <c r="D36" s="1353">
        <v>101</v>
      </c>
      <c r="E36" s="18">
        <f t="shared" si="13"/>
        <v>1010000</v>
      </c>
      <c r="F36" s="18">
        <v>467888.47584672458</v>
      </c>
      <c r="G36" s="18"/>
      <c r="H36" s="18">
        <f t="shared" si="18"/>
        <v>44086.654275401736</v>
      </c>
      <c r="I36" s="18">
        <f t="shared" si="14"/>
        <v>511975.13012212631</v>
      </c>
      <c r="J36" s="18">
        <f t="shared" si="19"/>
        <v>5111.2325802541727</v>
      </c>
      <c r="K36" s="18">
        <f t="shared" si="15"/>
        <v>516234.49060567142</v>
      </c>
      <c r="L36" s="18">
        <f t="shared" si="16"/>
        <v>1526234.4906056714</v>
      </c>
      <c r="M36" s="18">
        <f t="shared" si="17"/>
        <v>51891.972680592829</v>
      </c>
      <c r="O36" s="1353">
        <v>101</v>
      </c>
      <c r="R36" s="2"/>
    </row>
    <row r="37" spans="2:18" x14ac:dyDescent="0.25">
      <c r="B37" s="238">
        <v>9257034</v>
      </c>
      <c r="C37" s="1358" t="s">
        <v>817</v>
      </c>
      <c r="D37" s="1353">
        <v>124</v>
      </c>
      <c r="E37" s="18">
        <f t="shared" si="13"/>
        <v>1286666.6666666667</v>
      </c>
      <c r="F37" s="18">
        <v>484497.03719841107</v>
      </c>
      <c r="G37" s="18"/>
      <c r="H37" s="18">
        <f t="shared" si="18"/>
        <v>50164.565082699439</v>
      </c>
      <c r="I37" s="18">
        <f t="shared" si="14"/>
        <v>534661.60228111048</v>
      </c>
      <c r="J37" s="18">
        <f t="shared" si="19"/>
        <v>4376.4933338153651</v>
      </c>
      <c r="K37" s="18">
        <f t="shared" si="15"/>
        <v>563108.80895091034</v>
      </c>
      <c r="L37" s="18">
        <f t="shared" si="16"/>
        <v>1849775.4756175771</v>
      </c>
      <c r="M37" s="18">
        <f t="shared" si="17"/>
        <v>62892.366170997622</v>
      </c>
      <c r="O37" s="1353">
        <v>132</v>
      </c>
      <c r="R37" s="2"/>
    </row>
    <row r="38" spans="2:18" x14ac:dyDescent="0.25">
      <c r="B38" s="238">
        <v>9257002</v>
      </c>
      <c r="C38" s="1358" t="s">
        <v>808</v>
      </c>
      <c r="D38" s="1353">
        <v>159</v>
      </c>
      <c r="E38" s="18">
        <f t="shared" si="13"/>
        <v>1689166.6666666665</v>
      </c>
      <c r="F38" s="18">
        <v>534980.78324114066</v>
      </c>
      <c r="G38" s="18"/>
      <c r="H38" s="18">
        <f t="shared" si="18"/>
        <v>62749.423497234224</v>
      </c>
      <c r="I38" s="18">
        <f t="shared" si="14"/>
        <v>597730.20673837489</v>
      </c>
      <c r="J38" s="18">
        <f t="shared" si="19"/>
        <v>3839.808608597697</v>
      </c>
      <c r="K38" s="18">
        <f t="shared" si="15"/>
        <v>648607.67080229439</v>
      </c>
      <c r="L38" s="18">
        <f t="shared" si="16"/>
        <v>2337774.3374689608</v>
      </c>
      <c r="M38" s="18">
        <f t="shared" si="17"/>
        <v>79484.327473944679</v>
      </c>
      <c r="O38" s="1353">
        <v>176</v>
      </c>
      <c r="R38" s="2"/>
    </row>
    <row r="39" spans="2:18" ht="14.5" x14ac:dyDescent="0.35">
      <c r="B39" s="238">
        <v>9257009</v>
      </c>
      <c r="C39" s="1358" t="s">
        <v>997</v>
      </c>
      <c r="D39" s="1353">
        <v>202</v>
      </c>
      <c r="E39" s="18">
        <f t="shared" si="13"/>
        <v>2078333.3333333335</v>
      </c>
      <c r="F39" s="1367">
        <v>811401.8</v>
      </c>
      <c r="G39" s="18">
        <v>393880</v>
      </c>
      <c r="H39" s="18">
        <f>T6+T13</f>
        <v>94792.864039511041</v>
      </c>
      <c r="I39" s="18">
        <f t="shared" si="14"/>
        <v>1300074.664039511</v>
      </c>
      <c r="J39" s="18">
        <f t="shared" si="19"/>
        <v>9437.9285955681371</v>
      </c>
      <c r="K39" s="18">
        <f t="shared" si="15"/>
        <v>1961516.1597789112</v>
      </c>
      <c r="L39" s="18">
        <f t="shared" si="16"/>
        <v>4039849.4931122446</v>
      </c>
      <c r="M39" s="18">
        <f t="shared" si="17"/>
        <v>137354.88276581632</v>
      </c>
      <c r="O39" s="1353">
        <v>212</v>
      </c>
      <c r="R39" s="2"/>
    </row>
    <row r="40" spans="2:18" x14ac:dyDescent="0.25">
      <c r="B40" s="238">
        <v>9257029</v>
      </c>
      <c r="C40" s="1358" t="s">
        <v>890</v>
      </c>
      <c r="D40" s="1353">
        <v>79</v>
      </c>
      <c r="E40" s="18">
        <f t="shared" si="13"/>
        <v>790000</v>
      </c>
      <c r="F40" s="18">
        <v>888627.89187889441</v>
      </c>
      <c r="G40" s="18"/>
      <c r="H40" s="18">
        <f>T14</f>
        <v>58744.056756366823</v>
      </c>
      <c r="I40" s="18">
        <f t="shared" si="14"/>
        <v>947371.94863526127</v>
      </c>
      <c r="J40" s="18">
        <f t="shared" si="19"/>
        <v>12055.634553152846</v>
      </c>
      <c r="K40" s="18">
        <f t="shared" si="15"/>
        <v>952395.1296990749</v>
      </c>
      <c r="L40" s="18">
        <f t="shared" si="16"/>
        <v>1742395.1296990749</v>
      </c>
      <c r="M40" s="18">
        <f t="shared" si="17"/>
        <v>59241.434409768553</v>
      </c>
      <c r="O40" s="1353">
        <v>79</v>
      </c>
      <c r="R40" s="2"/>
    </row>
    <row r="41" spans="2:18" x14ac:dyDescent="0.25">
      <c r="B41" s="238">
        <v>9257032</v>
      </c>
      <c r="C41" s="1358" t="s">
        <v>813</v>
      </c>
      <c r="D41" s="1353">
        <v>104</v>
      </c>
      <c r="E41" s="18">
        <f t="shared" si="13"/>
        <v>1104166.6666666667</v>
      </c>
      <c r="F41" s="18">
        <v>1025619.1564844754</v>
      </c>
      <c r="G41" s="18">
        <v>174700</v>
      </c>
      <c r="H41" s="18">
        <f>T15</f>
        <v>74763.844694534258</v>
      </c>
      <c r="I41" s="18">
        <f t="shared" si="14"/>
        <v>1275083.0011790097</v>
      </c>
      <c r="J41" s="18">
        <f t="shared" si="19"/>
        <v>12260.413472875092</v>
      </c>
      <c r="K41" s="18">
        <f t="shared" si="15"/>
        <v>1353753.9876299582</v>
      </c>
      <c r="L41" s="18">
        <f t="shared" si="16"/>
        <v>2457920.6542966249</v>
      </c>
      <c r="M41" s="18">
        <f t="shared" si="17"/>
        <v>83569.302246085252</v>
      </c>
      <c r="O41" s="1353">
        <v>115</v>
      </c>
      <c r="R41" s="2"/>
    </row>
    <row r="42" spans="2:18" x14ac:dyDescent="0.25">
      <c r="B42" s="238">
        <v>9257030</v>
      </c>
      <c r="C42" s="1358" t="s">
        <v>815</v>
      </c>
      <c r="D42" s="1353">
        <v>70</v>
      </c>
      <c r="E42" s="18">
        <f t="shared" si="13"/>
        <v>700000</v>
      </c>
      <c r="F42" s="18">
        <v>853316.79185140773</v>
      </c>
      <c r="G42" s="18"/>
      <c r="H42" s="18">
        <f>T16</f>
        <v>56038.214663745282</v>
      </c>
      <c r="I42" s="18">
        <f t="shared" si="14"/>
        <v>909355.00651515299</v>
      </c>
      <c r="J42" s="18">
        <f t="shared" si="19"/>
        <v>12837.9530331551</v>
      </c>
      <c r="K42" s="18">
        <f t="shared" si="15"/>
        <v>898656.71232085698</v>
      </c>
      <c r="L42" s="18">
        <f t="shared" si="16"/>
        <v>1598656.712320857</v>
      </c>
      <c r="M42" s="18">
        <f t="shared" si="17"/>
        <v>54354.328218909141</v>
      </c>
      <c r="O42" s="1353">
        <v>70</v>
      </c>
      <c r="R42" s="2"/>
    </row>
    <row r="43" spans="2:18" x14ac:dyDescent="0.25">
      <c r="B43" s="238">
        <v>9257028</v>
      </c>
      <c r="C43" s="1358" t="s">
        <v>215</v>
      </c>
      <c r="D43" s="1353">
        <v>135</v>
      </c>
      <c r="E43" s="18">
        <f t="shared" si="13"/>
        <v>1385000</v>
      </c>
      <c r="F43" s="18">
        <v>944486.86598736909</v>
      </c>
      <c r="G43" s="18"/>
      <c r="H43" s="18">
        <f>T17</f>
        <v>67309.605979621076</v>
      </c>
      <c r="I43" s="18">
        <f t="shared" si="14"/>
        <v>1011796.4719669902</v>
      </c>
      <c r="J43" s="18">
        <f t="shared" si="19"/>
        <v>7788.0421190531624</v>
      </c>
      <c r="K43" s="18">
        <f t="shared" si="15"/>
        <v>1078643.833488863</v>
      </c>
      <c r="L43" s="18">
        <f t="shared" si="16"/>
        <v>2463643.833488863</v>
      </c>
      <c r="M43" s="18">
        <f t="shared" si="17"/>
        <v>83763.89033862135</v>
      </c>
      <c r="O43" s="1353">
        <v>141</v>
      </c>
      <c r="R43" s="2"/>
    </row>
    <row r="44" spans="2:18" x14ac:dyDescent="0.25">
      <c r="B44" s="238">
        <v>9257021</v>
      </c>
      <c r="C44" s="1358" t="s">
        <v>809</v>
      </c>
      <c r="D44" s="1353">
        <v>178</v>
      </c>
      <c r="E44" s="18">
        <f t="shared" si="13"/>
        <v>1785833.3333333333</v>
      </c>
      <c r="F44" s="18">
        <v>600502.84805452451</v>
      </c>
      <c r="G44" s="18"/>
      <c r="H44" s="18">
        <f t="shared" ref="H44:H46" si="20">T18</f>
        <v>70290.085441635732</v>
      </c>
      <c r="I44" s="18">
        <f t="shared" si="14"/>
        <v>670792.9334961602</v>
      </c>
      <c r="J44" s="18">
        <f t="shared" ref="J44:J46" si="21">+I44/Q18</f>
        <v>3849.6007661185663</v>
      </c>
      <c r="K44" s="18">
        <f t="shared" si="15"/>
        <v>687474.53681600734</v>
      </c>
      <c r="L44" s="18">
        <f t="shared" si="16"/>
        <v>2473307.8701493405</v>
      </c>
      <c r="M44" s="18">
        <f t="shared" si="17"/>
        <v>84092.467585077582</v>
      </c>
      <c r="O44" s="1353">
        <v>179</v>
      </c>
      <c r="R44" s="2"/>
    </row>
    <row r="45" spans="2:18" x14ac:dyDescent="0.25">
      <c r="B45" s="238">
        <v>9257015</v>
      </c>
      <c r="C45" s="1358" t="s">
        <v>217</v>
      </c>
      <c r="D45" s="1353">
        <v>225</v>
      </c>
      <c r="E45" s="18">
        <f t="shared" si="13"/>
        <v>2337500</v>
      </c>
      <c r="F45" s="18">
        <v>742764.87288844166</v>
      </c>
      <c r="G45" s="18"/>
      <c r="H45" s="18">
        <f t="shared" si="20"/>
        <v>90232.946186653251</v>
      </c>
      <c r="I45" s="18">
        <f t="shared" si="14"/>
        <v>832997.81907509489</v>
      </c>
      <c r="J45" s="18">
        <f t="shared" si="21"/>
        <v>3677.6945654529577</v>
      </c>
      <c r="K45" s="18">
        <f t="shared" si="15"/>
        <v>859661.10467462894</v>
      </c>
      <c r="L45" s="18">
        <f t="shared" si="16"/>
        <v>3197161.1046746289</v>
      </c>
      <c r="M45" s="18">
        <f t="shared" si="17"/>
        <v>108703.47755893739</v>
      </c>
      <c r="O45" s="1353">
        <v>240</v>
      </c>
      <c r="R45" s="2"/>
    </row>
    <row r="46" spans="2:18" x14ac:dyDescent="0.25">
      <c r="B46" s="238">
        <v>9257016</v>
      </c>
      <c r="C46" s="1358" t="s">
        <v>219</v>
      </c>
      <c r="D46" s="1353">
        <v>166</v>
      </c>
      <c r="E46" s="18">
        <f t="shared" si="13"/>
        <v>1654166.6666666665</v>
      </c>
      <c r="F46" s="18">
        <v>1487641.8040477117</v>
      </c>
      <c r="G46" s="18"/>
      <c r="H46" s="18">
        <f t="shared" si="20"/>
        <v>94054.254121431353</v>
      </c>
      <c r="I46" s="18">
        <f t="shared" si="14"/>
        <v>1581696.058169143</v>
      </c>
      <c r="J46" s="18">
        <f t="shared" si="21"/>
        <v>9600.583054137438</v>
      </c>
      <c r="K46" s="18">
        <f t="shared" si="15"/>
        <v>1588096.4468719014</v>
      </c>
      <c r="L46" s="18">
        <f t="shared" si="16"/>
        <v>3242263.1135385679</v>
      </c>
      <c r="M46" s="18">
        <f t="shared" si="17"/>
        <v>110236.94586031132</v>
      </c>
      <c r="O46" s="1353">
        <v>165</v>
      </c>
      <c r="R46" s="2"/>
    </row>
    <row r="47" spans="2:18" x14ac:dyDescent="0.25">
      <c r="C47" s="1368" t="s">
        <v>706</v>
      </c>
      <c r="D47" s="1369">
        <v>80</v>
      </c>
      <c r="E47" s="1365">
        <v>800000</v>
      </c>
      <c r="F47" s="1365">
        <v>918080</v>
      </c>
      <c r="G47" s="1365"/>
      <c r="H47" s="1365">
        <f>T21</f>
        <v>56066</v>
      </c>
      <c r="I47" s="1365">
        <f>SUM(F47:H47)</f>
        <v>974146</v>
      </c>
      <c r="J47" s="1365">
        <f>+I47/80</f>
        <v>12176.825000000001</v>
      </c>
      <c r="K47" s="1365">
        <f t="shared" si="15"/>
        <v>974146</v>
      </c>
      <c r="L47" s="1365">
        <f t="shared" si="16"/>
        <v>1774146</v>
      </c>
      <c r="M47" s="1365">
        <f t="shared" si="17"/>
        <v>60320.964000000007</v>
      </c>
      <c r="O47" s="1369">
        <v>80</v>
      </c>
      <c r="R47" s="2"/>
    </row>
    <row r="48" spans="2:18" x14ac:dyDescent="0.25">
      <c r="O48"/>
      <c r="R48" s="2"/>
    </row>
    <row r="49" spans="4:18" x14ac:dyDescent="0.25">
      <c r="D49" s="122">
        <f t="shared" ref="D49:M49" si="22">SUM(D30:D46)</f>
        <v>2128</v>
      </c>
      <c r="E49" s="16">
        <f t="shared" si="22"/>
        <v>21840000</v>
      </c>
      <c r="F49" s="16">
        <f t="shared" si="22"/>
        <v>13174037.13548689</v>
      </c>
      <c r="G49" s="16">
        <f t="shared" si="22"/>
        <v>568580</v>
      </c>
      <c r="H49" s="16">
        <f t="shared" si="22"/>
        <v>1066994.4585806862</v>
      </c>
      <c r="I49" s="16">
        <f t="shared" si="22"/>
        <v>14809611.594067577</v>
      </c>
      <c r="J49" s="16">
        <f t="shared" si="22"/>
        <v>135382.26742200524</v>
      </c>
      <c r="K49" s="16">
        <f t="shared" si="22"/>
        <v>16041492.749475488</v>
      </c>
      <c r="L49" s="16">
        <f t="shared" si="22"/>
        <v>37881492.749475487</v>
      </c>
      <c r="M49" s="16">
        <f t="shared" si="22"/>
        <v>1287970.7534821667</v>
      </c>
      <c r="O49" s="122">
        <f>SUM(O30:O46)</f>
        <v>2224</v>
      </c>
      <c r="R49" s="2"/>
    </row>
    <row r="52" spans="4:18" x14ac:dyDescent="0.25">
      <c r="H52" t="s">
        <v>1175</v>
      </c>
    </row>
  </sheetData>
  <mergeCells count="1">
    <mergeCell ref="N1:Q1"/>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AO129"/>
  <sheetViews>
    <sheetView topLeftCell="A88" workbookViewId="0">
      <pane xSplit="2" topLeftCell="T1" activePane="topRight" state="frozen"/>
      <selection activeCell="A88" sqref="A88"/>
      <selection pane="topRight" activeCell="AB127" sqref="AB127"/>
    </sheetView>
  </sheetViews>
  <sheetFormatPr defaultColWidth="10.26953125" defaultRowHeight="12.5" x14ac:dyDescent="0.25"/>
  <cols>
    <col min="1" max="1" width="9.1796875" style="29" customWidth="1"/>
    <col min="2" max="2" width="26.7265625" style="29" customWidth="1"/>
    <col min="3" max="3" width="6.26953125" style="29" bestFit="1" customWidth="1"/>
    <col min="4" max="5" width="11.26953125" style="29" customWidth="1"/>
    <col min="6" max="6" width="11.1796875" style="29" customWidth="1"/>
    <col min="7" max="8" width="10.26953125" style="29" customWidth="1"/>
    <col min="9" max="9" width="11.54296875" style="30" customWidth="1"/>
    <col min="10" max="10" width="11.1796875" style="30" customWidth="1"/>
    <col min="11" max="11" width="11" style="29" customWidth="1"/>
    <col min="12" max="12" width="11.1796875" style="29" customWidth="1"/>
    <col min="13" max="13" width="11.26953125" style="29" customWidth="1"/>
    <col min="14" max="14" width="10.54296875" style="29" customWidth="1"/>
    <col min="15" max="15" width="12.81640625" style="29" customWidth="1"/>
    <col min="16" max="16" width="11.54296875" style="29" customWidth="1"/>
    <col min="17" max="17" width="11" style="29" customWidth="1"/>
    <col min="18" max="18" width="11.54296875" style="29" customWidth="1"/>
    <col min="19" max="19" width="12.453125" style="29" customWidth="1"/>
    <col min="20" max="20" width="12.26953125" style="29" customWidth="1"/>
    <col min="21" max="22" width="11.26953125" style="29" bestFit="1" customWidth="1"/>
    <col min="23" max="24" width="10.26953125" style="29"/>
    <col min="25" max="25" width="11.1796875" style="29" bestFit="1" customWidth="1"/>
    <col min="26" max="26" width="11.26953125" style="29" bestFit="1" customWidth="1"/>
    <col min="27" max="27" width="11" style="29" customWidth="1"/>
    <col min="28" max="28" width="11.1796875" style="29" customWidth="1"/>
    <col min="29" max="36" width="10.26953125" style="29"/>
    <col min="37" max="37" width="2" style="29" customWidth="1"/>
    <col min="38" max="38" width="11" style="29" customWidth="1"/>
    <col min="39" max="16384" width="10.26953125" style="29"/>
  </cols>
  <sheetData>
    <row r="1" spans="1:27" x14ac:dyDescent="0.25">
      <c r="A1" s="94" t="s">
        <v>230</v>
      </c>
      <c r="B1" s="36"/>
      <c r="C1" s="36"/>
      <c r="D1" s="36"/>
      <c r="E1" s="36"/>
      <c r="F1" s="36"/>
      <c r="G1" s="36"/>
      <c r="H1" s="36"/>
      <c r="I1" s="234"/>
      <c r="J1" s="234"/>
      <c r="K1" s="36"/>
      <c r="L1" s="36"/>
      <c r="M1" s="36"/>
      <c r="N1" s="36"/>
      <c r="O1" s="36"/>
      <c r="P1" s="36"/>
      <c r="Q1" s="36"/>
      <c r="R1" s="36"/>
      <c r="S1" s="1451" t="s">
        <v>231</v>
      </c>
      <c r="T1" s="260"/>
      <c r="U1" s="1454" t="s">
        <v>232</v>
      </c>
      <c r="V1" s="1454"/>
      <c r="W1" s="1454"/>
      <c r="X1" s="36"/>
      <c r="Y1" s="36"/>
      <c r="Z1" s="36"/>
      <c r="AA1" s="36"/>
    </row>
    <row r="2" spans="1:27" ht="13" x14ac:dyDescent="0.3">
      <c r="A2" s="94"/>
      <c r="B2" s="36"/>
      <c r="C2" s="36"/>
      <c r="D2" s="36"/>
      <c r="E2" s="139" t="s">
        <v>233</v>
      </c>
      <c r="F2" s="36"/>
      <c r="G2" s="36"/>
      <c r="H2" s="36"/>
      <c r="I2" s="234"/>
      <c r="J2" s="234"/>
      <c r="K2" s="36"/>
      <c r="L2" s="36"/>
      <c r="M2" s="36"/>
      <c r="N2" s="36"/>
      <c r="O2" s="36"/>
      <c r="P2" s="36"/>
      <c r="Q2" s="36"/>
      <c r="R2" s="36"/>
      <c r="S2" s="1452"/>
      <c r="T2" s="261"/>
      <c r="U2" s="1454" t="s">
        <v>234</v>
      </c>
      <c r="V2" s="1454"/>
      <c r="W2" s="1454"/>
      <c r="X2" s="36"/>
      <c r="Y2" s="36"/>
      <c r="Z2" s="36"/>
      <c r="AA2" s="36"/>
    </row>
    <row r="3" spans="1:27" ht="13" x14ac:dyDescent="0.3">
      <c r="A3" s="93" t="s">
        <v>235</v>
      </c>
      <c r="B3" s="36"/>
      <c r="C3" s="36"/>
      <c r="D3" s="36"/>
      <c r="E3" s="36"/>
      <c r="F3" s="36"/>
      <c r="G3" s="36"/>
      <c r="H3" s="36"/>
      <c r="I3" s="94" t="s">
        <v>236</v>
      </c>
      <c r="J3" s="234"/>
      <c r="K3" s="36"/>
      <c r="L3" s="36"/>
      <c r="M3" s="36"/>
      <c r="N3" s="36"/>
      <c r="O3" s="36"/>
      <c r="P3" s="36"/>
      <c r="Q3" s="36"/>
      <c r="R3" s="36"/>
      <c r="S3" s="1452"/>
      <c r="T3" s="262"/>
      <c r="U3" s="1454" t="s">
        <v>237</v>
      </c>
      <c r="V3" s="1454"/>
      <c r="W3" s="1454"/>
      <c r="X3" s="36"/>
      <c r="Y3" s="36"/>
      <c r="Z3" s="36"/>
      <c r="AA3" s="36"/>
    </row>
    <row r="4" spans="1:27" x14ac:dyDescent="0.25">
      <c r="A4" s="36"/>
      <c r="B4" s="263"/>
      <c r="C4" s="263"/>
      <c r="D4" s="36"/>
      <c r="E4" s="36"/>
      <c r="F4" s="36"/>
      <c r="G4" s="36"/>
      <c r="H4" s="36"/>
      <c r="I4" s="234"/>
      <c r="J4" s="234"/>
      <c r="K4" s="36"/>
      <c r="L4" s="36"/>
      <c r="M4" s="36"/>
      <c r="N4" s="36"/>
      <c r="O4" s="36"/>
      <c r="P4" s="1445" t="s">
        <v>238</v>
      </c>
      <c r="Q4" s="1446"/>
      <c r="R4" s="36"/>
      <c r="S4" s="1453"/>
      <c r="T4" s="264"/>
      <c r="U4" s="1454" t="s">
        <v>239</v>
      </c>
      <c r="V4" s="1454"/>
      <c r="W4" s="1454"/>
      <c r="X4" s="36"/>
      <c r="Y4" s="36"/>
      <c r="Z4" s="36"/>
      <c r="AA4" s="36"/>
    </row>
    <row r="5" spans="1:27" ht="37.5" x14ac:dyDescent="0.25">
      <c r="A5" s="265" t="s">
        <v>182</v>
      </c>
      <c r="B5" s="237" t="s">
        <v>183</v>
      </c>
      <c r="C5" s="238" t="s">
        <v>184</v>
      </c>
      <c r="D5" s="36" t="s">
        <v>240</v>
      </c>
      <c r="E5" s="36" t="s">
        <v>241</v>
      </c>
      <c r="F5" s="36" t="s">
        <v>242</v>
      </c>
      <c r="G5" s="36" t="s">
        <v>243</v>
      </c>
      <c r="H5" s="36" t="s">
        <v>244</v>
      </c>
      <c r="I5" s="243" t="s">
        <v>245</v>
      </c>
      <c r="J5" s="243" t="s">
        <v>246</v>
      </c>
      <c r="K5" s="243" t="s">
        <v>247</v>
      </c>
      <c r="L5" s="243" t="s">
        <v>248</v>
      </c>
      <c r="M5" s="243" t="s">
        <v>249</v>
      </c>
      <c r="N5" s="243" t="s">
        <v>250</v>
      </c>
      <c r="O5" s="243" t="s">
        <v>251</v>
      </c>
      <c r="P5" s="266" t="s">
        <v>252</v>
      </c>
      <c r="Q5" s="266" t="s">
        <v>253</v>
      </c>
      <c r="R5" s="36"/>
      <c r="S5" s="36"/>
      <c r="T5" s="36"/>
      <c r="U5" s="36"/>
      <c r="V5" s="36"/>
      <c r="W5" s="36"/>
      <c r="X5" s="36"/>
      <c r="Y5" s="36"/>
      <c r="Z5" s="36"/>
      <c r="AA5" s="36"/>
    </row>
    <row r="6" spans="1:27" x14ac:dyDescent="0.25">
      <c r="A6" s="244">
        <v>9257010</v>
      </c>
      <c r="B6" s="237" t="s">
        <v>205</v>
      </c>
      <c r="C6" s="267">
        <v>3</v>
      </c>
      <c r="D6" s="268">
        <f>'Revised Band Returns'!F30</f>
        <v>0.40476190476190477</v>
      </c>
      <c r="E6" s="268">
        <f>'Revised Band Returns'!H30</f>
        <v>0.2857142857142857</v>
      </c>
      <c r="F6" s="268">
        <f>'Revised Band Returns'!J30</f>
        <v>0.11904761904761904</v>
      </c>
      <c r="G6" s="268">
        <f>'Revised Band Returns'!L30</f>
        <v>0.11904761904761904</v>
      </c>
      <c r="H6" s="268">
        <f>'Revised Band Returns'!N30</f>
        <v>7.1428571428571425E-2</v>
      </c>
      <c r="I6" s="269">
        <v>0</v>
      </c>
      <c r="J6" s="269">
        <v>34</v>
      </c>
      <c r="K6" s="269">
        <f>SUM(I6:J6)</f>
        <v>34</v>
      </c>
      <c r="L6" s="235">
        <f>((((I6*D6)*$G$92)+((I6*E6)*$G$94)+((I6*F6)*$G$96)+((I6*G6)*$G$98)+((I6*H6)*$G$100)))*(5/12)</f>
        <v>0</v>
      </c>
      <c r="M6" s="235">
        <f>((((J6*D6)*$G$92)+((J6*E6)*$G$94)+((J6*F6)*$G$96)+((J6*G6)*$G$98)+((J6*H6)*$G$100))*(5/12))</f>
        <v>138874.09345745452</v>
      </c>
      <c r="N6" s="235">
        <f>((K6*H6)*$G$102)*(5/12)</f>
        <v>2666.4175068952254</v>
      </c>
      <c r="O6" s="235">
        <f>SUM(L6:N6)</f>
        <v>141540.51096434976</v>
      </c>
      <c r="P6" s="270">
        <f>(K6*(5/12))*10000</f>
        <v>141666.66666666669</v>
      </c>
      <c r="Q6" s="270">
        <f>(VLOOKUP(A6,'2016-17 Funding Detail'!$A$4:$X$23,21,FALSE)*5/12)*K6</f>
        <v>120825.52780985726</v>
      </c>
      <c r="R6" s="235"/>
      <c r="S6" s="235"/>
      <c r="T6" s="235"/>
      <c r="U6" s="295" t="s">
        <v>254</v>
      </c>
      <c r="V6" s="36"/>
      <c r="W6" s="36"/>
      <c r="X6" s="235"/>
      <c r="Y6" s="36"/>
      <c r="Z6" s="36"/>
      <c r="AA6" s="36"/>
    </row>
    <row r="7" spans="1:27" ht="12.75" customHeight="1" x14ac:dyDescent="0.25">
      <c r="A7" s="244">
        <v>9257005</v>
      </c>
      <c r="B7" s="237" t="s">
        <v>208</v>
      </c>
      <c r="C7" s="267">
        <v>4</v>
      </c>
      <c r="D7" s="268">
        <f>'Revised Band Returns'!F31</f>
        <v>0.13157894736842105</v>
      </c>
      <c r="E7" s="268">
        <f>'Revised Band Returns'!H31</f>
        <v>0.35526315789473684</v>
      </c>
      <c r="F7" s="268">
        <f>'Revised Band Returns'!J31</f>
        <v>0.17105263157894737</v>
      </c>
      <c r="G7" s="268">
        <f>'Revised Band Returns'!L31</f>
        <v>0.14473684210526316</v>
      </c>
      <c r="H7" s="268">
        <f>'Revised Band Returns'!N31</f>
        <v>0.19736842105263158</v>
      </c>
      <c r="I7" s="269">
        <v>0</v>
      </c>
      <c r="J7" s="269">
        <v>48</v>
      </c>
      <c r="K7" s="269">
        <f t="shared" ref="K7:K23" si="0">SUM(I7:J7)</f>
        <v>48</v>
      </c>
      <c r="L7" s="235">
        <f t="shared" ref="L7:L23" si="1">((((I7*D7)*$G$92)+((I7*E7)*$G$94)+((I7*F7)*$G$96)+((I7*G7)*$G$98)+((I7*H7)*$G$100)))*(5/12)</f>
        <v>0</v>
      </c>
      <c r="M7" s="235">
        <f t="shared" ref="M7:M23" si="2">((((J7*D7)*$G$92)+((J7*E7)*$G$94)+((J7*F7)*$G$96)+((J7*G7)*$G$98)+((J7*H7)*$G$100))*(5/12))</f>
        <v>184351.3141961919</v>
      </c>
      <c r="N7" s="235">
        <f t="shared" ref="N7:N23" si="3">((K7*H7)*$G$102)*(5/12)</f>
        <v>10401.504825659393</v>
      </c>
      <c r="O7" s="235">
        <f>SUM(L7:N7)</f>
        <v>194752.81902185129</v>
      </c>
      <c r="P7" s="270">
        <f>(K7*(5/12))*10000</f>
        <v>200000</v>
      </c>
      <c r="Q7" s="270">
        <f>(VLOOKUP(A7,'2016-17 Funding Detail'!$A$4:$X$23,21,FALSE)*5/12)*K7</f>
        <v>129223.58389724477</v>
      </c>
      <c r="R7" s="235"/>
      <c r="S7" s="235"/>
      <c r="T7" s="297" t="s">
        <v>207</v>
      </c>
      <c r="U7" s="296" t="s">
        <v>255</v>
      </c>
      <c r="V7" s="36"/>
      <c r="W7" s="36"/>
      <c r="X7" s="235"/>
      <c r="Y7" s="234"/>
      <c r="Z7" s="36"/>
      <c r="AA7" s="36"/>
    </row>
    <row r="8" spans="1:27" ht="12.75" customHeight="1" x14ac:dyDescent="0.25">
      <c r="A8" s="244">
        <v>9257025</v>
      </c>
      <c r="B8" s="237" t="s">
        <v>209</v>
      </c>
      <c r="C8" s="267">
        <v>4</v>
      </c>
      <c r="D8" s="268">
        <f>'Revised Band Returns'!F32</f>
        <v>0.26415094339622641</v>
      </c>
      <c r="E8" s="268">
        <f>'Revised Band Returns'!H32</f>
        <v>0.41509433962264153</v>
      </c>
      <c r="F8" s="268">
        <f>'Revised Band Returns'!J32</f>
        <v>5.6603773584905662E-2</v>
      </c>
      <c r="G8" s="268">
        <f>'Revised Band Returns'!L32</f>
        <v>5.6603773584905662E-2</v>
      </c>
      <c r="H8" s="268">
        <f>'Revised Band Returns'!N32</f>
        <v>0.20754716981132076</v>
      </c>
      <c r="I8" s="269">
        <v>10</v>
      </c>
      <c r="J8" s="269">
        <v>39</v>
      </c>
      <c r="K8" s="269">
        <f t="shared" si="0"/>
        <v>49</v>
      </c>
      <c r="L8" s="235">
        <f t="shared" si="1"/>
        <v>39922.238535953147</v>
      </c>
      <c r="M8" s="235">
        <f t="shared" si="2"/>
        <v>155696.7302902173</v>
      </c>
      <c r="N8" s="235">
        <f t="shared" si="3"/>
        <v>11165.808272492439</v>
      </c>
      <c r="O8" s="235">
        <f t="shared" ref="O8:O23" si="4">SUM(L8:N8)</f>
        <v>206784.77709866286</v>
      </c>
      <c r="P8" s="270">
        <f t="shared" ref="P8:P23" si="5">(K8*(5/12))*10000</f>
        <v>204166.66666666669</v>
      </c>
      <c r="Q8" s="270">
        <f>(VLOOKUP(A8,'2016-17 Funding Detail'!$A$4:$X$23,21,FALSE)*5/12)*K8</f>
        <v>171757.24941422592</v>
      </c>
      <c r="R8" s="235"/>
      <c r="S8" s="235"/>
      <c r="T8" s="297" t="s">
        <v>207</v>
      </c>
      <c r="U8" s="1447" t="s">
        <v>256</v>
      </c>
      <c r="V8" s="1447"/>
      <c r="W8" s="1447"/>
      <c r="X8" s="1447"/>
      <c r="Y8" s="1447"/>
      <c r="Z8" s="1447"/>
      <c r="AA8" s="1447"/>
    </row>
    <row r="9" spans="1:27" x14ac:dyDescent="0.25">
      <c r="A9" s="244">
        <v>9257011</v>
      </c>
      <c r="B9" s="237" t="s">
        <v>210</v>
      </c>
      <c r="C9" s="273">
        <v>4</v>
      </c>
      <c r="D9" s="268">
        <f>'Revised Band Returns'!F33</f>
        <v>0.4</v>
      </c>
      <c r="E9" s="268">
        <f>'Revised Band Returns'!H33</f>
        <v>0.42222222222222222</v>
      </c>
      <c r="F9" s="268">
        <f>'Revised Band Returns'!J33</f>
        <v>0</v>
      </c>
      <c r="G9" s="268">
        <f>'Revised Band Returns'!L33</f>
        <v>2.2222222222222223E-2</v>
      </c>
      <c r="H9" s="268">
        <f>'Revised Band Returns'!N33</f>
        <v>0.15555555555555556</v>
      </c>
      <c r="I9" s="269">
        <v>0</v>
      </c>
      <c r="J9" s="269">
        <v>42</v>
      </c>
      <c r="K9" s="269">
        <f t="shared" si="0"/>
        <v>42</v>
      </c>
      <c r="L9" s="235">
        <f t="shared" si="1"/>
        <v>0</v>
      </c>
      <c r="M9" s="235">
        <f t="shared" si="2"/>
        <v>172528.70194845504</v>
      </c>
      <c r="N9" s="235">
        <f t="shared" si="3"/>
        <v>7173.1859205102928</v>
      </c>
      <c r="O9" s="235">
        <f t="shared" si="4"/>
        <v>179701.88786896534</v>
      </c>
      <c r="P9" s="270">
        <f t="shared" si="5"/>
        <v>175000</v>
      </c>
      <c r="Q9" s="270">
        <f>(VLOOKUP(A9,'2016-17 Funding Detail'!$A$4:$X$23,21,FALSE)*5/12)*K9</f>
        <v>187501.73448959435</v>
      </c>
      <c r="R9" s="235"/>
      <c r="S9" s="235"/>
      <c r="T9" s="297"/>
      <c r="U9" s="1447"/>
      <c r="V9" s="1447"/>
      <c r="W9" s="1447"/>
      <c r="X9" s="1447"/>
      <c r="Y9" s="1447"/>
      <c r="Z9" s="1447"/>
      <c r="AA9" s="1447"/>
    </row>
    <row r="10" spans="1:27" x14ac:dyDescent="0.25">
      <c r="A10" s="244">
        <v>9257024</v>
      </c>
      <c r="B10" s="237" t="s">
        <v>211</v>
      </c>
      <c r="C10" s="267">
        <v>3</v>
      </c>
      <c r="D10" s="268">
        <f>'Revised Band Returns'!F34</f>
        <v>0.2</v>
      </c>
      <c r="E10" s="268">
        <f>'Revised Band Returns'!H34</f>
        <v>0.5636363636363636</v>
      </c>
      <c r="F10" s="268">
        <f>'Revised Band Returns'!J34</f>
        <v>1.8181818181818181E-2</v>
      </c>
      <c r="G10" s="268">
        <f>'Revised Band Returns'!L34</f>
        <v>0.16363636363636364</v>
      </c>
      <c r="H10" s="268">
        <f>'Revised Band Returns'!N34</f>
        <v>5.4545454545454543E-2</v>
      </c>
      <c r="I10" s="269">
        <v>5</v>
      </c>
      <c r="J10" s="269">
        <v>39</v>
      </c>
      <c r="K10" s="269">
        <f t="shared" si="0"/>
        <v>44</v>
      </c>
      <c r="L10" s="235">
        <f t="shared" si="1"/>
        <v>19053.583315273478</v>
      </c>
      <c r="M10" s="235">
        <f t="shared" si="2"/>
        <v>148617.94985913316</v>
      </c>
      <c r="N10" s="235">
        <f t="shared" si="3"/>
        <v>2635.0478891670464</v>
      </c>
      <c r="O10" s="235">
        <f t="shared" si="4"/>
        <v>170306.58106357369</v>
      </c>
      <c r="P10" s="270">
        <f t="shared" si="5"/>
        <v>183333.33333333334</v>
      </c>
      <c r="Q10" s="270">
        <f>(VLOOKUP(A10,'2016-17 Funding Detail'!$A$4:$X$23,21,FALSE)*5/12)*K10</f>
        <v>117336.91985644816</v>
      </c>
      <c r="R10" s="235"/>
      <c r="S10" s="235"/>
      <c r="T10" s="297"/>
      <c r="U10" s="1447"/>
      <c r="V10" s="1447"/>
      <c r="W10" s="1447"/>
      <c r="X10" s="1447"/>
      <c r="Y10" s="1447"/>
      <c r="Z10" s="1447"/>
      <c r="AA10" s="1447"/>
    </row>
    <row r="11" spans="1:27" ht="12.75" customHeight="1" x14ac:dyDescent="0.25">
      <c r="A11" s="244">
        <v>9257031</v>
      </c>
      <c r="B11" s="237" t="s">
        <v>257</v>
      </c>
      <c r="C11" s="273">
        <v>4</v>
      </c>
      <c r="D11" s="268">
        <f>'Revised Band Returns'!F35</f>
        <v>0</v>
      </c>
      <c r="E11" s="268">
        <f>'Revised Band Returns'!H35</f>
        <v>0</v>
      </c>
      <c r="F11" s="268">
        <f>'Revised Band Returns'!J35</f>
        <v>0</v>
      </c>
      <c r="G11" s="268">
        <f>'Revised Band Returns'!L35</f>
        <v>0</v>
      </c>
      <c r="H11" s="268">
        <f>'Revised Band Returns'!N35</f>
        <v>1</v>
      </c>
      <c r="I11" s="269">
        <v>0</v>
      </c>
      <c r="J11" s="269">
        <v>62</v>
      </c>
      <c r="K11" s="269">
        <f t="shared" si="0"/>
        <v>62</v>
      </c>
      <c r="L11" s="235">
        <f t="shared" si="1"/>
        <v>0</v>
      </c>
      <c r="M11" s="235">
        <f t="shared" si="2"/>
        <v>302043.866484167</v>
      </c>
      <c r="N11" s="235">
        <f t="shared" si="3"/>
        <v>68072.070470148697</v>
      </c>
      <c r="O11" s="235">
        <f t="shared" si="4"/>
        <v>370115.93695431569</v>
      </c>
      <c r="P11" s="270">
        <f t="shared" si="5"/>
        <v>258333.33333333334</v>
      </c>
      <c r="Q11" s="270">
        <f>(VLOOKUP(A11,'2016-17 Funding Detail'!$A$4:$X$23,21,FALSE)*5/12)*K11</f>
        <v>281705.48674678168</v>
      </c>
      <c r="R11" s="235"/>
      <c r="S11" s="235"/>
      <c r="T11" s="297"/>
      <c r="U11" s="1447" t="s">
        <v>258</v>
      </c>
      <c r="V11" s="1447"/>
      <c r="W11" s="1447"/>
      <c r="X11" s="1447"/>
      <c r="Y11" s="1447"/>
      <c r="Z11" s="1447"/>
      <c r="AA11" s="1447"/>
    </row>
    <row r="12" spans="1:27" x14ac:dyDescent="0.25">
      <c r="A12" s="244">
        <v>9257033</v>
      </c>
      <c r="B12" s="237" t="s">
        <v>220</v>
      </c>
      <c r="C12" s="267">
        <v>3</v>
      </c>
      <c r="D12" s="268">
        <f>'Revised Band Returns'!F36</f>
        <v>3.6363636363636362E-2</v>
      </c>
      <c r="E12" s="268">
        <f>'Revised Band Returns'!H36</f>
        <v>0.29090909090909089</v>
      </c>
      <c r="F12" s="268">
        <f>'Revised Band Returns'!J36</f>
        <v>0.27272727272727271</v>
      </c>
      <c r="G12" s="268">
        <f>'Revised Band Returns'!L36</f>
        <v>5.4545454545454543E-2</v>
      </c>
      <c r="H12" s="268">
        <f>'Revised Band Returns'!N36</f>
        <v>0.34545454545454546</v>
      </c>
      <c r="I12" s="269">
        <v>10</v>
      </c>
      <c r="J12" s="269">
        <v>50</v>
      </c>
      <c r="K12" s="269">
        <f t="shared" si="0"/>
        <v>60</v>
      </c>
      <c r="L12" s="235">
        <f t="shared" si="1"/>
        <v>37262.62377713446</v>
      </c>
      <c r="M12" s="235">
        <f t="shared" si="2"/>
        <v>186313.11888567227</v>
      </c>
      <c r="N12" s="235">
        <f t="shared" si="3"/>
        <v>22757.231770079037</v>
      </c>
      <c r="O12" s="235">
        <f t="shared" si="4"/>
        <v>246332.97443288576</v>
      </c>
      <c r="P12" s="270">
        <f t="shared" si="5"/>
        <v>250000</v>
      </c>
      <c r="Q12" s="270">
        <f>(VLOOKUP(A12,'2016-17 Funding Detail'!$A$4:$X$23,21,FALSE)*5/12)*K12</f>
        <v>166360.48442786856</v>
      </c>
      <c r="R12" s="235"/>
      <c r="S12" s="235"/>
      <c r="T12" s="297"/>
      <c r="U12" s="1447"/>
      <c r="V12" s="1447"/>
      <c r="W12" s="1447"/>
      <c r="X12" s="1447"/>
      <c r="Y12" s="1447"/>
      <c r="Z12" s="1447"/>
      <c r="AA12" s="1447"/>
    </row>
    <row r="13" spans="1:27" x14ac:dyDescent="0.25">
      <c r="A13" s="244">
        <v>9257008</v>
      </c>
      <c r="B13" s="237" t="s">
        <v>212</v>
      </c>
      <c r="C13" s="267">
        <v>4</v>
      </c>
      <c r="D13" s="268">
        <f>'Revised Band Returns'!F37</f>
        <v>0</v>
      </c>
      <c r="E13" s="268">
        <f>'Revised Band Returns'!H37</f>
        <v>8.2352941176470587E-2</v>
      </c>
      <c r="F13" s="268">
        <f>'Revised Band Returns'!J37</f>
        <v>0.61176470588235299</v>
      </c>
      <c r="G13" s="268">
        <f>'Revised Band Returns'!L37</f>
        <v>2.3529411764705882E-2</v>
      </c>
      <c r="H13" s="268">
        <f>'Revised Band Returns'!N37</f>
        <v>0.28235294117647058</v>
      </c>
      <c r="I13" s="269">
        <v>10</v>
      </c>
      <c r="J13" s="269">
        <v>80</v>
      </c>
      <c r="K13" s="269">
        <f t="shared" si="0"/>
        <v>90</v>
      </c>
      <c r="L13" s="235">
        <f t="shared" si="1"/>
        <v>33339.078620055436</v>
      </c>
      <c r="M13" s="235">
        <f t="shared" si="2"/>
        <v>266712.62896044349</v>
      </c>
      <c r="N13" s="235">
        <f t="shared" si="3"/>
        <v>27900.507061768727</v>
      </c>
      <c r="O13" s="235">
        <f t="shared" si="4"/>
        <v>327952.21464226767</v>
      </c>
      <c r="P13" s="270">
        <f t="shared" si="5"/>
        <v>375000</v>
      </c>
      <c r="Q13" s="270">
        <f>(VLOOKUP(A13,'2016-17 Funding Detail'!$A$4:$X$23,21,FALSE)*5/12)*K13</f>
        <v>166765.61789210769</v>
      </c>
      <c r="R13" s="235"/>
      <c r="S13" s="235"/>
      <c r="T13" s="297"/>
      <c r="U13" s="1447"/>
      <c r="V13" s="1447"/>
      <c r="W13" s="1447"/>
      <c r="X13" s="1447"/>
      <c r="Y13" s="1447"/>
      <c r="Z13" s="1447"/>
      <c r="AA13" s="1447"/>
    </row>
    <row r="14" spans="1:27" x14ac:dyDescent="0.25">
      <c r="A14" s="244">
        <v>9257034</v>
      </c>
      <c r="B14" s="237" t="s">
        <v>221</v>
      </c>
      <c r="C14" s="267">
        <v>5</v>
      </c>
      <c r="D14" s="268">
        <f>'Revised Band Returns'!F38</f>
        <v>7.0866141732283464E-2</v>
      </c>
      <c r="E14" s="268">
        <f>'Revised Band Returns'!H38</f>
        <v>0.16535433070866143</v>
      </c>
      <c r="F14" s="268">
        <f>'Revised Band Returns'!J38</f>
        <v>0.51968503937007871</v>
      </c>
      <c r="G14" s="268">
        <f>'Revised Band Returns'!L38</f>
        <v>3.937007874015748E-2</v>
      </c>
      <c r="H14" s="268">
        <f>'Revised Band Returns'!N38</f>
        <v>0.20472440944881889</v>
      </c>
      <c r="I14" s="269">
        <v>0</v>
      </c>
      <c r="J14" s="269">
        <v>95</v>
      </c>
      <c r="K14" s="269">
        <f t="shared" si="0"/>
        <v>95</v>
      </c>
      <c r="L14" s="235">
        <f t="shared" si="1"/>
        <v>0</v>
      </c>
      <c r="M14" s="235">
        <f t="shared" si="2"/>
        <v>322314.18693984684</v>
      </c>
      <c r="N14" s="235">
        <f t="shared" si="3"/>
        <v>21353.570492921932</v>
      </c>
      <c r="O14" s="235">
        <f t="shared" si="4"/>
        <v>343667.75743276876</v>
      </c>
      <c r="P14" s="270">
        <f t="shared" si="5"/>
        <v>395833.33333333337</v>
      </c>
      <c r="Q14" s="270">
        <f>(VLOOKUP(A14,'2016-17 Funding Detail'!$A$4:$X$23,21,FALSE)*5/12)*K14</f>
        <v>125676.87488977927</v>
      </c>
      <c r="R14" s="235"/>
      <c r="S14" s="235"/>
      <c r="T14" s="297"/>
      <c r="U14" s="1447"/>
      <c r="V14" s="1447"/>
      <c r="W14" s="1447"/>
      <c r="X14" s="1447"/>
      <c r="Y14" s="1447"/>
      <c r="Z14" s="1447"/>
      <c r="AA14" s="1447"/>
    </row>
    <row r="15" spans="1:27" x14ac:dyDescent="0.25">
      <c r="A15" s="244">
        <v>9257002</v>
      </c>
      <c r="B15" s="237" t="s">
        <v>213</v>
      </c>
      <c r="C15" s="273">
        <v>5</v>
      </c>
      <c r="D15" s="268">
        <f>'Revised Band Returns'!F39</f>
        <v>8.4033613445378148E-3</v>
      </c>
      <c r="E15" s="268">
        <f>'Revised Band Returns'!H39</f>
        <v>0.27731092436974791</v>
      </c>
      <c r="F15" s="268">
        <f>'Revised Band Returns'!J39</f>
        <v>0.59663865546218486</v>
      </c>
      <c r="G15" s="268">
        <f>'Revised Band Returns'!L39</f>
        <v>2.5210084033613446E-2</v>
      </c>
      <c r="H15" s="268">
        <f>'Revised Band Returns'!N39</f>
        <v>9.2436974789915971E-2</v>
      </c>
      <c r="I15" s="269">
        <v>0</v>
      </c>
      <c r="J15" s="269">
        <v>122</v>
      </c>
      <c r="K15" s="269">
        <f t="shared" si="0"/>
        <v>122</v>
      </c>
      <c r="L15" s="235">
        <f t="shared" si="1"/>
        <v>0</v>
      </c>
      <c r="M15" s="235">
        <f t="shared" si="2"/>
        <v>367896.39637035807</v>
      </c>
      <c r="N15" s="235">
        <f t="shared" si="3"/>
        <v>12381.772644475408</v>
      </c>
      <c r="O15" s="235">
        <f t="shared" si="4"/>
        <v>380278.16901483346</v>
      </c>
      <c r="P15" s="270">
        <f t="shared" si="5"/>
        <v>508333.33333333337</v>
      </c>
      <c r="Q15" s="270">
        <f>(VLOOKUP(A15,'2016-17 Funding Detail'!$A$4:$X$23,21,FALSE)*5/12)*K15</f>
        <v>99896.027915379411</v>
      </c>
      <c r="R15" s="235"/>
      <c r="S15" s="235"/>
      <c r="T15" s="297"/>
      <c r="U15" s="1447"/>
      <c r="V15" s="1447"/>
      <c r="W15" s="1447"/>
      <c r="X15" s="1447"/>
      <c r="Y15" s="1447"/>
      <c r="Z15" s="1447"/>
      <c r="AA15" s="1447"/>
    </row>
    <row r="16" spans="1:27" x14ac:dyDescent="0.25">
      <c r="A16" s="244">
        <v>9257009</v>
      </c>
      <c r="B16" s="237" t="s">
        <v>214</v>
      </c>
      <c r="C16" s="267">
        <v>4</v>
      </c>
      <c r="D16" s="268">
        <f>'Revised Band Returns'!F40</f>
        <v>0</v>
      </c>
      <c r="E16" s="268">
        <f>'Revised Band Returns'!H40</f>
        <v>0.14615384615384616</v>
      </c>
      <c r="F16" s="268">
        <f>'Revised Band Returns'!J40</f>
        <v>0.7</v>
      </c>
      <c r="G16" s="268">
        <f>'Revised Band Returns'!L40</f>
        <v>1.5384615384615385E-2</v>
      </c>
      <c r="H16" s="268">
        <f>'Revised Band Returns'!N40</f>
        <v>0.13846153846153847</v>
      </c>
      <c r="I16" s="269">
        <v>0</v>
      </c>
      <c r="J16" s="269">
        <v>130</v>
      </c>
      <c r="K16" s="269">
        <f t="shared" si="0"/>
        <v>130</v>
      </c>
      <c r="L16" s="235">
        <f t="shared" si="1"/>
        <v>0</v>
      </c>
      <c r="M16" s="235">
        <f t="shared" si="2"/>
        <v>392363.34941922099</v>
      </c>
      <c r="N16" s="235">
        <f t="shared" si="3"/>
        <v>19762.85916875285</v>
      </c>
      <c r="O16" s="235">
        <f t="shared" si="4"/>
        <v>412126.20858797384</v>
      </c>
      <c r="P16" s="270">
        <f t="shared" si="5"/>
        <v>541666.66666666674</v>
      </c>
      <c r="Q16" s="270">
        <f>(VLOOKUP(A16,'2016-17 Funding Detail'!$A$4:$X$23,21,FALSE)*5/12)*K16</f>
        <v>85141.062354035952</v>
      </c>
      <c r="R16" s="235"/>
      <c r="S16" s="235"/>
      <c r="T16" s="297"/>
      <c r="U16" s="1447"/>
      <c r="V16" s="1447"/>
      <c r="W16" s="1447"/>
      <c r="X16" s="1447"/>
      <c r="Y16" s="1447"/>
      <c r="Z16" s="1447"/>
      <c r="AA16" s="1447"/>
    </row>
    <row r="17" spans="1:24" x14ac:dyDescent="0.25">
      <c r="A17" s="244">
        <v>9257029</v>
      </c>
      <c r="B17" s="237" t="s">
        <v>259</v>
      </c>
      <c r="C17" s="267">
        <v>3</v>
      </c>
      <c r="D17" s="268">
        <f>'Revised Band Returns'!F41</f>
        <v>0</v>
      </c>
      <c r="E17" s="268">
        <f>'Revised Band Returns'!H41</f>
        <v>0</v>
      </c>
      <c r="F17" s="268">
        <f>'Revised Band Returns'!J41</f>
        <v>0</v>
      </c>
      <c r="G17" s="268">
        <f>'Revised Band Returns'!L41</f>
        <v>0</v>
      </c>
      <c r="H17" s="268">
        <f>'Revised Band Returns'!N41</f>
        <v>1</v>
      </c>
      <c r="I17" s="269">
        <v>0</v>
      </c>
      <c r="J17" s="269">
        <v>55</v>
      </c>
      <c r="K17" s="269">
        <f t="shared" si="0"/>
        <v>55</v>
      </c>
      <c r="L17" s="235">
        <f t="shared" si="1"/>
        <v>0</v>
      </c>
      <c r="M17" s="235">
        <f t="shared" si="2"/>
        <v>267942.13962305133</v>
      </c>
      <c r="N17" s="235">
        <f t="shared" si="3"/>
        <v>60386.51412674482</v>
      </c>
      <c r="O17" s="235">
        <f t="shared" si="4"/>
        <v>328328.65374979615</v>
      </c>
      <c r="P17" s="270">
        <f t="shared" si="5"/>
        <v>229166.66666666669</v>
      </c>
      <c r="Q17" s="270">
        <f>(VLOOKUP(A17,'2016-17 Funding Detail'!$A$4:$X$23,21,FALSE)*5/12)*K17</f>
        <v>264376.12200871995</v>
      </c>
      <c r="R17" s="235"/>
      <c r="S17" s="235"/>
      <c r="T17" s="297" t="s">
        <v>207</v>
      </c>
      <c r="U17" s="296" t="s">
        <v>260</v>
      </c>
      <c r="V17" s="36"/>
      <c r="W17" s="36"/>
      <c r="X17" s="235"/>
    </row>
    <row r="18" spans="1:24" x14ac:dyDescent="0.25">
      <c r="A18" s="244">
        <v>9257032</v>
      </c>
      <c r="B18" s="237" t="s">
        <v>261</v>
      </c>
      <c r="C18" s="267">
        <v>4</v>
      </c>
      <c r="D18" s="268">
        <f>'Revised Band Returns'!F42</f>
        <v>0</v>
      </c>
      <c r="E18" s="268">
        <f>'Revised Band Returns'!H42</f>
        <v>0</v>
      </c>
      <c r="F18" s="268">
        <f>'Revised Band Returns'!J42</f>
        <v>0</v>
      </c>
      <c r="G18" s="268">
        <f>'Revised Band Returns'!L42</f>
        <v>0</v>
      </c>
      <c r="H18" s="268">
        <f>'Revised Band Returns'!N42</f>
        <v>1</v>
      </c>
      <c r="I18" s="269">
        <v>0</v>
      </c>
      <c r="J18" s="269">
        <v>60</v>
      </c>
      <c r="K18" s="269">
        <f t="shared" si="0"/>
        <v>60</v>
      </c>
      <c r="L18" s="235">
        <f t="shared" si="1"/>
        <v>0</v>
      </c>
      <c r="M18" s="235">
        <f t="shared" si="2"/>
        <v>292300.51595241966</v>
      </c>
      <c r="N18" s="235">
        <f t="shared" si="3"/>
        <v>65876.197229176163</v>
      </c>
      <c r="O18" s="235">
        <f t="shared" si="4"/>
        <v>358176.71318159584</v>
      </c>
      <c r="P18" s="270">
        <f t="shared" si="5"/>
        <v>250000</v>
      </c>
      <c r="Q18" s="270">
        <f>(VLOOKUP(A18,'2016-17 Funding Detail'!$A$4:$X$23,21,FALSE)*5/12)*K18</f>
        <v>284712.89351964992</v>
      </c>
      <c r="R18" s="235"/>
      <c r="S18" s="235"/>
      <c r="T18" s="235"/>
      <c r="U18" s="36"/>
      <c r="V18" s="36"/>
      <c r="W18" s="36"/>
      <c r="X18" s="235"/>
    </row>
    <row r="19" spans="1:24" x14ac:dyDescent="0.25">
      <c r="A19" s="244">
        <v>9257030</v>
      </c>
      <c r="B19" s="237" t="s">
        <v>262</v>
      </c>
      <c r="C19" s="267">
        <v>4</v>
      </c>
      <c r="D19" s="268">
        <f>'Revised Band Returns'!F43</f>
        <v>0</v>
      </c>
      <c r="E19" s="268">
        <f>'Revised Band Returns'!H43</f>
        <v>0</v>
      </c>
      <c r="F19" s="268">
        <f>'Revised Band Returns'!J43</f>
        <v>0</v>
      </c>
      <c r="G19" s="268">
        <f>'Revised Band Returns'!L43</f>
        <v>0</v>
      </c>
      <c r="H19" s="268">
        <f>'Revised Band Returns'!N43</f>
        <v>1</v>
      </c>
      <c r="I19" s="269">
        <v>0</v>
      </c>
      <c r="J19" s="269">
        <v>60</v>
      </c>
      <c r="K19" s="269">
        <f t="shared" si="0"/>
        <v>60</v>
      </c>
      <c r="L19" s="235">
        <f t="shared" si="1"/>
        <v>0</v>
      </c>
      <c r="M19" s="235">
        <f t="shared" si="2"/>
        <v>292300.51595241966</v>
      </c>
      <c r="N19" s="235">
        <f t="shared" si="3"/>
        <v>65876.197229176163</v>
      </c>
      <c r="O19" s="235">
        <f t="shared" si="4"/>
        <v>358176.71318159584</v>
      </c>
      <c r="P19" s="270">
        <f t="shared" si="5"/>
        <v>250000</v>
      </c>
      <c r="Q19" s="270">
        <f>(VLOOKUP(A19,'2016-17 Funding Detail'!$A$4:$X$23,21,FALSE)*5/12)*K19</f>
        <v>286359.32531585381</v>
      </c>
      <c r="R19" s="235"/>
      <c r="S19" s="235"/>
      <c r="T19" s="235"/>
      <c r="U19" s="36"/>
      <c r="V19" s="36"/>
      <c r="W19" s="36"/>
      <c r="X19" s="235"/>
    </row>
    <row r="20" spans="1:24" x14ac:dyDescent="0.25">
      <c r="A20" s="244">
        <v>9257028</v>
      </c>
      <c r="B20" s="237" t="s">
        <v>215</v>
      </c>
      <c r="C20" s="273">
        <v>5</v>
      </c>
      <c r="D20" s="268">
        <f>'Revised Band Returns'!F44</f>
        <v>0.23943661971830985</v>
      </c>
      <c r="E20" s="268">
        <f>'Revised Band Returns'!H44</f>
        <v>0.3380281690140845</v>
      </c>
      <c r="F20" s="268">
        <f>'Revised Band Returns'!J44</f>
        <v>0</v>
      </c>
      <c r="G20" s="268">
        <f>'Revised Band Returns'!L44</f>
        <v>0.18309859154929578</v>
      </c>
      <c r="H20" s="268">
        <f>'Revised Band Returns'!N44</f>
        <v>0.23943661971830985</v>
      </c>
      <c r="I20" s="1170">
        <v>0</v>
      </c>
      <c r="J20" s="269">
        <v>55</v>
      </c>
      <c r="K20" s="269">
        <f t="shared" si="0"/>
        <v>55</v>
      </c>
      <c r="L20" s="1171">
        <f t="shared" si="1"/>
        <v>0</v>
      </c>
      <c r="M20" s="235">
        <f t="shared" si="2"/>
        <v>234307.86807157795</v>
      </c>
      <c r="N20" s="235">
        <f t="shared" si="3"/>
        <v>14458.742819079744</v>
      </c>
      <c r="O20" s="235">
        <f t="shared" si="4"/>
        <v>248766.6108906577</v>
      </c>
      <c r="P20" s="270">
        <f t="shared" si="5"/>
        <v>229166.66666666669</v>
      </c>
      <c r="Q20" s="270">
        <f>(VLOOKUP(A20,'2016-17 Funding Detail'!$A$4:$X$23,21,FALSE)*5/12)*K20</f>
        <v>198868.04899592698</v>
      </c>
      <c r="R20" s="235"/>
      <c r="S20" s="235"/>
      <c r="T20" s="235"/>
      <c r="U20" s="36"/>
      <c r="V20" s="36"/>
      <c r="W20" s="36"/>
      <c r="X20" s="235"/>
    </row>
    <row r="21" spans="1:24" x14ac:dyDescent="0.25">
      <c r="A21" s="244">
        <v>9257021</v>
      </c>
      <c r="B21" s="237" t="s">
        <v>216</v>
      </c>
      <c r="C21" s="273">
        <v>5</v>
      </c>
      <c r="D21" s="268">
        <f>'Revised Band Returns'!F45</f>
        <v>0</v>
      </c>
      <c r="E21" s="268">
        <f>'Revised Band Returns'!H45</f>
        <v>9.8591549295774641E-2</v>
      </c>
      <c r="F21" s="268">
        <f>'Revised Band Returns'!J45</f>
        <v>0.71830985915492962</v>
      </c>
      <c r="G21" s="268">
        <f>'Revised Band Returns'!L45</f>
        <v>4.2253521126760563E-2</v>
      </c>
      <c r="H21" s="268">
        <f>'Revised Band Returns'!N45</f>
        <v>0.14084507042253522</v>
      </c>
      <c r="I21" s="269">
        <v>0</v>
      </c>
      <c r="J21" s="269">
        <v>141</v>
      </c>
      <c r="K21" s="269">
        <f t="shared" si="0"/>
        <v>141</v>
      </c>
      <c r="L21" s="235">
        <f t="shared" si="1"/>
        <v>0</v>
      </c>
      <c r="M21" s="235">
        <f t="shared" si="2"/>
        <v>431835.01619482733</v>
      </c>
      <c r="N21" s="235">
        <f t="shared" si="3"/>
        <v>21804.093449093518</v>
      </c>
      <c r="O21" s="235">
        <f t="shared" si="4"/>
        <v>453639.10964392085</v>
      </c>
      <c r="P21" s="270">
        <f t="shared" si="5"/>
        <v>587500</v>
      </c>
      <c r="Q21" s="270">
        <f>(VLOOKUP(A21,'2016-17 Funding Detail'!$A$4:$X$23,21,FALSE)*5/12)*K21</f>
        <v>88574.415412085247</v>
      </c>
      <c r="R21" s="235"/>
      <c r="S21" s="235"/>
      <c r="T21" s="235"/>
      <c r="U21" s="36"/>
      <c r="V21" s="36"/>
      <c r="W21" s="36"/>
      <c r="X21" s="235"/>
    </row>
    <row r="22" spans="1:24" x14ac:dyDescent="0.25">
      <c r="A22" s="244">
        <v>9257015</v>
      </c>
      <c r="B22" s="237" t="s">
        <v>217</v>
      </c>
      <c r="C22" s="267">
        <v>6</v>
      </c>
      <c r="D22" s="268">
        <f>'Revised Band Returns'!F46</f>
        <v>6.0483870967741937E-2</v>
      </c>
      <c r="E22" s="268">
        <f>'Revised Band Returns'!H46</f>
        <v>0.22177419354838709</v>
      </c>
      <c r="F22" s="268">
        <f>'Revised Band Returns'!J46</f>
        <v>0.65322580645161288</v>
      </c>
      <c r="G22" s="268">
        <f>'Revised Band Returns'!L46</f>
        <v>0</v>
      </c>
      <c r="H22" s="268">
        <f>'Revised Band Returns'!N46</f>
        <v>6.4516129032258063E-2</v>
      </c>
      <c r="I22" s="269">
        <v>10</v>
      </c>
      <c r="J22" s="269">
        <v>231</v>
      </c>
      <c r="K22" s="269">
        <f>SUM(I22:J22)</f>
        <v>241</v>
      </c>
      <c r="L22" s="235">
        <f t="shared" si="1"/>
        <v>29875.568123471203</v>
      </c>
      <c r="M22" s="235">
        <f t="shared" si="2"/>
        <v>690125.62365218473</v>
      </c>
      <c r="N22" s="235">
        <f t="shared" si="3"/>
        <v>17071.143583044573</v>
      </c>
      <c r="O22" s="235">
        <f t="shared" si="4"/>
        <v>737072.33535870048</v>
      </c>
      <c r="P22" s="270">
        <f t="shared" si="5"/>
        <v>1004166.6666666667</v>
      </c>
      <c r="Q22" s="270">
        <f>(VLOOKUP(A22,'2016-17 Funding Detail'!$A$4:$X$23,21,FALSE)*5/12)*K22</f>
        <v>0</v>
      </c>
      <c r="R22" s="235"/>
      <c r="S22" s="235"/>
      <c r="T22" s="235"/>
      <c r="U22" s="36"/>
      <c r="V22" s="36"/>
      <c r="W22" s="36"/>
      <c r="X22" s="235"/>
    </row>
    <row r="23" spans="1:24" x14ac:dyDescent="0.25">
      <c r="A23" s="244">
        <v>9257016</v>
      </c>
      <c r="B23" s="237" t="s">
        <v>219</v>
      </c>
      <c r="C23" s="274">
        <v>6</v>
      </c>
      <c r="D23" s="268">
        <f>'Revised Band Returns'!F47</f>
        <v>0.50370370370370365</v>
      </c>
      <c r="E23" s="268">
        <f>'Revised Band Returns'!H47</f>
        <v>0</v>
      </c>
      <c r="F23" s="268">
        <f>'Revised Band Returns'!J47</f>
        <v>0.28888888888888886</v>
      </c>
      <c r="G23" s="268">
        <f>'Revised Band Returns'!L47</f>
        <v>0.2074074074074074</v>
      </c>
      <c r="H23" s="268">
        <f>'Revised Band Returns'!N47</f>
        <v>0</v>
      </c>
      <c r="I23" s="269">
        <v>0</v>
      </c>
      <c r="J23" s="269">
        <v>79</v>
      </c>
      <c r="K23" s="269">
        <f t="shared" si="0"/>
        <v>79</v>
      </c>
      <c r="L23" s="235">
        <f t="shared" si="1"/>
        <v>0</v>
      </c>
      <c r="M23" s="235">
        <f t="shared" si="2"/>
        <v>333053.08543802291</v>
      </c>
      <c r="N23" s="235">
        <f t="shared" si="3"/>
        <v>0</v>
      </c>
      <c r="O23" s="235">
        <f t="shared" si="4"/>
        <v>333053.08543802291</v>
      </c>
      <c r="P23" s="270">
        <f t="shared" si="5"/>
        <v>329166.66666666669</v>
      </c>
      <c r="Q23" s="270">
        <f>(VLOOKUP(A23,'2016-17 Funding Detail'!$A$4:$X$23,21,FALSE)*5/12)*K23</f>
        <v>209250.06541000379</v>
      </c>
      <c r="R23" s="299" t="s">
        <v>207</v>
      </c>
      <c r="S23" s="235"/>
      <c r="T23" s="235"/>
      <c r="U23" s="36"/>
      <c r="V23" s="36"/>
      <c r="W23" s="36"/>
      <c r="X23" s="235"/>
    </row>
    <row r="24" spans="1:24" x14ac:dyDescent="0.25">
      <c r="A24" s="249"/>
      <c r="B24" s="36"/>
      <c r="C24" s="234"/>
      <c r="D24" s="299"/>
      <c r="E24" s="268"/>
      <c r="F24" s="268"/>
      <c r="G24" s="268"/>
      <c r="H24" s="299" t="s">
        <v>207</v>
      </c>
      <c r="I24" s="269"/>
      <c r="J24" s="269"/>
      <c r="K24" s="299" t="s">
        <v>207</v>
      </c>
      <c r="L24" s="235"/>
      <c r="M24" s="235"/>
      <c r="N24" s="235"/>
      <c r="O24" s="299" t="s">
        <v>207</v>
      </c>
      <c r="P24" s="269"/>
      <c r="Q24" s="269"/>
      <c r="R24" s="36"/>
      <c r="S24" s="36"/>
      <c r="T24" s="36"/>
      <c r="U24" s="36"/>
      <c r="V24" s="36"/>
      <c r="W24" s="36"/>
      <c r="X24" s="36"/>
    </row>
    <row r="25" spans="1:24" ht="13" x14ac:dyDescent="0.3">
      <c r="A25" s="93" t="s">
        <v>263</v>
      </c>
      <c r="B25" s="36"/>
      <c r="C25" s="234"/>
      <c r="D25" s="268"/>
      <c r="E25" s="268"/>
      <c r="F25" s="268"/>
      <c r="G25" s="268"/>
      <c r="H25" s="268"/>
      <c r="I25" s="269"/>
      <c r="J25" s="269"/>
      <c r="K25" s="269"/>
      <c r="L25" s="235"/>
      <c r="M25" s="235"/>
      <c r="N25" s="235"/>
      <c r="O25" s="235"/>
      <c r="P25" s="269"/>
      <c r="Q25" s="269"/>
      <c r="R25" s="36"/>
      <c r="S25" s="36"/>
      <c r="T25" s="36"/>
      <c r="U25" s="36"/>
      <c r="V25" s="36"/>
      <c r="W25" s="36"/>
      <c r="X25" s="36"/>
    </row>
    <row r="26" spans="1:24" x14ac:dyDescent="0.25">
      <c r="A26" s="249"/>
      <c r="B26" s="36"/>
      <c r="C26" s="234"/>
      <c r="D26" s="268"/>
      <c r="E26" s="268"/>
      <c r="F26" s="268"/>
      <c r="G26" s="268"/>
      <c r="H26" s="268"/>
      <c r="I26" s="94" t="s">
        <v>236</v>
      </c>
      <c r="J26" s="269"/>
      <c r="K26" s="269"/>
      <c r="L26" s="235"/>
      <c r="M26" s="1445" t="s">
        <v>238</v>
      </c>
      <c r="N26" s="1446"/>
      <c r="O26" s="235"/>
      <c r="P26" s="269"/>
      <c r="Q26" s="269"/>
      <c r="R26" s="36"/>
      <c r="S26" s="36"/>
      <c r="T26" s="36"/>
      <c r="U26" s="36"/>
      <c r="V26" s="36"/>
      <c r="W26" s="36"/>
      <c r="X26" s="36"/>
    </row>
    <row r="27" spans="1:24" ht="37.5" x14ac:dyDescent="0.25">
      <c r="A27" s="265" t="s">
        <v>182</v>
      </c>
      <c r="B27" s="237" t="s">
        <v>183</v>
      </c>
      <c r="C27" s="238" t="s">
        <v>184</v>
      </c>
      <c r="D27" s="36" t="s">
        <v>240</v>
      </c>
      <c r="E27" s="36" t="s">
        <v>241</v>
      </c>
      <c r="F27" s="36" t="s">
        <v>242</v>
      </c>
      <c r="G27" s="36" t="s">
        <v>243</v>
      </c>
      <c r="H27" s="36" t="s">
        <v>244</v>
      </c>
      <c r="I27" s="243" t="s">
        <v>264</v>
      </c>
      <c r="J27" s="243" t="s">
        <v>265</v>
      </c>
      <c r="K27" s="243" t="s">
        <v>266</v>
      </c>
      <c r="L27" s="243" t="s">
        <v>265</v>
      </c>
      <c r="M27" s="276" t="s">
        <v>267</v>
      </c>
      <c r="N27" s="243" t="s">
        <v>268</v>
      </c>
      <c r="O27" s="243"/>
      <c r="P27" s="243"/>
      <c r="Q27" s="243"/>
      <c r="R27" s="36"/>
      <c r="S27" s="36"/>
      <c r="T27" s="36"/>
      <c r="U27" s="36"/>
      <c r="V27" s="36"/>
      <c r="W27" s="36"/>
      <c r="X27" s="36"/>
    </row>
    <row r="28" spans="1:24" x14ac:dyDescent="0.25">
      <c r="A28" s="244">
        <v>9257010</v>
      </c>
      <c r="B28" s="237" t="s">
        <v>205</v>
      </c>
      <c r="C28" s="267">
        <v>3</v>
      </c>
      <c r="D28" s="268">
        <f>'Revised Band Returns'!F30</f>
        <v>0.40476190476190477</v>
      </c>
      <c r="E28" s="268">
        <f>'Revised Band Returns'!H30</f>
        <v>0.2857142857142857</v>
      </c>
      <c r="F28" s="268">
        <f>'Revised Band Returns'!J30</f>
        <v>0.11904761904761904</v>
      </c>
      <c r="G28" s="268">
        <f>'Revised Band Returns'!L30</f>
        <v>0.11904761904761904</v>
      </c>
      <c r="H28" s="268">
        <f>'Revised Band Returns'!N30</f>
        <v>7.1428571428571425E-2</v>
      </c>
      <c r="I28" s="269">
        <v>10</v>
      </c>
      <c r="J28" s="235">
        <f>((((I28*D28)*$G$92)+((I28*E28)*$G$94)+((I28*F28)*$G$96)+((I28*G28)*$G$98)+((I28*H28)*$G$100)))*(4/12)</f>
        <v>32676.257284106938</v>
      </c>
      <c r="K28" s="235">
        <f>((I28*H28)*$G$102)*(4/12)</f>
        <v>627.39235456358233</v>
      </c>
      <c r="L28" s="235">
        <f>SUM(J28:K28)</f>
        <v>33303.649638670518</v>
      </c>
      <c r="M28" s="270">
        <f>(I28*(4/12))*10000</f>
        <v>33333.333333333328</v>
      </c>
      <c r="N28" s="270">
        <f>(VLOOKUP(A28,'2016-17 Funding Detail'!$A$4:$X$23,21,FALSE)*4/12)*I28</f>
        <v>28429.53595526053</v>
      </c>
      <c r="O28" s="235"/>
      <c r="P28" s="235"/>
      <c r="Q28" s="235"/>
      <c r="R28" s="235"/>
      <c r="S28" s="235"/>
      <c r="T28" s="297" t="s">
        <v>207</v>
      </c>
      <c r="U28" s="296" t="s">
        <v>269</v>
      </c>
      <c r="V28" s="36"/>
      <c r="W28" s="36"/>
      <c r="X28" s="36"/>
    </row>
    <row r="29" spans="1:24" x14ac:dyDescent="0.25">
      <c r="A29" s="244">
        <v>9257005</v>
      </c>
      <c r="B29" s="237" t="s">
        <v>208</v>
      </c>
      <c r="C29" s="267">
        <v>4</v>
      </c>
      <c r="D29" s="268">
        <f>'Revised Band Returns'!F31</f>
        <v>0.13157894736842105</v>
      </c>
      <c r="E29" s="268">
        <f>'Revised Band Returns'!H31</f>
        <v>0.35526315789473684</v>
      </c>
      <c r="F29" s="268">
        <f>'Revised Band Returns'!J31</f>
        <v>0.17105263157894737</v>
      </c>
      <c r="G29" s="268">
        <f>'Revised Band Returns'!L31</f>
        <v>0.14473684210526316</v>
      </c>
      <c r="H29" s="268">
        <f>'Revised Band Returns'!N31</f>
        <v>0.19736842105263158</v>
      </c>
      <c r="I29" s="269">
        <v>29</v>
      </c>
      <c r="J29" s="235">
        <f t="shared" ref="J29:J45" si="6">((((I29*D29)*$G$92)+((I29*E29)*$G$94)+((I29*F29)*$G$96)+((I29*G29)*$G$98)+((I29*H29)*$G$100)))*(4/12)</f>
        <v>89103.135194826071</v>
      </c>
      <c r="K29" s="235">
        <f t="shared" ref="K29:K45" si="7">((I29*H29)*$G$102)*(4/12)</f>
        <v>5027.3939990687068</v>
      </c>
      <c r="L29" s="235">
        <f>SUM(J29:K29)</f>
        <v>94130.529193894778</v>
      </c>
      <c r="M29" s="270">
        <f>(I29*(4/12))*10000</f>
        <v>96666.666666666657</v>
      </c>
      <c r="N29" s="270">
        <f>(VLOOKUP(A29,'2016-17 Funding Detail'!$A$4:$X$23,21,FALSE)*4/12)*I29</f>
        <v>62458.065550334963</v>
      </c>
      <c r="O29" s="235"/>
      <c r="P29" s="235"/>
      <c r="Q29" s="235"/>
      <c r="R29" s="235"/>
      <c r="S29" s="235"/>
      <c r="T29" s="235"/>
      <c r="U29" s="36"/>
      <c r="V29" s="36"/>
      <c r="W29" s="36"/>
      <c r="X29" s="36"/>
    </row>
    <row r="30" spans="1:24" x14ac:dyDescent="0.25">
      <c r="A30" s="244">
        <v>9257025</v>
      </c>
      <c r="B30" s="237" t="s">
        <v>209</v>
      </c>
      <c r="C30" s="267">
        <v>4</v>
      </c>
      <c r="D30" s="268">
        <f>'Revised Band Returns'!F32</f>
        <v>0.26415094339622641</v>
      </c>
      <c r="E30" s="268">
        <f>'Revised Band Returns'!H32</f>
        <v>0.41509433962264153</v>
      </c>
      <c r="F30" s="268">
        <f>'Revised Band Returns'!J32</f>
        <v>5.6603773584905662E-2</v>
      </c>
      <c r="G30" s="268">
        <f>'Revised Band Returns'!L32</f>
        <v>5.6603773584905662E-2</v>
      </c>
      <c r="H30" s="268">
        <f>'Revised Band Returns'!N32</f>
        <v>0.20754716981132076</v>
      </c>
      <c r="I30" s="269">
        <v>13</v>
      </c>
      <c r="J30" s="235">
        <f t="shared" si="6"/>
        <v>41519.128077391273</v>
      </c>
      <c r="K30" s="235">
        <f t="shared" si="7"/>
        <v>2369.8858374269662</v>
      </c>
      <c r="L30" s="235">
        <f t="shared" ref="L30:L45" si="8">SUM(J30:K30)</f>
        <v>43889.013914818242</v>
      </c>
      <c r="M30" s="270">
        <f t="shared" ref="M30:M45" si="9">(I30*(4/12))*10000</f>
        <v>43333.333333333328</v>
      </c>
      <c r="N30" s="270">
        <f>(VLOOKUP(A30,'2016-17 Funding Detail'!$A$4:$X$23,21,FALSE)*4/12)*I30</f>
        <v>36454.599875672437</v>
      </c>
      <c r="O30" s="235"/>
      <c r="P30" s="235"/>
      <c r="Q30" s="235"/>
      <c r="R30" s="235"/>
      <c r="S30" s="235"/>
      <c r="T30" s="235"/>
      <c r="U30" s="36"/>
      <c r="V30" s="36"/>
      <c r="W30" s="36"/>
      <c r="X30" s="36"/>
    </row>
    <row r="31" spans="1:24" x14ac:dyDescent="0.25">
      <c r="A31" s="244">
        <v>9257011</v>
      </c>
      <c r="B31" s="237" t="s">
        <v>210</v>
      </c>
      <c r="C31" s="273">
        <v>4</v>
      </c>
      <c r="D31" s="268">
        <f>'Revised Band Returns'!F33</f>
        <v>0.4</v>
      </c>
      <c r="E31" s="268">
        <f>'Revised Band Returns'!H33</f>
        <v>0.42222222222222222</v>
      </c>
      <c r="F31" s="268">
        <f>'Revised Band Returns'!J33</f>
        <v>0</v>
      </c>
      <c r="G31" s="268">
        <f>'Revised Band Returns'!L33</f>
        <v>2.2222222222222223E-2</v>
      </c>
      <c r="H31" s="268">
        <f>'Revised Band Returns'!N33</f>
        <v>0.15555555555555556</v>
      </c>
      <c r="I31" s="269">
        <v>3</v>
      </c>
      <c r="J31" s="235">
        <f t="shared" si="6"/>
        <v>9858.7829684831449</v>
      </c>
      <c r="K31" s="235">
        <f t="shared" si="7"/>
        <v>409.8963383148739</v>
      </c>
      <c r="L31" s="235">
        <f t="shared" si="8"/>
        <v>10268.679306798018</v>
      </c>
      <c r="M31" s="270">
        <f t="shared" si="9"/>
        <v>10000</v>
      </c>
      <c r="N31" s="270">
        <f>(VLOOKUP(A31,'2016-17 Funding Detail'!$A$4:$X$23,21,FALSE)*4/12)*I31</f>
        <v>10714.384827976821</v>
      </c>
      <c r="O31" s="235"/>
      <c r="P31" s="235"/>
      <c r="Q31" s="235"/>
      <c r="R31" s="235"/>
      <c r="S31" s="235"/>
      <c r="T31" s="235"/>
      <c r="U31" s="36"/>
      <c r="V31" s="36"/>
      <c r="W31" s="36"/>
      <c r="X31" s="36"/>
    </row>
    <row r="32" spans="1:24" x14ac:dyDescent="0.25">
      <c r="A32" s="244">
        <v>9257024</v>
      </c>
      <c r="B32" s="237" t="s">
        <v>211</v>
      </c>
      <c r="C32" s="267">
        <v>3</v>
      </c>
      <c r="D32" s="268">
        <f>'Revised Band Returns'!F34</f>
        <v>0.2</v>
      </c>
      <c r="E32" s="268">
        <f>'Revised Band Returns'!H34</f>
        <v>0.5636363636363636</v>
      </c>
      <c r="F32" s="268">
        <f>'Revised Band Returns'!J34</f>
        <v>1.8181818181818181E-2</v>
      </c>
      <c r="G32" s="268">
        <f>'Revised Band Returns'!L34</f>
        <v>0.16363636363636364</v>
      </c>
      <c r="H32" s="268">
        <f>'Revised Band Returns'!N34</f>
        <v>5.4545454545454543E-2</v>
      </c>
      <c r="I32" s="269">
        <v>13</v>
      </c>
      <c r="J32" s="235">
        <f t="shared" si="6"/>
        <v>39631.453295768835</v>
      </c>
      <c r="K32" s="235">
        <f t="shared" si="7"/>
        <v>622.82950107584725</v>
      </c>
      <c r="L32" s="235">
        <f t="shared" si="8"/>
        <v>40254.28279684468</v>
      </c>
      <c r="M32" s="270">
        <f t="shared" si="9"/>
        <v>43333.333333333328</v>
      </c>
      <c r="N32" s="270">
        <f>(VLOOKUP(A32,'2016-17 Funding Detail'!$A$4:$X$23,21,FALSE)*4/12)*I32</f>
        <v>27734.181056978658</v>
      </c>
      <c r="O32" s="235"/>
      <c r="P32" s="235"/>
      <c r="Q32" s="235"/>
      <c r="R32" s="235"/>
      <c r="S32" s="235"/>
      <c r="T32" s="235"/>
      <c r="U32" s="36"/>
      <c r="V32" s="36"/>
      <c r="W32" s="36"/>
      <c r="X32" s="36"/>
    </row>
    <row r="33" spans="1:20" x14ac:dyDescent="0.25">
      <c r="A33" s="244">
        <v>9257031</v>
      </c>
      <c r="B33" s="237" t="s">
        <v>257</v>
      </c>
      <c r="C33" s="273">
        <v>4</v>
      </c>
      <c r="D33" s="268">
        <f>'Revised Band Returns'!F35</f>
        <v>0</v>
      </c>
      <c r="E33" s="268">
        <f>'Revised Band Returns'!H35</f>
        <v>0</v>
      </c>
      <c r="F33" s="268">
        <f>'Revised Band Returns'!J35</f>
        <v>0</v>
      </c>
      <c r="G33" s="268">
        <f>'Revised Band Returns'!L35</f>
        <v>0</v>
      </c>
      <c r="H33" s="268">
        <f>'Revised Band Returns'!N35</f>
        <v>1</v>
      </c>
      <c r="I33" s="269">
        <v>0</v>
      </c>
      <c r="J33" s="235">
        <f t="shared" si="6"/>
        <v>0</v>
      </c>
      <c r="K33" s="235">
        <f t="shared" si="7"/>
        <v>0</v>
      </c>
      <c r="L33" s="235">
        <f t="shared" si="8"/>
        <v>0</v>
      </c>
      <c r="M33" s="270">
        <f t="shared" si="9"/>
        <v>0</v>
      </c>
      <c r="N33" s="270">
        <f>(VLOOKUP(A33,'2016-17 Funding Detail'!$A$4:$X$23,21,FALSE)*4/12)*I33</f>
        <v>0</v>
      </c>
      <c r="O33" s="235"/>
      <c r="P33" s="235"/>
      <c r="Q33" s="235"/>
      <c r="R33" s="235"/>
      <c r="S33" s="235"/>
      <c r="T33" s="235"/>
    </row>
    <row r="34" spans="1:20" x14ac:dyDescent="0.25">
      <c r="A34" s="244">
        <v>9257033</v>
      </c>
      <c r="B34" s="237" t="s">
        <v>220</v>
      </c>
      <c r="C34" s="267">
        <v>3</v>
      </c>
      <c r="D34" s="268">
        <f>'Revised Band Returns'!F36</f>
        <v>3.6363636363636362E-2</v>
      </c>
      <c r="E34" s="268">
        <f>'Revised Band Returns'!H36</f>
        <v>0.29090909090909089</v>
      </c>
      <c r="F34" s="268">
        <f>'Revised Band Returns'!J36</f>
        <v>0.27272727272727271</v>
      </c>
      <c r="G34" s="268">
        <f>'Revised Band Returns'!L36</f>
        <v>5.4545454545454543E-2</v>
      </c>
      <c r="H34" s="268">
        <f>'Revised Band Returns'!N36</f>
        <v>0.34545454545454546</v>
      </c>
      <c r="I34" s="269">
        <v>0</v>
      </c>
      <c r="J34" s="235">
        <f t="shared" si="6"/>
        <v>0</v>
      </c>
      <c r="K34" s="235">
        <f t="shared" si="7"/>
        <v>0</v>
      </c>
      <c r="L34" s="235">
        <f t="shared" si="8"/>
        <v>0</v>
      </c>
      <c r="M34" s="270">
        <f t="shared" si="9"/>
        <v>0</v>
      </c>
      <c r="N34" s="270">
        <f>(VLOOKUP(A34,'2016-17 Funding Detail'!$A$4:$X$23,21,FALSE)*4/12)*I34</f>
        <v>0</v>
      </c>
      <c r="O34" s="235"/>
      <c r="P34" s="235"/>
      <c r="Q34" s="235"/>
      <c r="R34" s="235"/>
      <c r="S34" s="235"/>
      <c r="T34" s="235"/>
    </row>
    <row r="35" spans="1:20" x14ac:dyDescent="0.25">
      <c r="A35" s="244">
        <v>9257008</v>
      </c>
      <c r="B35" s="237" t="s">
        <v>212</v>
      </c>
      <c r="C35" s="267">
        <v>4</v>
      </c>
      <c r="D35" s="268">
        <f>'Revised Band Returns'!F37</f>
        <v>0</v>
      </c>
      <c r="E35" s="268">
        <f>'Revised Band Returns'!H37</f>
        <v>8.2352941176470587E-2</v>
      </c>
      <c r="F35" s="268">
        <f>'Revised Band Returns'!J37</f>
        <v>0.61176470588235299</v>
      </c>
      <c r="G35" s="268">
        <f>'Revised Band Returns'!L37</f>
        <v>2.3529411764705882E-2</v>
      </c>
      <c r="H35" s="268">
        <f>'Revised Band Returns'!N37</f>
        <v>0.28235294117647058</v>
      </c>
      <c r="I35" s="269">
        <v>0</v>
      </c>
      <c r="J35" s="235">
        <f t="shared" si="6"/>
        <v>0</v>
      </c>
      <c r="K35" s="235">
        <f t="shared" si="7"/>
        <v>0</v>
      </c>
      <c r="L35" s="235">
        <f t="shared" si="8"/>
        <v>0</v>
      </c>
      <c r="M35" s="270">
        <f t="shared" si="9"/>
        <v>0</v>
      </c>
      <c r="N35" s="270">
        <f>(VLOOKUP(A35,'2016-17 Funding Detail'!$A$4:$X$23,21,FALSE)*4/12)*I35</f>
        <v>0</v>
      </c>
      <c r="O35" s="235"/>
      <c r="P35" s="235"/>
      <c r="Q35" s="235"/>
      <c r="R35" s="235"/>
      <c r="S35" s="235"/>
      <c r="T35" s="235"/>
    </row>
    <row r="36" spans="1:20" x14ac:dyDescent="0.25">
      <c r="A36" s="244">
        <v>9257034</v>
      </c>
      <c r="B36" s="237" t="s">
        <v>221</v>
      </c>
      <c r="C36" s="267">
        <v>5</v>
      </c>
      <c r="D36" s="268">
        <f>'Revised Band Returns'!F38</f>
        <v>7.0866141732283464E-2</v>
      </c>
      <c r="E36" s="268">
        <f>'Revised Band Returns'!H38</f>
        <v>0.16535433070866143</v>
      </c>
      <c r="F36" s="268">
        <f>'Revised Band Returns'!J38</f>
        <v>0.51968503937007871</v>
      </c>
      <c r="G36" s="268">
        <f>'Revised Band Returns'!L38</f>
        <v>3.937007874015748E-2</v>
      </c>
      <c r="H36" s="268">
        <f>'Revised Band Returns'!N38</f>
        <v>0.20472440944881889</v>
      </c>
      <c r="I36" s="269">
        <v>32</v>
      </c>
      <c r="J36" s="235">
        <f t="shared" si="6"/>
        <v>86855.19142800082</v>
      </c>
      <c r="K36" s="235">
        <f t="shared" si="7"/>
        <v>5754.2253117768569</v>
      </c>
      <c r="L36" s="235">
        <f t="shared" si="8"/>
        <v>92609.416739777676</v>
      </c>
      <c r="M36" s="270">
        <f t="shared" si="9"/>
        <v>106666.66666666666</v>
      </c>
      <c r="N36" s="270">
        <f>(VLOOKUP(A36,'2016-17 Funding Detail'!$A$4:$X$23,21,FALSE)*4/12)*I36</f>
        <v>33866.610496614208</v>
      </c>
      <c r="O36" s="235"/>
      <c r="P36" s="235"/>
      <c r="Q36" s="235"/>
      <c r="R36" s="235"/>
      <c r="S36" s="235"/>
      <c r="T36" s="235"/>
    </row>
    <row r="37" spans="1:20" x14ac:dyDescent="0.25">
      <c r="A37" s="244">
        <v>9257002</v>
      </c>
      <c r="B37" s="237" t="s">
        <v>213</v>
      </c>
      <c r="C37" s="273">
        <v>5</v>
      </c>
      <c r="D37" s="268">
        <f>'Revised Band Returns'!F39</f>
        <v>8.4033613445378148E-3</v>
      </c>
      <c r="E37" s="268">
        <f>'Revised Band Returns'!H39</f>
        <v>0.27731092436974791</v>
      </c>
      <c r="F37" s="268">
        <f>'Revised Band Returns'!J39</f>
        <v>0.59663865546218486</v>
      </c>
      <c r="G37" s="268">
        <f>'Revised Band Returns'!L39</f>
        <v>2.5210084033613446E-2</v>
      </c>
      <c r="H37" s="268">
        <f>'Revised Band Returns'!N39</f>
        <v>9.2436974789915971E-2</v>
      </c>
      <c r="I37" s="269">
        <v>0</v>
      </c>
      <c r="J37" s="235">
        <f t="shared" si="6"/>
        <v>0</v>
      </c>
      <c r="K37" s="235">
        <f t="shared" si="7"/>
        <v>0</v>
      </c>
      <c r="L37" s="235">
        <f t="shared" si="8"/>
        <v>0</v>
      </c>
      <c r="M37" s="270">
        <f t="shared" si="9"/>
        <v>0</v>
      </c>
      <c r="N37" s="270">
        <f>(VLOOKUP(A37,'2016-17 Funding Detail'!$A$4:$X$23,21,FALSE)*4/12)*I37</f>
        <v>0</v>
      </c>
      <c r="O37" s="235"/>
      <c r="P37" s="235"/>
      <c r="Q37" s="235"/>
      <c r="R37" s="235"/>
      <c r="S37" s="235"/>
      <c r="T37" s="235"/>
    </row>
    <row r="38" spans="1:20" x14ac:dyDescent="0.25">
      <c r="A38" s="244">
        <v>9257009</v>
      </c>
      <c r="B38" s="237" t="s">
        <v>214</v>
      </c>
      <c r="C38" s="267">
        <v>4</v>
      </c>
      <c r="D38" s="268">
        <f>'Revised Band Returns'!F40</f>
        <v>0</v>
      </c>
      <c r="E38" s="268">
        <f>'Revised Band Returns'!H40</f>
        <v>0.14615384615384616</v>
      </c>
      <c r="F38" s="268">
        <f>'Revised Band Returns'!J40</f>
        <v>0.7</v>
      </c>
      <c r="G38" s="268">
        <f>'Revised Band Returns'!L40</f>
        <v>1.5384615384615385E-2</v>
      </c>
      <c r="H38" s="268">
        <f>'Revised Band Returns'!N40</f>
        <v>0.13846153846153847</v>
      </c>
      <c r="I38" s="269">
        <v>0</v>
      </c>
      <c r="J38" s="235">
        <f t="shared" si="6"/>
        <v>0</v>
      </c>
      <c r="K38" s="235">
        <f t="shared" si="7"/>
        <v>0</v>
      </c>
      <c r="L38" s="235">
        <f t="shared" si="8"/>
        <v>0</v>
      </c>
      <c r="M38" s="270">
        <f t="shared" si="9"/>
        <v>0</v>
      </c>
      <c r="N38" s="270">
        <f>(VLOOKUP(A38,'2016-17 Funding Detail'!$A$4:$X$23,21,FALSE)*4/12)*I38</f>
        <v>0</v>
      </c>
      <c r="O38" s="235"/>
      <c r="P38" s="235"/>
      <c r="Q38" s="235"/>
      <c r="R38" s="235"/>
      <c r="S38" s="235"/>
      <c r="T38" s="235"/>
    </row>
    <row r="39" spans="1:20" x14ac:dyDescent="0.25">
      <c r="A39" s="244">
        <v>9257029</v>
      </c>
      <c r="B39" s="237" t="s">
        <v>259</v>
      </c>
      <c r="C39" s="267">
        <v>3</v>
      </c>
      <c r="D39" s="268">
        <f>'Revised Band Returns'!F41</f>
        <v>0</v>
      </c>
      <c r="E39" s="268">
        <f>'Revised Band Returns'!H41</f>
        <v>0</v>
      </c>
      <c r="F39" s="268">
        <f>'Revised Band Returns'!J41</f>
        <v>0</v>
      </c>
      <c r="G39" s="268">
        <f>'Revised Band Returns'!L41</f>
        <v>0</v>
      </c>
      <c r="H39" s="268">
        <f>'Revised Band Returns'!N41</f>
        <v>1</v>
      </c>
      <c r="I39" s="269">
        <v>0</v>
      </c>
      <c r="J39" s="235">
        <f t="shared" si="6"/>
        <v>0</v>
      </c>
      <c r="K39" s="235">
        <f t="shared" si="7"/>
        <v>0</v>
      </c>
      <c r="L39" s="235">
        <f t="shared" si="8"/>
        <v>0</v>
      </c>
      <c r="M39" s="270">
        <f t="shared" si="9"/>
        <v>0</v>
      </c>
      <c r="N39" s="270">
        <f>(VLOOKUP(A39,'2016-17 Funding Detail'!$A$4:$X$23,21,FALSE)*4/12)*I39</f>
        <v>0</v>
      </c>
      <c r="O39" s="235"/>
      <c r="P39" s="235"/>
      <c r="Q39" s="235"/>
      <c r="R39" s="235"/>
      <c r="S39" s="235"/>
      <c r="T39" s="235"/>
    </row>
    <row r="40" spans="1:20" x14ac:dyDescent="0.25">
      <c r="A40" s="244">
        <v>9257032</v>
      </c>
      <c r="B40" s="237" t="s">
        <v>261</v>
      </c>
      <c r="C40" s="267">
        <v>4</v>
      </c>
      <c r="D40" s="268">
        <f>'Revised Band Returns'!F42</f>
        <v>0</v>
      </c>
      <c r="E40" s="268">
        <f>'Revised Band Returns'!H42</f>
        <v>0</v>
      </c>
      <c r="F40" s="268">
        <f>'Revised Band Returns'!J42</f>
        <v>0</v>
      </c>
      <c r="G40" s="268">
        <f>'Revised Band Returns'!L42</f>
        <v>0</v>
      </c>
      <c r="H40" s="268">
        <f>'Revised Band Returns'!N42</f>
        <v>1</v>
      </c>
      <c r="I40" s="269">
        <v>0</v>
      </c>
      <c r="J40" s="235">
        <f t="shared" si="6"/>
        <v>0</v>
      </c>
      <c r="K40" s="235">
        <f t="shared" si="7"/>
        <v>0</v>
      </c>
      <c r="L40" s="235">
        <f t="shared" si="8"/>
        <v>0</v>
      </c>
      <c r="M40" s="270">
        <f t="shared" si="9"/>
        <v>0</v>
      </c>
      <c r="N40" s="270">
        <f>(VLOOKUP(A40,'2016-17 Funding Detail'!$A$4:$X$23,21,FALSE)*4/12)*I40</f>
        <v>0</v>
      </c>
      <c r="O40" s="235"/>
      <c r="P40" s="235"/>
      <c r="Q40" s="235"/>
      <c r="R40" s="235"/>
      <c r="S40" s="235"/>
      <c r="T40" s="235"/>
    </row>
    <row r="41" spans="1:20" x14ac:dyDescent="0.25">
      <c r="A41" s="244">
        <v>9257030</v>
      </c>
      <c r="B41" s="237" t="s">
        <v>262</v>
      </c>
      <c r="C41" s="267">
        <v>4</v>
      </c>
      <c r="D41" s="268">
        <f>'Revised Band Returns'!F43</f>
        <v>0</v>
      </c>
      <c r="E41" s="268">
        <f>'Revised Band Returns'!H43</f>
        <v>0</v>
      </c>
      <c r="F41" s="268">
        <f>'Revised Band Returns'!J43</f>
        <v>0</v>
      </c>
      <c r="G41" s="268">
        <f>'Revised Band Returns'!L43</f>
        <v>0</v>
      </c>
      <c r="H41" s="268">
        <f>'Revised Band Returns'!N43</f>
        <v>1</v>
      </c>
      <c r="I41" s="269">
        <v>0</v>
      </c>
      <c r="J41" s="235">
        <f t="shared" si="6"/>
        <v>0</v>
      </c>
      <c r="K41" s="235">
        <f t="shared" si="7"/>
        <v>0</v>
      </c>
      <c r="L41" s="235">
        <f t="shared" si="8"/>
        <v>0</v>
      </c>
      <c r="M41" s="270">
        <f t="shared" si="9"/>
        <v>0</v>
      </c>
      <c r="N41" s="270">
        <f>(VLOOKUP(A41,'2016-17 Funding Detail'!$A$4:$X$23,21,FALSE)*4/12)*I41</f>
        <v>0</v>
      </c>
      <c r="O41" s="235"/>
      <c r="P41" s="235"/>
      <c r="Q41" s="235"/>
      <c r="R41" s="235"/>
      <c r="S41" s="235"/>
      <c r="T41" s="235"/>
    </row>
    <row r="42" spans="1:20" x14ac:dyDescent="0.25">
      <c r="A42" s="244">
        <v>9257028</v>
      </c>
      <c r="B42" s="237" t="s">
        <v>215</v>
      </c>
      <c r="C42" s="273">
        <v>5</v>
      </c>
      <c r="D42" s="268">
        <f>'Revised Band Returns'!F44</f>
        <v>0.23943661971830985</v>
      </c>
      <c r="E42" s="268">
        <f>'Revised Band Returns'!H44</f>
        <v>0.3380281690140845</v>
      </c>
      <c r="F42" s="268">
        <f>'Revised Band Returns'!J44</f>
        <v>0</v>
      </c>
      <c r="G42" s="268">
        <f>'Revised Band Returns'!L44</f>
        <v>0.18309859154929578</v>
      </c>
      <c r="H42" s="268">
        <f>'Revised Band Returns'!N44</f>
        <v>0.23943661971830985</v>
      </c>
      <c r="I42" s="269">
        <v>16</v>
      </c>
      <c r="J42" s="235">
        <f t="shared" si="6"/>
        <v>54529.831114839952</v>
      </c>
      <c r="K42" s="235">
        <f t="shared" si="7"/>
        <v>3364.9437833494671</v>
      </c>
      <c r="L42" s="235">
        <f t="shared" si="8"/>
        <v>57894.774898189418</v>
      </c>
      <c r="M42" s="270">
        <f t="shared" si="9"/>
        <v>53333.333333333328</v>
      </c>
      <c r="N42" s="270">
        <f>(VLOOKUP(A42,'2016-17 Funding Detail'!$A$4:$X$23,21,FALSE)*4/12)*I42</f>
        <v>46282.01867541574</v>
      </c>
      <c r="O42" s="235"/>
      <c r="P42" s="235"/>
      <c r="Q42" s="235"/>
      <c r="R42" s="235"/>
      <c r="S42" s="235"/>
      <c r="T42" s="235"/>
    </row>
    <row r="43" spans="1:20" x14ac:dyDescent="0.25">
      <c r="A43" s="244">
        <v>9257021</v>
      </c>
      <c r="B43" s="237" t="s">
        <v>216</v>
      </c>
      <c r="C43" s="273">
        <v>5</v>
      </c>
      <c r="D43" s="268">
        <f>'Revised Band Returns'!F45</f>
        <v>0</v>
      </c>
      <c r="E43" s="268">
        <f>'Revised Band Returns'!H45</f>
        <v>9.8591549295774641E-2</v>
      </c>
      <c r="F43" s="268">
        <f>'Revised Band Returns'!J45</f>
        <v>0.71830985915492962</v>
      </c>
      <c r="G43" s="268">
        <f>'Revised Band Returns'!L45</f>
        <v>4.2253521126760563E-2</v>
      </c>
      <c r="H43" s="268">
        <f>'Revised Band Returns'!N45</f>
        <v>0.14084507042253522</v>
      </c>
      <c r="I43" s="269">
        <v>0</v>
      </c>
      <c r="J43" s="235">
        <f t="shared" si="6"/>
        <v>0</v>
      </c>
      <c r="K43" s="235">
        <f t="shared" si="7"/>
        <v>0</v>
      </c>
      <c r="L43" s="235">
        <f t="shared" si="8"/>
        <v>0</v>
      </c>
      <c r="M43" s="270">
        <f t="shared" si="9"/>
        <v>0</v>
      </c>
      <c r="N43" s="270">
        <f>(VLOOKUP(A43,'2016-17 Funding Detail'!$A$4:$X$23,21,FALSE)*4/12)*I43</f>
        <v>0</v>
      </c>
      <c r="O43" s="235"/>
      <c r="P43" s="235"/>
      <c r="Q43" s="235"/>
      <c r="R43" s="235"/>
      <c r="S43" s="235"/>
      <c r="T43" s="235"/>
    </row>
    <row r="44" spans="1:20" x14ac:dyDescent="0.25">
      <c r="A44" s="244">
        <v>9257015</v>
      </c>
      <c r="B44" s="237" t="s">
        <v>217</v>
      </c>
      <c r="C44" s="267">
        <v>6</v>
      </c>
      <c r="D44" s="268">
        <f>'Revised Band Returns'!F46</f>
        <v>6.0483870967741937E-2</v>
      </c>
      <c r="E44" s="268">
        <f>'Revised Band Returns'!H46</f>
        <v>0.22177419354838709</v>
      </c>
      <c r="F44" s="268">
        <f>'Revised Band Returns'!J46</f>
        <v>0.65322580645161288</v>
      </c>
      <c r="G44" s="268">
        <f>'Revised Band Returns'!L46</f>
        <v>0</v>
      </c>
      <c r="H44" s="268">
        <f>'Revised Band Returns'!N46</f>
        <v>6.4516129032258063E-2</v>
      </c>
      <c r="I44" s="269">
        <v>19</v>
      </c>
      <c r="J44" s="235">
        <f t="shared" si="6"/>
        <v>45410.863547676221</v>
      </c>
      <c r="K44" s="235">
        <f t="shared" si="7"/>
        <v>1076.6862342833092</v>
      </c>
      <c r="L44" s="235">
        <f t="shared" si="8"/>
        <v>46487.549781959533</v>
      </c>
      <c r="M44" s="270">
        <f t="shared" si="9"/>
        <v>63333.333333333328</v>
      </c>
      <c r="N44" s="270">
        <f>(VLOOKUP(A44,'2016-17 Funding Detail'!$A$4:$X$23,21,FALSE)*4/12)*I44</f>
        <v>0</v>
      </c>
      <c r="O44" s="235"/>
      <c r="P44" s="235"/>
      <c r="Q44" s="235"/>
      <c r="R44" s="235"/>
      <c r="S44" s="235"/>
      <c r="T44" s="235"/>
    </row>
    <row r="45" spans="1:20" x14ac:dyDescent="0.25">
      <c r="A45" s="244">
        <v>9257016</v>
      </c>
      <c r="B45" s="237" t="s">
        <v>219</v>
      </c>
      <c r="C45" s="274">
        <v>6</v>
      </c>
      <c r="D45" s="268">
        <f>'Revised Band Returns'!F47</f>
        <v>0.50370370370370365</v>
      </c>
      <c r="E45" s="268">
        <f>'Revised Band Returns'!H47</f>
        <v>0</v>
      </c>
      <c r="F45" s="268">
        <f>'Revised Band Returns'!J47</f>
        <v>0.28888888888888886</v>
      </c>
      <c r="G45" s="268">
        <f>'Revised Band Returns'!L47</f>
        <v>0.2074074074074074</v>
      </c>
      <c r="H45" s="268">
        <f>'Revised Band Returns'!N47</f>
        <v>0</v>
      </c>
      <c r="I45" s="269">
        <v>54</v>
      </c>
      <c r="J45" s="235">
        <f t="shared" si="6"/>
        <v>182125.23153066565</v>
      </c>
      <c r="K45" s="235">
        <f t="shared" si="7"/>
        <v>0</v>
      </c>
      <c r="L45" s="235">
        <f t="shared" si="8"/>
        <v>182125.23153066565</v>
      </c>
      <c r="M45" s="270">
        <f t="shared" si="9"/>
        <v>180000</v>
      </c>
      <c r="N45" s="270">
        <f>(VLOOKUP(A45,'2016-17 Funding Detail'!$A$4:$X$23,21,FALSE)*4/12)*I45</f>
        <v>114425.35222420462</v>
      </c>
      <c r="O45" s="299" t="s">
        <v>207</v>
      </c>
      <c r="P45" s="235"/>
      <c r="Q45" s="235"/>
      <c r="R45" s="235"/>
      <c r="S45" s="235"/>
      <c r="T45" s="235"/>
    </row>
    <row r="46" spans="1:20" x14ac:dyDescent="0.25">
      <c r="A46" s="249"/>
      <c r="B46" s="36"/>
      <c r="C46" s="234"/>
      <c r="D46" s="268"/>
      <c r="E46" s="268"/>
      <c r="F46" s="268"/>
      <c r="G46" s="268"/>
      <c r="H46" s="299" t="s">
        <v>207</v>
      </c>
      <c r="I46" s="299" t="s">
        <v>207</v>
      </c>
      <c r="J46" s="269"/>
      <c r="K46" s="269"/>
      <c r="L46" s="299" t="s">
        <v>207</v>
      </c>
      <c r="M46" s="235"/>
      <c r="N46" s="235"/>
      <c r="O46" s="235"/>
      <c r="P46" s="269"/>
      <c r="Q46" s="269"/>
      <c r="R46" s="36"/>
      <c r="S46" s="36"/>
      <c r="T46" s="36"/>
    </row>
    <row r="47" spans="1:20" ht="13" x14ac:dyDescent="0.3">
      <c r="A47" s="93" t="s">
        <v>270</v>
      </c>
      <c r="B47" s="36"/>
      <c r="C47" s="36"/>
      <c r="D47" s="36"/>
      <c r="E47" s="36"/>
      <c r="F47" s="36"/>
      <c r="G47" s="36"/>
      <c r="H47" s="36"/>
      <c r="I47" s="234"/>
      <c r="J47" s="234"/>
      <c r="K47" s="36"/>
      <c r="L47" s="36"/>
      <c r="M47" s="36"/>
      <c r="N47" s="36"/>
      <c r="O47" s="36"/>
      <c r="P47" s="36"/>
      <c r="Q47" s="36"/>
      <c r="R47" s="36"/>
      <c r="S47" s="36"/>
      <c r="T47" s="36"/>
    </row>
    <row r="48" spans="1:20" x14ac:dyDescent="0.25">
      <c r="A48" s="36"/>
      <c r="B48" s="36"/>
      <c r="C48" s="36"/>
      <c r="D48" s="36"/>
      <c r="E48" s="36"/>
      <c r="F48" s="36"/>
      <c r="G48" s="36"/>
      <c r="H48" s="36"/>
      <c r="I48" s="94" t="s">
        <v>236</v>
      </c>
      <c r="J48" s="234"/>
      <c r="K48" s="36"/>
      <c r="L48" s="36"/>
      <c r="M48" s="36"/>
      <c r="N48" s="36"/>
      <c r="O48" s="36"/>
      <c r="P48" s="1445" t="s">
        <v>238</v>
      </c>
      <c r="Q48" s="1446"/>
      <c r="R48" s="36"/>
      <c r="S48" s="36"/>
      <c r="T48" s="36"/>
    </row>
    <row r="49" spans="1:21" ht="39.75" customHeight="1" x14ac:dyDescent="0.25">
      <c r="A49" s="265" t="s">
        <v>182</v>
      </c>
      <c r="B49" s="237" t="s">
        <v>183</v>
      </c>
      <c r="C49" s="238" t="s">
        <v>184</v>
      </c>
      <c r="D49" s="36" t="s">
        <v>240</v>
      </c>
      <c r="E49" s="36" t="s">
        <v>241</v>
      </c>
      <c r="F49" s="36" t="s">
        <v>242</v>
      </c>
      <c r="G49" s="36" t="s">
        <v>243</v>
      </c>
      <c r="H49" s="36" t="s">
        <v>244</v>
      </c>
      <c r="I49" s="243" t="s">
        <v>245</v>
      </c>
      <c r="J49" s="243" t="s">
        <v>246</v>
      </c>
      <c r="K49" s="243" t="s">
        <v>247</v>
      </c>
      <c r="L49" s="243" t="s">
        <v>271</v>
      </c>
      <c r="M49" s="243" t="s">
        <v>272</v>
      </c>
      <c r="N49" s="243" t="s">
        <v>273</v>
      </c>
      <c r="O49" s="243" t="s">
        <v>274</v>
      </c>
      <c r="P49" s="277" t="s">
        <v>275</v>
      </c>
      <c r="Q49" s="243" t="s">
        <v>276</v>
      </c>
      <c r="R49" s="36"/>
      <c r="S49" s="36"/>
      <c r="T49" s="36"/>
      <c r="U49" s="36"/>
    </row>
    <row r="50" spans="1:21" x14ac:dyDescent="0.25">
      <c r="A50" s="244">
        <v>9257010</v>
      </c>
      <c r="B50" s="237" t="s">
        <v>205</v>
      </c>
      <c r="C50" s="267">
        <v>3</v>
      </c>
      <c r="D50" s="268">
        <f>'Revised Band Returns'!F30</f>
        <v>0.40476190476190477</v>
      </c>
      <c r="E50" s="268">
        <f>'Revised Band Returns'!H30</f>
        <v>0.2857142857142857</v>
      </c>
      <c r="F50" s="268">
        <f>'Revised Band Returns'!J30</f>
        <v>0.11904761904761904</v>
      </c>
      <c r="G50" s="268">
        <f>'Revised Band Returns'!L30</f>
        <v>0.11904761904761904</v>
      </c>
      <c r="H50" s="268">
        <f>'Revised Band Returns'!N30</f>
        <v>7.1428571428571425E-2</v>
      </c>
      <c r="I50" s="269">
        <v>0</v>
      </c>
      <c r="J50" s="233">
        <v>39</v>
      </c>
      <c r="K50" s="269">
        <f>SUM(I50:J50)</f>
        <v>39</v>
      </c>
      <c r="L50" s="235">
        <f>((((I50*D50)*$G$92)+((I50*E50)*$G$94)+((I50*F50)*$G$96)+((I50*G50)*$G$98)+((I50*H50)*$G$100)))*(7/12)</f>
        <v>0</v>
      </c>
      <c r="M50" s="235">
        <f>((((J50*D50)*$G$92)+((J50*E50)*$G$94)+((J50*F50)*$G$96)+((J50*G50)*$G$98)+((J50*H50)*$G$100)))*(7/12)</f>
        <v>223015.45596402991</v>
      </c>
      <c r="N50" s="235">
        <f>((H50*K50)*$G$102)*(7/12)</f>
        <v>4281.9528198964508</v>
      </c>
      <c r="O50" s="235">
        <f>((((K50*D50)*$G$92)+((K50*E50)*$G$94)+((K50*F50)*$G$96)+((K50*G50)*$G$98)+((K50*H50)*$G$100)+((K50*H50)*$G$102)))*(7/12)</f>
        <v>227297.40878392637</v>
      </c>
      <c r="P50" s="270">
        <f>(K50*(7/12))*10000</f>
        <v>227500</v>
      </c>
      <c r="Q50" s="270">
        <f>(VLOOKUP(A50,'2016-17 Funding Detail'!$A$4:$X$23,21,FALSE)*7/12)*K50</f>
        <v>194031.58289465314</v>
      </c>
      <c r="R50" s="235"/>
      <c r="S50" s="235"/>
      <c r="T50" s="297" t="s">
        <v>207</v>
      </c>
      <c r="U50" s="296" t="s">
        <v>277</v>
      </c>
    </row>
    <row r="51" spans="1:21" x14ac:dyDescent="0.25">
      <c r="A51" s="244">
        <v>9257005</v>
      </c>
      <c r="B51" s="237" t="s">
        <v>208</v>
      </c>
      <c r="C51" s="267">
        <v>4</v>
      </c>
      <c r="D51" s="268">
        <f>'Revised Band Returns'!F31</f>
        <v>0.13157894736842105</v>
      </c>
      <c r="E51" s="268">
        <f>'Revised Band Returns'!H31</f>
        <v>0.35526315789473684</v>
      </c>
      <c r="F51" s="268">
        <f>'Revised Band Returns'!J31</f>
        <v>0.17105263157894737</v>
      </c>
      <c r="G51" s="268">
        <f>'Revised Band Returns'!L31</f>
        <v>0.14473684210526316</v>
      </c>
      <c r="H51" s="268">
        <f>'Revised Band Returns'!N31</f>
        <v>0.19736842105263158</v>
      </c>
      <c r="I51" s="269">
        <v>0</v>
      </c>
      <c r="J51" s="233">
        <v>45</v>
      </c>
      <c r="K51" s="269">
        <f t="shared" ref="K51:K67" si="10">SUM(I51:J51)</f>
        <v>45</v>
      </c>
      <c r="L51" s="235">
        <f t="shared" ref="L51:L67" si="11">((((I51*D51)*$G$92)+((I51*E51)*$G$94)+((I51*F51)*$G$96)+((I51*G51)*$G$98)+((I51*H51)*$G$100)))*(7/12)</f>
        <v>0</v>
      </c>
      <c r="M51" s="235">
        <f>((((J51*D51)*$G$92)+((J51*E51)*$G$94)+((J51*F51)*$G$96)+((J51*G51)*$G$98)+((J51*H51)*$G$100)))*(7/12)</f>
        <v>241961.09988250182</v>
      </c>
      <c r="N51" s="235">
        <f t="shared" ref="N51:N67" si="12">((H51*K51)*$G$102)*(7/12)</f>
        <v>13651.975083677955</v>
      </c>
      <c r="O51" s="235">
        <f t="shared" ref="O51:O67" si="13">((((K51*D51)*$G$92)+((K51*E51)*$G$94)+((K51*F51)*$G$96)+((K51*G51)*$G$98)+((K51*H51)*$G$100)+((K51*H51)*$G$102)))*(7/12)</f>
        <v>255613.07496617976</v>
      </c>
      <c r="P51" s="270">
        <f t="shared" ref="P51:P67" si="14">(K51*(7/12))*10000</f>
        <v>262500</v>
      </c>
      <c r="Q51" s="270">
        <f>(VLOOKUP(A51,'2016-17 Funding Detail'!$A$4:$X$23,21,FALSE)*7/12)*K51</f>
        <v>169605.95386513372</v>
      </c>
      <c r="R51" s="235"/>
      <c r="S51" s="235"/>
      <c r="T51" s="235"/>
      <c r="U51" s="36"/>
    </row>
    <row r="52" spans="1:21" x14ac:dyDescent="0.25">
      <c r="A52" s="244">
        <v>9257025</v>
      </c>
      <c r="B52" s="237" t="s">
        <v>209</v>
      </c>
      <c r="C52" s="267">
        <v>4</v>
      </c>
      <c r="D52" s="268">
        <f>'Revised Band Returns'!F32</f>
        <v>0.26415094339622641</v>
      </c>
      <c r="E52" s="268">
        <f>'Revised Band Returns'!H32</f>
        <v>0.41509433962264153</v>
      </c>
      <c r="F52" s="268">
        <f>'Revised Band Returns'!J32</f>
        <v>5.6603773584905662E-2</v>
      </c>
      <c r="G52" s="268">
        <f>'Revised Band Returns'!L32</f>
        <v>5.6603773584905662E-2</v>
      </c>
      <c r="H52" s="268">
        <f>'Revised Band Returns'!N32</f>
        <v>0.20754716981132076</v>
      </c>
      <c r="I52" s="269">
        <v>0</v>
      </c>
      <c r="J52" s="233">
        <v>49</v>
      </c>
      <c r="K52" s="269">
        <f t="shared" si="10"/>
        <v>49</v>
      </c>
      <c r="L52" s="235">
        <f t="shared" si="11"/>
        <v>0</v>
      </c>
      <c r="M52" s="235">
        <f t="shared" ref="M52:M67" si="15">((((J52*D52)*$G$92)+((J52*E52)*$G$94)+((J52*F52)*$G$96)+((J52*G52)*$G$98)+((J52*H52)*$G$100)))*(7/12)</f>
        <v>273866.55635663867</v>
      </c>
      <c r="N52" s="235">
        <f t="shared" si="12"/>
        <v>15632.131581489413</v>
      </c>
      <c r="O52" s="235">
        <f t="shared" si="13"/>
        <v>289498.68793812807</v>
      </c>
      <c r="P52" s="270">
        <f t="shared" si="14"/>
        <v>285833.33333333337</v>
      </c>
      <c r="Q52" s="270">
        <f>(VLOOKUP(A52,'2016-17 Funding Detail'!$A$4:$X$23,21,FALSE)*7/12)*K52</f>
        <v>240460.14917991625</v>
      </c>
      <c r="R52" s="235"/>
      <c r="S52" s="235"/>
      <c r="T52" s="235"/>
      <c r="U52" s="36"/>
    </row>
    <row r="53" spans="1:21" x14ac:dyDescent="0.25">
      <c r="A53" s="244">
        <v>9257011</v>
      </c>
      <c r="B53" s="237" t="s">
        <v>210</v>
      </c>
      <c r="C53" s="273">
        <v>4</v>
      </c>
      <c r="D53" s="268">
        <f>'Revised Band Returns'!F33</f>
        <v>0.4</v>
      </c>
      <c r="E53" s="268">
        <f>'Revised Band Returns'!H33</f>
        <v>0.42222222222222222</v>
      </c>
      <c r="F53" s="268">
        <f>'Revised Band Returns'!J33</f>
        <v>0</v>
      </c>
      <c r="G53" s="268">
        <f>'Revised Band Returns'!L33</f>
        <v>2.2222222222222223E-2</v>
      </c>
      <c r="H53" s="268">
        <f>'Revised Band Returns'!N33</f>
        <v>0.15555555555555556</v>
      </c>
      <c r="I53" s="269">
        <v>0</v>
      </c>
      <c r="J53" s="233">
        <v>47</v>
      </c>
      <c r="K53" s="269">
        <f t="shared" si="10"/>
        <v>47</v>
      </c>
      <c r="L53" s="235">
        <f t="shared" si="11"/>
        <v>0</v>
      </c>
      <c r="M53" s="235">
        <f t="shared" si="15"/>
        <v>270294.96638591285</v>
      </c>
      <c r="N53" s="235">
        <f t="shared" si="12"/>
        <v>11237.991275466125</v>
      </c>
      <c r="O53" s="235">
        <f t="shared" si="13"/>
        <v>281532.95766137895</v>
      </c>
      <c r="P53" s="270">
        <f t="shared" si="14"/>
        <v>274166.66666666669</v>
      </c>
      <c r="Q53" s="270">
        <f>(VLOOKUP(A53,'2016-17 Funding Detail'!$A$4:$X$23,21,FALSE)*7/12)*K53</f>
        <v>293752.7173670312</v>
      </c>
      <c r="R53" s="235"/>
      <c r="S53" s="235"/>
      <c r="T53" s="235"/>
      <c r="U53" s="36"/>
    </row>
    <row r="54" spans="1:21" x14ac:dyDescent="0.25">
      <c r="A54" s="244">
        <v>9257024</v>
      </c>
      <c r="B54" s="237" t="s">
        <v>211</v>
      </c>
      <c r="C54" s="267">
        <v>3</v>
      </c>
      <c r="D54" s="268">
        <f>'Revised Band Returns'!F34</f>
        <v>0.2</v>
      </c>
      <c r="E54" s="268">
        <f>'Revised Band Returns'!H34</f>
        <v>0.5636363636363636</v>
      </c>
      <c r="F54" s="268">
        <f>'Revised Band Returns'!J34</f>
        <v>1.8181818181818181E-2</v>
      </c>
      <c r="G54" s="268">
        <f>'Revised Band Returns'!L34</f>
        <v>0.16363636363636364</v>
      </c>
      <c r="H54" s="268">
        <f>'Revised Band Returns'!N34</f>
        <v>5.4545454545454543E-2</v>
      </c>
      <c r="I54" s="269">
        <v>0</v>
      </c>
      <c r="J54" s="233">
        <v>45</v>
      </c>
      <c r="K54" s="269">
        <f t="shared" si="10"/>
        <v>45</v>
      </c>
      <c r="L54" s="235">
        <f t="shared" si="11"/>
        <v>0</v>
      </c>
      <c r="M54" s="235">
        <f t="shared" si="15"/>
        <v>240075.14977244587</v>
      </c>
      <c r="N54" s="235">
        <f t="shared" si="12"/>
        <v>3772.909477670999</v>
      </c>
      <c r="O54" s="235">
        <f t="shared" si="13"/>
        <v>243848.05925011684</v>
      </c>
      <c r="P54" s="270">
        <f t="shared" si="14"/>
        <v>262500</v>
      </c>
      <c r="Q54" s="270">
        <f>(VLOOKUP(A54,'2016-17 Funding Detail'!$A$4:$X$23,21,FALSE)*7/12)*K54</f>
        <v>168005.13524900534</v>
      </c>
      <c r="R54" s="235"/>
      <c r="S54" s="235"/>
      <c r="T54" s="235"/>
      <c r="U54" s="36"/>
    </row>
    <row r="55" spans="1:21" x14ac:dyDescent="0.25">
      <c r="A55" s="244">
        <v>9257031</v>
      </c>
      <c r="B55" s="237" t="s">
        <v>257</v>
      </c>
      <c r="C55" s="273">
        <v>4</v>
      </c>
      <c r="D55" s="268">
        <f>'Revised Band Returns'!F35</f>
        <v>0</v>
      </c>
      <c r="E55" s="268">
        <f>'Revised Band Returns'!H35</f>
        <v>0</v>
      </c>
      <c r="F55" s="268">
        <f>'Revised Band Returns'!J35</f>
        <v>0</v>
      </c>
      <c r="G55" s="268">
        <f>'Revised Band Returns'!L35</f>
        <v>0</v>
      </c>
      <c r="H55" s="268">
        <f>'Revised Band Returns'!N35</f>
        <v>1</v>
      </c>
      <c r="I55" s="269">
        <v>0</v>
      </c>
      <c r="J55" s="233">
        <v>68</v>
      </c>
      <c r="K55" s="269">
        <f t="shared" si="10"/>
        <v>68</v>
      </c>
      <c r="L55" s="235">
        <f t="shared" si="11"/>
        <v>0</v>
      </c>
      <c r="M55" s="235">
        <f t="shared" si="15"/>
        <v>463783.48531117255</v>
      </c>
      <c r="N55" s="235">
        <f t="shared" si="12"/>
        <v>104523.56627029285</v>
      </c>
      <c r="O55" s="235">
        <f t="shared" si="13"/>
        <v>568307.05158146541</v>
      </c>
      <c r="P55" s="270">
        <f t="shared" si="14"/>
        <v>396666.66666666669</v>
      </c>
      <c r="Q55" s="270">
        <f>(VLOOKUP(A55,'2016-17 Funding Detail'!$A$4:$X$23,21,FALSE)*7/12)*K55</f>
        <v>432554.23126280023</v>
      </c>
      <c r="R55" s="235"/>
      <c r="S55" s="235"/>
      <c r="T55" s="235"/>
      <c r="U55" s="36"/>
    </row>
    <row r="56" spans="1:21" x14ac:dyDescent="0.25">
      <c r="A56" s="244">
        <v>9257033</v>
      </c>
      <c r="B56" s="237" t="s">
        <v>220</v>
      </c>
      <c r="C56" s="267">
        <v>3</v>
      </c>
      <c r="D56" s="268">
        <f>'Revised Band Returns'!F36</f>
        <v>3.6363636363636362E-2</v>
      </c>
      <c r="E56" s="268">
        <f>'Revised Band Returns'!H36</f>
        <v>0.29090909090909089</v>
      </c>
      <c r="F56" s="268">
        <f>'Revised Band Returns'!J36</f>
        <v>0.27272727272727271</v>
      </c>
      <c r="G56" s="268">
        <f>'Revised Band Returns'!L36</f>
        <v>5.4545454545454543E-2</v>
      </c>
      <c r="H56" s="268">
        <f>'Revised Band Returns'!N36</f>
        <v>0.34545454545454546</v>
      </c>
      <c r="I56" s="269">
        <v>0</v>
      </c>
      <c r="J56" s="233">
        <v>57</v>
      </c>
      <c r="K56" s="269">
        <f t="shared" si="10"/>
        <v>57</v>
      </c>
      <c r="L56" s="235">
        <f t="shared" si="11"/>
        <v>0</v>
      </c>
      <c r="M56" s="235">
        <f t="shared" si="15"/>
        <v>297355.73774153297</v>
      </c>
      <c r="N56" s="235">
        <f t="shared" si="12"/>
        <v>30267.118254205125</v>
      </c>
      <c r="O56" s="235">
        <f t="shared" si="13"/>
        <v>327622.85599573806</v>
      </c>
      <c r="P56" s="270">
        <f t="shared" si="14"/>
        <v>332500</v>
      </c>
      <c r="Q56" s="270">
        <f>(VLOOKUP(A56,'2016-17 Funding Detail'!$A$4:$X$23,21,FALSE)*7/12)*K56</f>
        <v>221259.44428906526</v>
      </c>
      <c r="R56" s="235"/>
      <c r="S56" s="235"/>
      <c r="T56" s="235"/>
      <c r="U56" s="36"/>
    </row>
    <row r="57" spans="1:21" x14ac:dyDescent="0.25">
      <c r="A57" s="244">
        <v>9257008</v>
      </c>
      <c r="B57" s="237" t="s">
        <v>212</v>
      </c>
      <c r="C57" s="267">
        <v>4</v>
      </c>
      <c r="D57" s="268">
        <f>'Revised Band Returns'!F37</f>
        <v>0</v>
      </c>
      <c r="E57" s="268">
        <f>'Revised Band Returns'!H37</f>
        <v>8.2352941176470587E-2</v>
      </c>
      <c r="F57" s="268">
        <f>'Revised Band Returns'!J37</f>
        <v>0.61176470588235299</v>
      </c>
      <c r="G57" s="268">
        <f>'Revised Band Returns'!L37</f>
        <v>2.3529411764705882E-2</v>
      </c>
      <c r="H57" s="268">
        <f>'Revised Band Returns'!N37</f>
        <v>0.28235294117647058</v>
      </c>
      <c r="I57" s="269">
        <v>0</v>
      </c>
      <c r="J57" s="233">
        <v>90</v>
      </c>
      <c r="K57" s="269">
        <f t="shared" si="10"/>
        <v>90</v>
      </c>
      <c r="L57" s="235">
        <f t="shared" si="11"/>
        <v>0</v>
      </c>
      <c r="M57" s="235">
        <f t="shared" si="15"/>
        <v>420072.39061269845</v>
      </c>
      <c r="N57" s="235">
        <f t="shared" si="12"/>
        <v>39060.709886476216</v>
      </c>
      <c r="O57" s="235">
        <f t="shared" si="13"/>
        <v>459133.10049917467</v>
      </c>
      <c r="P57" s="270">
        <f t="shared" si="14"/>
        <v>525000</v>
      </c>
      <c r="Q57" s="270">
        <f>(VLOOKUP(A57,'2016-17 Funding Detail'!$A$4:$X$23,21,FALSE)*7/12)*K57</f>
        <v>233471.86504895071</v>
      </c>
      <c r="R57" s="235"/>
      <c r="S57" s="235"/>
      <c r="T57" s="235"/>
      <c r="U57" s="36"/>
    </row>
    <row r="58" spans="1:21" x14ac:dyDescent="0.25">
      <c r="A58" s="244">
        <v>9257034</v>
      </c>
      <c r="B58" s="237" t="s">
        <v>221</v>
      </c>
      <c r="C58" s="267">
        <v>5</v>
      </c>
      <c r="D58" s="268">
        <f>'Revised Band Returns'!F38</f>
        <v>7.0866141732283464E-2</v>
      </c>
      <c r="E58" s="268">
        <f>'Revised Band Returns'!H38</f>
        <v>0.16535433070866143</v>
      </c>
      <c r="F58" s="268">
        <f>'Revised Band Returns'!J38</f>
        <v>0.51968503937007871</v>
      </c>
      <c r="G58" s="268">
        <f>'Revised Band Returns'!L38</f>
        <v>3.937007874015748E-2</v>
      </c>
      <c r="H58" s="268">
        <f>'Revised Band Returns'!N38</f>
        <v>0.20472440944881889</v>
      </c>
      <c r="I58" s="269">
        <v>0</v>
      </c>
      <c r="J58" s="233">
        <v>89</v>
      </c>
      <c r="K58" s="269">
        <f t="shared" si="10"/>
        <v>89</v>
      </c>
      <c r="L58" s="235">
        <f t="shared" si="11"/>
        <v>0</v>
      </c>
      <c r="M58" s="235">
        <f t="shared" si="15"/>
        <v>422740.50202847278</v>
      </c>
      <c r="N58" s="235">
        <f t="shared" si="12"/>
        <v>28006.893509663922</v>
      </c>
      <c r="O58" s="235">
        <f t="shared" si="13"/>
        <v>450747.39553813671</v>
      </c>
      <c r="P58" s="270">
        <f t="shared" si="14"/>
        <v>519166.66666666669</v>
      </c>
      <c r="Q58" s="270">
        <f>(VLOOKUP(A58,'2016-17 Funding Detail'!$A$4:$X$23,21,FALSE)*7/12)*K58</f>
        <v>164835.14327648946</v>
      </c>
      <c r="R58" s="235"/>
      <c r="S58" s="235"/>
      <c r="T58" s="235"/>
      <c r="U58" s="36"/>
    </row>
    <row r="59" spans="1:21" x14ac:dyDescent="0.25">
      <c r="A59" s="244">
        <v>9257002</v>
      </c>
      <c r="B59" s="237" t="s">
        <v>213</v>
      </c>
      <c r="C59" s="273">
        <v>5</v>
      </c>
      <c r="D59" s="268">
        <f>'Revised Band Returns'!F39</f>
        <v>8.4033613445378148E-3</v>
      </c>
      <c r="E59" s="268">
        <f>'Revised Band Returns'!H39</f>
        <v>0.27731092436974791</v>
      </c>
      <c r="F59" s="268">
        <f>'Revised Band Returns'!J39</f>
        <v>0.59663865546218486</v>
      </c>
      <c r="G59" s="268">
        <f>'Revised Band Returns'!L39</f>
        <v>2.5210084033613446E-2</v>
      </c>
      <c r="H59" s="268">
        <f>'Revised Band Returns'!N39</f>
        <v>9.2436974789915971E-2</v>
      </c>
      <c r="I59" s="269">
        <v>0</v>
      </c>
      <c r="J59" s="233">
        <v>125</v>
      </c>
      <c r="K59" s="269">
        <f t="shared" si="10"/>
        <v>125</v>
      </c>
      <c r="L59" s="235">
        <f t="shared" si="11"/>
        <v>0</v>
      </c>
      <c r="M59" s="235">
        <f t="shared" si="15"/>
        <v>527720.24069518573</v>
      </c>
      <c r="N59" s="235">
        <f t="shared" si="12"/>
        <v>17760.73944904259</v>
      </c>
      <c r="O59" s="235">
        <f t="shared" si="13"/>
        <v>545480.98014422832</v>
      </c>
      <c r="P59" s="270">
        <f t="shared" si="14"/>
        <v>729166.66666666674</v>
      </c>
      <c r="Q59" s="270">
        <f>(VLOOKUP(A59,'2016-17 Funding Detail'!$A$4:$X$23,21,FALSE)*7/12)*K59</f>
        <v>143293.48266550325</v>
      </c>
      <c r="R59" s="235"/>
      <c r="S59" s="235"/>
      <c r="T59" s="235"/>
      <c r="U59" s="36"/>
    </row>
    <row r="60" spans="1:21" x14ac:dyDescent="0.25">
      <c r="A60" s="244">
        <v>9257009</v>
      </c>
      <c r="B60" s="237" t="s">
        <v>214</v>
      </c>
      <c r="C60" s="267">
        <v>4</v>
      </c>
      <c r="D60" s="268">
        <f>'Revised Band Returns'!F40</f>
        <v>0</v>
      </c>
      <c r="E60" s="268">
        <f>'Revised Band Returns'!H40</f>
        <v>0.14615384615384616</v>
      </c>
      <c r="F60" s="268">
        <f>'Revised Band Returns'!J40</f>
        <v>0.7</v>
      </c>
      <c r="G60" s="268">
        <f>'Revised Band Returns'!L40</f>
        <v>1.5384615384615385E-2</v>
      </c>
      <c r="H60" s="268">
        <f>'Revised Band Returns'!N40</f>
        <v>0.13846153846153847</v>
      </c>
      <c r="I60" s="269">
        <v>0</v>
      </c>
      <c r="J60" s="233">
        <v>128</v>
      </c>
      <c r="K60" s="269">
        <f t="shared" si="10"/>
        <v>128</v>
      </c>
      <c r="L60" s="235">
        <f t="shared" si="11"/>
        <v>0</v>
      </c>
      <c r="M60" s="235">
        <f t="shared" si="15"/>
        <v>540857.78627634153</v>
      </c>
      <c r="N60" s="235">
        <f t="shared" si="12"/>
        <v>27242.341254157775</v>
      </c>
      <c r="O60" s="235">
        <f t="shared" si="13"/>
        <v>568100.12753049936</v>
      </c>
      <c r="P60" s="270">
        <f t="shared" si="14"/>
        <v>746666.66666666674</v>
      </c>
      <c r="Q60" s="270">
        <f>(VLOOKUP(A60,'2016-17 Funding Detail'!$A$4:$X$23,21,FALSE)*7/12)*K60</f>
        <v>117363.67979879417</v>
      </c>
      <c r="R60" s="235"/>
      <c r="S60" s="235"/>
      <c r="T60" s="235"/>
      <c r="U60" s="36"/>
    </row>
    <row r="61" spans="1:21" x14ac:dyDescent="0.25">
      <c r="A61" s="244">
        <v>9257029</v>
      </c>
      <c r="B61" s="237" t="s">
        <v>259</v>
      </c>
      <c r="C61" s="267">
        <v>3</v>
      </c>
      <c r="D61" s="268">
        <f>'Revised Band Returns'!F41</f>
        <v>0</v>
      </c>
      <c r="E61" s="268">
        <f>'Revised Band Returns'!H41</f>
        <v>0</v>
      </c>
      <c r="F61" s="268">
        <f>'Revised Band Returns'!J41</f>
        <v>0</v>
      </c>
      <c r="G61" s="268">
        <f>'Revised Band Returns'!L41</f>
        <v>0</v>
      </c>
      <c r="H61" s="268">
        <f>'Revised Band Returns'!N41</f>
        <v>1</v>
      </c>
      <c r="I61" s="269">
        <v>0</v>
      </c>
      <c r="J61" s="233">
        <v>44</v>
      </c>
      <c r="K61" s="269">
        <f t="shared" si="10"/>
        <v>44</v>
      </c>
      <c r="L61" s="235">
        <f t="shared" si="11"/>
        <v>0</v>
      </c>
      <c r="M61" s="235">
        <f t="shared" si="15"/>
        <v>300095.19637781754</v>
      </c>
      <c r="N61" s="235">
        <f t="shared" si="12"/>
        <v>67632.895821954196</v>
      </c>
      <c r="O61" s="235">
        <f t="shared" si="13"/>
        <v>367728.09219977172</v>
      </c>
      <c r="P61" s="270">
        <f t="shared" si="14"/>
        <v>256666.66666666669</v>
      </c>
      <c r="Q61" s="270">
        <f>(VLOOKUP(A61,'2016-17 Funding Detail'!$A$4:$X$23,21,FALSE)*7/12)*K61</f>
        <v>296101.25664976641</v>
      </c>
      <c r="R61" s="235"/>
      <c r="S61" s="235"/>
      <c r="T61" s="235"/>
      <c r="U61" s="36"/>
    </row>
    <row r="62" spans="1:21" x14ac:dyDescent="0.25">
      <c r="A62" s="244">
        <v>9257032</v>
      </c>
      <c r="B62" s="237" t="s">
        <v>261</v>
      </c>
      <c r="C62" s="267">
        <v>4</v>
      </c>
      <c r="D62" s="268">
        <f>'Revised Band Returns'!F42</f>
        <v>0</v>
      </c>
      <c r="E62" s="268">
        <f>'Revised Band Returns'!H42</f>
        <v>0</v>
      </c>
      <c r="F62" s="268">
        <f>'Revised Band Returns'!J42</f>
        <v>0</v>
      </c>
      <c r="G62" s="268">
        <f>'Revised Band Returns'!L42</f>
        <v>0</v>
      </c>
      <c r="H62" s="268">
        <f>'Revised Band Returns'!N42</f>
        <v>1</v>
      </c>
      <c r="I62" s="269">
        <v>0</v>
      </c>
      <c r="J62" s="233">
        <v>60</v>
      </c>
      <c r="K62" s="269">
        <f t="shared" si="10"/>
        <v>60</v>
      </c>
      <c r="L62" s="235">
        <f t="shared" si="11"/>
        <v>0</v>
      </c>
      <c r="M62" s="235">
        <f t="shared" si="15"/>
        <v>409220.72233338753</v>
      </c>
      <c r="N62" s="235">
        <f t="shared" si="12"/>
        <v>92226.67612084662</v>
      </c>
      <c r="O62" s="235">
        <f t="shared" si="13"/>
        <v>501447.39845423424</v>
      </c>
      <c r="P62" s="270">
        <f t="shared" si="14"/>
        <v>350000</v>
      </c>
      <c r="Q62" s="270">
        <f>(VLOOKUP(A62,'2016-17 Funding Detail'!$A$4:$X$23,21,FALSE)*7/12)*K62</f>
        <v>398598.05092751002</v>
      </c>
      <c r="R62" s="235"/>
      <c r="S62" s="235"/>
      <c r="T62" s="235"/>
      <c r="U62" s="36"/>
    </row>
    <row r="63" spans="1:21" x14ac:dyDescent="0.25">
      <c r="A63" s="244">
        <v>9257030</v>
      </c>
      <c r="B63" s="237" t="s">
        <v>262</v>
      </c>
      <c r="C63" s="267">
        <v>4</v>
      </c>
      <c r="D63" s="268">
        <f>'Revised Band Returns'!F43</f>
        <v>0</v>
      </c>
      <c r="E63" s="268">
        <f>'Revised Band Returns'!H43</f>
        <v>0</v>
      </c>
      <c r="F63" s="268">
        <f>'Revised Band Returns'!J43</f>
        <v>0</v>
      </c>
      <c r="G63" s="268">
        <f>'Revised Band Returns'!L43</f>
        <v>0</v>
      </c>
      <c r="H63" s="268">
        <f>'Revised Band Returns'!N43</f>
        <v>1</v>
      </c>
      <c r="I63" s="269">
        <v>0</v>
      </c>
      <c r="J63" s="233">
        <v>65</v>
      </c>
      <c r="K63" s="269">
        <f t="shared" si="10"/>
        <v>65</v>
      </c>
      <c r="L63" s="235">
        <f t="shared" si="11"/>
        <v>0</v>
      </c>
      <c r="M63" s="235">
        <f t="shared" si="15"/>
        <v>443322.44919450319</v>
      </c>
      <c r="N63" s="235">
        <f t="shared" si="12"/>
        <v>99912.232464250512</v>
      </c>
      <c r="O63" s="235">
        <f t="shared" si="13"/>
        <v>543234.68165875366</v>
      </c>
      <c r="P63" s="270">
        <f t="shared" si="14"/>
        <v>379166.66666666669</v>
      </c>
      <c r="Q63" s="270">
        <f>(VLOOKUP(A63,'2016-17 Funding Detail'!$A$4:$X$23,21,FALSE)*7/12)*K63</f>
        <v>434311.64339571173</v>
      </c>
      <c r="R63" s="235"/>
      <c r="S63" s="235"/>
      <c r="T63" s="235"/>
      <c r="U63" s="36"/>
    </row>
    <row r="64" spans="1:21" x14ac:dyDescent="0.25">
      <c r="A64" s="244">
        <v>9257028</v>
      </c>
      <c r="B64" s="237" t="s">
        <v>215</v>
      </c>
      <c r="C64" s="273">
        <v>5</v>
      </c>
      <c r="D64" s="268">
        <f>'Revised Band Returns'!F44</f>
        <v>0.23943661971830985</v>
      </c>
      <c r="E64" s="268">
        <f>'Revised Band Returns'!H44</f>
        <v>0.3380281690140845</v>
      </c>
      <c r="F64" s="268">
        <f>'Revised Band Returns'!J44</f>
        <v>0</v>
      </c>
      <c r="G64" s="268">
        <f>'Revised Band Returns'!L44</f>
        <v>0.18309859154929578</v>
      </c>
      <c r="H64" s="268">
        <f>'Revised Band Returns'!N44</f>
        <v>0.23943661971830985</v>
      </c>
      <c r="I64" s="1170">
        <v>0</v>
      </c>
      <c r="J64" s="233">
        <v>53</v>
      </c>
      <c r="K64" s="269">
        <f t="shared" si="10"/>
        <v>53</v>
      </c>
      <c r="L64" s="235">
        <f t="shared" si="11"/>
        <v>0</v>
      </c>
      <c r="M64" s="235">
        <f t="shared" si="15"/>
        <v>316102.61474383785</v>
      </c>
      <c r="N64" s="235">
        <f t="shared" si="12"/>
        <v>19506.158494103944</v>
      </c>
      <c r="O64" s="235">
        <f t="shared" si="13"/>
        <v>335608.77323794179</v>
      </c>
      <c r="P64" s="270">
        <f t="shared" si="14"/>
        <v>309166.66666666669</v>
      </c>
      <c r="Q64" s="270">
        <f>(VLOOKUP(A64,'2016-17 Funding Detail'!$A$4:$X$23,21,FALSE)*7/12)*K64</f>
        <v>268291.07700905058</v>
      </c>
      <c r="R64" s="235"/>
      <c r="S64" s="235"/>
      <c r="T64" s="235"/>
      <c r="U64" s="36"/>
    </row>
    <row r="65" spans="1:21" x14ac:dyDescent="0.25">
      <c r="A65" s="244">
        <v>9257021</v>
      </c>
      <c r="B65" s="237" t="s">
        <v>216</v>
      </c>
      <c r="C65" s="273">
        <v>5</v>
      </c>
      <c r="D65" s="268">
        <f>'Revised Band Returns'!F45</f>
        <v>0</v>
      </c>
      <c r="E65" s="268">
        <f>'Revised Band Returns'!H45</f>
        <v>9.8591549295774641E-2</v>
      </c>
      <c r="F65" s="268">
        <f>'Revised Band Returns'!J45</f>
        <v>0.71830985915492962</v>
      </c>
      <c r="G65" s="268">
        <f>'Revised Band Returns'!L45</f>
        <v>4.2253521126760563E-2</v>
      </c>
      <c r="H65" s="268">
        <f>'Revised Band Returns'!N45</f>
        <v>0.14084507042253522</v>
      </c>
      <c r="I65" s="269">
        <v>0</v>
      </c>
      <c r="J65" s="233">
        <v>154</v>
      </c>
      <c r="K65" s="269">
        <f t="shared" si="10"/>
        <v>154</v>
      </c>
      <c r="L65" s="235">
        <f t="shared" si="11"/>
        <v>0</v>
      </c>
      <c r="M65" s="235">
        <f t="shared" si="15"/>
        <v>660309.42901847372</v>
      </c>
      <c r="N65" s="235">
        <f t="shared" si="12"/>
        <v>33340.159912230942</v>
      </c>
      <c r="O65" s="235">
        <f t="shared" si="13"/>
        <v>693649.58893070475</v>
      </c>
      <c r="P65" s="270">
        <f t="shared" si="14"/>
        <v>898333.33333333337</v>
      </c>
      <c r="Q65" s="270">
        <f>(VLOOKUP(A65,'2016-17 Funding Detail'!$A$4:$X$23,21,FALSE)*7/12)*K65</f>
        <v>135437.19122585517</v>
      </c>
      <c r="R65" s="235"/>
      <c r="S65" s="235"/>
      <c r="T65" s="235"/>
      <c r="U65" s="36"/>
    </row>
    <row r="66" spans="1:21" x14ac:dyDescent="0.25">
      <c r="A66" s="244">
        <v>9257015</v>
      </c>
      <c r="B66" s="237" t="s">
        <v>217</v>
      </c>
      <c r="C66" s="267">
        <v>6</v>
      </c>
      <c r="D66" s="268">
        <f>'Revised Band Returns'!F46</f>
        <v>6.0483870967741937E-2</v>
      </c>
      <c r="E66" s="268">
        <f>'Revised Band Returns'!H46</f>
        <v>0.22177419354838709</v>
      </c>
      <c r="F66" s="268">
        <f>'Revised Band Returns'!J46</f>
        <v>0.65322580645161288</v>
      </c>
      <c r="G66" s="268">
        <f>'Revised Band Returns'!L46</f>
        <v>0</v>
      </c>
      <c r="H66" s="268">
        <f>'Revised Band Returns'!N46</f>
        <v>6.4516129032258063E-2</v>
      </c>
      <c r="I66" s="269">
        <v>0</v>
      </c>
      <c r="J66" s="233">
        <v>263</v>
      </c>
      <c r="K66" s="269">
        <f t="shared" si="10"/>
        <v>263</v>
      </c>
      <c r="L66" s="235">
        <f t="shared" si="11"/>
        <v>0</v>
      </c>
      <c r="M66" s="235">
        <f t="shared" si="15"/>
        <v>1100018.4183062098</v>
      </c>
      <c r="N66" s="235">
        <f t="shared" si="12"/>
        <v>26081.307333099638</v>
      </c>
      <c r="O66" s="235">
        <f t="shared" si="13"/>
        <v>1126099.7256393095</v>
      </c>
      <c r="P66" s="270">
        <f t="shared" si="14"/>
        <v>1534166.6666666667</v>
      </c>
      <c r="Q66" s="270">
        <f>(VLOOKUP(A66,'2016-17 Funding Detail'!$A$4:$X$23,21,FALSE)*7/12)*K66</f>
        <v>0</v>
      </c>
      <c r="R66" s="235"/>
      <c r="S66" s="235"/>
      <c r="T66" s="235"/>
      <c r="U66" s="36"/>
    </row>
    <row r="67" spans="1:21" x14ac:dyDescent="0.25">
      <c r="A67" s="244">
        <v>9257016</v>
      </c>
      <c r="B67" s="237" t="s">
        <v>219</v>
      </c>
      <c r="C67" s="274">
        <v>6</v>
      </c>
      <c r="D67" s="268">
        <f>'Revised Band Returns'!F47</f>
        <v>0.50370370370370365</v>
      </c>
      <c r="E67" s="268">
        <f>'Revised Band Returns'!H47</f>
        <v>0</v>
      </c>
      <c r="F67" s="268">
        <f>'Revised Band Returns'!J47</f>
        <v>0.28888888888888886</v>
      </c>
      <c r="G67" s="268">
        <f>'Revised Band Returns'!L47</f>
        <v>0.2074074074074074</v>
      </c>
      <c r="H67" s="268">
        <f>'Revised Band Returns'!N47</f>
        <v>0</v>
      </c>
      <c r="I67" s="269">
        <v>0</v>
      </c>
      <c r="J67" s="233">
        <v>97</v>
      </c>
      <c r="K67" s="269">
        <f t="shared" si="10"/>
        <v>97</v>
      </c>
      <c r="L67" s="235">
        <f t="shared" si="11"/>
        <v>0</v>
      </c>
      <c r="M67" s="235">
        <f t="shared" si="15"/>
        <v>572514.03800612036</v>
      </c>
      <c r="N67" s="235">
        <f t="shared" si="12"/>
        <v>0</v>
      </c>
      <c r="O67" s="235">
        <f t="shared" si="13"/>
        <v>572514.03800612036</v>
      </c>
      <c r="P67" s="270">
        <f t="shared" si="14"/>
        <v>565833.33333333337</v>
      </c>
      <c r="Q67" s="270">
        <f>(VLOOKUP(A67,'2016-17 Funding Detail'!$A$4:$X$23,21,FALSE)*7/12)*K67</f>
        <v>359698.21370479133</v>
      </c>
      <c r="R67" s="299" t="s">
        <v>207</v>
      </c>
      <c r="S67" s="235"/>
      <c r="T67" s="235"/>
      <c r="U67" s="36"/>
    </row>
    <row r="68" spans="1:21" x14ac:dyDescent="0.25">
      <c r="A68" s="36"/>
      <c r="B68" s="36"/>
      <c r="C68" s="36"/>
      <c r="D68" s="36"/>
      <c r="E68" s="36"/>
      <c r="F68" s="36"/>
      <c r="G68" s="36"/>
      <c r="H68" s="299" t="s">
        <v>207</v>
      </c>
      <c r="I68" s="299" t="s">
        <v>207</v>
      </c>
      <c r="J68" s="234"/>
      <c r="K68" s="299" t="s">
        <v>207</v>
      </c>
      <c r="L68" s="36"/>
      <c r="M68" s="36"/>
      <c r="N68" s="36"/>
      <c r="O68" s="299" t="s">
        <v>207</v>
      </c>
      <c r="P68" s="36"/>
      <c r="Q68" s="36"/>
      <c r="R68" s="36"/>
      <c r="S68" s="36"/>
      <c r="T68" s="36"/>
      <c r="U68" s="36"/>
    </row>
    <row r="69" spans="1:21" ht="13" x14ac:dyDescent="0.3">
      <c r="A69" s="93" t="s">
        <v>278</v>
      </c>
      <c r="B69" s="36"/>
      <c r="C69" s="36"/>
      <c r="D69" s="36"/>
      <c r="E69" s="36"/>
      <c r="F69" s="36"/>
      <c r="G69" s="36"/>
      <c r="H69" s="36"/>
      <c r="I69" s="234"/>
      <c r="J69" s="234"/>
      <c r="K69" s="36"/>
      <c r="L69" s="36"/>
      <c r="M69" s="36"/>
      <c r="N69" s="36"/>
      <c r="O69" s="36"/>
      <c r="P69" s="36"/>
      <c r="Q69" s="36"/>
      <c r="R69" s="36"/>
      <c r="S69" s="36"/>
      <c r="T69" s="36"/>
      <c r="U69" s="36"/>
    </row>
    <row r="70" spans="1:21" x14ac:dyDescent="0.25">
      <c r="A70" s="36"/>
      <c r="B70" s="36"/>
      <c r="C70" s="36"/>
      <c r="D70" s="36"/>
      <c r="E70" s="36"/>
      <c r="F70" s="36"/>
      <c r="G70" s="36"/>
      <c r="H70" s="36"/>
      <c r="I70" s="234"/>
      <c r="J70" s="234"/>
      <c r="K70" s="36"/>
      <c r="L70" s="36"/>
      <c r="M70" s="1445" t="s">
        <v>238</v>
      </c>
      <c r="N70" s="1446"/>
      <c r="O70" s="36"/>
      <c r="P70" s="36"/>
      <c r="Q70" s="36"/>
      <c r="R70" s="36"/>
      <c r="S70" s="36"/>
      <c r="T70" s="36"/>
      <c r="U70" s="36"/>
    </row>
    <row r="71" spans="1:21" ht="37.5" x14ac:dyDescent="0.25">
      <c r="A71" s="265" t="s">
        <v>182</v>
      </c>
      <c r="B71" s="237" t="s">
        <v>183</v>
      </c>
      <c r="C71" s="238" t="s">
        <v>184</v>
      </c>
      <c r="D71" s="36" t="s">
        <v>240</v>
      </c>
      <c r="E71" s="36" t="s">
        <v>241</v>
      </c>
      <c r="F71" s="36" t="s">
        <v>242</v>
      </c>
      <c r="G71" s="36" t="s">
        <v>243</v>
      </c>
      <c r="H71" s="36" t="s">
        <v>244</v>
      </c>
      <c r="I71" s="243" t="s">
        <v>264</v>
      </c>
      <c r="J71" s="243" t="s">
        <v>279</v>
      </c>
      <c r="K71" s="243" t="s">
        <v>280</v>
      </c>
      <c r="L71" s="243" t="s">
        <v>279</v>
      </c>
      <c r="M71" s="243" t="s">
        <v>267</v>
      </c>
      <c r="N71" s="243" t="s">
        <v>281</v>
      </c>
      <c r="O71" s="243"/>
      <c r="P71" s="243"/>
      <c r="Q71" s="243"/>
      <c r="R71" s="36"/>
      <c r="S71" s="36"/>
      <c r="T71" s="36"/>
      <c r="U71" s="36"/>
    </row>
    <row r="72" spans="1:21" x14ac:dyDescent="0.25">
      <c r="A72" s="244">
        <v>9257010</v>
      </c>
      <c r="B72" s="237" t="s">
        <v>205</v>
      </c>
      <c r="C72" s="267">
        <v>3</v>
      </c>
      <c r="D72" s="268">
        <f>'Revised Band Returns'!F30</f>
        <v>0.40476190476190477</v>
      </c>
      <c r="E72" s="268">
        <f>'Revised Band Returns'!H30</f>
        <v>0.2857142857142857</v>
      </c>
      <c r="F72" s="268">
        <f>'Revised Band Returns'!J30</f>
        <v>0.11904761904761904</v>
      </c>
      <c r="G72" s="268">
        <f>'Revised Band Returns'!L30</f>
        <v>0.11904761904761904</v>
      </c>
      <c r="H72" s="268">
        <f>'Revised Band Returns'!N30</f>
        <v>7.1428571428571425E-2</v>
      </c>
      <c r="I72" s="233">
        <v>10</v>
      </c>
      <c r="J72" s="235">
        <f>(((I72*D72)*$G$92)+((I72*E72)*$G$94)+((I72*F72)*$G$96)+((I72*G72)*$G$98)+((I72*H72)*$G$100))*(8/12)</f>
        <v>65352.514568213875</v>
      </c>
      <c r="K72" s="235">
        <f>((H72*I72)*$G$102)*(8/12)</f>
        <v>1254.7847091271647</v>
      </c>
      <c r="L72" s="235">
        <f>SUM(J72:K72)</f>
        <v>66607.299277341037</v>
      </c>
      <c r="M72" s="270">
        <f>(I72*(8/12))*10000</f>
        <v>66666.666666666657</v>
      </c>
      <c r="N72" s="270">
        <f>(VLOOKUP(A72,'2016-17 Funding Detail'!$A$4:$X$23,21,FALSE)*8/12)*I72</f>
        <v>56859.071910521059</v>
      </c>
      <c r="O72" s="235"/>
      <c r="P72" s="235"/>
      <c r="Q72" s="269"/>
      <c r="R72" s="280"/>
      <c r="S72" s="36"/>
      <c r="T72" s="297" t="s">
        <v>207</v>
      </c>
      <c r="U72" s="296" t="s">
        <v>282</v>
      </c>
    </row>
    <row r="73" spans="1:21" x14ac:dyDescent="0.25">
      <c r="A73" s="244">
        <v>9257005</v>
      </c>
      <c r="B73" s="237" t="s">
        <v>208</v>
      </c>
      <c r="C73" s="267">
        <v>4</v>
      </c>
      <c r="D73" s="268">
        <f>'Revised Band Returns'!F31</f>
        <v>0.13157894736842105</v>
      </c>
      <c r="E73" s="268">
        <f>'Revised Band Returns'!H31</f>
        <v>0.35526315789473684</v>
      </c>
      <c r="F73" s="268">
        <f>'Revised Band Returns'!J31</f>
        <v>0.17105263157894737</v>
      </c>
      <c r="G73" s="268">
        <f>'Revised Band Returns'!L31</f>
        <v>0.14473684210526316</v>
      </c>
      <c r="H73" s="268">
        <f>'Revised Band Returns'!N31</f>
        <v>0.19736842105263158</v>
      </c>
      <c r="I73" s="233">
        <v>29</v>
      </c>
      <c r="J73" s="235">
        <f t="shared" ref="J73:J89" si="16">(((I73*D73)*$G$92)+((I73*E73)*$G$94)+((I73*F73)*$G$96)+((I73*G73)*$G$98)+((I73*H73)*$G$100))*(8/12)</f>
        <v>178206.27038965214</v>
      </c>
      <c r="K73" s="235">
        <f t="shared" ref="K73:K89" si="17">((H73*I73)*$G$102)*(8/12)</f>
        <v>10054.787998137414</v>
      </c>
      <c r="L73" s="235">
        <f>SUM(J73:K73)</f>
        <v>188261.05838778956</v>
      </c>
      <c r="M73" s="270">
        <f t="shared" ref="M73:M89" si="18">(I73*(8/12))*10000</f>
        <v>193333.33333333331</v>
      </c>
      <c r="N73" s="270">
        <f>(VLOOKUP(A73,'2016-17 Funding Detail'!$A$4:$X$23,21,FALSE)*8/12)*I73</f>
        <v>124916.13110066993</v>
      </c>
      <c r="O73" s="235"/>
      <c r="P73" s="235"/>
      <c r="Q73" s="269"/>
      <c r="R73" s="280"/>
      <c r="S73" s="36"/>
      <c r="T73" s="36"/>
      <c r="U73" s="36"/>
    </row>
    <row r="74" spans="1:21" x14ac:dyDescent="0.25">
      <c r="A74" s="244">
        <v>9257025</v>
      </c>
      <c r="B74" s="237" t="s">
        <v>209</v>
      </c>
      <c r="C74" s="267">
        <v>4</v>
      </c>
      <c r="D74" s="268">
        <f>'Revised Band Returns'!F32</f>
        <v>0.26415094339622641</v>
      </c>
      <c r="E74" s="268">
        <f>'Revised Band Returns'!H32</f>
        <v>0.41509433962264153</v>
      </c>
      <c r="F74" s="268">
        <f>'Revised Band Returns'!J32</f>
        <v>5.6603773584905662E-2</v>
      </c>
      <c r="G74" s="268">
        <f>'Revised Band Returns'!L32</f>
        <v>5.6603773584905662E-2</v>
      </c>
      <c r="H74" s="268">
        <f>'Revised Band Returns'!N32</f>
        <v>0.20754716981132076</v>
      </c>
      <c r="I74" s="233">
        <v>13</v>
      </c>
      <c r="J74" s="235">
        <f t="shared" si="16"/>
        <v>83038.256154782546</v>
      </c>
      <c r="K74" s="235">
        <f t="shared" si="17"/>
        <v>4739.7716748539324</v>
      </c>
      <c r="L74" s="235">
        <f t="shared" ref="L74:L89" si="19">SUM(J74:K74)</f>
        <v>87778.027829636485</v>
      </c>
      <c r="M74" s="270">
        <f t="shared" si="18"/>
        <v>86666.666666666657</v>
      </c>
      <c r="N74" s="270">
        <f>(VLOOKUP(A74,'2016-17 Funding Detail'!$A$4:$X$23,21,FALSE)*8/12)*I74</f>
        <v>72909.199751344873</v>
      </c>
      <c r="O74" s="235"/>
      <c r="P74" s="235"/>
      <c r="Q74" s="269"/>
      <c r="R74" s="280"/>
      <c r="S74" s="36"/>
      <c r="T74" s="36"/>
      <c r="U74" s="36"/>
    </row>
    <row r="75" spans="1:21" x14ac:dyDescent="0.25">
      <c r="A75" s="244">
        <v>9257011</v>
      </c>
      <c r="B75" s="237" t="s">
        <v>210</v>
      </c>
      <c r="C75" s="273">
        <v>4</v>
      </c>
      <c r="D75" s="268">
        <f>'Revised Band Returns'!F33</f>
        <v>0.4</v>
      </c>
      <c r="E75" s="268">
        <f>'Revised Band Returns'!H33</f>
        <v>0.42222222222222222</v>
      </c>
      <c r="F75" s="268">
        <f>'Revised Band Returns'!J33</f>
        <v>0</v>
      </c>
      <c r="G75" s="268">
        <f>'Revised Band Returns'!L33</f>
        <v>2.2222222222222223E-2</v>
      </c>
      <c r="H75" s="268">
        <f>'Revised Band Returns'!N33</f>
        <v>0.15555555555555556</v>
      </c>
      <c r="I75" s="233">
        <v>3</v>
      </c>
      <c r="J75" s="235">
        <f t="shared" si="16"/>
        <v>19717.56593696629</v>
      </c>
      <c r="K75" s="235">
        <f t="shared" si="17"/>
        <v>819.7926766297478</v>
      </c>
      <c r="L75" s="235">
        <f t="shared" si="19"/>
        <v>20537.358613596036</v>
      </c>
      <c r="M75" s="270">
        <f t="shared" si="18"/>
        <v>20000</v>
      </c>
      <c r="N75" s="270">
        <f>(VLOOKUP(A75,'2016-17 Funding Detail'!$A$4:$X$23,21,FALSE)*8/12)*I75</f>
        <v>21428.769655953642</v>
      </c>
      <c r="O75" s="235"/>
      <c r="P75" s="235"/>
      <c r="Q75" s="269"/>
      <c r="R75" s="280"/>
      <c r="S75" s="36"/>
      <c r="T75" s="36"/>
      <c r="U75" s="36"/>
    </row>
    <row r="76" spans="1:21" x14ac:dyDescent="0.25">
      <c r="A76" s="244">
        <v>9257024</v>
      </c>
      <c r="B76" s="237" t="s">
        <v>211</v>
      </c>
      <c r="C76" s="267">
        <v>3</v>
      </c>
      <c r="D76" s="268">
        <f>'Revised Band Returns'!F34</f>
        <v>0.2</v>
      </c>
      <c r="E76" s="268">
        <f>'Revised Band Returns'!H34</f>
        <v>0.5636363636363636</v>
      </c>
      <c r="F76" s="268">
        <f>'Revised Band Returns'!J34</f>
        <v>1.8181818181818181E-2</v>
      </c>
      <c r="G76" s="268">
        <f>'Revised Band Returns'!L34</f>
        <v>0.16363636363636364</v>
      </c>
      <c r="H76" s="268">
        <f>'Revised Band Returns'!N34</f>
        <v>5.4545454545454543E-2</v>
      </c>
      <c r="I76" s="233">
        <v>13</v>
      </c>
      <c r="J76" s="235">
        <f t="shared" si="16"/>
        <v>79262.90659153767</v>
      </c>
      <c r="K76" s="235">
        <f t="shared" si="17"/>
        <v>1245.6590021516945</v>
      </c>
      <c r="L76" s="235">
        <f t="shared" si="19"/>
        <v>80508.56559368936</v>
      </c>
      <c r="M76" s="270">
        <f t="shared" si="18"/>
        <v>86666.666666666657</v>
      </c>
      <c r="N76" s="270">
        <f>(VLOOKUP(A76,'2016-17 Funding Detail'!$A$4:$X$23,21,FALSE)*8/12)*I76</f>
        <v>55468.362113957315</v>
      </c>
      <c r="O76" s="235"/>
      <c r="P76" s="235"/>
      <c r="Q76" s="269"/>
      <c r="R76" s="280"/>
      <c r="S76" s="36"/>
      <c r="T76" s="36"/>
      <c r="U76" s="36"/>
    </row>
    <row r="77" spans="1:21" x14ac:dyDescent="0.25">
      <c r="A77" s="244">
        <v>9257031</v>
      </c>
      <c r="B77" s="237" t="s">
        <v>257</v>
      </c>
      <c r="C77" s="273">
        <v>4</v>
      </c>
      <c r="D77" s="268">
        <f>'Revised Band Returns'!F35</f>
        <v>0</v>
      </c>
      <c r="E77" s="268">
        <f>'Revised Band Returns'!H35</f>
        <v>0</v>
      </c>
      <c r="F77" s="268">
        <f>'Revised Band Returns'!J35</f>
        <v>0</v>
      </c>
      <c r="G77" s="268">
        <f>'Revised Band Returns'!L35</f>
        <v>0</v>
      </c>
      <c r="H77" s="268">
        <f>'Revised Band Returns'!N35</f>
        <v>1</v>
      </c>
      <c r="I77" s="233">
        <v>0</v>
      </c>
      <c r="J77" s="235">
        <f t="shared" si="16"/>
        <v>0</v>
      </c>
      <c r="K77" s="235">
        <f t="shared" si="17"/>
        <v>0</v>
      </c>
      <c r="L77" s="235">
        <f t="shared" si="19"/>
        <v>0</v>
      </c>
      <c r="M77" s="270">
        <f t="shared" si="18"/>
        <v>0</v>
      </c>
      <c r="N77" s="270">
        <f>(VLOOKUP(A77,'2016-17 Funding Detail'!$A$4:$X$23,21,FALSE)*8/12)*I77</f>
        <v>0</v>
      </c>
      <c r="O77" s="235"/>
      <c r="P77" s="235"/>
      <c r="Q77" s="269"/>
      <c r="R77" s="280"/>
      <c r="S77" s="36"/>
      <c r="T77" s="36"/>
      <c r="U77" s="36"/>
    </row>
    <row r="78" spans="1:21" x14ac:dyDescent="0.25">
      <c r="A78" s="244">
        <v>9257033</v>
      </c>
      <c r="B78" s="237" t="s">
        <v>220</v>
      </c>
      <c r="C78" s="267">
        <v>3</v>
      </c>
      <c r="D78" s="268">
        <f>'Revised Band Returns'!F36</f>
        <v>3.6363636363636362E-2</v>
      </c>
      <c r="E78" s="268">
        <f>'Revised Band Returns'!H36</f>
        <v>0.29090909090909089</v>
      </c>
      <c r="F78" s="268">
        <f>'Revised Band Returns'!J36</f>
        <v>0.27272727272727271</v>
      </c>
      <c r="G78" s="268">
        <f>'Revised Band Returns'!L36</f>
        <v>5.4545454545454543E-2</v>
      </c>
      <c r="H78" s="268">
        <f>'Revised Band Returns'!N36</f>
        <v>0.34545454545454546</v>
      </c>
      <c r="I78" s="233">
        <v>0</v>
      </c>
      <c r="J78" s="235">
        <f t="shared" si="16"/>
        <v>0</v>
      </c>
      <c r="K78" s="235">
        <f t="shared" si="17"/>
        <v>0</v>
      </c>
      <c r="L78" s="235">
        <f t="shared" si="19"/>
        <v>0</v>
      </c>
      <c r="M78" s="270">
        <f t="shared" si="18"/>
        <v>0</v>
      </c>
      <c r="N78" s="270">
        <f>(VLOOKUP(A78,'2016-17 Funding Detail'!$A$4:$X$23,21,FALSE)*8/12)*I78</f>
        <v>0</v>
      </c>
      <c r="O78" s="235"/>
      <c r="P78" s="235"/>
      <c r="Q78" s="269"/>
      <c r="R78" s="280"/>
      <c r="S78" s="36"/>
      <c r="T78" s="36"/>
      <c r="U78" s="36"/>
    </row>
    <row r="79" spans="1:21" x14ac:dyDescent="0.25">
      <c r="A79" s="244">
        <v>9257008</v>
      </c>
      <c r="B79" s="237" t="s">
        <v>212</v>
      </c>
      <c r="C79" s="267">
        <v>4</v>
      </c>
      <c r="D79" s="268">
        <f>'Revised Band Returns'!F37</f>
        <v>0</v>
      </c>
      <c r="E79" s="268">
        <f>'Revised Band Returns'!H37</f>
        <v>8.2352941176470587E-2</v>
      </c>
      <c r="F79" s="268">
        <f>'Revised Band Returns'!J37</f>
        <v>0.61176470588235299</v>
      </c>
      <c r="G79" s="268">
        <f>'Revised Band Returns'!L37</f>
        <v>2.3529411764705882E-2</v>
      </c>
      <c r="H79" s="268">
        <f>'Revised Band Returns'!N37</f>
        <v>0.28235294117647058</v>
      </c>
      <c r="I79" s="233">
        <v>0</v>
      </c>
      <c r="J79" s="235">
        <f t="shared" si="16"/>
        <v>0</v>
      </c>
      <c r="K79" s="235">
        <f t="shared" si="17"/>
        <v>0</v>
      </c>
      <c r="L79" s="235">
        <f t="shared" si="19"/>
        <v>0</v>
      </c>
      <c r="M79" s="270">
        <f t="shared" si="18"/>
        <v>0</v>
      </c>
      <c r="N79" s="270">
        <f>(VLOOKUP(A79,'2016-17 Funding Detail'!$A$4:$X$23,21,FALSE)*8/12)*I79</f>
        <v>0</v>
      </c>
      <c r="O79" s="235"/>
      <c r="P79" s="235"/>
      <c r="Q79" s="269"/>
      <c r="R79" s="280"/>
      <c r="S79" s="36"/>
      <c r="T79" s="36"/>
      <c r="U79" s="36"/>
    </row>
    <row r="80" spans="1:21" x14ac:dyDescent="0.25">
      <c r="A80" s="244">
        <v>9257034</v>
      </c>
      <c r="B80" s="237" t="s">
        <v>221</v>
      </c>
      <c r="C80" s="267">
        <v>5</v>
      </c>
      <c r="D80" s="268">
        <f>'Revised Band Returns'!F38</f>
        <v>7.0866141732283464E-2</v>
      </c>
      <c r="E80" s="268">
        <f>'Revised Band Returns'!H38</f>
        <v>0.16535433070866143</v>
      </c>
      <c r="F80" s="268">
        <f>'Revised Band Returns'!J38</f>
        <v>0.51968503937007871</v>
      </c>
      <c r="G80" s="268">
        <f>'Revised Band Returns'!L38</f>
        <v>3.937007874015748E-2</v>
      </c>
      <c r="H80" s="268">
        <f>'Revised Band Returns'!N38</f>
        <v>0.20472440944881889</v>
      </c>
      <c r="I80" s="233">
        <v>32</v>
      </c>
      <c r="J80" s="235">
        <f t="shared" si="16"/>
        <v>173710.38285600164</v>
      </c>
      <c r="K80" s="235">
        <f t="shared" si="17"/>
        <v>11508.450623553714</v>
      </c>
      <c r="L80" s="235">
        <f t="shared" si="19"/>
        <v>185218.83347955535</v>
      </c>
      <c r="M80" s="270">
        <f t="shared" si="18"/>
        <v>213333.33333333331</v>
      </c>
      <c r="N80" s="270">
        <f>(VLOOKUP(A80,'2016-17 Funding Detail'!$A$4:$X$23,21,FALSE)*8/12)*I80</f>
        <v>67733.220993228417</v>
      </c>
      <c r="O80" s="235"/>
      <c r="P80" s="235"/>
      <c r="Q80" s="269"/>
      <c r="R80" s="280"/>
      <c r="S80" s="36"/>
      <c r="T80" s="36"/>
      <c r="U80" s="36"/>
    </row>
    <row r="81" spans="1:18" x14ac:dyDescent="0.25">
      <c r="A81" s="244">
        <v>9257002</v>
      </c>
      <c r="B81" s="237" t="s">
        <v>213</v>
      </c>
      <c r="C81" s="273">
        <v>5</v>
      </c>
      <c r="D81" s="268">
        <f>'Revised Band Returns'!F39</f>
        <v>8.4033613445378148E-3</v>
      </c>
      <c r="E81" s="268">
        <f>'Revised Band Returns'!H39</f>
        <v>0.27731092436974791</v>
      </c>
      <c r="F81" s="268">
        <f>'Revised Band Returns'!J39</f>
        <v>0.59663865546218486</v>
      </c>
      <c r="G81" s="268">
        <f>'Revised Band Returns'!L39</f>
        <v>2.5210084033613446E-2</v>
      </c>
      <c r="H81" s="268">
        <f>'Revised Band Returns'!N39</f>
        <v>9.2436974789915971E-2</v>
      </c>
      <c r="I81" s="233">
        <v>0</v>
      </c>
      <c r="J81" s="235">
        <f t="shared" si="16"/>
        <v>0</v>
      </c>
      <c r="K81" s="235">
        <f t="shared" si="17"/>
        <v>0</v>
      </c>
      <c r="L81" s="235">
        <f t="shared" si="19"/>
        <v>0</v>
      </c>
      <c r="M81" s="270">
        <f t="shared" si="18"/>
        <v>0</v>
      </c>
      <c r="N81" s="270">
        <f>(VLOOKUP(A81,'2016-17 Funding Detail'!$A$4:$X$23,21,FALSE)*8/12)*I81</f>
        <v>0</v>
      </c>
      <c r="O81" s="235"/>
      <c r="P81" s="235"/>
      <c r="Q81" s="269"/>
      <c r="R81" s="280"/>
    </row>
    <row r="82" spans="1:18" x14ac:dyDescent="0.25">
      <c r="A82" s="244">
        <v>9257009</v>
      </c>
      <c r="B82" s="237" t="s">
        <v>214</v>
      </c>
      <c r="C82" s="267">
        <v>4</v>
      </c>
      <c r="D82" s="268">
        <f>'Revised Band Returns'!F40</f>
        <v>0</v>
      </c>
      <c r="E82" s="268">
        <f>'Revised Band Returns'!H40</f>
        <v>0.14615384615384616</v>
      </c>
      <c r="F82" s="268">
        <f>'Revised Band Returns'!J40</f>
        <v>0.7</v>
      </c>
      <c r="G82" s="268">
        <f>'Revised Band Returns'!L40</f>
        <v>1.5384615384615385E-2</v>
      </c>
      <c r="H82" s="268">
        <f>'Revised Band Returns'!N40</f>
        <v>0.13846153846153847</v>
      </c>
      <c r="I82" s="233">
        <v>0</v>
      </c>
      <c r="J82" s="235">
        <f t="shared" si="16"/>
        <v>0</v>
      </c>
      <c r="K82" s="235">
        <f t="shared" si="17"/>
        <v>0</v>
      </c>
      <c r="L82" s="235">
        <f t="shared" si="19"/>
        <v>0</v>
      </c>
      <c r="M82" s="270">
        <f t="shared" si="18"/>
        <v>0</v>
      </c>
      <c r="N82" s="270">
        <f>(VLOOKUP(A82,'2016-17 Funding Detail'!$A$4:$X$23,21,FALSE)*8/12)*I82</f>
        <v>0</v>
      </c>
      <c r="O82" s="235"/>
      <c r="P82" s="235"/>
      <c r="Q82" s="269"/>
      <c r="R82" s="280"/>
    </row>
    <row r="83" spans="1:18" x14ac:dyDescent="0.25">
      <c r="A83" s="244">
        <v>9257029</v>
      </c>
      <c r="B83" s="237" t="s">
        <v>259</v>
      </c>
      <c r="C83" s="267">
        <v>3</v>
      </c>
      <c r="D83" s="268">
        <f>'Revised Band Returns'!F41</f>
        <v>0</v>
      </c>
      <c r="E83" s="268">
        <f>'Revised Band Returns'!H41</f>
        <v>0</v>
      </c>
      <c r="F83" s="268">
        <f>'Revised Band Returns'!J41</f>
        <v>0</v>
      </c>
      <c r="G83" s="268">
        <f>'Revised Band Returns'!L41</f>
        <v>0</v>
      </c>
      <c r="H83" s="268">
        <f>'Revised Band Returns'!N41</f>
        <v>1</v>
      </c>
      <c r="I83" s="233">
        <v>0</v>
      </c>
      <c r="J83" s="235">
        <f t="shared" si="16"/>
        <v>0</v>
      </c>
      <c r="K83" s="235">
        <f t="shared" si="17"/>
        <v>0</v>
      </c>
      <c r="L83" s="235">
        <f t="shared" si="19"/>
        <v>0</v>
      </c>
      <c r="M83" s="270">
        <f t="shared" si="18"/>
        <v>0</v>
      </c>
      <c r="N83" s="270">
        <f>(VLOOKUP(A83,'2016-17 Funding Detail'!$A$4:$X$23,21,FALSE)*8/12)*I83</f>
        <v>0</v>
      </c>
      <c r="O83" s="235"/>
      <c r="P83" s="235"/>
      <c r="Q83" s="269"/>
      <c r="R83" s="280"/>
    </row>
    <row r="84" spans="1:18" x14ac:dyDescent="0.25">
      <c r="A84" s="244">
        <v>9257032</v>
      </c>
      <c r="B84" s="237" t="s">
        <v>261</v>
      </c>
      <c r="C84" s="267">
        <v>4</v>
      </c>
      <c r="D84" s="268">
        <f>'Revised Band Returns'!F42</f>
        <v>0</v>
      </c>
      <c r="E84" s="268">
        <f>'Revised Band Returns'!H42</f>
        <v>0</v>
      </c>
      <c r="F84" s="268">
        <f>'Revised Band Returns'!J42</f>
        <v>0</v>
      </c>
      <c r="G84" s="268">
        <f>'Revised Band Returns'!L42</f>
        <v>0</v>
      </c>
      <c r="H84" s="268">
        <f>'Revised Band Returns'!N42</f>
        <v>1</v>
      </c>
      <c r="I84" s="233">
        <v>0</v>
      </c>
      <c r="J84" s="235">
        <f t="shared" si="16"/>
        <v>0</v>
      </c>
      <c r="K84" s="235">
        <f t="shared" si="17"/>
        <v>0</v>
      </c>
      <c r="L84" s="235">
        <f t="shared" si="19"/>
        <v>0</v>
      </c>
      <c r="M84" s="270">
        <f t="shared" si="18"/>
        <v>0</v>
      </c>
      <c r="N84" s="270">
        <f>(VLOOKUP(A84,'2016-17 Funding Detail'!$A$4:$X$23,21,FALSE)*8/12)*I84</f>
        <v>0</v>
      </c>
      <c r="O84" s="235"/>
      <c r="P84" s="235"/>
      <c r="Q84" s="269"/>
      <c r="R84" s="280"/>
    </row>
    <row r="85" spans="1:18" x14ac:dyDescent="0.25">
      <c r="A85" s="244">
        <v>9257030</v>
      </c>
      <c r="B85" s="237" t="s">
        <v>262</v>
      </c>
      <c r="C85" s="267">
        <v>4</v>
      </c>
      <c r="D85" s="268">
        <f>'Revised Band Returns'!F43</f>
        <v>0</v>
      </c>
      <c r="E85" s="268">
        <f>'Revised Band Returns'!H43</f>
        <v>0</v>
      </c>
      <c r="F85" s="268">
        <f>'Revised Band Returns'!J43</f>
        <v>0</v>
      </c>
      <c r="G85" s="268">
        <f>'Revised Band Returns'!L43</f>
        <v>0</v>
      </c>
      <c r="H85" s="268">
        <f>'Revised Band Returns'!N43</f>
        <v>1</v>
      </c>
      <c r="I85" s="233">
        <v>0</v>
      </c>
      <c r="J85" s="235">
        <f t="shared" si="16"/>
        <v>0</v>
      </c>
      <c r="K85" s="235">
        <f t="shared" si="17"/>
        <v>0</v>
      </c>
      <c r="L85" s="235">
        <f t="shared" si="19"/>
        <v>0</v>
      </c>
      <c r="M85" s="270">
        <f t="shared" si="18"/>
        <v>0</v>
      </c>
      <c r="N85" s="270">
        <f>(VLOOKUP(A85,'2016-17 Funding Detail'!$A$4:$X$23,21,FALSE)*8/12)*I85</f>
        <v>0</v>
      </c>
      <c r="O85" s="235"/>
      <c r="P85" s="235"/>
      <c r="Q85" s="269"/>
      <c r="R85" s="280"/>
    </row>
    <row r="86" spans="1:18" x14ac:dyDescent="0.25">
      <c r="A86" s="244">
        <v>9257028</v>
      </c>
      <c r="B86" s="237" t="s">
        <v>215</v>
      </c>
      <c r="C86" s="273">
        <v>5</v>
      </c>
      <c r="D86" s="268">
        <f>'Revised Band Returns'!F44</f>
        <v>0.23943661971830985</v>
      </c>
      <c r="E86" s="268">
        <f>'Revised Band Returns'!H44</f>
        <v>0.3380281690140845</v>
      </c>
      <c r="F86" s="268">
        <f>'Revised Band Returns'!J44</f>
        <v>0</v>
      </c>
      <c r="G86" s="268">
        <f>'Revised Band Returns'!L44</f>
        <v>0.18309859154929578</v>
      </c>
      <c r="H86" s="268">
        <f>'Revised Band Returns'!N44</f>
        <v>0.23943661971830985</v>
      </c>
      <c r="I86" s="233">
        <v>16</v>
      </c>
      <c r="J86" s="235">
        <f t="shared" si="16"/>
        <v>109059.6622296799</v>
      </c>
      <c r="K86" s="235">
        <f t="shared" si="17"/>
        <v>6729.8875666989343</v>
      </c>
      <c r="L86" s="235">
        <f t="shared" si="19"/>
        <v>115789.54979637884</v>
      </c>
      <c r="M86" s="270">
        <f t="shared" si="18"/>
        <v>106666.66666666666</v>
      </c>
      <c r="N86" s="270">
        <f>(VLOOKUP(A86,'2016-17 Funding Detail'!$A$4:$X$23,21,FALSE)*8/12)*I86</f>
        <v>92564.037350831481</v>
      </c>
      <c r="O86" s="235"/>
      <c r="P86" s="235"/>
      <c r="Q86" s="269"/>
      <c r="R86" s="280"/>
    </row>
    <row r="87" spans="1:18" x14ac:dyDescent="0.25">
      <c r="A87" s="244">
        <v>9257021</v>
      </c>
      <c r="B87" s="237" t="s">
        <v>216</v>
      </c>
      <c r="C87" s="273">
        <v>5</v>
      </c>
      <c r="D87" s="268">
        <f>'Revised Band Returns'!F45</f>
        <v>0</v>
      </c>
      <c r="E87" s="268">
        <f>'Revised Band Returns'!H45</f>
        <v>9.8591549295774641E-2</v>
      </c>
      <c r="F87" s="268">
        <f>'Revised Band Returns'!J45</f>
        <v>0.71830985915492962</v>
      </c>
      <c r="G87" s="268">
        <f>'Revised Band Returns'!L45</f>
        <v>4.2253521126760563E-2</v>
      </c>
      <c r="H87" s="268">
        <f>'Revised Band Returns'!N45</f>
        <v>0.14084507042253522</v>
      </c>
      <c r="I87" s="233">
        <v>0</v>
      </c>
      <c r="J87" s="235">
        <f t="shared" si="16"/>
        <v>0</v>
      </c>
      <c r="K87" s="235">
        <f t="shared" si="17"/>
        <v>0</v>
      </c>
      <c r="L87" s="235">
        <f t="shared" si="19"/>
        <v>0</v>
      </c>
      <c r="M87" s="270">
        <f t="shared" si="18"/>
        <v>0</v>
      </c>
      <c r="N87" s="270">
        <f>(VLOOKUP(A87,'2016-17 Funding Detail'!$A$4:$X$23,21,FALSE)*8/12)*I87</f>
        <v>0</v>
      </c>
      <c r="O87" s="235"/>
      <c r="P87" s="235"/>
      <c r="Q87" s="269"/>
      <c r="R87" s="280"/>
    </row>
    <row r="88" spans="1:18" x14ac:dyDescent="0.25">
      <c r="A88" s="244">
        <v>9257015</v>
      </c>
      <c r="B88" s="237" t="s">
        <v>217</v>
      </c>
      <c r="C88" s="267">
        <v>6</v>
      </c>
      <c r="D88" s="268">
        <f>'Revised Band Returns'!F46</f>
        <v>6.0483870967741937E-2</v>
      </c>
      <c r="E88" s="268">
        <f>'Revised Band Returns'!H46</f>
        <v>0.22177419354838709</v>
      </c>
      <c r="F88" s="268">
        <f>'Revised Band Returns'!J46</f>
        <v>0.65322580645161288</v>
      </c>
      <c r="G88" s="268">
        <f>'Revised Band Returns'!L46</f>
        <v>0</v>
      </c>
      <c r="H88" s="268">
        <f>'Revised Band Returns'!N46</f>
        <v>6.4516129032258063E-2</v>
      </c>
      <c r="I88" s="233">
        <v>19</v>
      </c>
      <c r="J88" s="235">
        <f t="shared" si="16"/>
        <v>90821.727095352442</v>
      </c>
      <c r="K88" s="235">
        <f t="shared" si="17"/>
        <v>2153.3724685666184</v>
      </c>
      <c r="L88" s="235">
        <f t="shared" si="19"/>
        <v>92975.099563919066</v>
      </c>
      <c r="M88" s="270">
        <f t="shared" si="18"/>
        <v>126666.66666666666</v>
      </c>
      <c r="N88" s="270">
        <f>(VLOOKUP(A88,'2016-17 Funding Detail'!$A$4:$X$23,21,FALSE)*8/12)*I88</f>
        <v>0</v>
      </c>
      <c r="O88" s="235"/>
      <c r="P88" s="235"/>
      <c r="Q88" s="269"/>
      <c r="R88" s="280"/>
    </row>
    <row r="89" spans="1:18" x14ac:dyDescent="0.25">
      <c r="A89" s="244">
        <v>9257016</v>
      </c>
      <c r="B89" s="237" t="s">
        <v>219</v>
      </c>
      <c r="C89" s="274">
        <v>6</v>
      </c>
      <c r="D89" s="268">
        <f>'Revised Band Returns'!F47</f>
        <v>0.50370370370370365</v>
      </c>
      <c r="E89" s="268">
        <f>'Revised Band Returns'!H47</f>
        <v>0</v>
      </c>
      <c r="F89" s="268">
        <f>'Revised Band Returns'!J47</f>
        <v>0.28888888888888886</v>
      </c>
      <c r="G89" s="268">
        <f>'Revised Band Returns'!L47</f>
        <v>0.2074074074074074</v>
      </c>
      <c r="H89" s="268">
        <f>'Revised Band Returns'!N47</f>
        <v>0</v>
      </c>
      <c r="I89" s="233">
        <v>54</v>
      </c>
      <c r="J89" s="235">
        <f t="shared" si="16"/>
        <v>364250.46306133131</v>
      </c>
      <c r="K89" s="235">
        <f t="shared" si="17"/>
        <v>0</v>
      </c>
      <c r="L89" s="235">
        <f t="shared" si="19"/>
        <v>364250.46306133131</v>
      </c>
      <c r="M89" s="270">
        <f t="shared" si="18"/>
        <v>360000</v>
      </c>
      <c r="N89" s="270">
        <f>(VLOOKUP(A89,'2016-17 Funding Detail'!$A$4:$X$23,21,FALSE)*8/12)*I89</f>
        <v>228850.70444840923</v>
      </c>
      <c r="O89" s="299" t="s">
        <v>207</v>
      </c>
      <c r="P89" s="235"/>
      <c r="Q89" s="269"/>
      <c r="R89" s="280"/>
    </row>
    <row r="90" spans="1:18" x14ac:dyDescent="0.25">
      <c r="A90" s="36"/>
      <c r="B90" s="36"/>
      <c r="C90" s="36"/>
      <c r="D90" s="36"/>
      <c r="E90" s="36"/>
      <c r="F90" s="36"/>
      <c r="G90" s="36"/>
      <c r="H90" s="299" t="s">
        <v>207</v>
      </c>
      <c r="I90" s="299" t="s">
        <v>207</v>
      </c>
      <c r="J90" s="234"/>
      <c r="K90" s="36"/>
      <c r="L90" s="299" t="s">
        <v>207</v>
      </c>
      <c r="M90" s="36"/>
      <c r="N90" s="36"/>
      <c r="O90" s="36"/>
      <c r="P90" s="36"/>
      <c r="Q90" s="36"/>
      <c r="R90" s="36"/>
    </row>
    <row r="92" spans="1:18" x14ac:dyDescent="0.25">
      <c r="A92" s="36"/>
      <c r="B92" s="36"/>
      <c r="C92" s="35"/>
      <c r="D92" s="36"/>
      <c r="E92" s="36" t="s">
        <v>39</v>
      </c>
      <c r="F92" s="36"/>
      <c r="G92" s="235">
        <f>'Funding Model'!D7</f>
        <v>11692.020638096787</v>
      </c>
      <c r="H92" s="281"/>
      <c r="I92" s="281"/>
      <c r="J92" s="281"/>
      <c r="K92" s="281"/>
      <c r="L92" s="281"/>
      <c r="M92" s="281"/>
      <c r="N92" s="281"/>
      <c r="O92" s="281"/>
      <c r="P92" s="281"/>
      <c r="Q92" s="281"/>
      <c r="R92" s="36"/>
    </row>
    <row r="93" spans="1:18" x14ac:dyDescent="0.25">
      <c r="A93" s="36"/>
      <c r="B93" s="36"/>
      <c r="C93" s="36"/>
      <c r="D93" s="36"/>
      <c r="E93" s="36"/>
      <c r="F93" s="36"/>
      <c r="G93" s="235"/>
      <c r="H93" s="281"/>
      <c r="I93" s="281"/>
      <c r="J93" s="281"/>
      <c r="K93" s="281"/>
      <c r="L93" s="281"/>
      <c r="M93" s="281"/>
      <c r="N93" s="281"/>
      <c r="O93" s="281"/>
      <c r="P93" s="281"/>
      <c r="Q93" s="281"/>
      <c r="R93" s="36"/>
    </row>
    <row r="94" spans="1:18" x14ac:dyDescent="0.25">
      <c r="A94" s="36"/>
      <c r="B94" s="36"/>
      <c r="C94" s="35"/>
      <c r="D94" s="36"/>
      <c r="E94" s="36" t="s">
        <v>42</v>
      </c>
      <c r="F94" s="36"/>
      <c r="G94" s="235">
        <f>'Funding Model'!D9</f>
        <v>7350.1419469065795</v>
      </c>
      <c r="H94" s="281"/>
      <c r="I94" s="281"/>
      <c r="J94" s="281"/>
      <c r="K94" s="281"/>
      <c r="L94" s="281"/>
      <c r="M94" s="281"/>
      <c r="N94" s="281"/>
      <c r="O94" s="281"/>
      <c r="P94" s="281"/>
      <c r="Q94" s="281"/>
      <c r="R94" s="36"/>
    </row>
    <row r="95" spans="1:18" x14ac:dyDescent="0.25">
      <c r="A95" s="36"/>
      <c r="B95" s="36"/>
      <c r="C95" s="36"/>
      <c r="D95" s="36"/>
      <c r="E95" s="36"/>
      <c r="F95" s="36"/>
      <c r="G95" s="235"/>
      <c r="H95" s="281"/>
      <c r="I95" s="281"/>
      <c r="J95" s="281"/>
      <c r="K95" s="281"/>
      <c r="L95" s="281"/>
      <c r="M95" s="281"/>
      <c r="N95" s="281"/>
      <c r="O95" s="281"/>
      <c r="P95" s="281"/>
      <c r="Q95" s="281"/>
      <c r="R95" s="36"/>
    </row>
    <row r="96" spans="1:18" x14ac:dyDescent="0.25">
      <c r="A96" s="36"/>
      <c r="B96" s="36"/>
      <c r="C96" s="35"/>
      <c r="D96" s="36"/>
      <c r="E96" s="36" t="s">
        <v>45</v>
      </c>
      <c r="F96" s="36"/>
      <c r="G96" s="235">
        <f>'Funding Model'!D11</f>
        <v>6243.7244928897762</v>
      </c>
      <c r="H96" s="281"/>
      <c r="I96" s="281"/>
      <c r="J96" s="281"/>
      <c r="K96" s="281"/>
      <c r="L96" s="281"/>
      <c r="M96" s="281"/>
      <c r="N96" s="281"/>
      <c r="O96" s="281"/>
      <c r="P96" s="281"/>
      <c r="Q96" s="281"/>
      <c r="R96" s="36"/>
    </row>
    <row r="97" spans="1:41" x14ac:dyDescent="0.25">
      <c r="A97" s="36"/>
      <c r="B97" s="36"/>
      <c r="C97" s="36"/>
      <c r="D97" s="36"/>
      <c r="E97" s="36"/>
      <c r="F97" s="36"/>
      <c r="G97" s="235"/>
      <c r="H97" s="281"/>
      <c r="I97" s="281"/>
      <c r="J97" s="281"/>
      <c r="K97" s="281"/>
      <c r="L97" s="281"/>
      <c r="M97" s="281"/>
      <c r="N97" s="281"/>
      <c r="O97" s="281"/>
      <c r="P97" s="281"/>
      <c r="Q97" s="281"/>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row>
    <row r="98" spans="1:41" x14ac:dyDescent="0.25">
      <c r="A98" s="36"/>
      <c r="B98" s="36"/>
      <c r="C98" s="35"/>
      <c r="D98" s="36"/>
      <c r="E98" s="36" t="s">
        <v>48</v>
      </c>
      <c r="F98" s="36"/>
      <c r="G98" s="235">
        <f>'Funding Model'!D13</f>
        <v>11692.020638096787</v>
      </c>
      <c r="H98" s="281"/>
      <c r="I98" s="281"/>
      <c r="J98" s="281"/>
      <c r="K98" s="281"/>
      <c r="L98" s="281"/>
      <c r="M98" s="281"/>
      <c r="N98" s="281"/>
      <c r="O98" s="281"/>
      <c r="P98" s="281"/>
      <c r="Q98" s="281"/>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row>
    <row r="99" spans="1:41" x14ac:dyDescent="0.25">
      <c r="A99" s="36"/>
      <c r="B99" s="36"/>
      <c r="C99" s="36"/>
      <c r="D99" s="36"/>
      <c r="E99" s="36"/>
      <c r="F99" s="36"/>
      <c r="G99" s="235"/>
      <c r="H99" s="281"/>
      <c r="I99" s="281"/>
      <c r="J99" s="281"/>
      <c r="K99" s="281"/>
      <c r="L99" s="281"/>
      <c r="M99" s="281"/>
      <c r="N99" s="281"/>
      <c r="O99" s="281"/>
      <c r="P99" s="281"/>
      <c r="Q99" s="281"/>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row>
    <row r="100" spans="1:41" x14ac:dyDescent="0.25">
      <c r="A100" s="36"/>
      <c r="B100" s="36"/>
      <c r="C100" s="35"/>
      <c r="D100" s="36"/>
      <c r="E100" s="36" t="s">
        <v>51</v>
      </c>
      <c r="F100" s="36"/>
      <c r="G100" s="235">
        <f>'Funding Model'!D15</f>
        <v>11692.020638096787</v>
      </c>
      <c r="H100" s="281"/>
      <c r="I100" s="281"/>
      <c r="J100" s="281"/>
      <c r="K100" s="281"/>
      <c r="L100" s="281"/>
      <c r="M100" s="281"/>
      <c r="N100" s="281"/>
      <c r="O100" s="281"/>
      <c r="P100" s="281"/>
      <c r="Q100" s="281"/>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row>
    <row r="101" spans="1:41" ht="14" x14ac:dyDescent="0.3">
      <c r="A101" s="36"/>
      <c r="B101" s="37"/>
      <c r="C101" s="38"/>
      <c r="D101" s="39"/>
      <c r="E101" s="281"/>
      <c r="F101" s="36"/>
      <c r="G101" s="36"/>
      <c r="H101" s="282"/>
      <c r="I101" s="281"/>
      <c r="J101" s="281"/>
      <c r="K101" s="282"/>
      <c r="L101" s="282"/>
      <c r="M101" s="282"/>
      <c r="N101" s="282"/>
      <c r="O101" s="282"/>
      <c r="P101" s="282"/>
      <c r="Q101" s="282"/>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row>
    <row r="102" spans="1:41" ht="14" x14ac:dyDescent="0.3">
      <c r="A102" s="36"/>
      <c r="B102" s="40"/>
      <c r="C102" s="41"/>
      <c r="D102" s="36"/>
      <c r="E102" s="36" t="s">
        <v>283</v>
      </c>
      <c r="F102" s="36"/>
      <c r="G102" s="235">
        <f>'Funding Model'!D17</f>
        <v>2635.0478891670464</v>
      </c>
      <c r="H102" s="281"/>
      <c r="I102" s="281"/>
      <c r="J102" s="281"/>
      <c r="K102" s="281"/>
      <c r="L102" s="281"/>
      <c r="M102" s="281"/>
      <c r="N102" s="281"/>
      <c r="O102" s="281"/>
      <c r="P102" s="281"/>
      <c r="Q102" s="281"/>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row>
    <row r="106" spans="1:41" ht="13" x14ac:dyDescent="0.3">
      <c r="A106" s="36"/>
      <c r="B106" s="36"/>
      <c r="C106" s="36"/>
      <c r="D106" s="1448" t="s">
        <v>284</v>
      </c>
      <c r="E106" s="1449"/>
      <c r="F106" s="1450"/>
      <c r="G106" s="1448" t="s">
        <v>284</v>
      </c>
      <c r="H106" s="1449"/>
      <c r="I106" s="1450"/>
      <c r="J106" s="1448" t="s">
        <v>264</v>
      </c>
      <c r="K106" s="1449"/>
      <c r="L106" s="1450"/>
      <c r="M106" s="170" t="s">
        <v>285</v>
      </c>
      <c r="N106" s="1448" t="s">
        <v>284</v>
      </c>
      <c r="O106" s="1449"/>
      <c r="P106" s="1450"/>
      <c r="Q106" s="1448" t="s">
        <v>264</v>
      </c>
      <c r="R106" s="1449"/>
      <c r="S106" s="1450"/>
      <c r="T106" s="170" t="s">
        <v>285</v>
      </c>
      <c r="U106" s="171" t="s">
        <v>285</v>
      </c>
      <c r="V106" s="172"/>
      <c r="W106" s="173"/>
      <c r="X106" s="36"/>
      <c r="Y106" s="36"/>
      <c r="Z106" s="36"/>
      <c r="AA106" s="36"/>
      <c r="AB106" s="36"/>
      <c r="AC106" s="36"/>
      <c r="AD106" s="36"/>
      <c r="AE106" s="36"/>
      <c r="AF106" s="36"/>
      <c r="AG106" s="36"/>
      <c r="AH106" s="36"/>
      <c r="AI106" s="36"/>
      <c r="AJ106" s="36"/>
      <c r="AK106" s="36"/>
      <c r="AL106" s="1443" t="s">
        <v>286</v>
      </c>
      <c r="AM106" s="36"/>
      <c r="AN106" s="36"/>
      <c r="AO106" s="36"/>
    </row>
    <row r="107" spans="1:41" ht="41.25" customHeight="1" x14ac:dyDescent="0.3">
      <c r="A107" s="283" t="s">
        <v>182</v>
      </c>
      <c r="B107" s="284" t="s">
        <v>183</v>
      </c>
      <c r="C107" s="238" t="s">
        <v>184</v>
      </c>
      <c r="D107" s="242" t="str">
        <f t="shared" ref="D107:D125" si="20">L5</f>
        <v>Assessment Funding (Apr-Aug)</v>
      </c>
      <c r="E107" s="241" t="str">
        <f t="shared" ref="E107:E125" si="21">L49</f>
        <v>Assessment Funding (Sept-Mar)</v>
      </c>
      <c r="F107" s="96" t="s">
        <v>287</v>
      </c>
      <c r="G107" s="241" t="str">
        <f t="shared" ref="G107:G125" si="22">M5</f>
        <v>Pre-16 Funding (Apr-Aug)</v>
      </c>
      <c r="H107" s="242" t="str">
        <f t="shared" ref="H107:H125" si="23">M49</f>
        <v>Pre-16 Funding (Sept-Mar)</v>
      </c>
      <c r="I107" s="96" t="s">
        <v>288</v>
      </c>
      <c r="J107" s="242" t="str">
        <f t="shared" ref="J107:J125" si="24">J27</f>
        <v>Post-16 Funding (Apr-Jul)</v>
      </c>
      <c r="K107" s="241" t="str">
        <f t="shared" ref="K107:K125" si="25">J71</f>
        <v>Post-16 Funding (Aug-Mar)</v>
      </c>
      <c r="L107" s="96" t="s">
        <v>289</v>
      </c>
      <c r="M107" s="96" t="s">
        <v>290</v>
      </c>
      <c r="N107" s="241" t="str">
        <f t="shared" ref="N107:N125" si="26">N5</f>
        <v>Additionality Funding (Apr-Aug)</v>
      </c>
      <c r="O107" s="241" t="str">
        <f t="shared" ref="O107:O125" si="27">N49</f>
        <v>Additionality Funding (Sept-Mar)</v>
      </c>
      <c r="P107" s="96" t="s">
        <v>291</v>
      </c>
      <c r="Q107" s="241" t="str">
        <f t="shared" ref="Q107:Q125" si="28">K27</f>
        <v>Additionality Funding (Apr-Jul)</v>
      </c>
      <c r="R107" s="242" t="str">
        <f t="shared" ref="R107:R125" si="29">K71</f>
        <v>Additionality Funding (Aug-Mar)</v>
      </c>
      <c r="S107" s="96" t="s">
        <v>291</v>
      </c>
      <c r="T107" s="96" t="s">
        <v>292</v>
      </c>
      <c r="U107" s="96" t="s">
        <v>189</v>
      </c>
      <c r="V107" s="241" t="s">
        <v>293</v>
      </c>
      <c r="W107" s="285" t="s">
        <v>294</v>
      </c>
      <c r="X107" s="237"/>
      <c r="Y107" s="241" t="s">
        <v>295</v>
      </c>
      <c r="Z107" s="241" t="s">
        <v>267</v>
      </c>
      <c r="AA107" s="96" t="s">
        <v>296</v>
      </c>
      <c r="AB107" s="96" t="s">
        <v>189</v>
      </c>
      <c r="AC107" s="241" t="s">
        <v>194</v>
      </c>
      <c r="AD107" s="241" t="s">
        <v>297</v>
      </c>
      <c r="AE107" s="241" t="s">
        <v>298</v>
      </c>
      <c r="AF107" s="96" t="s">
        <v>299</v>
      </c>
      <c r="AG107" s="241" t="s">
        <v>300</v>
      </c>
      <c r="AH107" s="241" t="s">
        <v>301</v>
      </c>
      <c r="AI107" s="96" t="s">
        <v>302</v>
      </c>
      <c r="AJ107" s="96" t="s">
        <v>303</v>
      </c>
      <c r="AK107" s="284"/>
      <c r="AL107" s="1444"/>
      <c r="AM107" s="36"/>
      <c r="AN107" s="36"/>
      <c r="AO107" s="36"/>
    </row>
    <row r="108" spans="1:41" ht="13" x14ac:dyDescent="0.3">
      <c r="A108" s="244">
        <v>9257010</v>
      </c>
      <c r="B108" s="237" t="s">
        <v>205</v>
      </c>
      <c r="C108" s="267">
        <v>3</v>
      </c>
      <c r="D108" s="245">
        <f t="shared" si="20"/>
        <v>0</v>
      </c>
      <c r="E108" s="245">
        <f t="shared" si="21"/>
        <v>0</v>
      </c>
      <c r="F108" s="68">
        <f>SUM(D108:E108)</f>
        <v>0</v>
      </c>
      <c r="G108" s="245">
        <f t="shared" si="22"/>
        <v>138874.09345745452</v>
      </c>
      <c r="H108" s="245">
        <f t="shared" si="23"/>
        <v>223015.45596402991</v>
      </c>
      <c r="I108" s="68">
        <f>SUM(G108:H108)</f>
        <v>361889.54942148447</v>
      </c>
      <c r="J108" s="245">
        <f t="shared" si="24"/>
        <v>32676.257284106938</v>
      </c>
      <c r="K108" s="245">
        <f t="shared" si="25"/>
        <v>65352.514568213875</v>
      </c>
      <c r="L108" s="68">
        <f>SUM(J108:K108)</f>
        <v>98028.771852320817</v>
      </c>
      <c r="M108" s="68">
        <f>I108+L108</f>
        <v>459918.32127380528</v>
      </c>
      <c r="N108" s="245">
        <f t="shared" si="26"/>
        <v>2666.4175068952254</v>
      </c>
      <c r="O108" s="245">
        <f t="shared" si="27"/>
        <v>4281.9528198964508</v>
      </c>
      <c r="P108" s="68">
        <f>SUM(N108:O108)</f>
        <v>6948.3703267916762</v>
      </c>
      <c r="Q108" s="245">
        <f t="shared" si="28"/>
        <v>627.39235456358233</v>
      </c>
      <c r="R108" s="245">
        <f t="shared" si="29"/>
        <v>1254.7847091271647</v>
      </c>
      <c r="S108" s="68">
        <f>SUM(Q108:R108)</f>
        <v>1882.177063690747</v>
      </c>
      <c r="T108" s="68">
        <f>P108+S108</f>
        <v>8830.547390482423</v>
      </c>
      <c r="U108" s="68">
        <f>F108+I108+L108+P108+S108</f>
        <v>468748.86866428767</v>
      </c>
      <c r="V108" s="286">
        <f>(K6*(5/12))+(K50*(7/12))+(I28*(4/12))+(I72*(8/12))</f>
        <v>46.916666666666671</v>
      </c>
      <c r="W108" s="245">
        <f t="shared" ref="W108:W125" si="30">U108/V108</f>
        <v>9991.0948916011566</v>
      </c>
      <c r="X108" s="237"/>
      <c r="Y108" s="245">
        <f>P6+P50</f>
        <v>369166.66666666669</v>
      </c>
      <c r="Z108" s="245">
        <f>M28+M72</f>
        <v>99999.999999999985</v>
      </c>
      <c r="AA108" s="245">
        <f>Y108+Z108</f>
        <v>469166.66666666669</v>
      </c>
      <c r="AB108" s="245">
        <f>VLOOKUP(A108,'2016-17 Funding Detail'!$A$4:$X$23,24,FALSE)</f>
        <v>869312.38523695874</v>
      </c>
      <c r="AC108" s="245">
        <f>AB108-AA108</f>
        <v>400145.71857029205</v>
      </c>
      <c r="AD108" s="245">
        <f>Q6</f>
        <v>120825.52780985726</v>
      </c>
      <c r="AE108" s="245">
        <f>Q50</f>
        <v>194031.58289465314</v>
      </c>
      <c r="AF108" s="245">
        <f>AD108+AE108</f>
        <v>314857.11070451041</v>
      </c>
      <c r="AG108" s="245">
        <f t="shared" ref="AG108:AG125" si="31">N28</f>
        <v>28429.53595526053</v>
      </c>
      <c r="AH108" s="245">
        <f t="shared" ref="AH108:AH125" si="32">N72</f>
        <v>56859.071910521059</v>
      </c>
      <c r="AI108" s="245">
        <f>AG108+AH108</f>
        <v>85288.607865781581</v>
      </c>
      <c r="AJ108" s="245">
        <f>AF108+AI108</f>
        <v>400145.718570292</v>
      </c>
      <c r="AK108" s="287"/>
      <c r="AL108" s="245">
        <f>AA108+AF108+AI108</f>
        <v>869312.38523695874</v>
      </c>
      <c r="AM108" s="247" t="s">
        <v>207</v>
      </c>
      <c r="AN108" s="298" t="s">
        <v>207</v>
      </c>
      <c r="AO108" s="247"/>
    </row>
    <row r="109" spans="1:41" ht="13" x14ac:dyDescent="0.3">
      <c r="A109" s="244">
        <v>9257005</v>
      </c>
      <c r="B109" s="237" t="s">
        <v>208</v>
      </c>
      <c r="C109" s="267">
        <v>4</v>
      </c>
      <c r="D109" s="245">
        <f t="shared" si="20"/>
        <v>0</v>
      </c>
      <c r="E109" s="245">
        <f t="shared" si="21"/>
        <v>0</v>
      </c>
      <c r="F109" s="68">
        <f t="shared" ref="F109:F125" si="33">SUM(D109:E109)</f>
        <v>0</v>
      </c>
      <c r="G109" s="245">
        <f t="shared" si="22"/>
        <v>184351.3141961919</v>
      </c>
      <c r="H109" s="245">
        <f t="shared" si="23"/>
        <v>241961.09988250182</v>
      </c>
      <c r="I109" s="68">
        <f t="shared" ref="I109:I125" si="34">SUM(G109:H109)</f>
        <v>426312.41407869372</v>
      </c>
      <c r="J109" s="245">
        <f t="shared" si="24"/>
        <v>89103.135194826071</v>
      </c>
      <c r="K109" s="245">
        <f t="shared" si="25"/>
        <v>178206.27038965214</v>
      </c>
      <c r="L109" s="68">
        <f t="shared" ref="L109:L125" si="35">SUM(J109:K109)</f>
        <v>267309.40558447823</v>
      </c>
      <c r="M109" s="68">
        <f t="shared" ref="M109:M124" si="36">I109+L109</f>
        <v>693621.81966317189</v>
      </c>
      <c r="N109" s="245">
        <f t="shared" si="26"/>
        <v>10401.504825659393</v>
      </c>
      <c r="O109" s="245">
        <f t="shared" si="27"/>
        <v>13651.975083677955</v>
      </c>
      <c r="P109" s="68">
        <f t="shared" ref="P109:P125" si="37">SUM(N109:O109)</f>
        <v>24053.479909337348</v>
      </c>
      <c r="Q109" s="245">
        <f t="shared" si="28"/>
        <v>5027.3939990687068</v>
      </c>
      <c r="R109" s="245">
        <f t="shared" si="29"/>
        <v>10054.787998137414</v>
      </c>
      <c r="S109" s="68">
        <f t="shared" ref="S109:S125" si="38">SUM(Q109:R109)</f>
        <v>15082.18199720612</v>
      </c>
      <c r="T109" s="68">
        <f t="shared" ref="T109:T125" si="39">P109+S109</f>
        <v>39135.661906543464</v>
      </c>
      <c r="U109" s="68">
        <f t="shared" ref="U109:U125" si="40">F109+I109+L109+P109+S109</f>
        <v>732757.48156971531</v>
      </c>
      <c r="V109" s="286">
        <f t="shared" ref="V109:V125" si="41">(K7*(5/12))+(K51*(7/12))+(I29*(4/12))+(I73*(8/12))</f>
        <v>75.25</v>
      </c>
      <c r="W109" s="245">
        <f t="shared" si="30"/>
        <v>9737.6409510925623</v>
      </c>
      <c r="X109" s="237"/>
      <c r="Y109" s="245">
        <f t="shared" ref="Y109:Y125" si="42">P7+P51</f>
        <v>462500</v>
      </c>
      <c r="Z109" s="245">
        <f t="shared" ref="Z109:Z125" si="43">M29+M73</f>
        <v>290000</v>
      </c>
      <c r="AA109" s="245">
        <f t="shared" ref="AA109:AA125" si="44">Y109+Z109</f>
        <v>752500</v>
      </c>
      <c r="AB109" s="245">
        <f>VLOOKUP(A109,'2016-17 Funding Detail'!$A$4:$X$23,24,FALSE)</f>
        <v>1238703.7344133833</v>
      </c>
      <c r="AC109" s="245">
        <f t="shared" ref="AC109:AC125" si="45">AB109-AA109</f>
        <v>486203.7344133833</v>
      </c>
      <c r="AD109" s="245">
        <f t="shared" ref="AD109:AD125" si="46">Q7</f>
        <v>129223.58389724477</v>
      </c>
      <c r="AE109" s="245">
        <f t="shared" ref="AE109:AE125" si="47">Q51</f>
        <v>169605.95386513372</v>
      </c>
      <c r="AF109" s="245">
        <f t="shared" ref="AF109:AF125" si="48">AD109+AE109</f>
        <v>298829.53776237846</v>
      </c>
      <c r="AG109" s="245">
        <f t="shared" si="31"/>
        <v>62458.065550334963</v>
      </c>
      <c r="AH109" s="245">
        <f t="shared" si="32"/>
        <v>124916.13110066993</v>
      </c>
      <c r="AI109" s="245">
        <f t="shared" ref="AI109:AI125" si="49">AG109+AH109</f>
        <v>187374.1966510049</v>
      </c>
      <c r="AJ109" s="245">
        <f t="shared" ref="AJ109:AJ125" si="50">AF109+AI109</f>
        <v>486203.73441338335</v>
      </c>
      <c r="AK109" s="287"/>
      <c r="AL109" s="245">
        <f t="shared" ref="AL109:AL125" si="51">AA109+AF109+AI109</f>
        <v>1238703.7344133833</v>
      </c>
      <c r="AM109" s="247" t="s">
        <v>207</v>
      </c>
      <c r="AN109" s="298" t="s">
        <v>207</v>
      </c>
      <c r="AO109" s="247"/>
    </row>
    <row r="110" spans="1:41" ht="13" x14ac:dyDescent="0.3">
      <c r="A110" s="244">
        <v>9257025</v>
      </c>
      <c r="B110" s="237" t="s">
        <v>209</v>
      </c>
      <c r="C110" s="267">
        <v>4</v>
      </c>
      <c r="D110" s="245">
        <f t="shared" si="20"/>
        <v>39922.238535953147</v>
      </c>
      <c r="E110" s="245">
        <f t="shared" si="21"/>
        <v>0</v>
      </c>
      <c r="F110" s="68">
        <f>SUM(D110:E110)</f>
        <v>39922.238535953147</v>
      </c>
      <c r="G110" s="245">
        <f t="shared" si="22"/>
        <v>155696.7302902173</v>
      </c>
      <c r="H110" s="245">
        <f t="shared" si="23"/>
        <v>273866.55635663867</v>
      </c>
      <c r="I110" s="68">
        <f t="shared" si="34"/>
        <v>429563.286646856</v>
      </c>
      <c r="J110" s="245">
        <f t="shared" si="24"/>
        <v>41519.128077391273</v>
      </c>
      <c r="K110" s="245">
        <f t="shared" si="25"/>
        <v>83038.256154782546</v>
      </c>
      <c r="L110" s="68">
        <f t="shared" si="35"/>
        <v>124557.38423217382</v>
      </c>
      <c r="M110" s="68">
        <f t="shared" si="36"/>
        <v>554120.67087902979</v>
      </c>
      <c r="N110" s="245">
        <f t="shared" si="26"/>
        <v>11165.808272492439</v>
      </c>
      <c r="O110" s="245">
        <f t="shared" si="27"/>
        <v>15632.131581489413</v>
      </c>
      <c r="P110" s="68">
        <f t="shared" si="37"/>
        <v>26797.93985398185</v>
      </c>
      <c r="Q110" s="245">
        <f t="shared" si="28"/>
        <v>2369.8858374269662</v>
      </c>
      <c r="R110" s="245">
        <f t="shared" si="29"/>
        <v>4739.7716748539324</v>
      </c>
      <c r="S110" s="68">
        <f t="shared" si="38"/>
        <v>7109.657512280899</v>
      </c>
      <c r="T110" s="68">
        <f t="shared" si="39"/>
        <v>33907.597366262751</v>
      </c>
      <c r="U110" s="68">
        <f t="shared" si="40"/>
        <v>627950.5067812457</v>
      </c>
      <c r="V110" s="286">
        <f t="shared" si="41"/>
        <v>62</v>
      </c>
      <c r="W110" s="245">
        <f t="shared" si="30"/>
        <v>10128.233980342673</v>
      </c>
      <c r="X110" s="237"/>
      <c r="Y110" s="245">
        <f t="shared" si="42"/>
        <v>490000.00000000006</v>
      </c>
      <c r="Z110" s="245">
        <f t="shared" si="43"/>
        <v>129999.99999999999</v>
      </c>
      <c r="AA110" s="245">
        <f t="shared" si="44"/>
        <v>620000</v>
      </c>
      <c r="AB110" s="245">
        <f>VLOOKUP(A110,'2016-17 Funding Detail'!$A$4:$X$23,24,FALSE)</f>
        <v>1141581.1982211594</v>
      </c>
      <c r="AC110" s="245">
        <f t="shared" si="45"/>
        <v>521581.1982211594</v>
      </c>
      <c r="AD110" s="245">
        <f t="shared" si="46"/>
        <v>171757.24941422592</v>
      </c>
      <c r="AE110" s="245">
        <f t="shared" si="47"/>
        <v>240460.14917991625</v>
      </c>
      <c r="AF110" s="245">
        <f t="shared" si="48"/>
        <v>412217.39859414217</v>
      </c>
      <c r="AG110" s="245">
        <f t="shared" si="31"/>
        <v>36454.599875672437</v>
      </c>
      <c r="AH110" s="245">
        <f t="shared" si="32"/>
        <v>72909.199751344873</v>
      </c>
      <c r="AI110" s="245">
        <f t="shared" si="49"/>
        <v>109363.79962701732</v>
      </c>
      <c r="AJ110" s="245">
        <f t="shared" si="50"/>
        <v>521581.19822115952</v>
      </c>
      <c r="AK110" s="287"/>
      <c r="AL110" s="245">
        <f t="shared" si="51"/>
        <v>1141581.1982211594</v>
      </c>
      <c r="AM110" s="247" t="s">
        <v>207</v>
      </c>
      <c r="AN110" s="298" t="s">
        <v>207</v>
      </c>
      <c r="AO110" s="247"/>
    </row>
    <row r="111" spans="1:41" ht="13" x14ac:dyDescent="0.3">
      <c r="A111" s="244">
        <v>9257011</v>
      </c>
      <c r="B111" s="237" t="s">
        <v>210</v>
      </c>
      <c r="C111" s="273">
        <v>4</v>
      </c>
      <c r="D111" s="245">
        <f t="shared" si="20"/>
        <v>0</v>
      </c>
      <c r="E111" s="245">
        <f t="shared" si="21"/>
        <v>0</v>
      </c>
      <c r="F111" s="68">
        <f t="shared" si="33"/>
        <v>0</v>
      </c>
      <c r="G111" s="245">
        <f t="shared" si="22"/>
        <v>172528.70194845504</v>
      </c>
      <c r="H111" s="245">
        <f t="shared" si="23"/>
        <v>270294.96638591285</v>
      </c>
      <c r="I111" s="68">
        <f t="shared" si="34"/>
        <v>442823.66833436792</v>
      </c>
      <c r="J111" s="245">
        <f t="shared" si="24"/>
        <v>9858.7829684831449</v>
      </c>
      <c r="K111" s="245">
        <f t="shared" si="25"/>
        <v>19717.56593696629</v>
      </c>
      <c r="L111" s="68">
        <f t="shared" si="35"/>
        <v>29576.348905449435</v>
      </c>
      <c r="M111" s="68">
        <f t="shared" si="36"/>
        <v>472400.01723981736</v>
      </c>
      <c r="N111" s="245">
        <f t="shared" si="26"/>
        <v>7173.1859205102928</v>
      </c>
      <c r="O111" s="245">
        <f t="shared" si="27"/>
        <v>11237.991275466125</v>
      </c>
      <c r="P111" s="68">
        <f t="shared" si="37"/>
        <v>18411.177195976419</v>
      </c>
      <c r="Q111" s="245">
        <f t="shared" si="28"/>
        <v>409.8963383148739</v>
      </c>
      <c r="R111" s="245">
        <f t="shared" si="29"/>
        <v>819.7926766297478</v>
      </c>
      <c r="S111" s="68">
        <f t="shared" si="38"/>
        <v>1229.6890149446217</v>
      </c>
      <c r="T111" s="68">
        <f t="shared" si="39"/>
        <v>19640.866210921042</v>
      </c>
      <c r="U111" s="68">
        <f t="shared" si="40"/>
        <v>492040.88345073839</v>
      </c>
      <c r="V111" s="286">
        <f t="shared" si="41"/>
        <v>47.916666666666671</v>
      </c>
      <c r="W111" s="245">
        <f t="shared" si="30"/>
        <v>10268.679306798018</v>
      </c>
      <c r="X111" s="237"/>
      <c r="Y111" s="245">
        <f t="shared" si="42"/>
        <v>449166.66666666669</v>
      </c>
      <c r="Z111" s="245">
        <f t="shared" si="43"/>
        <v>30000</v>
      </c>
      <c r="AA111" s="245">
        <f t="shared" si="44"/>
        <v>479166.66666666669</v>
      </c>
      <c r="AB111" s="245">
        <f>VLOOKUP(A111,'2016-17 Funding Detail'!$A$4:$X$23,24,FALSE)</f>
        <v>992564.2730072228</v>
      </c>
      <c r="AC111" s="245">
        <f t="shared" si="45"/>
        <v>513397.60634055611</v>
      </c>
      <c r="AD111" s="245">
        <f t="shared" si="46"/>
        <v>187501.73448959435</v>
      </c>
      <c r="AE111" s="245">
        <f t="shared" si="47"/>
        <v>293752.7173670312</v>
      </c>
      <c r="AF111" s="245">
        <f t="shared" si="48"/>
        <v>481254.45185662556</v>
      </c>
      <c r="AG111" s="245">
        <f t="shared" si="31"/>
        <v>10714.384827976821</v>
      </c>
      <c r="AH111" s="245">
        <f t="shared" si="32"/>
        <v>21428.769655953642</v>
      </c>
      <c r="AI111" s="245">
        <f t="shared" si="49"/>
        <v>32143.154483930462</v>
      </c>
      <c r="AJ111" s="245">
        <f t="shared" si="50"/>
        <v>513397.606340556</v>
      </c>
      <c r="AK111" s="287"/>
      <c r="AL111" s="245">
        <f t="shared" si="51"/>
        <v>992564.27300722268</v>
      </c>
      <c r="AM111" s="247" t="s">
        <v>207</v>
      </c>
      <c r="AN111" s="298" t="s">
        <v>207</v>
      </c>
      <c r="AO111" s="247"/>
    </row>
    <row r="112" spans="1:41" ht="13" x14ac:dyDescent="0.3">
      <c r="A112" s="244">
        <v>9257024</v>
      </c>
      <c r="B112" s="237" t="s">
        <v>211</v>
      </c>
      <c r="C112" s="267">
        <v>3</v>
      </c>
      <c r="D112" s="245">
        <f t="shared" si="20"/>
        <v>19053.583315273478</v>
      </c>
      <c r="E112" s="245">
        <f t="shared" si="21"/>
        <v>0</v>
      </c>
      <c r="F112" s="68">
        <f t="shared" si="33"/>
        <v>19053.583315273478</v>
      </c>
      <c r="G112" s="245">
        <f t="shared" si="22"/>
        <v>148617.94985913316</v>
      </c>
      <c r="H112" s="245">
        <f t="shared" si="23"/>
        <v>240075.14977244587</v>
      </c>
      <c r="I112" s="68">
        <f t="shared" si="34"/>
        <v>388693.09963157901</v>
      </c>
      <c r="J112" s="245">
        <f t="shared" si="24"/>
        <v>39631.453295768835</v>
      </c>
      <c r="K112" s="245">
        <f t="shared" si="25"/>
        <v>79262.90659153767</v>
      </c>
      <c r="L112" s="68">
        <f t="shared" si="35"/>
        <v>118894.35988730651</v>
      </c>
      <c r="M112" s="68">
        <f t="shared" si="36"/>
        <v>507587.45951888553</v>
      </c>
      <c r="N112" s="245">
        <f t="shared" si="26"/>
        <v>2635.0478891670464</v>
      </c>
      <c r="O112" s="245">
        <f t="shared" si="27"/>
        <v>3772.909477670999</v>
      </c>
      <c r="P112" s="68">
        <f t="shared" si="37"/>
        <v>6407.9573668380453</v>
      </c>
      <c r="Q112" s="245">
        <f t="shared" si="28"/>
        <v>622.82950107584725</v>
      </c>
      <c r="R112" s="245">
        <f t="shared" si="29"/>
        <v>1245.6590021516945</v>
      </c>
      <c r="S112" s="68">
        <f t="shared" si="38"/>
        <v>1868.4885032275417</v>
      </c>
      <c r="T112" s="68">
        <f t="shared" si="39"/>
        <v>8276.4458700655869</v>
      </c>
      <c r="U112" s="68">
        <f t="shared" si="40"/>
        <v>534917.48870422458</v>
      </c>
      <c r="V112" s="286">
        <f t="shared" si="41"/>
        <v>57.583333333333336</v>
      </c>
      <c r="W112" s="245">
        <f t="shared" si="30"/>
        <v>9289.4498761949271</v>
      </c>
      <c r="X112" s="237"/>
      <c r="Y112" s="245">
        <f t="shared" si="42"/>
        <v>445833.33333333337</v>
      </c>
      <c r="Z112" s="245">
        <f t="shared" si="43"/>
        <v>129999.99999999999</v>
      </c>
      <c r="AA112" s="245">
        <f t="shared" si="44"/>
        <v>575833.33333333337</v>
      </c>
      <c r="AB112" s="245">
        <f>VLOOKUP(A112,'2016-17 Funding Detail'!$A$4:$X$23,24,FALSE)</f>
        <v>944377.9316097229</v>
      </c>
      <c r="AC112" s="245">
        <f t="shared" si="45"/>
        <v>368544.59827638953</v>
      </c>
      <c r="AD112" s="245">
        <f t="shared" si="46"/>
        <v>117336.91985644816</v>
      </c>
      <c r="AE112" s="245">
        <f t="shared" si="47"/>
        <v>168005.13524900534</v>
      </c>
      <c r="AF112" s="245">
        <f t="shared" si="48"/>
        <v>285342.05510545347</v>
      </c>
      <c r="AG112" s="245">
        <f t="shared" si="31"/>
        <v>27734.181056978658</v>
      </c>
      <c r="AH112" s="245">
        <f t="shared" si="32"/>
        <v>55468.362113957315</v>
      </c>
      <c r="AI112" s="245">
        <f t="shared" si="49"/>
        <v>83202.543170935969</v>
      </c>
      <c r="AJ112" s="245">
        <f t="shared" si="50"/>
        <v>368544.59827638941</v>
      </c>
      <c r="AK112" s="287"/>
      <c r="AL112" s="245">
        <f t="shared" si="51"/>
        <v>944377.93160972279</v>
      </c>
      <c r="AM112" s="247" t="s">
        <v>207</v>
      </c>
      <c r="AN112" s="298" t="s">
        <v>207</v>
      </c>
      <c r="AO112" s="247"/>
    </row>
    <row r="113" spans="1:41" ht="13" x14ac:dyDescent="0.3">
      <c r="A113" s="244">
        <v>9257031</v>
      </c>
      <c r="B113" s="237" t="s">
        <v>257</v>
      </c>
      <c r="C113" s="273">
        <v>4</v>
      </c>
      <c r="D113" s="245">
        <f t="shared" si="20"/>
        <v>0</v>
      </c>
      <c r="E113" s="245">
        <f t="shared" si="21"/>
        <v>0</v>
      </c>
      <c r="F113" s="68">
        <f t="shared" si="33"/>
        <v>0</v>
      </c>
      <c r="G113" s="245">
        <f t="shared" si="22"/>
        <v>302043.866484167</v>
      </c>
      <c r="H113" s="245">
        <f t="shared" si="23"/>
        <v>463783.48531117255</v>
      </c>
      <c r="I113" s="68">
        <f t="shared" si="34"/>
        <v>765827.35179533949</v>
      </c>
      <c r="J113" s="245">
        <f t="shared" si="24"/>
        <v>0</v>
      </c>
      <c r="K113" s="245">
        <f t="shared" si="25"/>
        <v>0</v>
      </c>
      <c r="L113" s="68">
        <f t="shared" si="35"/>
        <v>0</v>
      </c>
      <c r="M113" s="68">
        <f t="shared" si="36"/>
        <v>765827.35179533949</v>
      </c>
      <c r="N113" s="245">
        <f t="shared" si="26"/>
        <v>68072.070470148697</v>
      </c>
      <c r="O113" s="245">
        <f t="shared" si="27"/>
        <v>104523.56627029285</v>
      </c>
      <c r="P113" s="68">
        <f t="shared" si="37"/>
        <v>172595.63674044155</v>
      </c>
      <c r="Q113" s="245">
        <f t="shared" si="28"/>
        <v>0</v>
      </c>
      <c r="R113" s="245">
        <f t="shared" si="29"/>
        <v>0</v>
      </c>
      <c r="S113" s="68">
        <f t="shared" si="38"/>
        <v>0</v>
      </c>
      <c r="T113" s="68">
        <f t="shared" si="39"/>
        <v>172595.63674044155</v>
      </c>
      <c r="U113" s="68">
        <f t="shared" si="40"/>
        <v>938422.98853578104</v>
      </c>
      <c r="V113" s="286">
        <f t="shared" si="41"/>
        <v>65.5</v>
      </c>
      <c r="W113" s="245">
        <f t="shared" si="30"/>
        <v>14327.068527263833</v>
      </c>
      <c r="X113" s="237"/>
      <c r="Y113" s="245">
        <f t="shared" si="42"/>
        <v>655000</v>
      </c>
      <c r="Z113" s="245">
        <f t="shared" si="43"/>
        <v>0</v>
      </c>
      <c r="AA113" s="245">
        <f t="shared" si="44"/>
        <v>655000</v>
      </c>
      <c r="AB113" s="245">
        <f>VLOOKUP(A113,'2016-17 Funding Detail'!$A$4:$X$23,24,FALSE)</f>
        <v>1369259.718009582</v>
      </c>
      <c r="AC113" s="245">
        <f t="shared" si="45"/>
        <v>714259.71800958202</v>
      </c>
      <c r="AD113" s="245">
        <f t="shared" si="46"/>
        <v>281705.48674678168</v>
      </c>
      <c r="AE113" s="245">
        <f t="shared" si="47"/>
        <v>432554.23126280023</v>
      </c>
      <c r="AF113" s="245">
        <f t="shared" si="48"/>
        <v>714259.71800958191</v>
      </c>
      <c r="AG113" s="245">
        <f t="shared" si="31"/>
        <v>0</v>
      </c>
      <c r="AH113" s="245">
        <f t="shared" si="32"/>
        <v>0</v>
      </c>
      <c r="AI113" s="245">
        <f t="shared" si="49"/>
        <v>0</v>
      </c>
      <c r="AJ113" s="245">
        <f t="shared" si="50"/>
        <v>714259.71800958191</v>
      </c>
      <c r="AK113" s="287"/>
      <c r="AL113" s="245">
        <f t="shared" si="51"/>
        <v>1369259.7180095818</v>
      </c>
      <c r="AM113" s="247" t="s">
        <v>207</v>
      </c>
      <c r="AN113" s="298" t="s">
        <v>207</v>
      </c>
      <c r="AO113" s="247"/>
    </row>
    <row r="114" spans="1:41" ht="13" x14ac:dyDescent="0.3">
      <c r="A114" s="244">
        <v>9257033</v>
      </c>
      <c r="B114" s="237" t="s">
        <v>220</v>
      </c>
      <c r="C114" s="267">
        <v>3</v>
      </c>
      <c r="D114" s="245">
        <f t="shared" si="20"/>
        <v>37262.62377713446</v>
      </c>
      <c r="E114" s="245">
        <f t="shared" si="21"/>
        <v>0</v>
      </c>
      <c r="F114" s="68">
        <f t="shared" si="33"/>
        <v>37262.62377713446</v>
      </c>
      <c r="G114" s="245">
        <f t="shared" si="22"/>
        <v>186313.11888567227</v>
      </c>
      <c r="H114" s="245">
        <f t="shared" si="23"/>
        <v>297355.73774153297</v>
      </c>
      <c r="I114" s="68">
        <f t="shared" si="34"/>
        <v>483668.85662720527</v>
      </c>
      <c r="J114" s="245">
        <f t="shared" si="24"/>
        <v>0</v>
      </c>
      <c r="K114" s="245">
        <f t="shared" si="25"/>
        <v>0</v>
      </c>
      <c r="L114" s="68">
        <f t="shared" si="35"/>
        <v>0</v>
      </c>
      <c r="M114" s="68">
        <f t="shared" si="36"/>
        <v>483668.85662720527</v>
      </c>
      <c r="N114" s="245">
        <f t="shared" si="26"/>
        <v>22757.231770079037</v>
      </c>
      <c r="O114" s="245">
        <f t="shared" si="27"/>
        <v>30267.118254205125</v>
      </c>
      <c r="P114" s="68">
        <f t="shared" si="37"/>
        <v>53024.350024284162</v>
      </c>
      <c r="Q114" s="245">
        <f t="shared" si="28"/>
        <v>0</v>
      </c>
      <c r="R114" s="245">
        <f t="shared" si="29"/>
        <v>0</v>
      </c>
      <c r="S114" s="68">
        <f t="shared" si="38"/>
        <v>0</v>
      </c>
      <c r="T114" s="68">
        <f t="shared" si="39"/>
        <v>53024.350024284162</v>
      </c>
      <c r="U114" s="68">
        <f t="shared" si="40"/>
        <v>573955.83042862394</v>
      </c>
      <c r="V114" s="286">
        <f t="shared" si="41"/>
        <v>58.25</v>
      </c>
      <c r="W114" s="245">
        <f t="shared" si="30"/>
        <v>9853.3189773154318</v>
      </c>
      <c r="X114" s="237"/>
      <c r="Y114" s="245">
        <f t="shared" si="42"/>
        <v>582500</v>
      </c>
      <c r="Z114" s="245">
        <f t="shared" si="43"/>
        <v>0</v>
      </c>
      <c r="AA114" s="245">
        <f t="shared" si="44"/>
        <v>582500</v>
      </c>
      <c r="AB114" s="245">
        <f>VLOOKUP(A114,'2016-17 Funding Detail'!$A$4:$X$23,24,FALSE)</f>
        <v>970119.92871693382</v>
      </c>
      <c r="AC114" s="245">
        <f t="shared" si="45"/>
        <v>387619.92871693382</v>
      </c>
      <c r="AD114" s="245">
        <f t="shared" si="46"/>
        <v>166360.48442786856</v>
      </c>
      <c r="AE114" s="245">
        <f t="shared" si="47"/>
        <v>221259.44428906526</v>
      </c>
      <c r="AF114" s="245">
        <f t="shared" si="48"/>
        <v>387619.92871693382</v>
      </c>
      <c r="AG114" s="245">
        <f t="shared" si="31"/>
        <v>0</v>
      </c>
      <c r="AH114" s="245">
        <f t="shared" si="32"/>
        <v>0</v>
      </c>
      <c r="AI114" s="245">
        <f t="shared" si="49"/>
        <v>0</v>
      </c>
      <c r="AJ114" s="245">
        <f t="shared" si="50"/>
        <v>387619.92871693382</v>
      </c>
      <c r="AK114" s="287"/>
      <c r="AL114" s="245">
        <f t="shared" si="51"/>
        <v>970119.92871693382</v>
      </c>
      <c r="AM114" s="247" t="s">
        <v>207</v>
      </c>
      <c r="AN114" s="298" t="s">
        <v>207</v>
      </c>
      <c r="AO114" s="247"/>
    </row>
    <row r="115" spans="1:41" ht="13" x14ac:dyDescent="0.3">
      <c r="A115" s="244">
        <v>9257008</v>
      </c>
      <c r="B115" s="237" t="s">
        <v>212</v>
      </c>
      <c r="C115" s="267">
        <v>4</v>
      </c>
      <c r="D115" s="245">
        <f t="shared" si="20"/>
        <v>33339.078620055436</v>
      </c>
      <c r="E115" s="245">
        <f t="shared" si="21"/>
        <v>0</v>
      </c>
      <c r="F115" s="68">
        <f t="shared" si="33"/>
        <v>33339.078620055436</v>
      </c>
      <c r="G115" s="245">
        <f t="shared" si="22"/>
        <v>266712.62896044349</v>
      </c>
      <c r="H115" s="245">
        <f t="shared" si="23"/>
        <v>420072.39061269845</v>
      </c>
      <c r="I115" s="68">
        <f t="shared" si="34"/>
        <v>686785.01957314194</v>
      </c>
      <c r="J115" s="245">
        <f t="shared" si="24"/>
        <v>0</v>
      </c>
      <c r="K115" s="245">
        <f t="shared" si="25"/>
        <v>0</v>
      </c>
      <c r="L115" s="68">
        <f t="shared" si="35"/>
        <v>0</v>
      </c>
      <c r="M115" s="68">
        <f t="shared" si="36"/>
        <v>686785.01957314194</v>
      </c>
      <c r="N115" s="245">
        <f t="shared" si="26"/>
        <v>27900.507061768727</v>
      </c>
      <c r="O115" s="245">
        <f t="shared" si="27"/>
        <v>39060.709886476216</v>
      </c>
      <c r="P115" s="68">
        <f t="shared" si="37"/>
        <v>66961.216948244939</v>
      </c>
      <c r="Q115" s="245">
        <f t="shared" si="28"/>
        <v>0</v>
      </c>
      <c r="R115" s="245">
        <f t="shared" si="29"/>
        <v>0</v>
      </c>
      <c r="S115" s="68">
        <f t="shared" si="38"/>
        <v>0</v>
      </c>
      <c r="T115" s="68">
        <f t="shared" si="39"/>
        <v>66961.216948244939</v>
      </c>
      <c r="U115" s="68">
        <f t="shared" si="40"/>
        <v>787085.31514144235</v>
      </c>
      <c r="V115" s="286">
        <f t="shared" si="41"/>
        <v>90</v>
      </c>
      <c r="W115" s="245">
        <f t="shared" si="30"/>
        <v>8745.3923904604708</v>
      </c>
      <c r="X115" s="237"/>
      <c r="Y115" s="245">
        <f>P13+P57</f>
        <v>900000</v>
      </c>
      <c r="Z115" s="245">
        <f t="shared" si="43"/>
        <v>0</v>
      </c>
      <c r="AA115" s="245">
        <f t="shared" si="44"/>
        <v>900000</v>
      </c>
      <c r="AB115" s="245">
        <f>VLOOKUP(A115,'2016-17 Funding Detail'!$A$4:$X$23,24,FALSE)</f>
        <v>1300237.4829410585</v>
      </c>
      <c r="AC115" s="245">
        <f t="shared" si="45"/>
        <v>400237.48294105846</v>
      </c>
      <c r="AD115" s="245">
        <f t="shared" si="46"/>
        <v>166765.61789210769</v>
      </c>
      <c r="AE115" s="245">
        <f t="shared" si="47"/>
        <v>233471.86504895071</v>
      </c>
      <c r="AF115" s="245">
        <f t="shared" si="48"/>
        <v>400237.48294105841</v>
      </c>
      <c r="AG115" s="245">
        <f t="shared" si="31"/>
        <v>0</v>
      </c>
      <c r="AH115" s="245">
        <f t="shared" si="32"/>
        <v>0</v>
      </c>
      <c r="AI115" s="245">
        <f t="shared" si="49"/>
        <v>0</v>
      </c>
      <c r="AJ115" s="245">
        <f t="shared" si="50"/>
        <v>400237.48294105841</v>
      </c>
      <c r="AK115" s="287"/>
      <c r="AL115" s="245">
        <f t="shared" si="51"/>
        <v>1300237.4829410585</v>
      </c>
      <c r="AM115" s="247" t="s">
        <v>207</v>
      </c>
      <c r="AN115" s="298" t="s">
        <v>207</v>
      </c>
      <c r="AO115" s="247"/>
    </row>
    <row r="116" spans="1:41" ht="13" x14ac:dyDescent="0.3">
      <c r="A116" s="244">
        <v>9257034</v>
      </c>
      <c r="B116" s="237" t="s">
        <v>221</v>
      </c>
      <c r="C116" s="267">
        <v>5</v>
      </c>
      <c r="D116" s="245">
        <f t="shared" si="20"/>
        <v>0</v>
      </c>
      <c r="E116" s="245">
        <f t="shared" si="21"/>
        <v>0</v>
      </c>
      <c r="F116" s="68">
        <f t="shared" si="33"/>
        <v>0</v>
      </c>
      <c r="G116" s="245">
        <f t="shared" si="22"/>
        <v>322314.18693984684</v>
      </c>
      <c r="H116" s="245">
        <f t="shared" si="23"/>
        <v>422740.50202847278</v>
      </c>
      <c r="I116" s="68">
        <f t="shared" si="34"/>
        <v>745054.68896831968</v>
      </c>
      <c r="J116" s="245">
        <f t="shared" si="24"/>
        <v>86855.19142800082</v>
      </c>
      <c r="K116" s="245">
        <f t="shared" si="25"/>
        <v>173710.38285600164</v>
      </c>
      <c r="L116" s="68">
        <f t="shared" si="35"/>
        <v>260565.57428400248</v>
      </c>
      <c r="M116" s="68">
        <f t="shared" si="36"/>
        <v>1005620.2632523221</v>
      </c>
      <c r="N116" s="245">
        <f t="shared" si="26"/>
        <v>21353.570492921932</v>
      </c>
      <c r="O116" s="245">
        <f t="shared" si="27"/>
        <v>28006.893509663922</v>
      </c>
      <c r="P116" s="68">
        <f t="shared" si="37"/>
        <v>49360.464002585853</v>
      </c>
      <c r="Q116" s="245">
        <f t="shared" si="28"/>
        <v>5754.2253117768569</v>
      </c>
      <c r="R116" s="245">
        <f t="shared" si="29"/>
        <v>11508.450623553714</v>
      </c>
      <c r="S116" s="68">
        <f t="shared" si="38"/>
        <v>17262.675935330572</v>
      </c>
      <c r="T116" s="68">
        <f t="shared" si="39"/>
        <v>66623.139937916421</v>
      </c>
      <c r="U116" s="68">
        <f t="shared" si="40"/>
        <v>1072243.4031902386</v>
      </c>
      <c r="V116" s="286">
        <f t="shared" si="41"/>
        <v>123.5</v>
      </c>
      <c r="W116" s="245">
        <f t="shared" si="30"/>
        <v>8682.1328193541594</v>
      </c>
      <c r="X116" s="237"/>
      <c r="Y116" s="245">
        <f t="shared" si="42"/>
        <v>915000</v>
      </c>
      <c r="Z116" s="245">
        <f t="shared" si="43"/>
        <v>320000</v>
      </c>
      <c r="AA116" s="245">
        <f t="shared" si="44"/>
        <v>1235000</v>
      </c>
      <c r="AB116" s="245">
        <f>VLOOKUP(A116,'2016-17 Funding Detail'!$A$4:$X$23,24,FALSE)</f>
        <v>1627111.8496561113</v>
      </c>
      <c r="AC116" s="245">
        <f t="shared" si="45"/>
        <v>392111.84965611133</v>
      </c>
      <c r="AD116" s="245">
        <f t="shared" si="46"/>
        <v>125676.87488977927</v>
      </c>
      <c r="AE116" s="245">
        <f t="shared" si="47"/>
        <v>164835.14327648946</v>
      </c>
      <c r="AF116" s="245">
        <f t="shared" si="48"/>
        <v>290512.01816626871</v>
      </c>
      <c r="AG116" s="245">
        <f t="shared" si="31"/>
        <v>33866.610496614208</v>
      </c>
      <c r="AH116" s="245">
        <f t="shared" si="32"/>
        <v>67733.220993228417</v>
      </c>
      <c r="AI116" s="245">
        <f t="shared" si="49"/>
        <v>101599.83148984262</v>
      </c>
      <c r="AJ116" s="245">
        <f t="shared" si="50"/>
        <v>392111.84965611133</v>
      </c>
      <c r="AK116" s="287"/>
      <c r="AL116" s="245">
        <f t="shared" si="51"/>
        <v>1627111.8496561113</v>
      </c>
      <c r="AM116" s="247" t="s">
        <v>207</v>
      </c>
      <c r="AN116" s="298" t="s">
        <v>207</v>
      </c>
      <c r="AO116" s="247"/>
    </row>
    <row r="117" spans="1:41" ht="13" x14ac:dyDescent="0.3">
      <c r="A117" s="244">
        <v>9257002</v>
      </c>
      <c r="B117" s="237" t="s">
        <v>213</v>
      </c>
      <c r="C117" s="273">
        <v>5</v>
      </c>
      <c r="D117" s="245">
        <f t="shared" si="20"/>
        <v>0</v>
      </c>
      <c r="E117" s="245">
        <f t="shared" si="21"/>
        <v>0</v>
      </c>
      <c r="F117" s="68">
        <f t="shared" si="33"/>
        <v>0</v>
      </c>
      <c r="G117" s="245">
        <f t="shared" si="22"/>
        <v>367896.39637035807</v>
      </c>
      <c r="H117" s="245">
        <f t="shared" si="23"/>
        <v>527720.24069518573</v>
      </c>
      <c r="I117" s="68">
        <f t="shared" si="34"/>
        <v>895616.63706554379</v>
      </c>
      <c r="J117" s="245">
        <f t="shared" si="24"/>
        <v>0</v>
      </c>
      <c r="K117" s="245">
        <f t="shared" si="25"/>
        <v>0</v>
      </c>
      <c r="L117" s="68">
        <f t="shared" si="35"/>
        <v>0</v>
      </c>
      <c r="M117" s="68">
        <f t="shared" si="36"/>
        <v>895616.63706554379</v>
      </c>
      <c r="N117" s="245">
        <f t="shared" si="26"/>
        <v>12381.772644475408</v>
      </c>
      <c r="O117" s="245">
        <f t="shared" si="27"/>
        <v>17760.73944904259</v>
      </c>
      <c r="P117" s="68">
        <f t="shared" si="37"/>
        <v>30142.512093517998</v>
      </c>
      <c r="Q117" s="245">
        <f t="shared" si="28"/>
        <v>0</v>
      </c>
      <c r="R117" s="245">
        <f t="shared" si="29"/>
        <v>0</v>
      </c>
      <c r="S117" s="68">
        <f t="shared" si="38"/>
        <v>0</v>
      </c>
      <c r="T117" s="68">
        <f t="shared" si="39"/>
        <v>30142.512093517998</v>
      </c>
      <c r="U117" s="68">
        <f t="shared" si="40"/>
        <v>925759.14915906184</v>
      </c>
      <c r="V117" s="286">
        <f t="shared" si="41"/>
        <v>123.75</v>
      </c>
      <c r="W117" s="245">
        <f t="shared" si="30"/>
        <v>7480.88201340656</v>
      </c>
      <c r="X117" s="237"/>
      <c r="Y117" s="245">
        <f t="shared" si="42"/>
        <v>1237500</v>
      </c>
      <c r="Z117" s="245">
        <f t="shared" si="43"/>
        <v>0</v>
      </c>
      <c r="AA117" s="245">
        <f t="shared" si="44"/>
        <v>1237500</v>
      </c>
      <c r="AB117" s="245">
        <f>VLOOKUP(A117,'2016-17 Funding Detail'!$A$4:$X$23,24,FALSE)</f>
        <v>1480689.5105808827</v>
      </c>
      <c r="AC117" s="245">
        <f t="shared" si="45"/>
        <v>243189.51058088266</v>
      </c>
      <c r="AD117" s="245">
        <f t="shared" si="46"/>
        <v>99896.027915379411</v>
      </c>
      <c r="AE117" s="245">
        <f t="shared" si="47"/>
        <v>143293.48266550325</v>
      </c>
      <c r="AF117" s="245">
        <f t="shared" si="48"/>
        <v>243189.51058088266</v>
      </c>
      <c r="AG117" s="245">
        <f t="shared" si="31"/>
        <v>0</v>
      </c>
      <c r="AH117" s="245">
        <f t="shared" si="32"/>
        <v>0</v>
      </c>
      <c r="AI117" s="245">
        <f t="shared" si="49"/>
        <v>0</v>
      </c>
      <c r="AJ117" s="245">
        <f t="shared" si="50"/>
        <v>243189.51058088266</v>
      </c>
      <c r="AK117" s="287"/>
      <c r="AL117" s="245">
        <f t="shared" si="51"/>
        <v>1480689.5105808827</v>
      </c>
      <c r="AM117" s="247" t="s">
        <v>207</v>
      </c>
      <c r="AN117" s="298" t="s">
        <v>207</v>
      </c>
      <c r="AO117" s="247"/>
    </row>
    <row r="118" spans="1:41" ht="13" x14ac:dyDescent="0.3">
      <c r="A118" s="244">
        <v>9257009</v>
      </c>
      <c r="B118" s="237" t="s">
        <v>214</v>
      </c>
      <c r="C118" s="267">
        <v>4</v>
      </c>
      <c r="D118" s="245">
        <f t="shared" si="20"/>
        <v>0</v>
      </c>
      <c r="E118" s="245">
        <f t="shared" si="21"/>
        <v>0</v>
      </c>
      <c r="F118" s="68">
        <f t="shared" si="33"/>
        <v>0</v>
      </c>
      <c r="G118" s="245">
        <f t="shared" si="22"/>
        <v>392363.34941922099</v>
      </c>
      <c r="H118" s="245">
        <f t="shared" si="23"/>
        <v>540857.78627634153</v>
      </c>
      <c r="I118" s="68">
        <f t="shared" si="34"/>
        <v>933221.13569556247</v>
      </c>
      <c r="J118" s="245">
        <f t="shared" si="24"/>
        <v>0</v>
      </c>
      <c r="K118" s="245">
        <f t="shared" si="25"/>
        <v>0</v>
      </c>
      <c r="L118" s="68">
        <f t="shared" si="35"/>
        <v>0</v>
      </c>
      <c r="M118" s="68">
        <f t="shared" si="36"/>
        <v>933221.13569556247</v>
      </c>
      <c r="N118" s="245">
        <f t="shared" si="26"/>
        <v>19762.85916875285</v>
      </c>
      <c r="O118" s="245">
        <f t="shared" si="27"/>
        <v>27242.341254157775</v>
      </c>
      <c r="P118" s="68">
        <f t="shared" si="37"/>
        <v>47005.200422910624</v>
      </c>
      <c r="Q118" s="245">
        <f t="shared" si="28"/>
        <v>0</v>
      </c>
      <c r="R118" s="245">
        <f t="shared" si="29"/>
        <v>0</v>
      </c>
      <c r="S118" s="68">
        <f t="shared" si="38"/>
        <v>0</v>
      </c>
      <c r="T118" s="68">
        <f t="shared" si="39"/>
        <v>47005.200422910624</v>
      </c>
      <c r="U118" s="68">
        <f t="shared" si="40"/>
        <v>980226.33611847309</v>
      </c>
      <c r="V118" s="286">
        <f t="shared" si="41"/>
        <v>128.83333333333334</v>
      </c>
      <c r="W118" s="245">
        <f t="shared" si="30"/>
        <v>7608.4838508549001</v>
      </c>
      <c r="X118" s="237"/>
      <c r="Y118" s="245">
        <f t="shared" si="42"/>
        <v>1288333.3333333335</v>
      </c>
      <c r="Z118" s="245">
        <f t="shared" si="43"/>
        <v>0</v>
      </c>
      <c r="AA118" s="245">
        <f t="shared" si="44"/>
        <v>1288333.3333333335</v>
      </c>
      <c r="AB118" s="245">
        <f>VLOOKUP(A118,'2016-17 Funding Detail'!$A$4:$X$23,24,FALSE)</f>
        <v>1490838.0754861636</v>
      </c>
      <c r="AC118" s="245">
        <f t="shared" si="45"/>
        <v>202504.74215283012</v>
      </c>
      <c r="AD118" s="245">
        <f t="shared" si="46"/>
        <v>85141.062354035952</v>
      </c>
      <c r="AE118" s="245">
        <f t="shared" si="47"/>
        <v>117363.67979879417</v>
      </c>
      <c r="AF118" s="245">
        <f t="shared" si="48"/>
        <v>202504.74215283012</v>
      </c>
      <c r="AG118" s="245">
        <f t="shared" si="31"/>
        <v>0</v>
      </c>
      <c r="AH118" s="245">
        <f t="shared" si="32"/>
        <v>0</v>
      </c>
      <c r="AI118" s="245">
        <f t="shared" si="49"/>
        <v>0</v>
      </c>
      <c r="AJ118" s="245">
        <f t="shared" si="50"/>
        <v>202504.74215283012</v>
      </c>
      <c r="AK118" s="287"/>
      <c r="AL118" s="245">
        <f t="shared" si="51"/>
        <v>1490838.0754861636</v>
      </c>
      <c r="AM118" s="247" t="s">
        <v>207</v>
      </c>
      <c r="AN118" s="298" t="s">
        <v>207</v>
      </c>
      <c r="AO118" s="247"/>
    </row>
    <row r="119" spans="1:41" ht="13" x14ac:dyDescent="0.3">
      <c r="A119" s="244">
        <v>9257029</v>
      </c>
      <c r="B119" s="237" t="s">
        <v>259</v>
      </c>
      <c r="C119" s="274">
        <v>3</v>
      </c>
      <c r="D119" s="245">
        <f t="shared" si="20"/>
        <v>0</v>
      </c>
      <c r="E119" s="245">
        <f t="shared" si="21"/>
        <v>0</v>
      </c>
      <c r="F119" s="68">
        <f t="shared" si="33"/>
        <v>0</v>
      </c>
      <c r="G119" s="245">
        <f t="shared" si="22"/>
        <v>267942.13962305133</v>
      </c>
      <c r="H119" s="245">
        <f t="shared" si="23"/>
        <v>300095.19637781754</v>
      </c>
      <c r="I119" s="68">
        <f t="shared" si="34"/>
        <v>568037.33600086882</v>
      </c>
      <c r="J119" s="245">
        <f t="shared" si="24"/>
        <v>0</v>
      </c>
      <c r="K119" s="245">
        <f t="shared" si="25"/>
        <v>0</v>
      </c>
      <c r="L119" s="68">
        <f t="shared" si="35"/>
        <v>0</v>
      </c>
      <c r="M119" s="68">
        <f t="shared" si="36"/>
        <v>568037.33600086882</v>
      </c>
      <c r="N119" s="245">
        <f t="shared" si="26"/>
        <v>60386.51412674482</v>
      </c>
      <c r="O119" s="245">
        <f t="shared" si="27"/>
        <v>67632.895821954196</v>
      </c>
      <c r="P119" s="68">
        <f t="shared" si="37"/>
        <v>128019.40994869902</v>
      </c>
      <c r="Q119" s="245">
        <f t="shared" si="28"/>
        <v>0</v>
      </c>
      <c r="R119" s="245">
        <f t="shared" si="29"/>
        <v>0</v>
      </c>
      <c r="S119" s="68">
        <f t="shared" si="38"/>
        <v>0</v>
      </c>
      <c r="T119" s="68">
        <f t="shared" si="39"/>
        <v>128019.40994869902</v>
      </c>
      <c r="U119" s="68">
        <f t="shared" si="40"/>
        <v>696056.74594956788</v>
      </c>
      <c r="V119" s="286">
        <f t="shared" si="41"/>
        <v>48.583333333333336</v>
      </c>
      <c r="W119" s="245">
        <f t="shared" si="30"/>
        <v>14327.068527263833</v>
      </c>
      <c r="X119" s="237"/>
      <c r="Y119" s="245">
        <f t="shared" si="42"/>
        <v>485833.33333333337</v>
      </c>
      <c r="Z119" s="245">
        <f t="shared" si="43"/>
        <v>0</v>
      </c>
      <c r="AA119" s="245">
        <f t="shared" si="44"/>
        <v>485833.33333333337</v>
      </c>
      <c r="AB119" s="245">
        <f>VLOOKUP(A119,'2016-17 Funding Detail'!$A$4:$X$23,24,FALSE)</f>
        <v>1046310.7119918197</v>
      </c>
      <c r="AC119" s="245">
        <f t="shared" si="45"/>
        <v>560477.3786584863</v>
      </c>
      <c r="AD119" s="245">
        <f t="shared" si="46"/>
        <v>264376.12200871995</v>
      </c>
      <c r="AE119" s="245">
        <f t="shared" si="47"/>
        <v>296101.25664976641</v>
      </c>
      <c r="AF119" s="245">
        <f t="shared" si="48"/>
        <v>560477.3786584863</v>
      </c>
      <c r="AG119" s="245">
        <f t="shared" si="31"/>
        <v>0</v>
      </c>
      <c r="AH119" s="245">
        <f t="shared" si="32"/>
        <v>0</v>
      </c>
      <c r="AI119" s="245">
        <f t="shared" si="49"/>
        <v>0</v>
      </c>
      <c r="AJ119" s="245">
        <f t="shared" si="50"/>
        <v>560477.3786584863</v>
      </c>
      <c r="AK119" s="287"/>
      <c r="AL119" s="245">
        <f t="shared" si="51"/>
        <v>1046310.7119918197</v>
      </c>
      <c r="AM119" s="247" t="s">
        <v>207</v>
      </c>
      <c r="AN119" s="298" t="s">
        <v>207</v>
      </c>
      <c r="AO119" s="247"/>
    </row>
    <row r="120" spans="1:41" ht="13" x14ac:dyDescent="0.3">
      <c r="A120" s="244">
        <v>9257032</v>
      </c>
      <c r="B120" s="237" t="s">
        <v>261</v>
      </c>
      <c r="C120" s="267">
        <v>4</v>
      </c>
      <c r="D120" s="245">
        <f t="shared" si="20"/>
        <v>0</v>
      </c>
      <c r="E120" s="245">
        <f t="shared" si="21"/>
        <v>0</v>
      </c>
      <c r="F120" s="68">
        <f t="shared" si="33"/>
        <v>0</v>
      </c>
      <c r="G120" s="245">
        <f t="shared" si="22"/>
        <v>292300.51595241966</v>
      </c>
      <c r="H120" s="245">
        <f t="shared" si="23"/>
        <v>409220.72233338753</v>
      </c>
      <c r="I120" s="68">
        <f t="shared" si="34"/>
        <v>701521.23828580719</v>
      </c>
      <c r="J120" s="245">
        <f t="shared" si="24"/>
        <v>0</v>
      </c>
      <c r="K120" s="245">
        <f t="shared" si="25"/>
        <v>0</v>
      </c>
      <c r="L120" s="68">
        <f t="shared" si="35"/>
        <v>0</v>
      </c>
      <c r="M120" s="68">
        <f t="shared" si="36"/>
        <v>701521.23828580719</v>
      </c>
      <c r="N120" s="245">
        <f t="shared" si="26"/>
        <v>65876.197229176163</v>
      </c>
      <c r="O120" s="245">
        <f t="shared" si="27"/>
        <v>92226.67612084662</v>
      </c>
      <c r="P120" s="68">
        <f t="shared" si="37"/>
        <v>158102.87335002277</v>
      </c>
      <c r="Q120" s="245">
        <f t="shared" si="28"/>
        <v>0</v>
      </c>
      <c r="R120" s="245">
        <f t="shared" si="29"/>
        <v>0</v>
      </c>
      <c r="S120" s="68">
        <f t="shared" si="38"/>
        <v>0</v>
      </c>
      <c r="T120" s="68">
        <f t="shared" si="39"/>
        <v>158102.87335002277</v>
      </c>
      <c r="U120" s="68">
        <f t="shared" si="40"/>
        <v>859624.11163583002</v>
      </c>
      <c r="V120" s="286">
        <f t="shared" si="41"/>
        <v>60</v>
      </c>
      <c r="W120" s="245">
        <f t="shared" si="30"/>
        <v>14327.068527263833</v>
      </c>
      <c r="X120" s="237"/>
      <c r="Y120" s="245">
        <f t="shared" si="42"/>
        <v>600000</v>
      </c>
      <c r="Z120" s="245">
        <f t="shared" si="43"/>
        <v>0</v>
      </c>
      <c r="AA120" s="245">
        <f t="shared" si="44"/>
        <v>600000</v>
      </c>
      <c r="AB120" s="245">
        <f>VLOOKUP(A120,'2016-17 Funding Detail'!$A$4:$X$23,24,FALSE)</f>
        <v>1283310.94444716</v>
      </c>
      <c r="AC120" s="245">
        <f t="shared" si="45"/>
        <v>683310.94444716</v>
      </c>
      <c r="AD120" s="245">
        <f t="shared" si="46"/>
        <v>284712.89351964992</v>
      </c>
      <c r="AE120" s="245">
        <f t="shared" si="47"/>
        <v>398598.05092751002</v>
      </c>
      <c r="AF120" s="245">
        <f t="shared" si="48"/>
        <v>683310.94444716</v>
      </c>
      <c r="AG120" s="245">
        <f t="shared" si="31"/>
        <v>0</v>
      </c>
      <c r="AH120" s="245">
        <f t="shared" si="32"/>
        <v>0</v>
      </c>
      <c r="AI120" s="245">
        <f t="shared" si="49"/>
        <v>0</v>
      </c>
      <c r="AJ120" s="245">
        <f t="shared" si="50"/>
        <v>683310.94444716</v>
      </c>
      <c r="AK120" s="287"/>
      <c r="AL120" s="245">
        <f t="shared" si="51"/>
        <v>1283310.94444716</v>
      </c>
      <c r="AM120" s="247" t="s">
        <v>207</v>
      </c>
      <c r="AN120" s="298" t="s">
        <v>207</v>
      </c>
      <c r="AO120" s="247"/>
    </row>
    <row r="121" spans="1:41" ht="13" x14ac:dyDescent="0.3">
      <c r="A121" s="244">
        <v>9257030</v>
      </c>
      <c r="B121" s="237" t="s">
        <v>262</v>
      </c>
      <c r="C121" s="267">
        <v>4</v>
      </c>
      <c r="D121" s="245">
        <f t="shared" si="20"/>
        <v>0</v>
      </c>
      <c r="E121" s="245">
        <f t="shared" si="21"/>
        <v>0</v>
      </c>
      <c r="F121" s="68">
        <f t="shared" si="33"/>
        <v>0</v>
      </c>
      <c r="G121" s="245">
        <f t="shared" si="22"/>
        <v>292300.51595241966</v>
      </c>
      <c r="H121" s="245">
        <f t="shared" si="23"/>
        <v>443322.44919450319</v>
      </c>
      <c r="I121" s="68">
        <f t="shared" si="34"/>
        <v>735622.96514692286</v>
      </c>
      <c r="J121" s="245">
        <f t="shared" si="24"/>
        <v>0</v>
      </c>
      <c r="K121" s="245">
        <f t="shared" si="25"/>
        <v>0</v>
      </c>
      <c r="L121" s="68">
        <f t="shared" si="35"/>
        <v>0</v>
      </c>
      <c r="M121" s="68">
        <f t="shared" si="36"/>
        <v>735622.96514692286</v>
      </c>
      <c r="N121" s="245">
        <f t="shared" si="26"/>
        <v>65876.197229176163</v>
      </c>
      <c r="O121" s="245">
        <f t="shared" si="27"/>
        <v>99912.232464250512</v>
      </c>
      <c r="P121" s="68">
        <f t="shared" si="37"/>
        <v>165788.42969342667</v>
      </c>
      <c r="Q121" s="245">
        <f t="shared" si="28"/>
        <v>0</v>
      </c>
      <c r="R121" s="245">
        <f t="shared" si="29"/>
        <v>0</v>
      </c>
      <c r="S121" s="68">
        <f t="shared" si="38"/>
        <v>0</v>
      </c>
      <c r="T121" s="68">
        <f t="shared" si="39"/>
        <v>165788.42969342667</v>
      </c>
      <c r="U121" s="68">
        <f t="shared" si="40"/>
        <v>901411.39484034956</v>
      </c>
      <c r="V121" s="286">
        <f t="shared" si="41"/>
        <v>62.916666666666671</v>
      </c>
      <c r="W121" s="245">
        <f t="shared" si="30"/>
        <v>14327.068527263833</v>
      </c>
      <c r="X121" s="237"/>
      <c r="Y121" s="245">
        <f t="shared" si="42"/>
        <v>629166.66666666674</v>
      </c>
      <c r="Z121" s="245">
        <f t="shared" si="43"/>
        <v>0</v>
      </c>
      <c r="AA121" s="245">
        <f t="shared" si="44"/>
        <v>629166.66666666674</v>
      </c>
      <c r="AB121" s="245">
        <f>VLOOKUP(A121,'2016-17 Funding Detail'!$A$4:$X$23,24,FALSE)</f>
        <v>1349837.6353782322</v>
      </c>
      <c r="AC121" s="245">
        <f t="shared" si="45"/>
        <v>720670.96871156548</v>
      </c>
      <c r="AD121" s="245">
        <f t="shared" si="46"/>
        <v>286359.32531585381</v>
      </c>
      <c r="AE121" s="245">
        <f t="shared" si="47"/>
        <v>434311.64339571173</v>
      </c>
      <c r="AF121" s="245">
        <f t="shared" si="48"/>
        <v>720670.96871156548</v>
      </c>
      <c r="AG121" s="245">
        <f t="shared" si="31"/>
        <v>0</v>
      </c>
      <c r="AH121" s="245">
        <f t="shared" si="32"/>
        <v>0</v>
      </c>
      <c r="AI121" s="245">
        <f t="shared" si="49"/>
        <v>0</v>
      </c>
      <c r="AJ121" s="245">
        <f t="shared" si="50"/>
        <v>720670.96871156548</v>
      </c>
      <c r="AK121" s="287"/>
      <c r="AL121" s="245">
        <f t="shared" si="51"/>
        <v>1349837.6353782322</v>
      </c>
      <c r="AM121" s="247" t="s">
        <v>207</v>
      </c>
      <c r="AN121" s="298" t="s">
        <v>207</v>
      </c>
      <c r="AO121" s="247"/>
    </row>
    <row r="122" spans="1:41" ht="13" x14ac:dyDescent="0.3">
      <c r="A122" s="244">
        <v>9257028</v>
      </c>
      <c r="B122" s="237" t="s">
        <v>215</v>
      </c>
      <c r="C122" s="273">
        <v>5</v>
      </c>
      <c r="D122" s="245">
        <f t="shared" si="20"/>
        <v>0</v>
      </c>
      <c r="E122" s="245">
        <f t="shared" si="21"/>
        <v>0</v>
      </c>
      <c r="F122" s="68">
        <f t="shared" si="33"/>
        <v>0</v>
      </c>
      <c r="G122" s="245">
        <f t="shared" si="22"/>
        <v>234307.86807157795</v>
      </c>
      <c r="H122" s="245">
        <f t="shared" si="23"/>
        <v>316102.61474383785</v>
      </c>
      <c r="I122" s="68">
        <f t="shared" si="34"/>
        <v>550410.48281541583</v>
      </c>
      <c r="J122" s="245">
        <f t="shared" si="24"/>
        <v>54529.831114839952</v>
      </c>
      <c r="K122" s="245">
        <f t="shared" si="25"/>
        <v>109059.6622296799</v>
      </c>
      <c r="L122" s="68">
        <f t="shared" si="35"/>
        <v>163589.49334451987</v>
      </c>
      <c r="M122" s="68">
        <f t="shared" si="36"/>
        <v>713999.9761599357</v>
      </c>
      <c r="N122" s="245">
        <f t="shared" si="26"/>
        <v>14458.742819079744</v>
      </c>
      <c r="O122" s="245">
        <f t="shared" si="27"/>
        <v>19506.158494103944</v>
      </c>
      <c r="P122" s="68">
        <f t="shared" si="37"/>
        <v>33964.901313183684</v>
      </c>
      <c r="Q122" s="245">
        <f t="shared" si="28"/>
        <v>3364.9437833494671</v>
      </c>
      <c r="R122" s="245">
        <f t="shared" si="29"/>
        <v>6729.8875666989343</v>
      </c>
      <c r="S122" s="68">
        <f t="shared" si="38"/>
        <v>10094.831350048402</v>
      </c>
      <c r="T122" s="68">
        <f t="shared" si="39"/>
        <v>44059.732663232084</v>
      </c>
      <c r="U122" s="68">
        <f t="shared" si="40"/>
        <v>758059.70882316784</v>
      </c>
      <c r="V122" s="286">
        <f t="shared" si="41"/>
        <v>69.833333333333343</v>
      </c>
      <c r="W122" s="245">
        <f t="shared" si="30"/>
        <v>10855.270293410516</v>
      </c>
      <c r="X122" s="237"/>
      <c r="Y122" s="245">
        <f t="shared" si="42"/>
        <v>538333.33333333337</v>
      </c>
      <c r="Z122" s="245">
        <f t="shared" si="43"/>
        <v>160000</v>
      </c>
      <c r="AA122" s="245">
        <f t="shared" si="44"/>
        <v>698333.33333333337</v>
      </c>
      <c r="AB122" s="245">
        <f>VLOOKUP(A122,'2016-17 Funding Detail'!$A$4:$X$23,24,FALSE)</f>
        <v>1304338.5153645584</v>
      </c>
      <c r="AC122" s="245">
        <f t="shared" si="45"/>
        <v>606005.18203122506</v>
      </c>
      <c r="AD122" s="245">
        <f t="shared" si="46"/>
        <v>198868.04899592698</v>
      </c>
      <c r="AE122" s="245">
        <f t="shared" si="47"/>
        <v>268291.07700905058</v>
      </c>
      <c r="AF122" s="245">
        <f t="shared" si="48"/>
        <v>467159.12600497756</v>
      </c>
      <c r="AG122" s="245">
        <f t="shared" si="31"/>
        <v>46282.01867541574</v>
      </c>
      <c r="AH122" s="245">
        <f t="shared" si="32"/>
        <v>92564.037350831481</v>
      </c>
      <c r="AI122" s="245">
        <f t="shared" si="49"/>
        <v>138846.05602624721</v>
      </c>
      <c r="AJ122" s="245">
        <f t="shared" si="50"/>
        <v>606005.18203122471</v>
      </c>
      <c r="AK122" s="287"/>
      <c r="AL122" s="245">
        <f t="shared" si="51"/>
        <v>1304338.515364558</v>
      </c>
      <c r="AM122" s="247" t="s">
        <v>207</v>
      </c>
      <c r="AN122" s="298" t="s">
        <v>207</v>
      </c>
      <c r="AO122" s="247"/>
    </row>
    <row r="123" spans="1:41" ht="13" x14ac:dyDescent="0.3">
      <c r="A123" s="244">
        <v>9257021</v>
      </c>
      <c r="B123" s="237" t="s">
        <v>216</v>
      </c>
      <c r="C123" s="273">
        <v>5</v>
      </c>
      <c r="D123" s="245">
        <f t="shared" si="20"/>
        <v>0</v>
      </c>
      <c r="E123" s="245">
        <f t="shared" si="21"/>
        <v>0</v>
      </c>
      <c r="F123" s="68">
        <f t="shared" si="33"/>
        <v>0</v>
      </c>
      <c r="G123" s="245">
        <f t="shared" si="22"/>
        <v>431835.01619482733</v>
      </c>
      <c r="H123" s="245">
        <f t="shared" si="23"/>
        <v>660309.42901847372</v>
      </c>
      <c r="I123" s="68">
        <f t="shared" si="34"/>
        <v>1092144.4452133011</v>
      </c>
      <c r="J123" s="245">
        <f t="shared" si="24"/>
        <v>0</v>
      </c>
      <c r="K123" s="245">
        <f t="shared" si="25"/>
        <v>0</v>
      </c>
      <c r="L123" s="68">
        <f t="shared" si="35"/>
        <v>0</v>
      </c>
      <c r="M123" s="68">
        <f t="shared" si="36"/>
        <v>1092144.4452133011</v>
      </c>
      <c r="N123" s="245">
        <f t="shared" si="26"/>
        <v>21804.093449093518</v>
      </c>
      <c r="O123" s="245">
        <f t="shared" si="27"/>
        <v>33340.159912230942</v>
      </c>
      <c r="P123" s="68">
        <f t="shared" si="37"/>
        <v>55144.25336132446</v>
      </c>
      <c r="Q123" s="245">
        <f t="shared" si="28"/>
        <v>0</v>
      </c>
      <c r="R123" s="245">
        <f t="shared" si="29"/>
        <v>0</v>
      </c>
      <c r="S123" s="68">
        <f t="shared" si="38"/>
        <v>0</v>
      </c>
      <c r="T123" s="68">
        <f t="shared" si="39"/>
        <v>55144.25336132446</v>
      </c>
      <c r="U123" s="68">
        <f t="shared" si="40"/>
        <v>1147288.6985746257</v>
      </c>
      <c r="V123" s="286">
        <f t="shared" si="41"/>
        <v>148.58333333333334</v>
      </c>
      <c r="W123" s="245">
        <f t="shared" si="30"/>
        <v>7721.5167598965263</v>
      </c>
      <c r="X123" s="237"/>
      <c r="Y123" s="245">
        <f t="shared" si="42"/>
        <v>1485833.3333333335</v>
      </c>
      <c r="Z123" s="245">
        <f t="shared" si="43"/>
        <v>0</v>
      </c>
      <c r="AA123" s="245">
        <f t="shared" si="44"/>
        <v>1485833.3333333335</v>
      </c>
      <c r="AB123" s="245">
        <f>VLOOKUP(A123,'2016-17 Funding Detail'!$A$4:$X$23,24,FALSE)</f>
        <v>1709844.939971274</v>
      </c>
      <c r="AC123" s="245">
        <f t="shared" si="45"/>
        <v>224011.60663794051</v>
      </c>
      <c r="AD123" s="245">
        <f t="shared" si="46"/>
        <v>88574.415412085247</v>
      </c>
      <c r="AE123" s="245">
        <f t="shared" si="47"/>
        <v>135437.19122585517</v>
      </c>
      <c r="AF123" s="245">
        <f t="shared" si="48"/>
        <v>224011.60663794042</v>
      </c>
      <c r="AG123" s="245">
        <f t="shared" si="31"/>
        <v>0</v>
      </c>
      <c r="AH123" s="245">
        <f t="shared" si="32"/>
        <v>0</v>
      </c>
      <c r="AI123" s="245">
        <f t="shared" si="49"/>
        <v>0</v>
      </c>
      <c r="AJ123" s="245">
        <f t="shared" si="50"/>
        <v>224011.60663794042</v>
      </c>
      <c r="AK123" s="287"/>
      <c r="AL123" s="245">
        <f t="shared" si="51"/>
        <v>1709844.939971274</v>
      </c>
      <c r="AM123" s="247" t="s">
        <v>207</v>
      </c>
      <c r="AN123" s="298" t="s">
        <v>207</v>
      </c>
      <c r="AO123" s="247"/>
    </row>
    <row r="124" spans="1:41" ht="13" x14ac:dyDescent="0.3">
      <c r="A124" s="244">
        <v>9257015</v>
      </c>
      <c r="B124" s="237" t="s">
        <v>217</v>
      </c>
      <c r="C124" s="267">
        <v>6</v>
      </c>
      <c r="D124" s="245">
        <f t="shared" si="20"/>
        <v>29875.568123471203</v>
      </c>
      <c r="E124" s="245">
        <f t="shared" si="21"/>
        <v>0</v>
      </c>
      <c r="F124" s="68">
        <f t="shared" si="33"/>
        <v>29875.568123471203</v>
      </c>
      <c r="G124" s="245">
        <f t="shared" si="22"/>
        <v>690125.62365218473</v>
      </c>
      <c r="H124" s="245">
        <f t="shared" si="23"/>
        <v>1100018.4183062098</v>
      </c>
      <c r="I124" s="68">
        <f t="shared" si="34"/>
        <v>1790144.0419583945</v>
      </c>
      <c r="J124" s="245">
        <f t="shared" si="24"/>
        <v>45410.863547676221</v>
      </c>
      <c r="K124" s="245">
        <f t="shared" si="25"/>
        <v>90821.727095352442</v>
      </c>
      <c r="L124" s="68">
        <f t="shared" si="35"/>
        <v>136232.59064302867</v>
      </c>
      <c r="M124" s="68">
        <f t="shared" si="36"/>
        <v>1926376.6326014232</v>
      </c>
      <c r="N124" s="245">
        <f t="shared" si="26"/>
        <v>17071.143583044573</v>
      </c>
      <c r="O124" s="245">
        <f t="shared" si="27"/>
        <v>26081.307333099638</v>
      </c>
      <c r="P124" s="68">
        <f t="shared" si="37"/>
        <v>43152.450916144211</v>
      </c>
      <c r="Q124" s="245">
        <f t="shared" si="28"/>
        <v>1076.6862342833092</v>
      </c>
      <c r="R124" s="245">
        <f t="shared" si="29"/>
        <v>2153.3724685666184</v>
      </c>
      <c r="S124" s="68">
        <f t="shared" si="38"/>
        <v>3230.0587028499276</v>
      </c>
      <c r="T124" s="68">
        <f t="shared" si="39"/>
        <v>46382.50961899414</v>
      </c>
      <c r="U124" s="68">
        <f t="shared" si="40"/>
        <v>2002634.7103438887</v>
      </c>
      <c r="V124" s="286">
        <f t="shared" si="41"/>
        <v>272.83333333333337</v>
      </c>
      <c r="W124" s="245">
        <f t="shared" si="30"/>
        <v>7340.139439256769</v>
      </c>
      <c r="X124" s="237"/>
      <c r="Y124" s="245">
        <f t="shared" si="42"/>
        <v>2538333.3333333335</v>
      </c>
      <c r="Z124" s="245">
        <f t="shared" si="43"/>
        <v>190000</v>
      </c>
      <c r="AA124" s="245">
        <f t="shared" si="44"/>
        <v>2728333.3333333335</v>
      </c>
      <c r="AB124" s="245">
        <f>VLOOKUP(A124,'2016-17 Funding Detail'!$A$4:$X$23,24,FALSE)</f>
        <v>2728333.3333333335</v>
      </c>
      <c r="AC124" s="245">
        <f t="shared" si="45"/>
        <v>0</v>
      </c>
      <c r="AD124" s="245">
        <f t="shared" si="46"/>
        <v>0</v>
      </c>
      <c r="AE124" s="245">
        <f t="shared" si="47"/>
        <v>0</v>
      </c>
      <c r="AF124" s="245">
        <f t="shared" si="48"/>
        <v>0</v>
      </c>
      <c r="AG124" s="245">
        <f t="shared" si="31"/>
        <v>0</v>
      </c>
      <c r="AH124" s="245">
        <f t="shared" si="32"/>
        <v>0</v>
      </c>
      <c r="AI124" s="245">
        <f t="shared" si="49"/>
        <v>0</v>
      </c>
      <c r="AJ124" s="245">
        <f t="shared" si="50"/>
        <v>0</v>
      </c>
      <c r="AK124" s="287"/>
      <c r="AL124" s="245">
        <f t="shared" si="51"/>
        <v>2728333.3333333335</v>
      </c>
      <c r="AM124" s="247" t="s">
        <v>207</v>
      </c>
      <c r="AN124" s="298" t="s">
        <v>207</v>
      </c>
      <c r="AO124" s="247"/>
    </row>
    <row r="125" spans="1:41" ht="13" x14ac:dyDescent="0.3">
      <c r="A125" s="244">
        <v>9257016</v>
      </c>
      <c r="B125" s="237" t="s">
        <v>219</v>
      </c>
      <c r="C125" s="274">
        <v>6</v>
      </c>
      <c r="D125" s="245">
        <f t="shared" si="20"/>
        <v>0</v>
      </c>
      <c r="E125" s="245">
        <f t="shared" si="21"/>
        <v>0</v>
      </c>
      <c r="F125" s="68">
        <f t="shared" si="33"/>
        <v>0</v>
      </c>
      <c r="G125" s="245">
        <f t="shared" si="22"/>
        <v>333053.08543802291</v>
      </c>
      <c r="H125" s="245">
        <f t="shared" si="23"/>
        <v>572514.03800612036</v>
      </c>
      <c r="I125" s="68">
        <f t="shared" si="34"/>
        <v>905567.12344414322</v>
      </c>
      <c r="J125" s="245">
        <f t="shared" si="24"/>
        <v>182125.23153066565</v>
      </c>
      <c r="K125" s="245">
        <f t="shared" si="25"/>
        <v>364250.46306133131</v>
      </c>
      <c r="L125" s="68">
        <f t="shared" si="35"/>
        <v>546375.69459199696</v>
      </c>
      <c r="M125" s="68">
        <f>I125+L125</f>
        <v>1451942.8180361402</v>
      </c>
      <c r="N125" s="245">
        <f t="shared" si="26"/>
        <v>0</v>
      </c>
      <c r="O125" s="245">
        <f t="shared" si="27"/>
        <v>0</v>
      </c>
      <c r="P125" s="68">
        <f t="shared" si="37"/>
        <v>0</v>
      </c>
      <c r="Q125" s="245">
        <f t="shared" si="28"/>
        <v>0</v>
      </c>
      <c r="R125" s="245">
        <f t="shared" si="29"/>
        <v>0</v>
      </c>
      <c r="S125" s="68">
        <f t="shared" si="38"/>
        <v>0</v>
      </c>
      <c r="T125" s="68">
        <f t="shared" si="39"/>
        <v>0</v>
      </c>
      <c r="U125" s="68">
        <f t="shared" si="40"/>
        <v>1451942.8180361402</v>
      </c>
      <c r="V125" s="286">
        <f t="shared" si="41"/>
        <v>143.5</v>
      </c>
      <c r="W125" s="245">
        <f t="shared" si="30"/>
        <v>10118.068418370314</v>
      </c>
      <c r="X125" s="237"/>
      <c r="Y125" s="245">
        <f t="shared" si="42"/>
        <v>895000</v>
      </c>
      <c r="Z125" s="245">
        <f t="shared" si="43"/>
        <v>540000</v>
      </c>
      <c r="AA125" s="245">
        <f t="shared" si="44"/>
        <v>1435000</v>
      </c>
      <c r="AB125" s="245">
        <f>VLOOKUP(A125,'2016-17 Funding Detail'!$A$4:$X$23,24,FALSE)</f>
        <v>2347224.335787409</v>
      </c>
      <c r="AC125" s="245">
        <f t="shared" si="45"/>
        <v>912224.33578740899</v>
      </c>
      <c r="AD125" s="245">
        <f t="shared" si="46"/>
        <v>209250.06541000379</v>
      </c>
      <c r="AE125" s="245">
        <f t="shared" si="47"/>
        <v>359698.21370479133</v>
      </c>
      <c r="AF125" s="245">
        <f t="shared" si="48"/>
        <v>568948.27911479515</v>
      </c>
      <c r="AG125" s="245">
        <f t="shared" si="31"/>
        <v>114425.35222420462</v>
      </c>
      <c r="AH125" s="245">
        <f t="shared" si="32"/>
        <v>228850.70444840923</v>
      </c>
      <c r="AI125" s="245">
        <f t="shared" si="49"/>
        <v>343276.05667261383</v>
      </c>
      <c r="AJ125" s="245">
        <f t="shared" si="50"/>
        <v>912224.33578740899</v>
      </c>
      <c r="AK125" s="287"/>
      <c r="AL125" s="245">
        <f t="shared" si="51"/>
        <v>2347224.335787409</v>
      </c>
      <c r="AM125" s="247" t="s">
        <v>207</v>
      </c>
      <c r="AN125" s="298" t="s">
        <v>207</v>
      </c>
      <c r="AO125" s="247"/>
    </row>
    <row r="126" spans="1:41" x14ac:dyDescent="0.25">
      <c r="A126" s="36"/>
      <c r="B126" s="36"/>
      <c r="C126" s="36"/>
      <c r="D126" s="36"/>
      <c r="E126" s="36"/>
      <c r="F126" s="36"/>
      <c r="G126" s="36"/>
      <c r="H126" s="36"/>
      <c r="I126" s="234"/>
      <c r="J126" s="234"/>
      <c r="K126" s="36"/>
      <c r="L126" s="36"/>
      <c r="M126" s="36"/>
      <c r="N126" s="36"/>
      <c r="O126" s="36"/>
      <c r="P126" s="36"/>
      <c r="Q126" s="36"/>
      <c r="R126" s="36"/>
      <c r="S126" s="36"/>
      <c r="T126" s="36"/>
      <c r="U126" s="36"/>
      <c r="V126" s="288"/>
      <c r="W126" s="36"/>
      <c r="X126" s="36"/>
      <c r="Y126" s="36"/>
      <c r="Z126" s="36"/>
      <c r="AA126" s="36"/>
      <c r="AB126" s="36"/>
      <c r="AC126" s="36"/>
      <c r="AD126" s="36"/>
      <c r="AE126" s="36"/>
      <c r="AF126" s="36"/>
      <c r="AG126" s="36"/>
      <c r="AH126" s="36"/>
      <c r="AI126" s="36"/>
      <c r="AJ126" s="36"/>
      <c r="AK126" s="36"/>
      <c r="AL126" s="36"/>
      <c r="AM126" s="36"/>
      <c r="AN126" s="36"/>
      <c r="AO126" s="36"/>
    </row>
    <row r="127" spans="1:41" ht="13" thickBot="1" x14ac:dyDescent="0.3">
      <c r="A127" s="36"/>
      <c r="B127" s="36"/>
      <c r="C127" s="36"/>
      <c r="D127" s="250">
        <f>SUM(D108:D125)</f>
        <v>159453.0923718877</v>
      </c>
      <c r="E127" s="250">
        <f t="shared" ref="E127:S127" si="52">SUM(E108:E125)</f>
        <v>0</v>
      </c>
      <c r="F127" s="250">
        <f t="shared" si="52"/>
        <v>159453.0923718877</v>
      </c>
      <c r="G127" s="250">
        <f t="shared" si="52"/>
        <v>5179577.1016956642</v>
      </c>
      <c r="H127" s="250">
        <f t="shared" si="52"/>
        <v>7723326.239007283</v>
      </c>
      <c r="I127" s="250">
        <f t="shared" si="52"/>
        <v>12902903.340702947</v>
      </c>
      <c r="J127" s="250">
        <f t="shared" si="52"/>
        <v>581709.87444175896</v>
      </c>
      <c r="K127" s="250">
        <f t="shared" si="52"/>
        <v>1163419.7488835179</v>
      </c>
      <c r="L127" s="250">
        <f t="shared" si="52"/>
        <v>1745129.6233252769</v>
      </c>
      <c r="M127" s="250">
        <f>SUM(M108:M125)</f>
        <v>14648032.964028226</v>
      </c>
      <c r="N127" s="250">
        <f t="shared" si="52"/>
        <v>451742.86445918604</v>
      </c>
      <c r="O127" s="250">
        <f t="shared" si="52"/>
        <v>634137.75900852529</v>
      </c>
      <c r="P127" s="250">
        <f t="shared" si="52"/>
        <v>1085880.6234677115</v>
      </c>
      <c r="Q127" s="250">
        <f t="shared" si="52"/>
        <v>19253.253359859609</v>
      </c>
      <c r="R127" s="250">
        <f t="shared" si="52"/>
        <v>38506.506719719218</v>
      </c>
      <c r="S127" s="250">
        <f t="shared" si="52"/>
        <v>57759.760079578831</v>
      </c>
      <c r="T127" s="250">
        <f>SUM(T108:T125)</f>
        <v>1143640.3835472902</v>
      </c>
      <c r="U127" s="250">
        <f>SUM(U108:U125)</f>
        <v>15951126.439947402</v>
      </c>
      <c r="V127" s="251">
        <f>SUM(V108:V125)</f>
        <v>1685.75</v>
      </c>
      <c r="W127" s="250">
        <f>AVERAGE(W108:W125)</f>
        <v>10284.921004300575</v>
      </c>
      <c r="X127" s="36"/>
      <c r="Y127" s="1034">
        <f>SUM(Y108:Y125)</f>
        <v>14967500</v>
      </c>
      <c r="Z127" s="1034">
        <f t="shared" ref="Z127:AL127" si="53">SUM(Z108:Z125)</f>
        <v>1890000</v>
      </c>
      <c r="AA127" s="250">
        <f t="shared" si="53"/>
        <v>16857500</v>
      </c>
      <c r="AB127" s="250">
        <f t="shared" si="53"/>
        <v>25193996.504152965</v>
      </c>
      <c r="AC127" s="250">
        <f t="shared" si="53"/>
        <v>8336496.5041529657</v>
      </c>
      <c r="AD127" s="250">
        <f t="shared" si="53"/>
        <v>2984331.4403555626</v>
      </c>
      <c r="AE127" s="250">
        <f t="shared" si="53"/>
        <v>4271070.8178100279</v>
      </c>
      <c r="AF127" s="250">
        <f t="shared" si="53"/>
        <v>7255402.2581655895</v>
      </c>
      <c r="AG127" s="250">
        <f t="shared" si="53"/>
        <v>360364.74866245798</v>
      </c>
      <c r="AH127" s="250">
        <f t="shared" si="53"/>
        <v>720729.49732491595</v>
      </c>
      <c r="AI127" s="250">
        <f t="shared" si="53"/>
        <v>1081094.2459873739</v>
      </c>
      <c r="AJ127" s="250">
        <f t="shared" si="53"/>
        <v>8336496.5041529629</v>
      </c>
      <c r="AK127" s="1034"/>
      <c r="AL127" s="250">
        <f t="shared" si="53"/>
        <v>25193996.504152965</v>
      </c>
      <c r="AM127" s="36"/>
      <c r="AN127" s="36"/>
      <c r="AO127" s="36"/>
    </row>
    <row r="129" spans="4:38" x14ac:dyDescent="0.25">
      <c r="D129" s="298" t="s">
        <v>207</v>
      </c>
      <c r="E129" s="298" t="s">
        <v>207</v>
      </c>
      <c r="F129" s="298" t="s">
        <v>207</v>
      </c>
      <c r="G129" s="298" t="s">
        <v>207</v>
      </c>
      <c r="H129" s="298" t="s">
        <v>207</v>
      </c>
      <c r="I129" s="298" t="s">
        <v>207</v>
      </c>
      <c r="J129" s="298" t="s">
        <v>207</v>
      </c>
      <c r="K129" s="298" t="s">
        <v>207</v>
      </c>
      <c r="L129" s="298" t="s">
        <v>207</v>
      </c>
      <c r="M129" s="298" t="s">
        <v>207</v>
      </c>
      <c r="N129" s="298" t="s">
        <v>207</v>
      </c>
      <c r="O129" s="298" t="s">
        <v>207</v>
      </c>
      <c r="P129" s="298" t="s">
        <v>207</v>
      </c>
      <c r="Q129" s="298" t="s">
        <v>207</v>
      </c>
      <c r="R129" s="298" t="s">
        <v>207</v>
      </c>
      <c r="S129" s="298" t="s">
        <v>207</v>
      </c>
      <c r="T129" s="298" t="s">
        <v>207</v>
      </c>
      <c r="U129" s="298" t="s">
        <v>207</v>
      </c>
      <c r="V129" s="298" t="s">
        <v>207</v>
      </c>
      <c r="W129" s="298" t="s">
        <v>207</v>
      </c>
      <c r="X129" s="36"/>
      <c r="Y129" s="298" t="s">
        <v>207</v>
      </c>
      <c r="Z129" s="298" t="s">
        <v>207</v>
      </c>
      <c r="AA129" s="298" t="s">
        <v>207</v>
      </c>
      <c r="AB129" s="298" t="s">
        <v>207</v>
      </c>
      <c r="AC129" s="298" t="s">
        <v>207</v>
      </c>
      <c r="AD129" s="298" t="s">
        <v>207</v>
      </c>
      <c r="AE129" s="298" t="s">
        <v>207</v>
      </c>
      <c r="AF129" s="298" t="s">
        <v>207</v>
      </c>
      <c r="AG129" s="298" t="s">
        <v>207</v>
      </c>
      <c r="AH129" s="298" t="s">
        <v>207</v>
      </c>
      <c r="AI129" s="298" t="s">
        <v>207</v>
      </c>
      <c r="AJ129" s="298" t="s">
        <v>207</v>
      </c>
      <c r="AK129" s="298"/>
      <c r="AL129" s="298" t="s">
        <v>207</v>
      </c>
    </row>
  </sheetData>
  <sheetProtection password="C462" sheet="1" objects="1" scenarios="1"/>
  <mergeCells count="17">
    <mergeCell ref="S1:S4"/>
    <mergeCell ref="U1:W1"/>
    <mergeCell ref="U2:W2"/>
    <mergeCell ref="U3:W3"/>
    <mergeCell ref="P4:Q4"/>
    <mergeCell ref="U4:W4"/>
    <mergeCell ref="D106:F106"/>
    <mergeCell ref="G106:I106"/>
    <mergeCell ref="J106:L106"/>
    <mergeCell ref="N106:P106"/>
    <mergeCell ref="Q106:S106"/>
    <mergeCell ref="AL106:AL107"/>
    <mergeCell ref="M26:N26"/>
    <mergeCell ref="P48:Q48"/>
    <mergeCell ref="M70:N70"/>
    <mergeCell ref="U8:AA10"/>
    <mergeCell ref="U11:AA16"/>
  </mergeCell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BB133"/>
  <sheetViews>
    <sheetView workbookViewId="0">
      <selection activeCell="J6" sqref="J6"/>
    </sheetView>
  </sheetViews>
  <sheetFormatPr defaultColWidth="10.26953125" defaultRowHeight="12.5" x14ac:dyDescent="0.25"/>
  <cols>
    <col min="1" max="1" width="9.1796875" style="29" customWidth="1"/>
    <col min="2" max="2" width="26.7265625" style="29" customWidth="1"/>
    <col min="3" max="3" width="7.26953125" style="29" bestFit="1" customWidth="1"/>
    <col min="4" max="4" width="12.1796875" style="29" bestFit="1" customWidth="1"/>
    <col min="5" max="5" width="16.453125" style="29" customWidth="1"/>
    <col min="6" max="6" width="12.7265625" style="29" customWidth="1"/>
    <col min="7" max="7" width="14.54296875" style="29" customWidth="1"/>
    <col min="8" max="8" width="13.26953125" style="29" customWidth="1"/>
    <col min="9" max="9" width="13" style="30" customWidth="1"/>
    <col min="10" max="10" width="12.81640625" style="30" customWidth="1"/>
    <col min="11" max="11" width="12.26953125" style="29" customWidth="1"/>
    <col min="12" max="12" width="11.1796875" style="29" customWidth="1"/>
    <col min="13" max="13" width="13.26953125" style="29" customWidth="1"/>
    <col min="14" max="14" width="11.453125" style="29" customWidth="1"/>
    <col min="15" max="15" width="12.81640625" style="29" customWidth="1"/>
    <col min="16" max="16" width="12.453125" style="29" customWidth="1"/>
    <col min="17" max="17" width="12.453125" style="29" bestFit="1" customWidth="1"/>
    <col min="18" max="18" width="11.54296875" style="29" customWidth="1"/>
    <col min="19" max="19" width="12.453125" style="140" customWidth="1"/>
    <col min="20" max="20" width="12.26953125" style="29" customWidth="1"/>
    <col min="21" max="22" width="11.26953125" style="29" customWidth="1"/>
    <col min="23" max="23" width="10.26953125" style="29" customWidth="1"/>
    <col min="24" max="24" width="11.1796875" style="29" bestFit="1" customWidth="1"/>
    <col min="25" max="25" width="11.1796875" style="29" customWidth="1"/>
    <col min="26" max="26" width="12.81640625" style="29" customWidth="1"/>
    <col min="27" max="27" width="11" style="29" customWidth="1"/>
    <col min="28" max="28" width="12.7265625" style="29" customWidth="1"/>
    <col min="29" max="29" width="13.1796875" style="29" customWidth="1"/>
    <col min="30" max="30" width="12.1796875" style="29" customWidth="1"/>
    <col min="31" max="31" width="11" style="29" customWidth="1"/>
    <col min="32" max="32" width="10.54296875" style="29" bestFit="1" customWidth="1"/>
    <col min="33" max="33" width="12.453125" style="29" customWidth="1"/>
    <col min="34" max="34" width="10.26953125" style="29" customWidth="1"/>
    <col min="35" max="35" width="28.54296875" style="29" bestFit="1" customWidth="1"/>
    <col min="36" max="36" width="11.1796875" style="29" customWidth="1"/>
    <col min="37" max="37" width="2" style="29" customWidth="1"/>
    <col min="38" max="38" width="10" style="29" customWidth="1"/>
    <col min="39" max="39" width="9.7265625" style="29" customWidth="1"/>
    <col min="40" max="40" width="10.54296875" style="29" bestFit="1" customWidth="1"/>
    <col min="41" max="41" width="10.26953125" style="29" customWidth="1"/>
    <col min="42" max="42" width="15" style="29" customWidth="1"/>
    <col min="43" max="43" width="14.1796875" style="29" customWidth="1"/>
    <col min="44" max="47" width="10.26953125" style="29"/>
    <col min="48" max="48" width="14.7265625" style="30" customWidth="1"/>
    <col min="49" max="49" width="13.26953125" style="30" customWidth="1"/>
    <col min="50" max="51" width="10.26953125" style="29"/>
    <col min="52" max="52" width="19" style="30" bestFit="1" customWidth="1"/>
    <col min="53" max="53" width="16.81640625" style="30" customWidth="1"/>
    <col min="54" max="54" width="10.26953125" style="30"/>
    <col min="55" max="16384" width="10.26953125" style="29"/>
  </cols>
  <sheetData>
    <row r="1" spans="1:54" x14ac:dyDescent="0.25">
      <c r="A1" s="94" t="s">
        <v>230</v>
      </c>
      <c r="B1" s="36"/>
      <c r="C1" s="36"/>
      <c r="D1" s="36"/>
      <c r="E1" s="36"/>
      <c r="F1" s="36"/>
      <c r="G1" s="36"/>
      <c r="H1" s="36"/>
      <c r="I1" s="234"/>
      <c r="J1" s="234"/>
      <c r="K1" s="36"/>
      <c r="L1" s="36"/>
      <c r="M1" s="36"/>
      <c r="N1" s="36"/>
      <c r="O1" s="36"/>
      <c r="P1" s="36"/>
      <c r="Q1" s="36"/>
      <c r="R1" s="36"/>
      <c r="S1" s="1023"/>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row>
    <row r="2" spans="1:54" ht="13" x14ac:dyDescent="0.3">
      <c r="A2" s="94"/>
      <c r="B2" s="36"/>
      <c r="C2" s="36"/>
      <c r="D2" s="36"/>
      <c r="E2" s="139" t="s">
        <v>1176</v>
      </c>
      <c r="F2" s="36"/>
      <c r="G2" s="36"/>
      <c r="H2" s="36"/>
      <c r="I2" s="234"/>
      <c r="J2" s="234"/>
      <c r="K2" s="36"/>
      <c r="L2" s="36"/>
      <c r="M2" s="36"/>
      <c r="N2" s="36"/>
      <c r="O2" s="36"/>
      <c r="P2" s="36"/>
      <c r="Q2" s="36"/>
      <c r="R2" s="36"/>
      <c r="S2" s="1023"/>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row>
    <row r="3" spans="1:54" ht="13" x14ac:dyDescent="0.3">
      <c r="A3" s="93" t="s">
        <v>1177</v>
      </c>
      <c r="B3" s="36"/>
      <c r="C3" s="36"/>
      <c r="D3" s="36"/>
      <c r="E3" s="36"/>
      <c r="F3" s="36"/>
      <c r="G3" s="36"/>
      <c r="H3" s="36"/>
      <c r="I3" s="234"/>
      <c r="J3" s="234"/>
      <c r="K3" s="94" t="s">
        <v>911</v>
      </c>
      <c r="L3" s="36"/>
      <c r="M3" s="36"/>
      <c r="N3" s="36"/>
      <c r="O3" s="36"/>
      <c r="P3" s="36"/>
      <c r="Q3" s="36"/>
      <c r="R3" s="36"/>
      <c r="S3" s="1023"/>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row>
    <row r="4" spans="1:54" x14ac:dyDescent="0.25">
      <c r="A4" s="36"/>
      <c r="B4" s="263"/>
      <c r="C4" s="263"/>
      <c r="D4" s="36"/>
      <c r="E4" s="36"/>
      <c r="F4" s="36"/>
      <c r="G4" s="36"/>
      <c r="H4" s="36"/>
      <c r="I4" s="234"/>
      <c r="J4" s="234"/>
      <c r="K4" s="36"/>
      <c r="L4" s="36"/>
      <c r="M4" s="36"/>
      <c r="N4" s="36"/>
      <c r="O4" s="1445" t="s">
        <v>238</v>
      </c>
      <c r="P4" s="1446"/>
      <c r="Q4" s="36"/>
      <c r="R4" s="1023"/>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row>
    <row r="5" spans="1:54" ht="37.5" x14ac:dyDescent="0.25">
      <c r="A5" s="265" t="s">
        <v>182</v>
      </c>
      <c r="B5" s="237" t="s">
        <v>183</v>
      </c>
      <c r="C5" s="238" t="s">
        <v>184</v>
      </c>
      <c r="D5" s="234" t="s">
        <v>901</v>
      </c>
      <c r="E5" s="234" t="s">
        <v>902</v>
      </c>
      <c r="F5" s="234" t="s">
        <v>903</v>
      </c>
      <c r="G5" s="234" t="s">
        <v>904</v>
      </c>
      <c r="H5" s="234" t="s">
        <v>905</v>
      </c>
      <c r="I5" s="234" t="s">
        <v>906</v>
      </c>
      <c r="J5" s="234" t="s">
        <v>907</v>
      </c>
      <c r="K5" s="243" t="s">
        <v>246</v>
      </c>
      <c r="L5" s="243" t="s">
        <v>249</v>
      </c>
      <c r="M5" s="243" t="s">
        <v>250</v>
      </c>
      <c r="N5" s="243" t="s">
        <v>251</v>
      </c>
      <c r="O5" s="266" t="s">
        <v>252</v>
      </c>
      <c r="P5" s="320" t="s">
        <v>253</v>
      </c>
      <c r="Q5" s="36"/>
      <c r="R5" s="449" t="s">
        <v>908</v>
      </c>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row>
    <row r="6" spans="1:54" x14ac:dyDescent="0.25">
      <c r="A6" s="244">
        <v>9257010</v>
      </c>
      <c r="B6" s="237" t="s">
        <v>205</v>
      </c>
      <c r="C6" s="365">
        <v>4</v>
      </c>
      <c r="D6" s="1024">
        <f>VLOOKUP(A6,'2021 Band Moderations'!$B$5:$S$22,6,(FALSE))</f>
        <v>6.25E-2</v>
      </c>
      <c r="E6" s="1024">
        <f>VLOOKUP(A6,'2021 Band Moderations'!$B$5:$S$22,8,(FALSE))</f>
        <v>0.34375</v>
      </c>
      <c r="F6" s="1024">
        <f>VLOOKUP(A6,'2021 Band Moderations'!$B$5:$S$22,10,(FALSE))</f>
        <v>6.25E-2</v>
      </c>
      <c r="G6" s="1024">
        <f>VLOOKUP(A6,'2021 Band Moderations'!$B$5:$S$22,12,(FALSE))</f>
        <v>0.171875</v>
      </c>
      <c r="H6" s="1024">
        <f>VLOOKUP(A6,'2021 Band Moderations'!$B$5:$S$22,14,(FALSE))</f>
        <v>4.6875E-2</v>
      </c>
      <c r="I6" s="1024">
        <f>VLOOKUP(A6,'2021 Band Moderations'!$B$5:$S$22,16,(FALSE))</f>
        <v>0.171875</v>
      </c>
      <c r="J6" s="1024">
        <f>VLOOKUP(A6,'2021 Band Moderations'!$B$5:$S$22,18,(FALSE))</f>
        <v>0.140625</v>
      </c>
      <c r="K6" s="451">
        <v>52</v>
      </c>
      <c r="L6" s="1025">
        <f t="shared" ref="L6:L23" si="0">((((K6*D6)*$G$92)+((K6*E6)*$G$94)+((K6*F6)*$G$96)+((K6*G6)*$G$98)+((K6*H6)*$G$100)+((K6*I6)*$G$102)+((K6*J6)*$G$104))*(5/12))</f>
        <v>264258.25188916276</v>
      </c>
      <c r="M6" s="1025">
        <f>((K6*F6)*$G$106)*(5/12)</f>
        <v>3568.229166666667</v>
      </c>
      <c r="N6" s="1025">
        <f t="shared" ref="N6:N23" si="1">SUM(L6:M6)</f>
        <v>267826.48105582944</v>
      </c>
      <c r="O6" s="1026">
        <f>(K6*(5/12))*10000</f>
        <v>216666.66666666669</v>
      </c>
      <c r="P6" s="1026">
        <f>(VLOOKUP(A6,'2021 Funding Detail'!$A$4:$AO$23,39,FALSE)*5/12)*K6</f>
        <v>213192.13872866504</v>
      </c>
      <c r="Q6" s="235"/>
      <c r="R6" s="235">
        <f t="shared" ref="R6:R23" si="2">(J6*K6*$G$104)*5/12</f>
        <v>68593.537459061146</v>
      </c>
      <c r="S6" s="269"/>
      <c r="T6" s="295"/>
      <c r="U6" s="36"/>
      <c r="V6" s="36"/>
      <c r="W6" s="235"/>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row>
    <row r="7" spans="1:54" ht="12.75" customHeight="1" x14ac:dyDescent="0.25">
      <c r="A7" s="244">
        <v>9257005</v>
      </c>
      <c r="B7" s="237" t="s">
        <v>208</v>
      </c>
      <c r="C7" s="365" t="s">
        <v>1178</v>
      </c>
      <c r="D7" s="1024">
        <f>VLOOKUP(A7,'2021 Band Moderations'!$B$5:$S$22,6,(FALSE))</f>
        <v>7.8947368421052627E-2</v>
      </c>
      <c r="E7" s="1024">
        <f>VLOOKUP(A7,'2021 Band Moderations'!$B$5:$S$22,8,(FALSE))</f>
        <v>0.35526315789473684</v>
      </c>
      <c r="F7" s="1024">
        <f>VLOOKUP(A7,'2021 Band Moderations'!$B$5:$S$22,10,(FALSE))</f>
        <v>6.5789473684210523E-2</v>
      </c>
      <c r="G7" s="1024">
        <f>VLOOKUP(A7,'2021 Band Moderations'!$B$5:$S$22,12,(FALSE))</f>
        <v>0.14473684210526316</v>
      </c>
      <c r="H7" s="1024">
        <f>VLOOKUP(A7,'2021 Band Moderations'!$B$5:$S$22,14,(FALSE))</f>
        <v>0.14473684210526316</v>
      </c>
      <c r="I7" s="1024">
        <f>VLOOKUP(A7,'2021 Band Moderations'!$B$5:$S$22,16,(FALSE))</f>
        <v>0.15789473684210525</v>
      </c>
      <c r="J7" s="1024">
        <f>VLOOKUP(A7,'2021 Band Moderations'!$B$5:$S$22,18,(FALSE))</f>
        <v>5.2631578947368418E-2</v>
      </c>
      <c r="K7" s="451">
        <v>52</v>
      </c>
      <c r="L7" s="1025">
        <f t="shared" si="0"/>
        <v>242842.28767712403</v>
      </c>
      <c r="M7" s="1025">
        <f t="shared" ref="M7:M23" si="3">((K7*F7)*$G$106)*(5/12)</f>
        <v>3756.0307017543864</v>
      </c>
      <c r="N7" s="1025">
        <f t="shared" si="1"/>
        <v>246598.31837887841</v>
      </c>
      <c r="O7" s="1026">
        <f t="shared" ref="O7:O23" si="4">(K7*(5/12))*10000</f>
        <v>216666.66666666669</v>
      </c>
      <c r="P7" s="1026">
        <f>(VLOOKUP(A7,'2021 Funding Detail'!$A$4:$AO$23,39,FALSE)*5/12)*K7</f>
        <v>158178.08809612261</v>
      </c>
      <c r="Q7" s="235"/>
      <c r="R7" s="235">
        <f t="shared" si="2"/>
        <v>25672.435072397147</v>
      </c>
      <c r="S7" s="233"/>
      <c r="T7" s="296"/>
      <c r="U7" s="36"/>
      <c r="V7" s="36"/>
      <c r="W7" s="235"/>
      <c r="X7" s="234"/>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row>
    <row r="8" spans="1:54" ht="12.75" customHeight="1" x14ac:dyDescent="0.25">
      <c r="A8" s="244">
        <v>9257025</v>
      </c>
      <c r="B8" s="237" t="s">
        <v>209</v>
      </c>
      <c r="C8" s="365">
        <v>4</v>
      </c>
      <c r="D8" s="1024">
        <f>VLOOKUP(A8,'2021 Band Moderations'!$B$5:$S$22,6,(FALSE))</f>
        <v>0.16216216216216217</v>
      </c>
      <c r="E8" s="1024">
        <f>VLOOKUP(A8,'2021 Band Moderations'!$B$5:$S$22,8,(FALSE))</f>
        <v>0.35135135135135137</v>
      </c>
      <c r="F8" s="1024">
        <f>VLOOKUP(A8,'2021 Band Moderations'!$B$5:$S$22,10,(FALSE))</f>
        <v>6.7567567567567571E-2</v>
      </c>
      <c r="G8" s="1024">
        <f>VLOOKUP(A8,'2021 Band Moderations'!$B$5:$S$22,12,(FALSE))</f>
        <v>0.17567567567567569</v>
      </c>
      <c r="H8" s="1024">
        <f>VLOOKUP(A8,'2021 Band Moderations'!$B$5:$S$22,14,(FALSE))</f>
        <v>5.4054054054054057E-2</v>
      </c>
      <c r="I8" s="1024">
        <f>VLOOKUP(A8,'2021 Band Moderations'!$B$5:$S$22,16,(FALSE))</f>
        <v>0.13513513513513514</v>
      </c>
      <c r="J8" s="1024">
        <f>VLOOKUP(A8,'2021 Band Moderations'!$B$5:$S$22,18,(FALSE))</f>
        <v>5.4054054054054057E-2</v>
      </c>
      <c r="K8" s="451">
        <v>56</v>
      </c>
      <c r="L8" s="1025">
        <f t="shared" si="0"/>
        <v>245837.88479318543</v>
      </c>
      <c r="M8" s="1025">
        <f t="shared" si="3"/>
        <v>4154.2792792792798</v>
      </c>
      <c r="N8" s="1025">
        <f t="shared" si="1"/>
        <v>249992.16407246471</v>
      </c>
      <c r="O8" s="1026">
        <f t="shared" si="4"/>
        <v>233333.33333333334</v>
      </c>
      <c r="P8" s="1026">
        <f>(VLOOKUP(A8,'2021 Funding Detail'!$A$4:$AO$23,39,FALSE)*5/12)*K8</f>
        <v>166750.22976419234</v>
      </c>
      <c r="Q8" s="235"/>
      <c r="R8" s="235">
        <f t="shared" si="2"/>
        <v>28394.460412713695</v>
      </c>
      <c r="S8" s="233"/>
      <c r="T8" s="380"/>
      <c r="U8" s="380"/>
      <c r="V8" s="380"/>
      <c r="W8" s="380"/>
      <c r="X8" s="380"/>
      <c r="Y8" s="380"/>
      <c r="Z8" s="380"/>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row>
    <row r="9" spans="1:54" x14ac:dyDescent="0.25">
      <c r="A9" s="244">
        <v>9257011</v>
      </c>
      <c r="B9" s="237" t="s">
        <v>210</v>
      </c>
      <c r="C9" s="365">
        <v>4</v>
      </c>
      <c r="D9" s="1024">
        <f>VLOOKUP(A9,'2021 Band Moderations'!$B$5:$S$22,6,(FALSE))</f>
        <v>5.6603773584905662E-2</v>
      </c>
      <c r="E9" s="1024">
        <f>VLOOKUP(A9,'2021 Band Moderations'!$B$5:$S$22,8,(FALSE))</f>
        <v>0.32075471698113206</v>
      </c>
      <c r="F9" s="1024">
        <f>VLOOKUP(A9,'2021 Band Moderations'!$B$5:$S$22,10,(FALSE))</f>
        <v>3.7735849056603772E-2</v>
      </c>
      <c r="G9" s="1024">
        <f>VLOOKUP(A9,'2021 Band Moderations'!$B$5:$S$22,12,(FALSE))</f>
        <v>0.16981132075471697</v>
      </c>
      <c r="H9" s="1024">
        <f>VLOOKUP(A9,'2021 Band Moderations'!$B$5:$S$22,14,(FALSE))</f>
        <v>0.16981132075471697</v>
      </c>
      <c r="I9" s="1024">
        <f>VLOOKUP(A9,'2021 Band Moderations'!$B$5:$S$22,16,(FALSE))</f>
        <v>0.15094339622641509</v>
      </c>
      <c r="J9" s="1024">
        <f>VLOOKUP(A9,'2021 Band Moderations'!$B$5:$S$22,18,(FALSE))</f>
        <v>9.4339622641509441E-2</v>
      </c>
      <c r="K9" s="451">
        <v>44</v>
      </c>
      <c r="L9" s="1025">
        <f t="shared" si="0"/>
        <v>221210.69195865435</v>
      </c>
      <c r="M9" s="1025">
        <f t="shared" si="3"/>
        <v>1822.9559748427673</v>
      </c>
      <c r="N9" s="1025">
        <f t="shared" si="1"/>
        <v>223033.64793349712</v>
      </c>
      <c r="O9" s="1026">
        <f t="shared" si="4"/>
        <v>183333.33333333334</v>
      </c>
      <c r="P9" s="1026">
        <f>(VLOOKUP(A9,'2021 Funding Detail'!$A$4:$AO$23,39,FALSE)*5/12)*K9</f>
        <v>184323.76560880931</v>
      </c>
      <c r="Q9" s="235"/>
      <c r="R9" s="235">
        <f t="shared" si="2"/>
        <v>38937.147533606716</v>
      </c>
      <c r="S9" s="233"/>
      <c r="T9" s="380"/>
      <c r="U9" s="380"/>
      <c r="V9" s="380"/>
      <c r="W9" s="380"/>
      <c r="X9" s="380"/>
      <c r="Y9" s="380"/>
      <c r="Z9" s="380"/>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row>
    <row r="10" spans="1:54" x14ac:dyDescent="0.25">
      <c r="A10" s="244">
        <v>9257024</v>
      </c>
      <c r="B10" s="237" t="s">
        <v>211</v>
      </c>
      <c r="C10" s="365">
        <v>4</v>
      </c>
      <c r="D10" s="1024">
        <f>VLOOKUP(A10,'2021 Band Moderations'!$B$5:$S$22,6,(FALSE))</f>
        <v>0.10843373493975904</v>
      </c>
      <c r="E10" s="1024">
        <f>VLOOKUP(A10,'2021 Band Moderations'!$B$5:$S$22,8,(FALSE))</f>
        <v>0.43373493975903615</v>
      </c>
      <c r="F10" s="1024">
        <f>VLOOKUP(A10,'2021 Band Moderations'!$B$5:$S$22,10,(FALSE))</f>
        <v>2.4096385542168676E-2</v>
      </c>
      <c r="G10" s="1024">
        <f>VLOOKUP(A10,'2021 Band Moderations'!$B$5:$S$22,12,(FALSE))</f>
        <v>0.15662650602409639</v>
      </c>
      <c r="H10" s="1024">
        <f>VLOOKUP(A10,'2021 Band Moderations'!$B$5:$S$22,14,(FALSE))</f>
        <v>0.10843373493975904</v>
      </c>
      <c r="I10" s="1024">
        <f>VLOOKUP(A10,'2021 Band Moderations'!$B$5:$S$22,16,(FALSE))</f>
        <v>7.2289156626506021E-2</v>
      </c>
      <c r="J10" s="1024">
        <f>VLOOKUP(A10,'2021 Band Moderations'!$B$5:$S$22,18,(FALSE))</f>
        <v>9.6385542168674704E-2</v>
      </c>
      <c r="K10" s="451">
        <v>67</v>
      </c>
      <c r="L10" s="1025">
        <f t="shared" si="0"/>
        <v>301869.74312997388</v>
      </c>
      <c r="M10" s="1025">
        <f t="shared" si="3"/>
        <v>1772.5401606425703</v>
      </c>
      <c r="N10" s="1025">
        <f t="shared" si="1"/>
        <v>303642.28329061647</v>
      </c>
      <c r="O10" s="1026">
        <f t="shared" si="4"/>
        <v>279166.66666666669</v>
      </c>
      <c r="P10" s="1026">
        <f>(VLOOKUP(A10,'2021 Funding Detail'!$A$4:$AO$23,39,FALSE)*5/12)*K10</f>
        <v>189088.53051563742</v>
      </c>
      <c r="Q10" s="235"/>
      <c r="R10" s="235">
        <f t="shared" si="2"/>
        <v>60576.477937278185</v>
      </c>
      <c r="S10" s="233"/>
      <c r="T10" s="380"/>
      <c r="U10" s="380"/>
      <c r="V10" s="380"/>
      <c r="W10" s="380"/>
      <c r="X10" s="380"/>
      <c r="Y10" s="380"/>
      <c r="Z10" s="380"/>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row>
    <row r="11" spans="1:54" ht="12.75" customHeight="1" x14ac:dyDescent="0.25">
      <c r="A11" s="244">
        <v>9257031</v>
      </c>
      <c r="B11" s="237" t="s">
        <v>257</v>
      </c>
      <c r="C11" s="365" t="s">
        <v>1179</v>
      </c>
      <c r="D11" s="1024">
        <f>VLOOKUP(A11,'2021 Band Moderations'!$B$5:$S$22,6,(FALSE))</f>
        <v>0</v>
      </c>
      <c r="E11" s="1024">
        <f>VLOOKUP(A11,'2021 Band Moderations'!$B$5:$S$22,8,(FALSE))</f>
        <v>0</v>
      </c>
      <c r="F11" s="1024">
        <f>VLOOKUP(A11,'2021 Band Moderations'!$B$5:$S$22,10,(FALSE))</f>
        <v>1</v>
      </c>
      <c r="G11" s="1024">
        <f>VLOOKUP(A11,'2021 Band Moderations'!$B$5:$S$22,12,(FALSE))</f>
        <v>0</v>
      </c>
      <c r="H11" s="1024">
        <f>VLOOKUP(A11,'2021 Band Moderations'!$B$5:$S$22,14,(FALSE))</f>
        <v>0</v>
      </c>
      <c r="I11" s="1024">
        <f>VLOOKUP(A11,'2021 Band Moderations'!$B$5:$S$22,16,(FALSE))</f>
        <v>0</v>
      </c>
      <c r="J11" s="1024">
        <f>VLOOKUP(A11,'2021 Band Moderations'!$B$5:$S$22,18,(FALSE))</f>
        <v>0</v>
      </c>
      <c r="K11" s="451">
        <v>75</v>
      </c>
      <c r="L11" s="1025">
        <f t="shared" si="0"/>
        <v>351981.63491201639</v>
      </c>
      <c r="M11" s="1025">
        <f t="shared" si="3"/>
        <v>82343.75</v>
      </c>
      <c r="N11" s="1025">
        <f t="shared" si="1"/>
        <v>434325.38491201639</v>
      </c>
      <c r="O11" s="1026">
        <f t="shared" si="4"/>
        <v>312500</v>
      </c>
      <c r="P11" s="1026">
        <f>(VLOOKUP(A11,'2021 Funding Detail'!$A$4:$AO$23,39,FALSE)*5/12)*K11</f>
        <v>306237.96617794345</v>
      </c>
      <c r="Q11" s="235"/>
      <c r="R11" s="235">
        <f t="shared" si="2"/>
        <v>0</v>
      </c>
      <c r="S11" s="233"/>
      <c r="T11" s="380"/>
      <c r="U11" s="380"/>
      <c r="V11" s="380"/>
      <c r="W11" s="380"/>
      <c r="X11" s="380"/>
      <c r="Y11" s="380"/>
      <c r="Z11" s="380"/>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row>
    <row r="12" spans="1:54" x14ac:dyDescent="0.25">
      <c r="A12" s="244">
        <v>9257033</v>
      </c>
      <c r="B12" s="237" t="s">
        <v>220</v>
      </c>
      <c r="C12" s="365" t="s">
        <v>1178</v>
      </c>
      <c r="D12" s="1024">
        <f>VLOOKUP(A12,'2021 Band Moderations'!$B$5:$S$22,6,(FALSE))</f>
        <v>0.17894736842105263</v>
      </c>
      <c r="E12" s="1024">
        <f>VLOOKUP(A12,'2021 Band Moderations'!$B$5:$S$22,8,(FALSE))</f>
        <v>0.44210526315789472</v>
      </c>
      <c r="F12" s="1024">
        <f>VLOOKUP(A12,'2021 Band Moderations'!$B$5:$S$22,10,(FALSE))</f>
        <v>0.12631578947368421</v>
      </c>
      <c r="G12" s="1024">
        <f>VLOOKUP(A12,'2021 Band Moderations'!$B$5:$S$22,12,(FALSE))</f>
        <v>0.15789473684210525</v>
      </c>
      <c r="H12" s="1024">
        <f>VLOOKUP(A12,'2021 Band Moderations'!$B$5:$S$22,14,(FALSE))</f>
        <v>4.2105263157894736E-2</v>
      </c>
      <c r="I12" s="1024">
        <f>VLOOKUP(A12,'2021 Band Moderations'!$B$5:$S$22,16,(FALSE))</f>
        <v>5.2631578947368418E-2</v>
      </c>
      <c r="J12" s="1024">
        <f>VLOOKUP(A12,'2021 Band Moderations'!$B$5:$S$22,18,(FALSE))</f>
        <v>0</v>
      </c>
      <c r="K12" s="451">
        <v>91</v>
      </c>
      <c r="L12" s="1025">
        <f t="shared" si="0"/>
        <v>343263.00577860681</v>
      </c>
      <c r="M12" s="1025">
        <f t="shared" si="3"/>
        <v>12620.263157894738</v>
      </c>
      <c r="N12" s="1025">
        <f t="shared" si="1"/>
        <v>355883.26893650152</v>
      </c>
      <c r="O12" s="1026">
        <f t="shared" si="4"/>
        <v>379166.66666666669</v>
      </c>
      <c r="P12" s="1026">
        <f>(VLOOKUP(A12,'2021 Funding Detail'!$A$4:$AO$23,39,FALSE)*5/12)*K12</f>
        <v>161271.85531861527</v>
      </c>
      <c r="Q12" s="235"/>
      <c r="R12" s="235">
        <f t="shared" si="2"/>
        <v>0</v>
      </c>
      <c r="S12" s="233"/>
      <c r="T12" s="380"/>
      <c r="U12" s="380"/>
      <c r="V12" s="380"/>
      <c r="W12" s="380"/>
      <c r="X12" s="380"/>
      <c r="Y12" s="380"/>
      <c r="Z12" s="380"/>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row>
    <row r="13" spans="1:54" x14ac:dyDescent="0.25">
      <c r="A13" s="244">
        <v>9257008</v>
      </c>
      <c r="B13" s="237" t="s">
        <v>212</v>
      </c>
      <c r="C13" s="365">
        <v>4</v>
      </c>
      <c r="D13" s="1024">
        <f>VLOOKUP(A13,'2021 Band Moderations'!$B$5:$S$22,6,(FALSE))</f>
        <v>0.10309278350515463</v>
      </c>
      <c r="E13" s="1024">
        <f>VLOOKUP(A13,'2021 Band Moderations'!$B$5:$S$22,8,(FALSE))</f>
        <v>0.52577319587628868</v>
      </c>
      <c r="F13" s="1024">
        <f>VLOOKUP(A13,'2021 Band Moderations'!$B$5:$S$22,10,(FALSE))</f>
        <v>8.247422680412371E-2</v>
      </c>
      <c r="G13" s="1024">
        <f>VLOOKUP(A13,'2021 Band Moderations'!$B$5:$S$22,12,(FALSE))</f>
        <v>9.2783505154639179E-2</v>
      </c>
      <c r="H13" s="1024">
        <f>VLOOKUP(A13,'2021 Band Moderations'!$B$5:$S$22,14,(FALSE))</f>
        <v>1.0309278350515464E-2</v>
      </c>
      <c r="I13" s="1024">
        <f>VLOOKUP(A13,'2021 Band Moderations'!$B$5:$S$22,16,(FALSE))</f>
        <v>0.18556701030927836</v>
      </c>
      <c r="J13" s="1024">
        <f>VLOOKUP(A13,'2021 Band Moderations'!$B$5:$S$22,18,(FALSE))</f>
        <v>0</v>
      </c>
      <c r="K13" s="451">
        <v>95</v>
      </c>
      <c r="L13" s="1025">
        <f t="shared" si="0"/>
        <v>368748.58064119524</v>
      </c>
      <c r="M13" s="1025">
        <f t="shared" si="3"/>
        <v>8602.2336769759459</v>
      </c>
      <c r="N13" s="1025">
        <f t="shared" si="1"/>
        <v>377350.81431817118</v>
      </c>
      <c r="O13" s="1026">
        <f t="shared" si="4"/>
        <v>395833.33333333337</v>
      </c>
      <c r="P13" s="1026">
        <f>(VLOOKUP(A13,'2021 Funding Detail'!$A$4:$AO$23,39,FALSE)*5/12)*K13</f>
        <v>169640.4127247172</v>
      </c>
      <c r="Q13" s="235"/>
      <c r="R13" s="235">
        <f t="shared" si="2"/>
        <v>0</v>
      </c>
      <c r="S13" s="233"/>
      <c r="T13" s="380"/>
      <c r="U13" s="380"/>
      <c r="V13" s="380"/>
      <c r="W13" s="380"/>
      <c r="X13" s="380"/>
      <c r="Y13" s="380"/>
      <c r="Z13" s="380"/>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row>
    <row r="14" spans="1:54" x14ac:dyDescent="0.25">
      <c r="A14" s="244">
        <v>9257034</v>
      </c>
      <c r="B14" s="237" t="s">
        <v>221</v>
      </c>
      <c r="C14" s="365" t="s">
        <v>1178</v>
      </c>
      <c r="D14" s="1024">
        <f>VLOOKUP(A14,'2021 Band Moderations'!$B$5:$S$22,6,(FALSE))</f>
        <v>0.42201834862385323</v>
      </c>
      <c r="E14" s="1024">
        <f>VLOOKUP(A14,'2021 Band Moderations'!$B$5:$S$22,8,(FALSE))</f>
        <v>0.26605504587155965</v>
      </c>
      <c r="F14" s="1024">
        <f>VLOOKUP(A14,'2021 Band Moderations'!$B$5:$S$22,10,(FALSE))</f>
        <v>0.15596330275229359</v>
      </c>
      <c r="G14" s="1024">
        <f>VLOOKUP(A14,'2021 Band Moderations'!$B$5:$S$22,12,(FALSE))</f>
        <v>4.5871559633027525E-2</v>
      </c>
      <c r="H14" s="1024">
        <f>VLOOKUP(A14,'2021 Band Moderations'!$B$5:$S$22,14,(FALSE))</f>
        <v>4.5871559633027525E-2</v>
      </c>
      <c r="I14" s="1024">
        <f>VLOOKUP(A14,'2021 Band Moderations'!$B$5:$S$22,16,(FALSE))</f>
        <v>5.5045871559633031E-2</v>
      </c>
      <c r="J14" s="1024">
        <f>VLOOKUP(A14,'2021 Band Moderations'!$B$5:$S$22,18,(FALSE))</f>
        <v>9.1743119266055051E-3</v>
      </c>
      <c r="K14" s="451">
        <v>83</v>
      </c>
      <c r="L14" s="1025">
        <f t="shared" si="0"/>
        <v>287270.39982564177</v>
      </c>
      <c r="M14" s="1025">
        <f t="shared" si="3"/>
        <v>14212.480886850153</v>
      </c>
      <c r="N14" s="1025">
        <f t="shared" si="1"/>
        <v>301482.88071249193</v>
      </c>
      <c r="O14" s="1026">
        <f t="shared" si="4"/>
        <v>345833.33333333337</v>
      </c>
      <c r="P14" s="1026">
        <f>(VLOOKUP(A14,'2021 Funding Detail'!$A$4:$AO$23,39,FALSE)*5/12)*K14</f>
        <v>113250.21698772402</v>
      </c>
      <c r="Q14" s="235"/>
      <c r="R14" s="235">
        <f t="shared" si="2"/>
        <v>7142.8070058522089</v>
      </c>
      <c r="S14" s="233"/>
      <c r="T14" s="380"/>
      <c r="U14" s="380"/>
      <c r="V14" s="380"/>
      <c r="W14" s="380"/>
      <c r="X14" s="380"/>
      <c r="Y14" s="380"/>
      <c r="Z14" s="380"/>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row>
    <row r="15" spans="1:54" x14ac:dyDescent="0.25">
      <c r="A15" s="244">
        <v>9257002</v>
      </c>
      <c r="B15" s="237" t="s">
        <v>213</v>
      </c>
      <c r="C15" s="365">
        <v>4</v>
      </c>
      <c r="D15" s="1024">
        <f>VLOOKUP(A15,'2021 Band Moderations'!$B$5:$S$22,6,(FALSE))</f>
        <v>0.42957746478873238</v>
      </c>
      <c r="E15" s="1024">
        <f>VLOOKUP(A15,'2021 Band Moderations'!$B$5:$S$22,8,(FALSE))</f>
        <v>0.25352112676056338</v>
      </c>
      <c r="F15" s="1024">
        <f>VLOOKUP(A15,'2021 Band Moderations'!$B$5:$S$22,10,(FALSE))</f>
        <v>0.15492957746478872</v>
      </c>
      <c r="G15" s="1024">
        <f>VLOOKUP(A15,'2021 Band Moderations'!$B$5:$S$22,12,(FALSE))</f>
        <v>2.1126760563380281E-2</v>
      </c>
      <c r="H15" s="1024">
        <f>VLOOKUP(A15,'2021 Band Moderations'!$B$5:$S$22,14,(FALSE))</f>
        <v>4.2253521126760563E-2</v>
      </c>
      <c r="I15" s="1024">
        <f>VLOOKUP(A15,'2021 Band Moderations'!$B$5:$S$22,16,(FALSE))</f>
        <v>8.4507042253521125E-2</v>
      </c>
      <c r="J15" s="1024">
        <f>VLOOKUP(A15,'2021 Band Moderations'!$B$5:$S$22,18,(FALSE))</f>
        <v>1.4084507042253521E-2</v>
      </c>
      <c r="K15" s="451">
        <v>145</v>
      </c>
      <c r="L15" s="1025">
        <f t="shared" si="0"/>
        <v>507766.30492183176</v>
      </c>
      <c r="M15" s="1025">
        <f t="shared" si="3"/>
        <v>24664.465962441314</v>
      </c>
      <c r="N15" s="1025">
        <f t="shared" si="1"/>
        <v>532430.77088427311</v>
      </c>
      <c r="O15" s="1026">
        <f t="shared" si="4"/>
        <v>604166.66666666674</v>
      </c>
      <c r="P15" s="1026">
        <f>(VLOOKUP(A15,'2021 Funding Detail'!$A$4:$AO$23,39,FALSE)*5/12)*K15</f>
        <v>138906.11478098671</v>
      </c>
      <c r="Q15" s="235"/>
      <c r="R15" s="235">
        <f t="shared" si="2"/>
        <v>19156.976875529293</v>
      </c>
      <c r="S15" s="233"/>
      <c r="T15" s="380"/>
      <c r="U15" s="380"/>
      <c r="V15" s="380"/>
      <c r="W15" s="380"/>
      <c r="X15" s="380"/>
      <c r="Y15" s="380"/>
      <c r="Z15" s="380"/>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row>
    <row r="16" spans="1:54" x14ac:dyDescent="0.25">
      <c r="A16" s="244">
        <v>9257009</v>
      </c>
      <c r="B16" s="237" t="s">
        <v>214</v>
      </c>
      <c r="C16" s="365">
        <v>4</v>
      </c>
      <c r="D16" s="1024">
        <f>VLOOKUP(A16,'2021 Band Moderations'!$B$5:$S$22,6,(FALSE))</f>
        <v>0.17054263565891473</v>
      </c>
      <c r="E16" s="1024">
        <f>VLOOKUP(A16,'2021 Band Moderations'!$B$5:$S$22,8,(FALSE))</f>
        <v>0.58139534883720934</v>
      </c>
      <c r="F16" s="1024">
        <f>VLOOKUP(A16,'2021 Band Moderations'!$B$5:$S$22,10,(FALSE))</f>
        <v>8.5271317829457363E-2</v>
      </c>
      <c r="G16" s="1024">
        <f>VLOOKUP(A16,'2021 Band Moderations'!$B$5:$S$22,12,(FALSE))</f>
        <v>1.5503875968992248E-2</v>
      </c>
      <c r="H16" s="1024">
        <f>VLOOKUP(A16,'2021 Band Moderations'!$B$5:$S$22,14,(FALSE))</f>
        <v>3.1007751937984496E-2</v>
      </c>
      <c r="I16" s="1024">
        <f>VLOOKUP(A16,'2021 Band Moderations'!$B$5:$S$22,16,(FALSE))</f>
        <v>0.11627906976744186</v>
      </c>
      <c r="J16" s="1024">
        <f>VLOOKUP(A16,'2021 Band Moderations'!$B$5:$S$22,18,(FALSE))</f>
        <v>0</v>
      </c>
      <c r="K16" s="451">
        <v>135</v>
      </c>
      <c r="L16" s="1025">
        <f t="shared" si="0"/>
        <v>466377.66141391033</v>
      </c>
      <c r="M16" s="1025">
        <f t="shared" si="3"/>
        <v>12638.808139534884</v>
      </c>
      <c r="N16" s="1025">
        <f t="shared" si="1"/>
        <v>479016.46955344523</v>
      </c>
      <c r="O16" s="1026">
        <f t="shared" si="4"/>
        <v>562500</v>
      </c>
      <c r="P16" s="1026">
        <f>(VLOOKUP(A16,'2021 Funding Detail'!$A$4:$AO$23,39,FALSE)*5/12)*K16</f>
        <v>161077.35203361424</v>
      </c>
      <c r="Q16" s="235"/>
      <c r="R16" s="235">
        <f t="shared" si="2"/>
        <v>0</v>
      </c>
      <c r="S16" s="233"/>
      <c r="T16" s="380"/>
      <c r="U16" s="380"/>
      <c r="V16" s="380"/>
      <c r="W16" s="380"/>
      <c r="X16" s="380"/>
      <c r="Y16" s="380"/>
      <c r="Z16" s="380"/>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row>
    <row r="17" spans="1:23" s="29" customFormat="1" x14ac:dyDescent="0.25">
      <c r="A17" s="244">
        <v>9257029</v>
      </c>
      <c r="B17" s="237" t="s">
        <v>890</v>
      </c>
      <c r="C17" s="365" t="s">
        <v>1179</v>
      </c>
      <c r="D17" s="1024">
        <f>VLOOKUP(A17,'2021 Band Moderations'!$B$5:$S$22,6,(FALSE))</f>
        <v>0</v>
      </c>
      <c r="E17" s="1024">
        <f>VLOOKUP(A17,'2021 Band Moderations'!$B$5:$S$22,8,(FALSE))</f>
        <v>0</v>
      </c>
      <c r="F17" s="1024">
        <f>VLOOKUP(A17,'2021 Band Moderations'!$B$5:$S$22,10,(FALSE))</f>
        <v>1</v>
      </c>
      <c r="G17" s="1024">
        <f>VLOOKUP(A17,'2021 Band Moderations'!$B$5:$S$22,12,(FALSE))</f>
        <v>0</v>
      </c>
      <c r="H17" s="1024">
        <f>VLOOKUP(A17,'2021 Band Moderations'!$B$5:$S$22,14,(FALSE))</f>
        <v>0</v>
      </c>
      <c r="I17" s="1024">
        <f>VLOOKUP(A17,'2021 Band Moderations'!$B$5:$S$22,16,(FALSE))</f>
        <v>0</v>
      </c>
      <c r="J17" s="1024">
        <f>VLOOKUP(A17,'2021 Band Moderations'!$B$5:$S$22,18,(FALSE))</f>
        <v>0</v>
      </c>
      <c r="K17" s="451">
        <v>68</v>
      </c>
      <c r="L17" s="1025">
        <f t="shared" si="0"/>
        <v>319130.01565356151</v>
      </c>
      <c r="M17" s="1025">
        <f t="shared" si="3"/>
        <v>74658.333333333343</v>
      </c>
      <c r="N17" s="1025">
        <f t="shared" si="1"/>
        <v>393788.34898689482</v>
      </c>
      <c r="O17" s="1026">
        <f t="shared" si="4"/>
        <v>283333.33333333337</v>
      </c>
      <c r="P17" s="1026">
        <f>(VLOOKUP(A17,'2021 Funding Detail'!$A$4:$AO$23,39,FALSE)*5/12)*K17</f>
        <v>289873.30689053034</v>
      </c>
      <c r="Q17" s="235"/>
      <c r="R17" s="235">
        <f t="shared" si="2"/>
        <v>0</v>
      </c>
      <c r="S17" s="233"/>
      <c r="T17" s="296"/>
      <c r="U17" s="36"/>
      <c r="V17" s="36"/>
      <c r="W17" s="235"/>
    </row>
    <row r="18" spans="1:23" s="29" customFormat="1" x14ac:dyDescent="0.25">
      <c r="A18" s="244">
        <v>9257032</v>
      </c>
      <c r="B18" s="237" t="s">
        <v>1043</v>
      </c>
      <c r="C18" s="365" t="s">
        <v>1179</v>
      </c>
      <c r="D18" s="1024">
        <f>VLOOKUP(A18,'2021 Band Moderations'!$B$5:$S$22,6,(FALSE))</f>
        <v>0</v>
      </c>
      <c r="E18" s="1024">
        <f>VLOOKUP(A18,'2021 Band Moderations'!$B$5:$S$22,8,(FALSE))</f>
        <v>0</v>
      </c>
      <c r="F18" s="1024">
        <f>VLOOKUP(A18,'2021 Band Moderations'!$B$5:$S$22,10,(FALSE))</f>
        <v>1</v>
      </c>
      <c r="G18" s="1024">
        <f>VLOOKUP(A18,'2021 Band Moderations'!$B$5:$S$22,12,(FALSE))</f>
        <v>0</v>
      </c>
      <c r="H18" s="1024">
        <f>VLOOKUP(A18,'2021 Band Moderations'!$B$5:$S$22,14,(FALSE))</f>
        <v>0</v>
      </c>
      <c r="I18" s="1024">
        <f>VLOOKUP(A18,'2021 Band Moderations'!$B$5:$S$22,16,(FALSE))</f>
        <v>0</v>
      </c>
      <c r="J18" s="1024">
        <f>VLOOKUP(A18,'2021 Band Moderations'!$B$5:$S$22,18,(FALSE))</f>
        <v>0</v>
      </c>
      <c r="K18" s="451">
        <v>71</v>
      </c>
      <c r="L18" s="1025">
        <f t="shared" si="0"/>
        <v>333209.28105004219</v>
      </c>
      <c r="M18" s="1025">
        <f t="shared" si="3"/>
        <v>77952.083333333343</v>
      </c>
      <c r="N18" s="1025">
        <f t="shared" si="1"/>
        <v>411161.3643833755</v>
      </c>
      <c r="O18" s="1026">
        <f t="shared" si="4"/>
        <v>295833.33333333337</v>
      </c>
      <c r="P18" s="1026">
        <f>(VLOOKUP(A18,'2021 Funding Detail'!$A$4:$AO$23,39,FALSE)*5/12)*K18</f>
        <v>295164.7944304095</v>
      </c>
      <c r="Q18" s="235"/>
      <c r="R18" s="235">
        <f t="shared" si="2"/>
        <v>0</v>
      </c>
      <c r="S18" s="269"/>
      <c r="T18" s="36"/>
      <c r="U18" s="36"/>
      <c r="V18" s="36"/>
      <c r="W18" s="235"/>
    </row>
    <row r="19" spans="1:23" s="29" customFormat="1" x14ac:dyDescent="0.25">
      <c r="A19" s="244">
        <v>9257030</v>
      </c>
      <c r="B19" s="237" t="s">
        <v>1046</v>
      </c>
      <c r="C19" s="365" t="s">
        <v>1179</v>
      </c>
      <c r="D19" s="1024">
        <f>VLOOKUP(A19,'2021 Band Moderations'!$B$5:$S$22,6,(FALSE))</f>
        <v>0</v>
      </c>
      <c r="E19" s="1024">
        <f>VLOOKUP(A19,'2021 Band Moderations'!$B$5:$S$22,8,(FALSE))</f>
        <v>0</v>
      </c>
      <c r="F19" s="1024">
        <f>VLOOKUP(A19,'2021 Band Moderations'!$B$5:$S$22,10,(FALSE))</f>
        <v>1</v>
      </c>
      <c r="G19" s="1024">
        <f>VLOOKUP(A19,'2021 Band Moderations'!$B$5:$S$22,12,(FALSE))</f>
        <v>0</v>
      </c>
      <c r="H19" s="1024">
        <f>VLOOKUP(A19,'2021 Band Moderations'!$B$5:$S$22,14,(FALSE))</f>
        <v>0</v>
      </c>
      <c r="I19" s="1024">
        <f>VLOOKUP(A19,'2021 Band Moderations'!$B$5:$S$22,16,(FALSE))</f>
        <v>0</v>
      </c>
      <c r="J19" s="1024">
        <f>VLOOKUP(A19,'2021 Band Moderations'!$B$5:$S$22,18,(FALSE))</f>
        <v>0</v>
      </c>
      <c r="K19" s="451">
        <v>74</v>
      </c>
      <c r="L19" s="1025">
        <f t="shared" si="0"/>
        <v>347288.54644652281</v>
      </c>
      <c r="M19" s="1025">
        <f t="shared" si="3"/>
        <v>81245.833333333343</v>
      </c>
      <c r="N19" s="1025">
        <f t="shared" si="1"/>
        <v>428534.37977985619</v>
      </c>
      <c r="O19" s="1026">
        <f t="shared" si="4"/>
        <v>308333.33333333337</v>
      </c>
      <c r="P19" s="1026">
        <f>(VLOOKUP(A19,'2021 Funding Detail'!$A$4:$AO$23,39,FALSE)*5/12)*K19</f>
        <v>314510.27733802598</v>
      </c>
      <c r="Q19" s="235"/>
      <c r="R19" s="235">
        <f t="shared" si="2"/>
        <v>0</v>
      </c>
      <c r="S19" s="269"/>
      <c r="T19" s="36"/>
      <c r="U19" s="36"/>
      <c r="V19" s="36"/>
      <c r="W19" s="235"/>
    </row>
    <row r="20" spans="1:23" s="29" customFormat="1" x14ac:dyDescent="0.25">
      <c r="A20" s="244">
        <v>9257028</v>
      </c>
      <c r="B20" s="237" t="s">
        <v>215</v>
      </c>
      <c r="C20" s="365">
        <v>4</v>
      </c>
      <c r="D20" s="1024">
        <f>VLOOKUP(A20,'2021 Band Moderations'!$B$5:$S$22,6,(FALSE))</f>
        <v>9.4736842105263161E-2</v>
      </c>
      <c r="E20" s="1024">
        <f>VLOOKUP(A20,'2021 Band Moderations'!$B$5:$S$22,8,(FALSE))</f>
        <v>0.35789473684210527</v>
      </c>
      <c r="F20" s="1024">
        <f>VLOOKUP(A20,'2021 Band Moderations'!$B$5:$S$22,10,(FALSE))</f>
        <v>4.2105263157894736E-2</v>
      </c>
      <c r="G20" s="1024">
        <f>VLOOKUP(A20,'2021 Band Moderations'!$B$5:$S$22,12,(FALSE))</f>
        <v>9.4736842105263161E-2</v>
      </c>
      <c r="H20" s="1024">
        <f>VLOOKUP(A20,'2021 Band Moderations'!$B$5:$S$22,14,(FALSE))</f>
        <v>0.14736842105263157</v>
      </c>
      <c r="I20" s="1024">
        <f>VLOOKUP(A20,'2021 Band Moderations'!$B$5:$S$22,16,(FALSE))</f>
        <v>0.1368421052631579</v>
      </c>
      <c r="J20" s="1024">
        <f>VLOOKUP(A20,'2021 Band Moderations'!$B$5:$S$22,18,(FALSE))</f>
        <v>0.12631578947368421</v>
      </c>
      <c r="K20" s="451">
        <v>74</v>
      </c>
      <c r="L20" s="1025">
        <f t="shared" si="0"/>
        <v>361743.87146043795</v>
      </c>
      <c r="M20" s="1025">
        <f t="shared" si="3"/>
        <v>3420.8771929824566</v>
      </c>
      <c r="N20" s="1025">
        <f t="shared" si="1"/>
        <v>365164.74865342042</v>
      </c>
      <c r="O20" s="1026">
        <f t="shared" si="4"/>
        <v>308333.33333333337</v>
      </c>
      <c r="P20" s="1026">
        <f>(VLOOKUP(A20,'2021 Funding Detail'!$A$4:$AO$23,39,FALSE)*5/12)*K20</f>
        <v>225274.27903769203</v>
      </c>
      <c r="Q20" s="235"/>
      <c r="R20" s="235">
        <f t="shared" si="2"/>
        <v>87681.239785725658</v>
      </c>
      <c r="S20" s="269"/>
      <c r="T20" s="36"/>
      <c r="U20" s="36"/>
      <c r="V20" s="36"/>
      <c r="W20" s="235"/>
    </row>
    <row r="21" spans="1:23" s="29" customFormat="1" x14ac:dyDescent="0.25">
      <c r="A21" s="244">
        <v>9257021</v>
      </c>
      <c r="B21" s="237" t="s">
        <v>216</v>
      </c>
      <c r="C21" s="365" t="s">
        <v>1180</v>
      </c>
      <c r="D21" s="1024">
        <f>VLOOKUP(A21,'2021 Band Moderations'!$B$5:$S$22,6,(FALSE))</f>
        <v>0.28834355828220859</v>
      </c>
      <c r="E21" s="1024">
        <f>VLOOKUP(A21,'2021 Band Moderations'!$B$5:$S$22,8,(FALSE))</f>
        <v>0.35582822085889571</v>
      </c>
      <c r="F21" s="1024">
        <f>VLOOKUP(A21,'2021 Band Moderations'!$B$5:$S$22,10,(FALSE))</f>
        <v>9.815950920245399E-2</v>
      </c>
      <c r="G21" s="1024">
        <f>VLOOKUP(A21,'2021 Band Moderations'!$B$5:$S$22,12,(FALSE))</f>
        <v>6.1349693251533742E-2</v>
      </c>
      <c r="H21" s="1024">
        <f>VLOOKUP(A21,'2021 Band Moderations'!$B$5:$S$22,14,(FALSE))</f>
        <v>6.1349693251533742E-2</v>
      </c>
      <c r="I21" s="1024">
        <f>VLOOKUP(A21,'2021 Band Moderations'!$B$5:$S$22,16,(FALSE))</f>
        <v>0.12269938650306748</v>
      </c>
      <c r="J21" s="1024">
        <f>VLOOKUP(A21,'2021 Band Moderations'!$B$5:$S$22,18,(FALSE))</f>
        <v>1.2269938650306749E-2</v>
      </c>
      <c r="K21" s="451">
        <v>162</v>
      </c>
      <c r="L21" s="1025">
        <f t="shared" si="0"/>
        <v>608235.02408930613</v>
      </c>
      <c r="M21" s="1025">
        <f t="shared" si="3"/>
        <v>17458.895705521474</v>
      </c>
      <c r="N21" s="1025">
        <f t="shared" si="1"/>
        <v>625693.91979482758</v>
      </c>
      <c r="O21" s="1026">
        <f t="shared" si="4"/>
        <v>675000</v>
      </c>
      <c r="P21" s="1026">
        <f>(VLOOKUP(A21,'2021 Funding Detail'!$A$4:$AO$23,39,FALSE)*5/12)*K21</f>
        <v>191567.54414437566</v>
      </c>
      <c r="Q21" s="235"/>
      <c r="R21" s="235">
        <f t="shared" si="2"/>
        <v>18645.529767069005</v>
      </c>
      <c r="S21" s="269"/>
      <c r="T21" s="36"/>
      <c r="U21" s="36"/>
      <c r="V21" s="36"/>
      <c r="W21" s="235"/>
    </row>
    <row r="22" spans="1:23" s="29" customFormat="1" x14ac:dyDescent="0.25">
      <c r="A22" s="244">
        <v>9257015</v>
      </c>
      <c r="B22" s="237" t="s">
        <v>217</v>
      </c>
      <c r="C22" s="365" t="s">
        <v>1181</v>
      </c>
      <c r="D22" s="1024">
        <f>VLOOKUP(A22,'2021 Band Moderations'!$B$5:$S$22,6,(FALSE))</f>
        <v>0.37931034482758619</v>
      </c>
      <c r="E22" s="1024">
        <f>VLOOKUP(A22,'2021 Band Moderations'!$B$5:$S$22,8,(FALSE))</f>
        <v>0.33189655172413796</v>
      </c>
      <c r="F22" s="1024">
        <f>VLOOKUP(A22,'2021 Band Moderations'!$B$5:$S$22,10,(FALSE))</f>
        <v>2.5862068965517241E-2</v>
      </c>
      <c r="G22" s="1024">
        <f>VLOOKUP(A22,'2021 Band Moderations'!$B$5:$S$22,12,(FALSE))</f>
        <v>6.4655172413793108E-2</v>
      </c>
      <c r="H22" s="1024">
        <f>VLOOKUP(A22,'2021 Band Moderations'!$B$5:$S$22,14,(FALSE))</f>
        <v>3.8793103448275863E-2</v>
      </c>
      <c r="I22" s="1024">
        <f>VLOOKUP(A22,'2021 Band Moderations'!$B$5:$S$22,16,(FALSE))</f>
        <v>0.14655172413793102</v>
      </c>
      <c r="J22" s="1024">
        <f>VLOOKUP(A22,'2021 Band Moderations'!$B$5:$S$22,18,(FALSE))</f>
        <v>1.2931034482758621E-2</v>
      </c>
      <c r="K22" s="451">
        <v>221</v>
      </c>
      <c r="L22" s="1025">
        <f t="shared" si="0"/>
        <v>797028.43917490938</v>
      </c>
      <c r="M22" s="1025">
        <f t="shared" si="3"/>
        <v>6275.1616379310353</v>
      </c>
      <c r="N22" s="1025">
        <f t="shared" si="1"/>
        <v>803303.60081284039</v>
      </c>
      <c r="O22" s="1026">
        <f t="shared" si="4"/>
        <v>920833.33333333337</v>
      </c>
      <c r="P22" s="1026">
        <f>(VLOOKUP(A22,'2021 Funding Detail'!$A$4:$AO$23,39,FALSE)*5/12)*K22</f>
        <v>126433.43777582981</v>
      </c>
      <c r="Q22" s="235"/>
      <c r="R22" s="235">
        <f t="shared" si="2"/>
        <v>26806.669811587111</v>
      </c>
      <c r="S22" s="269"/>
      <c r="T22" s="36"/>
      <c r="U22" s="36"/>
      <c r="V22" s="36"/>
      <c r="W22" s="235"/>
    </row>
    <row r="23" spans="1:23" s="29" customFormat="1" x14ac:dyDescent="0.25">
      <c r="A23" s="244">
        <v>9257016</v>
      </c>
      <c r="B23" s="237" t="s">
        <v>219</v>
      </c>
      <c r="C23" s="365" t="s">
        <v>1181</v>
      </c>
      <c r="D23" s="1024">
        <f>VLOOKUP(A23,'2021 Band Moderations'!$B$5:$S$22,6,(FALSE))</f>
        <v>0.21052631578947367</v>
      </c>
      <c r="E23" s="1024">
        <f>VLOOKUP(A23,'2021 Band Moderations'!$B$5:$S$22,8,(FALSE))</f>
        <v>0.13815789473684212</v>
      </c>
      <c r="F23" s="1024">
        <f>VLOOKUP(A23,'2021 Band Moderations'!$B$5:$S$22,10,(FALSE))</f>
        <v>6.5789473684210523E-3</v>
      </c>
      <c r="G23" s="1024">
        <f>VLOOKUP(A23,'2021 Band Moderations'!$B$5:$S$22,12,(FALSE))</f>
        <v>0.21710526315789475</v>
      </c>
      <c r="H23" s="1024">
        <f>VLOOKUP(A23,'2021 Band Moderations'!$B$5:$S$22,14,(FALSE))</f>
        <v>0.19736842105263158</v>
      </c>
      <c r="I23" s="1024">
        <f>VLOOKUP(A23,'2021 Band Moderations'!$B$5:$S$22,16,(FALSE))</f>
        <v>6.5789473684210523E-3</v>
      </c>
      <c r="J23" s="1024">
        <f>VLOOKUP(A23,'2021 Band Moderations'!$B$5:$S$22,18,(FALSE))</f>
        <v>0.22368421052631579</v>
      </c>
      <c r="K23" s="451">
        <v>94</v>
      </c>
      <c r="L23" s="1025">
        <f t="shared" si="0"/>
        <v>515598.51276803919</v>
      </c>
      <c r="M23" s="1025">
        <f t="shared" si="3"/>
        <v>678.97478070175441</v>
      </c>
      <c r="N23" s="1025">
        <f t="shared" si="1"/>
        <v>516277.48754874093</v>
      </c>
      <c r="O23" s="1026">
        <f t="shared" si="4"/>
        <v>391666.66666666669</v>
      </c>
      <c r="P23" s="1026">
        <f>(VLOOKUP(A23,'2021 Funding Detail'!$A$4:$AO$23,39,FALSE)*5/12)*K23</f>
        <v>282920.22692234267</v>
      </c>
      <c r="Q23" s="299" t="s">
        <v>207</v>
      </c>
      <c r="R23" s="235">
        <f t="shared" si="2"/>
        <v>197233.41945043582</v>
      </c>
      <c r="S23" s="269"/>
      <c r="T23" s="36"/>
      <c r="U23" s="36"/>
      <c r="V23" s="36"/>
      <c r="W23" s="235"/>
    </row>
    <row r="24" spans="1:23" s="29" customFormat="1" x14ac:dyDescent="0.25">
      <c r="A24" s="249"/>
      <c r="B24" s="36"/>
      <c r="C24" s="234"/>
      <c r="D24" s="268"/>
      <c r="E24" s="268"/>
      <c r="F24" s="36"/>
      <c r="G24" s="299"/>
      <c r="H24" s="268"/>
      <c r="I24" s="268"/>
      <c r="J24" s="299"/>
      <c r="K24" s="299"/>
      <c r="L24" s="269"/>
      <c r="M24" s="299" t="s">
        <v>207</v>
      </c>
      <c r="N24" s="235"/>
      <c r="O24" s="235"/>
      <c r="P24" s="235"/>
      <c r="Q24" s="299" t="s">
        <v>207</v>
      </c>
      <c r="R24" s="269"/>
      <c r="S24" s="269"/>
      <c r="T24" s="36"/>
      <c r="U24" s="36"/>
      <c r="V24" s="36"/>
      <c r="W24" s="36"/>
    </row>
    <row r="25" spans="1:23" s="29" customFormat="1" ht="13" x14ac:dyDescent="0.3">
      <c r="A25" s="93" t="s">
        <v>1182</v>
      </c>
      <c r="B25" s="36"/>
      <c r="C25" s="234"/>
      <c r="D25" s="268"/>
      <c r="E25" s="268"/>
      <c r="F25" s="36"/>
      <c r="G25" s="268"/>
      <c r="H25" s="268"/>
      <c r="I25" s="268"/>
      <c r="J25" s="268"/>
      <c r="K25" s="269"/>
      <c r="L25" s="269"/>
      <c r="M25" s="269"/>
      <c r="N25" s="235"/>
      <c r="O25" s="235"/>
      <c r="P25" s="235"/>
      <c r="Q25" s="235"/>
      <c r="R25" s="269"/>
      <c r="S25" s="269"/>
      <c r="T25" s="36"/>
      <c r="U25" s="36"/>
      <c r="V25" s="36"/>
      <c r="W25" s="36"/>
    </row>
    <row r="26" spans="1:23" s="29" customFormat="1" x14ac:dyDescent="0.25">
      <c r="A26" s="249"/>
      <c r="B26" s="36"/>
      <c r="C26" s="234"/>
      <c r="D26" s="268"/>
      <c r="E26" s="268"/>
      <c r="F26" s="36"/>
      <c r="G26" s="268"/>
      <c r="H26" s="268"/>
      <c r="I26" s="268"/>
      <c r="J26" s="268"/>
      <c r="K26" s="94" t="s">
        <v>911</v>
      </c>
      <c r="L26" s="269"/>
      <c r="M26" s="269"/>
      <c r="N26" s="235"/>
      <c r="O26" s="1445" t="s">
        <v>238</v>
      </c>
      <c r="P26" s="1446"/>
      <c r="Q26" s="235"/>
      <c r="R26" s="269"/>
      <c r="S26" s="269"/>
      <c r="T26" s="36"/>
      <c r="U26" s="36"/>
      <c r="V26" s="36"/>
      <c r="W26" s="36"/>
    </row>
    <row r="27" spans="1:23" s="29" customFormat="1" ht="37.5" x14ac:dyDescent="0.25">
      <c r="A27" s="265" t="s">
        <v>182</v>
      </c>
      <c r="B27" s="237" t="s">
        <v>183</v>
      </c>
      <c r="C27" s="238" t="s">
        <v>184</v>
      </c>
      <c r="D27" s="234" t="s">
        <v>901</v>
      </c>
      <c r="E27" s="234" t="s">
        <v>902</v>
      </c>
      <c r="F27" s="234" t="s">
        <v>903</v>
      </c>
      <c r="G27" s="234" t="s">
        <v>904</v>
      </c>
      <c r="H27" s="234" t="s">
        <v>905</v>
      </c>
      <c r="I27" s="234" t="s">
        <v>906</v>
      </c>
      <c r="J27" s="234" t="s">
        <v>907</v>
      </c>
      <c r="K27" s="243" t="s">
        <v>264</v>
      </c>
      <c r="L27" s="243" t="s">
        <v>265</v>
      </c>
      <c r="M27" s="243" t="s">
        <v>266</v>
      </c>
      <c r="N27" s="243" t="s">
        <v>265</v>
      </c>
      <c r="O27" s="276" t="s">
        <v>267</v>
      </c>
      <c r="P27" s="320" t="s">
        <v>268</v>
      </c>
      <c r="Q27" s="243"/>
      <c r="R27" s="243"/>
      <c r="S27" s="276"/>
      <c r="T27" s="36"/>
      <c r="U27" s="36"/>
      <c r="V27" s="36"/>
      <c r="W27" s="36"/>
    </row>
    <row r="28" spans="1:23" s="29" customFormat="1" x14ac:dyDescent="0.25">
      <c r="A28" s="244">
        <v>9257010</v>
      </c>
      <c r="B28" s="237" t="s">
        <v>205</v>
      </c>
      <c r="C28" s="365">
        <v>4</v>
      </c>
      <c r="D28" s="1024">
        <f>VLOOKUP(A28,'2021 Band Moderations'!$B$5:$S$22,6,(FALSE))</f>
        <v>6.25E-2</v>
      </c>
      <c r="E28" s="1024">
        <f>VLOOKUP(A28,'2021 Band Moderations'!$B$5:$S$22,8,(FALSE))</f>
        <v>0.34375</v>
      </c>
      <c r="F28" s="1024">
        <f>VLOOKUP(A28,'2021 Band Moderations'!$B$5:$S$22,10,(FALSE))</f>
        <v>6.25E-2</v>
      </c>
      <c r="G28" s="1024">
        <f>VLOOKUP(A28,'2021 Band Moderations'!$B$5:$S$22,12,(FALSE))</f>
        <v>0.171875</v>
      </c>
      <c r="H28" s="1024">
        <f>VLOOKUP(A28,'2021 Band Moderations'!$B$5:$S$22,14,(FALSE))</f>
        <v>4.6875E-2</v>
      </c>
      <c r="I28" s="1024">
        <f>VLOOKUP(A28,'2021 Band Moderations'!$B$5:$S$22,16,(FALSE))</f>
        <v>0.171875</v>
      </c>
      <c r="J28" s="1024">
        <f>VLOOKUP(A28,'2021 Band Moderations'!$B$5:$S$22,18,(FALSE))</f>
        <v>0.140625</v>
      </c>
      <c r="K28" s="451">
        <v>8</v>
      </c>
      <c r="L28" s="1025">
        <f>((((K28*D28)*$G$92)+((K28*E28)*$G$94)+((K28*F28)*$G$96)+((K28*G28)*$G$98)+((K28*H28)*$G$100)+((K28*I28)*$G$102)+((K28*J28)*$G$104)))*(4/12)</f>
        <v>32524.092540204641</v>
      </c>
      <c r="M28" s="1025">
        <f t="shared" ref="M28:M45" si="5">((K28*F28)*$G$106)*(4/12)</f>
        <v>439.16666666666663</v>
      </c>
      <c r="N28" s="1025">
        <f>SUM(L28:M28)</f>
        <v>32963.259206871306</v>
      </c>
      <c r="O28" s="1026">
        <f>(K28*(4/12))*10000</f>
        <v>26666.666666666664</v>
      </c>
      <c r="P28" s="1026">
        <f>(VLOOKUP(A28,'2021 Funding Detail'!$A$4:$AO$23,39,FALSE)*4/12)*K28</f>
        <v>26239.032458912625</v>
      </c>
      <c r="Q28" s="235"/>
      <c r="R28" s="235">
        <f t="shared" ref="R28:R45" si="6">(J28*K28*$G$104)*4/12</f>
        <v>8442.2815334229108</v>
      </c>
      <c r="S28" s="269"/>
      <c r="T28" s="235"/>
      <c r="U28" s="235"/>
      <c r="V28" s="297"/>
      <c r="W28" s="296"/>
    </row>
    <row r="29" spans="1:23" s="29" customFormat="1" x14ac:dyDescent="0.25">
      <c r="A29" s="244">
        <v>9257005</v>
      </c>
      <c r="B29" s="237" t="s">
        <v>208</v>
      </c>
      <c r="C29" s="365" t="s">
        <v>1178</v>
      </c>
      <c r="D29" s="1024">
        <f>VLOOKUP(A29,'2021 Band Moderations'!$B$5:$S$22,6,(FALSE))</f>
        <v>7.8947368421052627E-2</v>
      </c>
      <c r="E29" s="1024">
        <f>VLOOKUP(A29,'2021 Band Moderations'!$B$5:$S$22,8,(FALSE))</f>
        <v>0.35526315789473684</v>
      </c>
      <c r="F29" s="1024">
        <f>VLOOKUP(A29,'2021 Band Moderations'!$B$5:$S$22,10,(FALSE))</f>
        <v>6.5789473684210523E-2</v>
      </c>
      <c r="G29" s="1024">
        <f>VLOOKUP(A29,'2021 Band Moderations'!$B$5:$S$22,12,(FALSE))</f>
        <v>0.14473684210526316</v>
      </c>
      <c r="H29" s="1024">
        <f>VLOOKUP(A29,'2021 Band Moderations'!$B$5:$S$22,14,(FALSE))</f>
        <v>0.14473684210526316</v>
      </c>
      <c r="I29" s="1024">
        <f>VLOOKUP(A29,'2021 Band Moderations'!$B$5:$S$22,16,(FALSE))</f>
        <v>0.15789473684210525</v>
      </c>
      <c r="J29" s="1024">
        <f>VLOOKUP(A29,'2021 Band Moderations'!$B$5:$S$22,18,(FALSE))</f>
        <v>5.2631578947368418E-2</v>
      </c>
      <c r="K29" s="451">
        <v>23</v>
      </c>
      <c r="L29" s="1025">
        <f t="shared" ref="L29:L45" si="7">((((K29*D29)*$G$92)+((K29*E29)*$G$94)+((K29*F29)*$G$96)+((K29*G29)*$G$98)+((K29*H29)*$G$100)+((K29*I29)*$G$102)+((K29*J29)*$G$104)))*(4/12)</f>
        <v>85928.809485751568</v>
      </c>
      <c r="M29" s="1025">
        <f t="shared" si="5"/>
        <v>1329.0570175438595</v>
      </c>
      <c r="N29" s="1025">
        <f>SUM(L29:M29)</f>
        <v>87257.86650329543</v>
      </c>
      <c r="O29" s="1026">
        <f>(K29*(4/12))*10000</f>
        <v>76666.666666666657</v>
      </c>
      <c r="P29" s="1026">
        <f>(VLOOKUP(A29,'2021 Funding Detail'!$A$4:$AO$23,39,FALSE)*4/12)*K29</f>
        <v>55970.708095551083</v>
      </c>
      <c r="Q29" s="235"/>
      <c r="R29" s="235">
        <f t="shared" si="6"/>
        <v>9084.092410232839</v>
      </c>
      <c r="S29" s="269"/>
      <c r="T29" s="235"/>
      <c r="U29" s="235"/>
      <c r="V29" s="235"/>
      <c r="W29" s="36"/>
    </row>
    <row r="30" spans="1:23" s="29" customFormat="1" x14ac:dyDescent="0.25">
      <c r="A30" s="244">
        <v>9257025</v>
      </c>
      <c r="B30" s="237" t="s">
        <v>209</v>
      </c>
      <c r="C30" s="365">
        <v>4</v>
      </c>
      <c r="D30" s="1024">
        <f>VLOOKUP(A30,'2021 Band Moderations'!$B$5:$S$22,6,(FALSE))</f>
        <v>0.16216216216216217</v>
      </c>
      <c r="E30" s="1024">
        <f>VLOOKUP(A30,'2021 Band Moderations'!$B$5:$S$22,8,(FALSE))</f>
        <v>0.35135135135135137</v>
      </c>
      <c r="F30" s="1024">
        <f>VLOOKUP(A30,'2021 Band Moderations'!$B$5:$S$22,10,(FALSE))</f>
        <v>6.7567567567567571E-2</v>
      </c>
      <c r="G30" s="1024">
        <f>VLOOKUP(A30,'2021 Band Moderations'!$B$5:$S$22,12,(FALSE))</f>
        <v>0.17567567567567569</v>
      </c>
      <c r="H30" s="1024">
        <f>VLOOKUP(A30,'2021 Band Moderations'!$B$5:$S$22,14,(FALSE))</f>
        <v>5.4054054054054057E-2</v>
      </c>
      <c r="I30" s="1024">
        <f>VLOOKUP(A30,'2021 Band Moderations'!$B$5:$S$22,16,(FALSE))</f>
        <v>0.13513513513513514</v>
      </c>
      <c r="J30" s="1024">
        <f>VLOOKUP(A30,'2021 Band Moderations'!$B$5:$S$22,18,(FALSE))</f>
        <v>5.4054054054054057E-2</v>
      </c>
      <c r="K30" s="451">
        <v>18</v>
      </c>
      <c r="L30" s="1025">
        <f t="shared" si="7"/>
        <v>63215.456089676249</v>
      </c>
      <c r="M30" s="1025">
        <f t="shared" si="5"/>
        <v>1068.2432432432431</v>
      </c>
      <c r="N30" s="1025">
        <f t="shared" ref="N30:N45" si="8">SUM(L30:M30)</f>
        <v>64283.699332919488</v>
      </c>
      <c r="O30" s="1026">
        <f t="shared" ref="O30:O45" si="9">(K30*(4/12))*10000</f>
        <v>60000</v>
      </c>
      <c r="P30" s="1026">
        <f>(VLOOKUP(A30,'2021 Funding Detail'!$A$4:$AO$23,39,FALSE)*4/12)*K30</f>
        <v>42878.630510792311</v>
      </c>
      <c r="Q30" s="235"/>
      <c r="R30" s="235">
        <f t="shared" si="6"/>
        <v>7301.4326775549489</v>
      </c>
      <c r="S30" s="269"/>
      <c r="T30" s="235"/>
      <c r="U30" s="235"/>
      <c r="V30" s="235"/>
      <c r="W30" s="36"/>
    </row>
    <row r="31" spans="1:23" s="29" customFormat="1" x14ac:dyDescent="0.25">
      <c r="A31" s="244">
        <v>9257011</v>
      </c>
      <c r="B31" s="237" t="s">
        <v>210</v>
      </c>
      <c r="C31" s="365">
        <v>4</v>
      </c>
      <c r="D31" s="1024">
        <f>VLOOKUP(A31,'2021 Band Moderations'!$B$5:$S$22,6,(FALSE))</f>
        <v>5.6603773584905662E-2</v>
      </c>
      <c r="E31" s="1024">
        <f>VLOOKUP(A31,'2021 Band Moderations'!$B$5:$S$22,8,(FALSE))</f>
        <v>0.32075471698113206</v>
      </c>
      <c r="F31" s="1024">
        <f>VLOOKUP(A31,'2021 Band Moderations'!$B$5:$S$22,10,(FALSE))</f>
        <v>3.7735849056603772E-2</v>
      </c>
      <c r="G31" s="1024">
        <f>VLOOKUP(A31,'2021 Band Moderations'!$B$5:$S$22,12,(FALSE))</f>
        <v>0.16981132075471697</v>
      </c>
      <c r="H31" s="1024">
        <f>VLOOKUP(A31,'2021 Band Moderations'!$B$5:$S$22,14,(FALSE))</f>
        <v>0.16981132075471697</v>
      </c>
      <c r="I31" s="1024">
        <f>VLOOKUP(A31,'2021 Band Moderations'!$B$5:$S$22,16,(FALSE))</f>
        <v>0.15094339622641509</v>
      </c>
      <c r="J31" s="1024">
        <f>VLOOKUP(A31,'2021 Band Moderations'!$B$5:$S$22,18,(FALSE))</f>
        <v>9.4339622641509441E-2</v>
      </c>
      <c r="K31" s="451">
        <v>15</v>
      </c>
      <c r="L31" s="1025">
        <f t="shared" si="7"/>
        <v>60330.188715996635</v>
      </c>
      <c r="M31" s="1025">
        <f t="shared" si="5"/>
        <v>497.16981132075472</v>
      </c>
      <c r="N31" s="1025">
        <f t="shared" si="8"/>
        <v>60827.358527317389</v>
      </c>
      <c r="O31" s="1026">
        <f t="shared" si="9"/>
        <v>50000</v>
      </c>
      <c r="P31" s="1026">
        <f>(VLOOKUP(A31,'2021 Funding Detail'!$A$4:$AO$23,39,FALSE)*4/12)*K31</f>
        <v>50270.117893311624</v>
      </c>
      <c r="Q31" s="235"/>
      <c r="R31" s="235">
        <f t="shared" si="6"/>
        <v>10619.222054620013</v>
      </c>
      <c r="S31" s="269"/>
      <c r="T31" s="235"/>
      <c r="U31" s="235"/>
      <c r="V31" s="235"/>
      <c r="W31" s="36"/>
    </row>
    <row r="32" spans="1:23" s="29" customFormat="1" x14ac:dyDescent="0.25">
      <c r="A32" s="244">
        <v>9257024</v>
      </c>
      <c r="B32" s="237" t="s">
        <v>211</v>
      </c>
      <c r="C32" s="365">
        <v>4</v>
      </c>
      <c r="D32" s="1024">
        <f>VLOOKUP(A32,'2021 Band Moderations'!$B$5:$S$22,6,(FALSE))</f>
        <v>0.10843373493975904</v>
      </c>
      <c r="E32" s="1024">
        <f>VLOOKUP(A32,'2021 Band Moderations'!$B$5:$S$22,8,(FALSE))</f>
        <v>0.43373493975903615</v>
      </c>
      <c r="F32" s="1024">
        <f>VLOOKUP(A32,'2021 Band Moderations'!$B$5:$S$22,10,(FALSE))</f>
        <v>2.4096385542168676E-2</v>
      </c>
      <c r="G32" s="1024">
        <f>VLOOKUP(A32,'2021 Band Moderations'!$B$5:$S$22,12,(FALSE))</f>
        <v>0.15662650602409639</v>
      </c>
      <c r="H32" s="1024">
        <f>VLOOKUP(A32,'2021 Band Moderations'!$B$5:$S$22,14,(FALSE))</f>
        <v>0.10843373493975904</v>
      </c>
      <c r="I32" s="1024">
        <f>VLOOKUP(A32,'2021 Band Moderations'!$B$5:$S$22,16,(FALSE))</f>
        <v>7.2289156626506021E-2</v>
      </c>
      <c r="J32" s="1024">
        <f>VLOOKUP(A32,'2021 Band Moderations'!$B$5:$S$22,18,(FALSE))</f>
        <v>9.6385542168674704E-2</v>
      </c>
      <c r="K32" s="451">
        <v>15</v>
      </c>
      <c r="L32" s="1025">
        <f t="shared" si="7"/>
        <v>54066.222650144577</v>
      </c>
      <c r="M32" s="1025">
        <f t="shared" si="5"/>
        <v>317.46987951807228</v>
      </c>
      <c r="N32" s="1025">
        <f t="shared" si="8"/>
        <v>54383.69252966265</v>
      </c>
      <c r="O32" s="1026">
        <f t="shared" si="9"/>
        <v>50000</v>
      </c>
      <c r="P32" s="1026">
        <f>(VLOOKUP(A32,'2021 Funding Detail'!$A$4:$AO$23,39,FALSE)*4/12)*K32</f>
        <v>33866.602480412672</v>
      </c>
      <c r="Q32" s="235"/>
      <c r="R32" s="235">
        <f t="shared" si="6"/>
        <v>10849.518436527434</v>
      </c>
      <c r="S32" s="269"/>
      <c r="T32" s="235"/>
      <c r="U32" s="235"/>
      <c r="V32" s="235"/>
      <c r="W32" s="36"/>
    </row>
    <row r="33" spans="1:22" s="29" customFormat="1" x14ac:dyDescent="0.25">
      <c r="A33" s="244">
        <v>9257031</v>
      </c>
      <c r="B33" s="237" t="s">
        <v>257</v>
      </c>
      <c r="C33" s="365" t="s">
        <v>1179</v>
      </c>
      <c r="D33" s="1024">
        <f>VLOOKUP(A33,'2021 Band Moderations'!$B$5:$S$22,6,(FALSE))</f>
        <v>0</v>
      </c>
      <c r="E33" s="1024">
        <f>VLOOKUP(A33,'2021 Band Moderations'!$B$5:$S$22,8,(FALSE))</f>
        <v>0</v>
      </c>
      <c r="F33" s="1024">
        <f>VLOOKUP(A33,'2021 Band Moderations'!$B$5:$S$22,10,(FALSE))</f>
        <v>1</v>
      </c>
      <c r="G33" s="1024">
        <f>VLOOKUP(A33,'2021 Band Moderations'!$B$5:$S$22,12,(FALSE))</f>
        <v>0</v>
      </c>
      <c r="H33" s="1024">
        <f>VLOOKUP(A33,'2021 Band Moderations'!$B$5:$S$22,14,(FALSE))</f>
        <v>0</v>
      </c>
      <c r="I33" s="1024">
        <f>VLOOKUP(A33,'2021 Band Moderations'!$B$5:$S$22,16,(FALSE))</f>
        <v>0</v>
      </c>
      <c r="J33" s="1024">
        <f>VLOOKUP(A33,'2021 Band Moderations'!$B$5:$S$22,18,(FALSE))</f>
        <v>0</v>
      </c>
      <c r="K33" s="451">
        <v>0</v>
      </c>
      <c r="L33" s="1025">
        <f t="shared" si="7"/>
        <v>0</v>
      </c>
      <c r="M33" s="1025">
        <f t="shared" si="5"/>
        <v>0</v>
      </c>
      <c r="N33" s="1025">
        <f t="shared" si="8"/>
        <v>0</v>
      </c>
      <c r="O33" s="1026">
        <f t="shared" si="9"/>
        <v>0</v>
      </c>
      <c r="P33" s="1026">
        <f>(VLOOKUP(A33,'2021 Funding Detail'!$A$4:$AO$23,39,FALSE)*4/12)*K33</f>
        <v>0</v>
      </c>
      <c r="Q33" s="235"/>
      <c r="R33" s="235">
        <f t="shared" si="6"/>
        <v>0</v>
      </c>
      <c r="S33" s="269"/>
      <c r="T33" s="235"/>
      <c r="U33" s="235"/>
      <c r="V33" s="235"/>
    </row>
    <row r="34" spans="1:22" s="29" customFormat="1" x14ac:dyDescent="0.25">
      <c r="A34" s="244">
        <v>9257033</v>
      </c>
      <c r="B34" s="237" t="s">
        <v>220</v>
      </c>
      <c r="C34" s="365" t="s">
        <v>1178</v>
      </c>
      <c r="D34" s="1024">
        <f>VLOOKUP(A34,'2021 Band Moderations'!$B$5:$S$22,6,(FALSE))</f>
        <v>0.17894736842105263</v>
      </c>
      <c r="E34" s="1024">
        <f>VLOOKUP(A34,'2021 Band Moderations'!$B$5:$S$22,8,(FALSE))</f>
        <v>0.44210526315789472</v>
      </c>
      <c r="F34" s="1024">
        <f>VLOOKUP(A34,'2021 Band Moderations'!$B$5:$S$22,10,(FALSE))</f>
        <v>0.12631578947368421</v>
      </c>
      <c r="G34" s="1024">
        <f>VLOOKUP(A34,'2021 Band Moderations'!$B$5:$S$22,12,(FALSE))</f>
        <v>0.15789473684210525</v>
      </c>
      <c r="H34" s="1024">
        <f>VLOOKUP(A34,'2021 Band Moderations'!$B$5:$S$22,14,(FALSE))</f>
        <v>4.2105263157894736E-2</v>
      </c>
      <c r="I34" s="1024">
        <f>VLOOKUP(A34,'2021 Band Moderations'!$B$5:$S$22,16,(FALSE))</f>
        <v>5.2631578947368418E-2</v>
      </c>
      <c r="J34" s="1024">
        <f>VLOOKUP(A34,'2021 Band Moderations'!$B$5:$S$22,18,(FALSE))</f>
        <v>0</v>
      </c>
      <c r="K34" s="451">
        <v>0</v>
      </c>
      <c r="L34" s="1025">
        <f t="shared" si="7"/>
        <v>0</v>
      </c>
      <c r="M34" s="1025">
        <f t="shared" si="5"/>
        <v>0</v>
      </c>
      <c r="N34" s="1025">
        <f t="shared" si="8"/>
        <v>0</v>
      </c>
      <c r="O34" s="1026">
        <f t="shared" si="9"/>
        <v>0</v>
      </c>
      <c r="P34" s="1026">
        <f>(VLOOKUP(A34,'2021 Funding Detail'!$A$4:$AO$23,39,FALSE)*4/12)*K34</f>
        <v>0</v>
      </c>
      <c r="Q34" s="235"/>
      <c r="R34" s="235">
        <f t="shared" si="6"/>
        <v>0</v>
      </c>
      <c r="S34" s="269"/>
      <c r="T34" s="235"/>
      <c r="U34" s="235"/>
      <c r="V34" s="235"/>
    </row>
    <row r="35" spans="1:22" s="29" customFormat="1" x14ac:dyDescent="0.25">
      <c r="A35" s="244">
        <v>9257008</v>
      </c>
      <c r="B35" s="237" t="s">
        <v>212</v>
      </c>
      <c r="C35" s="365">
        <v>4</v>
      </c>
      <c r="D35" s="1024">
        <f>VLOOKUP(A35,'2021 Band Moderations'!$B$5:$S$22,6,(FALSE))</f>
        <v>0.10309278350515463</v>
      </c>
      <c r="E35" s="1024">
        <f>VLOOKUP(A35,'2021 Band Moderations'!$B$5:$S$22,8,(FALSE))</f>
        <v>0.52577319587628868</v>
      </c>
      <c r="F35" s="1024">
        <f>VLOOKUP(A35,'2021 Band Moderations'!$B$5:$S$22,10,(FALSE))</f>
        <v>8.247422680412371E-2</v>
      </c>
      <c r="G35" s="1024">
        <f>VLOOKUP(A35,'2021 Band Moderations'!$B$5:$S$22,12,(FALSE))</f>
        <v>9.2783505154639179E-2</v>
      </c>
      <c r="H35" s="1024">
        <f>VLOOKUP(A35,'2021 Band Moderations'!$B$5:$S$22,14,(FALSE))</f>
        <v>1.0309278350515464E-2</v>
      </c>
      <c r="I35" s="1024">
        <f>VLOOKUP(A35,'2021 Band Moderations'!$B$5:$S$22,16,(FALSE))</f>
        <v>0.18556701030927836</v>
      </c>
      <c r="J35" s="1024">
        <f>VLOOKUP(A35,'2021 Band Moderations'!$B$5:$S$22,18,(FALSE))</f>
        <v>0</v>
      </c>
      <c r="K35" s="451">
        <v>0</v>
      </c>
      <c r="L35" s="1025">
        <f t="shared" si="7"/>
        <v>0</v>
      </c>
      <c r="M35" s="1025">
        <f t="shared" si="5"/>
        <v>0</v>
      </c>
      <c r="N35" s="1025">
        <f t="shared" si="8"/>
        <v>0</v>
      </c>
      <c r="O35" s="1026">
        <f t="shared" si="9"/>
        <v>0</v>
      </c>
      <c r="P35" s="1026">
        <f>(VLOOKUP(A35,'2021 Funding Detail'!$A$4:$AO$23,39,FALSE)*4/12)*K35</f>
        <v>0</v>
      </c>
      <c r="Q35" s="235"/>
      <c r="R35" s="235">
        <f t="shared" si="6"/>
        <v>0</v>
      </c>
      <c r="S35" s="269"/>
      <c r="T35" s="235"/>
      <c r="U35" s="235"/>
      <c r="V35" s="235"/>
    </row>
    <row r="36" spans="1:22" s="29" customFormat="1" x14ac:dyDescent="0.25">
      <c r="A36" s="244">
        <v>9257034</v>
      </c>
      <c r="B36" s="237" t="s">
        <v>221</v>
      </c>
      <c r="C36" s="365" t="s">
        <v>1178</v>
      </c>
      <c r="D36" s="1024">
        <f>VLOOKUP(A36,'2021 Band Moderations'!$B$5:$S$22,6,(FALSE))</f>
        <v>0.42201834862385323</v>
      </c>
      <c r="E36" s="1024">
        <f>VLOOKUP(A36,'2021 Band Moderations'!$B$5:$S$22,8,(FALSE))</f>
        <v>0.26605504587155965</v>
      </c>
      <c r="F36" s="1024">
        <f>VLOOKUP(A36,'2021 Band Moderations'!$B$5:$S$22,10,(FALSE))</f>
        <v>0.15596330275229359</v>
      </c>
      <c r="G36" s="1024">
        <f>VLOOKUP(A36,'2021 Band Moderations'!$B$5:$S$22,12,(FALSE))</f>
        <v>4.5871559633027525E-2</v>
      </c>
      <c r="H36" s="1024">
        <f>VLOOKUP(A36,'2021 Band Moderations'!$B$5:$S$22,14,(FALSE))</f>
        <v>4.5871559633027525E-2</v>
      </c>
      <c r="I36" s="1024">
        <f>VLOOKUP(A36,'2021 Band Moderations'!$B$5:$S$22,16,(FALSE))</f>
        <v>5.5045871559633031E-2</v>
      </c>
      <c r="J36" s="1024">
        <f>VLOOKUP(A36,'2021 Band Moderations'!$B$5:$S$22,18,(FALSE))</f>
        <v>9.1743119266055051E-3</v>
      </c>
      <c r="K36" s="451">
        <v>37</v>
      </c>
      <c r="L36" s="1025">
        <f t="shared" si="7"/>
        <v>102448.23897396377</v>
      </c>
      <c r="M36" s="1025">
        <f t="shared" si="5"/>
        <v>5068.547400611621</v>
      </c>
      <c r="N36" s="1025">
        <f t="shared" si="8"/>
        <v>107516.7863745754</v>
      </c>
      <c r="O36" s="1026">
        <f t="shared" si="9"/>
        <v>123333.33333333333</v>
      </c>
      <c r="P36" s="1026">
        <f>(VLOOKUP(A36,'2021 Funding Detail'!$A$4:$AO$23,39,FALSE)*4/12)*K36</f>
        <v>40388.029190802787</v>
      </c>
      <c r="Q36" s="235"/>
      <c r="R36" s="235">
        <f t="shared" si="6"/>
        <v>2547.31430570151</v>
      </c>
      <c r="S36" s="269"/>
      <c r="T36" s="235"/>
      <c r="U36" s="235"/>
      <c r="V36" s="235"/>
    </row>
    <row r="37" spans="1:22" s="29" customFormat="1" x14ac:dyDescent="0.25">
      <c r="A37" s="244">
        <v>9257002</v>
      </c>
      <c r="B37" s="237" t="s">
        <v>213</v>
      </c>
      <c r="C37" s="365">
        <v>4</v>
      </c>
      <c r="D37" s="1024">
        <f>VLOOKUP(A37,'2021 Band Moderations'!$B$5:$S$22,6,(FALSE))</f>
        <v>0.42957746478873238</v>
      </c>
      <c r="E37" s="1024">
        <f>VLOOKUP(A37,'2021 Band Moderations'!$B$5:$S$22,8,(FALSE))</f>
        <v>0.25352112676056338</v>
      </c>
      <c r="F37" s="1024">
        <f>VLOOKUP(A37,'2021 Band Moderations'!$B$5:$S$22,10,(FALSE))</f>
        <v>0.15492957746478872</v>
      </c>
      <c r="G37" s="1024">
        <f>VLOOKUP(A37,'2021 Band Moderations'!$B$5:$S$22,12,(FALSE))</f>
        <v>2.1126760563380281E-2</v>
      </c>
      <c r="H37" s="1024">
        <f>VLOOKUP(A37,'2021 Band Moderations'!$B$5:$S$22,14,(FALSE))</f>
        <v>4.2253521126760563E-2</v>
      </c>
      <c r="I37" s="1024">
        <f>VLOOKUP(A37,'2021 Band Moderations'!$B$5:$S$22,16,(FALSE))</f>
        <v>8.4507042253521125E-2</v>
      </c>
      <c r="J37" s="1024">
        <f>VLOOKUP(A37,'2021 Band Moderations'!$B$5:$S$22,18,(FALSE))</f>
        <v>1.4084507042253521E-2</v>
      </c>
      <c r="K37" s="451">
        <v>0</v>
      </c>
      <c r="L37" s="1025">
        <f t="shared" si="7"/>
        <v>0</v>
      </c>
      <c r="M37" s="1025">
        <f t="shared" si="5"/>
        <v>0</v>
      </c>
      <c r="N37" s="1025">
        <f t="shared" si="8"/>
        <v>0</v>
      </c>
      <c r="O37" s="1026">
        <f t="shared" si="9"/>
        <v>0</v>
      </c>
      <c r="P37" s="1026">
        <f>(VLOOKUP(A37,'2021 Funding Detail'!$A$4:$AO$23,39,FALSE)*4/12)*K37</f>
        <v>0</v>
      </c>
      <c r="Q37" s="235"/>
      <c r="R37" s="235">
        <f t="shared" si="6"/>
        <v>0</v>
      </c>
      <c r="S37" s="269"/>
      <c r="T37" s="235"/>
      <c r="U37" s="235"/>
      <c r="V37" s="235"/>
    </row>
    <row r="38" spans="1:22" s="29" customFormat="1" x14ac:dyDescent="0.25">
      <c r="A38" s="244">
        <v>9257009</v>
      </c>
      <c r="B38" s="237" t="s">
        <v>214</v>
      </c>
      <c r="C38" s="365">
        <v>4</v>
      </c>
      <c r="D38" s="1024">
        <f>VLOOKUP(A38,'2021 Band Moderations'!$B$5:$S$22,6,(FALSE))</f>
        <v>0.17054263565891473</v>
      </c>
      <c r="E38" s="1024">
        <f>VLOOKUP(A38,'2021 Band Moderations'!$B$5:$S$22,8,(FALSE))</f>
        <v>0.58139534883720934</v>
      </c>
      <c r="F38" s="1024">
        <f>VLOOKUP(A38,'2021 Band Moderations'!$B$5:$S$22,10,(FALSE))</f>
        <v>8.5271317829457363E-2</v>
      </c>
      <c r="G38" s="1024">
        <f>VLOOKUP(A38,'2021 Band Moderations'!$B$5:$S$22,12,(FALSE))</f>
        <v>1.5503875968992248E-2</v>
      </c>
      <c r="H38" s="1024">
        <f>VLOOKUP(A38,'2021 Band Moderations'!$B$5:$S$22,14,(FALSE))</f>
        <v>3.1007751937984496E-2</v>
      </c>
      <c r="I38" s="1024">
        <f>VLOOKUP(A38,'2021 Band Moderations'!$B$5:$S$22,16,(FALSE))</f>
        <v>0.11627906976744186</v>
      </c>
      <c r="J38" s="1024">
        <f>VLOOKUP(A38,'2021 Band Moderations'!$B$5:$S$22,18,(FALSE))</f>
        <v>0</v>
      </c>
      <c r="K38" s="451">
        <v>0</v>
      </c>
      <c r="L38" s="1025">
        <f t="shared" si="7"/>
        <v>0</v>
      </c>
      <c r="M38" s="1025">
        <f t="shared" si="5"/>
        <v>0</v>
      </c>
      <c r="N38" s="1025">
        <f t="shared" si="8"/>
        <v>0</v>
      </c>
      <c r="O38" s="1026">
        <f t="shared" si="9"/>
        <v>0</v>
      </c>
      <c r="P38" s="1026">
        <f>(VLOOKUP(A38,'2021 Funding Detail'!$A$4:$AO$23,39,FALSE)*4/12)*K38</f>
        <v>0</v>
      </c>
      <c r="Q38" s="235"/>
      <c r="R38" s="235">
        <f t="shared" si="6"/>
        <v>0</v>
      </c>
      <c r="S38" s="269"/>
      <c r="T38" s="235"/>
      <c r="U38" s="235"/>
      <c r="V38" s="235"/>
    </row>
    <row r="39" spans="1:22" s="29" customFormat="1" x14ac:dyDescent="0.25">
      <c r="A39" s="244">
        <v>9257029</v>
      </c>
      <c r="B39" s="237" t="s">
        <v>890</v>
      </c>
      <c r="C39" s="365" t="s">
        <v>1179</v>
      </c>
      <c r="D39" s="1024">
        <f>VLOOKUP(A39,'2021 Band Moderations'!$B$5:$S$22,6,(FALSE))</f>
        <v>0</v>
      </c>
      <c r="E39" s="1024">
        <f>VLOOKUP(A39,'2021 Band Moderations'!$B$5:$S$22,8,(FALSE))</f>
        <v>0</v>
      </c>
      <c r="F39" s="1024">
        <f>VLOOKUP(A39,'2021 Band Moderations'!$B$5:$S$22,10,(FALSE))</f>
        <v>1</v>
      </c>
      <c r="G39" s="1024">
        <f>VLOOKUP(A39,'2021 Band Moderations'!$B$5:$S$22,12,(FALSE))</f>
        <v>0</v>
      </c>
      <c r="H39" s="1024">
        <f>VLOOKUP(A39,'2021 Band Moderations'!$B$5:$S$22,14,(FALSE))</f>
        <v>0</v>
      </c>
      <c r="I39" s="1024">
        <f>VLOOKUP(A39,'2021 Band Moderations'!$B$5:$S$22,16,(FALSE))</f>
        <v>0</v>
      </c>
      <c r="J39" s="1024">
        <f>VLOOKUP(A39,'2021 Band Moderations'!$B$5:$S$22,18,(FALSE))</f>
        <v>0</v>
      </c>
      <c r="K39" s="451">
        <v>0</v>
      </c>
      <c r="L39" s="1025">
        <f t="shared" si="7"/>
        <v>0</v>
      </c>
      <c r="M39" s="1025">
        <f t="shared" si="5"/>
        <v>0</v>
      </c>
      <c r="N39" s="1025">
        <f t="shared" si="8"/>
        <v>0</v>
      </c>
      <c r="O39" s="1026">
        <f t="shared" si="9"/>
        <v>0</v>
      </c>
      <c r="P39" s="1026">
        <f>(VLOOKUP(A39,'2021 Funding Detail'!$A$4:$AO$23,39,FALSE)*4/12)*K39</f>
        <v>0</v>
      </c>
      <c r="Q39" s="235"/>
      <c r="R39" s="235">
        <f t="shared" si="6"/>
        <v>0</v>
      </c>
      <c r="S39" s="269"/>
      <c r="T39" s="235"/>
      <c r="U39" s="235"/>
      <c r="V39" s="235"/>
    </row>
    <row r="40" spans="1:22" s="29" customFormat="1" x14ac:dyDescent="0.25">
      <c r="A40" s="244">
        <v>9257032</v>
      </c>
      <c r="B40" s="237" t="s">
        <v>1043</v>
      </c>
      <c r="C40" s="365" t="s">
        <v>1179</v>
      </c>
      <c r="D40" s="1024">
        <f>VLOOKUP(A40,'2021 Band Moderations'!$B$5:$S$22,6,(FALSE))</f>
        <v>0</v>
      </c>
      <c r="E40" s="1024">
        <f>VLOOKUP(A40,'2021 Band Moderations'!$B$5:$S$22,8,(FALSE))</f>
        <v>0</v>
      </c>
      <c r="F40" s="1024">
        <f>VLOOKUP(A40,'2021 Band Moderations'!$B$5:$S$22,10,(FALSE))</f>
        <v>1</v>
      </c>
      <c r="G40" s="1024">
        <f>VLOOKUP(A40,'2021 Band Moderations'!$B$5:$S$22,12,(FALSE))</f>
        <v>0</v>
      </c>
      <c r="H40" s="1024">
        <f>VLOOKUP(A40,'2021 Band Moderations'!$B$5:$S$22,14,(FALSE))</f>
        <v>0</v>
      </c>
      <c r="I40" s="1024">
        <f>VLOOKUP(A40,'2021 Band Moderations'!$B$5:$S$22,16,(FALSE))</f>
        <v>0</v>
      </c>
      <c r="J40" s="1024">
        <f>VLOOKUP(A40,'2021 Band Moderations'!$B$5:$S$22,18,(FALSE))</f>
        <v>0</v>
      </c>
      <c r="K40" s="451">
        <v>0</v>
      </c>
      <c r="L40" s="1025">
        <f t="shared" si="7"/>
        <v>0</v>
      </c>
      <c r="M40" s="1025">
        <f t="shared" si="5"/>
        <v>0</v>
      </c>
      <c r="N40" s="1025">
        <f t="shared" si="8"/>
        <v>0</v>
      </c>
      <c r="O40" s="1026">
        <f t="shared" si="9"/>
        <v>0</v>
      </c>
      <c r="P40" s="1026">
        <f>(VLOOKUP(A40,'2021 Funding Detail'!$A$4:$AO$23,39,FALSE)*4/12)*K40</f>
        <v>0</v>
      </c>
      <c r="Q40" s="235"/>
      <c r="R40" s="235">
        <f t="shared" si="6"/>
        <v>0</v>
      </c>
      <c r="S40" s="269"/>
      <c r="T40" s="235"/>
      <c r="U40" s="235"/>
      <c r="V40" s="235"/>
    </row>
    <row r="41" spans="1:22" s="29" customFormat="1" x14ac:dyDescent="0.25">
      <c r="A41" s="244">
        <v>9257030</v>
      </c>
      <c r="B41" s="237" t="s">
        <v>1046</v>
      </c>
      <c r="C41" s="365" t="s">
        <v>1179</v>
      </c>
      <c r="D41" s="1024">
        <f>VLOOKUP(A41,'2021 Band Moderations'!$B$5:$S$22,6,(FALSE))</f>
        <v>0</v>
      </c>
      <c r="E41" s="1024">
        <f>VLOOKUP(A41,'2021 Band Moderations'!$B$5:$S$22,8,(FALSE))</f>
        <v>0</v>
      </c>
      <c r="F41" s="1024">
        <f>VLOOKUP(A41,'2021 Band Moderations'!$B$5:$S$22,10,(FALSE))</f>
        <v>1</v>
      </c>
      <c r="G41" s="1024">
        <f>VLOOKUP(A41,'2021 Band Moderations'!$B$5:$S$22,12,(FALSE))</f>
        <v>0</v>
      </c>
      <c r="H41" s="1024">
        <f>VLOOKUP(A41,'2021 Band Moderations'!$B$5:$S$22,14,(FALSE))</f>
        <v>0</v>
      </c>
      <c r="I41" s="1024">
        <f>VLOOKUP(A41,'2021 Band Moderations'!$B$5:$S$22,16,(FALSE))</f>
        <v>0</v>
      </c>
      <c r="J41" s="1024">
        <f>VLOOKUP(A41,'2021 Band Moderations'!$B$5:$S$22,18,(FALSE))</f>
        <v>0</v>
      </c>
      <c r="K41" s="451">
        <v>0</v>
      </c>
      <c r="L41" s="1025">
        <f t="shared" si="7"/>
        <v>0</v>
      </c>
      <c r="M41" s="1025">
        <f t="shared" si="5"/>
        <v>0</v>
      </c>
      <c r="N41" s="1025">
        <f t="shared" si="8"/>
        <v>0</v>
      </c>
      <c r="O41" s="1026">
        <f t="shared" si="9"/>
        <v>0</v>
      </c>
      <c r="P41" s="1026">
        <f>(VLOOKUP(A41,'2021 Funding Detail'!$A$4:$AO$23,39,FALSE)*4/12)*K41</f>
        <v>0</v>
      </c>
      <c r="Q41" s="235"/>
      <c r="R41" s="235">
        <f t="shared" si="6"/>
        <v>0</v>
      </c>
      <c r="S41" s="269"/>
      <c r="T41" s="235"/>
      <c r="U41" s="235"/>
      <c r="V41" s="235"/>
    </row>
    <row r="42" spans="1:22" s="29" customFormat="1" x14ac:dyDescent="0.25">
      <c r="A42" s="244">
        <v>9257028</v>
      </c>
      <c r="B42" s="237" t="s">
        <v>215</v>
      </c>
      <c r="C42" s="365">
        <v>4</v>
      </c>
      <c r="D42" s="1024">
        <f>VLOOKUP(A42,'2021 Band Moderations'!$B$5:$S$22,6,(FALSE))</f>
        <v>9.4736842105263161E-2</v>
      </c>
      <c r="E42" s="1024">
        <f>VLOOKUP(A42,'2021 Band Moderations'!$B$5:$S$22,8,(FALSE))</f>
        <v>0.35789473684210527</v>
      </c>
      <c r="F42" s="1024">
        <f>VLOOKUP(A42,'2021 Band Moderations'!$B$5:$S$22,10,(FALSE))</f>
        <v>4.2105263157894736E-2</v>
      </c>
      <c r="G42" s="1024">
        <f>VLOOKUP(A42,'2021 Band Moderations'!$B$5:$S$22,12,(FALSE))</f>
        <v>9.4736842105263161E-2</v>
      </c>
      <c r="H42" s="1024">
        <f>VLOOKUP(A42,'2021 Band Moderations'!$B$5:$S$22,14,(FALSE))</f>
        <v>0.14736842105263157</v>
      </c>
      <c r="I42" s="1024">
        <f>VLOOKUP(A42,'2021 Band Moderations'!$B$5:$S$22,16,(FALSE))</f>
        <v>0.1368421052631579</v>
      </c>
      <c r="J42" s="1024">
        <f>VLOOKUP(A42,'2021 Band Moderations'!$B$5:$S$22,18,(FALSE))</f>
        <v>0.12631578947368421</v>
      </c>
      <c r="K42" s="451">
        <v>12</v>
      </c>
      <c r="L42" s="1025">
        <f t="shared" si="7"/>
        <v>46928.934675948702</v>
      </c>
      <c r="M42" s="1025">
        <f t="shared" si="5"/>
        <v>443.78947368421052</v>
      </c>
      <c r="N42" s="1025">
        <f t="shared" si="8"/>
        <v>47372.724149632915</v>
      </c>
      <c r="O42" s="1026">
        <f t="shared" si="9"/>
        <v>40000</v>
      </c>
      <c r="P42" s="1026">
        <f>(VLOOKUP(A42,'2021 Funding Detail'!$A$4:$AO$23,39,FALSE)*4/12)*K42</f>
        <v>29224.771334619509</v>
      </c>
      <c r="Q42" s="235"/>
      <c r="R42" s="235">
        <f t="shared" si="6"/>
        <v>11374.863539769816</v>
      </c>
      <c r="S42" s="269"/>
      <c r="T42" s="235"/>
      <c r="U42" s="235"/>
      <c r="V42" s="235"/>
    </row>
    <row r="43" spans="1:22" s="29" customFormat="1" x14ac:dyDescent="0.25">
      <c r="A43" s="244">
        <v>9257021</v>
      </c>
      <c r="B43" s="237" t="s">
        <v>216</v>
      </c>
      <c r="C43" s="365" t="s">
        <v>1180</v>
      </c>
      <c r="D43" s="1024">
        <f>VLOOKUP(A43,'2021 Band Moderations'!$B$5:$S$22,6,(FALSE))</f>
        <v>0.28834355828220859</v>
      </c>
      <c r="E43" s="1024">
        <f>VLOOKUP(A43,'2021 Band Moderations'!$B$5:$S$22,8,(FALSE))</f>
        <v>0.35582822085889571</v>
      </c>
      <c r="F43" s="1024">
        <f>VLOOKUP(A43,'2021 Band Moderations'!$B$5:$S$22,10,(FALSE))</f>
        <v>9.815950920245399E-2</v>
      </c>
      <c r="G43" s="1024">
        <f>VLOOKUP(A43,'2021 Band Moderations'!$B$5:$S$22,12,(FALSE))</f>
        <v>6.1349693251533742E-2</v>
      </c>
      <c r="H43" s="1024">
        <f>VLOOKUP(A43,'2021 Band Moderations'!$B$5:$S$22,14,(FALSE))</f>
        <v>6.1349693251533742E-2</v>
      </c>
      <c r="I43" s="1024">
        <f>VLOOKUP(A43,'2021 Band Moderations'!$B$5:$S$22,16,(FALSE))</f>
        <v>0.12269938650306748</v>
      </c>
      <c r="J43" s="1024">
        <f>VLOOKUP(A43,'2021 Band Moderations'!$B$5:$S$22,18,(FALSE))</f>
        <v>1.2269938650306749E-2</v>
      </c>
      <c r="K43" s="451">
        <v>0</v>
      </c>
      <c r="L43" s="1025">
        <f t="shared" si="7"/>
        <v>0</v>
      </c>
      <c r="M43" s="1025">
        <f t="shared" si="5"/>
        <v>0</v>
      </c>
      <c r="N43" s="1025">
        <f t="shared" si="8"/>
        <v>0</v>
      </c>
      <c r="O43" s="1026">
        <f t="shared" si="9"/>
        <v>0</v>
      </c>
      <c r="P43" s="1026">
        <f>(VLOOKUP(A43,'2021 Funding Detail'!$A$4:$AO$23,39,FALSE)*4/12)*K43</f>
        <v>0</v>
      </c>
      <c r="Q43" s="235"/>
      <c r="R43" s="235">
        <f t="shared" si="6"/>
        <v>0</v>
      </c>
      <c r="S43" s="269"/>
      <c r="T43" s="235"/>
      <c r="U43" s="235"/>
      <c r="V43" s="235"/>
    </row>
    <row r="44" spans="1:22" s="29" customFormat="1" x14ac:dyDescent="0.25">
      <c r="A44" s="244">
        <v>9257015</v>
      </c>
      <c r="B44" s="237" t="s">
        <v>217</v>
      </c>
      <c r="C44" s="365" t="s">
        <v>1181</v>
      </c>
      <c r="D44" s="1024">
        <f>VLOOKUP(A44,'2021 Band Moderations'!$B$5:$S$22,6,(FALSE))</f>
        <v>0.37931034482758619</v>
      </c>
      <c r="E44" s="1024">
        <f>VLOOKUP(A44,'2021 Band Moderations'!$B$5:$S$22,8,(FALSE))</f>
        <v>0.33189655172413796</v>
      </c>
      <c r="F44" s="1024">
        <f>VLOOKUP(A44,'2021 Band Moderations'!$B$5:$S$22,10,(FALSE))</f>
        <v>2.5862068965517241E-2</v>
      </c>
      <c r="G44" s="1024">
        <f>VLOOKUP(A44,'2021 Band Moderations'!$B$5:$S$22,12,(FALSE))</f>
        <v>6.4655172413793108E-2</v>
      </c>
      <c r="H44" s="1024">
        <f>VLOOKUP(A44,'2021 Band Moderations'!$B$5:$S$22,14,(FALSE))</f>
        <v>3.8793103448275863E-2</v>
      </c>
      <c r="I44" s="1024">
        <f>VLOOKUP(A44,'2021 Band Moderations'!$B$5:$S$22,16,(FALSE))</f>
        <v>0.14655172413793102</v>
      </c>
      <c r="J44" s="1024">
        <f>VLOOKUP(A44,'2021 Band Moderations'!$B$5:$S$22,18,(FALSE))</f>
        <v>1.2931034482758621E-2</v>
      </c>
      <c r="K44" s="451">
        <v>16</v>
      </c>
      <c r="L44" s="1025">
        <f t="shared" si="7"/>
        <v>46162.733128682536</v>
      </c>
      <c r="M44" s="1025">
        <f t="shared" si="5"/>
        <v>363.44827586206895</v>
      </c>
      <c r="N44" s="1025">
        <f t="shared" si="8"/>
        <v>46526.181404544608</v>
      </c>
      <c r="O44" s="1026">
        <f t="shared" si="9"/>
        <v>53333.333333333328</v>
      </c>
      <c r="P44" s="1026">
        <f>(VLOOKUP(A44,'2021 Funding Detail'!$A$4:$AO$23,39,FALSE)*4/12)*K44</f>
        <v>7322.8416449349388</v>
      </c>
      <c r="Q44" s="235"/>
      <c r="R44" s="235">
        <f t="shared" si="6"/>
        <v>1552.6035003996155</v>
      </c>
      <c r="S44" s="269"/>
      <c r="T44" s="235"/>
      <c r="U44" s="235"/>
      <c r="V44" s="235"/>
    </row>
    <row r="45" spans="1:22" s="29" customFormat="1" x14ac:dyDescent="0.25">
      <c r="A45" s="244">
        <v>9257016</v>
      </c>
      <c r="B45" s="237" t="s">
        <v>219</v>
      </c>
      <c r="C45" s="365" t="s">
        <v>1181</v>
      </c>
      <c r="D45" s="1024">
        <f>VLOOKUP(A45,'2021 Band Moderations'!$B$5:$S$22,6,(FALSE))</f>
        <v>0.21052631578947367</v>
      </c>
      <c r="E45" s="1024">
        <f>VLOOKUP(A45,'2021 Band Moderations'!$B$5:$S$22,8,(FALSE))</f>
        <v>0.13815789473684212</v>
      </c>
      <c r="F45" s="1024">
        <f>VLOOKUP(A45,'2021 Band Moderations'!$B$5:$S$22,10,(FALSE))</f>
        <v>6.5789473684210523E-3</v>
      </c>
      <c r="G45" s="1024">
        <f>VLOOKUP(A45,'2021 Band Moderations'!$B$5:$S$22,12,(FALSE))</f>
        <v>0.21710526315789475</v>
      </c>
      <c r="H45" s="1024">
        <f>VLOOKUP(A45,'2021 Band Moderations'!$B$5:$S$22,14,(FALSE))</f>
        <v>0.19736842105263158</v>
      </c>
      <c r="I45" s="1024">
        <f>VLOOKUP(A45,'2021 Band Moderations'!$B$5:$S$22,16,(FALSE))</f>
        <v>6.5789473684210523E-3</v>
      </c>
      <c r="J45" s="1024">
        <f>VLOOKUP(A45,'2021 Band Moderations'!$B$5:$S$22,18,(FALSE))</f>
        <v>0.22368421052631579</v>
      </c>
      <c r="K45" s="451">
        <v>43</v>
      </c>
      <c r="L45" s="1025">
        <f t="shared" si="7"/>
        <v>188687.11531085687</v>
      </c>
      <c r="M45" s="1025">
        <f t="shared" si="5"/>
        <v>248.47587719298247</v>
      </c>
      <c r="N45" s="1025">
        <f t="shared" si="8"/>
        <v>188935.59118804985</v>
      </c>
      <c r="O45" s="1026">
        <f t="shared" si="9"/>
        <v>143333.33333333331</v>
      </c>
      <c r="P45" s="1026">
        <f>(VLOOKUP(A45,'2021 Funding Detail'!$A$4:$AO$23,39,FALSE)*4/12)*K45</f>
        <v>103536.76389498496</v>
      </c>
      <c r="Q45" s="299" t="s">
        <v>207</v>
      </c>
      <c r="R45" s="235">
        <f t="shared" si="6"/>
        <v>72179.038607393537</v>
      </c>
      <c r="S45" s="269"/>
      <c r="T45" s="235"/>
      <c r="U45" s="235"/>
      <c r="V45" s="235"/>
    </row>
    <row r="46" spans="1:22" s="29" customFormat="1" x14ac:dyDescent="0.25">
      <c r="A46" s="249"/>
      <c r="B46" s="36"/>
      <c r="C46" s="234"/>
      <c r="D46" s="268"/>
      <c r="E46" s="268"/>
      <c r="F46" s="299" t="s">
        <v>207</v>
      </c>
      <c r="G46" s="268"/>
      <c r="H46" s="268"/>
      <c r="I46" s="268"/>
      <c r="J46" s="299" t="s">
        <v>207</v>
      </c>
      <c r="K46" s="36"/>
      <c r="L46" s="269"/>
      <c r="M46" s="269"/>
      <c r="N46" s="299" t="s">
        <v>207</v>
      </c>
      <c r="O46" s="235"/>
      <c r="P46" s="235"/>
      <c r="Q46" s="235"/>
      <c r="R46" s="269"/>
      <c r="S46" s="269"/>
      <c r="T46" s="36"/>
      <c r="U46" s="36"/>
      <c r="V46" s="36"/>
    </row>
    <row r="47" spans="1:22" s="29" customFormat="1" ht="13" x14ac:dyDescent="0.3">
      <c r="A47" s="93" t="s">
        <v>1183</v>
      </c>
      <c r="B47" s="36"/>
      <c r="C47" s="36"/>
      <c r="D47" s="36"/>
      <c r="E47" s="36"/>
      <c r="F47" s="36"/>
      <c r="G47" s="36"/>
      <c r="H47" s="36"/>
      <c r="I47" s="36"/>
      <c r="J47" s="36"/>
      <c r="K47" s="234"/>
      <c r="L47" s="234"/>
      <c r="M47" s="36"/>
      <c r="N47" s="36"/>
      <c r="O47" s="36"/>
      <c r="P47" s="36"/>
      <c r="Q47" s="36"/>
      <c r="R47" s="36"/>
      <c r="S47" s="288"/>
      <c r="T47" s="36"/>
      <c r="U47" s="36"/>
      <c r="V47" s="36"/>
    </row>
    <row r="48" spans="1:22" s="29" customFormat="1" x14ac:dyDescent="0.25">
      <c r="A48" s="36"/>
      <c r="B48" s="36"/>
      <c r="C48" s="36"/>
      <c r="D48" s="36"/>
      <c r="E48" s="36"/>
      <c r="F48" s="36"/>
      <c r="G48" s="36"/>
      <c r="H48" s="36"/>
      <c r="I48" s="36"/>
      <c r="J48" s="36"/>
      <c r="K48" s="94" t="s">
        <v>1184</v>
      </c>
      <c r="L48" s="234"/>
      <c r="M48" s="36"/>
      <c r="N48" s="36"/>
      <c r="O48" s="1445" t="s">
        <v>238</v>
      </c>
      <c r="P48" s="1446"/>
      <c r="Q48" s="36"/>
      <c r="R48" s="36"/>
      <c r="S48" s="36"/>
      <c r="T48" s="36"/>
      <c r="U48" s="36"/>
      <c r="V48" s="36"/>
    </row>
    <row r="49" spans="1:20" s="29" customFormat="1" ht="39.75" customHeight="1" x14ac:dyDescent="0.25">
      <c r="A49" s="265" t="s">
        <v>182</v>
      </c>
      <c r="B49" s="237" t="s">
        <v>183</v>
      </c>
      <c r="C49" s="238" t="s">
        <v>184</v>
      </c>
      <c r="D49" s="234" t="s">
        <v>901</v>
      </c>
      <c r="E49" s="234" t="s">
        <v>902</v>
      </c>
      <c r="F49" s="234" t="s">
        <v>903</v>
      </c>
      <c r="G49" s="234" t="s">
        <v>904</v>
      </c>
      <c r="H49" s="234" t="s">
        <v>905</v>
      </c>
      <c r="I49" s="234" t="s">
        <v>906</v>
      </c>
      <c r="J49" s="234" t="s">
        <v>907</v>
      </c>
      <c r="K49" s="243" t="s">
        <v>246</v>
      </c>
      <c r="L49" s="243" t="s">
        <v>272</v>
      </c>
      <c r="M49" s="243" t="s">
        <v>273</v>
      </c>
      <c r="N49" s="243" t="s">
        <v>274</v>
      </c>
      <c r="O49" s="277" t="s">
        <v>275</v>
      </c>
      <c r="P49" s="320" t="s">
        <v>276</v>
      </c>
      <c r="Q49" s="36"/>
      <c r="R49" s="36"/>
      <c r="S49" s="288"/>
      <c r="T49" s="36"/>
    </row>
    <row r="50" spans="1:20" s="29" customFormat="1" x14ac:dyDescent="0.25">
      <c r="A50" s="244">
        <v>9257010</v>
      </c>
      <c r="B50" s="237" t="s">
        <v>205</v>
      </c>
      <c r="C50" s="365">
        <v>4</v>
      </c>
      <c r="D50" s="1024">
        <f>VLOOKUP(A50,'2021 Band Moderations'!$B$5:$S$22,6,(FALSE))</f>
        <v>6.25E-2</v>
      </c>
      <c r="E50" s="1024">
        <f>VLOOKUP(A50,'2021 Band Moderations'!$B$5:$S$22,8,(FALSE))</f>
        <v>0.34375</v>
      </c>
      <c r="F50" s="1024">
        <f>VLOOKUP(A50,'2021 Band Moderations'!$B$5:$S$22,10,(FALSE))</f>
        <v>6.25E-2</v>
      </c>
      <c r="G50" s="1024">
        <f>VLOOKUP(A50,'2021 Band Moderations'!$B$5:$S$22,12,(FALSE))</f>
        <v>0.171875</v>
      </c>
      <c r="H50" s="1024">
        <f>VLOOKUP(A50,'2021 Band Moderations'!$B$5:$S$22,14,(FALSE))</f>
        <v>4.6875E-2</v>
      </c>
      <c r="I50" s="1024">
        <f>VLOOKUP(A50,'2021 Band Moderations'!$B$5:$S$22,16,(FALSE))</f>
        <v>0.171875</v>
      </c>
      <c r="J50" s="1024">
        <f>VLOOKUP(A50,'2021 Band Moderations'!$B$5:$S$22,18,(FALSE))</f>
        <v>0.140625</v>
      </c>
      <c r="K50" s="451">
        <v>58</v>
      </c>
      <c r="L50" s="1025">
        <f t="shared" ref="L50:L67" si="10">((((K50*D50)*$G$92)+((K50*E50)*$G$94)+((K50*F50)*$G$96)+((K50*G50)*$G$98)+((K50*H50)*$G$100)+((K50*I50)*$G$102)+((K50*J50)*$G$104))*(7/12))</f>
        <v>412649.42410384642</v>
      </c>
      <c r="M50" s="1025">
        <f>((F50*K50)*$G$106)*(7/12)</f>
        <v>5571.9270833333339</v>
      </c>
      <c r="N50" s="1025">
        <f t="shared" ref="N50:N67" si="11">SUM(L50:M50)</f>
        <v>418221.35118717974</v>
      </c>
      <c r="O50" s="1026">
        <f>(K50*(7/12))*10000</f>
        <v>338333.33333333337</v>
      </c>
      <c r="P50" s="1026">
        <f>(VLOOKUP(A50,'2021 Funding Detail'!$A$4:$AO$23,39,FALSE)*7/12)*K50</f>
        <v>332907.72432245396</v>
      </c>
      <c r="Q50" s="235"/>
      <c r="R50" s="235">
        <f t="shared" ref="R50:R67" si="12">(J50*K50*$G$104)*7/12</f>
        <v>107111.44695530315</v>
      </c>
      <c r="S50" s="233" t="s">
        <v>207</v>
      </c>
      <c r="T50" s="296" t="s">
        <v>277</v>
      </c>
    </row>
    <row r="51" spans="1:20" s="29" customFormat="1" x14ac:dyDescent="0.25">
      <c r="A51" s="244">
        <v>9257005</v>
      </c>
      <c r="B51" s="237" t="s">
        <v>208</v>
      </c>
      <c r="C51" s="365" t="s">
        <v>1178</v>
      </c>
      <c r="D51" s="1024">
        <f>VLOOKUP(A51,'2021 Band Moderations'!$B$5:$S$22,6,(FALSE))</f>
        <v>7.8947368421052627E-2</v>
      </c>
      <c r="E51" s="1024">
        <f>VLOOKUP(A51,'2021 Band Moderations'!$B$5:$S$22,8,(FALSE))</f>
        <v>0.35526315789473684</v>
      </c>
      <c r="F51" s="1024">
        <f>VLOOKUP(A51,'2021 Band Moderations'!$B$5:$S$22,10,(FALSE))</f>
        <v>6.5789473684210523E-2</v>
      </c>
      <c r="G51" s="1024">
        <f>VLOOKUP(A51,'2021 Band Moderations'!$B$5:$S$22,12,(FALSE))</f>
        <v>0.14473684210526316</v>
      </c>
      <c r="H51" s="1024">
        <f>VLOOKUP(A51,'2021 Band Moderations'!$B$5:$S$22,14,(FALSE))</f>
        <v>0.14473684210526316</v>
      </c>
      <c r="I51" s="1024">
        <f>VLOOKUP(A51,'2021 Band Moderations'!$B$5:$S$22,16,(FALSE))</f>
        <v>0.15789473684210525</v>
      </c>
      <c r="J51" s="1024">
        <f>VLOOKUP(A51,'2021 Band Moderations'!$B$5:$S$22,18,(FALSE))</f>
        <v>5.2631578947368418E-2</v>
      </c>
      <c r="K51" s="451">
        <v>53</v>
      </c>
      <c r="L51" s="1025">
        <f t="shared" si="10"/>
        <v>346517.26433928084</v>
      </c>
      <c r="M51" s="1025">
        <f t="shared" ref="M51:M67" si="13">((F51*K51)*$G$106)*(7/12)</f>
        <v>5359.5668859649122</v>
      </c>
      <c r="N51" s="1025">
        <f t="shared" si="11"/>
        <v>351876.83122524573</v>
      </c>
      <c r="O51" s="1026">
        <f t="shared" ref="O51:O67" si="14">(K51*(7/12))*10000</f>
        <v>309166.66666666669</v>
      </c>
      <c r="P51" s="1026">
        <f>(VLOOKUP(A51,'2021 Funding Detail'!$A$4:$AO$23,39,FALSE)*7/12)*K51</f>
        <v>225707.96416792885</v>
      </c>
      <c r="Q51" s="235"/>
      <c r="R51" s="235">
        <f t="shared" si="12"/>
        <v>36632.590045612858</v>
      </c>
      <c r="S51" s="269"/>
      <c r="T51" s="36"/>
    </row>
    <row r="52" spans="1:20" s="29" customFormat="1" x14ac:dyDescent="0.25">
      <c r="A52" s="244">
        <v>9257025</v>
      </c>
      <c r="B52" s="237" t="s">
        <v>209</v>
      </c>
      <c r="C52" s="365">
        <v>4</v>
      </c>
      <c r="D52" s="1024">
        <f>VLOOKUP(A52,'2021 Band Moderations'!$B$5:$S$22,6,(FALSE))</f>
        <v>0.16216216216216217</v>
      </c>
      <c r="E52" s="1024">
        <f>VLOOKUP(A52,'2021 Band Moderations'!$B$5:$S$22,8,(FALSE))</f>
        <v>0.35135135135135137</v>
      </c>
      <c r="F52" s="1024">
        <f>VLOOKUP(A52,'2021 Band Moderations'!$B$5:$S$22,10,(FALSE))</f>
        <v>6.7567567567567571E-2</v>
      </c>
      <c r="G52" s="1024">
        <f>VLOOKUP(A52,'2021 Band Moderations'!$B$5:$S$22,12,(FALSE))</f>
        <v>0.17567567567567569</v>
      </c>
      <c r="H52" s="1024">
        <f>VLOOKUP(A52,'2021 Band Moderations'!$B$5:$S$22,14,(FALSE))</f>
        <v>5.4054054054054057E-2</v>
      </c>
      <c r="I52" s="1024">
        <f>VLOOKUP(A52,'2021 Band Moderations'!$B$5:$S$22,16,(FALSE))</f>
        <v>0.13513513513513514</v>
      </c>
      <c r="J52" s="1024">
        <f>VLOOKUP(A52,'2021 Band Moderations'!$B$5:$S$22,18,(FALSE))</f>
        <v>5.4054054054054057E-2</v>
      </c>
      <c r="K52" s="451">
        <v>56</v>
      </c>
      <c r="L52" s="1025">
        <f t="shared" si="10"/>
        <v>344173.0387104596</v>
      </c>
      <c r="M52" s="1025">
        <f t="shared" si="13"/>
        <v>5815.990990990992</v>
      </c>
      <c r="N52" s="1025">
        <f t="shared" si="11"/>
        <v>349989.02970145061</v>
      </c>
      <c r="O52" s="1026">
        <f t="shared" si="14"/>
        <v>326666.66666666669</v>
      </c>
      <c r="P52" s="1026">
        <f>(VLOOKUP(A52,'2021 Funding Detail'!$A$4:$AO$23,39,FALSE)*7/12)*K52</f>
        <v>233450.32166986927</v>
      </c>
      <c r="Q52" s="235"/>
      <c r="R52" s="235">
        <f t="shared" si="12"/>
        <v>39752.244577799174</v>
      </c>
      <c r="S52" s="269"/>
      <c r="T52" s="36"/>
    </row>
    <row r="53" spans="1:20" s="29" customFormat="1" x14ac:dyDescent="0.25">
      <c r="A53" s="244">
        <v>9257011</v>
      </c>
      <c r="B53" s="237" t="s">
        <v>210</v>
      </c>
      <c r="C53" s="365">
        <v>4</v>
      </c>
      <c r="D53" s="1024">
        <f>VLOOKUP(A53,'2021 Band Moderations'!$B$5:$S$22,6,(FALSE))</f>
        <v>5.6603773584905662E-2</v>
      </c>
      <c r="E53" s="1024">
        <f>VLOOKUP(A53,'2021 Band Moderations'!$B$5:$S$22,8,(FALSE))</f>
        <v>0.32075471698113206</v>
      </c>
      <c r="F53" s="1024">
        <f>VLOOKUP(A53,'2021 Band Moderations'!$B$5:$S$22,10,(FALSE))</f>
        <v>3.7735849056603772E-2</v>
      </c>
      <c r="G53" s="1024">
        <f>VLOOKUP(A53,'2021 Band Moderations'!$B$5:$S$22,12,(FALSE))</f>
        <v>0.16981132075471697</v>
      </c>
      <c r="H53" s="1024">
        <f>VLOOKUP(A53,'2021 Band Moderations'!$B$5:$S$22,14,(FALSE))</f>
        <v>0.16981132075471697</v>
      </c>
      <c r="I53" s="1024">
        <f>VLOOKUP(A53,'2021 Band Moderations'!$B$5:$S$22,16,(FALSE))</f>
        <v>0.15094339622641509</v>
      </c>
      <c r="J53" s="1024">
        <f>VLOOKUP(A53,'2021 Band Moderations'!$B$5:$S$22,18,(FALSE))</f>
        <v>9.4339622641509441E-2</v>
      </c>
      <c r="K53" s="451">
        <v>50</v>
      </c>
      <c r="L53" s="1025">
        <f t="shared" si="10"/>
        <v>351926.10084331373</v>
      </c>
      <c r="M53" s="1025">
        <f t="shared" si="13"/>
        <v>2900.1572327044028</v>
      </c>
      <c r="N53" s="1025">
        <f t="shared" si="11"/>
        <v>354826.25807601813</v>
      </c>
      <c r="O53" s="1026">
        <f t="shared" si="14"/>
        <v>291666.66666666669</v>
      </c>
      <c r="P53" s="1026">
        <f>(VLOOKUP(A53,'2021 Funding Detail'!$A$4:$AO$23,39,FALSE)*7/12)*K53</f>
        <v>293242.35437765112</v>
      </c>
      <c r="Q53" s="235"/>
      <c r="R53" s="235">
        <f t="shared" si="12"/>
        <v>61945.461985283408</v>
      </c>
      <c r="S53" s="269"/>
      <c r="T53" s="36"/>
    </row>
    <row r="54" spans="1:20" s="29" customFormat="1" x14ac:dyDescent="0.25">
      <c r="A54" s="244">
        <v>9257024</v>
      </c>
      <c r="B54" s="237" t="s">
        <v>211</v>
      </c>
      <c r="C54" s="365">
        <v>4</v>
      </c>
      <c r="D54" s="1024">
        <f>VLOOKUP(A54,'2021 Band Moderations'!$B$5:$S$22,6,(FALSE))</f>
        <v>0.10843373493975904</v>
      </c>
      <c r="E54" s="1024">
        <f>VLOOKUP(A54,'2021 Band Moderations'!$B$5:$S$22,8,(FALSE))</f>
        <v>0.43373493975903615</v>
      </c>
      <c r="F54" s="1024">
        <f>VLOOKUP(A54,'2021 Band Moderations'!$B$5:$S$22,10,(FALSE))</f>
        <v>2.4096385542168676E-2</v>
      </c>
      <c r="G54" s="1024">
        <f>VLOOKUP(A54,'2021 Band Moderations'!$B$5:$S$22,12,(FALSE))</f>
        <v>0.15662650602409639</v>
      </c>
      <c r="H54" s="1024">
        <f>VLOOKUP(A54,'2021 Band Moderations'!$B$5:$S$22,14,(FALSE))</f>
        <v>0.10843373493975904</v>
      </c>
      <c r="I54" s="1024">
        <f>VLOOKUP(A54,'2021 Band Moderations'!$B$5:$S$22,16,(FALSE))</f>
        <v>7.2289156626506021E-2</v>
      </c>
      <c r="J54" s="1024">
        <f>VLOOKUP(A54,'2021 Band Moderations'!$B$5:$S$22,18,(FALSE))</f>
        <v>9.6385542168674704E-2</v>
      </c>
      <c r="K54" s="451">
        <v>70</v>
      </c>
      <c r="L54" s="1025">
        <f t="shared" si="10"/>
        <v>441540.81830951403</v>
      </c>
      <c r="M54" s="1025">
        <f t="shared" si="13"/>
        <v>2592.670682730924</v>
      </c>
      <c r="N54" s="1025">
        <f t="shared" si="11"/>
        <v>444133.48899224494</v>
      </c>
      <c r="O54" s="1026">
        <f t="shared" si="14"/>
        <v>408333.33333333337</v>
      </c>
      <c r="P54" s="1026">
        <f>(VLOOKUP(A54,'2021 Funding Detail'!$A$4:$AO$23,39,FALSE)*7/12)*K54</f>
        <v>276577.25359003682</v>
      </c>
      <c r="Q54" s="235"/>
      <c r="R54" s="235">
        <f t="shared" si="12"/>
        <v>88604.400564974057</v>
      </c>
      <c r="S54" s="269"/>
      <c r="T54" s="36"/>
    </row>
    <row r="55" spans="1:20" s="29" customFormat="1" x14ac:dyDescent="0.25">
      <c r="A55" s="244">
        <v>9257031</v>
      </c>
      <c r="B55" s="237" t="s">
        <v>257</v>
      </c>
      <c r="C55" s="365" t="s">
        <v>1179</v>
      </c>
      <c r="D55" s="1024">
        <f>VLOOKUP(A55,'2021 Band Moderations'!$B$5:$S$22,6,(FALSE))</f>
        <v>0</v>
      </c>
      <c r="E55" s="1024">
        <f>VLOOKUP(A55,'2021 Band Moderations'!$B$5:$S$22,8,(FALSE))</f>
        <v>0</v>
      </c>
      <c r="F55" s="1024">
        <f>VLOOKUP(A55,'2021 Band Moderations'!$B$5:$S$22,10,(FALSE))</f>
        <v>1</v>
      </c>
      <c r="G55" s="1024">
        <f>VLOOKUP(A55,'2021 Band Moderations'!$B$5:$S$22,12,(FALSE))</f>
        <v>0</v>
      </c>
      <c r="H55" s="1024">
        <f>VLOOKUP(A55,'2021 Band Moderations'!$B$5:$S$22,14,(FALSE))</f>
        <v>0</v>
      </c>
      <c r="I55" s="1024">
        <f>VLOOKUP(A55,'2021 Band Moderations'!$B$5:$S$22,16,(FALSE))</f>
        <v>0</v>
      </c>
      <c r="J55" s="1024">
        <f>VLOOKUP(A55,'2021 Band Moderations'!$B$5:$S$22,18,(FALSE))</f>
        <v>0</v>
      </c>
      <c r="K55" s="451">
        <v>80</v>
      </c>
      <c r="L55" s="1025">
        <f t="shared" si="10"/>
        <v>525625.9081352778</v>
      </c>
      <c r="M55" s="1025">
        <f t="shared" si="13"/>
        <v>122966.66666666667</v>
      </c>
      <c r="N55" s="1025">
        <f t="shared" si="11"/>
        <v>648592.57480194443</v>
      </c>
      <c r="O55" s="1026">
        <f t="shared" si="14"/>
        <v>466666.66666666669</v>
      </c>
      <c r="P55" s="1026">
        <f>(VLOOKUP(A55,'2021 Funding Detail'!$A$4:$AO$23,39,FALSE)*7/12)*K55</f>
        <v>457315.36282572895</v>
      </c>
      <c r="Q55" s="235"/>
      <c r="R55" s="235">
        <f t="shared" si="12"/>
        <v>0</v>
      </c>
      <c r="S55" s="269"/>
      <c r="T55" s="36"/>
    </row>
    <row r="56" spans="1:20" s="29" customFormat="1" x14ac:dyDescent="0.25">
      <c r="A56" s="244">
        <v>9257033</v>
      </c>
      <c r="B56" s="237" t="s">
        <v>220</v>
      </c>
      <c r="C56" s="365" t="s">
        <v>1178</v>
      </c>
      <c r="D56" s="1024">
        <f>VLOOKUP(A56,'2021 Band Moderations'!$B$5:$S$22,6,(FALSE))</f>
        <v>0.17894736842105263</v>
      </c>
      <c r="E56" s="1024">
        <f>VLOOKUP(A56,'2021 Band Moderations'!$B$5:$S$22,8,(FALSE))</f>
        <v>0.44210526315789472</v>
      </c>
      <c r="F56" s="1024">
        <f>VLOOKUP(A56,'2021 Band Moderations'!$B$5:$S$22,10,(FALSE))</f>
        <v>0.12631578947368421</v>
      </c>
      <c r="G56" s="1024">
        <f>VLOOKUP(A56,'2021 Band Moderations'!$B$5:$S$22,12,(FALSE))</f>
        <v>0.15789473684210525</v>
      </c>
      <c r="H56" s="1024">
        <f>VLOOKUP(A56,'2021 Band Moderations'!$B$5:$S$22,14,(FALSE))</f>
        <v>4.2105263157894736E-2</v>
      </c>
      <c r="I56" s="1024">
        <f>VLOOKUP(A56,'2021 Band Moderations'!$B$5:$S$22,16,(FALSE))</f>
        <v>5.2631578947368418E-2</v>
      </c>
      <c r="J56" s="1024">
        <f>VLOOKUP(A56,'2021 Band Moderations'!$B$5:$S$22,18,(FALSE))</f>
        <v>0</v>
      </c>
      <c r="K56" s="451">
        <v>99</v>
      </c>
      <c r="L56" s="1025">
        <f t="shared" si="10"/>
        <v>522815.96264741663</v>
      </c>
      <c r="M56" s="1025">
        <f t="shared" si="13"/>
        <v>19221.63157894737</v>
      </c>
      <c r="N56" s="1025">
        <f t="shared" si="11"/>
        <v>542037.59422636405</v>
      </c>
      <c r="O56" s="1026">
        <f t="shared" si="14"/>
        <v>577500.00000000012</v>
      </c>
      <c r="P56" s="1026">
        <f>(VLOOKUP(A56,'2021 Funding Detail'!$A$4:$AO$23,39,FALSE)*7/12)*K56</f>
        <v>245629.44117758327</v>
      </c>
      <c r="Q56" s="235"/>
      <c r="R56" s="235">
        <f t="shared" si="12"/>
        <v>0</v>
      </c>
      <c r="S56" s="269"/>
      <c r="T56" s="36"/>
    </row>
    <row r="57" spans="1:20" s="29" customFormat="1" x14ac:dyDescent="0.25">
      <c r="A57" s="244">
        <v>9257008</v>
      </c>
      <c r="B57" s="237" t="s">
        <v>212</v>
      </c>
      <c r="C57" s="365">
        <v>4</v>
      </c>
      <c r="D57" s="1024">
        <f>VLOOKUP(A57,'2021 Band Moderations'!$B$5:$S$22,6,(FALSE))</f>
        <v>0.10309278350515463</v>
      </c>
      <c r="E57" s="1024">
        <f>VLOOKUP(A57,'2021 Band Moderations'!$B$5:$S$22,8,(FALSE))</f>
        <v>0.52577319587628868</v>
      </c>
      <c r="F57" s="1024">
        <f>VLOOKUP(A57,'2021 Band Moderations'!$B$5:$S$22,10,(FALSE))</f>
        <v>8.247422680412371E-2</v>
      </c>
      <c r="G57" s="1024">
        <f>VLOOKUP(A57,'2021 Band Moderations'!$B$5:$S$22,12,(FALSE))</f>
        <v>9.2783505154639179E-2</v>
      </c>
      <c r="H57" s="1024">
        <f>VLOOKUP(A57,'2021 Band Moderations'!$B$5:$S$22,14,(FALSE))</f>
        <v>1.0309278350515464E-2</v>
      </c>
      <c r="I57" s="1024">
        <f>VLOOKUP(A57,'2021 Band Moderations'!$B$5:$S$22,16,(FALSE))</f>
        <v>0.18556701030927836</v>
      </c>
      <c r="J57" s="1024">
        <f>VLOOKUP(A57,'2021 Band Moderations'!$B$5:$S$22,18,(FALSE))</f>
        <v>0</v>
      </c>
      <c r="K57" s="451">
        <v>98</v>
      </c>
      <c r="L57" s="1025">
        <f t="shared" si="10"/>
        <v>532550.58172602078</v>
      </c>
      <c r="M57" s="1025">
        <f t="shared" si="13"/>
        <v>12423.436426116839</v>
      </c>
      <c r="N57" s="1025">
        <f t="shared" si="11"/>
        <v>544974.01815213764</v>
      </c>
      <c r="O57" s="1026">
        <f t="shared" si="14"/>
        <v>571666.66666666674</v>
      </c>
      <c r="P57" s="1026">
        <f>(VLOOKUP(A57,'2021 Funding Detail'!$A$4:$AO$23,39,FALSE)*7/12)*K57</f>
        <v>244996.4697455916</v>
      </c>
      <c r="Q57" s="235"/>
      <c r="R57" s="235">
        <f t="shared" si="12"/>
        <v>0</v>
      </c>
      <c r="S57" s="269"/>
      <c r="T57" s="36"/>
    </row>
    <row r="58" spans="1:20" s="29" customFormat="1" x14ac:dyDescent="0.25">
      <c r="A58" s="244">
        <v>9257034</v>
      </c>
      <c r="B58" s="237" t="s">
        <v>221</v>
      </c>
      <c r="C58" s="365" t="s">
        <v>1178</v>
      </c>
      <c r="D58" s="1024">
        <f>VLOOKUP(A58,'2021 Band Moderations'!$B$5:$S$22,6,(FALSE))</f>
        <v>0.42201834862385323</v>
      </c>
      <c r="E58" s="1024">
        <f>VLOOKUP(A58,'2021 Band Moderations'!$B$5:$S$22,8,(FALSE))</f>
        <v>0.26605504587155965</v>
      </c>
      <c r="F58" s="1024">
        <f>VLOOKUP(A58,'2021 Band Moderations'!$B$5:$S$22,10,(FALSE))</f>
        <v>0.15596330275229359</v>
      </c>
      <c r="G58" s="1024">
        <f>VLOOKUP(A58,'2021 Band Moderations'!$B$5:$S$22,12,(FALSE))</f>
        <v>4.5871559633027525E-2</v>
      </c>
      <c r="H58" s="1024">
        <f>VLOOKUP(A58,'2021 Band Moderations'!$B$5:$S$22,14,(FALSE))</f>
        <v>4.5871559633027525E-2</v>
      </c>
      <c r="I58" s="1024">
        <f>VLOOKUP(A58,'2021 Band Moderations'!$B$5:$S$22,16,(FALSE))</f>
        <v>5.5045871559633031E-2</v>
      </c>
      <c r="J58" s="1024">
        <f>VLOOKUP(A58,'2021 Band Moderations'!$B$5:$S$22,18,(FALSE))</f>
        <v>9.1743119266055051E-3</v>
      </c>
      <c r="K58" s="451">
        <v>94</v>
      </c>
      <c r="L58" s="1025">
        <f t="shared" si="10"/>
        <v>455479.33273559564</v>
      </c>
      <c r="M58" s="1025">
        <f t="shared" si="13"/>
        <v>22534.487767584102</v>
      </c>
      <c r="N58" s="1025">
        <f t="shared" si="11"/>
        <v>478013.82050317974</v>
      </c>
      <c r="O58" s="1026">
        <f t="shared" si="14"/>
        <v>548333.33333333337</v>
      </c>
      <c r="P58" s="1026">
        <f>(VLOOKUP(A58,'2021 Funding Detail'!$A$4:$AO$23,39,FALSE)*7/12)*K58</f>
        <v>179562.99464559616</v>
      </c>
      <c r="Q58" s="235"/>
      <c r="R58" s="235">
        <f t="shared" si="12"/>
        <v>11325.221710483742</v>
      </c>
      <c r="S58" s="269"/>
      <c r="T58" s="36"/>
    </row>
    <row r="59" spans="1:20" s="29" customFormat="1" x14ac:dyDescent="0.25">
      <c r="A59" s="244">
        <v>9257002</v>
      </c>
      <c r="B59" s="237" t="s">
        <v>213</v>
      </c>
      <c r="C59" s="365">
        <v>4</v>
      </c>
      <c r="D59" s="1024">
        <f>VLOOKUP(A59,'2021 Band Moderations'!$B$5:$S$22,6,(FALSE))</f>
        <v>0.42957746478873238</v>
      </c>
      <c r="E59" s="1024">
        <f>VLOOKUP(A59,'2021 Band Moderations'!$B$5:$S$22,8,(FALSE))</f>
        <v>0.25352112676056338</v>
      </c>
      <c r="F59" s="1024">
        <f>VLOOKUP(A59,'2021 Band Moderations'!$B$5:$S$22,10,(FALSE))</f>
        <v>0.15492957746478872</v>
      </c>
      <c r="G59" s="1024">
        <f>VLOOKUP(A59,'2021 Band Moderations'!$B$5:$S$22,12,(FALSE))</f>
        <v>2.1126760563380281E-2</v>
      </c>
      <c r="H59" s="1024">
        <f>VLOOKUP(A59,'2021 Band Moderations'!$B$5:$S$22,14,(FALSE))</f>
        <v>4.2253521126760563E-2</v>
      </c>
      <c r="I59" s="1024">
        <f>VLOOKUP(A59,'2021 Band Moderations'!$B$5:$S$22,16,(FALSE))</f>
        <v>8.4507042253521125E-2</v>
      </c>
      <c r="J59" s="1024">
        <f>VLOOKUP(A59,'2021 Band Moderations'!$B$5:$S$22,18,(FALSE))</f>
        <v>1.4084507042253521E-2</v>
      </c>
      <c r="K59" s="451">
        <v>150</v>
      </c>
      <c r="L59" s="1025">
        <f t="shared" si="10"/>
        <v>735385.68299023912</v>
      </c>
      <c r="M59" s="1025">
        <f t="shared" si="13"/>
        <v>35720.950704225354</v>
      </c>
      <c r="N59" s="1025">
        <f t="shared" si="11"/>
        <v>771106.63369446446</v>
      </c>
      <c r="O59" s="1026">
        <f t="shared" si="14"/>
        <v>875000</v>
      </c>
      <c r="P59" s="1026">
        <f>(VLOOKUP(A59,'2021 Funding Detail'!$A$4:$AO$23,39,FALSE)*7/12)*K59</f>
        <v>201174.37313108417</v>
      </c>
      <c r="Q59" s="235"/>
      <c r="R59" s="235">
        <f t="shared" si="12"/>
        <v>27744.587199042424</v>
      </c>
      <c r="S59" s="269"/>
      <c r="T59" s="36"/>
    </row>
    <row r="60" spans="1:20" s="29" customFormat="1" x14ac:dyDescent="0.25">
      <c r="A60" s="244">
        <v>9257009</v>
      </c>
      <c r="B60" s="237" t="s">
        <v>214</v>
      </c>
      <c r="C60" s="365">
        <v>4</v>
      </c>
      <c r="D60" s="1024">
        <f>VLOOKUP(A60,'2021 Band Moderations'!$B$5:$S$22,6,(FALSE))</f>
        <v>0.17054263565891473</v>
      </c>
      <c r="E60" s="1024">
        <f>VLOOKUP(A60,'2021 Band Moderations'!$B$5:$S$22,8,(FALSE))</f>
        <v>0.58139534883720934</v>
      </c>
      <c r="F60" s="1024">
        <f>VLOOKUP(A60,'2021 Band Moderations'!$B$5:$S$22,10,(FALSE))</f>
        <v>8.5271317829457363E-2</v>
      </c>
      <c r="G60" s="1024">
        <f>VLOOKUP(A60,'2021 Band Moderations'!$B$5:$S$22,12,(FALSE))</f>
        <v>1.5503875968992248E-2</v>
      </c>
      <c r="H60" s="1024">
        <f>VLOOKUP(A60,'2021 Band Moderations'!$B$5:$S$22,14,(FALSE))</f>
        <v>3.1007751937984496E-2</v>
      </c>
      <c r="I60" s="1024">
        <f>VLOOKUP(A60,'2021 Band Moderations'!$B$5:$S$22,16,(FALSE))</f>
        <v>0.11627906976744186</v>
      </c>
      <c r="J60" s="1024">
        <f>VLOOKUP(A60,'2021 Band Moderations'!$B$5:$S$22,18,(FALSE))</f>
        <v>0</v>
      </c>
      <c r="K60" s="451">
        <v>136</v>
      </c>
      <c r="L60" s="1025">
        <f t="shared" si="10"/>
        <v>657765.23506080406</v>
      </c>
      <c r="M60" s="1025">
        <f t="shared" si="13"/>
        <v>17825.400516795868</v>
      </c>
      <c r="N60" s="1025">
        <f t="shared" si="11"/>
        <v>675590.63557759998</v>
      </c>
      <c r="O60" s="1026">
        <f t="shared" si="14"/>
        <v>793333.33333333337</v>
      </c>
      <c r="P60" s="1026">
        <f>(VLOOKUP(A60,'2021 Funding Detail'!$A$4:$AO$23,39,FALSE)*7/12)*K60</f>
        <v>227178.72464592705</v>
      </c>
      <c r="Q60" s="235"/>
      <c r="R60" s="235">
        <f t="shared" si="12"/>
        <v>0</v>
      </c>
      <c r="S60" s="269"/>
      <c r="T60" s="36"/>
    </row>
    <row r="61" spans="1:20" s="29" customFormat="1" x14ac:dyDescent="0.25">
      <c r="A61" s="244">
        <v>9257029</v>
      </c>
      <c r="B61" s="237" t="s">
        <v>890</v>
      </c>
      <c r="C61" s="365" t="s">
        <v>1179</v>
      </c>
      <c r="D61" s="1024">
        <f>VLOOKUP(A61,'2021 Band Moderations'!$B$5:$S$22,6,(FALSE))</f>
        <v>0</v>
      </c>
      <c r="E61" s="1024">
        <f>VLOOKUP(A61,'2021 Band Moderations'!$B$5:$S$22,8,(FALSE))</f>
        <v>0</v>
      </c>
      <c r="F61" s="1024">
        <f>VLOOKUP(A61,'2021 Band Moderations'!$B$5:$S$22,10,(FALSE))</f>
        <v>1</v>
      </c>
      <c r="G61" s="1024">
        <f>VLOOKUP(A61,'2021 Band Moderations'!$B$5:$S$22,12,(FALSE))</f>
        <v>0</v>
      </c>
      <c r="H61" s="1024">
        <f>VLOOKUP(A61,'2021 Band Moderations'!$B$5:$S$22,14,(FALSE))</f>
        <v>0</v>
      </c>
      <c r="I61" s="1024">
        <f>VLOOKUP(A61,'2021 Band Moderations'!$B$5:$S$22,16,(FALSE))</f>
        <v>0</v>
      </c>
      <c r="J61" s="1024">
        <f>VLOOKUP(A61,'2021 Band Moderations'!$B$5:$S$22,18,(FALSE))</f>
        <v>0</v>
      </c>
      <c r="K61" s="451">
        <v>70</v>
      </c>
      <c r="L61" s="1025">
        <f t="shared" si="10"/>
        <v>459922.66961836809</v>
      </c>
      <c r="M61" s="1025">
        <f t="shared" si="13"/>
        <v>107595.83333333334</v>
      </c>
      <c r="N61" s="1025">
        <f t="shared" si="11"/>
        <v>567518.5029517014</v>
      </c>
      <c r="O61" s="1026">
        <f t="shared" si="14"/>
        <v>408333.33333333337</v>
      </c>
      <c r="P61" s="1026">
        <f>(VLOOKUP(A61,'2021 Funding Detail'!$A$4:$AO$23,39,FALSE)*7/12)*K61</f>
        <v>417758.58934223495</v>
      </c>
      <c r="Q61" s="235"/>
      <c r="R61" s="235">
        <f t="shared" si="12"/>
        <v>0</v>
      </c>
      <c r="S61" s="269"/>
      <c r="T61" s="36"/>
    </row>
    <row r="62" spans="1:20" s="29" customFormat="1" x14ac:dyDescent="0.25">
      <c r="A62" s="244">
        <v>9257032</v>
      </c>
      <c r="B62" s="237" t="s">
        <v>1043</v>
      </c>
      <c r="C62" s="365" t="s">
        <v>1179</v>
      </c>
      <c r="D62" s="1024">
        <f>VLOOKUP(A62,'2021 Band Moderations'!$B$5:$S$22,6,(FALSE))</f>
        <v>0</v>
      </c>
      <c r="E62" s="1024">
        <f>VLOOKUP(A62,'2021 Band Moderations'!$B$5:$S$22,8,(FALSE))</f>
        <v>0</v>
      </c>
      <c r="F62" s="1024">
        <f>VLOOKUP(A62,'2021 Band Moderations'!$B$5:$S$22,10,(FALSE))</f>
        <v>1</v>
      </c>
      <c r="G62" s="1024">
        <f>VLOOKUP(A62,'2021 Band Moderations'!$B$5:$S$22,12,(FALSE))</f>
        <v>0</v>
      </c>
      <c r="H62" s="1024">
        <f>VLOOKUP(A62,'2021 Band Moderations'!$B$5:$S$22,14,(FALSE))</f>
        <v>0</v>
      </c>
      <c r="I62" s="1024">
        <f>VLOOKUP(A62,'2021 Band Moderations'!$B$5:$S$22,16,(FALSE))</f>
        <v>0</v>
      </c>
      <c r="J62" s="1024">
        <f>VLOOKUP(A62,'2021 Band Moderations'!$B$5:$S$22,18,(FALSE))</f>
        <v>0</v>
      </c>
      <c r="K62" s="451">
        <v>82</v>
      </c>
      <c r="L62" s="1025">
        <f t="shared" si="10"/>
        <v>538766.55583865975</v>
      </c>
      <c r="M62" s="1025">
        <f t="shared" si="13"/>
        <v>126040.83333333334</v>
      </c>
      <c r="N62" s="1025">
        <f t="shared" si="11"/>
        <v>664807.38917199313</v>
      </c>
      <c r="O62" s="1026">
        <f t="shared" si="14"/>
        <v>478333.33333333337</v>
      </c>
      <c r="P62" s="1026">
        <f>(VLOOKUP(A62,'2021 Funding Detail'!$A$4:$AO$23,39,FALSE)*7/12)*K62</f>
        <v>477252.37183959153</v>
      </c>
      <c r="Q62" s="235"/>
      <c r="R62" s="235">
        <f t="shared" si="12"/>
        <v>0</v>
      </c>
      <c r="S62" s="269"/>
      <c r="T62" s="36"/>
    </row>
    <row r="63" spans="1:20" s="29" customFormat="1" x14ac:dyDescent="0.25">
      <c r="A63" s="244">
        <v>9257030</v>
      </c>
      <c r="B63" s="237" t="s">
        <v>1046</v>
      </c>
      <c r="C63" s="365" t="s">
        <v>1179</v>
      </c>
      <c r="D63" s="1024">
        <f>VLOOKUP(A63,'2021 Band Moderations'!$B$5:$S$22,6,(FALSE))</f>
        <v>0</v>
      </c>
      <c r="E63" s="1024">
        <f>VLOOKUP(A63,'2021 Band Moderations'!$B$5:$S$22,8,(FALSE))</f>
        <v>0</v>
      </c>
      <c r="F63" s="1024">
        <f>VLOOKUP(A63,'2021 Band Moderations'!$B$5:$S$22,10,(FALSE))</f>
        <v>1</v>
      </c>
      <c r="G63" s="1024">
        <f>VLOOKUP(A63,'2021 Band Moderations'!$B$5:$S$22,12,(FALSE))</f>
        <v>0</v>
      </c>
      <c r="H63" s="1024">
        <f>VLOOKUP(A63,'2021 Band Moderations'!$B$5:$S$22,14,(FALSE))</f>
        <v>0</v>
      </c>
      <c r="I63" s="1024">
        <f>VLOOKUP(A63,'2021 Band Moderations'!$B$5:$S$22,16,(FALSE))</f>
        <v>0</v>
      </c>
      <c r="J63" s="1024">
        <f>VLOOKUP(A63,'2021 Band Moderations'!$B$5:$S$22,18,(FALSE))</f>
        <v>0</v>
      </c>
      <c r="K63" s="451">
        <v>75</v>
      </c>
      <c r="L63" s="1025">
        <f t="shared" si="10"/>
        <v>492774.28887682292</v>
      </c>
      <c r="M63" s="1025">
        <f t="shared" si="13"/>
        <v>115281.25000000001</v>
      </c>
      <c r="N63" s="1025">
        <f t="shared" si="11"/>
        <v>608055.53887682292</v>
      </c>
      <c r="O63" s="1026">
        <f t="shared" si="14"/>
        <v>437500</v>
      </c>
      <c r="P63" s="1026">
        <f>(VLOOKUP(A63,'2021 Funding Detail'!$A$4:$AO$23,39,FALSE)*7/12)*K63</f>
        <v>446264.58270936122</v>
      </c>
      <c r="Q63" s="235"/>
      <c r="R63" s="235">
        <f t="shared" si="12"/>
        <v>0</v>
      </c>
      <c r="S63" s="269"/>
      <c r="T63" s="36"/>
    </row>
    <row r="64" spans="1:20" s="29" customFormat="1" x14ac:dyDescent="0.25">
      <c r="A64" s="244">
        <v>9257028</v>
      </c>
      <c r="B64" s="237" t="s">
        <v>215</v>
      </c>
      <c r="C64" s="365">
        <v>4</v>
      </c>
      <c r="D64" s="1024">
        <f>VLOOKUP(A64,'2021 Band Moderations'!$B$5:$S$22,6,(FALSE))</f>
        <v>9.4736842105263161E-2</v>
      </c>
      <c r="E64" s="1024">
        <f>VLOOKUP(A64,'2021 Band Moderations'!$B$5:$S$22,8,(FALSE))</f>
        <v>0.35789473684210527</v>
      </c>
      <c r="F64" s="1024">
        <f>VLOOKUP(A64,'2021 Band Moderations'!$B$5:$S$22,10,(FALSE))</f>
        <v>4.2105263157894736E-2</v>
      </c>
      <c r="G64" s="1024">
        <f>VLOOKUP(A64,'2021 Band Moderations'!$B$5:$S$22,12,(FALSE))</f>
        <v>9.4736842105263161E-2</v>
      </c>
      <c r="H64" s="1024">
        <f>VLOOKUP(A64,'2021 Band Moderations'!$B$5:$S$22,14,(FALSE))</f>
        <v>0.14736842105263157</v>
      </c>
      <c r="I64" s="1024">
        <f>VLOOKUP(A64,'2021 Band Moderations'!$B$5:$S$22,16,(FALSE))</f>
        <v>0.1368421052631579</v>
      </c>
      <c r="J64" s="1024">
        <f>VLOOKUP(A64,'2021 Band Moderations'!$B$5:$S$22,18,(FALSE))</f>
        <v>0.12631578947368421</v>
      </c>
      <c r="K64" s="451">
        <v>91</v>
      </c>
      <c r="L64" s="1025">
        <f t="shared" si="10"/>
        <v>622786.07059540262</v>
      </c>
      <c r="M64" s="1025">
        <f t="shared" si="13"/>
        <v>5889.4561403508778</v>
      </c>
      <c r="N64" s="1025">
        <f t="shared" si="11"/>
        <v>628675.52673575352</v>
      </c>
      <c r="O64" s="1026">
        <f t="shared" si="14"/>
        <v>530833.33333333337</v>
      </c>
      <c r="P64" s="1026">
        <f>(VLOOKUP(A64,'2021 Funding Detail'!$A$4:$AO$23,39,FALSE)*7/12)*K64</f>
        <v>387837.0695865131</v>
      </c>
      <c r="Q64" s="235"/>
      <c r="R64" s="235">
        <f t="shared" si="12"/>
        <v>150953.91822569526</v>
      </c>
      <c r="S64" s="269"/>
      <c r="T64" s="36"/>
    </row>
    <row r="65" spans="1:23" s="29" customFormat="1" x14ac:dyDescent="0.25">
      <c r="A65" s="244">
        <v>9257021</v>
      </c>
      <c r="B65" s="237" t="s">
        <v>216</v>
      </c>
      <c r="C65" s="365" t="s">
        <v>1180</v>
      </c>
      <c r="D65" s="1024">
        <f>VLOOKUP(A65,'2021 Band Moderations'!$B$5:$S$22,6,(FALSE))</f>
        <v>0.28834355828220859</v>
      </c>
      <c r="E65" s="1024">
        <f>VLOOKUP(A65,'2021 Band Moderations'!$B$5:$S$22,8,(FALSE))</f>
        <v>0.35582822085889571</v>
      </c>
      <c r="F65" s="1024">
        <f>VLOOKUP(A65,'2021 Band Moderations'!$B$5:$S$22,10,(FALSE))</f>
        <v>9.815950920245399E-2</v>
      </c>
      <c r="G65" s="1024">
        <f>VLOOKUP(A65,'2021 Band Moderations'!$B$5:$S$22,12,(FALSE))</f>
        <v>6.1349693251533742E-2</v>
      </c>
      <c r="H65" s="1024">
        <f>VLOOKUP(A65,'2021 Band Moderations'!$B$5:$S$22,14,(FALSE))</f>
        <v>6.1349693251533742E-2</v>
      </c>
      <c r="I65" s="1024">
        <f>VLOOKUP(A65,'2021 Band Moderations'!$B$5:$S$22,16,(FALSE))</f>
        <v>0.12269938650306748</v>
      </c>
      <c r="J65" s="1024">
        <f>VLOOKUP(A65,'2021 Band Moderations'!$B$5:$S$22,18,(FALSE))</f>
        <v>1.2269938650306749E-2</v>
      </c>
      <c r="K65" s="451">
        <v>166</v>
      </c>
      <c r="L65" s="1025">
        <f t="shared" si="10"/>
        <v>872554.44196515286</v>
      </c>
      <c r="M65" s="1025">
        <f t="shared" si="13"/>
        <v>25045.971370143154</v>
      </c>
      <c r="N65" s="1025">
        <f t="shared" si="11"/>
        <v>897600.41333529598</v>
      </c>
      <c r="O65" s="1026">
        <f t="shared" si="14"/>
        <v>968333.33333333337</v>
      </c>
      <c r="P65" s="1026">
        <f>(VLOOKUP(A65,'2021 Funding Detail'!$A$4:$AO$23,39,FALSE)*7/12)*K65</f>
        <v>274816.64974785736</v>
      </c>
      <c r="Q65" s="235"/>
      <c r="R65" s="235">
        <f t="shared" si="12"/>
        <v>26748.278505350845</v>
      </c>
      <c r="S65" s="269"/>
      <c r="T65" s="36"/>
      <c r="U65" s="36"/>
      <c r="V65" s="36"/>
      <c r="W65" s="36"/>
    </row>
    <row r="66" spans="1:23" s="29" customFormat="1" x14ac:dyDescent="0.25">
      <c r="A66" s="244">
        <v>9257015</v>
      </c>
      <c r="B66" s="237" t="s">
        <v>217</v>
      </c>
      <c r="C66" s="365" t="s">
        <v>1181</v>
      </c>
      <c r="D66" s="1024">
        <f>VLOOKUP(A66,'2021 Band Moderations'!$B$5:$S$22,6,(FALSE))</f>
        <v>0.37931034482758619</v>
      </c>
      <c r="E66" s="1024">
        <f>VLOOKUP(A66,'2021 Band Moderations'!$B$5:$S$22,8,(FALSE))</f>
        <v>0.33189655172413796</v>
      </c>
      <c r="F66" s="1024">
        <f>VLOOKUP(A66,'2021 Band Moderations'!$B$5:$S$22,10,(FALSE))</f>
        <v>2.5862068965517241E-2</v>
      </c>
      <c r="G66" s="1024">
        <f>VLOOKUP(A66,'2021 Band Moderations'!$B$5:$S$22,12,(FALSE))</f>
        <v>6.4655172413793108E-2</v>
      </c>
      <c r="H66" s="1024">
        <f>VLOOKUP(A66,'2021 Band Moderations'!$B$5:$S$22,14,(FALSE))</f>
        <v>3.8793103448275863E-2</v>
      </c>
      <c r="I66" s="1024">
        <f>VLOOKUP(A66,'2021 Band Moderations'!$B$5:$S$22,16,(FALSE))</f>
        <v>0.14655172413793102</v>
      </c>
      <c r="J66" s="1024">
        <f>VLOOKUP(A66,'2021 Band Moderations'!$B$5:$S$22,18,(FALSE))</f>
        <v>1.2931034482758621E-2</v>
      </c>
      <c r="K66" s="451">
        <v>224</v>
      </c>
      <c r="L66" s="1025">
        <f t="shared" si="10"/>
        <v>1130986.9616527222</v>
      </c>
      <c r="M66" s="1025">
        <f t="shared" si="13"/>
        <v>8904.4827586206902</v>
      </c>
      <c r="N66" s="1025">
        <f t="shared" si="11"/>
        <v>1139891.444411343</v>
      </c>
      <c r="O66" s="1026">
        <f t="shared" si="14"/>
        <v>1306666.6666666667</v>
      </c>
      <c r="P66" s="1026">
        <f>(VLOOKUP(A66,'2021 Funding Detail'!$A$4:$AO$23,39,FALSE)*7/12)*K66</f>
        <v>179409.62030090601</v>
      </c>
      <c r="Q66" s="235"/>
      <c r="R66" s="235">
        <f t="shared" si="12"/>
        <v>38038.785759790582</v>
      </c>
      <c r="S66" s="269"/>
      <c r="T66" s="36"/>
      <c r="U66" s="36"/>
      <c r="V66" s="36"/>
      <c r="W66" s="36"/>
    </row>
    <row r="67" spans="1:23" s="29" customFormat="1" x14ac:dyDescent="0.25">
      <c r="A67" s="244">
        <v>9257016</v>
      </c>
      <c r="B67" s="237" t="s">
        <v>219</v>
      </c>
      <c r="C67" s="365" t="s">
        <v>1181</v>
      </c>
      <c r="D67" s="1024">
        <f>VLOOKUP(A67,'2021 Band Moderations'!$B$5:$S$22,6,(FALSE))</f>
        <v>0.21052631578947367</v>
      </c>
      <c r="E67" s="1024">
        <f>VLOOKUP(A67,'2021 Band Moderations'!$B$5:$S$22,8,(FALSE))</f>
        <v>0.13815789473684212</v>
      </c>
      <c r="F67" s="1024">
        <f>VLOOKUP(A67,'2021 Band Moderations'!$B$5:$S$22,10,(FALSE))</f>
        <v>6.5789473684210523E-3</v>
      </c>
      <c r="G67" s="1024">
        <f>VLOOKUP(A67,'2021 Band Moderations'!$B$5:$S$22,12,(FALSE))</f>
        <v>0.21710526315789475</v>
      </c>
      <c r="H67" s="1024">
        <f>VLOOKUP(A67,'2021 Band Moderations'!$B$5:$S$22,14,(FALSE))</f>
        <v>0.19736842105263158</v>
      </c>
      <c r="I67" s="1024">
        <f>VLOOKUP(A67,'2021 Band Moderations'!$B$5:$S$22,16,(FALSE))</f>
        <v>6.5789473684210523E-3</v>
      </c>
      <c r="J67" s="1024">
        <f>VLOOKUP(A67,'2021 Band Moderations'!$B$5:$S$22,18,(FALSE))</f>
        <v>0.22368421052631579</v>
      </c>
      <c r="K67" s="451">
        <v>110</v>
      </c>
      <c r="L67" s="1025">
        <f t="shared" si="10"/>
        <v>844703.94644976628</v>
      </c>
      <c r="M67" s="1025">
        <f t="shared" si="13"/>
        <v>1112.3629385964912</v>
      </c>
      <c r="N67" s="1025">
        <f t="shared" si="11"/>
        <v>845816.3093883628</v>
      </c>
      <c r="O67" s="1026">
        <f t="shared" si="14"/>
        <v>641666.66666666674</v>
      </c>
      <c r="P67" s="1026">
        <f>(VLOOKUP(A67,'2021 Funding Detail'!$A$4:$AO$23,39,FALSE)*7/12)*K67</f>
        <v>463507.60580894432</v>
      </c>
      <c r="Q67" s="299" t="s">
        <v>207</v>
      </c>
      <c r="R67" s="235">
        <f t="shared" si="12"/>
        <v>323127.09144007572</v>
      </c>
      <c r="S67" s="269"/>
      <c r="T67" s="36"/>
      <c r="U67" s="36"/>
      <c r="V67" s="36"/>
      <c r="W67" s="36"/>
    </row>
    <row r="68" spans="1:23" s="29" customFormat="1" x14ac:dyDescent="0.25">
      <c r="A68" s="36"/>
      <c r="B68" s="36"/>
      <c r="C68" s="36"/>
      <c r="D68" s="36"/>
      <c r="E68" s="36"/>
      <c r="F68" s="299" t="s">
        <v>207</v>
      </c>
      <c r="G68" s="36"/>
      <c r="H68" s="36"/>
      <c r="I68" s="36"/>
      <c r="J68" s="299" t="s">
        <v>207</v>
      </c>
      <c r="K68" s="234"/>
      <c r="L68" s="36"/>
      <c r="M68" s="36"/>
      <c r="N68" s="299" t="s">
        <v>207</v>
      </c>
      <c r="O68" s="36"/>
      <c r="P68" s="36"/>
      <c r="Q68" s="36"/>
      <c r="R68" s="36"/>
      <c r="S68" s="288"/>
      <c r="T68" s="36"/>
      <c r="U68" s="36"/>
      <c r="V68" s="36"/>
      <c r="W68" s="36"/>
    </row>
    <row r="69" spans="1:23" s="29" customFormat="1" ht="13" x14ac:dyDescent="0.3">
      <c r="A69" s="93" t="s">
        <v>1185</v>
      </c>
      <c r="B69" s="36"/>
      <c r="C69" s="36"/>
      <c r="D69" s="36"/>
      <c r="E69" s="36"/>
      <c r="F69" s="36"/>
      <c r="G69" s="36"/>
      <c r="H69" s="36"/>
      <c r="I69" s="36"/>
      <c r="J69" s="36"/>
      <c r="K69" s="234"/>
      <c r="L69" s="234"/>
      <c r="M69" s="36"/>
      <c r="N69" s="36"/>
      <c r="O69" s="36"/>
      <c r="P69" s="36"/>
      <c r="Q69" s="36"/>
      <c r="R69" s="36"/>
      <c r="S69" s="288"/>
      <c r="T69" s="36"/>
      <c r="U69" s="36"/>
      <c r="V69" s="36"/>
      <c r="W69" s="36"/>
    </row>
    <row r="70" spans="1:23" s="29" customFormat="1" x14ac:dyDescent="0.25">
      <c r="A70" s="36"/>
      <c r="B70" s="36"/>
      <c r="C70" s="36"/>
      <c r="D70" s="36"/>
      <c r="E70" s="36"/>
      <c r="F70" s="36"/>
      <c r="G70" s="36"/>
      <c r="H70" s="36"/>
      <c r="I70" s="36"/>
      <c r="J70" s="36"/>
      <c r="K70" s="234"/>
      <c r="L70" s="234"/>
      <c r="M70" s="36"/>
      <c r="N70" s="36"/>
      <c r="O70" s="1445" t="s">
        <v>238</v>
      </c>
      <c r="P70" s="1446"/>
      <c r="Q70" s="36"/>
      <c r="R70" s="36"/>
      <c r="S70" s="288"/>
      <c r="T70" s="36"/>
      <c r="U70" s="36"/>
      <c r="V70" s="36"/>
      <c r="W70" s="36"/>
    </row>
    <row r="71" spans="1:23" s="29" customFormat="1" ht="37.5" x14ac:dyDescent="0.25">
      <c r="A71" s="265" t="s">
        <v>182</v>
      </c>
      <c r="B71" s="237" t="s">
        <v>183</v>
      </c>
      <c r="C71" s="238" t="s">
        <v>184</v>
      </c>
      <c r="D71" s="234" t="s">
        <v>901</v>
      </c>
      <c r="E71" s="234" t="s">
        <v>902</v>
      </c>
      <c r="F71" s="234" t="s">
        <v>903</v>
      </c>
      <c r="G71" s="234" t="s">
        <v>904</v>
      </c>
      <c r="H71" s="234" t="s">
        <v>905</v>
      </c>
      <c r="I71" s="234" t="s">
        <v>906</v>
      </c>
      <c r="J71" s="234" t="s">
        <v>907</v>
      </c>
      <c r="K71" s="243" t="s">
        <v>264</v>
      </c>
      <c r="L71" s="243" t="s">
        <v>279</v>
      </c>
      <c r="M71" s="243" t="s">
        <v>280</v>
      </c>
      <c r="N71" s="243" t="s">
        <v>279</v>
      </c>
      <c r="O71" s="243" t="s">
        <v>267</v>
      </c>
      <c r="P71" s="320" t="s">
        <v>281</v>
      </c>
      <c r="Q71" s="243"/>
      <c r="R71" s="243"/>
      <c r="S71" s="276"/>
      <c r="T71" s="36"/>
      <c r="U71" s="36"/>
      <c r="V71" s="36"/>
      <c r="W71" s="36"/>
    </row>
    <row r="72" spans="1:23" s="29" customFormat="1" x14ac:dyDescent="0.25">
      <c r="A72" s="244">
        <v>9257010</v>
      </c>
      <c r="B72" s="237" t="s">
        <v>205</v>
      </c>
      <c r="C72" s="365">
        <v>4</v>
      </c>
      <c r="D72" s="1024">
        <f>VLOOKUP(A72,'2021 Band Moderations'!$B$5:$S$22,6,(FALSE))</f>
        <v>6.25E-2</v>
      </c>
      <c r="E72" s="1024">
        <f>VLOOKUP(A72,'2021 Band Moderations'!$B$5:$S$22,8,(FALSE))</f>
        <v>0.34375</v>
      </c>
      <c r="F72" s="1024">
        <f>VLOOKUP(A72,'2021 Band Moderations'!$B$5:$S$22,10,(FALSE))</f>
        <v>6.25E-2</v>
      </c>
      <c r="G72" s="1024">
        <f>VLOOKUP(A72,'2021 Band Moderations'!$B$5:$S$22,12,(FALSE))</f>
        <v>0.171875</v>
      </c>
      <c r="H72" s="1024">
        <f>VLOOKUP(A72,'2021 Band Moderations'!$B$5:$S$22,14,(FALSE))</f>
        <v>4.6875E-2</v>
      </c>
      <c r="I72" s="1024">
        <f>VLOOKUP(A72,'2021 Band Moderations'!$B$5:$S$22,16,(FALSE))</f>
        <v>0.171875</v>
      </c>
      <c r="J72" s="1024">
        <f>VLOOKUP(A72,'2021 Band Moderations'!$B$5:$S$22,18,(FALSE))</f>
        <v>0.140625</v>
      </c>
      <c r="K72" s="451">
        <v>7</v>
      </c>
      <c r="L72" s="1025">
        <f>((((K72*D72)*$G$92)+((K72*E72)*$G$94)+((K72*F72)*$G$96)+((K72*G72)*$G$98)+((K72*H72)*$G$100)+((K72*I72)*$G$102)+((K72*J72)*$G$104)))*(8/12)</f>
        <v>56917.16194535813</v>
      </c>
      <c r="M72" s="1025">
        <f t="shared" ref="M72:M89" si="15">((F72*K72)*$G$106)*(8/12)</f>
        <v>768.54166666666663</v>
      </c>
      <c r="N72" s="1025">
        <f>SUM(L72:M72)</f>
        <v>57685.703612024794</v>
      </c>
      <c r="O72" s="1026">
        <f>(K72*(8/12))*10000</f>
        <v>46666.666666666664</v>
      </c>
      <c r="P72" s="1026">
        <f>(VLOOKUP(A72,'2021 Funding Detail'!$A$4:$AO$23,39,FALSE)*8/12)*K72</f>
        <v>45918.30680309709</v>
      </c>
      <c r="Q72" s="235"/>
      <c r="R72" s="235">
        <f t="shared" ref="R72:R89" si="16">(J72*K72*$G$104)*8/12</f>
        <v>14773.992683490093</v>
      </c>
      <c r="S72" s="269"/>
      <c r="T72" s="280"/>
      <c r="U72" s="36"/>
      <c r="V72" s="297" t="s">
        <v>207</v>
      </c>
      <c r="W72" s="296" t="s">
        <v>282</v>
      </c>
    </row>
    <row r="73" spans="1:23" s="29" customFormat="1" x14ac:dyDescent="0.25">
      <c r="A73" s="244">
        <v>9257005</v>
      </c>
      <c r="B73" s="237" t="s">
        <v>208</v>
      </c>
      <c r="C73" s="365" t="s">
        <v>1178</v>
      </c>
      <c r="D73" s="1024">
        <f>VLOOKUP(A73,'2021 Band Moderations'!$B$5:$S$22,6,(FALSE))</f>
        <v>7.8947368421052627E-2</v>
      </c>
      <c r="E73" s="1024">
        <f>VLOOKUP(A73,'2021 Band Moderations'!$B$5:$S$22,8,(FALSE))</f>
        <v>0.35526315789473684</v>
      </c>
      <c r="F73" s="1024">
        <f>VLOOKUP(A73,'2021 Band Moderations'!$B$5:$S$22,10,(FALSE))</f>
        <v>6.5789473684210523E-2</v>
      </c>
      <c r="G73" s="1024">
        <f>VLOOKUP(A73,'2021 Band Moderations'!$B$5:$S$22,12,(FALSE))</f>
        <v>0.14473684210526316</v>
      </c>
      <c r="H73" s="1024">
        <f>VLOOKUP(A73,'2021 Band Moderations'!$B$5:$S$22,14,(FALSE))</f>
        <v>0.14473684210526316</v>
      </c>
      <c r="I73" s="1024">
        <f>VLOOKUP(A73,'2021 Band Moderations'!$B$5:$S$22,16,(FALSE))</f>
        <v>0.15789473684210525</v>
      </c>
      <c r="J73" s="1024">
        <f>VLOOKUP(A73,'2021 Band Moderations'!$B$5:$S$22,18,(FALSE))</f>
        <v>5.2631578947368418E-2</v>
      </c>
      <c r="K73" s="451">
        <v>26</v>
      </c>
      <c r="L73" s="1025">
        <f t="shared" ref="L73:L89" si="17">((((K73*D73)*$G$92)+((K73*E73)*$G$94)+((K73*F73)*$G$96)+((K73*G73)*$G$98)+((K73*H73)*$G$100)+((K73*I73)*$G$102)+((K73*J73)*$G$104)))*(8/12)</f>
        <v>194273.8301416992</v>
      </c>
      <c r="M73" s="1025">
        <f t="shared" si="15"/>
        <v>3004.8245614035086</v>
      </c>
      <c r="N73" s="1025">
        <f>SUM(L73:M73)</f>
        <v>197278.65470310271</v>
      </c>
      <c r="O73" s="1026">
        <f t="shared" ref="O73:O89" si="18">(K73*(8/12))*10000</f>
        <v>173333.33333333331</v>
      </c>
      <c r="P73" s="1026">
        <f>(VLOOKUP(A73,'2021 Funding Detail'!$A$4:$AO$23,39,FALSE)*8/12)*K73</f>
        <v>126542.4704768981</v>
      </c>
      <c r="Q73" s="235"/>
      <c r="R73" s="235">
        <f t="shared" si="16"/>
        <v>20537.948057917722</v>
      </c>
      <c r="S73" s="269"/>
      <c r="T73" s="280"/>
      <c r="U73" s="36"/>
      <c r="V73" s="36"/>
      <c r="W73" s="36"/>
    </row>
    <row r="74" spans="1:23" s="29" customFormat="1" x14ac:dyDescent="0.25">
      <c r="A74" s="244">
        <v>9257025</v>
      </c>
      <c r="B74" s="237" t="s">
        <v>209</v>
      </c>
      <c r="C74" s="365">
        <v>4</v>
      </c>
      <c r="D74" s="1024">
        <f>VLOOKUP(A74,'2021 Band Moderations'!$B$5:$S$22,6,(FALSE))</f>
        <v>0.16216216216216217</v>
      </c>
      <c r="E74" s="1024">
        <f>VLOOKUP(A74,'2021 Band Moderations'!$B$5:$S$22,8,(FALSE))</f>
        <v>0.35135135135135137</v>
      </c>
      <c r="F74" s="1024">
        <f>VLOOKUP(A74,'2021 Band Moderations'!$B$5:$S$22,10,(FALSE))</f>
        <v>6.7567567567567571E-2</v>
      </c>
      <c r="G74" s="1024">
        <f>VLOOKUP(A74,'2021 Band Moderations'!$B$5:$S$22,12,(FALSE))</f>
        <v>0.17567567567567569</v>
      </c>
      <c r="H74" s="1024">
        <f>VLOOKUP(A74,'2021 Band Moderations'!$B$5:$S$22,14,(FALSE))</f>
        <v>5.4054054054054057E-2</v>
      </c>
      <c r="I74" s="1024">
        <f>VLOOKUP(A74,'2021 Band Moderations'!$B$5:$S$22,16,(FALSE))</f>
        <v>0.13513513513513514</v>
      </c>
      <c r="J74" s="1024">
        <f>VLOOKUP(A74,'2021 Band Moderations'!$B$5:$S$22,18,(FALSE))</f>
        <v>5.4054054054054057E-2</v>
      </c>
      <c r="K74" s="451">
        <v>20</v>
      </c>
      <c r="L74" s="1025">
        <f t="shared" si="17"/>
        <v>140478.79131039165</v>
      </c>
      <c r="M74" s="1025">
        <f t="shared" si="15"/>
        <v>2373.8738738738739</v>
      </c>
      <c r="N74" s="1025">
        <f t="shared" ref="N74:N89" si="19">SUM(L74:M74)</f>
        <v>142852.66518426553</v>
      </c>
      <c r="O74" s="1026">
        <f t="shared" si="18"/>
        <v>133333.33333333331</v>
      </c>
      <c r="P74" s="1026">
        <f>(VLOOKUP(A74,'2021 Funding Detail'!$A$4:$AO$23,39,FALSE)*8/12)*K74</f>
        <v>95285.845579538465</v>
      </c>
      <c r="Q74" s="235"/>
      <c r="R74" s="235">
        <f t="shared" si="16"/>
        <v>16225.405950122111</v>
      </c>
      <c r="S74" s="269"/>
      <c r="T74" s="280"/>
      <c r="U74" s="36"/>
      <c r="V74" s="36"/>
      <c r="W74" s="36"/>
    </row>
    <row r="75" spans="1:23" s="29" customFormat="1" x14ac:dyDescent="0.25">
      <c r="A75" s="244">
        <v>9257011</v>
      </c>
      <c r="B75" s="237" t="s">
        <v>210</v>
      </c>
      <c r="C75" s="365">
        <v>4</v>
      </c>
      <c r="D75" s="1024">
        <f>VLOOKUP(A75,'2021 Band Moderations'!$B$5:$S$22,6,(FALSE))</f>
        <v>5.6603773584905662E-2</v>
      </c>
      <c r="E75" s="1024">
        <f>VLOOKUP(A75,'2021 Band Moderations'!$B$5:$S$22,8,(FALSE))</f>
        <v>0.32075471698113206</v>
      </c>
      <c r="F75" s="1024">
        <f>VLOOKUP(A75,'2021 Band Moderations'!$B$5:$S$22,10,(FALSE))</f>
        <v>3.7735849056603772E-2</v>
      </c>
      <c r="G75" s="1024">
        <f>VLOOKUP(A75,'2021 Band Moderations'!$B$5:$S$22,12,(FALSE))</f>
        <v>0.16981132075471697</v>
      </c>
      <c r="H75" s="1024">
        <f>VLOOKUP(A75,'2021 Band Moderations'!$B$5:$S$22,14,(FALSE))</f>
        <v>0.16981132075471697</v>
      </c>
      <c r="I75" s="1024">
        <f>VLOOKUP(A75,'2021 Band Moderations'!$B$5:$S$22,16,(FALSE))</f>
        <v>0.15094339622641509</v>
      </c>
      <c r="J75" s="1024">
        <f>VLOOKUP(A75,'2021 Band Moderations'!$B$5:$S$22,18,(FALSE))</f>
        <v>9.4339622641509441E-2</v>
      </c>
      <c r="K75" s="451">
        <v>8</v>
      </c>
      <c r="L75" s="1025">
        <f t="shared" si="17"/>
        <v>64352.201297063075</v>
      </c>
      <c r="M75" s="1025">
        <f t="shared" si="15"/>
        <v>530.31446540880495</v>
      </c>
      <c r="N75" s="1025">
        <f t="shared" si="19"/>
        <v>64882.515762471878</v>
      </c>
      <c r="O75" s="1026">
        <f t="shared" si="18"/>
        <v>53333.333333333328</v>
      </c>
      <c r="P75" s="1026">
        <f>(VLOOKUP(A75,'2021 Funding Detail'!$A$4:$AO$23,39,FALSE)*8/12)*K75</f>
        <v>53621.459086199065</v>
      </c>
      <c r="Q75" s="235"/>
      <c r="R75" s="235">
        <f t="shared" si="16"/>
        <v>11327.170191594681</v>
      </c>
      <c r="S75" s="269"/>
      <c r="T75" s="280"/>
      <c r="U75" s="36"/>
      <c r="V75" s="36"/>
      <c r="W75" s="36"/>
    </row>
    <row r="76" spans="1:23" s="29" customFormat="1" x14ac:dyDescent="0.25">
      <c r="A76" s="244">
        <v>9257024</v>
      </c>
      <c r="B76" s="237" t="s">
        <v>211</v>
      </c>
      <c r="C76" s="365">
        <v>4</v>
      </c>
      <c r="D76" s="1024">
        <f>VLOOKUP(A76,'2021 Band Moderations'!$B$5:$S$22,6,(FALSE))</f>
        <v>0.10843373493975904</v>
      </c>
      <c r="E76" s="1024">
        <f>VLOOKUP(A76,'2021 Band Moderations'!$B$5:$S$22,8,(FALSE))</f>
        <v>0.43373493975903615</v>
      </c>
      <c r="F76" s="1024">
        <f>VLOOKUP(A76,'2021 Band Moderations'!$B$5:$S$22,10,(FALSE))</f>
        <v>2.4096385542168676E-2</v>
      </c>
      <c r="G76" s="1024">
        <f>VLOOKUP(A76,'2021 Band Moderations'!$B$5:$S$22,12,(FALSE))</f>
        <v>0.15662650602409639</v>
      </c>
      <c r="H76" s="1024">
        <f>VLOOKUP(A76,'2021 Band Moderations'!$B$5:$S$22,14,(FALSE))</f>
        <v>0.10843373493975904</v>
      </c>
      <c r="I76" s="1024">
        <f>VLOOKUP(A76,'2021 Band Moderations'!$B$5:$S$22,16,(FALSE))</f>
        <v>7.2289156626506021E-2</v>
      </c>
      <c r="J76" s="1024">
        <f>VLOOKUP(A76,'2021 Band Moderations'!$B$5:$S$22,18,(FALSE))</f>
        <v>9.6385542168674704E-2</v>
      </c>
      <c r="K76" s="451">
        <v>14</v>
      </c>
      <c r="L76" s="1025">
        <f t="shared" si="17"/>
        <v>100923.61561360321</v>
      </c>
      <c r="M76" s="1025">
        <f t="shared" si="15"/>
        <v>592.61044176706832</v>
      </c>
      <c r="N76" s="1025">
        <f t="shared" si="19"/>
        <v>101516.22605537028</v>
      </c>
      <c r="O76" s="1026">
        <f t="shared" si="18"/>
        <v>93333.333333333328</v>
      </c>
      <c r="P76" s="1026">
        <f>(VLOOKUP(A76,'2021 Funding Detail'!$A$4:$AO$23,39,FALSE)*8/12)*K76</f>
        <v>63217.657963436992</v>
      </c>
      <c r="Q76" s="235"/>
      <c r="R76" s="235">
        <f t="shared" si="16"/>
        <v>20252.434414851214</v>
      </c>
      <c r="S76" s="269"/>
      <c r="T76" s="280"/>
      <c r="U76" s="36"/>
      <c r="V76" s="36"/>
      <c r="W76" s="36"/>
    </row>
    <row r="77" spans="1:23" s="29" customFormat="1" x14ac:dyDescent="0.25">
      <c r="A77" s="244">
        <v>9257031</v>
      </c>
      <c r="B77" s="237" t="s">
        <v>257</v>
      </c>
      <c r="C77" s="365" t="s">
        <v>1179</v>
      </c>
      <c r="D77" s="1024">
        <f>VLOOKUP(A77,'2021 Band Moderations'!$B$5:$S$22,6,(FALSE))</f>
        <v>0</v>
      </c>
      <c r="E77" s="1024">
        <f>VLOOKUP(A77,'2021 Band Moderations'!$B$5:$S$22,8,(FALSE))</f>
        <v>0</v>
      </c>
      <c r="F77" s="1024">
        <f>VLOOKUP(A77,'2021 Band Moderations'!$B$5:$S$22,10,(FALSE))</f>
        <v>1</v>
      </c>
      <c r="G77" s="1024">
        <f>VLOOKUP(A77,'2021 Band Moderations'!$B$5:$S$22,12,(FALSE))</f>
        <v>0</v>
      </c>
      <c r="H77" s="1024">
        <f>VLOOKUP(A77,'2021 Band Moderations'!$B$5:$S$22,14,(FALSE))</f>
        <v>0</v>
      </c>
      <c r="I77" s="1024">
        <f>VLOOKUP(A77,'2021 Band Moderations'!$B$5:$S$22,16,(FALSE))</f>
        <v>0</v>
      </c>
      <c r="J77" s="1024">
        <f>VLOOKUP(A77,'2021 Band Moderations'!$B$5:$S$22,18,(FALSE))</f>
        <v>0</v>
      </c>
      <c r="K77" s="451">
        <v>0</v>
      </c>
      <c r="L77" s="1025">
        <f t="shared" si="17"/>
        <v>0</v>
      </c>
      <c r="M77" s="1025">
        <f t="shared" si="15"/>
        <v>0</v>
      </c>
      <c r="N77" s="1025">
        <f t="shared" si="19"/>
        <v>0</v>
      </c>
      <c r="O77" s="1026">
        <f t="shared" si="18"/>
        <v>0</v>
      </c>
      <c r="P77" s="1026">
        <f>(VLOOKUP(A77,'2021 Funding Detail'!$A$4:$AO$23,39,FALSE)*8/12)*K77</f>
        <v>0</v>
      </c>
      <c r="Q77" s="235"/>
      <c r="R77" s="235">
        <f t="shared" si="16"/>
        <v>0</v>
      </c>
      <c r="S77" s="269"/>
      <c r="T77" s="280"/>
      <c r="U77" s="36"/>
      <c r="V77" s="36"/>
      <c r="W77" s="36"/>
    </row>
    <row r="78" spans="1:23" s="29" customFormat="1" x14ac:dyDescent="0.25">
      <c r="A78" s="244">
        <v>9257033</v>
      </c>
      <c r="B78" s="237" t="s">
        <v>220</v>
      </c>
      <c r="C78" s="365" t="s">
        <v>1178</v>
      </c>
      <c r="D78" s="1024">
        <f>VLOOKUP(A78,'2021 Band Moderations'!$B$5:$S$22,6,(FALSE))</f>
        <v>0.17894736842105263</v>
      </c>
      <c r="E78" s="1024">
        <f>VLOOKUP(A78,'2021 Band Moderations'!$B$5:$S$22,8,(FALSE))</f>
        <v>0.44210526315789472</v>
      </c>
      <c r="F78" s="1024">
        <f>VLOOKUP(A78,'2021 Band Moderations'!$B$5:$S$22,10,(FALSE))</f>
        <v>0.12631578947368421</v>
      </c>
      <c r="G78" s="1024">
        <f>VLOOKUP(A78,'2021 Band Moderations'!$B$5:$S$22,12,(FALSE))</f>
        <v>0.15789473684210525</v>
      </c>
      <c r="H78" s="1024">
        <f>VLOOKUP(A78,'2021 Band Moderations'!$B$5:$S$22,14,(FALSE))</f>
        <v>4.2105263157894736E-2</v>
      </c>
      <c r="I78" s="1024">
        <f>VLOOKUP(A78,'2021 Band Moderations'!$B$5:$S$22,16,(FALSE))</f>
        <v>5.2631578947368418E-2</v>
      </c>
      <c r="J78" s="1024">
        <f>VLOOKUP(A78,'2021 Band Moderations'!$B$5:$S$22,18,(FALSE))</f>
        <v>0</v>
      </c>
      <c r="K78" s="451">
        <v>0</v>
      </c>
      <c r="L78" s="1025">
        <f t="shared" si="17"/>
        <v>0</v>
      </c>
      <c r="M78" s="1025">
        <f t="shared" si="15"/>
        <v>0</v>
      </c>
      <c r="N78" s="1025">
        <f t="shared" si="19"/>
        <v>0</v>
      </c>
      <c r="O78" s="1026">
        <f t="shared" si="18"/>
        <v>0</v>
      </c>
      <c r="P78" s="1026">
        <f>(VLOOKUP(A78,'2021 Funding Detail'!$A$4:$AO$23,39,FALSE)*8/12)*K78</f>
        <v>0</v>
      </c>
      <c r="Q78" s="235"/>
      <c r="R78" s="235">
        <f t="shared" si="16"/>
        <v>0</v>
      </c>
      <c r="S78" s="269"/>
      <c r="T78" s="280"/>
      <c r="U78" s="36"/>
      <c r="V78" s="36"/>
      <c r="W78" s="36"/>
    </row>
    <row r="79" spans="1:23" s="29" customFormat="1" x14ac:dyDescent="0.25">
      <c r="A79" s="244">
        <v>9257008</v>
      </c>
      <c r="B79" s="237" t="s">
        <v>212</v>
      </c>
      <c r="C79" s="365">
        <v>4</v>
      </c>
      <c r="D79" s="1024">
        <f>VLOOKUP(A79,'2021 Band Moderations'!$B$5:$S$22,6,(FALSE))</f>
        <v>0.10309278350515463</v>
      </c>
      <c r="E79" s="1024">
        <f>VLOOKUP(A79,'2021 Band Moderations'!$B$5:$S$22,8,(FALSE))</f>
        <v>0.52577319587628868</v>
      </c>
      <c r="F79" s="1024">
        <f>VLOOKUP(A79,'2021 Band Moderations'!$B$5:$S$22,10,(FALSE))</f>
        <v>8.247422680412371E-2</v>
      </c>
      <c r="G79" s="1024">
        <f>VLOOKUP(A79,'2021 Band Moderations'!$B$5:$S$22,12,(FALSE))</f>
        <v>9.2783505154639179E-2</v>
      </c>
      <c r="H79" s="1024">
        <f>VLOOKUP(A79,'2021 Band Moderations'!$B$5:$S$22,14,(FALSE))</f>
        <v>1.0309278350515464E-2</v>
      </c>
      <c r="I79" s="1024">
        <f>VLOOKUP(A79,'2021 Band Moderations'!$B$5:$S$22,16,(FALSE))</f>
        <v>0.18556701030927836</v>
      </c>
      <c r="J79" s="1024">
        <f>VLOOKUP(A79,'2021 Band Moderations'!$B$5:$S$22,18,(FALSE))</f>
        <v>0</v>
      </c>
      <c r="K79" s="451">
        <v>0</v>
      </c>
      <c r="L79" s="1025">
        <f t="shared" si="17"/>
        <v>0</v>
      </c>
      <c r="M79" s="1025">
        <f t="shared" si="15"/>
        <v>0</v>
      </c>
      <c r="N79" s="1025">
        <f t="shared" si="19"/>
        <v>0</v>
      </c>
      <c r="O79" s="1026">
        <f t="shared" si="18"/>
        <v>0</v>
      </c>
      <c r="P79" s="1026">
        <f>(VLOOKUP(A79,'2021 Funding Detail'!$A$4:$AO$23,39,FALSE)*8/12)*K79</f>
        <v>0</v>
      </c>
      <c r="Q79" s="235"/>
      <c r="R79" s="235">
        <f t="shared" si="16"/>
        <v>0</v>
      </c>
      <c r="S79" s="269"/>
      <c r="T79" s="280"/>
      <c r="U79" s="36"/>
      <c r="V79" s="36"/>
      <c r="W79" s="36"/>
    </row>
    <row r="80" spans="1:23" s="29" customFormat="1" x14ac:dyDescent="0.25">
      <c r="A80" s="244">
        <v>9257034</v>
      </c>
      <c r="B80" s="237" t="s">
        <v>221</v>
      </c>
      <c r="C80" s="365" t="s">
        <v>1178</v>
      </c>
      <c r="D80" s="1024">
        <f>VLOOKUP(A80,'2021 Band Moderations'!$B$5:$S$22,6,(FALSE))</f>
        <v>0.42201834862385323</v>
      </c>
      <c r="E80" s="1024">
        <f>VLOOKUP(A80,'2021 Band Moderations'!$B$5:$S$22,8,(FALSE))</f>
        <v>0.26605504587155965</v>
      </c>
      <c r="F80" s="1024">
        <f>VLOOKUP(A80,'2021 Band Moderations'!$B$5:$S$22,10,(FALSE))</f>
        <v>0.15596330275229359</v>
      </c>
      <c r="G80" s="1024">
        <f>VLOOKUP(A80,'2021 Band Moderations'!$B$5:$S$22,12,(FALSE))</f>
        <v>4.5871559633027525E-2</v>
      </c>
      <c r="H80" s="1024">
        <f>VLOOKUP(A80,'2021 Band Moderations'!$B$5:$S$22,14,(FALSE))</f>
        <v>4.5871559633027525E-2</v>
      </c>
      <c r="I80" s="1024">
        <f>VLOOKUP(A80,'2021 Band Moderations'!$B$5:$S$22,16,(FALSE))</f>
        <v>5.5045871559633031E-2</v>
      </c>
      <c r="J80" s="1024">
        <f>VLOOKUP(A80,'2021 Band Moderations'!$B$5:$S$22,18,(FALSE))</f>
        <v>9.1743119266055051E-3</v>
      </c>
      <c r="K80" s="451">
        <v>34</v>
      </c>
      <c r="L80" s="1025">
        <f t="shared" si="17"/>
        <v>188283.25000620369</v>
      </c>
      <c r="M80" s="1025">
        <f t="shared" si="15"/>
        <v>9315.1681957186556</v>
      </c>
      <c r="N80" s="1025">
        <f t="shared" si="19"/>
        <v>197598.41820192235</v>
      </c>
      <c r="O80" s="1026">
        <f t="shared" si="18"/>
        <v>226666.66666666666</v>
      </c>
      <c r="P80" s="1026">
        <f>(VLOOKUP(A80,'2021 Funding Detail'!$A$4:$AO$23,39,FALSE)*8/12)*K80</f>
        <v>74226.648242556461</v>
      </c>
      <c r="Q80" s="235"/>
      <c r="R80" s="235">
        <f t="shared" si="16"/>
        <v>4681.5506158838571</v>
      </c>
      <c r="S80" s="269"/>
      <c r="T80" s="280"/>
      <c r="U80" s="36"/>
      <c r="V80" s="36"/>
      <c r="W80" s="36"/>
    </row>
    <row r="81" spans="1:20" s="29" customFormat="1" x14ac:dyDescent="0.25">
      <c r="A81" s="244">
        <v>9257002</v>
      </c>
      <c r="B81" s="237" t="s">
        <v>213</v>
      </c>
      <c r="C81" s="365">
        <v>4</v>
      </c>
      <c r="D81" s="1024">
        <f>VLOOKUP(A81,'2021 Band Moderations'!$B$5:$S$22,6,(FALSE))</f>
        <v>0.42957746478873238</v>
      </c>
      <c r="E81" s="1024">
        <f>VLOOKUP(A81,'2021 Band Moderations'!$B$5:$S$22,8,(FALSE))</f>
        <v>0.25352112676056338</v>
      </c>
      <c r="F81" s="1024">
        <f>VLOOKUP(A81,'2021 Band Moderations'!$B$5:$S$22,10,(FALSE))</f>
        <v>0.15492957746478872</v>
      </c>
      <c r="G81" s="1024">
        <f>VLOOKUP(A81,'2021 Band Moderations'!$B$5:$S$22,12,(FALSE))</f>
        <v>2.1126760563380281E-2</v>
      </c>
      <c r="H81" s="1024">
        <f>VLOOKUP(A81,'2021 Band Moderations'!$B$5:$S$22,14,(FALSE))</f>
        <v>4.2253521126760563E-2</v>
      </c>
      <c r="I81" s="1024">
        <f>VLOOKUP(A81,'2021 Band Moderations'!$B$5:$S$22,16,(FALSE))</f>
        <v>8.4507042253521125E-2</v>
      </c>
      <c r="J81" s="1024">
        <f>VLOOKUP(A81,'2021 Band Moderations'!$B$5:$S$22,18,(FALSE))</f>
        <v>1.4084507042253521E-2</v>
      </c>
      <c r="K81" s="451">
        <v>0</v>
      </c>
      <c r="L81" s="1025">
        <f t="shared" si="17"/>
        <v>0</v>
      </c>
      <c r="M81" s="1025">
        <f t="shared" si="15"/>
        <v>0</v>
      </c>
      <c r="N81" s="1025">
        <f t="shared" si="19"/>
        <v>0</v>
      </c>
      <c r="O81" s="1026">
        <f t="shared" si="18"/>
        <v>0</v>
      </c>
      <c r="P81" s="1026">
        <f>(VLOOKUP(A81,'2021 Funding Detail'!$A$4:$AO$23,39,FALSE)*8/12)*K81</f>
        <v>0</v>
      </c>
      <c r="Q81" s="235"/>
      <c r="R81" s="235">
        <f t="shared" si="16"/>
        <v>0</v>
      </c>
      <c r="S81" s="269"/>
      <c r="T81" s="280"/>
    </row>
    <row r="82" spans="1:20" s="29" customFormat="1" x14ac:dyDescent="0.25">
      <c r="A82" s="244">
        <v>9257009</v>
      </c>
      <c r="B82" s="237" t="s">
        <v>214</v>
      </c>
      <c r="C82" s="365">
        <v>4</v>
      </c>
      <c r="D82" s="1024">
        <f>VLOOKUP(A82,'2021 Band Moderations'!$B$5:$S$22,6,(FALSE))</f>
        <v>0.17054263565891473</v>
      </c>
      <c r="E82" s="1024">
        <f>VLOOKUP(A82,'2021 Band Moderations'!$B$5:$S$22,8,(FALSE))</f>
        <v>0.58139534883720934</v>
      </c>
      <c r="F82" s="1024">
        <f>VLOOKUP(A82,'2021 Band Moderations'!$B$5:$S$22,10,(FALSE))</f>
        <v>8.5271317829457363E-2</v>
      </c>
      <c r="G82" s="1024">
        <f>VLOOKUP(A82,'2021 Band Moderations'!$B$5:$S$22,12,(FALSE))</f>
        <v>1.5503875968992248E-2</v>
      </c>
      <c r="H82" s="1024">
        <f>VLOOKUP(A82,'2021 Band Moderations'!$B$5:$S$22,14,(FALSE))</f>
        <v>3.1007751937984496E-2</v>
      </c>
      <c r="I82" s="1024">
        <f>VLOOKUP(A82,'2021 Band Moderations'!$B$5:$S$22,16,(FALSE))</f>
        <v>0.11627906976744186</v>
      </c>
      <c r="J82" s="1024">
        <f>VLOOKUP(A82,'2021 Band Moderations'!$B$5:$S$22,18,(FALSE))</f>
        <v>0</v>
      </c>
      <c r="K82" s="451">
        <v>0</v>
      </c>
      <c r="L82" s="1025">
        <f t="shared" si="17"/>
        <v>0</v>
      </c>
      <c r="M82" s="1025">
        <f t="shared" si="15"/>
        <v>0</v>
      </c>
      <c r="N82" s="1025">
        <f t="shared" si="19"/>
        <v>0</v>
      </c>
      <c r="O82" s="1026">
        <f t="shared" si="18"/>
        <v>0</v>
      </c>
      <c r="P82" s="1026">
        <f>(VLOOKUP(A82,'2021 Funding Detail'!$A$4:$AO$23,39,FALSE)*8/12)*K82</f>
        <v>0</v>
      </c>
      <c r="Q82" s="235"/>
      <c r="R82" s="235">
        <f t="shared" si="16"/>
        <v>0</v>
      </c>
      <c r="S82" s="269"/>
      <c r="T82" s="280"/>
    </row>
    <row r="83" spans="1:20" s="29" customFormat="1" x14ac:dyDescent="0.25">
      <c r="A83" s="244">
        <v>9257029</v>
      </c>
      <c r="B83" s="237" t="s">
        <v>890</v>
      </c>
      <c r="C83" s="365" t="s">
        <v>1179</v>
      </c>
      <c r="D83" s="1024">
        <f>VLOOKUP(A83,'2021 Band Moderations'!$B$5:$S$22,6,(FALSE))</f>
        <v>0</v>
      </c>
      <c r="E83" s="1024">
        <f>VLOOKUP(A83,'2021 Band Moderations'!$B$5:$S$22,8,(FALSE))</f>
        <v>0</v>
      </c>
      <c r="F83" s="1024">
        <f>VLOOKUP(A83,'2021 Band Moderations'!$B$5:$S$22,10,(FALSE))</f>
        <v>1</v>
      </c>
      <c r="G83" s="1024">
        <f>VLOOKUP(A83,'2021 Band Moderations'!$B$5:$S$22,12,(FALSE))</f>
        <v>0</v>
      </c>
      <c r="H83" s="1024">
        <f>VLOOKUP(A83,'2021 Band Moderations'!$B$5:$S$22,14,(FALSE))</f>
        <v>0</v>
      </c>
      <c r="I83" s="1024">
        <f>VLOOKUP(A83,'2021 Band Moderations'!$B$5:$S$22,16,(FALSE))</f>
        <v>0</v>
      </c>
      <c r="J83" s="1024">
        <f>VLOOKUP(A83,'2021 Band Moderations'!$B$5:$S$22,18,(FALSE))</f>
        <v>0</v>
      </c>
      <c r="K83" s="451">
        <v>0</v>
      </c>
      <c r="L83" s="1025">
        <f t="shared" si="17"/>
        <v>0</v>
      </c>
      <c r="M83" s="1025">
        <f t="shared" si="15"/>
        <v>0</v>
      </c>
      <c r="N83" s="1025">
        <f t="shared" si="19"/>
        <v>0</v>
      </c>
      <c r="O83" s="1026">
        <f t="shared" si="18"/>
        <v>0</v>
      </c>
      <c r="P83" s="1026">
        <f>(VLOOKUP(A83,'2021 Funding Detail'!$A$4:$AO$23,39,FALSE)*8/12)*K83</f>
        <v>0</v>
      </c>
      <c r="Q83" s="235"/>
      <c r="R83" s="235">
        <f t="shared" si="16"/>
        <v>0</v>
      </c>
      <c r="S83" s="269"/>
      <c r="T83" s="280"/>
    </row>
    <row r="84" spans="1:20" s="29" customFormat="1" x14ac:dyDescent="0.25">
      <c r="A84" s="244">
        <v>9257032</v>
      </c>
      <c r="B84" s="237" t="s">
        <v>1043</v>
      </c>
      <c r="C84" s="365" t="s">
        <v>1179</v>
      </c>
      <c r="D84" s="1024">
        <f>VLOOKUP(A84,'2021 Band Moderations'!$B$5:$S$22,6,(FALSE))</f>
        <v>0</v>
      </c>
      <c r="E84" s="1024">
        <f>VLOOKUP(A84,'2021 Band Moderations'!$B$5:$S$22,8,(FALSE))</f>
        <v>0</v>
      </c>
      <c r="F84" s="1024">
        <f>VLOOKUP(A84,'2021 Band Moderations'!$B$5:$S$22,10,(FALSE))</f>
        <v>1</v>
      </c>
      <c r="G84" s="1024">
        <f>VLOOKUP(A84,'2021 Band Moderations'!$B$5:$S$22,12,(FALSE))</f>
        <v>0</v>
      </c>
      <c r="H84" s="1024">
        <f>VLOOKUP(A84,'2021 Band Moderations'!$B$5:$S$22,14,(FALSE))</f>
        <v>0</v>
      </c>
      <c r="I84" s="1024">
        <f>VLOOKUP(A84,'2021 Band Moderations'!$B$5:$S$22,16,(FALSE))</f>
        <v>0</v>
      </c>
      <c r="J84" s="1024">
        <f>VLOOKUP(A84,'2021 Band Moderations'!$B$5:$S$22,18,(FALSE))</f>
        <v>0</v>
      </c>
      <c r="K84" s="451">
        <v>0</v>
      </c>
      <c r="L84" s="1025">
        <f t="shared" si="17"/>
        <v>0</v>
      </c>
      <c r="M84" s="1025">
        <f t="shared" si="15"/>
        <v>0</v>
      </c>
      <c r="N84" s="1025">
        <f t="shared" si="19"/>
        <v>0</v>
      </c>
      <c r="O84" s="1026">
        <f t="shared" si="18"/>
        <v>0</v>
      </c>
      <c r="P84" s="1026">
        <f>(VLOOKUP(A84,'2021 Funding Detail'!$A$4:$AO$23,39,FALSE)*8/12)*K84</f>
        <v>0</v>
      </c>
      <c r="Q84" s="235"/>
      <c r="R84" s="235">
        <f t="shared" si="16"/>
        <v>0</v>
      </c>
      <c r="S84" s="269"/>
      <c r="T84" s="280"/>
    </row>
    <row r="85" spans="1:20" s="29" customFormat="1" x14ac:dyDescent="0.25">
      <c r="A85" s="244">
        <v>9257030</v>
      </c>
      <c r="B85" s="237" t="s">
        <v>1046</v>
      </c>
      <c r="C85" s="365" t="s">
        <v>1179</v>
      </c>
      <c r="D85" s="1024">
        <f>VLOOKUP(A85,'2021 Band Moderations'!$B$5:$S$22,6,(FALSE))</f>
        <v>0</v>
      </c>
      <c r="E85" s="1024">
        <f>VLOOKUP(A85,'2021 Band Moderations'!$B$5:$S$22,8,(FALSE))</f>
        <v>0</v>
      </c>
      <c r="F85" s="1024">
        <f>VLOOKUP(A85,'2021 Band Moderations'!$B$5:$S$22,10,(FALSE))</f>
        <v>1</v>
      </c>
      <c r="G85" s="1024">
        <f>VLOOKUP(A85,'2021 Band Moderations'!$B$5:$S$22,12,(FALSE))</f>
        <v>0</v>
      </c>
      <c r="H85" s="1024">
        <f>VLOOKUP(A85,'2021 Band Moderations'!$B$5:$S$22,14,(FALSE))</f>
        <v>0</v>
      </c>
      <c r="I85" s="1024">
        <f>VLOOKUP(A85,'2021 Band Moderations'!$B$5:$S$22,16,(FALSE))</f>
        <v>0</v>
      </c>
      <c r="J85" s="1024">
        <f>VLOOKUP(A85,'2021 Band Moderations'!$B$5:$S$22,18,(FALSE))</f>
        <v>0</v>
      </c>
      <c r="K85" s="451">
        <v>0</v>
      </c>
      <c r="L85" s="1025">
        <f t="shared" si="17"/>
        <v>0</v>
      </c>
      <c r="M85" s="1025">
        <f t="shared" si="15"/>
        <v>0</v>
      </c>
      <c r="N85" s="1025">
        <f t="shared" si="19"/>
        <v>0</v>
      </c>
      <c r="O85" s="1026">
        <f t="shared" si="18"/>
        <v>0</v>
      </c>
      <c r="P85" s="1026">
        <f>(VLOOKUP(A85,'2021 Funding Detail'!$A$4:$AO$23,39,FALSE)*8/12)*K85</f>
        <v>0</v>
      </c>
      <c r="Q85" s="235"/>
      <c r="R85" s="235">
        <f t="shared" si="16"/>
        <v>0</v>
      </c>
      <c r="S85" s="269"/>
      <c r="T85" s="280"/>
    </row>
    <row r="86" spans="1:20" s="29" customFormat="1" x14ac:dyDescent="0.25">
      <c r="A86" s="244">
        <v>9257028</v>
      </c>
      <c r="B86" s="237" t="s">
        <v>215</v>
      </c>
      <c r="C86" s="365">
        <v>4</v>
      </c>
      <c r="D86" s="1024">
        <f>VLOOKUP(A86,'2021 Band Moderations'!$B$5:$S$22,6,(FALSE))</f>
        <v>9.4736842105263161E-2</v>
      </c>
      <c r="E86" s="1024">
        <f>VLOOKUP(A86,'2021 Band Moderations'!$B$5:$S$22,8,(FALSE))</f>
        <v>0.35789473684210527</v>
      </c>
      <c r="F86" s="1024">
        <f>VLOOKUP(A86,'2021 Band Moderations'!$B$5:$S$22,10,(FALSE))</f>
        <v>4.2105263157894736E-2</v>
      </c>
      <c r="G86" s="1024">
        <f>VLOOKUP(A86,'2021 Band Moderations'!$B$5:$S$22,12,(FALSE))</f>
        <v>9.4736842105263161E-2</v>
      </c>
      <c r="H86" s="1024">
        <f>VLOOKUP(A86,'2021 Band Moderations'!$B$5:$S$22,14,(FALSE))</f>
        <v>0.14736842105263157</v>
      </c>
      <c r="I86" s="1024">
        <f>VLOOKUP(A86,'2021 Band Moderations'!$B$5:$S$22,16,(FALSE))</f>
        <v>0.1368421052631579</v>
      </c>
      <c r="J86" s="1024">
        <f>VLOOKUP(A86,'2021 Band Moderations'!$B$5:$S$22,18,(FALSE))</f>
        <v>0.12631578947368421</v>
      </c>
      <c r="K86" s="451">
        <v>8</v>
      </c>
      <c r="L86" s="1025">
        <f t="shared" si="17"/>
        <v>62571.912901264935</v>
      </c>
      <c r="M86" s="1025">
        <f t="shared" si="15"/>
        <v>591.71929824561403</v>
      </c>
      <c r="N86" s="1025">
        <f t="shared" si="19"/>
        <v>63163.632199510546</v>
      </c>
      <c r="O86" s="1026">
        <f t="shared" si="18"/>
        <v>53333.333333333328</v>
      </c>
      <c r="P86" s="1026">
        <f>(VLOOKUP(A86,'2021 Funding Detail'!$A$4:$AO$23,39,FALSE)*8/12)*K86</f>
        <v>38966.361779492676</v>
      </c>
      <c r="Q86" s="235"/>
      <c r="R86" s="235">
        <f t="shared" si="16"/>
        <v>15166.484719693088</v>
      </c>
      <c r="S86" s="269"/>
      <c r="T86" s="280"/>
    </row>
    <row r="87" spans="1:20" s="29" customFormat="1" x14ac:dyDescent="0.25">
      <c r="A87" s="244">
        <v>9257021</v>
      </c>
      <c r="B87" s="237" t="s">
        <v>216</v>
      </c>
      <c r="C87" s="365" t="s">
        <v>1180</v>
      </c>
      <c r="D87" s="1024">
        <f>VLOOKUP(A87,'2021 Band Moderations'!$B$5:$S$22,6,(FALSE))</f>
        <v>0.28834355828220859</v>
      </c>
      <c r="E87" s="1024">
        <f>VLOOKUP(A87,'2021 Band Moderations'!$B$5:$S$22,8,(FALSE))</f>
        <v>0.35582822085889571</v>
      </c>
      <c r="F87" s="1024">
        <f>VLOOKUP(A87,'2021 Band Moderations'!$B$5:$S$22,10,(FALSE))</f>
        <v>9.815950920245399E-2</v>
      </c>
      <c r="G87" s="1024">
        <f>VLOOKUP(A87,'2021 Band Moderations'!$B$5:$S$22,12,(FALSE))</f>
        <v>6.1349693251533742E-2</v>
      </c>
      <c r="H87" s="1024">
        <f>VLOOKUP(A87,'2021 Band Moderations'!$B$5:$S$22,14,(FALSE))</f>
        <v>6.1349693251533742E-2</v>
      </c>
      <c r="I87" s="1024">
        <f>VLOOKUP(A87,'2021 Band Moderations'!$B$5:$S$22,16,(FALSE))</f>
        <v>0.12269938650306748</v>
      </c>
      <c r="J87" s="1024">
        <f>VLOOKUP(A87,'2021 Band Moderations'!$B$5:$S$22,18,(FALSE))</f>
        <v>1.2269938650306749E-2</v>
      </c>
      <c r="K87" s="451">
        <v>0</v>
      </c>
      <c r="L87" s="1025">
        <f t="shared" si="17"/>
        <v>0</v>
      </c>
      <c r="M87" s="1025">
        <f t="shared" si="15"/>
        <v>0</v>
      </c>
      <c r="N87" s="1025">
        <f t="shared" si="19"/>
        <v>0</v>
      </c>
      <c r="O87" s="1026">
        <f t="shared" si="18"/>
        <v>0</v>
      </c>
      <c r="P87" s="1026">
        <f>(VLOOKUP(A87,'2021 Funding Detail'!$A$4:$AO$23,39,FALSE)*8/12)*K87</f>
        <v>0</v>
      </c>
      <c r="Q87" s="235"/>
      <c r="R87" s="235">
        <f t="shared" si="16"/>
        <v>0</v>
      </c>
      <c r="S87" s="269"/>
      <c r="T87" s="280"/>
    </row>
    <row r="88" spans="1:20" s="29" customFormat="1" x14ac:dyDescent="0.25">
      <c r="A88" s="244">
        <v>9257015</v>
      </c>
      <c r="B88" s="237" t="s">
        <v>217</v>
      </c>
      <c r="C88" s="365" t="s">
        <v>1181</v>
      </c>
      <c r="D88" s="1024">
        <f>VLOOKUP(A88,'2021 Band Moderations'!$B$5:$S$22,6,(FALSE))</f>
        <v>0.37931034482758619</v>
      </c>
      <c r="E88" s="1024">
        <f>VLOOKUP(A88,'2021 Band Moderations'!$B$5:$S$22,8,(FALSE))</f>
        <v>0.33189655172413796</v>
      </c>
      <c r="F88" s="1024">
        <f>VLOOKUP(A88,'2021 Band Moderations'!$B$5:$S$22,10,(FALSE))</f>
        <v>2.5862068965517241E-2</v>
      </c>
      <c r="G88" s="1024">
        <f>VLOOKUP(A88,'2021 Band Moderations'!$B$5:$S$22,12,(FALSE))</f>
        <v>6.4655172413793108E-2</v>
      </c>
      <c r="H88" s="1024">
        <f>VLOOKUP(A88,'2021 Band Moderations'!$B$5:$S$22,14,(FALSE))</f>
        <v>3.8793103448275863E-2</v>
      </c>
      <c r="I88" s="1024">
        <f>VLOOKUP(A88,'2021 Band Moderations'!$B$5:$S$22,16,(FALSE))</f>
        <v>0.14655172413793102</v>
      </c>
      <c r="J88" s="1024">
        <f>VLOOKUP(A88,'2021 Band Moderations'!$B$5:$S$22,18,(FALSE))</f>
        <v>1.2931034482758621E-2</v>
      </c>
      <c r="K88" s="451">
        <v>8</v>
      </c>
      <c r="L88" s="1025">
        <f t="shared" si="17"/>
        <v>46162.733128682536</v>
      </c>
      <c r="M88" s="1025">
        <f t="shared" si="15"/>
        <v>363.44827586206895</v>
      </c>
      <c r="N88" s="1025">
        <f t="shared" si="19"/>
        <v>46526.181404544608</v>
      </c>
      <c r="O88" s="1026">
        <f t="shared" si="18"/>
        <v>53333.333333333328</v>
      </c>
      <c r="P88" s="1026">
        <f>(VLOOKUP(A88,'2021 Funding Detail'!$A$4:$AO$23,39,FALSE)*8/12)*K88</f>
        <v>7322.8416449349388</v>
      </c>
      <c r="Q88" s="235"/>
      <c r="R88" s="235">
        <f t="shared" si="16"/>
        <v>1552.6035003996155</v>
      </c>
      <c r="S88" s="269"/>
      <c r="T88" s="280"/>
    </row>
    <row r="89" spans="1:20" s="29" customFormat="1" x14ac:dyDescent="0.25">
      <c r="A89" s="244">
        <v>9257016</v>
      </c>
      <c r="B89" s="237" t="s">
        <v>219</v>
      </c>
      <c r="C89" s="365" t="s">
        <v>1181</v>
      </c>
      <c r="D89" s="1024">
        <f>VLOOKUP(A89,'2021 Band Moderations'!$B$5:$S$22,6,(FALSE))</f>
        <v>0.21052631578947367</v>
      </c>
      <c r="E89" s="1024">
        <f>VLOOKUP(A89,'2021 Band Moderations'!$B$5:$S$22,8,(FALSE))</f>
        <v>0.13815789473684212</v>
      </c>
      <c r="F89" s="1024">
        <f>VLOOKUP(A89,'2021 Band Moderations'!$B$5:$S$22,10,(FALSE))</f>
        <v>6.5789473684210523E-3</v>
      </c>
      <c r="G89" s="1024">
        <f>VLOOKUP(A89,'2021 Band Moderations'!$B$5:$S$22,12,(FALSE))</f>
        <v>0.21710526315789475</v>
      </c>
      <c r="H89" s="1024">
        <f>VLOOKUP(A89,'2021 Band Moderations'!$B$5:$S$22,14,(FALSE))</f>
        <v>0.19736842105263158</v>
      </c>
      <c r="I89" s="1024">
        <f>VLOOKUP(A89,'2021 Band Moderations'!$B$5:$S$22,16,(FALSE))</f>
        <v>6.5789473684210523E-3</v>
      </c>
      <c r="J89" s="1024">
        <f>VLOOKUP(A89,'2021 Band Moderations'!$B$5:$S$22,18,(FALSE))</f>
        <v>0.22368421052631579</v>
      </c>
      <c r="K89" s="451">
        <v>47</v>
      </c>
      <c r="L89" s="1025">
        <f t="shared" si="17"/>
        <v>412478.81021443132</v>
      </c>
      <c r="M89" s="1025">
        <f t="shared" si="15"/>
        <v>543.17982456140339</v>
      </c>
      <c r="N89" s="1025">
        <f t="shared" si="19"/>
        <v>413021.99003899272</v>
      </c>
      <c r="O89" s="1026">
        <f t="shared" si="18"/>
        <v>313333.33333333331</v>
      </c>
      <c r="P89" s="1026">
        <f>(VLOOKUP(A89,'2021 Funding Detail'!$A$4:$AO$23,39,FALSE)*8/12)*K89</f>
        <v>226336.1815378741</v>
      </c>
      <c r="Q89" s="299" t="s">
        <v>207</v>
      </c>
      <c r="R89" s="235">
        <f t="shared" si="16"/>
        <v>157786.73556034866</v>
      </c>
      <c r="S89" s="269"/>
      <c r="T89" s="280"/>
    </row>
    <row r="90" spans="1:20" s="29" customFormat="1" x14ac:dyDescent="0.25">
      <c r="A90" s="36"/>
      <c r="B90" s="36"/>
      <c r="C90" s="36"/>
      <c r="D90" s="36"/>
      <c r="E90" s="36"/>
      <c r="F90" s="299" t="s">
        <v>207</v>
      </c>
      <c r="G90" s="36"/>
      <c r="H90" s="234"/>
      <c r="I90" s="299" t="s">
        <v>207</v>
      </c>
      <c r="J90" s="36"/>
      <c r="K90" s="36"/>
      <c r="L90" s="36"/>
      <c r="M90" s="36"/>
      <c r="N90" s="36"/>
      <c r="O90" s="36"/>
      <c r="P90" s="36"/>
      <c r="Q90" s="36"/>
      <c r="R90" s="36"/>
      <c r="S90" s="288"/>
      <c r="T90" s="36"/>
    </row>
    <row r="91" spans="1:20" s="29" customFormat="1" x14ac:dyDescent="0.25">
      <c r="A91" s="36"/>
      <c r="B91" s="36"/>
      <c r="C91" s="36"/>
      <c r="D91" s="36"/>
      <c r="E91" s="36"/>
      <c r="F91" s="36"/>
      <c r="G91" s="36"/>
      <c r="H91" s="36"/>
      <c r="I91" s="234"/>
      <c r="J91" s="234"/>
      <c r="K91" s="36"/>
      <c r="L91" s="36"/>
      <c r="M91" s="36"/>
      <c r="N91" s="36"/>
      <c r="O91" s="36"/>
      <c r="P91" s="36"/>
      <c r="Q91" s="36"/>
      <c r="R91" s="36"/>
      <c r="S91" s="288"/>
      <c r="T91" s="36"/>
    </row>
    <row r="92" spans="1:20" s="29" customFormat="1" x14ac:dyDescent="0.25">
      <c r="A92" s="36"/>
      <c r="B92" s="36"/>
      <c r="C92" s="36"/>
      <c r="D92" s="36"/>
      <c r="E92" s="36" t="s">
        <v>735</v>
      </c>
      <c r="F92" s="36"/>
      <c r="G92" s="235">
        <f>'Band Values'!F11</f>
        <v>5740.9218150011166</v>
      </c>
      <c r="H92" s="281"/>
      <c r="I92" s="281"/>
      <c r="J92" s="281"/>
      <c r="K92" s="281"/>
      <c r="L92" s="281"/>
      <c r="M92" s="281"/>
      <c r="N92" s="281"/>
      <c r="O92" s="281"/>
      <c r="P92" s="281"/>
      <c r="Q92" s="281"/>
      <c r="R92" s="36"/>
      <c r="S92" s="288"/>
      <c r="T92" s="36"/>
    </row>
    <row r="93" spans="1:20" s="29" customFormat="1" x14ac:dyDescent="0.25">
      <c r="A93" s="36"/>
      <c r="B93" s="36"/>
      <c r="C93" s="36"/>
      <c r="D93" s="36"/>
      <c r="E93" s="36"/>
      <c r="F93" s="36"/>
      <c r="G93" s="235"/>
      <c r="H93" s="281"/>
      <c r="I93" s="281"/>
      <c r="J93" s="281"/>
      <c r="K93" s="281"/>
      <c r="L93" s="281"/>
      <c r="M93" s="281"/>
      <c r="N93" s="281"/>
      <c r="O93" s="281"/>
      <c r="P93" s="281"/>
      <c r="Q93" s="281"/>
      <c r="R93" s="36"/>
      <c r="S93" s="288"/>
      <c r="T93" s="36"/>
    </row>
    <row r="94" spans="1:20" s="29" customFormat="1" x14ac:dyDescent="0.25">
      <c r="A94" s="36"/>
      <c r="B94" s="36"/>
      <c r="C94" s="36"/>
      <c r="D94" s="36"/>
      <c r="E94" s="36" t="s">
        <v>736</v>
      </c>
      <c r="F94" s="36"/>
      <c r="G94" s="235">
        <f>'Band Values'!F8</f>
        <v>6829.0826228613796</v>
      </c>
      <c r="H94" s="281"/>
      <c r="I94" s="281"/>
      <c r="J94" s="281"/>
      <c r="K94" s="281"/>
      <c r="L94" s="281"/>
      <c r="M94" s="281"/>
      <c r="N94" s="281"/>
      <c r="O94" s="281"/>
      <c r="P94" s="281"/>
      <c r="Q94" s="281"/>
      <c r="R94" s="36"/>
      <c r="S94" s="288"/>
      <c r="T94" s="36"/>
    </row>
    <row r="95" spans="1:20" s="29" customFormat="1" x14ac:dyDescent="0.25">
      <c r="A95" s="36"/>
      <c r="B95" s="36"/>
      <c r="C95" s="36"/>
      <c r="D95" s="36"/>
      <c r="E95" s="36"/>
      <c r="F95" s="36"/>
      <c r="G95" s="235"/>
      <c r="H95" s="281"/>
      <c r="I95" s="402"/>
      <c r="J95" s="281"/>
      <c r="K95" s="281"/>
      <c r="L95" s="281"/>
      <c r="M95" s="281"/>
      <c r="N95" s="281"/>
      <c r="O95" s="281"/>
      <c r="P95" s="281"/>
      <c r="Q95" s="281"/>
      <c r="R95" s="36"/>
      <c r="S95" s="288"/>
      <c r="T95" s="36"/>
    </row>
    <row r="96" spans="1:20" s="29" customFormat="1" x14ac:dyDescent="0.25">
      <c r="A96" s="36"/>
      <c r="B96" s="36"/>
      <c r="C96" s="36"/>
      <c r="D96" s="36"/>
      <c r="E96" s="36" t="s">
        <v>737</v>
      </c>
      <c r="F96" s="36"/>
      <c r="G96" s="235">
        <f>'Band Values'!F17</f>
        <v>11263.412317184524</v>
      </c>
      <c r="H96" s="281"/>
      <c r="I96" s="402"/>
      <c r="J96" s="281"/>
      <c r="K96" s="281"/>
      <c r="L96" s="281"/>
      <c r="M96" s="281"/>
      <c r="N96" s="281"/>
      <c r="O96" s="281"/>
      <c r="P96" s="281"/>
      <c r="Q96" s="281"/>
      <c r="R96" s="36"/>
      <c r="S96" s="288"/>
      <c r="T96" s="36"/>
    </row>
    <row r="97" spans="1:54" x14ac:dyDescent="0.25">
      <c r="A97" s="36"/>
      <c r="B97" s="36"/>
      <c r="C97" s="36"/>
      <c r="D97" s="36"/>
      <c r="E97" s="36"/>
      <c r="F97" s="36"/>
      <c r="G97" s="235"/>
      <c r="H97" s="281"/>
      <c r="I97" s="402"/>
      <c r="J97" s="281"/>
      <c r="K97" s="281"/>
      <c r="L97" s="281"/>
      <c r="M97" s="281"/>
      <c r="N97" s="281"/>
      <c r="O97" s="281"/>
      <c r="P97" s="281"/>
      <c r="Q97" s="281"/>
      <c r="R97" s="36"/>
      <c r="S97" s="288"/>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234"/>
      <c r="AW97" s="234"/>
      <c r="AX97" s="36"/>
      <c r="AY97" s="36"/>
      <c r="AZ97" s="234"/>
      <c r="BA97" s="234"/>
      <c r="BB97" s="234"/>
    </row>
    <row r="98" spans="1:54" x14ac:dyDescent="0.25">
      <c r="A98" s="36"/>
      <c r="B98" s="36"/>
      <c r="C98" s="36"/>
      <c r="D98" s="36"/>
      <c r="E98" s="36" t="s">
        <v>738</v>
      </c>
      <c r="F98" s="36"/>
      <c r="G98" s="235">
        <f>'Band Values'!F5</f>
        <v>14004.235952555704</v>
      </c>
      <c r="H98" s="281"/>
      <c r="I98" s="402"/>
      <c r="J98" s="281"/>
      <c r="K98" s="281"/>
      <c r="L98" s="281"/>
      <c r="M98" s="281"/>
      <c r="N98" s="281"/>
      <c r="O98" s="281"/>
      <c r="P98" s="281"/>
      <c r="Q98" s="281"/>
      <c r="R98" s="36"/>
      <c r="S98" s="288"/>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234"/>
      <c r="AW98" s="234"/>
      <c r="AX98" s="36"/>
      <c r="AY98" s="36"/>
      <c r="AZ98" s="234"/>
      <c r="BA98" s="234"/>
      <c r="BB98" s="234"/>
    </row>
    <row r="99" spans="1:54" x14ac:dyDescent="0.25">
      <c r="A99" s="36"/>
      <c r="B99" s="36"/>
      <c r="C99" s="36"/>
      <c r="D99" s="36"/>
      <c r="E99" s="36"/>
      <c r="F99" s="36"/>
      <c r="G99" s="235"/>
      <c r="H99" s="281"/>
      <c r="I99" s="402"/>
      <c r="J99" s="281"/>
      <c r="K99" s="281"/>
      <c r="L99" s="281"/>
      <c r="M99" s="281"/>
      <c r="N99" s="281"/>
      <c r="O99" s="281"/>
      <c r="P99" s="281"/>
      <c r="Q99" s="281"/>
      <c r="R99" s="36"/>
      <c r="S99" s="288"/>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234"/>
      <c r="AW99" s="234"/>
      <c r="AX99" s="36"/>
      <c r="AY99" s="36"/>
      <c r="AZ99" s="234"/>
      <c r="BA99" s="234"/>
      <c r="BB99" s="234"/>
    </row>
    <row r="100" spans="1:54" x14ac:dyDescent="0.25">
      <c r="A100" s="36"/>
      <c r="B100" s="36"/>
      <c r="C100" s="36"/>
      <c r="D100" s="36"/>
      <c r="E100" s="36" t="s">
        <v>739</v>
      </c>
      <c r="F100" s="36"/>
      <c r="G100" s="235">
        <f>'Band Values'!F14</f>
        <v>14004.235952555704</v>
      </c>
      <c r="H100" s="281"/>
      <c r="I100" s="402"/>
      <c r="J100" s="281"/>
      <c r="K100" s="281"/>
      <c r="L100" s="281"/>
      <c r="M100" s="281"/>
      <c r="N100" s="281"/>
      <c r="O100" s="281"/>
      <c r="P100" s="281"/>
      <c r="Q100" s="281"/>
      <c r="R100" s="36"/>
      <c r="S100" s="288"/>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234"/>
      <c r="AW100" s="234"/>
      <c r="AX100" s="36"/>
      <c r="AY100" s="36"/>
      <c r="AZ100" s="234"/>
      <c r="BA100" s="234"/>
      <c r="BB100" s="234"/>
    </row>
    <row r="101" spans="1:54" x14ac:dyDescent="0.25">
      <c r="A101" s="36"/>
      <c r="B101" s="36"/>
      <c r="C101" s="36"/>
      <c r="D101" s="36"/>
      <c r="E101" s="36"/>
      <c r="F101" s="36"/>
      <c r="G101" s="235"/>
      <c r="H101" s="281"/>
      <c r="I101" s="402"/>
      <c r="J101" s="281"/>
      <c r="K101" s="281"/>
      <c r="L101" s="281"/>
      <c r="M101" s="281"/>
      <c r="N101" s="281"/>
      <c r="O101" s="281"/>
      <c r="P101" s="281"/>
      <c r="Q101" s="281"/>
      <c r="R101" s="36"/>
      <c r="S101" s="288"/>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234"/>
      <c r="AW101" s="234"/>
      <c r="AX101" s="36"/>
      <c r="AY101" s="36"/>
      <c r="AZ101" s="234"/>
      <c r="BA101" s="234"/>
      <c r="BB101" s="234"/>
    </row>
    <row r="102" spans="1:54" x14ac:dyDescent="0.25">
      <c r="A102" s="36"/>
      <c r="B102" s="36"/>
      <c r="C102" s="36"/>
      <c r="D102" s="36"/>
      <c r="E102" s="36" t="s">
        <v>741</v>
      </c>
      <c r="F102" s="36"/>
      <c r="G102" s="235">
        <f>'Band Values'!F22</f>
        <v>14877.000599571715</v>
      </c>
      <c r="H102" s="281"/>
      <c r="I102" s="402"/>
      <c r="J102" s="281"/>
      <c r="K102" s="281"/>
      <c r="L102" s="281"/>
      <c r="M102" s="281"/>
      <c r="N102" s="281"/>
      <c r="O102" s="281"/>
      <c r="P102" s="281"/>
      <c r="Q102" s="281"/>
      <c r="R102" s="36"/>
      <c r="S102" s="288"/>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234"/>
      <c r="AW102" s="234"/>
      <c r="AX102" s="36"/>
      <c r="AY102" s="36"/>
      <c r="AZ102" s="234"/>
      <c r="BA102" s="234"/>
      <c r="BB102" s="234"/>
    </row>
    <row r="103" spans="1:54" x14ac:dyDescent="0.25">
      <c r="A103" s="36"/>
      <c r="B103" s="36"/>
      <c r="C103" s="36"/>
      <c r="D103" s="36"/>
      <c r="E103" s="36"/>
      <c r="F103" s="36"/>
      <c r="G103" s="235"/>
      <c r="H103" s="281"/>
      <c r="I103" s="402"/>
      <c r="J103" s="281"/>
      <c r="K103" s="281"/>
      <c r="L103" s="281"/>
      <c r="M103" s="281"/>
      <c r="N103" s="281"/>
      <c r="O103" s="281"/>
      <c r="P103" s="281"/>
      <c r="Q103" s="281"/>
      <c r="R103" s="36"/>
      <c r="S103" s="288"/>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234"/>
      <c r="AW103" s="234"/>
      <c r="AX103" s="36"/>
      <c r="AY103" s="36"/>
      <c r="AZ103" s="234"/>
      <c r="BA103" s="234"/>
      <c r="BB103" s="234"/>
    </row>
    <row r="104" spans="1:54" x14ac:dyDescent="0.25">
      <c r="A104" s="36"/>
      <c r="B104" s="36"/>
      <c r="C104" s="36"/>
      <c r="D104" s="36"/>
      <c r="E104" s="36" t="s">
        <v>743</v>
      </c>
      <c r="F104" s="36"/>
      <c r="G104" s="235">
        <f>'Band Values'!F24</f>
        <v>22512.750755794426</v>
      </c>
      <c r="H104" s="281"/>
      <c r="I104" s="402"/>
      <c r="J104" s="281"/>
      <c r="K104" s="281"/>
      <c r="L104" s="281"/>
      <c r="M104" s="281"/>
      <c r="N104" s="281"/>
      <c r="O104" s="281"/>
      <c r="P104" s="281"/>
      <c r="Q104" s="281"/>
      <c r="R104" s="36"/>
      <c r="S104" s="288"/>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234"/>
      <c r="AW104" s="234"/>
      <c r="AX104" s="36"/>
      <c r="AY104" s="36"/>
      <c r="AZ104" s="234"/>
      <c r="BA104" s="234"/>
      <c r="BB104" s="234"/>
    </row>
    <row r="105" spans="1:54" ht="14" x14ac:dyDescent="0.3">
      <c r="A105" s="36"/>
      <c r="B105" s="37"/>
      <c r="C105" s="38"/>
      <c r="D105" s="39"/>
      <c r="E105" s="281"/>
      <c r="F105" s="36"/>
      <c r="G105" s="36"/>
      <c r="H105" s="282"/>
      <c r="I105" s="402"/>
      <c r="J105" s="281"/>
      <c r="K105" s="282"/>
      <c r="L105" s="282"/>
      <c r="M105" s="282"/>
      <c r="N105" s="282"/>
      <c r="O105" s="282"/>
      <c r="P105" s="282"/>
      <c r="Q105" s="282"/>
      <c r="R105" s="36"/>
      <c r="S105" s="288"/>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234"/>
      <c r="AW105" s="234"/>
      <c r="AX105" s="36"/>
      <c r="AY105" s="36"/>
      <c r="AZ105" s="234"/>
      <c r="BA105" s="234"/>
      <c r="BB105" s="234"/>
    </row>
    <row r="106" spans="1:54" ht="14" x14ac:dyDescent="0.3">
      <c r="A106" s="36"/>
      <c r="B106" s="40"/>
      <c r="C106" s="38"/>
      <c r="D106" s="36"/>
      <c r="E106" s="36" t="s">
        <v>913</v>
      </c>
      <c r="F106" s="36"/>
      <c r="G106" s="235">
        <f>'Band Values'!F20</f>
        <v>2635</v>
      </c>
      <c r="H106" s="281"/>
      <c r="I106" s="402"/>
      <c r="J106" s="281"/>
      <c r="K106" s="281"/>
      <c r="L106" s="281"/>
      <c r="M106" s="281"/>
      <c r="N106" s="281"/>
      <c r="O106" s="281"/>
      <c r="P106" s="281"/>
      <c r="Q106" s="281"/>
      <c r="R106" s="36"/>
      <c r="S106" s="288"/>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234"/>
      <c r="AW106" s="234"/>
      <c r="AX106" s="36"/>
      <c r="AY106" s="36"/>
      <c r="AZ106" s="234"/>
      <c r="BA106" s="234"/>
      <c r="BB106" s="234"/>
    </row>
    <row r="107" spans="1:54" x14ac:dyDescent="0.25">
      <c r="A107" s="36"/>
      <c r="B107" s="36"/>
      <c r="C107" s="36"/>
      <c r="D107" s="36"/>
      <c r="E107" s="36"/>
      <c r="F107" s="402"/>
      <c r="G107" s="234"/>
      <c r="H107" s="36"/>
      <c r="I107" s="36"/>
      <c r="J107" s="36"/>
      <c r="K107" s="36"/>
      <c r="L107" s="36"/>
      <c r="M107" s="36"/>
      <c r="N107" s="36"/>
      <c r="O107" s="36"/>
      <c r="P107" s="36"/>
      <c r="Q107" s="36"/>
      <c r="R107" s="36"/>
      <c r="S107" s="288"/>
      <c r="T107" s="36"/>
      <c r="U107" s="36"/>
      <c r="V107" s="36"/>
      <c r="W107" s="36"/>
      <c r="X107" s="36"/>
      <c r="Y107" s="36"/>
      <c r="Z107" s="36"/>
      <c r="AA107" s="36"/>
      <c r="AB107" s="36"/>
      <c r="AC107" s="36"/>
      <c r="AD107" s="36"/>
      <c r="AE107" s="36"/>
      <c r="AF107" s="36"/>
      <c r="AG107" s="36"/>
      <c r="AH107" s="36"/>
      <c r="AI107" s="36"/>
      <c r="AJ107" s="36"/>
      <c r="AK107" s="36"/>
      <c r="AL107" s="36"/>
      <c r="AM107" s="36"/>
      <c r="AN107" s="234"/>
      <c r="AO107" s="234"/>
      <c r="AP107" s="36"/>
      <c r="AQ107" s="36"/>
      <c r="AR107" s="234"/>
      <c r="AS107" s="234"/>
      <c r="AT107" s="234"/>
      <c r="AU107" s="36"/>
      <c r="AV107" s="36"/>
      <c r="AW107" s="36"/>
      <c r="AX107" s="36"/>
      <c r="AY107" s="36"/>
      <c r="AZ107" s="36"/>
      <c r="BA107" s="36"/>
      <c r="BB107" s="36"/>
    </row>
    <row r="108" spans="1:54" x14ac:dyDescent="0.25">
      <c r="A108" s="36"/>
      <c r="B108" s="36"/>
      <c r="C108" s="36"/>
      <c r="D108" s="36"/>
      <c r="E108" s="36"/>
      <c r="F108" s="234"/>
      <c r="G108" s="234"/>
      <c r="H108" s="36"/>
      <c r="I108" s="36"/>
      <c r="J108" s="36"/>
      <c r="K108" s="36"/>
      <c r="L108" s="36"/>
      <c r="M108" s="36"/>
      <c r="N108" s="36"/>
      <c r="O108" s="36"/>
      <c r="P108" s="36"/>
      <c r="Q108" s="36"/>
      <c r="R108" s="36"/>
      <c r="S108" s="288"/>
      <c r="T108" s="36"/>
      <c r="U108" s="36"/>
      <c r="V108" s="36"/>
      <c r="W108" s="36"/>
      <c r="X108" s="36"/>
      <c r="Y108" s="36"/>
      <c r="Z108" s="36"/>
      <c r="AA108" s="36"/>
      <c r="AB108" s="36"/>
      <c r="AC108" s="36"/>
      <c r="AD108" s="36"/>
      <c r="AE108" s="36"/>
      <c r="AF108" s="36"/>
      <c r="AG108" s="36"/>
      <c r="AH108" s="36"/>
      <c r="AI108" s="36"/>
      <c r="AJ108" s="36"/>
      <c r="AK108" s="36"/>
      <c r="AL108" s="36"/>
      <c r="AM108" s="36"/>
      <c r="AN108" s="234"/>
      <c r="AO108" s="234"/>
      <c r="AP108" s="36"/>
      <c r="AQ108" s="36"/>
      <c r="AR108" s="234"/>
      <c r="AS108" s="234"/>
      <c r="AT108" s="234"/>
      <c r="AU108" s="36"/>
      <c r="AV108" s="36"/>
      <c r="AW108" s="36"/>
      <c r="AX108" s="36"/>
      <c r="AY108" s="36"/>
      <c r="AZ108" s="36"/>
      <c r="BA108" s="36"/>
      <c r="BB108" s="36"/>
    </row>
    <row r="109" spans="1:54" ht="12.75" customHeight="1" x14ac:dyDescent="0.25">
      <c r="A109" s="36"/>
      <c r="B109" s="36"/>
      <c r="C109" s="36"/>
      <c r="D109" s="36"/>
      <c r="E109" s="36"/>
      <c r="F109" s="234"/>
      <c r="G109" s="234"/>
      <c r="H109" s="36"/>
      <c r="I109" s="36"/>
      <c r="J109" s="36"/>
      <c r="K109" s="36"/>
      <c r="L109" s="36"/>
      <c r="M109" s="36"/>
      <c r="N109" s="36"/>
      <c r="O109" s="36"/>
      <c r="P109" s="36"/>
      <c r="Q109" s="36"/>
      <c r="R109" s="36"/>
      <c r="S109" s="288"/>
      <c r="T109" s="36"/>
      <c r="U109" s="36"/>
      <c r="V109" s="36"/>
      <c r="W109" s="36"/>
      <c r="X109" s="36"/>
      <c r="Y109" s="36"/>
      <c r="Z109" s="36"/>
      <c r="AA109" s="36"/>
      <c r="AB109" s="36"/>
      <c r="AC109" s="36"/>
      <c r="AD109" s="36"/>
      <c r="AE109" s="36"/>
      <c r="AF109" s="36"/>
      <c r="AG109" s="36"/>
      <c r="AH109" s="36"/>
      <c r="AI109" s="36"/>
      <c r="AJ109" s="36"/>
      <c r="AK109" s="36"/>
      <c r="AL109" s="36"/>
      <c r="AM109" s="36"/>
      <c r="AN109" s="234"/>
      <c r="AO109" s="234"/>
      <c r="AP109" s="36"/>
      <c r="AQ109" s="36"/>
      <c r="AR109" s="234"/>
      <c r="AS109" s="234"/>
      <c r="AT109" s="234"/>
      <c r="AU109" s="36"/>
      <c r="AV109" s="36"/>
      <c r="AW109" s="36"/>
      <c r="AX109" s="36"/>
      <c r="AY109" s="36"/>
      <c r="AZ109" s="36"/>
      <c r="BA109" s="36"/>
      <c r="BB109" s="36"/>
    </row>
    <row r="110" spans="1:54" ht="12.75" customHeight="1" x14ac:dyDescent="0.3">
      <c r="A110" s="36"/>
      <c r="B110" s="36"/>
      <c r="C110" s="36"/>
      <c r="D110" s="1448" t="s">
        <v>284</v>
      </c>
      <c r="E110" s="1449"/>
      <c r="F110" s="1450"/>
      <c r="G110" s="1448" t="s">
        <v>264</v>
      </c>
      <c r="H110" s="1449"/>
      <c r="I110" s="1450"/>
      <c r="J110" s="170" t="s">
        <v>285</v>
      </c>
      <c r="K110" s="1448" t="s">
        <v>284</v>
      </c>
      <c r="L110" s="1449"/>
      <c r="M110" s="1450"/>
      <c r="N110" s="1448" t="s">
        <v>264</v>
      </c>
      <c r="O110" s="1449"/>
      <c r="P110" s="1450"/>
      <c r="Q110" s="170" t="s">
        <v>285</v>
      </c>
      <c r="R110" s="171" t="s">
        <v>285</v>
      </c>
      <c r="S110" s="450"/>
      <c r="T110" s="173"/>
      <c r="U110" s="36"/>
      <c r="V110" s="36"/>
      <c r="W110" s="36"/>
      <c r="X110" s="36"/>
      <c r="Y110" s="36"/>
      <c r="Z110" s="36"/>
      <c r="AA110" s="36"/>
      <c r="AB110" s="36"/>
      <c r="AC110" s="36"/>
      <c r="AD110" s="36"/>
      <c r="AE110" s="36"/>
      <c r="AF110" s="36"/>
      <c r="AG110" s="36"/>
      <c r="AH110" s="36"/>
      <c r="AI110" s="1443" t="s">
        <v>286</v>
      </c>
      <c r="AJ110" s="36"/>
      <c r="AK110" s="36"/>
      <c r="AL110" s="234"/>
      <c r="AM110" s="234"/>
      <c r="AN110" s="36"/>
      <c r="AO110" s="36"/>
      <c r="AP110" s="234"/>
      <c r="AQ110" s="234"/>
      <c r="AR110" s="234"/>
      <c r="AS110" s="36"/>
      <c r="AT110" s="36"/>
      <c r="AU110" s="36"/>
      <c r="AV110" s="36"/>
      <c r="AW110" s="36"/>
      <c r="AX110" s="36"/>
      <c r="AY110" s="36"/>
      <c r="AZ110" s="36"/>
      <c r="BA110" s="36"/>
      <c r="BB110" s="36"/>
    </row>
    <row r="111" spans="1:54" ht="41.25" customHeight="1" x14ac:dyDescent="0.3">
      <c r="A111" s="283" t="s">
        <v>182</v>
      </c>
      <c r="B111" s="284" t="s">
        <v>183</v>
      </c>
      <c r="C111" s="238" t="s">
        <v>184</v>
      </c>
      <c r="D111" s="241" t="str">
        <f t="shared" ref="D111:D129" si="20">L5</f>
        <v>Pre-16 Funding (Apr-Aug)</v>
      </c>
      <c r="E111" s="242" t="str">
        <f t="shared" ref="E111:E129" si="21">L49</f>
        <v>Pre-16 Funding (Sept-Mar)</v>
      </c>
      <c r="F111" s="96" t="s">
        <v>288</v>
      </c>
      <c r="G111" s="242" t="str">
        <f t="shared" ref="G111:G129" si="22">L27</f>
        <v>Post-16 Funding (Apr-Jul)</v>
      </c>
      <c r="H111" s="241" t="str">
        <f t="shared" ref="H111:H129" si="23">L71</f>
        <v>Post-16 Funding (Aug-Mar)</v>
      </c>
      <c r="I111" s="96" t="s">
        <v>289</v>
      </c>
      <c r="J111" s="96" t="s">
        <v>290</v>
      </c>
      <c r="K111" s="241" t="str">
        <f t="shared" ref="K111:K129" si="24">M5</f>
        <v>Additionality Funding (Apr-Aug)</v>
      </c>
      <c r="L111" s="241" t="str">
        <f t="shared" ref="L111:L129" si="25">M49</f>
        <v>Additionality Funding (Sept-Mar)</v>
      </c>
      <c r="M111" s="96" t="s">
        <v>291</v>
      </c>
      <c r="N111" s="241" t="str">
        <f t="shared" ref="N111:N129" si="26">M27</f>
        <v>Additionality Funding (Apr-Jul)</v>
      </c>
      <c r="O111" s="242" t="str">
        <f t="shared" ref="O111:O129" si="27">M71</f>
        <v>Additionality Funding (Aug-Mar)</v>
      </c>
      <c r="P111" s="96" t="s">
        <v>291</v>
      </c>
      <c r="Q111" s="96" t="s">
        <v>292</v>
      </c>
      <c r="R111" s="96" t="s">
        <v>189</v>
      </c>
      <c r="S111" s="1027" t="s">
        <v>293</v>
      </c>
      <c r="T111" s="241" t="s">
        <v>294</v>
      </c>
      <c r="U111" s="241" t="s">
        <v>888</v>
      </c>
      <c r="V111" s="241" t="s">
        <v>295</v>
      </c>
      <c r="W111" s="241" t="s">
        <v>267</v>
      </c>
      <c r="X111" s="96" t="s">
        <v>296</v>
      </c>
      <c r="Y111" s="323" t="s">
        <v>189</v>
      </c>
      <c r="Z111" s="241" t="s">
        <v>194</v>
      </c>
      <c r="AA111" s="241" t="s">
        <v>297</v>
      </c>
      <c r="AB111" s="241" t="s">
        <v>298</v>
      </c>
      <c r="AC111" s="96" t="s">
        <v>299</v>
      </c>
      <c r="AD111" s="241" t="s">
        <v>300</v>
      </c>
      <c r="AE111" s="241" t="s">
        <v>301</v>
      </c>
      <c r="AF111" s="96" t="s">
        <v>302</v>
      </c>
      <c r="AG111" s="96" t="s">
        <v>303</v>
      </c>
      <c r="AH111" s="284"/>
      <c r="AI111" s="1444"/>
      <c r="AJ111" s="36"/>
      <c r="AK111" s="36"/>
      <c r="AL111" s="71" t="s">
        <v>1186</v>
      </c>
      <c r="AM111" s="71" t="s">
        <v>914</v>
      </c>
      <c r="AN111" s="71" t="s">
        <v>1187</v>
      </c>
      <c r="AO111" s="36"/>
      <c r="AP111" s="457" t="s">
        <v>1188</v>
      </c>
      <c r="AQ111" s="71" t="s">
        <v>1189</v>
      </c>
      <c r="AR111" s="73" t="s">
        <v>1187</v>
      </c>
      <c r="AS111" s="36"/>
      <c r="AT111" s="36"/>
      <c r="AU111" s="36"/>
      <c r="AV111" s="36"/>
      <c r="AW111" s="36"/>
      <c r="AX111" s="36"/>
      <c r="AY111" s="36"/>
      <c r="AZ111" s="36"/>
      <c r="BA111" s="36"/>
      <c r="BB111" s="36"/>
    </row>
    <row r="112" spans="1:54" ht="13" x14ac:dyDescent="0.3">
      <c r="A112" s="244">
        <v>9257010</v>
      </c>
      <c r="B112" s="237" t="s">
        <v>205</v>
      </c>
      <c r="C112" s="238">
        <v>4</v>
      </c>
      <c r="D112" s="245">
        <f t="shared" si="20"/>
        <v>264258.25188916276</v>
      </c>
      <c r="E112" s="245">
        <f t="shared" si="21"/>
        <v>412649.42410384642</v>
      </c>
      <c r="F112" s="68">
        <f>SUM(D112:E112)</f>
        <v>676907.67599300924</v>
      </c>
      <c r="G112" s="245">
        <f t="shared" si="22"/>
        <v>32524.092540204641</v>
      </c>
      <c r="H112" s="245">
        <f t="shared" si="23"/>
        <v>56917.16194535813</v>
      </c>
      <c r="I112" s="68">
        <f>SUM(G112:H112)</f>
        <v>89441.254485562764</v>
      </c>
      <c r="J112" s="68">
        <f>F112+I112</f>
        <v>766348.93047857203</v>
      </c>
      <c r="K112" s="245">
        <f t="shared" si="24"/>
        <v>3568.229166666667</v>
      </c>
      <c r="L112" s="245">
        <f t="shared" si="25"/>
        <v>5571.9270833333339</v>
      </c>
      <c r="M112" s="68">
        <f>SUM(K112:L112)</f>
        <v>9140.15625</v>
      </c>
      <c r="N112" s="245">
        <f t="shared" si="26"/>
        <v>439.16666666666663</v>
      </c>
      <c r="O112" s="245">
        <f t="shared" si="27"/>
        <v>768.54166666666663</v>
      </c>
      <c r="P112" s="68">
        <f>SUM(N112:O112)</f>
        <v>1207.7083333333333</v>
      </c>
      <c r="Q112" s="68">
        <f>M112+P112</f>
        <v>10347.864583333334</v>
      </c>
      <c r="R112" s="68">
        <f t="shared" ref="R112:R129" si="28">F112+I112+M112+P112</f>
        <v>776696.7950619054</v>
      </c>
      <c r="S112" s="286">
        <f>(K6*(5/12))+(K50*(7/12))+(K28*(4/12))+(K72*(8/12))</f>
        <v>62.833333333333329</v>
      </c>
      <c r="T112" s="245">
        <f>R112/S112</f>
        <v>12361.222202576744</v>
      </c>
      <c r="U112" s="237"/>
      <c r="V112" s="245">
        <f t="shared" ref="V112:V129" si="29">O6+O50</f>
        <v>555000</v>
      </c>
      <c r="W112" s="245">
        <f t="shared" ref="W112:W129" si="30">O28+O72</f>
        <v>73333.333333333328</v>
      </c>
      <c r="X112" s="245">
        <f>V112+W112</f>
        <v>628333.33333333337</v>
      </c>
      <c r="Y112" s="245">
        <f>VLOOKUP(A112,'2021 Funding Detail'!$A$4:$AO$23,34,FALSE)</f>
        <v>1246590.5356464619</v>
      </c>
      <c r="Z112" s="245">
        <f>Y112-X112</f>
        <v>618257.20231312851</v>
      </c>
      <c r="AA112" s="245">
        <f t="shared" ref="AA112:AA129" si="31">P6</f>
        <v>213192.13872866504</v>
      </c>
      <c r="AB112" s="245">
        <f t="shared" ref="AB112:AB129" si="32">P50</f>
        <v>332907.72432245396</v>
      </c>
      <c r="AC112" s="245">
        <f>AA112+AB112</f>
        <v>546099.86305111903</v>
      </c>
      <c r="AD112" s="245">
        <f t="shared" ref="AD112:AD129" si="33">P28</f>
        <v>26239.032458912625</v>
      </c>
      <c r="AE112" s="245">
        <f t="shared" ref="AE112:AE129" si="34">P72</f>
        <v>45918.30680309709</v>
      </c>
      <c r="AF112" s="245">
        <f>AD112+AE112</f>
        <v>72157.339262009715</v>
      </c>
      <c r="AG112" s="245">
        <f>AC112+AF112</f>
        <v>618257.20231312874</v>
      </c>
      <c r="AH112" s="287"/>
      <c r="AI112" s="1029">
        <f>X112+AC112+AF112</f>
        <v>1246590.5356464619</v>
      </c>
      <c r="AJ112" s="247" t="s">
        <v>206</v>
      </c>
      <c r="AK112" s="298"/>
      <c r="AL112" s="235">
        <f>SUM(R6,R28,R50,R72)</f>
        <v>198921.25863127731</v>
      </c>
      <c r="AM112" s="235">
        <f>SUM('1920 Band Calculations'!R6,'1920 Band Calculations'!R28,'1920 Band Calculations'!R50,'1920 Band Calculations'!R72)</f>
        <v>154743.89373670361</v>
      </c>
      <c r="AN112" s="235">
        <f>AL112-AM112</f>
        <v>44177.364894573693</v>
      </c>
      <c r="AO112" s="36"/>
      <c r="AP112" s="269">
        <f>'2021 Funding Detail'!M4-'1920 Funding Detail'!M4</f>
        <v>3.9166666666666572</v>
      </c>
      <c r="AQ112" s="269">
        <f>'2021 Band Moderations'!R51</f>
        <v>2</v>
      </c>
      <c r="AR112" s="269">
        <f t="shared" ref="AR112:AR122" si="35">AP112-AQ112</f>
        <v>1.9166666666666572</v>
      </c>
      <c r="AS112" s="36"/>
      <c r="AT112" s="36"/>
      <c r="AU112" s="36"/>
      <c r="AV112" s="36"/>
      <c r="AW112" s="36"/>
      <c r="AX112" s="36"/>
      <c r="AY112" s="36"/>
      <c r="AZ112" s="36"/>
      <c r="BA112" s="36"/>
      <c r="BB112" s="36"/>
    </row>
    <row r="113" spans="1:54" ht="13" x14ac:dyDescent="0.3">
      <c r="A113" s="244">
        <v>9257005</v>
      </c>
      <c r="B113" s="237" t="s">
        <v>208</v>
      </c>
      <c r="C113" s="238">
        <v>4</v>
      </c>
      <c r="D113" s="245">
        <f t="shared" si="20"/>
        <v>242842.28767712403</v>
      </c>
      <c r="E113" s="245">
        <f t="shared" si="21"/>
        <v>346517.26433928084</v>
      </c>
      <c r="F113" s="68">
        <f t="shared" ref="F113:F129" si="36">SUM(D113:E113)</f>
        <v>589359.55201640492</v>
      </c>
      <c r="G113" s="245">
        <f t="shared" si="22"/>
        <v>85928.809485751568</v>
      </c>
      <c r="H113" s="245">
        <f t="shared" si="23"/>
        <v>194273.8301416992</v>
      </c>
      <c r="I113" s="68">
        <f t="shared" ref="I113:I129" si="37">SUM(G113:H113)</f>
        <v>280202.63962745079</v>
      </c>
      <c r="J113" s="68">
        <f t="shared" ref="J113:J128" si="38">F113+I113</f>
        <v>869562.19164385577</v>
      </c>
      <c r="K113" s="245">
        <f t="shared" si="24"/>
        <v>3756.0307017543864</v>
      </c>
      <c r="L113" s="245">
        <f t="shared" si="25"/>
        <v>5359.5668859649122</v>
      </c>
      <c r="M113" s="68">
        <f t="shared" ref="M113:M129" si="39">SUM(K113:L113)</f>
        <v>9115.5975877192977</v>
      </c>
      <c r="N113" s="245">
        <f t="shared" si="26"/>
        <v>1329.0570175438595</v>
      </c>
      <c r="O113" s="245">
        <f t="shared" si="27"/>
        <v>3004.8245614035086</v>
      </c>
      <c r="P113" s="68">
        <f t="shared" ref="P113:P129" si="40">SUM(N113:O113)</f>
        <v>4333.8815789473683</v>
      </c>
      <c r="Q113" s="68">
        <f t="shared" ref="Q113:Q129" si="41">M113+P113</f>
        <v>13449.479166666666</v>
      </c>
      <c r="R113" s="68">
        <f t="shared" si="28"/>
        <v>883011.67081052251</v>
      </c>
      <c r="S113" s="286">
        <f t="shared" ref="S113:S129" si="42">(K7*(5/12))+(K51*(7/12))+(K29*(4/12))+(K73*(8/12))</f>
        <v>77.583333333333329</v>
      </c>
      <c r="T113" s="245">
        <f t="shared" ref="T113:T129" si="43">R113/S113</f>
        <v>11381.460848255931</v>
      </c>
      <c r="U113" s="237"/>
      <c r="V113" s="245">
        <f t="shared" si="29"/>
        <v>525833.33333333337</v>
      </c>
      <c r="W113" s="245">
        <f t="shared" si="30"/>
        <v>249999.99999999997</v>
      </c>
      <c r="X113" s="245">
        <f t="shared" ref="X113:X129" si="44">V113+W113</f>
        <v>775833.33333333337</v>
      </c>
      <c r="Y113" s="245">
        <f>VLOOKUP(A113,'2021 Funding Detail'!$A$4:$AO$23,34,FALSE)</f>
        <v>1342232.5641698339</v>
      </c>
      <c r="Z113" s="245">
        <f t="shared" ref="Z113:Z129" si="45">Y113-X113</f>
        <v>566399.23083650053</v>
      </c>
      <c r="AA113" s="245">
        <f t="shared" si="31"/>
        <v>158178.08809612261</v>
      </c>
      <c r="AB113" s="245">
        <f t="shared" si="32"/>
        <v>225707.96416792885</v>
      </c>
      <c r="AC113" s="245">
        <f t="shared" ref="AC113:AC129" si="46">AA113+AB113</f>
        <v>383886.05226405145</v>
      </c>
      <c r="AD113" s="245">
        <f t="shared" si="33"/>
        <v>55970.708095551083</v>
      </c>
      <c r="AE113" s="245">
        <f t="shared" si="34"/>
        <v>126542.4704768981</v>
      </c>
      <c r="AF113" s="245">
        <f t="shared" ref="AF113:AF129" si="47">AD113+AE113</f>
        <v>182513.17857244919</v>
      </c>
      <c r="AG113" s="245">
        <f t="shared" ref="AG113:AG129" si="48">AC113+AF113</f>
        <v>566399.23083650065</v>
      </c>
      <c r="AH113" s="287"/>
      <c r="AI113" s="1029">
        <f t="shared" ref="AI113:AI129" si="49">X113+AC113+AF113</f>
        <v>1342232.5641698339</v>
      </c>
      <c r="AJ113" s="247" t="s">
        <v>206</v>
      </c>
      <c r="AK113" s="298"/>
      <c r="AL113" s="235">
        <f t="shared" ref="AL113:AL129" si="50">SUM(R7,R29,R51,R73)</f>
        <v>91927.065586160563</v>
      </c>
      <c r="AM113" s="235">
        <f>SUM('1920 Band Calculations'!R7,'1920 Band Calculations'!R29,'1920 Band Calculations'!R51,'1920 Band Calculations'!R73)</f>
        <v>133707.485907725</v>
      </c>
      <c r="AN113" s="235">
        <f t="shared" ref="AN113:AN129" si="51">AL113-AM113</f>
        <v>-41780.420321564437</v>
      </c>
      <c r="AO113" s="36"/>
      <c r="AP113" s="269">
        <f>'2021 Funding Detail'!M5-'1920 Funding Detail'!M5</f>
        <v>4.3333333333333286</v>
      </c>
      <c r="AQ113" s="269">
        <f>'2021 Band Moderations'!R52</f>
        <v>-2</v>
      </c>
      <c r="AR113" s="269">
        <f t="shared" si="35"/>
        <v>6.3333333333333286</v>
      </c>
      <c r="AS113" s="36"/>
      <c r="AT113" s="36"/>
      <c r="AU113" s="36"/>
      <c r="AV113" s="36"/>
      <c r="AW113" s="36"/>
      <c r="AX113" s="36"/>
      <c r="AY113" s="36"/>
      <c r="AZ113" s="36"/>
      <c r="BA113" s="36"/>
      <c r="BB113" s="36"/>
    </row>
    <row r="114" spans="1:54" ht="13" x14ac:dyDescent="0.3">
      <c r="A114" s="244">
        <v>9257025</v>
      </c>
      <c r="B114" s="237" t="s">
        <v>209</v>
      </c>
      <c r="C114" s="238">
        <v>4</v>
      </c>
      <c r="D114" s="245">
        <f t="shared" si="20"/>
        <v>245837.88479318543</v>
      </c>
      <c r="E114" s="245">
        <f t="shared" si="21"/>
        <v>344173.0387104596</v>
      </c>
      <c r="F114" s="68">
        <f t="shared" si="36"/>
        <v>590010.923503645</v>
      </c>
      <c r="G114" s="245">
        <f t="shared" si="22"/>
        <v>63215.456089676249</v>
      </c>
      <c r="H114" s="245">
        <f t="shared" si="23"/>
        <v>140478.79131039165</v>
      </c>
      <c r="I114" s="68">
        <f t="shared" si="37"/>
        <v>203694.24740006789</v>
      </c>
      <c r="J114" s="68">
        <f t="shared" si="38"/>
        <v>793705.17090371286</v>
      </c>
      <c r="K114" s="245">
        <f t="shared" si="24"/>
        <v>4154.2792792792798</v>
      </c>
      <c r="L114" s="245">
        <f t="shared" si="25"/>
        <v>5815.990990990992</v>
      </c>
      <c r="M114" s="68">
        <f t="shared" si="39"/>
        <v>9970.2702702702718</v>
      </c>
      <c r="N114" s="245">
        <f t="shared" si="26"/>
        <v>1068.2432432432431</v>
      </c>
      <c r="O114" s="245">
        <f t="shared" si="27"/>
        <v>2373.8738738738739</v>
      </c>
      <c r="P114" s="68">
        <f t="shared" si="40"/>
        <v>3442.1171171171172</v>
      </c>
      <c r="Q114" s="68">
        <f t="shared" si="41"/>
        <v>13412.387387387389</v>
      </c>
      <c r="R114" s="68">
        <f t="shared" si="28"/>
        <v>807117.55829110031</v>
      </c>
      <c r="S114" s="286">
        <f t="shared" si="42"/>
        <v>75.333333333333343</v>
      </c>
      <c r="T114" s="245">
        <f t="shared" si="43"/>
        <v>10713.949888819914</v>
      </c>
      <c r="U114" s="237"/>
      <c r="V114" s="245">
        <f t="shared" si="29"/>
        <v>560000</v>
      </c>
      <c r="W114" s="245">
        <f t="shared" si="30"/>
        <v>193333.33333333331</v>
      </c>
      <c r="X114" s="245">
        <f t="shared" si="44"/>
        <v>753333.33333333326</v>
      </c>
      <c r="Y114" s="245">
        <f>VLOOKUP(A114,'2021 Funding Detail'!$A$4:$AO$23,34,FALSE)</f>
        <v>1291698.3608577258</v>
      </c>
      <c r="Z114" s="245">
        <f t="shared" si="45"/>
        <v>538365.02752439259</v>
      </c>
      <c r="AA114" s="245">
        <f t="shared" si="31"/>
        <v>166750.22976419234</v>
      </c>
      <c r="AB114" s="245">
        <f t="shared" si="32"/>
        <v>233450.32166986927</v>
      </c>
      <c r="AC114" s="245">
        <f t="shared" si="46"/>
        <v>400200.55143406161</v>
      </c>
      <c r="AD114" s="245">
        <f t="shared" si="33"/>
        <v>42878.630510792311</v>
      </c>
      <c r="AE114" s="245">
        <f t="shared" si="34"/>
        <v>95285.845579538465</v>
      </c>
      <c r="AF114" s="245">
        <f t="shared" si="47"/>
        <v>138164.47609033078</v>
      </c>
      <c r="AG114" s="245">
        <f t="shared" si="48"/>
        <v>538365.02752439235</v>
      </c>
      <c r="AH114" s="287"/>
      <c r="AI114" s="1029">
        <f t="shared" si="49"/>
        <v>1291698.3608577258</v>
      </c>
      <c r="AJ114" s="247" t="s">
        <v>206</v>
      </c>
      <c r="AK114" s="298"/>
      <c r="AL114" s="235">
        <f t="shared" si="50"/>
        <v>91673.543618189928</v>
      </c>
      <c r="AM114" s="235">
        <f>SUM('1920 Band Calculations'!R8,'1920 Band Calculations'!R30,'1920 Band Calculations'!R52,'1920 Band Calculations'!R74)</f>
        <v>65180.497965256167</v>
      </c>
      <c r="AN114" s="235">
        <f t="shared" si="51"/>
        <v>26493.045652933761</v>
      </c>
      <c r="AO114" s="36"/>
      <c r="AP114" s="269">
        <f>'2021 Funding Detail'!M6-'1920 Funding Detail'!M6</f>
        <v>3.9166666666666572</v>
      </c>
      <c r="AQ114" s="269">
        <f>'2021 Band Moderations'!R53</f>
        <v>1</v>
      </c>
      <c r="AR114" s="269">
        <f t="shared" si="35"/>
        <v>2.9166666666666572</v>
      </c>
      <c r="AS114" s="36"/>
      <c r="AT114" s="36"/>
      <c r="AU114" s="36"/>
      <c r="AV114" s="36"/>
      <c r="AW114" s="36"/>
      <c r="AX114" s="36"/>
      <c r="AY114" s="36"/>
      <c r="AZ114" s="36"/>
      <c r="BA114" s="36"/>
      <c r="BB114" s="36"/>
    </row>
    <row r="115" spans="1:54" ht="13" x14ac:dyDescent="0.3">
      <c r="A115" s="244">
        <v>9257011</v>
      </c>
      <c r="B115" s="237" t="s">
        <v>210</v>
      </c>
      <c r="C115" s="238">
        <v>4</v>
      </c>
      <c r="D115" s="245">
        <f t="shared" si="20"/>
        <v>221210.69195865435</v>
      </c>
      <c r="E115" s="245">
        <f t="shared" si="21"/>
        <v>351926.10084331373</v>
      </c>
      <c r="F115" s="68">
        <f t="shared" si="36"/>
        <v>573136.79280196805</v>
      </c>
      <c r="G115" s="245">
        <f t="shared" si="22"/>
        <v>60330.188715996635</v>
      </c>
      <c r="H115" s="245">
        <f t="shared" si="23"/>
        <v>64352.201297063075</v>
      </c>
      <c r="I115" s="68">
        <f t="shared" si="37"/>
        <v>124682.39001305972</v>
      </c>
      <c r="J115" s="68">
        <f t="shared" si="38"/>
        <v>697819.18281502777</v>
      </c>
      <c r="K115" s="245">
        <f t="shared" si="24"/>
        <v>1822.9559748427673</v>
      </c>
      <c r="L115" s="245">
        <f t="shared" si="25"/>
        <v>2900.1572327044028</v>
      </c>
      <c r="M115" s="68">
        <f t="shared" si="39"/>
        <v>4723.1132075471705</v>
      </c>
      <c r="N115" s="245">
        <f t="shared" si="26"/>
        <v>497.16981132075472</v>
      </c>
      <c r="O115" s="245">
        <f t="shared" si="27"/>
        <v>530.31446540880495</v>
      </c>
      <c r="P115" s="68">
        <f t="shared" si="40"/>
        <v>1027.4842767295597</v>
      </c>
      <c r="Q115" s="68">
        <f t="shared" si="41"/>
        <v>5750.59748427673</v>
      </c>
      <c r="R115" s="68">
        <f t="shared" si="28"/>
        <v>703569.78029930452</v>
      </c>
      <c r="S115" s="286">
        <f t="shared" si="42"/>
        <v>57.833333333333336</v>
      </c>
      <c r="T115" s="245">
        <f t="shared" si="43"/>
        <v>12165.471705463478</v>
      </c>
      <c r="U115" s="237"/>
      <c r="V115" s="245">
        <f t="shared" si="29"/>
        <v>475000</v>
      </c>
      <c r="W115" s="245">
        <f t="shared" si="30"/>
        <v>103333.33333333333</v>
      </c>
      <c r="X115" s="245">
        <f t="shared" si="44"/>
        <v>578333.33333333337</v>
      </c>
      <c r="Y115" s="245">
        <f>VLOOKUP(A115,'2021 Funding Detail'!$A$4:$AO$23,34,FALSE)</f>
        <v>1159791.0302993045</v>
      </c>
      <c r="Z115" s="245">
        <f t="shared" si="45"/>
        <v>581457.69696597115</v>
      </c>
      <c r="AA115" s="245">
        <f t="shared" si="31"/>
        <v>184323.76560880931</v>
      </c>
      <c r="AB115" s="245">
        <f t="shared" si="32"/>
        <v>293242.35437765112</v>
      </c>
      <c r="AC115" s="245">
        <f t="shared" si="46"/>
        <v>477566.11998646043</v>
      </c>
      <c r="AD115" s="245">
        <f t="shared" si="33"/>
        <v>50270.117893311624</v>
      </c>
      <c r="AE115" s="245">
        <f t="shared" si="34"/>
        <v>53621.459086199065</v>
      </c>
      <c r="AF115" s="245">
        <f t="shared" si="47"/>
        <v>103891.57697951069</v>
      </c>
      <c r="AG115" s="245">
        <f t="shared" si="48"/>
        <v>581457.69696597115</v>
      </c>
      <c r="AH115" s="287"/>
      <c r="AI115" s="1029">
        <f t="shared" si="49"/>
        <v>1159791.0302993045</v>
      </c>
      <c r="AJ115" s="247" t="s">
        <v>206</v>
      </c>
      <c r="AK115" s="298"/>
      <c r="AL115" s="235">
        <f t="shared" si="50"/>
        <v>122829.00176510481</v>
      </c>
      <c r="AM115" s="235">
        <f>SUM('1920 Band Calculations'!R9,'1920 Band Calculations'!R31,'1920 Band Calculations'!R53,'1920 Band Calculations'!R75)</f>
        <v>120750.20859926101</v>
      </c>
      <c r="AN115" s="235">
        <f t="shared" si="51"/>
        <v>2078.7931658438029</v>
      </c>
      <c r="AO115" s="36"/>
      <c r="AP115" s="269">
        <f>'2021 Funding Detail'!M7-'1920 Funding Detail'!M7</f>
        <v>-1.1666666666666643</v>
      </c>
      <c r="AQ115" s="269">
        <f>'2021 Band Moderations'!R54</f>
        <v>0</v>
      </c>
      <c r="AR115" s="269">
        <f t="shared" si="35"/>
        <v>-1.1666666666666643</v>
      </c>
      <c r="AS115" s="36"/>
      <c r="AT115" s="36"/>
      <c r="AU115" s="36"/>
      <c r="AV115" s="36"/>
      <c r="AW115" s="36"/>
      <c r="AX115" s="36"/>
      <c r="AY115" s="36"/>
      <c r="AZ115" s="36"/>
      <c r="BA115" s="36"/>
      <c r="BB115" s="36"/>
    </row>
    <row r="116" spans="1:54" ht="13" x14ac:dyDescent="0.3">
      <c r="A116" s="244">
        <v>9257024</v>
      </c>
      <c r="B116" s="237" t="s">
        <v>211</v>
      </c>
      <c r="C116" s="238">
        <v>3</v>
      </c>
      <c r="D116" s="245">
        <f t="shared" si="20"/>
        <v>301869.74312997388</v>
      </c>
      <c r="E116" s="245">
        <f t="shared" si="21"/>
        <v>441540.81830951403</v>
      </c>
      <c r="F116" s="68">
        <f t="shared" si="36"/>
        <v>743410.56143948785</v>
      </c>
      <c r="G116" s="245">
        <f t="shared" si="22"/>
        <v>54066.222650144577</v>
      </c>
      <c r="H116" s="245">
        <f t="shared" si="23"/>
        <v>100923.61561360321</v>
      </c>
      <c r="I116" s="68">
        <f t="shared" si="37"/>
        <v>154989.83826374778</v>
      </c>
      <c r="J116" s="68">
        <f t="shared" si="38"/>
        <v>898400.3997032356</v>
      </c>
      <c r="K116" s="245">
        <f t="shared" si="24"/>
        <v>1772.5401606425703</v>
      </c>
      <c r="L116" s="245">
        <f t="shared" si="25"/>
        <v>2592.670682730924</v>
      </c>
      <c r="M116" s="68">
        <f t="shared" si="39"/>
        <v>4365.2108433734938</v>
      </c>
      <c r="N116" s="245">
        <f t="shared" si="26"/>
        <v>317.46987951807228</v>
      </c>
      <c r="O116" s="245">
        <f t="shared" si="27"/>
        <v>592.61044176706832</v>
      </c>
      <c r="P116" s="68">
        <f t="shared" si="40"/>
        <v>910.0803212851406</v>
      </c>
      <c r="Q116" s="68">
        <f t="shared" si="41"/>
        <v>5275.2911646586344</v>
      </c>
      <c r="R116" s="68">
        <f t="shared" si="28"/>
        <v>903675.69086789421</v>
      </c>
      <c r="S116" s="286">
        <f t="shared" si="42"/>
        <v>83.083333333333329</v>
      </c>
      <c r="T116" s="245">
        <f t="shared" si="43"/>
        <v>10876.738505932528</v>
      </c>
      <c r="U116" s="237"/>
      <c r="V116" s="245">
        <f t="shared" si="29"/>
        <v>687500</v>
      </c>
      <c r="W116" s="245">
        <f t="shared" si="30"/>
        <v>143333.33333333331</v>
      </c>
      <c r="X116" s="245">
        <f t="shared" si="44"/>
        <v>830833.33333333326</v>
      </c>
      <c r="Y116" s="245">
        <f>VLOOKUP(A116,'2021 Funding Detail'!$A$4:$AO$23,34,FALSE)</f>
        <v>1393583.3778828571</v>
      </c>
      <c r="Z116" s="245">
        <f t="shared" si="45"/>
        <v>562750.04454952385</v>
      </c>
      <c r="AA116" s="245">
        <f t="shared" si="31"/>
        <v>189088.53051563742</v>
      </c>
      <c r="AB116" s="245">
        <f t="shared" si="32"/>
        <v>276577.25359003682</v>
      </c>
      <c r="AC116" s="245">
        <f t="shared" si="46"/>
        <v>465665.78410567425</v>
      </c>
      <c r="AD116" s="245">
        <f t="shared" si="33"/>
        <v>33866.602480412672</v>
      </c>
      <c r="AE116" s="245">
        <f t="shared" si="34"/>
        <v>63217.657963436992</v>
      </c>
      <c r="AF116" s="245">
        <f t="shared" si="47"/>
        <v>97084.260443849664</v>
      </c>
      <c r="AG116" s="245">
        <f t="shared" si="48"/>
        <v>562750.04454952385</v>
      </c>
      <c r="AH116" s="287"/>
      <c r="AI116" s="1029">
        <f t="shared" si="49"/>
        <v>1393583.3778828571</v>
      </c>
      <c r="AJ116" s="247" t="s">
        <v>206</v>
      </c>
      <c r="AK116" s="298"/>
      <c r="AL116" s="235">
        <f t="shared" si="50"/>
        <v>180282.8313536309</v>
      </c>
      <c r="AM116" s="235">
        <f>SUM('1920 Band Calculations'!R10,'1920 Band Calculations'!R32,'1920 Band Calculations'!R54,'1920 Band Calculations'!R76)</f>
        <v>222610.83826613796</v>
      </c>
      <c r="AN116" s="235">
        <f t="shared" si="51"/>
        <v>-42328.006912507059</v>
      </c>
      <c r="AO116" s="36"/>
      <c r="AP116" s="269">
        <f>'2021 Funding Detail'!M8-'1920 Funding Detail'!M8</f>
        <v>1.9999999999999858</v>
      </c>
      <c r="AQ116" s="269">
        <f>'2021 Band Moderations'!R55</f>
        <v>-2</v>
      </c>
      <c r="AR116" s="269">
        <f t="shared" si="35"/>
        <v>3.9999999999999858</v>
      </c>
      <c r="AS116" s="36"/>
      <c r="AT116" s="36"/>
      <c r="AU116" s="36"/>
      <c r="AV116" s="36"/>
      <c r="AW116" s="36"/>
      <c r="AX116" s="36"/>
      <c r="AY116" s="36"/>
      <c r="AZ116" s="36"/>
      <c r="BA116" s="36"/>
      <c r="BB116" s="36"/>
    </row>
    <row r="117" spans="1:54" ht="13" x14ac:dyDescent="0.3">
      <c r="A117" s="244">
        <v>9257031</v>
      </c>
      <c r="B117" s="237" t="s">
        <v>257</v>
      </c>
      <c r="C117" s="238">
        <v>4</v>
      </c>
      <c r="D117" s="245">
        <f t="shared" si="20"/>
        <v>351981.63491201639</v>
      </c>
      <c r="E117" s="245">
        <f t="shared" si="21"/>
        <v>525625.9081352778</v>
      </c>
      <c r="F117" s="68">
        <f t="shared" si="36"/>
        <v>877607.54304729425</v>
      </c>
      <c r="G117" s="245">
        <f t="shared" si="22"/>
        <v>0</v>
      </c>
      <c r="H117" s="245">
        <f t="shared" si="23"/>
        <v>0</v>
      </c>
      <c r="I117" s="68">
        <f t="shared" si="37"/>
        <v>0</v>
      </c>
      <c r="J117" s="68">
        <f t="shared" si="38"/>
        <v>877607.54304729425</v>
      </c>
      <c r="K117" s="245">
        <f t="shared" si="24"/>
        <v>82343.75</v>
      </c>
      <c r="L117" s="245">
        <f t="shared" si="25"/>
        <v>122966.66666666667</v>
      </c>
      <c r="M117" s="68">
        <f t="shared" si="39"/>
        <v>205310.41666666669</v>
      </c>
      <c r="N117" s="245">
        <f t="shared" si="26"/>
        <v>0</v>
      </c>
      <c r="O117" s="245">
        <f t="shared" si="27"/>
        <v>0</v>
      </c>
      <c r="P117" s="68">
        <f t="shared" si="40"/>
        <v>0</v>
      </c>
      <c r="Q117" s="68">
        <f t="shared" si="41"/>
        <v>205310.41666666669</v>
      </c>
      <c r="R117" s="68">
        <f t="shared" si="28"/>
        <v>1082917.959713961</v>
      </c>
      <c r="S117" s="286">
        <f t="shared" si="42"/>
        <v>77.916666666666671</v>
      </c>
      <c r="T117" s="245">
        <f t="shared" si="43"/>
        <v>13898.412317184526</v>
      </c>
      <c r="U117" s="237"/>
      <c r="V117" s="245">
        <f t="shared" si="29"/>
        <v>779166.66666666674</v>
      </c>
      <c r="W117" s="245">
        <f t="shared" si="30"/>
        <v>0</v>
      </c>
      <c r="X117" s="245">
        <f t="shared" si="44"/>
        <v>779166.66666666674</v>
      </c>
      <c r="Y117" s="245">
        <f>VLOOKUP(A117,'2021 Funding Detail'!$A$4:$AO$23,34,FALSE)</f>
        <v>1542719.9956703391</v>
      </c>
      <c r="Z117" s="245">
        <f t="shared" si="45"/>
        <v>763553.32900367235</v>
      </c>
      <c r="AA117" s="245">
        <f t="shared" si="31"/>
        <v>306237.96617794345</v>
      </c>
      <c r="AB117" s="245">
        <f t="shared" si="32"/>
        <v>457315.36282572895</v>
      </c>
      <c r="AC117" s="245">
        <f t="shared" si="46"/>
        <v>763553.32900367235</v>
      </c>
      <c r="AD117" s="245">
        <f t="shared" si="33"/>
        <v>0</v>
      </c>
      <c r="AE117" s="245">
        <f t="shared" si="34"/>
        <v>0</v>
      </c>
      <c r="AF117" s="245">
        <f t="shared" si="47"/>
        <v>0</v>
      </c>
      <c r="AG117" s="245">
        <f t="shared" si="48"/>
        <v>763553.32900367235</v>
      </c>
      <c r="AH117" s="287"/>
      <c r="AI117" s="1029">
        <f t="shared" si="49"/>
        <v>1542719.9956703391</v>
      </c>
      <c r="AJ117" s="382" t="s">
        <v>206</v>
      </c>
      <c r="AK117" s="298"/>
      <c r="AL117" s="235">
        <f t="shared" si="50"/>
        <v>0</v>
      </c>
      <c r="AM117" s="235">
        <f>SUM('1920 Band Calculations'!R11,'1920 Band Calculations'!R33,'1920 Band Calculations'!R55,'1920 Band Calculations'!R77)</f>
        <v>0</v>
      </c>
      <c r="AN117" s="235">
        <f t="shared" si="51"/>
        <v>0</v>
      </c>
      <c r="AO117" s="36"/>
      <c r="AP117" s="269">
        <f>'2021 Funding Detail'!M17-'1920 Funding Detail'!M17</f>
        <v>4.1666666666666714</v>
      </c>
      <c r="AQ117" s="269">
        <f>'2021 Band Moderations'!R56</f>
        <v>0</v>
      </c>
      <c r="AR117" s="269">
        <f t="shared" si="35"/>
        <v>4.1666666666666714</v>
      </c>
      <c r="AS117" s="36"/>
      <c r="AT117" s="36"/>
      <c r="AU117" s="36"/>
      <c r="AV117" s="36"/>
      <c r="AW117" s="36"/>
      <c r="AX117" s="36"/>
      <c r="AY117" s="36"/>
      <c r="AZ117" s="36"/>
      <c r="BA117" s="36"/>
      <c r="BB117" s="36"/>
    </row>
    <row r="118" spans="1:54" ht="13" x14ac:dyDescent="0.3">
      <c r="A118" s="244">
        <v>9257033</v>
      </c>
      <c r="B118" s="237" t="s">
        <v>220</v>
      </c>
      <c r="C118" s="238">
        <v>3</v>
      </c>
      <c r="D118" s="245">
        <f t="shared" si="20"/>
        <v>343263.00577860681</v>
      </c>
      <c r="E118" s="245">
        <f t="shared" si="21"/>
        <v>522815.96264741663</v>
      </c>
      <c r="F118" s="68">
        <f t="shared" si="36"/>
        <v>866078.96842602338</v>
      </c>
      <c r="G118" s="245">
        <f t="shared" si="22"/>
        <v>0</v>
      </c>
      <c r="H118" s="245">
        <f t="shared" si="23"/>
        <v>0</v>
      </c>
      <c r="I118" s="68">
        <f t="shared" si="37"/>
        <v>0</v>
      </c>
      <c r="J118" s="68">
        <f t="shared" si="38"/>
        <v>866078.96842602338</v>
      </c>
      <c r="K118" s="245">
        <f t="shared" si="24"/>
        <v>12620.263157894738</v>
      </c>
      <c r="L118" s="245">
        <f t="shared" si="25"/>
        <v>19221.63157894737</v>
      </c>
      <c r="M118" s="68">
        <f t="shared" si="39"/>
        <v>31841.894736842107</v>
      </c>
      <c r="N118" s="245">
        <f t="shared" si="26"/>
        <v>0</v>
      </c>
      <c r="O118" s="245">
        <f t="shared" si="27"/>
        <v>0</v>
      </c>
      <c r="P118" s="68">
        <f t="shared" si="40"/>
        <v>0</v>
      </c>
      <c r="Q118" s="68">
        <f t="shared" si="41"/>
        <v>31841.894736842107</v>
      </c>
      <c r="R118" s="68">
        <f t="shared" si="28"/>
        <v>897920.86316286551</v>
      </c>
      <c r="S118" s="286">
        <f t="shared" si="42"/>
        <v>95.666666666666686</v>
      </c>
      <c r="T118" s="245">
        <f t="shared" si="43"/>
        <v>9385.9323675560845</v>
      </c>
      <c r="U118" s="237"/>
      <c r="V118" s="245">
        <f t="shared" si="29"/>
        <v>956666.66666666674</v>
      </c>
      <c r="W118" s="245">
        <f t="shared" si="30"/>
        <v>0</v>
      </c>
      <c r="X118" s="245">
        <f t="shared" si="44"/>
        <v>956666.66666666674</v>
      </c>
      <c r="Y118" s="245">
        <f>VLOOKUP(A118,'2021 Funding Detail'!$A$4:$AO$23,34,FALSE)</f>
        <v>1363567.9631628655</v>
      </c>
      <c r="Z118" s="245">
        <f t="shared" si="45"/>
        <v>406901.29649619875</v>
      </c>
      <c r="AA118" s="245">
        <f t="shared" si="31"/>
        <v>161271.85531861527</v>
      </c>
      <c r="AB118" s="245">
        <f t="shared" si="32"/>
        <v>245629.44117758327</v>
      </c>
      <c r="AC118" s="245">
        <f t="shared" si="46"/>
        <v>406901.29649619851</v>
      </c>
      <c r="AD118" s="245">
        <f t="shared" si="33"/>
        <v>0</v>
      </c>
      <c r="AE118" s="245">
        <f t="shared" si="34"/>
        <v>0</v>
      </c>
      <c r="AF118" s="245">
        <f t="shared" si="47"/>
        <v>0</v>
      </c>
      <c r="AG118" s="245">
        <f t="shared" si="48"/>
        <v>406901.29649619851</v>
      </c>
      <c r="AH118" s="287"/>
      <c r="AI118" s="1029">
        <f t="shared" si="49"/>
        <v>1363567.9631628653</v>
      </c>
      <c r="AJ118" s="382" t="s">
        <v>206</v>
      </c>
      <c r="AK118" s="298"/>
      <c r="AL118" s="235">
        <f t="shared" si="50"/>
        <v>0</v>
      </c>
      <c r="AM118" s="235">
        <f>SUM('1920 Band Calculations'!R12,'1920 Band Calculations'!R34,'1920 Band Calculations'!R56,'1920 Band Calculations'!R78)</f>
        <v>0</v>
      </c>
      <c r="AN118" s="235">
        <f t="shared" si="51"/>
        <v>0</v>
      </c>
      <c r="AO118" s="36"/>
      <c r="AP118" s="269">
        <f>'2021 Funding Detail'!M10-'1920 Funding Detail'!M10</f>
        <v>3.3333333333333428</v>
      </c>
      <c r="AQ118" s="269">
        <f>'2021 Band Moderations'!R57</f>
        <v>0</v>
      </c>
      <c r="AR118" s="269">
        <f t="shared" si="35"/>
        <v>3.3333333333333428</v>
      </c>
      <c r="AS118" s="36"/>
      <c r="AT118" s="36"/>
      <c r="AU118" s="36"/>
      <c r="AV118" s="36"/>
      <c r="AW118" s="36"/>
      <c r="AX118" s="36"/>
      <c r="AY118" s="36"/>
      <c r="AZ118" s="36"/>
      <c r="BA118" s="36"/>
      <c r="BB118" s="36"/>
    </row>
    <row r="119" spans="1:54" ht="13" x14ac:dyDescent="0.3">
      <c r="A119" s="244">
        <v>9257008</v>
      </c>
      <c r="B119" s="237" t="s">
        <v>212</v>
      </c>
      <c r="C119" s="238">
        <v>4</v>
      </c>
      <c r="D119" s="245">
        <f t="shared" si="20"/>
        <v>368748.58064119524</v>
      </c>
      <c r="E119" s="245">
        <f t="shared" si="21"/>
        <v>532550.58172602078</v>
      </c>
      <c r="F119" s="68">
        <f t="shared" si="36"/>
        <v>901299.16236721608</v>
      </c>
      <c r="G119" s="245">
        <f t="shared" si="22"/>
        <v>0</v>
      </c>
      <c r="H119" s="245">
        <f t="shared" si="23"/>
        <v>0</v>
      </c>
      <c r="I119" s="68">
        <f t="shared" si="37"/>
        <v>0</v>
      </c>
      <c r="J119" s="68">
        <f t="shared" si="38"/>
        <v>901299.16236721608</v>
      </c>
      <c r="K119" s="245">
        <f t="shared" si="24"/>
        <v>8602.2336769759459</v>
      </c>
      <c r="L119" s="245">
        <f t="shared" si="25"/>
        <v>12423.436426116839</v>
      </c>
      <c r="M119" s="68">
        <f t="shared" si="39"/>
        <v>21025.670103092787</v>
      </c>
      <c r="N119" s="245">
        <f t="shared" si="26"/>
        <v>0</v>
      </c>
      <c r="O119" s="245">
        <f t="shared" si="27"/>
        <v>0</v>
      </c>
      <c r="P119" s="68">
        <f t="shared" si="40"/>
        <v>0</v>
      </c>
      <c r="Q119" s="68">
        <f t="shared" si="41"/>
        <v>21025.670103092787</v>
      </c>
      <c r="R119" s="68">
        <f t="shared" si="28"/>
        <v>922324.83247030887</v>
      </c>
      <c r="S119" s="286">
        <f t="shared" si="42"/>
        <v>96.75</v>
      </c>
      <c r="T119" s="245">
        <f t="shared" si="43"/>
        <v>9533.0732038274818</v>
      </c>
      <c r="U119" s="237"/>
      <c r="V119" s="245">
        <f t="shared" si="29"/>
        <v>967500.00000000012</v>
      </c>
      <c r="W119" s="245">
        <f t="shared" si="30"/>
        <v>0</v>
      </c>
      <c r="X119" s="245">
        <f t="shared" si="44"/>
        <v>967500.00000000012</v>
      </c>
      <c r="Y119" s="245">
        <f>VLOOKUP(A119,'2021 Funding Detail'!$A$4:$AO$23,34,FALSE)</f>
        <v>1382136.8824703088</v>
      </c>
      <c r="Z119" s="245">
        <f t="shared" si="45"/>
        <v>414636.88247030869</v>
      </c>
      <c r="AA119" s="245">
        <f t="shared" si="31"/>
        <v>169640.4127247172</v>
      </c>
      <c r="AB119" s="245">
        <f t="shared" si="32"/>
        <v>244996.4697455916</v>
      </c>
      <c r="AC119" s="245">
        <f t="shared" si="46"/>
        <v>414636.8824703088</v>
      </c>
      <c r="AD119" s="245">
        <f t="shared" si="33"/>
        <v>0</v>
      </c>
      <c r="AE119" s="245">
        <f t="shared" si="34"/>
        <v>0</v>
      </c>
      <c r="AF119" s="245">
        <f t="shared" si="47"/>
        <v>0</v>
      </c>
      <c r="AG119" s="245">
        <f t="shared" si="48"/>
        <v>414636.8824703088</v>
      </c>
      <c r="AH119" s="287"/>
      <c r="AI119" s="1029">
        <f t="shared" si="49"/>
        <v>1382136.8824703088</v>
      </c>
      <c r="AJ119" s="382" t="s">
        <v>206</v>
      </c>
      <c r="AK119" s="298"/>
      <c r="AL119" s="235">
        <f t="shared" si="50"/>
        <v>0</v>
      </c>
      <c r="AM119" s="235">
        <f>SUM('1920 Band Calculations'!R13,'1920 Band Calculations'!R35,'1920 Band Calculations'!R57,'1920 Band Calculations'!R79)</f>
        <v>0</v>
      </c>
      <c r="AN119" s="235">
        <f t="shared" si="51"/>
        <v>0</v>
      </c>
      <c r="AO119" s="36"/>
      <c r="AP119" s="269">
        <f>'2021 Funding Detail'!M9-'1920 Funding Detail'!M9</f>
        <v>1.75</v>
      </c>
      <c r="AQ119" s="269">
        <f>'2021 Band Moderations'!R58</f>
        <v>0</v>
      </c>
      <c r="AR119" s="269">
        <f t="shared" si="35"/>
        <v>1.75</v>
      </c>
      <c r="AS119" s="36"/>
      <c r="AT119" s="36"/>
      <c r="AU119" s="36"/>
      <c r="AV119" s="36"/>
      <c r="AW119" s="36"/>
      <c r="AX119" s="36"/>
      <c r="AY119" s="36"/>
      <c r="AZ119" s="36"/>
      <c r="BA119" s="36"/>
      <c r="BB119" s="36"/>
    </row>
    <row r="120" spans="1:54" ht="13" x14ac:dyDescent="0.3">
      <c r="A120" s="244">
        <v>9257034</v>
      </c>
      <c r="B120" s="237" t="s">
        <v>221</v>
      </c>
      <c r="C120" s="238">
        <v>5</v>
      </c>
      <c r="D120" s="245">
        <f t="shared" si="20"/>
        <v>287270.39982564177</v>
      </c>
      <c r="E120" s="245">
        <f t="shared" si="21"/>
        <v>455479.33273559564</v>
      </c>
      <c r="F120" s="68">
        <f t="shared" si="36"/>
        <v>742749.73256123741</v>
      </c>
      <c r="G120" s="245">
        <f t="shared" si="22"/>
        <v>102448.23897396377</v>
      </c>
      <c r="H120" s="245">
        <f t="shared" si="23"/>
        <v>188283.25000620369</v>
      </c>
      <c r="I120" s="68">
        <f t="shared" si="37"/>
        <v>290731.48898016743</v>
      </c>
      <c r="J120" s="68">
        <f t="shared" si="38"/>
        <v>1033481.2215414048</v>
      </c>
      <c r="K120" s="245">
        <f t="shared" si="24"/>
        <v>14212.480886850153</v>
      </c>
      <c r="L120" s="245">
        <f t="shared" si="25"/>
        <v>22534.487767584102</v>
      </c>
      <c r="M120" s="68">
        <f t="shared" si="39"/>
        <v>36746.968654434255</v>
      </c>
      <c r="N120" s="245">
        <f t="shared" si="26"/>
        <v>5068.547400611621</v>
      </c>
      <c r="O120" s="245">
        <f t="shared" si="27"/>
        <v>9315.1681957186556</v>
      </c>
      <c r="P120" s="68">
        <f t="shared" si="40"/>
        <v>14383.715596330276</v>
      </c>
      <c r="Q120" s="68">
        <f t="shared" si="41"/>
        <v>51130.684250764534</v>
      </c>
      <c r="R120" s="68">
        <f t="shared" si="28"/>
        <v>1084611.9057921695</v>
      </c>
      <c r="S120" s="286">
        <f t="shared" si="42"/>
        <v>124.41666666666666</v>
      </c>
      <c r="T120" s="245">
        <f t="shared" si="43"/>
        <v>8717.5772736142226</v>
      </c>
      <c r="U120" s="237"/>
      <c r="V120" s="245">
        <f t="shared" si="29"/>
        <v>894166.66666666674</v>
      </c>
      <c r="W120" s="245">
        <f t="shared" si="30"/>
        <v>350000</v>
      </c>
      <c r="X120" s="245">
        <f t="shared" si="44"/>
        <v>1244166.6666666667</v>
      </c>
      <c r="Y120" s="245">
        <f>VLOOKUP(A120,'2021 Funding Detail'!$A$4:$AO$23,34,FALSE)</f>
        <v>1651594.5557333459</v>
      </c>
      <c r="Z120" s="245">
        <f t="shared" si="45"/>
        <v>407427.88906667917</v>
      </c>
      <c r="AA120" s="245">
        <f t="shared" si="31"/>
        <v>113250.21698772402</v>
      </c>
      <c r="AB120" s="245">
        <f t="shared" si="32"/>
        <v>179562.99464559616</v>
      </c>
      <c r="AC120" s="245">
        <f t="shared" si="46"/>
        <v>292813.2116333202</v>
      </c>
      <c r="AD120" s="245">
        <f t="shared" si="33"/>
        <v>40388.029190802787</v>
      </c>
      <c r="AE120" s="245">
        <f t="shared" si="34"/>
        <v>74226.648242556461</v>
      </c>
      <c r="AF120" s="245">
        <f t="shared" si="47"/>
        <v>114614.67743335925</v>
      </c>
      <c r="AG120" s="245">
        <f t="shared" si="48"/>
        <v>407427.88906667946</v>
      </c>
      <c r="AH120" s="287"/>
      <c r="AI120" s="1029">
        <f t="shared" si="49"/>
        <v>1651594.5557333461</v>
      </c>
      <c r="AJ120" s="382" t="s">
        <v>206</v>
      </c>
      <c r="AK120" s="298"/>
      <c r="AL120" s="235">
        <f t="shared" si="50"/>
        <v>25696.893637921319</v>
      </c>
      <c r="AM120" s="235">
        <f>SUM('1920 Band Calculations'!R14,'1920 Band Calculations'!R36,'1920 Band Calculations'!R58,'1920 Band Calculations'!R80)</f>
        <v>23434.031478687801</v>
      </c>
      <c r="AN120" s="235">
        <f t="shared" si="51"/>
        <v>2262.8621592335185</v>
      </c>
      <c r="AO120" s="36"/>
      <c r="AP120" s="269">
        <f>'2021 Funding Detail'!M23-'1920 Funding Detail'!M23</f>
        <v>7.8333333333333144</v>
      </c>
      <c r="AQ120" s="269">
        <f>'2021 Band Moderations'!R59</f>
        <v>0</v>
      </c>
      <c r="AR120" s="269">
        <f t="shared" si="35"/>
        <v>7.8333333333333144</v>
      </c>
      <c r="AS120" s="36"/>
      <c r="AT120" s="36"/>
      <c r="AU120" s="36"/>
      <c r="AV120" s="36"/>
      <c r="AW120" s="36"/>
      <c r="AX120" s="36"/>
      <c r="AY120" s="36"/>
      <c r="AZ120" s="36"/>
      <c r="BA120" s="36"/>
      <c r="BB120" s="36"/>
    </row>
    <row r="121" spans="1:54" ht="13" x14ac:dyDescent="0.3">
      <c r="A121" s="244">
        <v>9257002</v>
      </c>
      <c r="B121" s="237" t="s">
        <v>213</v>
      </c>
      <c r="C121" s="238">
        <v>5</v>
      </c>
      <c r="D121" s="245">
        <f t="shared" si="20"/>
        <v>507766.30492183176</v>
      </c>
      <c r="E121" s="245">
        <f t="shared" si="21"/>
        <v>735385.68299023912</v>
      </c>
      <c r="F121" s="68">
        <f t="shared" si="36"/>
        <v>1243151.9879120709</v>
      </c>
      <c r="G121" s="245">
        <f t="shared" si="22"/>
        <v>0</v>
      </c>
      <c r="H121" s="245">
        <f t="shared" si="23"/>
        <v>0</v>
      </c>
      <c r="I121" s="68">
        <f t="shared" si="37"/>
        <v>0</v>
      </c>
      <c r="J121" s="68">
        <f t="shared" si="38"/>
        <v>1243151.9879120709</v>
      </c>
      <c r="K121" s="245">
        <f t="shared" si="24"/>
        <v>24664.465962441314</v>
      </c>
      <c r="L121" s="245">
        <f t="shared" si="25"/>
        <v>35720.950704225354</v>
      </c>
      <c r="M121" s="68">
        <f t="shared" si="39"/>
        <v>60385.416666666672</v>
      </c>
      <c r="N121" s="245">
        <f t="shared" si="26"/>
        <v>0</v>
      </c>
      <c r="O121" s="245">
        <f t="shared" si="27"/>
        <v>0</v>
      </c>
      <c r="P121" s="68">
        <f t="shared" si="40"/>
        <v>0</v>
      </c>
      <c r="Q121" s="68">
        <f t="shared" si="41"/>
        <v>60385.416666666672</v>
      </c>
      <c r="R121" s="68">
        <f t="shared" si="28"/>
        <v>1303537.4045787377</v>
      </c>
      <c r="S121" s="286">
        <f t="shared" si="42"/>
        <v>147.91666666666669</v>
      </c>
      <c r="T121" s="245">
        <f t="shared" si="43"/>
        <v>8812.6472422224506</v>
      </c>
      <c r="U121" s="237"/>
      <c r="V121" s="245">
        <f t="shared" si="29"/>
        <v>1479166.6666666667</v>
      </c>
      <c r="W121" s="245">
        <f t="shared" si="30"/>
        <v>0</v>
      </c>
      <c r="X121" s="245">
        <f t="shared" si="44"/>
        <v>1479166.6666666667</v>
      </c>
      <c r="Y121" s="245">
        <f>VLOOKUP(A121,'2021 Funding Detail'!$A$4:$AO$23,34,FALSE)</f>
        <v>1819247.1545787377</v>
      </c>
      <c r="Z121" s="245">
        <f t="shared" si="45"/>
        <v>340080.48791207094</v>
      </c>
      <c r="AA121" s="245">
        <f t="shared" si="31"/>
        <v>138906.11478098671</v>
      </c>
      <c r="AB121" s="245">
        <f t="shared" si="32"/>
        <v>201174.37313108417</v>
      </c>
      <c r="AC121" s="245">
        <f t="shared" si="46"/>
        <v>340080.48791207088</v>
      </c>
      <c r="AD121" s="245">
        <f t="shared" si="33"/>
        <v>0</v>
      </c>
      <c r="AE121" s="245">
        <f t="shared" si="34"/>
        <v>0</v>
      </c>
      <c r="AF121" s="245">
        <f t="shared" si="47"/>
        <v>0</v>
      </c>
      <c r="AG121" s="245">
        <f t="shared" si="48"/>
        <v>340080.48791207088</v>
      </c>
      <c r="AH121" s="287"/>
      <c r="AI121" s="1029">
        <f t="shared" si="49"/>
        <v>1819247.1545787377</v>
      </c>
      <c r="AJ121" s="382" t="s">
        <v>206</v>
      </c>
      <c r="AK121" s="298"/>
      <c r="AL121" s="235">
        <f t="shared" si="50"/>
        <v>46901.564074571717</v>
      </c>
      <c r="AM121" s="235">
        <f>SUM('1920 Band Calculations'!R15,'1920 Band Calculations'!R37,'1920 Band Calculations'!R59,'1920 Band Calculations'!R81)</f>
        <v>22603.948241494982</v>
      </c>
      <c r="AN121" s="235">
        <f t="shared" si="51"/>
        <v>24297.615833076736</v>
      </c>
      <c r="AO121" s="36"/>
      <c r="AP121" s="269">
        <f>'2021 Funding Detail'!M10-'1920 Funding Detail'!M10</f>
        <v>3.3333333333333428</v>
      </c>
      <c r="AQ121" s="269">
        <f>'2021 Band Moderations'!R60</f>
        <v>1</v>
      </c>
      <c r="AR121" s="269">
        <f t="shared" si="35"/>
        <v>2.3333333333333428</v>
      </c>
      <c r="AS121" s="36"/>
      <c r="AT121" s="36"/>
      <c r="AU121" s="36"/>
      <c r="AV121" s="36"/>
      <c r="AW121" s="36"/>
      <c r="AX121" s="36"/>
      <c r="AY121" s="36"/>
      <c r="AZ121" s="36"/>
      <c r="BA121" s="36"/>
      <c r="BB121" s="36"/>
    </row>
    <row r="122" spans="1:54" ht="13" x14ac:dyDescent="0.3">
      <c r="A122" s="244">
        <v>9257009</v>
      </c>
      <c r="B122" s="237" t="s">
        <v>214</v>
      </c>
      <c r="C122" s="238">
        <v>4</v>
      </c>
      <c r="D122" s="245">
        <f t="shared" si="20"/>
        <v>466377.66141391033</v>
      </c>
      <c r="E122" s="245">
        <f t="shared" si="21"/>
        <v>657765.23506080406</v>
      </c>
      <c r="F122" s="68">
        <f t="shared" si="36"/>
        <v>1124142.8964747144</v>
      </c>
      <c r="G122" s="245">
        <f t="shared" si="22"/>
        <v>0</v>
      </c>
      <c r="H122" s="245">
        <f t="shared" si="23"/>
        <v>0</v>
      </c>
      <c r="I122" s="68">
        <f t="shared" si="37"/>
        <v>0</v>
      </c>
      <c r="J122" s="68">
        <f t="shared" si="38"/>
        <v>1124142.8964747144</v>
      </c>
      <c r="K122" s="245">
        <f t="shared" si="24"/>
        <v>12638.808139534884</v>
      </c>
      <c r="L122" s="245">
        <f t="shared" si="25"/>
        <v>17825.400516795868</v>
      </c>
      <c r="M122" s="68">
        <f t="shared" si="39"/>
        <v>30464.208656330753</v>
      </c>
      <c r="N122" s="245">
        <f t="shared" si="26"/>
        <v>0</v>
      </c>
      <c r="O122" s="245">
        <f t="shared" si="27"/>
        <v>0</v>
      </c>
      <c r="P122" s="68">
        <f t="shared" si="40"/>
        <v>0</v>
      </c>
      <c r="Q122" s="68">
        <f t="shared" si="41"/>
        <v>30464.208656330753</v>
      </c>
      <c r="R122" s="68">
        <f t="shared" si="28"/>
        <v>1154607.1051310452</v>
      </c>
      <c r="S122" s="286">
        <f t="shared" si="42"/>
        <v>135.58333333333334</v>
      </c>
      <c r="T122" s="245">
        <f t="shared" si="43"/>
        <v>8515.8483476168058</v>
      </c>
      <c r="U122" s="237"/>
      <c r="V122" s="245">
        <f t="shared" si="29"/>
        <v>1355833.3333333335</v>
      </c>
      <c r="W122" s="245">
        <f t="shared" si="30"/>
        <v>0</v>
      </c>
      <c r="X122" s="245">
        <f t="shared" si="44"/>
        <v>1355833.3333333335</v>
      </c>
      <c r="Y122" s="245">
        <f>VLOOKUP(A122,'2021 Funding Detail'!$A$4:$AO$23,34,FALSE)</f>
        <v>1744089.4100128748</v>
      </c>
      <c r="Z122" s="245">
        <f t="shared" si="45"/>
        <v>388256.07667954126</v>
      </c>
      <c r="AA122" s="245">
        <f t="shared" si="31"/>
        <v>161077.35203361424</v>
      </c>
      <c r="AB122" s="245">
        <f t="shared" si="32"/>
        <v>227178.72464592705</v>
      </c>
      <c r="AC122" s="245">
        <f t="shared" si="46"/>
        <v>388256.07667954126</v>
      </c>
      <c r="AD122" s="245">
        <f t="shared" si="33"/>
        <v>0</v>
      </c>
      <c r="AE122" s="245">
        <f t="shared" si="34"/>
        <v>0</v>
      </c>
      <c r="AF122" s="245">
        <f t="shared" si="47"/>
        <v>0</v>
      </c>
      <c r="AG122" s="245">
        <f t="shared" si="48"/>
        <v>388256.07667954126</v>
      </c>
      <c r="AH122" s="287"/>
      <c r="AI122" s="1029">
        <f t="shared" si="49"/>
        <v>1744089.4100128748</v>
      </c>
      <c r="AJ122" s="382" t="s">
        <v>206</v>
      </c>
      <c r="AK122" s="298"/>
      <c r="AL122" s="235">
        <f t="shared" si="50"/>
        <v>0</v>
      </c>
      <c r="AM122" s="235">
        <f>SUM('1920 Band Calculations'!R16,'1920 Band Calculations'!R38,'1920 Band Calculations'!R60,'1920 Band Calculations'!R82)</f>
        <v>0</v>
      </c>
      <c r="AN122" s="235">
        <f t="shared" si="51"/>
        <v>0</v>
      </c>
      <c r="AO122" s="36"/>
      <c r="AP122" s="269">
        <f>'2021 Funding Detail'!M11-'1920 Funding Detail'!M11</f>
        <v>1.4166666666666572</v>
      </c>
      <c r="AQ122" s="269">
        <f>'2021 Band Moderations'!R61</f>
        <v>0</v>
      </c>
      <c r="AR122" s="269">
        <f t="shared" si="35"/>
        <v>1.4166666666666572</v>
      </c>
      <c r="AS122" s="36"/>
      <c r="AT122" s="36"/>
      <c r="AU122" s="36"/>
      <c r="AV122" s="36"/>
      <c r="AW122" s="36"/>
      <c r="AX122" s="36"/>
      <c r="AY122" s="36"/>
      <c r="AZ122" s="36"/>
      <c r="BA122" s="36"/>
      <c r="BB122" s="36"/>
    </row>
    <row r="123" spans="1:54" ht="13" x14ac:dyDescent="0.3">
      <c r="A123" s="244">
        <v>9257029</v>
      </c>
      <c r="B123" s="237" t="s">
        <v>890</v>
      </c>
      <c r="C123" s="238">
        <v>3</v>
      </c>
      <c r="D123" s="245">
        <f t="shared" si="20"/>
        <v>319130.01565356151</v>
      </c>
      <c r="E123" s="245">
        <f t="shared" si="21"/>
        <v>459922.66961836809</v>
      </c>
      <c r="F123" s="68">
        <f t="shared" si="36"/>
        <v>779052.6852719296</v>
      </c>
      <c r="G123" s="245">
        <f t="shared" si="22"/>
        <v>0</v>
      </c>
      <c r="H123" s="245">
        <f t="shared" si="23"/>
        <v>0</v>
      </c>
      <c r="I123" s="68">
        <f t="shared" si="37"/>
        <v>0</v>
      </c>
      <c r="J123" s="68">
        <f t="shared" si="38"/>
        <v>779052.6852719296</v>
      </c>
      <c r="K123" s="245">
        <f t="shared" si="24"/>
        <v>74658.333333333343</v>
      </c>
      <c r="L123" s="245">
        <f t="shared" si="25"/>
        <v>107595.83333333334</v>
      </c>
      <c r="M123" s="68">
        <f t="shared" si="39"/>
        <v>182254.16666666669</v>
      </c>
      <c r="N123" s="245">
        <f t="shared" si="26"/>
        <v>0</v>
      </c>
      <c r="O123" s="245">
        <f t="shared" si="27"/>
        <v>0</v>
      </c>
      <c r="P123" s="68">
        <f t="shared" si="40"/>
        <v>0</v>
      </c>
      <c r="Q123" s="68">
        <f t="shared" si="41"/>
        <v>182254.16666666669</v>
      </c>
      <c r="R123" s="68">
        <f t="shared" si="28"/>
        <v>961306.85193859623</v>
      </c>
      <c r="S123" s="286">
        <f t="shared" si="42"/>
        <v>69.166666666666671</v>
      </c>
      <c r="T123" s="245">
        <f t="shared" si="43"/>
        <v>13898.412317184522</v>
      </c>
      <c r="U123" s="237"/>
      <c r="V123" s="245">
        <f t="shared" si="29"/>
        <v>691666.66666666674</v>
      </c>
      <c r="W123" s="245">
        <f t="shared" si="30"/>
        <v>0</v>
      </c>
      <c r="X123" s="245">
        <f t="shared" si="44"/>
        <v>691666.66666666674</v>
      </c>
      <c r="Y123" s="245">
        <f>VLOOKUP(A123,'2021 Funding Detail'!$A$4:$AO$23,34,FALSE)</f>
        <v>1399298.5628994321</v>
      </c>
      <c r="Z123" s="245">
        <f t="shared" si="45"/>
        <v>707631.8962327654</v>
      </c>
      <c r="AA123" s="245">
        <f t="shared" si="31"/>
        <v>289873.30689053034</v>
      </c>
      <c r="AB123" s="245">
        <f t="shared" si="32"/>
        <v>417758.58934223495</v>
      </c>
      <c r="AC123" s="245">
        <f t="shared" si="46"/>
        <v>707631.89623276528</v>
      </c>
      <c r="AD123" s="245">
        <f t="shared" si="33"/>
        <v>0</v>
      </c>
      <c r="AE123" s="245">
        <f t="shared" si="34"/>
        <v>0</v>
      </c>
      <c r="AF123" s="245">
        <f t="shared" si="47"/>
        <v>0</v>
      </c>
      <c r="AG123" s="245">
        <f t="shared" si="48"/>
        <v>707631.89623276528</v>
      </c>
      <c r="AH123" s="287"/>
      <c r="AI123" s="1029">
        <f t="shared" si="49"/>
        <v>1399298.5628994321</v>
      </c>
      <c r="AJ123" s="382" t="s">
        <v>206</v>
      </c>
      <c r="AK123" s="298"/>
      <c r="AL123" s="235">
        <f t="shared" si="50"/>
        <v>0</v>
      </c>
      <c r="AM123" s="235">
        <f>SUM('1920 Band Calculations'!R17,'1920 Band Calculations'!R39,'1920 Band Calculations'!R61,'1920 Band Calculations'!R83)</f>
        <v>0</v>
      </c>
      <c r="AN123" s="235">
        <f t="shared" si="51"/>
        <v>0</v>
      </c>
      <c r="AO123" s="36"/>
      <c r="AP123" s="269">
        <f>'2021 Funding Detail'!M18-'1920 Funding Detail'!M18</f>
        <v>12.416666666666664</v>
      </c>
      <c r="AQ123" s="269">
        <f>'2021 Band Moderations'!R62</f>
        <v>0</v>
      </c>
      <c r="AR123" s="269">
        <f t="shared" ref="AR123:AR128" si="52">AP123-AQ123</f>
        <v>12.416666666666664</v>
      </c>
      <c r="AS123" s="36"/>
      <c r="AT123" s="36"/>
      <c r="AU123" s="36"/>
      <c r="AV123" s="36"/>
      <c r="AW123" s="36"/>
      <c r="AX123" s="36"/>
      <c r="AY123" s="36"/>
      <c r="AZ123" s="36"/>
      <c r="BA123" s="36"/>
      <c r="BB123" s="36"/>
    </row>
    <row r="124" spans="1:54" ht="13" x14ac:dyDescent="0.3">
      <c r="A124" s="244">
        <v>9257032</v>
      </c>
      <c r="B124" s="237" t="s">
        <v>261</v>
      </c>
      <c r="C124" s="238">
        <v>4</v>
      </c>
      <c r="D124" s="245">
        <f t="shared" si="20"/>
        <v>333209.28105004219</v>
      </c>
      <c r="E124" s="245">
        <f t="shared" si="21"/>
        <v>538766.55583865975</v>
      </c>
      <c r="F124" s="68">
        <f t="shared" si="36"/>
        <v>871975.83688870189</v>
      </c>
      <c r="G124" s="245">
        <f t="shared" si="22"/>
        <v>0</v>
      </c>
      <c r="H124" s="245">
        <f t="shared" si="23"/>
        <v>0</v>
      </c>
      <c r="I124" s="68">
        <f t="shared" si="37"/>
        <v>0</v>
      </c>
      <c r="J124" s="68">
        <f t="shared" si="38"/>
        <v>871975.83688870189</v>
      </c>
      <c r="K124" s="245">
        <f t="shared" si="24"/>
        <v>77952.083333333343</v>
      </c>
      <c r="L124" s="245">
        <f t="shared" si="25"/>
        <v>126040.83333333334</v>
      </c>
      <c r="M124" s="68">
        <f t="shared" si="39"/>
        <v>203992.91666666669</v>
      </c>
      <c r="N124" s="245">
        <f t="shared" si="26"/>
        <v>0</v>
      </c>
      <c r="O124" s="245">
        <f t="shared" si="27"/>
        <v>0</v>
      </c>
      <c r="P124" s="68">
        <f t="shared" si="40"/>
        <v>0</v>
      </c>
      <c r="Q124" s="68">
        <f t="shared" si="41"/>
        <v>203992.91666666669</v>
      </c>
      <c r="R124" s="68">
        <f t="shared" si="28"/>
        <v>1075968.7535553686</v>
      </c>
      <c r="S124" s="286">
        <f t="shared" si="42"/>
        <v>77.416666666666671</v>
      </c>
      <c r="T124" s="245">
        <f t="shared" si="43"/>
        <v>13898.412317184524</v>
      </c>
      <c r="U124" s="237"/>
      <c r="V124" s="245">
        <f t="shared" si="29"/>
        <v>774166.66666666674</v>
      </c>
      <c r="W124" s="245">
        <f t="shared" si="30"/>
        <v>0</v>
      </c>
      <c r="X124" s="245">
        <f t="shared" si="44"/>
        <v>774166.66666666674</v>
      </c>
      <c r="Y124" s="245">
        <f>VLOOKUP(A124,'2021 Funding Detail'!$A$4:$AO$23,34,FALSE)</f>
        <v>1546583.8329366678</v>
      </c>
      <c r="Z124" s="245">
        <f t="shared" si="45"/>
        <v>772417.16627000109</v>
      </c>
      <c r="AA124" s="245">
        <f t="shared" si="31"/>
        <v>295164.7944304095</v>
      </c>
      <c r="AB124" s="245">
        <f t="shared" si="32"/>
        <v>477252.37183959153</v>
      </c>
      <c r="AC124" s="245">
        <f t="shared" si="46"/>
        <v>772417.16627000109</v>
      </c>
      <c r="AD124" s="245">
        <f t="shared" si="33"/>
        <v>0</v>
      </c>
      <c r="AE124" s="245">
        <f t="shared" si="34"/>
        <v>0</v>
      </c>
      <c r="AF124" s="245">
        <f t="shared" si="47"/>
        <v>0</v>
      </c>
      <c r="AG124" s="245">
        <f t="shared" si="48"/>
        <v>772417.16627000109</v>
      </c>
      <c r="AH124" s="287"/>
      <c r="AI124" s="1029">
        <f t="shared" si="49"/>
        <v>1546583.8329366678</v>
      </c>
      <c r="AJ124" s="382" t="s">
        <v>206</v>
      </c>
      <c r="AK124" s="298"/>
      <c r="AL124" s="235">
        <f t="shared" si="50"/>
        <v>0</v>
      </c>
      <c r="AM124" s="235">
        <f>SUM('1920 Band Calculations'!R18,'1920 Band Calculations'!R40,'1920 Band Calculations'!R62,'1920 Band Calculations'!R84)</f>
        <v>0</v>
      </c>
      <c r="AN124" s="235">
        <f t="shared" si="51"/>
        <v>0</v>
      </c>
      <c r="AO124" s="36"/>
      <c r="AP124" s="269">
        <f>'2021 Funding Detail'!M19-'1920 Funding Detail'!M19</f>
        <v>6</v>
      </c>
      <c r="AQ124" s="269">
        <f>'2021 Band Moderations'!R63</f>
        <v>0</v>
      </c>
      <c r="AR124" s="269">
        <f t="shared" si="52"/>
        <v>6</v>
      </c>
      <c r="AS124" s="36"/>
      <c r="AT124" s="36"/>
      <c r="AU124" s="36"/>
      <c r="AV124" s="36"/>
      <c r="AW124" s="36"/>
      <c r="AX124" s="36"/>
      <c r="AY124" s="36"/>
      <c r="AZ124" s="36"/>
      <c r="BA124" s="36"/>
      <c r="BB124" s="36"/>
    </row>
    <row r="125" spans="1:54" ht="13" x14ac:dyDescent="0.3">
      <c r="A125" s="244">
        <v>9257030</v>
      </c>
      <c r="B125" s="237" t="s">
        <v>262</v>
      </c>
      <c r="C125" s="238">
        <v>4</v>
      </c>
      <c r="D125" s="245">
        <f t="shared" si="20"/>
        <v>347288.54644652281</v>
      </c>
      <c r="E125" s="245">
        <f t="shared" si="21"/>
        <v>492774.28887682292</v>
      </c>
      <c r="F125" s="68">
        <f t="shared" si="36"/>
        <v>840062.83532334573</v>
      </c>
      <c r="G125" s="245">
        <f t="shared" si="22"/>
        <v>0</v>
      </c>
      <c r="H125" s="245">
        <f t="shared" si="23"/>
        <v>0</v>
      </c>
      <c r="I125" s="68">
        <f t="shared" si="37"/>
        <v>0</v>
      </c>
      <c r="J125" s="68">
        <f t="shared" si="38"/>
        <v>840062.83532334573</v>
      </c>
      <c r="K125" s="245">
        <f t="shared" si="24"/>
        <v>81245.833333333343</v>
      </c>
      <c r="L125" s="245">
        <f t="shared" si="25"/>
        <v>115281.25000000001</v>
      </c>
      <c r="M125" s="68">
        <f t="shared" si="39"/>
        <v>196527.08333333337</v>
      </c>
      <c r="N125" s="245">
        <f t="shared" si="26"/>
        <v>0</v>
      </c>
      <c r="O125" s="245">
        <f t="shared" si="27"/>
        <v>0</v>
      </c>
      <c r="P125" s="68">
        <f t="shared" si="40"/>
        <v>0</v>
      </c>
      <c r="Q125" s="68">
        <f t="shared" si="41"/>
        <v>196527.08333333337</v>
      </c>
      <c r="R125" s="68">
        <f t="shared" si="28"/>
        <v>1036589.9186566791</v>
      </c>
      <c r="S125" s="286">
        <f t="shared" si="42"/>
        <v>74.583333333333343</v>
      </c>
      <c r="T125" s="245">
        <f t="shared" si="43"/>
        <v>13898.412317184522</v>
      </c>
      <c r="U125" s="237"/>
      <c r="V125" s="245">
        <f t="shared" si="29"/>
        <v>745833.33333333337</v>
      </c>
      <c r="W125" s="245">
        <f t="shared" si="30"/>
        <v>0</v>
      </c>
      <c r="X125" s="245">
        <f t="shared" si="44"/>
        <v>745833.33333333337</v>
      </c>
      <c r="Y125" s="245">
        <f>VLOOKUP(A125,'2021 Funding Detail'!$A$4:$AO$23,34,FALSE)</f>
        <v>1506608.1933807207</v>
      </c>
      <c r="Z125" s="245">
        <f t="shared" si="45"/>
        <v>760774.86004738731</v>
      </c>
      <c r="AA125" s="245">
        <f t="shared" si="31"/>
        <v>314510.27733802598</v>
      </c>
      <c r="AB125" s="245">
        <f t="shared" si="32"/>
        <v>446264.58270936122</v>
      </c>
      <c r="AC125" s="245">
        <f t="shared" si="46"/>
        <v>760774.86004738719</v>
      </c>
      <c r="AD125" s="245">
        <f t="shared" si="33"/>
        <v>0</v>
      </c>
      <c r="AE125" s="245">
        <f t="shared" si="34"/>
        <v>0</v>
      </c>
      <c r="AF125" s="245">
        <f t="shared" si="47"/>
        <v>0</v>
      </c>
      <c r="AG125" s="245">
        <f t="shared" si="48"/>
        <v>760774.86004738719</v>
      </c>
      <c r="AH125" s="287"/>
      <c r="AI125" s="1029">
        <f t="shared" si="49"/>
        <v>1506608.1933807204</v>
      </c>
      <c r="AJ125" s="382" t="s">
        <v>206</v>
      </c>
      <c r="AK125" s="298"/>
      <c r="AL125" s="235">
        <f t="shared" si="50"/>
        <v>0</v>
      </c>
      <c r="AM125" s="235">
        <f>SUM('1920 Band Calculations'!R19,'1920 Band Calculations'!R41,'1920 Band Calculations'!R63,'1920 Band Calculations'!R85)</f>
        <v>0</v>
      </c>
      <c r="AN125" s="235">
        <f t="shared" si="51"/>
        <v>0</v>
      </c>
      <c r="AO125" s="36"/>
      <c r="AP125" s="269">
        <f>'2021 Funding Detail'!M20-'1920 Funding Detail'!M20</f>
        <v>2.25</v>
      </c>
      <c r="AQ125" s="269">
        <f>'2021 Band Moderations'!R64</f>
        <v>0</v>
      </c>
      <c r="AR125" s="269">
        <f t="shared" si="52"/>
        <v>2.25</v>
      </c>
      <c r="AS125" s="36"/>
      <c r="AT125" s="36"/>
      <c r="AU125" s="36"/>
      <c r="AV125" s="36"/>
      <c r="AW125" s="36"/>
      <c r="AX125" s="36"/>
      <c r="AY125" s="36"/>
      <c r="AZ125" s="36"/>
      <c r="BA125" s="36"/>
      <c r="BB125" s="36"/>
    </row>
    <row r="126" spans="1:54" ht="13" x14ac:dyDescent="0.3">
      <c r="A126" s="244">
        <v>9257028</v>
      </c>
      <c r="B126" s="237" t="s">
        <v>215</v>
      </c>
      <c r="C126" s="238">
        <v>5</v>
      </c>
      <c r="D126" s="245">
        <f t="shared" si="20"/>
        <v>361743.87146043795</v>
      </c>
      <c r="E126" s="245">
        <f t="shared" si="21"/>
        <v>622786.07059540262</v>
      </c>
      <c r="F126" s="68">
        <f t="shared" si="36"/>
        <v>984529.94205584051</v>
      </c>
      <c r="G126" s="245">
        <f t="shared" si="22"/>
        <v>46928.934675948702</v>
      </c>
      <c r="H126" s="245">
        <f t="shared" si="23"/>
        <v>62571.912901264935</v>
      </c>
      <c r="I126" s="68">
        <f t="shared" si="37"/>
        <v>109500.84757721363</v>
      </c>
      <c r="J126" s="68">
        <f t="shared" si="38"/>
        <v>1094030.7896330541</v>
      </c>
      <c r="K126" s="245">
        <f t="shared" si="24"/>
        <v>3420.8771929824566</v>
      </c>
      <c r="L126" s="245">
        <f t="shared" si="25"/>
        <v>5889.4561403508778</v>
      </c>
      <c r="M126" s="68">
        <f t="shared" si="39"/>
        <v>9310.3333333333339</v>
      </c>
      <c r="N126" s="245">
        <f t="shared" si="26"/>
        <v>443.78947368421052</v>
      </c>
      <c r="O126" s="245">
        <f t="shared" si="27"/>
        <v>591.71929824561403</v>
      </c>
      <c r="P126" s="68">
        <f t="shared" si="40"/>
        <v>1035.5087719298244</v>
      </c>
      <c r="Q126" s="68">
        <f t="shared" si="41"/>
        <v>10345.842105263158</v>
      </c>
      <c r="R126" s="68">
        <f t="shared" si="28"/>
        <v>1104376.6317383172</v>
      </c>
      <c r="S126" s="286">
        <f t="shared" si="42"/>
        <v>93.25</v>
      </c>
      <c r="T126" s="245">
        <f t="shared" si="43"/>
        <v>11843.181037408227</v>
      </c>
      <c r="U126" s="237"/>
      <c r="V126" s="245">
        <f t="shared" si="29"/>
        <v>839166.66666666674</v>
      </c>
      <c r="W126" s="245">
        <f t="shared" si="30"/>
        <v>93333.333333333328</v>
      </c>
      <c r="X126" s="245">
        <f t="shared" si="44"/>
        <v>932500.00000000012</v>
      </c>
      <c r="Y126" s="245">
        <f>VLOOKUP(A126,'2021 Funding Detail'!$A$4:$AO$23,34,FALSE)</f>
        <v>1613802.4817383173</v>
      </c>
      <c r="Z126" s="245">
        <f t="shared" si="45"/>
        <v>681302.48173831718</v>
      </c>
      <c r="AA126" s="245">
        <f t="shared" si="31"/>
        <v>225274.27903769203</v>
      </c>
      <c r="AB126" s="245">
        <f t="shared" si="32"/>
        <v>387837.0695865131</v>
      </c>
      <c r="AC126" s="245">
        <f t="shared" si="46"/>
        <v>613111.3486242051</v>
      </c>
      <c r="AD126" s="245">
        <f t="shared" si="33"/>
        <v>29224.771334619509</v>
      </c>
      <c r="AE126" s="245">
        <f t="shared" si="34"/>
        <v>38966.361779492676</v>
      </c>
      <c r="AF126" s="245">
        <f t="shared" si="47"/>
        <v>68191.133114112192</v>
      </c>
      <c r="AG126" s="245">
        <f t="shared" si="48"/>
        <v>681302.48173831729</v>
      </c>
      <c r="AH126" s="287"/>
      <c r="AI126" s="1029">
        <f t="shared" si="49"/>
        <v>1613802.4817383173</v>
      </c>
      <c r="AJ126" s="382" t="s">
        <v>206</v>
      </c>
      <c r="AK126" s="298"/>
      <c r="AL126" s="235">
        <f t="shared" si="50"/>
        <v>265176.50627088384</v>
      </c>
      <c r="AM126" s="235">
        <f>SUM('1920 Band Calculations'!R20,'1920 Band Calculations'!R42,'1920 Band Calculations'!R64,'1920 Band Calculations'!R86)</f>
        <v>261776.17157900496</v>
      </c>
      <c r="AN126" s="235">
        <f t="shared" si="51"/>
        <v>3400.3346918788739</v>
      </c>
      <c r="AO126" s="36"/>
      <c r="AP126" s="269">
        <f>'2021 Funding Detail'!M12-'1920 Funding Detail'!M12</f>
        <v>9.9166666666666572</v>
      </c>
      <c r="AQ126" s="269">
        <f>'2021 Band Moderations'!R65</f>
        <v>0</v>
      </c>
      <c r="AR126" s="269">
        <f t="shared" si="52"/>
        <v>9.9166666666666572</v>
      </c>
      <c r="AS126" s="36"/>
      <c r="AT126" s="36"/>
      <c r="AU126" s="36"/>
      <c r="AV126" s="36"/>
      <c r="AW126" s="36"/>
      <c r="AX126" s="36"/>
      <c r="AY126" s="36"/>
      <c r="AZ126" s="36"/>
      <c r="BA126" s="36"/>
      <c r="BB126" s="36"/>
    </row>
    <row r="127" spans="1:54" ht="13" x14ac:dyDescent="0.3">
      <c r="A127" s="244">
        <v>9257021</v>
      </c>
      <c r="B127" s="237" t="s">
        <v>216</v>
      </c>
      <c r="C127" s="238">
        <v>5</v>
      </c>
      <c r="D127" s="245">
        <f t="shared" si="20"/>
        <v>608235.02408930613</v>
      </c>
      <c r="E127" s="245">
        <f t="shared" si="21"/>
        <v>872554.44196515286</v>
      </c>
      <c r="F127" s="68">
        <f t="shared" si="36"/>
        <v>1480789.4660544591</v>
      </c>
      <c r="G127" s="245">
        <f t="shared" si="22"/>
        <v>0</v>
      </c>
      <c r="H127" s="245">
        <f t="shared" si="23"/>
        <v>0</v>
      </c>
      <c r="I127" s="68">
        <f t="shared" si="37"/>
        <v>0</v>
      </c>
      <c r="J127" s="68">
        <f t="shared" si="38"/>
        <v>1480789.4660544591</v>
      </c>
      <c r="K127" s="245">
        <f t="shared" si="24"/>
        <v>17458.895705521474</v>
      </c>
      <c r="L127" s="245">
        <f t="shared" si="25"/>
        <v>25045.971370143154</v>
      </c>
      <c r="M127" s="68">
        <f t="shared" si="39"/>
        <v>42504.867075664632</v>
      </c>
      <c r="N127" s="245">
        <f t="shared" si="26"/>
        <v>0</v>
      </c>
      <c r="O127" s="245">
        <f t="shared" si="27"/>
        <v>0</v>
      </c>
      <c r="P127" s="68">
        <f t="shared" si="40"/>
        <v>0</v>
      </c>
      <c r="Q127" s="68">
        <f t="shared" si="41"/>
        <v>42504.867075664632</v>
      </c>
      <c r="R127" s="68">
        <f t="shared" si="28"/>
        <v>1523294.3331301238</v>
      </c>
      <c r="S127" s="286">
        <f t="shared" si="42"/>
        <v>164.33333333333334</v>
      </c>
      <c r="T127" s="245">
        <f t="shared" si="43"/>
        <v>9269.5395525159656</v>
      </c>
      <c r="U127" s="237"/>
      <c r="V127" s="245">
        <f t="shared" si="29"/>
        <v>1643333.3333333335</v>
      </c>
      <c r="W127" s="245">
        <f t="shared" si="30"/>
        <v>0</v>
      </c>
      <c r="X127" s="245">
        <f t="shared" si="44"/>
        <v>1643333.3333333335</v>
      </c>
      <c r="Y127" s="245">
        <f>VLOOKUP(A127,'2021 Funding Detail'!$A$4:$AO$23,34,FALSE)</f>
        <v>2109717.5272255666</v>
      </c>
      <c r="Z127" s="245">
        <f t="shared" si="45"/>
        <v>466384.19389223307</v>
      </c>
      <c r="AA127" s="245">
        <f t="shared" si="31"/>
        <v>191567.54414437566</v>
      </c>
      <c r="AB127" s="245">
        <f t="shared" si="32"/>
        <v>274816.64974785736</v>
      </c>
      <c r="AC127" s="245">
        <f t="shared" si="46"/>
        <v>466384.19389223302</v>
      </c>
      <c r="AD127" s="245">
        <f t="shared" si="33"/>
        <v>0</v>
      </c>
      <c r="AE127" s="245">
        <f t="shared" si="34"/>
        <v>0</v>
      </c>
      <c r="AF127" s="245">
        <f t="shared" si="47"/>
        <v>0</v>
      </c>
      <c r="AG127" s="245">
        <f t="shared" si="48"/>
        <v>466384.19389223302</v>
      </c>
      <c r="AH127" s="287"/>
      <c r="AI127" s="1029">
        <f t="shared" si="49"/>
        <v>2109717.5272255666</v>
      </c>
      <c r="AJ127" s="382" t="s">
        <v>206</v>
      </c>
      <c r="AK127" s="298"/>
      <c r="AL127" s="235">
        <f t="shared" si="50"/>
        <v>45393.808272419847</v>
      </c>
      <c r="AM127" s="235">
        <f>SUM('1920 Band Calculations'!R21,'1920 Band Calculations'!R43,'1920 Band Calculations'!R65,'1920 Band Calculations'!R87)</f>
        <v>22107.42859712529</v>
      </c>
      <c r="AN127" s="235">
        <f t="shared" si="51"/>
        <v>23286.379675294556</v>
      </c>
      <c r="AO127" s="36"/>
      <c r="AP127" s="269">
        <f>'2021 Funding Detail'!M13-'1920 Funding Detail'!M13</f>
        <v>5.25</v>
      </c>
      <c r="AQ127" s="269">
        <f>'2021 Band Moderations'!R66</f>
        <v>1</v>
      </c>
      <c r="AR127" s="269">
        <f t="shared" si="52"/>
        <v>4.25</v>
      </c>
      <c r="AS127" s="36"/>
      <c r="AT127" s="36"/>
      <c r="AU127" s="36"/>
      <c r="AV127" s="36"/>
      <c r="AW127" s="36"/>
      <c r="AX127" s="36"/>
      <c r="AY127" s="36"/>
      <c r="AZ127" s="36"/>
      <c r="BA127" s="36"/>
      <c r="BB127" s="36"/>
    </row>
    <row r="128" spans="1:54" ht="13" x14ac:dyDescent="0.3">
      <c r="A128" s="244">
        <v>9257015</v>
      </c>
      <c r="B128" s="237" t="s">
        <v>217</v>
      </c>
      <c r="C128" s="238">
        <v>6</v>
      </c>
      <c r="D128" s="245">
        <f t="shared" si="20"/>
        <v>797028.43917490938</v>
      </c>
      <c r="E128" s="245">
        <f t="shared" si="21"/>
        <v>1130986.9616527222</v>
      </c>
      <c r="F128" s="68">
        <f t="shared" si="36"/>
        <v>1928015.4008276316</v>
      </c>
      <c r="G128" s="245">
        <f t="shared" si="22"/>
        <v>46162.733128682536</v>
      </c>
      <c r="H128" s="245">
        <f t="shared" si="23"/>
        <v>46162.733128682536</v>
      </c>
      <c r="I128" s="68">
        <f t="shared" si="37"/>
        <v>92325.466257365071</v>
      </c>
      <c r="J128" s="68">
        <f t="shared" si="38"/>
        <v>2020340.8670849968</v>
      </c>
      <c r="K128" s="245">
        <f t="shared" si="24"/>
        <v>6275.1616379310353</v>
      </c>
      <c r="L128" s="245">
        <f t="shared" si="25"/>
        <v>8904.4827586206902</v>
      </c>
      <c r="M128" s="68">
        <f t="shared" si="39"/>
        <v>15179.644396551725</v>
      </c>
      <c r="N128" s="245">
        <f t="shared" si="26"/>
        <v>363.44827586206895</v>
      </c>
      <c r="O128" s="245">
        <f t="shared" si="27"/>
        <v>363.44827586206895</v>
      </c>
      <c r="P128" s="68">
        <f t="shared" si="40"/>
        <v>726.89655172413791</v>
      </c>
      <c r="Q128" s="68">
        <f t="shared" si="41"/>
        <v>15906.540948275862</v>
      </c>
      <c r="R128" s="68">
        <f t="shared" si="28"/>
        <v>2036247.4080332725</v>
      </c>
      <c r="S128" s="286">
        <f t="shared" si="42"/>
        <v>233.41666666666671</v>
      </c>
      <c r="T128" s="245">
        <f t="shared" si="43"/>
        <v>8723.6590133521113</v>
      </c>
      <c r="U128" s="237"/>
      <c r="V128" s="245">
        <f t="shared" si="29"/>
        <v>2227500</v>
      </c>
      <c r="W128" s="245">
        <f t="shared" si="30"/>
        <v>106666.66666666666</v>
      </c>
      <c r="X128" s="245">
        <f t="shared" si="44"/>
        <v>2334166.6666666665</v>
      </c>
      <c r="Y128" s="245">
        <f>VLOOKUP(A128,'2021 Funding Detail'!$A$4:$AO$23,34,FALSE)</f>
        <v>2654655.4080332727</v>
      </c>
      <c r="Z128" s="245">
        <f t="shared" si="45"/>
        <v>320488.74136660621</v>
      </c>
      <c r="AA128" s="245">
        <f t="shared" si="31"/>
        <v>126433.43777582981</v>
      </c>
      <c r="AB128" s="245">
        <f t="shared" si="32"/>
        <v>179409.62030090601</v>
      </c>
      <c r="AC128" s="245">
        <f t="shared" si="46"/>
        <v>305843.05807673582</v>
      </c>
      <c r="AD128" s="245">
        <f t="shared" si="33"/>
        <v>7322.8416449349388</v>
      </c>
      <c r="AE128" s="245">
        <f t="shared" si="34"/>
        <v>7322.8416449349388</v>
      </c>
      <c r="AF128" s="245">
        <f t="shared" si="47"/>
        <v>14645.683289869878</v>
      </c>
      <c r="AG128" s="245">
        <f t="shared" si="48"/>
        <v>320488.74136660568</v>
      </c>
      <c r="AH128" s="287"/>
      <c r="AI128" s="1029">
        <f t="shared" si="49"/>
        <v>2654655.4080332723</v>
      </c>
      <c r="AJ128" s="382" t="s">
        <v>206</v>
      </c>
      <c r="AK128" s="298"/>
      <c r="AL128" s="235">
        <f t="shared" si="50"/>
        <v>67950.662572176923</v>
      </c>
      <c r="AM128" s="235">
        <f>SUM('1920 Band Calculations'!R22,'1920 Band Calculations'!R44,'1920 Band Calculations'!R66,'1920 Band Calculations'!R88)</f>
        <v>45215.482530625093</v>
      </c>
      <c r="AN128" s="235">
        <f t="shared" si="51"/>
        <v>22735.18004155183</v>
      </c>
      <c r="AO128" s="36"/>
      <c r="AP128" s="269">
        <f>'2021 Funding Detail'!M14-'1920 Funding Detail'!M14</f>
        <v>-4.5833333333333144</v>
      </c>
      <c r="AQ128" s="269">
        <f>'2021 Band Moderations'!R67</f>
        <v>1</v>
      </c>
      <c r="AR128" s="269">
        <f t="shared" si="52"/>
        <v>-5.5833333333333144</v>
      </c>
      <c r="AS128" s="36"/>
      <c r="AT128" s="36"/>
      <c r="AU128" s="36"/>
      <c r="AV128" s="36"/>
      <c r="AW128" s="36"/>
      <c r="AX128" s="36"/>
      <c r="AY128" s="36"/>
      <c r="AZ128" s="36"/>
      <c r="BA128" s="36"/>
      <c r="BB128" s="36"/>
    </row>
    <row r="129" spans="1:54" ht="13" x14ac:dyDescent="0.3">
      <c r="A129" s="244">
        <v>9257016</v>
      </c>
      <c r="B129" s="237" t="s">
        <v>219</v>
      </c>
      <c r="C129" s="238">
        <v>6</v>
      </c>
      <c r="D129" s="245">
        <f t="shared" si="20"/>
        <v>515598.51276803919</v>
      </c>
      <c r="E129" s="245">
        <f t="shared" si="21"/>
        <v>844703.94644976628</v>
      </c>
      <c r="F129" s="68">
        <f t="shared" si="36"/>
        <v>1360302.4592178054</v>
      </c>
      <c r="G129" s="245">
        <f t="shared" si="22"/>
        <v>188687.11531085687</v>
      </c>
      <c r="H129" s="245">
        <f t="shared" si="23"/>
        <v>412478.81021443132</v>
      </c>
      <c r="I129" s="68">
        <f t="shared" si="37"/>
        <v>601165.92552528821</v>
      </c>
      <c r="J129" s="68">
        <f>F129+I129</f>
        <v>1961468.3847430935</v>
      </c>
      <c r="K129" s="245">
        <f t="shared" si="24"/>
        <v>678.97478070175441</v>
      </c>
      <c r="L129" s="245">
        <f t="shared" si="25"/>
        <v>1112.3629385964912</v>
      </c>
      <c r="M129" s="68">
        <f t="shared" si="39"/>
        <v>1791.3377192982457</v>
      </c>
      <c r="N129" s="245">
        <f t="shared" si="26"/>
        <v>248.47587719298247</v>
      </c>
      <c r="O129" s="245">
        <f t="shared" si="27"/>
        <v>543.17982456140339</v>
      </c>
      <c r="P129" s="68">
        <f t="shared" si="40"/>
        <v>791.65570175438586</v>
      </c>
      <c r="Q129" s="68">
        <f t="shared" si="41"/>
        <v>2582.9934210526317</v>
      </c>
      <c r="R129" s="68">
        <f t="shared" si="28"/>
        <v>1964051.3781641461</v>
      </c>
      <c r="S129" s="286">
        <f t="shared" si="42"/>
        <v>149</v>
      </c>
      <c r="T129" s="245">
        <f t="shared" si="43"/>
        <v>13181.552873584873</v>
      </c>
      <c r="U129" s="237"/>
      <c r="V129" s="245">
        <f t="shared" si="29"/>
        <v>1033333.3333333335</v>
      </c>
      <c r="W129" s="245">
        <f t="shared" si="30"/>
        <v>456666.66666666663</v>
      </c>
      <c r="X129" s="245">
        <f t="shared" si="44"/>
        <v>1490000</v>
      </c>
      <c r="Y129" s="245">
        <f>VLOOKUP(A129,'2021 Funding Detail'!$A$4:$AO$23,34,FALSE)</f>
        <v>2566300.778164146</v>
      </c>
      <c r="Z129" s="245">
        <f t="shared" si="45"/>
        <v>1076300.778164146</v>
      </c>
      <c r="AA129" s="245">
        <f t="shared" si="31"/>
        <v>282920.22692234267</v>
      </c>
      <c r="AB129" s="245">
        <f t="shared" si="32"/>
        <v>463507.60580894432</v>
      </c>
      <c r="AC129" s="245">
        <f t="shared" si="46"/>
        <v>746427.832731287</v>
      </c>
      <c r="AD129" s="245">
        <f t="shared" si="33"/>
        <v>103536.76389498496</v>
      </c>
      <c r="AE129" s="245">
        <f t="shared" si="34"/>
        <v>226336.1815378741</v>
      </c>
      <c r="AF129" s="245">
        <f t="shared" si="47"/>
        <v>329872.94543285907</v>
      </c>
      <c r="AG129" s="245">
        <f t="shared" si="48"/>
        <v>1076300.778164146</v>
      </c>
      <c r="AH129" s="287"/>
      <c r="AI129" s="1029">
        <f t="shared" si="49"/>
        <v>2566300.778164146</v>
      </c>
      <c r="AJ129" s="382" t="s">
        <v>206</v>
      </c>
      <c r="AK129" s="298"/>
      <c r="AL129" s="235">
        <f t="shared" si="50"/>
        <v>750326.28505825368</v>
      </c>
      <c r="AM129" s="235">
        <f>SUM('1920 Band Calculations'!R23,'1920 Band Calculations'!R45,'1920 Band Calculations'!R67,'1920 Band Calculations'!R89)</f>
        <v>794222.80929219606</v>
      </c>
      <c r="AN129" s="235">
        <f t="shared" si="51"/>
        <v>-43896.524233942386</v>
      </c>
      <c r="AO129" s="36"/>
      <c r="AP129" s="269">
        <f>'2021 Funding Detail'!M15-'1920 Funding Detail'!M15</f>
        <v>11.916666666666657</v>
      </c>
      <c r="AQ129" s="269">
        <f>'2021 Band Moderations'!R68</f>
        <v>-1</v>
      </c>
      <c r="AR129" s="269">
        <f>AP129-AQ129</f>
        <v>12.916666666666657</v>
      </c>
      <c r="AS129" s="36"/>
      <c r="AT129" s="36"/>
      <c r="AU129" s="36"/>
      <c r="AV129" s="36"/>
      <c r="AW129" s="36"/>
      <c r="AX129" s="36"/>
      <c r="AY129" s="36"/>
      <c r="AZ129" s="36"/>
      <c r="BA129" s="36"/>
      <c r="BB129" s="36"/>
    </row>
    <row r="130" spans="1:54" x14ac:dyDescent="0.25">
      <c r="A130" s="36"/>
      <c r="B130" s="36"/>
      <c r="C130" s="36"/>
      <c r="D130" s="36"/>
      <c r="E130" s="36"/>
      <c r="F130" s="234"/>
      <c r="G130" s="234"/>
      <c r="H130" s="36"/>
      <c r="I130" s="36"/>
      <c r="J130" s="36"/>
      <c r="K130" s="36"/>
      <c r="L130" s="36"/>
      <c r="M130" s="36"/>
      <c r="N130" s="36"/>
      <c r="O130" s="36"/>
      <c r="P130" s="36"/>
      <c r="Q130" s="36"/>
      <c r="R130" s="36"/>
      <c r="S130" s="288"/>
      <c r="T130" s="36"/>
      <c r="U130" s="36"/>
      <c r="V130" s="36"/>
      <c r="W130" s="36"/>
      <c r="X130" s="36"/>
      <c r="Y130" s="36"/>
      <c r="Z130" s="36"/>
      <c r="AA130" s="36"/>
      <c r="AB130" s="36"/>
      <c r="AC130" s="36"/>
      <c r="AD130" s="36"/>
      <c r="AE130" s="36"/>
      <c r="AF130" s="36"/>
      <c r="AG130" s="36"/>
      <c r="AH130" s="36"/>
      <c r="AI130" s="36"/>
      <c r="AJ130" s="36"/>
      <c r="AK130" s="36"/>
      <c r="AL130" s="234"/>
      <c r="AM130" s="235"/>
      <c r="AN130" s="36"/>
      <c r="AO130" s="36"/>
      <c r="AP130" s="36"/>
      <c r="AQ130" s="36"/>
      <c r="AR130" s="36"/>
      <c r="AS130" s="36"/>
      <c r="AT130" s="36"/>
      <c r="AU130" s="36"/>
      <c r="AV130" s="36"/>
      <c r="AW130" s="36"/>
      <c r="AX130" s="36"/>
      <c r="AY130" s="36"/>
      <c r="AZ130" s="36"/>
      <c r="BA130" s="36"/>
      <c r="BB130" s="36"/>
    </row>
    <row r="131" spans="1:54" ht="13" thickBot="1" x14ac:dyDescent="0.3">
      <c r="A131" s="36"/>
      <c r="B131" s="36"/>
      <c r="C131" s="36"/>
      <c r="D131" s="250">
        <f t="shared" ref="D131:P131" si="53">SUM(D112:D129)</f>
        <v>6883660.1375841219</v>
      </c>
      <c r="E131" s="250">
        <f t="shared" si="53"/>
        <v>10288924.284598663</v>
      </c>
      <c r="F131" s="250">
        <f t="shared" si="53"/>
        <v>17172584.422182787</v>
      </c>
      <c r="G131" s="250">
        <f t="shared" si="53"/>
        <v>680291.79157122551</v>
      </c>
      <c r="H131" s="250">
        <f t="shared" si="53"/>
        <v>1266442.3065586977</v>
      </c>
      <c r="I131" s="250">
        <f t="shared" si="53"/>
        <v>1946734.098129923</v>
      </c>
      <c r="J131" s="250">
        <f>SUM(J112:J129)</f>
        <v>19119318.520312712</v>
      </c>
      <c r="K131" s="250">
        <f t="shared" si="53"/>
        <v>431846.19642401946</v>
      </c>
      <c r="L131" s="250">
        <f t="shared" si="53"/>
        <v>642803.07641043863</v>
      </c>
      <c r="M131" s="250">
        <f t="shared" si="53"/>
        <v>1074649.2728344582</v>
      </c>
      <c r="N131" s="250">
        <f t="shared" si="53"/>
        <v>9775.3676456434787</v>
      </c>
      <c r="O131" s="250">
        <f t="shared" si="53"/>
        <v>18083.680603507666</v>
      </c>
      <c r="P131" s="250">
        <f t="shared" si="53"/>
        <v>27859.048249151139</v>
      </c>
      <c r="Q131" s="250">
        <f>SUM(Q112:Q129)</f>
        <v>1102508.3210836095</v>
      </c>
      <c r="R131" s="250">
        <f>SUM(R112:R129)</f>
        <v>20221826.841396317</v>
      </c>
      <c r="S131" s="1031">
        <f>SUM(S112:S129)</f>
        <v>1896.0833333333333</v>
      </c>
      <c r="T131" s="250">
        <f>AVERAGE(T112:T129)</f>
        <v>11170.861296193609</v>
      </c>
      <c r="U131" s="36"/>
      <c r="V131" s="1032">
        <f>SUM(V112:V129)</f>
        <v>17190833.333333332</v>
      </c>
      <c r="W131" s="1032">
        <f t="shared" ref="W131:AI131" si="54">SUM(W112:W129)</f>
        <v>1770000</v>
      </c>
      <c r="X131" s="1033">
        <f t="shared" si="54"/>
        <v>18960833.333333336</v>
      </c>
      <c r="Y131" s="1033">
        <f t="shared" si="54"/>
        <v>29334218.614862777</v>
      </c>
      <c r="Z131" s="1033">
        <f t="shared" si="54"/>
        <v>10373385.281529445</v>
      </c>
      <c r="AA131" s="1033">
        <f t="shared" si="54"/>
        <v>3687660.5372762335</v>
      </c>
      <c r="AB131" s="1033">
        <f t="shared" si="54"/>
        <v>5564589.4736348605</v>
      </c>
      <c r="AC131" s="1033">
        <f t="shared" si="54"/>
        <v>9252250.0109110922</v>
      </c>
      <c r="AD131" s="1033">
        <f t="shared" si="54"/>
        <v>389697.4975043225</v>
      </c>
      <c r="AE131" s="1033">
        <f t="shared" si="54"/>
        <v>731437.77311402792</v>
      </c>
      <c r="AF131" s="1033">
        <f t="shared" si="54"/>
        <v>1121135.2706183505</v>
      </c>
      <c r="AG131" s="1033">
        <f t="shared" si="54"/>
        <v>10373385.281529445</v>
      </c>
      <c r="AH131" s="1034"/>
      <c r="AI131" s="1033">
        <f t="shared" si="54"/>
        <v>29334218.614862774</v>
      </c>
      <c r="AJ131" s="296" t="s">
        <v>206</v>
      </c>
      <c r="AK131" s="36"/>
      <c r="AL131" s="235">
        <f>SUM(AL112:AL130)</f>
        <v>1887079.4208405907</v>
      </c>
      <c r="AM131" s="235">
        <f>SUM(AM112:AM130)</f>
        <v>1866352.7961942179</v>
      </c>
      <c r="AN131" s="235">
        <f>SUM(AN112:AN130)</f>
        <v>20726.624646372889</v>
      </c>
      <c r="AO131" s="36"/>
      <c r="AP131" s="36"/>
      <c r="AQ131" s="36"/>
      <c r="AR131" s="36"/>
      <c r="AS131" s="36"/>
      <c r="AT131" s="36"/>
      <c r="AU131" s="36"/>
      <c r="AV131" s="36"/>
      <c r="AW131" s="36"/>
      <c r="AX131" s="36"/>
      <c r="AY131" s="36"/>
      <c r="AZ131" s="36"/>
      <c r="BA131" s="36"/>
      <c r="BB131" s="36"/>
    </row>
    <row r="132" spans="1:54" x14ac:dyDescent="0.25">
      <c r="A132" s="36"/>
      <c r="B132" s="36"/>
      <c r="C132" s="36"/>
      <c r="D132" s="36"/>
      <c r="E132" s="36"/>
      <c r="F132" s="234"/>
      <c r="G132" s="234"/>
      <c r="H132" s="36"/>
      <c r="I132" s="36"/>
      <c r="J132" s="36"/>
      <c r="K132" s="36"/>
      <c r="L132" s="36"/>
      <c r="M132" s="36"/>
      <c r="N132" s="36"/>
      <c r="O132" s="36"/>
      <c r="P132" s="36"/>
      <c r="Q132" s="36"/>
      <c r="R132" s="36"/>
      <c r="S132" s="288"/>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234"/>
      <c r="AW132" s="234"/>
      <c r="AX132" s="36"/>
      <c r="AY132" s="36"/>
      <c r="AZ132" s="234"/>
      <c r="BA132" s="234"/>
      <c r="BB132" s="234"/>
    </row>
    <row r="133" spans="1:54" x14ac:dyDescent="0.25">
      <c r="A133" s="36"/>
      <c r="B133" s="36"/>
      <c r="C133" s="36"/>
      <c r="D133" s="381" t="s">
        <v>206</v>
      </c>
      <c r="E133" s="381" t="s">
        <v>206</v>
      </c>
      <c r="F133" s="381" t="s">
        <v>206</v>
      </c>
      <c r="G133" s="381" t="s">
        <v>206</v>
      </c>
      <c r="H133" s="381" t="s">
        <v>206</v>
      </c>
      <c r="I133" s="381" t="s">
        <v>206</v>
      </c>
      <c r="J133" s="381" t="s">
        <v>206</v>
      </c>
      <c r="K133" s="381" t="s">
        <v>206</v>
      </c>
      <c r="L133" s="381" t="s">
        <v>206</v>
      </c>
      <c r="M133" s="381" t="s">
        <v>206</v>
      </c>
      <c r="N133" s="381" t="s">
        <v>206</v>
      </c>
      <c r="O133" s="381" t="s">
        <v>206</v>
      </c>
      <c r="P133" s="381" t="s">
        <v>206</v>
      </c>
      <c r="Q133" s="381" t="s">
        <v>206</v>
      </c>
      <c r="R133" s="381" t="s">
        <v>206</v>
      </c>
      <c r="S133" s="233"/>
      <c r="T133" s="298"/>
      <c r="U133" s="36"/>
      <c r="V133" s="298"/>
      <c r="W133" s="298"/>
      <c r="X133" s="298"/>
      <c r="Y133" s="298"/>
      <c r="Z133" s="298"/>
      <c r="AA133" s="298"/>
      <c r="AB133" s="298"/>
      <c r="AC133" s="298"/>
      <c r="AD133" s="298"/>
      <c r="AE133" s="298"/>
      <c r="AF133" s="298"/>
      <c r="AG133" s="298"/>
      <c r="AH133" s="298"/>
      <c r="AI133" s="298"/>
      <c r="AJ133" s="36"/>
      <c r="AK133" s="36"/>
      <c r="AL133" s="36"/>
      <c r="AM133" s="36"/>
      <c r="AN133" s="296"/>
      <c r="AO133" s="36"/>
      <c r="AP133" s="36"/>
      <c r="AQ133" s="36"/>
      <c r="AR133" s="36"/>
      <c r="AS133" s="36"/>
      <c r="AT133" s="36"/>
      <c r="AU133" s="36"/>
      <c r="AV133" s="234"/>
      <c r="AW133" s="234"/>
      <c r="AX133" s="36"/>
      <c r="AY133" s="36"/>
      <c r="AZ133" s="234"/>
      <c r="BA133" s="234"/>
      <c r="BB133" s="234"/>
    </row>
  </sheetData>
  <mergeCells count="9">
    <mergeCell ref="AI110:AI111"/>
    <mergeCell ref="O4:P4"/>
    <mergeCell ref="O26:P26"/>
    <mergeCell ref="O48:P48"/>
    <mergeCell ref="O70:P70"/>
    <mergeCell ref="D110:F110"/>
    <mergeCell ref="G110:I110"/>
    <mergeCell ref="K110:M110"/>
    <mergeCell ref="N110:P110"/>
  </mergeCell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2:D30"/>
  <sheetViews>
    <sheetView workbookViewId="0">
      <selection sqref="A1:XFD1048576"/>
    </sheetView>
  </sheetViews>
  <sheetFormatPr defaultRowHeight="12.5" x14ac:dyDescent="0.25"/>
  <cols>
    <col min="2" max="2" width="39.453125" bestFit="1" customWidth="1"/>
    <col min="3" max="3" width="23.1796875" bestFit="1" customWidth="1"/>
    <col min="4" max="4" width="14.7265625" customWidth="1"/>
  </cols>
  <sheetData>
    <row r="2" spans="1:4" ht="13" thickBot="1" x14ac:dyDescent="0.3"/>
    <row r="3" spans="1:4" ht="13" x14ac:dyDescent="0.25">
      <c r="A3" s="141" t="s">
        <v>540</v>
      </c>
      <c r="B3" s="142" t="s">
        <v>541</v>
      </c>
      <c r="C3" s="143" t="s">
        <v>1190</v>
      </c>
      <c r="D3" s="143" t="s">
        <v>543</v>
      </c>
    </row>
    <row r="4" spans="1:4" x14ac:dyDescent="0.25">
      <c r="A4" s="156">
        <v>9257002</v>
      </c>
      <c r="B4" s="144" t="s">
        <v>544</v>
      </c>
      <c r="C4" s="445">
        <v>35</v>
      </c>
      <c r="D4" s="146">
        <f>($C$24*$C$25)*C4</f>
        <v>15709.75</v>
      </c>
    </row>
    <row r="5" spans="1:4" x14ac:dyDescent="0.25">
      <c r="A5" s="156">
        <v>9257005</v>
      </c>
      <c r="B5" s="144" t="s">
        <v>545</v>
      </c>
      <c r="C5" s="445">
        <v>16</v>
      </c>
      <c r="D5" s="146">
        <f t="shared" ref="D5:D21" si="0">($C$24*$C$25)*C5</f>
        <v>7181.6</v>
      </c>
    </row>
    <row r="6" spans="1:4" x14ac:dyDescent="0.25">
      <c r="A6" s="156">
        <v>9257008</v>
      </c>
      <c r="B6" s="144" t="s">
        <v>340</v>
      </c>
      <c r="C6" s="445">
        <v>33</v>
      </c>
      <c r="D6" s="146">
        <f t="shared" si="0"/>
        <v>14812.050000000001</v>
      </c>
    </row>
    <row r="7" spans="1:4" x14ac:dyDescent="0.25">
      <c r="A7" s="156">
        <v>9257009</v>
      </c>
      <c r="B7" s="144" t="s">
        <v>546</v>
      </c>
      <c r="C7" s="445">
        <v>27</v>
      </c>
      <c r="D7" s="146">
        <f t="shared" si="0"/>
        <v>12118.95</v>
      </c>
    </row>
    <row r="8" spans="1:4" x14ac:dyDescent="0.25">
      <c r="A8" s="156">
        <v>9257010</v>
      </c>
      <c r="B8" s="144" t="s">
        <v>547</v>
      </c>
      <c r="C8" s="445">
        <v>16</v>
      </c>
      <c r="D8" s="146">
        <f t="shared" si="0"/>
        <v>7181.6</v>
      </c>
    </row>
    <row r="9" spans="1:4" x14ac:dyDescent="0.25">
      <c r="A9" s="156">
        <v>9257011</v>
      </c>
      <c r="B9" s="144" t="s">
        <v>548</v>
      </c>
      <c r="C9" s="445">
        <v>25</v>
      </c>
      <c r="D9" s="146">
        <f t="shared" si="0"/>
        <v>11221.25</v>
      </c>
    </row>
    <row r="10" spans="1:4" x14ac:dyDescent="0.25">
      <c r="A10" s="156">
        <v>9257015</v>
      </c>
      <c r="B10" s="144" t="s">
        <v>549</v>
      </c>
      <c r="C10" s="445">
        <v>80</v>
      </c>
      <c r="D10" s="146">
        <f t="shared" si="0"/>
        <v>35908</v>
      </c>
    </row>
    <row r="11" spans="1:4" x14ac:dyDescent="0.25">
      <c r="A11" s="156">
        <v>9257016</v>
      </c>
      <c r="B11" s="144" t="s">
        <v>550</v>
      </c>
      <c r="C11" s="445">
        <v>44</v>
      </c>
      <c r="D11" s="146">
        <f t="shared" si="0"/>
        <v>19749.400000000001</v>
      </c>
    </row>
    <row r="12" spans="1:4" x14ac:dyDescent="0.25">
      <c r="A12" s="156">
        <v>9257021</v>
      </c>
      <c r="B12" s="144" t="s">
        <v>551</v>
      </c>
      <c r="C12" s="445">
        <v>65</v>
      </c>
      <c r="D12" s="146">
        <f t="shared" si="0"/>
        <v>29175.25</v>
      </c>
    </row>
    <row r="13" spans="1:4" x14ac:dyDescent="0.25">
      <c r="A13" s="156">
        <v>9257024</v>
      </c>
      <c r="B13" s="144" t="s">
        <v>552</v>
      </c>
      <c r="C13" s="445">
        <v>27</v>
      </c>
      <c r="D13" s="146">
        <f t="shared" si="0"/>
        <v>12118.95</v>
      </c>
    </row>
    <row r="14" spans="1:4" x14ac:dyDescent="0.25">
      <c r="A14" s="156">
        <v>9257025</v>
      </c>
      <c r="B14" s="144" t="s">
        <v>553</v>
      </c>
      <c r="C14" s="445">
        <v>23</v>
      </c>
      <c r="D14" s="146">
        <f t="shared" si="0"/>
        <v>10323.550000000001</v>
      </c>
    </row>
    <row r="15" spans="1:4" x14ac:dyDescent="0.25">
      <c r="A15" s="156">
        <v>9257028</v>
      </c>
      <c r="B15" s="144" t="s">
        <v>554</v>
      </c>
      <c r="C15" s="445">
        <v>21</v>
      </c>
      <c r="D15" s="146">
        <f t="shared" si="0"/>
        <v>9425.85</v>
      </c>
    </row>
    <row r="16" spans="1:4" x14ac:dyDescent="0.25">
      <c r="A16" s="156">
        <v>9257029</v>
      </c>
      <c r="B16" s="144" t="s">
        <v>890</v>
      </c>
      <c r="C16" s="445">
        <v>19</v>
      </c>
      <c r="D16" s="146">
        <f t="shared" si="0"/>
        <v>8528.15</v>
      </c>
    </row>
    <row r="17" spans="1:4" x14ac:dyDescent="0.25">
      <c r="A17" s="156">
        <v>9257030</v>
      </c>
      <c r="B17" s="144" t="s">
        <v>815</v>
      </c>
      <c r="C17" s="445">
        <v>20</v>
      </c>
      <c r="D17" s="146">
        <f t="shared" si="0"/>
        <v>8977</v>
      </c>
    </row>
    <row r="18" spans="1:4" x14ac:dyDescent="0.25">
      <c r="A18" s="156">
        <v>9257031</v>
      </c>
      <c r="B18" s="144" t="s">
        <v>557</v>
      </c>
      <c r="C18" s="445">
        <v>31</v>
      </c>
      <c r="D18" s="146">
        <f t="shared" si="0"/>
        <v>13914.35</v>
      </c>
    </row>
    <row r="19" spans="1:4" x14ac:dyDescent="0.25">
      <c r="A19" s="156">
        <v>9257032</v>
      </c>
      <c r="B19" s="144" t="s">
        <v>1191</v>
      </c>
      <c r="C19" s="445">
        <v>36</v>
      </c>
      <c r="D19" s="146">
        <f t="shared" si="0"/>
        <v>16158.6</v>
      </c>
    </row>
    <row r="20" spans="1:4" x14ac:dyDescent="0.25">
      <c r="A20" s="156">
        <v>9257033</v>
      </c>
      <c r="B20" s="144" t="s">
        <v>559</v>
      </c>
      <c r="C20" s="445">
        <v>46</v>
      </c>
      <c r="D20" s="146">
        <f t="shared" si="0"/>
        <v>20647.100000000002</v>
      </c>
    </row>
    <row r="21" spans="1:4" ht="13" thickBot="1" x14ac:dyDescent="0.3">
      <c r="A21" s="157">
        <v>9257034</v>
      </c>
      <c r="B21" s="147" t="s">
        <v>560</v>
      </c>
      <c r="C21" s="446">
        <v>46</v>
      </c>
      <c r="D21" s="149">
        <f t="shared" si="0"/>
        <v>20647.100000000002</v>
      </c>
    </row>
    <row r="22" spans="1:4" x14ac:dyDescent="0.25">
      <c r="A22" s="150"/>
      <c r="B22" s="151"/>
      <c r="C22" s="150"/>
      <c r="D22" s="152"/>
    </row>
    <row r="23" spans="1:4" ht="13" thickBot="1" x14ac:dyDescent="0.3">
      <c r="A23" s="150"/>
      <c r="B23" s="151"/>
      <c r="C23" s="150"/>
      <c r="D23" s="155">
        <f>SUM(D4:D21)</f>
        <v>273798.5</v>
      </c>
    </row>
    <row r="24" spans="1:4" x14ac:dyDescent="0.25">
      <c r="A24" s="150"/>
      <c r="B24" s="153" t="s">
        <v>561</v>
      </c>
      <c r="C24" s="154">
        <v>2.35</v>
      </c>
      <c r="D24" s="151"/>
    </row>
    <row r="25" spans="1:4" x14ac:dyDescent="0.25">
      <c r="A25" s="150"/>
      <c r="B25" s="153" t="s">
        <v>562</v>
      </c>
      <c r="C25" s="452">
        <v>191</v>
      </c>
      <c r="D25" s="151"/>
    </row>
    <row r="26" spans="1:4" x14ac:dyDescent="0.25">
      <c r="A26" s="150"/>
      <c r="B26" s="151"/>
      <c r="C26" s="150"/>
      <c r="D26" s="151"/>
    </row>
    <row r="28" spans="1:4" x14ac:dyDescent="0.25">
      <c r="C28" s="289" t="s">
        <v>1192</v>
      </c>
      <c r="D28" s="16">
        <v>251805</v>
      </c>
    </row>
    <row r="29" spans="1:4" x14ac:dyDescent="0.25">
      <c r="D29" s="16"/>
    </row>
    <row r="30" spans="1:4" x14ac:dyDescent="0.25">
      <c r="C30" s="289" t="s">
        <v>564</v>
      </c>
      <c r="D30" s="16">
        <f>D23-D28</f>
        <v>21993.5</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2:BL67"/>
  <sheetViews>
    <sheetView workbookViewId="0">
      <selection sqref="A1:XFD1048576"/>
    </sheetView>
  </sheetViews>
  <sheetFormatPr defaultColWidth="9.1796875" defaultRowHeight="15.5" x14ac:dyDescent="0.35"/>
  <cols>
    <col min="1" max="1" width="10.54296875" style="78" bestFit="1" customWidth="1"/>
    <col min="2" max="5" width="9.1796875" style="77"/>
    <col min="6" max="6" width="10.26953125" style="77" customWidth="1"/>
    <col min="7" max="8" width="9.1796875" style="77" customWidth="1"/>
    <col min="9" max="9" width="10.7265625" style="77" customWidth="1"/>
    <col min="10" max="12" width="10.7265625" style="78" customWidth="1"/>
    <col min="13" max="14" width="10.7265625" style="79" customWidth="1"/>
    <col min="15" max="19" width="10.7265625" style="77" customWidth="1"/>
    <col min="20" max="20" width="3.26953125" style="77" customWidth="1"/>
    <col min="21" max="23" width="10.7265625" style="77" customWidth="1"/>
    <col min="24" max="24" width="9.1796875" style="77" customWidth="1"/>
    <col min="25" max="25" width="10.81640625" style="78" customWidth="1"/>
    <col min="26" max="28" width="9.1796875" style="77" customWidth="1"/>
    <col min="29" max="29" width="11.26953125" style="79" customWidth="1"/>
    <col min="30" max="30" width="11.1796875" style="79" customWidth="1"/>
    <col min="31" max="31" width="14.453125" style="79" customWidth="1"/>
    <col min="32" max="32" width="9.1796875" style="79" customWidth="1"/>
    <col min="33" max="33" width="8.81640625" style="79" customWidth="1"/>
    <col min="34" max="36" width="9.1796875" style="79" customWidth="1"/>
    <col min="37" max="37" width="10.453125" style="79" customWidth="1"/>
    <col min="38" max="38" width="13.453125" style="79" customWidth="1"/>
    <col min="39" max="43" width="9.1796875" style="79" customWidth="1"/>
    <col min="44" max="44" width="11.1796875" style="79" customWidth="1"/>
    <col min="45" max="45" width="14.26953125" style="79" customWidth="1"/>
    <col min="46" max="50" width="9.1796875" style="79" customWidth="1"/>
    <col min="51" max="51" width="10.1796875" style="79" customWidth="1"/>
    <col min="52" max="52" width="14.26953125" style="79" customWidth="1"/>
    <col min="53" max="55" width="9.1796875" style="79" customWidth="1"/>
    <col min="56" max="57" width="10.1796875" style="79" customWidth="1"/>
    <col min="58" max="60" width="9.1796875" style="79"/>
    <col min="61" max="61" width="9.81640625" style="79" bestFit="1" customWidth="1"/>
    <col min="62" max="62" width="12.26953125" style="79" customWidth="1"/>
    <col min="63" max="16384" width="9.1796875" style="79"/>
  </cols>
  <sheetData>
    <row r="2" spans="1:64" ht="12" customHeight="1" x14ac:dyDescent="0.35">
      <c r="A2" s="293"/>
      <c r="B2" s="76" t="s">
        <v>304</v>
      </c>
      <c r="C2" s="1172"/>
      <c r="D2" s="1172"/>
      <c r="E2" s="1172"/>
      <c r="F2" s="1172"/>
      <c r="G2" s="1172"/>
      <c r="H2" s="1172"/>
      <c r="I2" s="1172"/>
      <c r="J2" s="293"/>
      <c r="K2" s="293"/>
      <c r="L2" s="293"/>
      <c r="O2" s="1172"/>
      <c r="P2" s="1172"/>
      <c r="Q2" s="1172"/>
      <c r="R2" s="1172"/>
      <c r="S2" s="1172"/>
      <c r="T2" s="1172"/>
      <c r="U2" s="1172"/>
      <c r="V2" s="1455" t="s">
        <v>305</v>
      </c>
      <c r="W2" s="1172"/>
      <c r="X2" s="1172"/>
      <c r="Y2" s="293"/>
      <c r="Z2" s="1172"/>
      <c r="AA2" s="1172"/>
      <c r="AB2" s="1172"/>
    </row>
    <row r="3" spans="1:64" ht="12" customHeight="1" x14ac:dyDescent="0.35">
      <c r="A3" s="293"/>
      <c r="B3" s="1172"/>
      <c r="C3" s="1172"/>
      <c r="D3" s="1172"/>
      <c r="E3" s="1172"/>
      <c r="F3" s="1172"/>
      <c r="G3" s="1172"/>
      <c r="H3" s="1172"/>
      <c r="I3" s="1172"/>
      <c r="J3" s="293"/>
      <c r="K3" s="293"/>
      <c r="L3" s="293"/>
      <c r="O3" s="1172"/>
      <c r="P3" s="1172"/>
      <c r="Q3" s="1172"/>
      <c r="R3" s="1172"/>
      <c r="S3" s="1172"/>
      <c r="T3" s="1172"/>
      <c r="U3" s="1172"/>
      <c r="V3" s="1456"/>
      <c r="W3" s="1172"/>
      <c r="X3" s="1174" t="s">
        <v>306</v>
      </c>
      <c r="Y3" s="293"/>
      <c r="Z3" s="1172"/>
      <c r="AA3" s="1172"/>
      <c r="AB3" s="1172"/>
    </row>
    <row r="4" spans="1:64" s="80" customFormat="1" ht="12" customHeight="1" x14ac:dyDescent="0.3">
      <c r="A4" s="293"/>
      <c r="B4" s="1172"/>
      <c r="C4" s="1172"/>
      <c r="D4" s="1172"/>
      <c r="E4" s="1172"/>
      <c r="F4" s="1457" t="s">
        <v>307</v>
      </c>
      <c r="G4" s="1457" t="s">
        <v>308</v>
      </c>
      <c r="H4" s="1457" t="s">
        <v>309</v>
      </c>
      <c r="I4" s="1458" t="s">
        <v>310</v>
      </c>
      <c r="J4" s="1459" t="s">
        <v>311</v>
      </c>
      <c r="K4" s="1459" t="s">
        <v>312</v>
      </c>
      <c r="L4" s="1459" t="s">
        <v>313</v>
      </c>
      <c r="M4" s="1459" t="s">
        <v>314</v>
      </c>
      <c r="N4" s="1459" t="s">
        <v>315</v>
      </c>
      <c r="O4" s="1459" t="s">
        <v>316</v>
      </c>
      <c r="P4" s="1459" t="s">
        <v>317</v>
      </c>
      <c r="Q4" s="1459" t="s">
        <v>318</v>
      </c>
      <c r="R4" s="1459" t="s">
        <v>319</v>
      </c>
      <c r="S4" s="1459" t="s">
        <v>320</v>
      </c>
      <c r="T4" s="1174"/>
      <c r="U4" s="1459" t="s">
        <v>321</v>
      </c>
      <c r="V4" s="1462" t="s">
        <v>322</v>
      </c>
      <c r="W4" s="1174"/>
      <c r="X4" s="1459" t="s">
        <v>323</v>
      </c>
      <c r="Y4" s="1459" t="s">
        <v>324</v>
      </c>
      <c r="Z4" s="1458" t="s">
        <v>325</v>
      </c>
      <c r="AA4" s="1459" t="s">
        <v>326</v>
      </c>
      <c r="AB4" s="1459" t="s">
        <v>327</v>
      </c>
      <c r="AC4" s="1462" t="s">
        <v>328</v>
      </c>
      <c r="AD4" s="1459" t="s">
        <v>329</v>
      </c>
      <c r="AE4" s="1459" t="s">
        <v>330</v>
      </c>
      <c r="AG4" s="1458" t="s">
        <v>331</v>
      </c>
      <c r="AH4" s="1459" t="s">
        <v>332</v>
      </c>
      <c r="AI4" s="1459" t="s">
        <v>333</v>
      </c>
      <c r="AJ4" s="1462" t="s">
        <v>334</v>
      </c>
      <c r="AK4" s="1459" t="s">
        <v>335</v>
      </c>
      <c r="AL4" s="1459" t="s">
        <v>330</v>
      </c>
      <c r="AN4" s="1458" t="s">
        <v>710</v>
      </c>
      <c r="AO4" s="1459" t="s">
        <v>711</v>
      </c>
      <c r="AP4" s="1459" t="s">
        <v>712</v>
      </c>
      <c r="AQ4" s="1462" t="s">
        <v>713</v>
      </c>
      <c r="AR4" s="1459" t="s">
        <v>714</v>
      </c>
      <c r="AS4" s="1459" t="s">
        <v>330</v>
      </c>
      <c r="AU4" s="1458" t="s">
        <v>849</v>
      </c>
      <c r="AV4" s="1459" t="s">
        <v>850</v>
      </c>
      <c r="AW4" s="1459" t="s">
        <v>851</v>
      </c>
      <c r="AX4" s="1462" t="s">
        <v>852</v>
      </c>
      <c r="AY4" s="1459" t="s">
        <v>853</v>
      </c>
      <c r="AZ4" s="1459" t="s">
        <v>330</v>
      </c>
      <c r="BB4" s="1458" t="s">
        <v>927</v>
      </c>
      <c r="BC4" s="1459" t="s">
        <v>928</v>
      </c>
      <c r="BD4" s="1459" t="s">
        <v>929</v>
      </c>
      <c r="BE4" s="1459" t="s">
        <v>330</v>
      </c>
      <c r="BG4" s="1458" t="s">
        <v>930</v>
      </c>
      <c r="BH4" s="1459" t="s">
        <v>931</v>
      </c>
      <c r="BI4" s="1459" t="s">
        <v>932</v>
      </c>
      <c r="BJ4" s="1459" t="s">
        <v>330</v>
      </c>
    </row>
    <row r="5" spans="1:64" s="80" customFormat="1" ht="12" customHeight="1" x14ac:dyDescent="0.3">
      <c r="A5" s="293"/>
      <c r="B5" s="1172"/>
      <c r="C5" s="1172"/>
      <c r="D5" s="1172"/>
      <c r="E5" s="1172"/>
      <c r="F5" s="1457"/>
      <c r="G5" s="1457"/>
      <c r="H5" s="1457"/>
      <c r="I5" s="1458"/>
      <c r="J5" s="1459"/>
      <c r="K5" s="1459"/>
      <c r="L5" s="1459"/>
      <c r="M5" s="1459"/>
      <c r="N5" s="1459"/>
      <c r="O5" s="1459"/>
      <c r="P5" s="1459"/>
      <c r="Q5" s="1459"/>
      <c r="R5" s="1459"/>
      <c r="S5" s="1459"/>
      <c r="T5" s="1174"/>
      <c r="U5" s="1459"/>
      <c r="V5" s="1463"/>
      <c r="W5" s="1174"/>
      <c r="X5" s="1459"/>
      <c r="Y5" s="1459"/>
      <c r="Z5" s="1458"/>
      <c r="AA5" s="1459"/>
      <c r="AB5" s="1459"/>
      <c r="AC5" s="1463"/>
      <c r="AD5" s="1459"/>
      <c r="AE5" s="1459"/>
      <c r="AG5" s="1458"/>
      <c r="AH5" s="1459"/>
      <c r="AI5" s="1459"/>
      <c r="AJ5" s="1463"/>
      <c r="AK5" s="1459"/>
      <c r="AL5" s="1459"/>
      <c r="AN5" s="1458"/>
      <c r="AO5" s="1459"/>
      <c r="AP5" s="1459"/>
      <c r="AQ5" s="1463"/>
      <c r="AR5" s="1459"/>
      <c r="AS5" s="1459"/>
      <c r="AU5" s="1458"/>
      <c r="AV5" s="1459"/>
      <c r="AW5" s="1459"/>
      <c r="AX5" s="1463"/>
      <c r="AY5" s="1459"/>
      <c r="AZ5" s="1459"/>
      <c r="BB5" s="1458"/>
      <c r="BC5" s="1459"/>
      <c r="BD5" s="1459"/>
      <c r="BE5" s="1459"/>
      <c r="BG5" s="1458"/>
      <c r="BH5" s="1459"/>
      <c r="BI5" s="1459"/>
      <c r="BJ5" s="1459"/>
    </row>
    <row r="6" spans="1:64" s="80" customFormat="1" ht="12" customHeight="1" x14ac:dyDescent="0.3">
      <c r="A6" s="293"/>
      <c r="B6" s="1465" t="s">
        <v>336</v>
      </c>
      <c r="C6" s="1466"/>
      <c r="D6" s="1466"/>
      <c r="E6" s="1467"/>
      <c r="F6" s="1457"/>
      <c r="G6" s="1457"/>
      <c r="H6" s="1457"/>
      <c r="I6" s="1458"/>
      <c r="J6" s="1459"/>
      <c r="K6" s="1459"/>
      <c r="L6" s="1459"/>
      <c r="M6" s="1459"/>
      <c r="N6" s="1459"/>
      <c r="O6" s="1459"/>
      <c r="P6" s="1459"/>
      <c r="Q6" s="1459"/>
      <c r="R6" s="1459"/>
      <c r="S6" s="1459"/>
      <c r="T6" s="1174"/>
      <c r="U6" s="1459"/>
      <c r="V6" s="1464"/>
      <c r="W6" s="1174"/>
      <c r="X6" s="1459"/>
      <c r="Y6" s="1459"/>
      <c r="Z6" s="1458"/>
      <c r="AA6" s="1459"/>
      <c r="AB6" s="1459"/>
      <c r="AC6" s="1464"/>
      <c r="AD6" s="1459"/>
      <c r="AE6" s="1459"/>
      <c r="AG6" s="1458"/>
      <c r="AH6" s="1459"/>
      <c r="AI6" s="1459"/>
      <c r="AJ6" s="1464"/>
      <c r="AK6" s="1459"/>
      <c r="AL6" s="1459"/>
      <c r="AN6" s="1458"/>
      <c r="AO6" s="1459"/>
      <c r="AP6" s="1459"/>
      <c r="AQ6" s="1464"/>
      <c r="AR6" s="1459"/>
      <c r="AS6" s="1459"/>
      <c r="AU6" s="1458"/>
      <c r="AV6" s="1459"/>
      <c r="AW6" s="1459"/>
      <c r="AX6" s="1464"/>
      <c r="AY6" s="1459"/>
      <c r="AZ6" s="1459"/>
      <c r="BB6" s="1458"/>
      <c r="BC6" s="1459"/>
      <c r="BD6" s="1459"/>
      <c r="BE6" s="1459"/>
      <c r="BG6" s="1458"/>
      <c r="BH6" s="1459"/>
      <c r="BI6" s="1459"/>
      <c r="BJ6" s="1459"/>
    </row>
    <row r="7" spans="1:64" ht="12" customHeight="1" x14ac:dyDescent="0.35">
      <c r="A7" s="1175">
        <v>9257010</v>
      </c>
      <c r="B7" s="1460" t="s">
        <v>337</v>
      </c>
      <c r="C7" s="1461"/>
      <c r="D7" s="1461"/>
      <c r="E7" s="1461"/>
      <c r="F7" s="1176">
        <v>35258</v>
      </c>
      <c r="G7" s="1176">
        <v>35258</v>
      </c>
      <c r="H7" s="1176">
        <v>35258</v>
      </c>
      <c r="I7" s="1176">
        <v>35258</v>
      </c>
      <c r="J7" s="1177"/>
      <c r="K7" s="1177"/>
      <c r="L7" s="1177"/>
      <c r="M7" s="1178">
        <v>0</v>
      </c>
      <c r="N7" s="1179"/>
      <c r="O7" s="1177"/>
      <c r="P7" s="86"/>
      <c r="Q7" s="86"/>
      <c r="R7" s="1174"/>
      <c r="S7" s="1174"/>
      <c r="T7" s="1174"/>
      <c r="U7" s="1174"/>
      <c r="V7" s="255">
        <f>(9/12)*51500</f>
        <v>38625</v>
      </c>
      <c r="W7" s="1174"/>
      <c r="X7" s="255">
        <f>(8/12)*864</f>
        <v>576</v>
      </c>
      <c r="Y7" s="89">
        <f>I7+L7+Q7+U7+V7</f>
        <v>73883</v>
      </c>
      <c r="Z7" s="255">
        <f>I7</f>
        <v>35258</v>
      </c>
      <c r="AA7" s="255"/>
      <c r="AB7" s="255"/>
      <c r="AC7" s="255">
        <f>51500*(5/12)</f>
        <v>21458.333333333336</v>
      </c>
      <c r="AD7" s="255"/>
      <c r="AE7" s="255">
        <f>SUM(Z7:AD7)</f>
        <v>56716.333333333336</v>
      </c>
      <c r="AG7" s="255">
        <v>35258</v>
      </c>
      <c r="AH7" s="255"/>
      <c r="AI7" s="255"/>
      <c r="AJ7" s="255">
        <v>0</v>
      </c>
      <c r="AK7" s="255"/>
      <c r="AL7" s="255">
        <f>SUM(AG7:AK7)</f>
        <v>35258</v>
      </c>
      <c r="AN7" s="255">
        <v>26443.5</v>
      </c>
      <c r="AO7" s="255"/>
      <c r="AP7" s="255"/>
      <c r="AQ7" s="255">
        <v>0</v>
      </c>
      <c r="AR7" s="255"/>
      <c r="AS7" s="255">
        <f>SUM(AN7:AR7)</f>
        <v>26443.5</v>
      </c>
      <c r="AU7" s="255">
        <v>35258</v>
      </c>
      <c r="AV7" s="255"/>
      <c r="AW7" s="255"/>
      <c r="AX7" s="255">
        <v>0</v>
      </c>
      <c r="AY7" s="255"/>
      <c r="AZ7" s="255">
        <f>SUM(AU7:AY7)</f>
        <v>35258</v>
      </c>
      <c r="BB7" s="1256">
        <v>35258</v>
      </c>
      <c r="BC7" s="255"/>
      <c r="BD7" s="255"/>
      <c r="BE7" s="255">
        <f t="shared" ref="BE7:BE26" si="0">SUM(BB7:BD7)</f>
        <v>35258</v>
      </c>
      <c r="BG7" s="255">
        <v>35258</v>
      </c>
      <c r="BH7" s="255"/>
      <c r="BI7" s="255"/>
      <c r="BJ7" s="255">
        <f t="shared" ref="BJ7:BJ26" si="1">SUM(BG7:BI7)</f>
        <v>35258</v>
      </c>
    </row>
    <row r="8" spans="1:64" ht="12" customHeight="1" x14ac:dyDescent="0.35">
      <c r="A8" s="1175">
        <v>9257030</v>
      </c>
      <c r="B8" s="1460" t="s">
        <v>338</v>
      </c>
      <c r="C8" s="1461"/>
      <c r="D8" s="1461"/>
      <c r="E8" s="1461"/>
      <c r="F8" s="255"/>
      <c r="G8" s="255"/>
      <c r="H8" s="255"/>
      <c r="I8" s="255"/>
      <c r="J8" s="1177"/>
      <c r="K8" s="1177"/>
      <c r="L8" s="1177"/>
      <c r="M8" s="1178">
        <v>0</v>
      </c>
      <c r="N8" s="1179"/>
      <c r="O8" s="1177"/>
      <c r="P8" s="1177"/>
      <c r="Q8" s="1177"/>
      <c r="R8" s="1174"/>
      <c r="S8" s="1174"/>
      <c r="T8" s="1174"/>
      <c r="U8" s="1174"/>
      <c r="V8" s="255"/>
      <c r="W8" s="1174"/>
      <c r="X8" s="255"/>
      <c r="Y8" s="89">
        <f t="shared" ref="Y8:Y25" si="2">I8+L8+Q8+U8+V8</f>
        <v>0</v>
      </c>
      <c r="Z8" s="255"/>
      <c r="AA8" s="255"/>
      <c r="AB8" s="255"/>
      <c r="AC8" s="158"/>
      <c r="AD8" s="255"/>
      <c r="AE8" s="255">
        <f t="shared" ref="AE8:AE26" si="3">SUM(Z8:AD8)</f>
        <v>0</v>
      </c>
      <c r="AG8" s="255"/>
      <c r="AH8" s="255"/>
      <c r="AI8" s="255"/>
      <c r="AJ8" s="158"/>
      <c r="AK8" s="255"/>
      <c r="AL8" s="255">
        <f t="shared" ref="AL8:AL26" si="4">SUM(AG8:AK8)</f>
        <v>0</v>
      </c>
      <c r="AN8" s="255"/>
      <c r="AO8" s="255"/>
      <c r="AP8" s="255"/>
      <c r="AQ8" s="158"/>
      <c r="AR8" s="255"/>
      <c r="AS8" s="255">
        <f t="shared" ref="AS8:AS26" si="5">SUM(AN8:AR8)</f>
        <v>0</v>
      </c>
      <c r="AU8" s="255"/>
      <c r="AV8" s="255"/>
      <c r="AW8" s="255"/>
      <c r="AX8" s="158"/>
      <c r="AY8" s="255"/>
      <c r="AZ8" s="255">
        <f t="shared" ref="AZ8:AZ26" si="6">SUM(AU8:AY8)</f>
        <v>0</v>
      </c>
      <c r="BB8" s="1256"/>
      <c r="BC8" s="255"/>
      <c r="BD8" s="255"/>
      <c r="BE8" s="255">
        <f t="shared" si="0"/>
        <v>0</v>
      </c>
      <c r="BG8" s="255"/>
      <c r="BH8" s="255"/>
      <c r="BI8" s="255"/>
      <c r="BJ8" s="255">
        <f t="shared" si="1"/>
        <v>0</v>
      </c>
    </row>
    <row r="9" spans="1:64" ht="12" customHeight="1" x14ac:dyDescent="0.35">
      <c r="A9" s="1175">
        <v>9257031</v>
      </c>
      <c r="B9" s="1460" t="s">
        <v>339</v>
      </c>
      <c r="C9" s="1461"/>
      <c r="D9" s="1461"/>
      <c r="E9" s="1461"/>
      <c r="F9" s="255"/>
      <c r="G9" s="255"/>
      <c r="H9" s="255"/>
      <c r="I9" s="255"/>
      <c r="J9" s="1177"/>
      <c r="K9" s="1177"/>
      <c r="L9" s="1177"/>
      <c r="M9" s="1178">
        <v>0</v>
      </c>
      <c r="N9" s="1179"/>
      <c r="O9" s="1177"/>
      <c r="P9" s="1177"/>
      <c r="Q9" s="1177"/>
      <c r="R9" s="1174"/>
      <c r="S9" s="1174"/>
      <c r="T9" s="1174"/>
      <c r="U9" s="1174"/>
      <c r="V9" s="255"/>
      <c r="W9" s="1174"/>
      <c r="X9" s="255"/>
      <c r="Y9" s="89">
        <f t="shared" si="2"/>
        <v>0</v>
      </c>
      <c r="Z9" s="255"/>
      <c r="AA9" s="255"/>
      <c r="AB9" s="255"/>
      <c r="AC9" s="158"/>
      <c r="AD9" s="255"/>
      <c r="AE9" s="255">
        <f t="shared" si="3"/>
        <v>0</v>
      </c>
      <c r="AG9" s="255"/>
      <c r="AH9" s="255"/>
      <c r="AI9" s="255"/>
      <c r="AJ9" s="158"/>
      <c r="AK9" s="255"/>
      <c r="AL9" s="255">
        <f t="shared" si="4"/>
        <v>0</v>
      </c>
      <c r="AN9" s="255"/>
      <c r="AO9" s="255"/>
      <c r="AP9" s="255"/>
      <c r="AQ9" s="158"/>
      <c r="AR9" s="255"/>
      <c r="AS9" s="255">
        <f t="shared" si="5"/>
        <v>0</v>
      </c>
      <c r="AU9" s="255"/>
      <c r="AV9" s="255"/>
      <c r="AW9" s="255"/>
      <c r="AX9" s="158"/>
      <c r="AY9" s="255"/>
      <c r="AZ9" s="255">
        <f t="shared" si="6"/>
        <v>0</v>
      </c>
      <c r="BB9" s="1256"/>
      <c r="BC9" s="255"/>
      <c r="BD9" s="255"/>
      <c r="BE9" s="255">
        <f t="shared" si="0"/>
        <v>0</v>
      </c>
      <c r="BG9" s="255"/>
      <c r="BH9" s="255"/>
      <c r="BI9" s="255"/>
      <c r="BJ9" s="255">
        <f t="shared" si="1"/>
        <v>0</v>
      </c>
    </row>
    <row r="10" spans="1:64" ht="12" customHeight="1" x14ac:dyDescent="0.35">
      <c r="A10" s="1175">
        <v>9257008</v>
      </c>
      <c r="B10" s="1460" t="s">
        <v>340</v>
      </c>
      <c r="C10" s="1461"/>
      <c r="D10" s="1461"/>
      <c r="E10" s="1461"/>
      <c r="F10" s="255"/>
      <c r="G10" s="255"/>
      <c r="H10" s="255"/>
      <c r="I10" s="255"/>
      <c r="J10" s="255"/>
      <c r="K10" s="255"/>
      <c r="L10" s="255"/>
      <c r="M10" s="1180">
        <v>4</v>
      </c>
      <c r="N10" s="1176">
        <v>44916</v>
      </c>
      <c r="O10" s="255">
        <v>51500</v>
      </c>
      <c r="P10" s="255">
        <v>51500</v>
      </c>
      <c r="Q10" s="255">
        <v>51500</v>
      </c>
      <c r="R10" s="1174"/>
      <c r="S10" s="1174"/>
      <c r="T10" s="1174"/>
      <c r="U10" s="1174"/>
      <c r="V10" s="255"/>
      <c r="W10" s="1174"/>
      <c r="X10" s="255"/>
      <c r="Y10" s="89">
        <f t="shared" si="2"/>
        <v>51500</v>
      </c>
      <c r="Z10" s="255"/>
      <c r="AA10" s="255"/>
      <c r="AB10" s="255">
        <f>Q10*(5/12)</f>
        <v>21458.333333333336</v>
      </c>
      <c r="AC10" s="255">
        <f>51500*(5/12)</f>
        <v>21458.333333333336</v>
      </c>
      <c r="AD10" s="255"/>
      <c r="AE10" s="255">
        <f t="shared" si="3"/>
        <v>42916.666666666672</v>
      </c>
      <c r="AG10" s="255"/>
      <c r="AH10" s="255"/>
      <c r="AI10" s="255">
        <v>617500</v>
      </c>
      <c r="AJ10" s="255">
        <v>0</v>
      </c>
      <c r="AK10" s="255"/>
      <c r="AL10" s="255">
        <f t="shared" si="4"/>
        <v>617500</v>
      </c>
      <c r="AN10" s="255"/>
      <c r="AO10" s="255"/>
      <c r="AP10" s="255">
        <v>617500</v>
      </c>
      <c r="AQ10" s="255">
        <v>0</v>
      </c>
      <c r="AR10" s="255"/>
      <c r="AS10" s="255">
        <f t="shared" si="5"/>
        <v>617500</v>
      </c>
      <c r="AU10" s="255"/>
      <c r="AV10" s="255"/>
      <c r="AW10" s="255">
        <v>617500</v>
      </c>
      <c r="AX10" s="255">
        <v>0</v>
      </c>
      <c r="AY10" s="255"/>
      <c r="AZ10" s="255">
        <f t="shared" si="6"/>
        <v>617500</v>
      </c>
      <c r="BB10" s="1256"/>
      <c r="BC10" s="1257">
        <v>617500</v>
      </c>
      <c r="BD10" s="255"/>
      <c r="BE10" s="255">
        <f t="shared" si="0"/>
        <v>617500</v>
      </c>
      <c r="BG10" s="255"/>
      <c r="BH10" s="255">
        <f>617500/12*5</f>
        <v>257291.66666666669</v>
      </c>
      <c r="BI10" s="255"/>
      <c r="BJ10" s="255">
        <f t="shared" si="1"/>
        <v>257291.66666666669</v>
      </c>
      <c r="BL10" s="79" t="s">
        <v>1193</v>
      </c>
    </row>
    <row r="11" spans="1:64" ht="12" customHeight="1" x14ac:dyDescent="0.35">
      <c r="A11" s="1175">
        <v>9257002</v>
      </c>
      <c r="B11" s="1460" t="s">
        <v>341</v>
      </c>
      <c r="C11" s="1461"/>
      <c r="D11" s="1461"/>
      <c r="E11" s="1461"/>
      <c r="F11" s="255"/>
      <c r="G11" s="255"/>
      <c r="H11" s="255"/>
      <c r="I11" s="255"/>
      <c r="J11" s="255">
        <v>60000</v>
      </c>
      <c r="K11" s="255">
        <v>60000</v>
      </c>
      <c r="L11" s="255">
        <v>60000</v>
      </c>
      <c r="M11" s="1178">
        <v>0</v>
      </c>
      <c r="N11" s="1176"/>
      <c r="O11" s="255"/>
      <c r="P11" s="255"/>
      <c r="Q11" s="255"/>
      <c r="R11" s="1174"/>
      <c r="S11" s="1174"/>
      <c r="T11" s="1174"/>
      <c r="U11" s="1174"/>
      <c r="V11" s="255"/>
      <c r="W11" s="1174"/>
      <c r="X11" s="255"/>
      <c r="Y11" s="89">
        <f t="shared" si="2"/>
        <v>60000</v>
      </c>
      <c r="Z11" s="255"/>
      <c r="AA11" s="255"/>
      <c r="AB11" s="255"/>
      <c r="AC11" s="158"/>
      <c r="AD11" s="255"/>
      <c r="AE11" s="255">
        <f t="shared" si="3"/>
        <v>0</v>
      </c>
      <c r="AG11" s="255"/>
      <c r="AH11" s="255"/>
      <c r="AI11" s="255"/>
      <c r="AJ11" s="158"/>
      <c r="AK11" s="255"/>
      <c r="AL11" s="255">
        <f t="shared" si="4"/>
        <v>0</v>
      </c>
      <c r="AN11" s="255"/>
      <c r="AO11" s="255"/>
      <c r="AP11" s="255"/>
      <c r="AQ11" s="158"/>
      <c r="AR11" s="255"/>
      <c r="AS11" s="255">
        <f t="shared" si="5"/>
        <v>0</v>
      </c>
      <c r="AU11" s="255"/>
      <c r="AV11" s="255"/>
      <c r="AW11" s="255"/>
      <c r="AX11" s="158"/>
      <c r="AY11" s="255"/>
      <c r="AZ11" s="255">
        <f t="shared" si="6"/>
        <v>0</v>
      </c>
      <c r="BB11" s="1256"/>
      <c r="BC11" s="255"/>
      <c r="BD11" s="255"/>
      <c r="BE11" s="255">
        <f t="shared" si="0"/>
        <v>0</v>
      </c>
      <c r="BG11" s="255"/>
      <c r="BH11" s="255"/>
      <c r="BI11" s="255"/>
      <c r="BJ11" s="255">
        <f t="shared" si="1"/>
        <v>0</v>
      </c>
    </row>
    <row r="12" spans="1:64" ht="12" customHeight="1" x14ac:dyDescent="0.35">
      <c r="A12" s="1175">
        <v>9257005</v>
      </c>
      <c r="B12" s="1460" t="s">
        <v>342</v>
      </c>
      <c r="C12" s="1461"/>
      <c r="D12" s="1461"/>
      <c r="E12" s="1461"/>
      <c r="F12" s="1176">
        <v>35258</v>
      </c>
      <c r="G12" s="1176">
        <v>35258</v>
      </c>
      <c r="H12" s="1176">
        <v>35258</v>
      </c>
      <c r="I12" s="1176">
        <v>35258</v>
      </c>
      <c r="J12" s="255"/>
      <c r="K12" s="255"/>
      <c r="L12" s="255"/>
      <c r="M12" s="1178">
        <v>0</v>
      </c>
      <c r="N12" s="1176"/>
      <c r="O12" s="255"/>
      <c r="P12" s="255"/>
      <c r="Q12" s="255"/>
      <c r="R12" s="1174"/>
      <c r="S12" s="1174"/>
      <c r="T12" s="1174"/>
      <c r="U12" s="1174"/>
      <c r="V12" s="255"/>
      <c r="W12" s="1174"/>
      <c r="X12" s="255">
        <f>(8/12)*2591</f>
        <v>1727.3333333333333</v>
      </c>
      <c r="Y12" s="89">
        <f t="shared" si="2"/>
        <v>35258</v>
      </c>
      <c r="Z12" s="255">
        <f>I12</f>
        <v>35258</v>
      </c>
      <c r="AA12" s="255"/>
      <c r="AB12" s="255"/>
      <c r="AC12" s="158"/>
      <c r="AD12" s="255"/>
      <c r="AE12" s="255">
        <f t="shared" si="3"/>
        <v>35258</v>
      </c>
      <c r="AG12" s="255">
        <v>35258</v>
      </c>
      <c r="AH12" s="255"/>
      <c r="AI12" s="255"/>
      <c r="AJ12" s="158"/>
      <c r="AK12" s="255"/>
      <c r="AL12" s="255">
        <f t="shared" si="4"/>
        <v>35258</v>
      </c>
      <c r="AN12" s="255">
        <v>26443.5</v>
      </c>
      <c r="AO12" s="255"/>
      <c r="AP12" s="255"/>
      <c r="AQ12" s="158"/>
      <c r="AR12" s="255"/>
      <c r="AS12" s="255">
        <f t="shared" si="5"/>
        <v>26443.5</v>
      </c>
      <c r="AU12" s="255">
        <v>35258</v>
      </c>
      <c r="AV12" s="255"/>
      <c r="AW12" s="255"/>
      <c r="AX12" s="158"/>
      <c r="AY12" s="255"/>
      <c r="AZ12" s="255">
        <f t="shared" si="6"/>
        <v>35258</v>
      </c>
      <c r="BB12" s="1256">
        <v>35258</v>
      </c>
      <c r="BC12" s="255"/>
      <c r="BD12" s="255"/>
      <c r="BE12" s="255">
        <f t="shared" si="0"/>
        <v>35258</v>
      </c>
      <c r="BG12" s="255">
        <v>35258</v>
      </c>
      <c r="BH12" s="255"/>
      <c r="BI12" s="255"/>
      <c r="BJ12" s="255">
        <f t="shared" si="1"/>
        <v>35258</v>
      </c>
    </row>
    <row r="13" spans="1:64" ht="12" customHeight="1" x14ac:dyDescent="0.35">
      <c r="A13" s="1175">
        <v>9257034</v>
      </c>
      <c r="B13" s="1460" t="s">
        <v>343</v>
      </c>
      <c r="C13" s="1461"/>
      <c r="D13" s="1461"/>
      <c r="E13" s="1461"/>
      <c r="F13" s="255"/>
      <c r="G13" s="255"/>
      <c r="H13" s="255"/>
      <c r="I13" s="255"/>
      <c r="J13" s="255"/>
      <c r="K13" s="255"/>
      <c r="L13" s="255"/>
      <c r="M13" s="1178">
        <v>0</v>
      </c>
      <c r="N13" s="1176"/>
      <c r="O13" s="255"/>
      <c r="P13" s="255"/>
      <c r="Q13" s="255"/>
      <c r="R13" s="1174"/>
      <c r="S13" s="1174"/>
      <c r="T13" s="1174"/>
      <c r="U13" s="1174"/>
      <c r="V13" s="255"/>
      <c r="W13" s="1174"/>
      <c r="X13" s="255">
        <f>(8/12)*3455</f>
        <v>2303.333333333333</v>
      </c>
      <c r="Y13" s="89">
        <f t="shared" si="2"/>
        <v>0</v>
      </c>
      <c r="Z13" s="255"/>
      <c r="AA13" s="255"/>
      <c r="AB13" s="255"/>
      <c r="AC13" s="158"/>
      <c r="AD13" s="255"/>
      <c r="AE13" s="255">
        <f t="shared" si="3"/>
        <v>0</v>
      </c>
      <c r="AG13" s="255"/>
      <c r="AH13" s="255"/>
      <c r="AI13" s="255"/>
      <c r="AJ13" s="158"/>
      <c r="AK13" s="255"/>
      <c r="AL13" s="255">
        <f t="shared" si="4"/>
        <v>0</v>
      </c>
      <c r="AN13" s="255"/>
      <c r="AO13" s="255"/>
      <c r="AP13" s="255"/>
      <c r="AQ13" s="158"/>
      <c r="AR13" s="255"/>
      <c r="AS13" s="255">
        <f t="shared" si="5"/>
        <v>0</v>
      </c>
      <c r="AU13" s="255"/>
      <c r="AV13" s="255"/>
      <c r="AW13" s="255"/>
      <c r="AX13" s="158"/>
      <c r="AY13" s="255"/>
      <c r="AZ13" s="255">
        <f t="shared" si="6"/>
        <v>0</v>
      </c>
      <c r="BB13" s="1256"/>
      <c r="BC13" s="255"/>
      <c r="BD13" s="255"/>
      <c r="BE13" s="255">
        <f t="shared" si="0"/>
        <v>0</v>
      </c>
      <c r="BG13" s="255"/>
      <c r="BH13" s="255"/>
      <c r="BI13" s="255"/>
      <c r="BJ13" s="255">
        <f t="shared" si="1"/>
        <v>0</v>
      </c>
    </row>
    <row r="14" spans="1:64" ht="12" customHeight="1" x14ac:dyDescent="0.35">
      <c r="A14" s="1175">
        <v>9257021</v>
      </c>
      <c r="B14" s="1460" t="s">
        <v>344</v>
      </c>
      <c r="C14" s="1461"/>
      <c r="D14" s="1461"/>
      <c r="E14" s="1461"/>
      <c r="F14" s="255"/>
      <c r="G14" s="255"/>
      <c r="H14" s="255">
        <v>35258</v>
      </c>
      <c r="I14" s="1176">
        <v>35258</v>
      </c>
      <c r="J14" s="255"/>
      <c r="K14" s="255"/>
      <c r="L14" s="255"/>
      <c r="M14" s="1178">
        <v>0</v>
      </c>
      <c r="N14" s="1176"/>
      <c r="O14" s="255"/>
      <c r="P14" s="255"/>
      <c r="Q14" s="255"/>
      <c r="R14" s="255">
        <v>274420</v>
      </c>
      <c r="S14" s="255">
        <f>R14*(3/12)</f>
        <v>68605</v>
      </c>
      <c r="T14" s="1174" t="s">
        <v>345</v>
      </c>
      <c r="U14" s="1174"/>
      <c r="V14" s="255"/>
      <c r="W14" s="1174"/>
      <c r="X14" s="255"/>
      <c r="Y14" s="89">
        <f t="shared" si="2"/>
        <v>35258</v>
      </c>
      <c r="Z14" s="255">
        <f>I14</f>
        <v>35258</v>
      </c>
      <c r="AA14" s="255"/>
      <c r="AB14" s="255"/>
      <c r="AC14" s="158"/>
      <c r="AD14" s="255"/>
      <c r="AE14" s="255">
        <f t="shared" si="3"/>
        <v>35258</v>
      </c>
      <c r="AG14" s="255">
        <v>35258</v>
      </c>
      <c r="AH14" s="255"/>
      <c r="AI14" s="255"/>
      <c r="AJ14" s="158"/>
      <c r="AK14" s="255"/>
      <c r="AL14" s="255">
        <f t="shared" si="4"/>
        <v>35258</v>
      </c>
      <c r="AN14" s="255">
        <v>26443.5</v>
      </c>
      <c r="AO14" s="255"/>
      <c r="AP14" s="255"/>
      <c r="AQ14" s="158"/>
      <c r="AR14" s="255"/>
      <c r="AS14" s="255">
        <f t="shared" si="5"/>
        <v>26443.5</v>
      </c>
      <c r="AU14" s="255">
        <v>35258</v>
      </c>
      <c r="AV14" s="255"/>
      <c r="AW14" s="255"/>
      <c r="AX14" s="158"/>
      <c r="AY14" s="255"/>
      <c r="AZ14" s="255">
        <f t="shared" si="6"/>
        <v>35258</v>
      </c>
      <c r="BB14" s="1256">
        <v>35258</v>
      </c>
      <c r="BC14" s="255"/>
      <c r="BD14" s="255"/>
      <c r="BE14" s="255">
        <f t="shared" si="0"/>
        <v>35258</v>
      </c>
      <c r="BG14" s="255">
        <v>35258</v>
      </c>
      <c r="BH14" s="255"/>
      <c r="BI14" s="255"/>
      <c r="BJ14" s="255">
        <f t="shared" si="1"/>
        <v>35258</v>
      </c>
    </row>
    <row r="15" spans="1:64" s="77" customFormat="1" ht="12" customHeight="1" x14ac:dyDescent="0.3">
      <c r="A15" s="1175">
        <v>9257033</v>
      </c>
      <c r="B15" s="1460" t="s">
        <v>346</v>
      </c>
      <c r="C15" s="1461"/>
      <c r="D15" s="1461"/>
      <c r="E15" s="1461"/>
      <c r="F15" s="1176">
        <v>35258</v>
      </c>
      <c r="G15" s="1176">
        <v>35258</v>
      </c>
      <c r="H15" s="1176">
        <v>35258</v>
      </c>
      <c r="I15" s="1176">
        <v>35258</v>
      </c>
      <c r="J15" s="255"/>
      <c r="K15" s="255"/>
      <c r="L15" s="255"/>
      <c r="M15" s="1178">
        <v>0</v>
      </c>
      <c r="N15" s="1176"/>
      <c r="O15" s="255"/>
      <c r="P15" s="86"/>
      <c r="Q15" s="86"/>
      <c r="R15" s="1174"/>
      <c r="S15" s="1174"/>
      <c r="T15" s="1174"/>
      <c r="U15" s="1174"/>
      <c r="V15" s="255">
        <f>(9/12)*51500</f>
        <v>38625</v>
      </c>
      <c r="W15" s="1174"/>
      <c r="X15" s="255"/>
      <c r="Y15" s="89">
        <f t="shared" si="2"/>
        <v>73883</v>
      </c>
      <c r="Z15" s="255">
        <f>I15</f>
        <v>35258</v>
      </c>
      <c r="AA15" s="255"/>
      <c r="AB15" s="255"/>
      <c r="AC15" s="255">
        <f>51500*(5/12)</f>
        <v>21458.333333333336</v>
      </c>
      <c r="AD15" s="255"/>
      <c r="AE15" s="255">
        <f t="shared" si="3"/>
        <v>56716.333333333336</v>
      </c>
      <c r="AF15" s="1172"/>
      <c r="AG15" s="255">
        <v>35258</v>
      </c>
      <c r="AH15" s="255"/>
      <c r="AI15" s="255"/>
      <c r="AJ15" s="255">
        <v>0</v>
      </c>
      <c r="AK15" s="255"/>
      <c r="AL15" s="255">
        <f t="shared" si="4"/>
        <v>35258</v>
      </c>
      <c r="AM15" s="1172"/>
      <c r="AN15" s="255">
        <v>26443.5</v>
      </c>
      <c r="AO15" s="255"/>
      <c r="AP15" s="255"/>
      <c r="AQ15" s="255">
        <v>0</v>
      </c>
      <c r="AR15" s="255"/>
      <c r="AS15" s="255">
        <f t="shared" si="5"/>
        <v>26443.5</v>
      </c>
      <c r="AT15" s="1172"/>
      <c r="AU15" s="255">
        <v>35258</v>
      </c>
      <c r="AV15" s="255"/>
      <c r="AW15" s="255"/>
      <c r="AX15" s="255">
        <v>0</v>
      </c>
      <c r="AY15" s="255"/>
      <c r="AZ15" s="255">
        <f t="shared" si="6"/>
        <v>35258</v>
      </c>
      <c r="BA15" s="1172"/>
      <c r="BB15" s="1256">
        <v>35258</v>
      </c>
      <c r="BC15" s="255"/>
      <c r="BD15" s="255"/>
      <c r="BE15" s="255">
        <f t="shared" si="0"/>
        <v>35258</v>
      </c>
      <c r="BF15" s="1172"/>
      <c r="BG15" s="255"/>
      <c r="BH15" s="255"/>
      <c r="BI15" s="255"/>
      <c r="BJ15" s="255">
        <f t="shared" si="1"/>
        <v>0</v>
      </c>
      <c r="BK15" s="1172"/>
      <c r="BL15" s="1172"/>
    </row>
    <row r="16" spans="1:64" s="77" customFormat="1" ht="12" customHeight="1" x14ac:dyDescent="0.3">
      <c r="A16" s="1175">
        <v>9257017</v>
      </c>
      <c r="B16" s="1460" t="s">
        <v>347</v>
      </c>
      <c r="C16" s="1461"/>
      <c r="D16" s="1461"/>
      <c r="E16" s="1461"/>
      <c r="F16" s="1176">
        <v>55122</v>
      </c>
      <c r="G16" s="1176">
        <v>35258</v>
      </c>
      <c r="H16" s="1176">
        <v>14690.833333333334</v>
      </c>
      <c r="I16" s="1176"/>
      <c r="J16" s="255"/>
      <c r="K16" s="255"/>
      <c r="L16" s="255"/>
      <c r="M16" s="1178">
        <v>0</v>
      </c>
      <c r="N16" s="1176"/>
      <c r="O16" s="255"/>
      <c r="P16" s="255"/>
      <c r="Q16" s="255"/>
      <c r="R16" s="1174"/>
      <c r="S16" s="1174"/>
      <c r="T16" s="1174"/>
      <c r="U16" s="1174"/>
      <c r="V16" s="255"/>
      <c r="W16" s="1174"/>
      <c r="X16" s="255"/>
      <c r="Y16" s="89">
        <f t="shared" si="2"/>
        <v>0</v>
      </c>
      <c r="Z16" s="255"/>
      <c r="AA16" s="255"/>
      <c r="AB16" s="255"/>
      <c r="AC16" s="255"/>
      <c r="AD16" s="255"/>
      <c r="AE16" s="255">
        <f t="shared" si="3"/>
        <v>0</v>
      </c>
      <c r="AF16" s="1172"/>
      <c r="AG16" s="255"/>
      <c r="AH16" s="255"/>
      <c r="AI16" s="255"/>
      <c r="AJ16" s="255"/>
      <c r="AK16" s="255"/>
      <c r="AL16" s="255">
        <f t="shared" si="4"/>
        <v>0</v>
      </c>
      <c r="AM16" s="1172"/>
      <c r="AN16" s="255"/>
      <c r="AO16" s="255"/>
      <c r="AP16" s="255"/>
      <c r="AQ16" s="255"/>
      <c r="AR16" s="255"/>
      <c r="AS16" s="255">
        <f t="shared" si="5"/>
        <v>0</v>
      </c>
      <c r="AT16" s="1172"/>
      <c r="AU16" s="255"/>
      <c r="AV16" s="255"/>
      <c r="AW16" s="255"/>
      <c r="AX16" s="255"/>
      <c r="AY16" s="255"/>
      <c r="AZ16" s="255">
        <f t="shared" si="6"/>
        <v>0</v>
      </c>
      <c r="BA16" s="1172"/>
      <c r="BB16" s="1256"/>
      <c r="BC16" s="255"/>
      <c r="BD16" s="255"/>
      <c r="BE16" s="255">
        <f t="shared" si="0"/>
        <v>0</v>
      </c>
      <c r="BF16" s="1172"/>
      <c r="BG16" s="255"/>
      <c r="BH16" s="255"/>
      <c r="BI16" s="255"/>
      <c r="BJ16" s="255">
        <f t="shared" si="1"/>
        <v>0</v>
      </c>
      <c r="BK16" s="1172"/>
      <c r="BL16" s="1172"/>
    </row>
    <row r="17" spans="1:64" ht="12" customHeight="1" x14ac:dyDescent="0.35">
      <c r="A17" s="1175">
        <v>9257015</v>
      </c>
      <c r="B17" s="1460" t="s">
        <v>348</v>
      </c>
      <c r="C17" s="1461"/>
      <c r="D17" s="1461"/>
      <c r="E17" s="1461"/>
      <c r="F17" s="255"/>
      <c r="G17" s="255"/>
      <c r="H17" s="255">
        <f>(7/12)*35258</f>
        <v>20567.166666666668</v>
      </c>
      <c r="I17" s="255">
        <v>35258</v>
      </c>
      <c r="J17" s="255"/>
      <c r="K17" s="255"/>
      <c r="L17" s="255"/>
      <c r="M17" s="1180">
        <v>6</v>
      </c>
      <c r="N17" s="1176">
        <v>67374</v>
      </c>
      <c r="O17" s="255">
        <v>67374</v>
      </c>
      <c r="P17" s="255">
        <v>51500</v>
      </c>
      <c r="Q17" s="255">
        <v>51500</v>
      </c>
      <c r="R17" s="1174"/>
      <c r="S17" s="1174"/>
      <c r="T17" s="1174" t="s">
        <v>9</v>
      </c>
      <c r="U17" s="1174"/>
      <c r="V17" s="255"/>
      <c r="W17" s="1174"/>
      <c r="X17" s="255">
        <f>(8/12)*2015</f>
        <v>1343.3333333333333</v>
      </c>
      <c r="Y17" s="89">
        <f t="shared" si="2"/>
        <v>86758</v>
      </c>
      <c r="Z17" s="255">
        <f>I17</f>
        <v>35258</v>
      </c>
      <c r="AA17" s="255"/>
      <c r="AB17" s="255">
        <f>Q17*(5/12)</f>
        <v>21458.333333333336</v>
      </c>
      <c r="AC17" s="158"/>
      <c r="AD17" s="255"/>
      <c r="AE17" s="255">
        <f t="shared" si="3"/>
        <v>56716.333333333336</v>
      </c>
      <c r="AG17" s="255">
        <v>35258</v>
      </c>
      <c r="AH17" s="255"/>
      <c r="AI17" s="255">
        <v>0</v>
      </c>
      <c r="AJ17" s="158"/>
      <c r="AK17" s="255"/>
      <c r="AL17" s="255">
        <f t="shared" si="4"/>
        <v>35258</v>
      </c>
      <c r="AN17" s="255">
        <v>26443.5</v>
      </c>
      <c r="AO17" s="255"/>
      <c r="AP17" s="255">
        <v>0</v>
      </c>
      <c r="AQ17" s="158"/>
      <c r="AR17" s="255"/>
      <c r="AS17" s="255">
        <f t="shared" si="5"/>
        <v>26443.5</v>
      </c>
      <c r="AU17" s="255">
        <v>35258</v>
      </c>
      <c r="AV17" s="255"/>
      <c r="AW17" s="255">
        <v>0</v>
      </c>
      <c r="AX17" s="158"/>
      <c r="AY17" s="255"/>
      <c r="AZ17" s="255">
        <f t="shared" si="6"/>
        <v>35258</v>
      </c>
      <c r="BB17" s="1256">
        <v>35258</v>
      </c>
      <c r="BC17" s="255"/>
      <c r="BD17" s="255"/>
      <c r="BE17" s="255">
        <f t="shared" si="0"/>
        <v>35258</v>
      </c>
      <c r="BG17" s="255">
        <f>35258+12500</f>
        <v>47758</v>
      </c>
      <c r="BH17" s="255"/>
      <c r="BI17" s="255"/>
      <c r="BJ17" s="255">
        <f t="shared" si="1"/>
        <v>47758</v>
      </c>
      <c r="BL17" s="79" t="s">
        <v>1194</v>
      </c>
    </row>
    <row r="18" spans="1:64" ht="12" customHeight="1" x14ac:dyDescent="0.35">
      <c r="A18" s="1175">
        <v>9257016</v>
      </c>
      <c r="B18" s="1460" t="s">
        <v>349</v>
      </c>
      <c r="C18" s="1461"/>
      <c r="D18" s="1461"/>
      <c r="E18" s="1461"/>
      <c r="F18" s="255"/>
      <c r="G18" s="255"/>
      <c r="H18" s="255"/>
      <c r="I18" s="255"/>
      <c r="J18" s="255">
        <v>60000</v>
      </c>
      <c r="K18" s="255">
        <v>60000</v>
      </c>
      <c r="L18" s="255">
        <v>60000</v>
      </c>
      <c r="M18" s="1180">
        <v>8.5</v>
      </c>
      <c r="N18" s="1176">
        <v>88935.5</v>
      </c>
      <c r="O18" s="255">
        <v>88936</v>
      </c>
      <c r="P18" s="255">
        <v>88936</v>
      </c>
      <c r="Q18" s="255">
        <v>88936</v>
      </c>
      <c r="R18" s="255">
        <v>582568</v>
      </c>
      <c r="S18" s="255">
        <v>582568</v>
      </c>
      <c r="T18" s="1174"/>
      <c r="U18" s="255">
        <v>582568</v>
      </c>
      <c r="V18" s="255"/>
      <c r="W18" s="1174"/>
      <c r="X18" s="255">
        <f>(8/12)*5470</f>
        <v>3646.6666666666665</v>
      </c>
      <c r="Y18" s="89">
        <f t="shared" si="2"/>
        <v>731504</v>
      </c>
      <c r="Z18" s="255"/>
      <c r="AA18" s="255">
        <f>L18*(5/12)</f>
        <v>25000</v>
      </c>
      <c r="AB18" s="255">
        <f>Q18*(5/12)</f>
        <v>37056.666666666672</v>
      </c>
      <c r="AC18" s="158"/>
      <c r="AD18" s="255">
        <f>U18</f>
        <v>582568</v>
      </c>
      <c r="AE18" s="255">
        <f t="shared" si="3"/>
        <v>644624.66666666663</v>
      </c>
      <c r="AG18" s="255"/>
      <c r="AH18" s="255">
        <v>0</v>
      </c>
      <c r="AI18" s="255">
        <v>140436</v>
      </c>
      <c r="AJ18" s="158"/>
      <c r="AK18" s="255">
        <v>582568</v>
      </c>
      <c r="AL18" s="255">
        <f t="shared" si="4"/>
        <v>723004</v>
      </c>
      <c r="AN18" s="255"/>
      <c r="AO18" s="255">
        <v>0</v>
      </c>
      <c r="AP18" s="255">
        <v>140436</v>
      </c>
      <c r="AQ18" s="158"/>
      <c r="AR18" s="255">
        <v>582568</v>
      </c>
      <c r="AS18" s="255">
        <f t="shared" si="5"/>
        <v>723004</v>
      </c>
      <c r="AU18" s="255"/>
      <c r="AV18" s="255">
        <v>0</v>
      </c>
      <c r="AW18" s="255">
        <v>140436</v>
      </c>
      <c r="AX18" s="158"/>
      <c r="AY18" s="255">
        <v>582568</v>
      </c>
      <c r="AZ18" s="255">
        <f t="shared" si="6"/>
        <v>723004</v>
      </c>
      <c r="BB18" s="1256"/>
      <c r="BC18" s="1257">
        <v>140436</v>
      </c>
      <c r="BD18" s="255">
        <v>582568</v>
      </c>
      <c r="BE18" s="255">
        <f t="shared" si="0"/>
        <v>723004</v>
      </c>
      <c r="BG18" s="255"/>
      <c r="BH18" s="255">
        <f>140436/12*5</f>
        <v>58515</v>
      </c>
      <c r="BI18" s="255">
        <v>582568</v>
      </c>
      <c r="BJ18" s="255">
        <f t="shared" si="1"/>
        <v>641083</v>
      </c>
      <c r="BL18" s="79" t="s">
        <v>1195</v>
      </c>
    </row>
    <row r="19" spans="1:64" ht="12" customHeight="1" x14ac:dyDescent="0.35">
      <c r="A19" s="1175">
        <v>9257032</v>
      </c>
      <c r="B19" s="1468" t="s">
        <v>350</v>
      </c>
      <c r="C19" s="1469"/>
      <c r="D19" s="1469"/>
      <c r="E19" s="1470"/>
      <c r="F19" s="255"/>
      <c r="G19" s="255"/>
      <c r="H19" s="255"/>
      <c r="I19" s="255"/>
      <c r="J19" s="255">
        <v>60000</v>
      </c>
      <c r="K19" s="255">
        <v>60000</v>
      </c>
      <c r="L19" s="255">
        <v>60000</v>
      </c>
      <c r="M19" s="1178">
        <v>0</v>
      </c>
      <c r="N19" s="1176"/>
      <c r="O19" s="255"/>
      <c r="P19" s="255"/>
      <c r="Q19" s="255"/>
      <c r="R19" s="1174"/>
      <c r="S19" s="1174"/>
      <c r="T19" s="1174"/>
      <c r="U19" s="1174"/>
      <c r="V19" s="255"/>
      <c r="W19" s="1174"/>
      <c r="X19" s="255"/>
      <c r="Y19" s="89">
        <f t="shared" si="2"/>
        <v>60000</v>
      </c>
      <c r="Z19" s="255"/>
      <c r="AA19" s="255">
        <f>L19*(5/12)</f>
        <v>25000</v>
      </c>
      <c r="AB19" s="255"/>
      <c r="AC19" s="158"/>
      <c r="AD19" s="255"/>
      <c r="AE19" s="255">
        <f t="shared" si="3"/>
        <v>25000</v>
      </c>
      <c r="AG19" s="255"/>
      <c r="AH19" s="255">
        <v>0</v>
      </c>
      <c r="AI19" s="255"/>
      <c r="AJ19" s="158"/>
      <c r="AK19" s="255"/>
      <c r="AL19" s="255">
        <f t="shared" si="4"/>
        <v>0</v>
      </c>
      <c r="AN19" s="255"/>
      <c r="AO19" s="255">
        <v>0</v>
      </c>
      <c r="AP19" s="255"/>
      <c r="AQ19" s="158"/>
      <c r="AR19" s="255"/>
      <c r="AS19" s="255">
        <f t="shared" si="5"/>
        <v>0</v>
      </c>
      <c r="AU19" s="255"/>
      <c r="AV19" s="255">
        <v>0</v>
      </c>
      <c r="AW19" s="255"/>
      <c r="AX19" s="158"/>
      <c r="AY19" s="255"/>
      <c r="AZ19" s="255">
        <f t="shared" si="6"/>
        <v>0</v>
      </c>
      <c r="BB19" s="1256"/>
      <c r="BC19" s="255"/>
      <c r="BD19" s="255"/>
      <c r="BE19" s="255">
        <f t="shared" si="0"/>
        <v>0</v>
      </c>
      <c r="BG19" s="255"/>
      <c r="BH19" s="255"/>
      <c r="BI19" s="255"/>
      <c r="BJ19" s="255">
        <f t="shared" si="1"/>
        <v>0</v>
      </c>
    </row>
    <row r="20" spans="1:64" ht="12" customHeight="1" x14ac:dyDescent="0.35">
      <c r="A20" s="1175">
        <v>9257025</v>
      </c>
      <c r="B20" s="1460" t="s">
        <v>351</v>
      </c>
      <c r="C20" s="1461"/>
      <c r="D20" s="1461"/>
      <c r="E20" s="1461"/>
      <c r="F20" s="1176">
        <v>35258</v>
      </c>
      <c r="G20" s="1176">
        <v>35258</v>
      </c>
      <c r="H20" s="1176">
        <v>35258</v>
      </c>
      <c r="I20" s="1176">
        <v>35258</v>
      </c>
      <c r="J20" s="255"/>
      <c r="K20" s="255"/>
      <c r="L20" s="255"/>
      <c r="M20" s="1178">
        <v>0</v>
      </c>
      <c r="N20" s="1176"/>
      <c r="O20" s="255"/>
      <c r="P20" s="86"/>
      <c r="Q20" s="86"/>
      <c r="R20" s="255">
        <v>327644</v>
      </c>
      <c r="S20" s="255">
        <v>327644</v>
      </c>
      <c r="T20" s="1174"/>
      <c r="U20" s="255">
        <v>327644</v>
      </c>
      <c r="V20" s="255">
        <f>(9/12)*51500</f>
        <v>38625</v>
      </c>
      <c r="W20" s="1174"/>
      <c r="X20" s="255">
        <f>(8/12)*1727</f>
        <v>1151.3333333333333</v>
      </c>
      <c r="Y20" s="89">
        <f t="shared" si="2"/>
        <v>401527</v>
      </c>
      <c r="Z20" s="255">
        <f>I20</f>
        <v>35258</v>
      </c>
      <c r="AA20" s="255"/>
      <c r="AB20" s="255"/>
      <c r="AC20" s="255">
        <f>51500*(5/12)</f>
        <v>21458.333333333336</v>
      </c>
      <c r="AD20" s="255">
        <f>U20</f>
        <v>327644</v>
      </c>
      <c r="AE20" s="255">
        <f t="shared" si="3"/>
        <v>384360.33333333331</v>
      </c>
      <c r="AG20" s="255">
        <v>35258</v>
      </c>
      <c r="AH20" s="255"/>
      <c r="AI20" s="255"/>
      <c r="AJ20" s="255">
        <v>0</v>
      </c>
      <c r="AK20" s="255">
        <f>327644+209307</f>
        <v>536951</v>
      </c>
      <c r="AL20" s="255">
        <f t="shared" si="4"/>
        <v>572209</v>
      </c>
      <c r="AN20" s="255">
        <v>26443.5</v>
      </c>
      <c r="AO20" s="255"/>
      <c r="AP20" s="255"/>
      <c r="AQ20" s="255">
        <v>0</v>
      </c>
      <c r="AR20" s="255">
        <f>327644+209307</f>
        <v>536951</v>
      </c>
      <c r="AS20" s="255">
        <f t="shared" si="5"/>
        <v>563394.5</v>
      </c>
      <c r="AU20" s="255">
        <v>35258</v>
      </c>
      <c r="AV20" s="255"/>
      <c r="AW20" s="255"/>
      <c r="AX20" s="255">
        <v>0</v>
      </c>
      <c r="AY20" s="255">
        <f>327644+209307</f>
        <v>536951</v>
      </c>
      <c r="AZ20" s="255">
        <f t="shared" si="6"/>
        <v>572209</v>
      </c>
      <c r="BB20" s="1256">
        <v>35258</v>
      </c>
      <c r="BC20" s="255"/>
      <c r="BD20" s="255">
        <f>327644+209307</f>
        <v>536951</v>
      </c>
      <c r="BE20" s="255">
        <f t="shared" si="0"/>
        <v>572209</v>
      </c>
      <c r="BG20" s="255">
        <f>35258*2</f>
        <v>70516</v>
      </c>
      <c r="BH20" s="255"/>
      <c r="BI20" s="255">
        <f>327644+209307</f>
        <v>536951</v>
      </c>
      <c r="BJ20" s="255">
        <f t="shared" si="1"/>
        <v>607467</v>
      </c>
      <c r="BL20" s="79" t="s">
        <v>1196</v>
      </c>
    </row>
    <row r="21" spans="1:64" ht="12" customHeight="1" x14ac:dyDescent="0.35">
      <c r="A21" s="1175">
        <v>9257011</v>
      </c>
      <c r="B21" s="1460" t="s">
        <v>352</v>
      </c>
      <c r="C21" s="1461"/>
      <c r="D21" s="1461"/>
      <c r="E21" s="1461"/>
      <c r="F21" s="1176">
        <v>35258</v>
      </c>
      <c r="G21" s="1176">
        <v>35258</v>
      </c>
      <c r="H21" s="1176">
        <v>35258</v>
      </c>
      <c r="I21" s="1176">
        <v>35258</v>
      </c>
      <c r="J21" s="255"/>
      <c r="K21" s="255"/>
      <c r="L21" s="255"/>
      <c r="M21" s="1178">
        <v>0</v>
      </c>
      <c r="N21" s="1176"/>
      <c r="O21" s="255"/>
      <c r="P21" s="255"/>
      <c r="Q21" s="255"/>
      <c r="R21" s="1174"/>
      <c r="S21" s="1174"/>
      <c r="T21" s="1174"/>
      <c r="U21" s="1174"/>
      <c r="V21" s="255">
        <f>((9/12)*51500)/2</f>
        <v>19312.5</v>
      </c>
      <c r="W21" s="1174"/>
      <c r="X21" s="255">
        <f>(8/12)*500</f>
        <v>333.33333333333331</v>
      </c>
      <c r="Y21" s="89">
        <f t="shared" si="2"/>
        <v>54570.5</v>
      </c>
      <c r="Z21" s="255">
        <f>I21</f>
        <v>35258</v>
      </c>
      <c r="AA21" s="255"/>
      <c r="AB21" s="255"/>
      <c r="AC21" s="255">
        <f>(51500)*(5/12)</f>
        <v>21458.333333333336</v>
      </c>
      <c r="AD21" s="255"/>
      <c r="AE21" s="255">
        <f t="shared" si="3"/>
        <v>56716.333333333336</v>
      </c>
      <c r="AG21" s="255">
        <v>35258</v>
      </c>
      <c r="AH21" s="255"/>
      <c r="AI21" s="255"/>
      <c r="AJ21" s="255">
        <v>0</v>
      </c>
      <c r="AK21" s="255"/>
      <c r="AL21" s="255">
        <f t="shared" si="4"/>
        <v>35258</v>
      </c>
      <c r="AN21" s="255">
        <v>26443.5</v>
      </c>
      <c r="AO21" s="255"/>
      <c r="AP21" s="255"/>
      <c r="AQ21" s="255">
        <v>0</v>
      </c>
      <c r="AR21" s="255"/>
      <c r="AS21" s="255">
        <f t="shared" si="5"/>
        <v>26443.5</v>
      </c>
      <c r="AU21" s="255">
        <v>35258</v>
      </c>
      <c r="AV21" s="255"/>
      <c r="AW21" s="255"/>
      <c r="AX21" s="255">
        <v>0</v>
      </c>
      <c r="AY21" s="255"/>
      <c r="AZ21" s="255">
        <f t="shared" si="6"/>
        <v>35258</v>
      </c>
      <c r="BB21" s="1256">
        <v>35258</v>
      </c>
      <c r="BC21" s="255"/>
      <c r="BD21" s="255"/>
      <c r="BE21" s="255">
        <f t="shared" si="0"/>
        <v>35258</v>
      </c>
      <c r="BG21" s="255">
        <v>35258</v>
      </c>
      <c r="BH21" s="255"/>
      <c r="BI21" s="255"/>
      <c r="BJ21" s="255">
        <f t="shared" si="1"/>
        <v>35258</v>
      </c>
    </row>
    <row r="22" spans="1:64" ht="12" customHeight="1" x14ac:dyDescent="0.35">
      <c r="A22" s="1175">
        <v>9257009</v>
      </c>
      <c r="B22" s="1460" t="s">
        <v>353</v>
      </c>
      <c r="C22" s="1461"/>
      <c r="D22" s="1461"/>
      <c r="E22" s="1461"/>
      <c r="F22" s="255"/>
      <c r="G22" s="255"/>
      <c r="H22" s="255"/>
      <c r="I22" s="255"/>
      <c r="J22" s="255"/>
      <c r="K22" s="255"/>
      <c r="L22" s="255"/>
      <c r="M22" s="1178">
        <v>0</v>
      </c>
      <c r="N22" s="1176"/>
      <c r="O22" s="255"/>
      <c r="P22" s="86"/>
      <c r="Q22" s="86"/>
      <c r="R22" s="1174"/>
      <c r="S22" s="1174"/>
      <c r="T22" s="1174"/>
      <c r="U22" s="1174"/>
      <c r="V22" s="255">
        <f>((9/12)*51500)/2</f>
        <v>19312.5</v>
      </c>
      <c r="W22" s="1174"/>
      <c r="X22" s="255"/>
      <c r="Y22" s="89">
        <f t="shared" si="2"/>
        <v>19312.5</v>
      </c>
      <c r="Z22" s="255"/>
      <c r="AA22" s="255"/>
      <c r="AB22" s="255"/>
      <c r="AC22" s="255">
        <f>(51500)*(5/12)</f>
        <v>21458.333333333336</v>
      </c>
      <c r="AD22" s="255"/>
      <c r="AE22" s="255">
        <f t="shared" si="3"/>
        <v>21458.333333333336</v>
      </c>
      <c r="AG22" s="255"/>
      <c r="AH22" s="255"/>
      <c r="AI22" s="255"/>
      <c r="AJ22" s="255">
        <v>0</v>
      </c>
      <c r="AK22" s="255"/>
      <c r="AL22" s="255">
        <f t="shared" si="4"/>
        <v>0</v>
      </c>
      <c r="AN22" s="255"/>
      <c r="AO22" s="255"/>
      <c r="AP22" s="255"/>
      <c r="AQ22" s="255">
        <v>0</v>
      </c>
      <c r="AR22" s="255"/>
      <c r="AS22" s="255">
        <f t="shared" si="5"/>
        <v>0</v>
      </c>
      <c r="AU22" s="255"/>
      <c r="AV22" s="255"/>
      <c r="AW22" s="255"/>
      <c r="AX22" s="255">
        <v>0</v>
      </c>
      <c r="AY22" s="255"/>
      <c r="AZ22" s="255">
        <f t="shared" si="6"/>
        <v>0</v>
      </c>
      <c r="BB22" s="1256"/>
      <c r="BC22" s="255"/>
      <c r="BD22" s="255"/>
      <c r="BE22" s="255">
        <f t="shared" si="0"/>
        <v>0</v>
      </c>
      <c r="BG22" s="255"/>
      <c r="BH22" s="255"/>
      <c r="BI22" s="255"/>
      <c r="BJ22" s="255">
        <f t="shared" si="1"/>
        <v>0</v>
      </c>
    </row>
    <row r="23" spans="1:64" ht="12" customHeight="1" x14ac:dyDescent="0.35">
      <c r="A23" s="1175">
        <v>9257024</v>
      </c>
      <c r="B23" s="1460" t="s">
        <v>354</v>
      </c>
      <c r="C23" s="1461"/>
      <c r="D23" s="1461"/>
      <c r="E23" s="1461"/>
      <c r="F23" s="1176">
        <v>35258</v>
      </c>
      <c r="G23" s="1176">
        <v>35258</v>
      </c>
      <c r="H23" s="1176">
        <v>35258</v>
      </c>
      <c r="I23" s="1176">
        <v>35258</v>
      </c>
      <c r="J23" s="255">
        <v>60000</v>
      </c>
      <c r="K23" s="255">
        <v>60000</v>
      </c>
      <c r="L23" s="255">
        <v>60000</v>
      </c>
      <c r="M23" s="1178">
        <v>0</v>
      </c>
      <c r="N23" s="1176"/>
      <c r="O23" s="255"/>
      <c r="P23" s="255"/>
      <c r="Q23" s="255"/>
      <c r="R23" s="1174"/>
      <c r="S23" s="1174"/>
      <c r="T23" s="1174"/>
      <c r="U23" s="1174"/>
      <c r="V23" s="255"/>
      <c r="W23" s="1174"/>
      <c r="X23" s="255">
        <f>(8/12)*1152</f>
        <v>768</v>
      </c>
      <c r="Y23" s="89">
        <f t="shared" si="2"/>
        <v>95258</v>
      </c>
      <c r="Z23" s="255">
        <f>I23</f>
        <v>35258</v>
      </c>
      <c r="AA23" s="255">
        <f>L23*(5/12)</f>
        <v>25000</v>
      </c>
      <c r="AB23" s="255"/>
      <c r="AC23" s="158"/>
      <c r="AD23" s="255"/>
      <c r="AE23" s="255">
        <f t="shared" si="3"/>
        <v>60258</v>
      </c>
      <c r="AG23" s="255">
        <v>35258</v>
      </c>
      <c r="AH23" s="255">
        <v>0</v>
      </c>
      <c r="AI23" s="255"/>
      <c r="AJ23" s="158"/>
      <c r="AK23" s="255"/>
      <c r="AL23" s="255">
        <f t="shared" si="4"/>
        <v>35258</v>
      </c>
      <c r="AN23" s="255">
        <v>26443.5</v>
      </c>
      <c r="AO23" s="255">
        <v>0</v>
      </c>
      <c r="AP23" s="255"/>
      <c r="AQ23" s="158"/>
      <c r="AR23" s="255"/>
      <c r="AS23" s="255">
        <f t="shared" si="5"/>
        <v>26443.5</v>
      </c>
      <c r="AU23" s="255">
        <v>35258</v>
      </c>
      <c r="AV23" s="255">
        <v>0</v>
      </c>
      <c r="AW23" s="255"/>
      <c r="AX23" s="158"/>
      <c r="AY23" s="255"/>
      <c r="AZ23" s="255">
        <f t="shared" si="6"/>
        <v>35258</v>
      </c>
      <c r="BB23" s="1256">
        <v>35258</v>
      </c>
      <c r="BC23" s="255"/>
      <c r="BD23" s="255"/>
      <c r="BE23" s="255">
        <f t="shared" si="0"/>
        <v>35258</v>
      </c>
      <c r="BG23" s="255">
        <v>35258</v>
      </c>
      <c r="BH23" s="255"/>
      <c r="BI23" s="255"/>
      <c r="BJ23" s="255">
        <f t="shared" si="1"/>
        <v>35258</v>
      </c>
    </row>
    <row r="24" spans="1:64" ht="12" customHeight="1" x14ac:dyDescent="0.35">
      <c r="A24" s="1175">
        <v>9257028</v>
      </c>
      <c r="B24" s="1460" t="s">
        <v>355</v>
      </c>
      <c r="C24" s="1461"/>
      <c r="D24" s="1461"/>
      <c r="E24" s="1461"/>
      <c r="F24" s="1176">
        <v>35258</v>
      </c>
      <c r="G24" s="1176">
        <v>35258</v>
      </c>
      <c r="H24" s="1176">
        <v>35258</v>
      </c>
      <c r="I24" s="1176">
        <v>35258</v>
      </c>
      <c r="J24" s="255">
        <v>60000</v>
      </c>
      <c r="K24" s="255">
        <v>60000</v>
      </c>
      <c r="L24" s="255">
        <v>60000</v>
      </c>
      <c r="M24" s="1178">
        <v>0</v>
      </c>
      <c r="N24" s="1176"/>
      <c r="O24" s="255"/>
      <c r="P24" s="255"/>
      <c r="Q24" s="255"/>
      <c r="R24" s="1174"/>
      <c r="S24" s="1174"/>
      <c r="T24" s="1174"/>
      <c r="U24" s="1174"/>
      <c r="V24" s="255"/>
      <c r="W24" s="1174"/>
      <c r="X24" s="255">
        <f>(8/12)*2015</f>
        <v>1343.3333333333333</v>
      </c>
      <c r="Y24" s="89">
        <f t="shared" si="2"/>
        <v>95258</v>
      </c>
      <c r="Z24" s="255">
        <f>I24</f>
        <v>35258</v>
      </c>
      <c r="AA24" s="255"/>
      <c r="AB24" s="255"/>
      <c r="AC24" s="158"/>
      <c r="AD24" s="255"/>
      <c r="AE24" s="255">
        <f t="shared" si="3"/>
        <v>35258</v>
      </c>
      <c r="AG24" s="255">
        <v>35258</v>
      </c>
      <c r="AH24" s="255"/>
      <c r="AI24" s="255"/>
      <c r="AJ24" s="158"/>
      <c r="AK24" s="255"/>
      <c r="AL24" s="255">
        <f t="shared" si="4"/>
        <v>35258</v>
      </c>
      <c r="AN24" s="255">
        <v>26443.5</v>
      </c>
      <c r="AO24" s="255"/>
      <c r="AP24" s="255"/>
      <c r="AQ24" s="158"/>
      <c r="AR24" s="255"/>
      <c r="AS24" s="255">
        <f t="shared" si="5"/>
        <v>26443.5</v>
      </c>
      <c r="AU24" s="255">
        <v>35258</v>
      </c>
      <c r="AV24" s="255"/>
      <c r="AW24" s="255"/>
      <c r="AX24" s="158"/>
      <c r="AY24" s="255"/>
      <c r="AZ24" s="255">
        <f t="shared" si="6"/>
        <v>35258</v>
      </c>
      <c r="BB24" s="1256">
        <v>35258</v>
      </c>
      <c r="BC24" s="255"/>
      <c r="BD24" s="255"/>
      <c r="BE24" s="255">
        <f t="shared" si="0"/>
        <v>35258</v>
      </c>
      <c r="BG24" s="255">
        <v>35258</v>
      </c>
      <c r="BH24" s="255"/>
      <c r="BI24" s="255"/>
      <c r="BJ24" s="255">
        <f t="shared" si="1"/>
        <v>35258</v>
      </c>
    </row>
    <row r="25" spans="1:64" ht="12" customHeight="1" x14ac:dyDescent="0.35">
      <c r="A25" s="1175">
        <v>9257029</v>
      </c>
      <c r="B25" s="1471" t="s">
        <v>933</v>
      </c>
      <c r="C25" s="1472"/>
      <c r="D25" s="1472"/>
      <c r="E25" s="1473"/>
      <c r="F25" s="1176"/>
      <c r="G25" s="1176"/>
      <c r="H25" s="1176"/>
      <c r="I25" s="1176"/>
      <c r="J25" s="255">
        <v>60000</v>
      </c>
      <c r="K25" s="255">
        <v>60000</v>
      </c>
      <c r="L25" s="255">
        <v>60000</v>
      </c>
      <c r="M25" s="1178">
        <v>0</v>
      </c>
      <c r="N25" s="1176"/>
      <c r="O25" s="255"/>
      <c r="P25" s="255"/>
      <c r="Q25" s="255"/>
      <c r="R25" s="1174"/>
      <c r="S25" s="1174"/>
      <c r="T25" s="1174"/>
      <c r="U25" s="1174"/>
      <c r="V25" s="255"/>
      <c r="W25" s="1174"/>
      <c r="X25" s="255"/>
      <c r="Y25" s="89">
        <f t="shared" si="2"/>
        <v>60000</v>
      </c>
      <c r="Z25" s="255"/>
      <c r="AA25" s="255">
        <f>L25*(5/12)</f>
        <v>25000</v>
      </c>
      <c r="AB25" s="255"/>
      <c r="AC25" s="158"/>
      <c r="AD25" s="255"/>
      <c r="AE25" s="255">
        <f t="shared" si="3"/>
        <v>25000</v>
      </c>
      <c r="AG25" s="255"/>
      <c r="AH25" s="255">
        <v>0</v>
      </c>
      <c r="AI25" s="255"/>
      <c r="AJ25" s="158"/>
      <c r="AK25" s="255"/>
      <c r="AL25" s="255">
        <f t="shared" si="4"/>
        <v>0</v>
      </c>
      <c r="AN25" s="255"/>
      <c r="AO25" s="255">
        <v>0</v>
      </c>
      <c r="AP25" s="255"/>
      <c r="AQ25" s="158"/>
      <c r="AR25" s="255"/>
      <c r="AS25" s="255">
        <f t="shared" si="5"/>
        <v>0</v>
      </c>
      <c r="AU25" s="255"/>
      <c r="AV25" s="255">
        <v>0</v>
      </c>
      <c r="AW25" s="255"/>
      <c r="AX25" s="158"/>
      <c r="AY25" s="255"/>
      <c r="AZ25" s="255">
        <f t="shared" si="6"/>
        <v>0</v>
      </c>
      <c r="BB25" s="255"/>
      <c r="BC25" s="255"/>
      <c r="BD25" s="255"/>
      <c r="BE25" s="255">
        <f t="shared" si="0"/>
        <v>0</v>
      </c>
      <c r="BG25" s="255"/>
      <c r="BH25" s="255"/>
      <c r="BI25" s="255"/>
      <c r="BJ25" s="255">
        <f t="shared" si="1"/>
        <v>0</v>
      </c>
    </row>
    <row r="26" spans="1:64" ht="12" customHeight="1" x14ac:dyDescent="0.35">
      <c r="A26" s="293"/>
      <c r="B26" s="1474" t="s">
        <v>357</v>
      </c>
      <c r="C26" s="1474"/>
      <c r="D26" s="1474"/>
      <c r="E26" s="1474"/>
      <c r="F26" s="81">
        <v>301928</v>
      </c>
      <c r="G26" s="81">
        <v>282064</v>
      </c>
      <c r="H26" s="81">
        <v>317322</v>
      </c>
      <c r="I26" s="81">
        <v>317322</v>
      </c>
      <c r="J26" s="81">
        <v>360000</v>
      </c>
      <c r="K26" s="81">
        <v>360000</v>
      </c>
      <c r="L26" s="81">
        <v>360000</v>
      </c>
      <c r="M26" s="82">
        <v>18.5</v>
      </c>
      <c r="N26" s="81">
        <v>201225.5</v>
      </c>
      <c r="O26" s="81">
        <v>207810</v>
      </c>
      <c r="P26" s="81">
        <v>191936</v>
      </c>
      <c r="Q26" s="81">
        <v>191936</v>
      </c>
      <c r="R26" s="81">
        <v>1184632</v>
      </c>
      <c r="S26" s="81">
        <v>978817</v>
      </c>
      <c r="T26" s="81">
        <v>0</v>
      </c>
      <c r="U26" s="81">
        <v>910212</v>
      </c>
      <c r="V26" s="81">
        <v>154500</v>
      </c>
      <c r="W26" s="1174"/>
      <c r="X26" s="89">
        <f>SUM(X7:X25)</f>
        <v>13192.666666666668</v>
      </c>
      <c r="Y26" s="89">
        <f>I26+L26+Q26+U26+V26</f>
        <v>1933970</v>
      </c>
      <c r="Z26" s="255">
        <f>SUM(Z7:Z25)</f>
        <v>317322</v>
      </c>
      <c r="AA26" s="255">
        <f>SUM(AA7:AA25)</f>
        <v>100000</v>
      </c>
      <c r="AB26" s="255">
        <f>SUM(AB7:AB25)</f>
        <v>79973.333333333343</v>
      </c>
      <c r="AC26" s="255">
        <f>SUM(AC7:AC25)</f>
        <v>128750.00000000003</v>
      </c>
      <c r="AD26" s="255">
        <f>SUM(AD7:AD25)</f>
        <v>910212</v>
      </c>
      <c r="AE26" s="255">
        <f t="shared" si="3"/>
        <v>1536257.3333333335</v>
      </c>
      <c r="AG26" s="255">
        <f>SUM(AG7:AG25)</f>
        <v>317322</v>
      </c>
      <c r="AH26" s="255">
        <f>SUM(AH7:AH25)</f>
        <v>0</v>
      </c>
      <c r="AI26" s="255">
        <f>SUM(AI7:AI25)</f>
        <v>757936</v>
      </c>
      <c r="AJ26" s="255">
        <f>SUM(AJ7:AJ25)</f>
        <v>0</v>
      </c>
      <c r="AK26" s="255">
        <f>SUM(AK7:AK25)</f>
        <v>1119519</v>
      </c>
      <c r="AL26" s="255">
        <f t="shared" si="4"/>
        <v>2194777</v>
      </c>
      <c r="AN26" s="255">
        <f>SUM(AN7:AN25)</f>
        <v>237991.5</v>
      </c>
      <c r="AO26" s="255">
        <f>SUM(AO7:AO25)</f>
        <v>0</v>
      </c>
      <c r="AP26" s="255">
        <f>SUM(AP7:AP25)</f>
        <v>757936</v>
      </c>
      <c r="AQ26" s="255">
        <f>SUM(AQ7:AQ25)</f>
        <v>0</v>
      </c>
      <c r="AR26" s="255">
        <f>SUM(AR7:AR25)</f>
        <v>1119519</v>
      </c>
      <c r="AS26" s="255">
        <f t="shared" si="5"/>
        <v>2115446.5</v>
      </c>
      <c r="AU26" s="255">
        <f>SUM(AU7:AU25)</f>
        <v>317322</v>
      </c>
      <c r="AV26" s="255">
        <f>SUM(AV7:AV25)</f>
        <v>0</v>
      </c>
      <c r="AW26" s="255">
        <f>SUM(AW7:AW25)</f>
        <v>757936</v>
      </c>
      <c r="AX26" s="255">
        <f>SUM(AX7:AX25)</f>
        <v>0</v>
      </c>
      <c r="AY26" s="255">
        <f>SUM(AY7:AY25)</f>
        <v>1119519</v>
      </c>
      <c r="AZ26" s="255">
        <f t="shared" si="6"/>
        <v>2194777</v>
      </c>
      <c r="BB26" s="255">
        <f>SUM(BB7:BB25)</f>
        <v>317322</v>
      </c>
      <c r="BC26" s="255">
        <f>SUM(BC7:BC25)</f>
        <v>757936</v>
      </c>
      <c r="BD26" s="255">
        <f>SUM(BD7:BD25)</f>
        <v>1119519</v>
      </c>
      <c r="BE26" s="255">
        <f t="shared" si="0"/>
        <v>2194777</v>
      </c>
      <c r="BG26" s="255">
        <f>SUM(BG7:BG25)</f>
        <v>329822</v>
      </c>
      <c r="BH26" s="255">
        <f>SUM(BH7:BH25)</f>
        <v>315806.66666666669</v>
      </c>
      <c r="BI26" s="255">
        <f>SUM(BI7:BI25)</f>
        <v>1119519</v>
      </c>
      <c r="BJ26" s="255">
        <f t="shared" si="1"/>
        <v>1765147.6666666667</v>
      </c>
    </row>
    <row r="27" spans="1:64" ht="15" customHeight="1" x14ac:dyDescent="0.35">
      <c r="A27" s="293"/>
      <c r="B27" s="1172"/>
      <c r="C27" s="1172"/>
      <c r="D27" s="1172"/>
      <c r="E27" s="1172"/>
      <c r="F27" s="1172"/>
      <c r="G27" s="1172"/>
      <c r="H27" s="1172"/>
      <c r="I27" s="1172"/>
      <c r="J27" s="293"/>
      <c r="K27" s="293"/>
      <c r="L27" s="293"/>
      <c r="O27" s="1172"/>
      <c r="P27" s="1172"/>
      <c r="Q27" s="1172"/>
      <c r="R27" s="1172"/>
      <c r="S27" s="1172"/>
      <c r="T27" s="1172"/>
      <c r="U27" s="1172"/>
      <c r="V27" s="1172"/>
      <c r="W27" s="1172"/>
      <c r="X27" s="1172"/>
      <c r="Y27" s="293"/>
      <c r="Z27" s="1172"/>
      <c r="AA27" s="1172"/>
      <c r="AB27" s="1172"/>
    </row>
    <row r="28" spans="1:64" ht="15" hidden="1" customHeight="1" x14ac:dyDescent="0.35">
      <c r="A28" s="293"/>
      <c r="B28" s="83" t="s">
        <v>358</v>
      </c>
      <c r="C28" s="1172"/>
      <c r="D28" s="1172"/>
      <c r="E28" s="1172"/>
      <c r="F28" s="1172"/>
      <c r="G28" s="1172"/>
      <c r="H28" s="1172"/>
      <c r="I28" s="1172"/>
      <c r="J28" s="293"/>
      <c r="K28" s="293"/>
      <c r="L28" s="293"/>
      <c r="O28" s="1172"/>
      <c r="P28" s="1172"/>
      <c r="Q28" s="1172"/>
      <c r="R28" s="1172"/>
      <c r="S28" s="1172"/>
      <c r="T28" s="1172"/>
      <c r="U28" s="1172"/>
      <c r="V28" s="1172"/>
      <c r="W28" s="1172"/>
      <c r="X28" s="1172"/>
      <c r="Y28" s="293"/>
      <c r="Z28" s="1172"/>
      <c r="AA28" s="1172"/>
      <c r="AB28" s="1172"/>
    </row>
    <row r="29" spans="1:64" ht="15" hidden="1" customHeight="1" x14ac:dyDescent="0.35">
      <c r="A29" s="293"/>
      <c r="B29" s="84" t="s">
        <v>359</v>
      </c>
      <c r="C29" s="1172"/>
      <c r="D29" s="1172"/>
      <c r="E29" s="1172"/>
      <c r="F29" s="1172"/>
      <c r="G29" s="1172"/>
      <c r="H29" s="1172"/>
      <c r="I29" s="1172"/>
      <c r="J29" s="293"/>
      <c r="K29" s="293"/>
      <c r="L29" s="293"/>
      <c r="O29" s="1172"/>
      <c r="P29" s="1172"/>
      <c r="Q29" s="1172"/>
      <c r="R29" s="1172"/>
      <c r="S29" s="1172"/>
      <c r="T29" s="1172"/>
      <c r="U29" s="1172"/>
      <c r="V29" s="1172"/>
      <c r="W29" s="1172"/>
      <c r="X29" s="1172"/>
      <c r="Y29" s="293"/>
      <c r="Z29" s="1172"/>
      <c r="AA29" s="1172"/>
      <c r="AB29" s="1172"/>
    </row>
    <row r="30" spans="1:64" ht="15" hidden="1" customHeight="1" x14ac:dyDescent="0.35">
      <c r="A30" s="293"/>
      <c r="B30" s="1477" t="s">
        <v>360</v>
      </c>
      <c r="C30" s="1477"/>
      <c r="D30" s="1477"/>
      <c r="E30" s="1477"/>
      <c r="F30" s="1477"/>
      <c r="G30" s="1477"/>
      <c r="H30" s="1477"/>
      <c r="I30" s="1477"/>
      <c r="J30" s="1477"/>
      <c r="K30" s="1477"/>
      <c r="L30" s="1477"/>
      <c r="M30" s="1477"/>
      <c r="N30" s="1477"/>
      <c r="O30" s="1477"/>
      <c r="P30" s="1477"/>
      <c r="Q30" s="1477"/>
      <c r="R30" s="1477"/>
      <c r="S30" s="1477"/>
      <c r="T30" s="1477"/>
      <c r="U30" s="1477"/>
      <c r="V30" s="1477"/>
      <c r="W30" s="1172"/>
      <c r="X30" s="1172"/>
      <c r="Y30" s="293"/>
      <c r="Z30" s="1172"/>
      <c r="AA30" s="1172"/>
      <c r="AB30" s="1172"/>
    </row>
    <row r="31" spans="1:64" ht="15" hidden="1" customHeight="1" x14ac:dyDescent="0.35">
      <c r="A31" s="293"/>
      <c r="B31" s="1477"/>
      <c r="C31" s="1477"/>
      <c r="D31" s="1477"/>
      <c r="E31" s="1477"/>
      <c r="F31" s="1477"/>
      <c r="G31" s="1477"/>
      <c r="H31" s="1477"/>
      <c r="I31" s="1477"/>
      <c r="J31" s="1477"/>
      <c r="K31" s="1477"/>
      <c r="L31" s="1477"/>
      <c r="M31" s="1477"/>
      <c r="N31" s="1477"/>
      <c r="O31" s="1477"/>
      <c r="P31" s="1477"/>
      <c r="Q31" s="1477"/>
      <c r="R31" s="1477"/>
      <c r="S31" s="1477"/>
      <c r="T31" s="1477"/>
      <c r="U31" s="1477"/>
      <c r="V31" s="1477"/>
      <c r="W31" s="1172"/>
      <c r="X31" s="1172"/>
      <c r="Y31" s="293"/>
      <c r="Z31" s="1172"/>
      <c r="AA31" s="1172"/>
      <c r="AB31" s="1172"/>
    </row>
    <row r="32" spans="1:64" ht="15" hidden="1" customHeight="1" x14ac:dyDescent="0.35">
      <c r="A32" s="293"/>
      <c r="B32" s="1477"/>
      <c r="C32" s="1477"/>
      <c r="D32" s="1477"/>
      <c r="E32" s="1477"/>
      <c r="F32" s="1477"/>
      <c r="G32" s="1477"/>
      <c r="H32" s="1477"/>
      <c r="I32" s="1477"/>
      <c r="J32" s="1477"/>
      <c r="K32" s="1477"/>
      <c r="L32" s="1477"/>
      <c r="M32" s="1477"/>
      <c r="N32" s="1477"/>
      <c r="O32" s="1477"/>
      <c r="P32" s="1477"/>
      <c r="Q32" s="1477"/>
      <c r="R32" s="1477"/>
      <c r="S32" s="1477"/>
      <c r="T32" s="1477"/>
      <c r="U32" s="1477"/>
      <c r="V32" s="1477"/>
      <c r="W32" s="1172"/>
      <c r="X32" s="1172"/>
      <c r="Y32" s="293"/>
      <c r="Z32" s="1172"/>
      <c r="AA32" s="1172"/>
      <c r="AB32" s="1172"/>
    </row>
    <row r="33" spans="1:28" ht="18.75" hidden="1" customHeight="1" x14ac:dyDescent="0.35">
      <c r="A33" s="293"/>
      <c r="B33" s="1477"/>
      <c r="C33" s="1477"/>
      <c r="D33" s="1477"/>
      <c r="E33" s="1477"/>
      <c r="F33" s="1477"/>
      <c r="G33" s="1477"/>
      <c r="H33" s="1477"/>
      <c r="I33" s="1477"/>
      <c r="J33" s="1477"/>
      <c r="K33" s="1477"/>
      <c r="L33" s="1477"/>
      <c r="M33" s="1477"/>
      <c r="N33" s="1477"/>
      <c r="O33" s="1477"/>
      <c r="P33" s="1477"/>
      <c r="Q33" s="1477"/>
      <c r="R33" s="1477"/>
      <c r="S33" s="1477"/>
      <c r="T33" s="1477"/>
      <c r="U33" s="1477"/>
      <c r="V33" s="1477"/>
      <c r="W33" s="1172"/>
      <c r="X33" s="1172"/>
      <c r="Y33" s="293"/>
      <c r="Z33" s="1172"/>
      <c r="AA33" s="1172"/>
      <c r="AB33" s="1172"/>
    </row>
    <row r="34" spans="1:28" ht="15" hidden="1" customHeight="1" x14ac:dyDescent="0.35">
      <c r="A34" s="293"/>
      <c r="B34" s="1181"/>
      <c r="C34" s="1181"/>
      <c r="D34" s="1181"/>
      <c r="E34" s="1181"/>
      <c r="F34" s="1181"/>
      <c r="G34" s="1181"/>
      <c r="H34" s="1181"/>
      <c r="I34" s="1181"/>
      <c r="J34" s="1173"/>
      <c r="K34" s="1173"/>
      <c r="L34" s="1173"/>
      <c r="M34" s="1181"/>
      <c r="N34" s="1181"/>
      <c r="O34" s="1172"/>
      <c r="P34" s="1172"/>
      <c r="Q34" s="1172"/>
      <c r="R34" s="1172"/>
      <c r="S34" s="1172"/>
      <c r="T34" s="1172"/>
      <c r="U34" s="1172"/>
      <c r="V34" s="1172"/>
      <c r="W34" s="1172"/>
      <c r="X34" s="1172"/>
      <c r="Y34" s="293"/>
      <c r="Z34" s="1172"/>
      <c r="AA34" s="1172"/>
      <c r="AB34" s="1172"/>
    </row>
    <row r="35" spans="1:28" ht="15" hidden="1" customHeight="1" x14ac:dyDescent="0.35">
      <c r="A35" s="293"/>
      <c r="B35" s="84" t="s">
        <v>361</v>
      </c>
      <c r="C35" s="1172"/>
      <c r="D35" s="1172"/>
      <c r="E35" s="1172"/>
      <c r="F35" s="1172"/>
      <c r="G35" s="1172"/>
      <c r="H35" s="1172"/>
      <c r="I35" s="1172"/>
      <c r="J35" s="293"/>
      <c r="K35" s="293"/>
      <c r="L35" s="293"/>
      <c r="O35" s="1172"/>
      <c r="P35" s="1172"/>
      <c r="Q35" s="1172"/>
      <c r="R35" s="1172"/>
      <c r="S35" s="1172"/>
      <c r="T35" s="1172"/>
      <c r="U35" s="1172"/>
      <c r="V35" s="1172"/>
      <c r="W35" s="1172"/>
      <c r="X35" s="1172"/>
      <c r="Y35" s="293"/>
      <c r="Z35" s="1172"/>
      <c r="AA35" s="1172"/>
      <c r="AB35" s="1172"/>
    </row>
    <row r="36" spans="1:28" ht="15" hidden="1" customHeight="1" x14ac:dyDescent="0.35">
      <c r="A36" s="293"/>
      <c r="B36" s="1477" t="s">
        <v>362</v>
      </c>
      <c r="C36" s="1477"/>
      <c r="D36" s="1477"/>
      <c r="E36" s="1477"/>
      <c r="F36" s="1477"/>
      <c r="G36" s="1477"/>
      <c r="H36" s="1477"/>
      <c r="I36" s="1477"/>
      <c r="J36" s="1477"/>
      <c r="K36" s="1477"/>
      <c r="L36" s="1477"/>
      <c r="M36" s="1477"/>
      <c r="N36" s="1477"/>
      <c r="O36" s="1477"/>
      <c r="P36" s="1477"/>
      <c r="Q36" s="1477"/>
      <c r="R36" s="1477"/>
      <c r="S36" s="1477"/>
      <c r="T36" s="1477"/>
      <c r="U36" s="1477"/>
      <c r="V36" s="1477"/>
      <c r="W36" s="1172"/>
      <c r="X36" s="1172"/>
      <c r="Y36" s="293"/>
      <c r="Z36" s="1172"/>
      <c r="AA36" s="1172"/>
      <c r="AB36" s="1172"/>
    </row>
    <row r="37" spans="1:28" ht="15" hidden="1" customHeight="1" x14ac:dyDescent="0.35">
      <c r="A37" s="293"/>
      <c r="B37" s="1477"/>
      <c r="C37" s="1477"/>
      <c r="D37" s="1477"/>
      <c r="E37" s="1477"/>
      <c r="F37" s="1477"/>
      <c r="G37" s="1477"/>
      <c r="H37" s="1477"/>
      <c r="I37" s="1477"/>
      <c r="J37" s="1477"/>
      <c r="K37" s="1477"/>
      <c r="L37" s="1477"/>
      <c r="M37" s="1477"/>
      <c r="N37" s="1477"/>
      <c r="O37" s="1477"/>
      <c r="P37" s="1477"/>
      <c r="Q37" s="1477"/>
      <c r="R37" s="1477"/>
      <c r="S37" s="1477"/>
      <c r="T37" s="1477"/>
      <c r="U37" s="1477"/>
      <c r="V37" s="1477"/>
      <c r="W37" s="1172"/>
      <c r="X37" s="1172"/>
      <c r="Y37" s="293"/>
      <c r="Z37" s="1172"/>
      <c r="AA37" s="1172"/>
      <c r="AB37" s="1172"/>
    </row>
    <row r="38" spans="1:28" ht="23.25" hidden="1" customHeight="1" x14ac:dyDescent="0.35">
      <c r="A38" s="293"/>
      <c r="B38" s="1477"/>
      <c r="C38" s="1477"/>
      <c r="D38" s="1477"/>
      <c r="E38" s="1477"/>
      <c r="F38" s="1477"/>
      <c r="G38" s="1477"/>
      <c r="H38" s="1477"/>
      <c r="I38" s="1477"/>
      <c r="J38" s="1477"/>
      <c r="K38" s="1477"/>
      <c r="L38" s="1477"/>
      <c r="M38" s="1477"/>
      <c r="N38" s="1477"/>
      <c r="O38" s="1477"/>
      <c r="P38" s="1477"/>
      <c r="Q38" s="1477"/>
      <c r="R38" s="1477"/>
      <c r="S38" s="1477"/>
      <c r="T38" s="1477"/>
      <c r="U38" s="1477"/>
      <c r="V38" s="1477"/>
      <c r="W38" s="1172"/>
      <c r="X38" s="1172"/>
      <c r="Y38" s="293"/>
      <c r="Z38" s="1172"/>
      <c r="AA38" s="1172"/>
      <c r="AB38" s="1172"/>
    </row>
    <row r="39" spans="1:28" hidden="1" x14ac:dyDescent="0.35">
      <c r="A39" s="293"/>
      <c r="B39" s="1182"/>
      <c r="C39" s="1182"/>
      <c r="D39" s="1182"/>
      <c r="E39" s="1182"/>
      <c r="F39" s="1182"/>
      <c r="G39" s="1182"/>
      <c r="H39" s="1182"/>
      <c r="I39" s="1182"/>
      <c r="J39" s="1182"/>
      <c r="K39" s="1182"/>
      <c r="L39" s="1182"/>
      <c r="M39" s="1182"/>
      <c r="N39" s="1182"/>
      <c r="O39" s="1172"/>
      <c r="P39" s="1172"/>
      <c r="Q39" s="1172"/>
      <c r="R39" s="1172"/>
      <c r="S39" s="1172"/>
      <c r="T39" s="1172"/>
      <c r="U39" s="1172"/>
      <c r="V39" s="1172"/>
      <c r="W39" s="1172"/>
      <c r="X39" s="1172"/>
      <c r="Y39" s="293"/>
      <c r="Z39" s="1172"/>
      <c r="AA39" s="1172"/>
      <c r="AB39" s="1172"/>
    </row>
    <row r="40" spans="1:28" hidden="1" x14ac:dyDescent="0.35">
      <c r="A40" s="293"/>
      <c r="B40" s="85" t="s">
        <v>363</v>
      </c>
      <c r="C40" s="1182"/>
      <c r="D40" s="1182"/>
      <c r="E40" s="1182"/>
      <c r="F40" s="1182"/>
      <c r="G40" s="1182"/>
      <c r="H40" s="1182"/>
      <c r="I40" s="1182"/>
      <c r="J40" s="1182"/>
      <c r="K40" s="1182"/>
      <c r="L40" s="1182"/>
      <c r="M40" s="1182"/>
      <c r="N40" s="1182"/>
      <c r="O40" s="1172"/>
      <c r="P40" s="1172"/>
      <c r="Q40" s="1172"/>
      <c r="R40" s="1172"/>
      <c r="S40" s="1172"/>
      <c r="T40" s="1172"/>
      <c r="U40" s="1172"/>
      <c r="V40" s="1172"/>
      <c r="W40" s="1172"/>
      <c r="X40" s="1172"/>
      <c r="Y40" s="293"/>
      <c r="Z40" s="1172"/>
      <c r="AA40" s="1172"/>
      <c r="AB40" s="1172"/>
    </row>
    <row r="41" spans="1:28" ht="15.75" hidden="1" customHeight="1" x14ac:dyDescent="0.35">
      <c r="A41" s="293"/>
      <c r="B41" s="1477" t="s">
        <v>364</v>
      </c>
      <c r="C41" s="1477"/>
      <c r="D41" s="1477"/>
      <c r="E41" s="1477"/>
      <c r="F41" s="1477"/>
      <c r="G41" s="1477"/>
      <c r="H41" s="1477"/>
      <c r="I41" s="1477"/>
      <c r="J41" s="1477"/>
      <c r="K41" s="1477"/>
      <c r="L41" s="1477"/>
      <c r="M41" s="1477"/>
      <c r="N41" s="1477"/>
      <c r="O41" s="1477"/>
      <c r="P41" s="1477"/>
      <c r="Q41" s="1477"/>
      <c r="R41" s="1477"/>
      <c r="S41" s="1477"/>
      <c r="T41" s="1477"/>
      <c r="U41" s="1477"/>
      <c r="V41" s="1477"/>
      <c r="W41" s="1172"/>
      <c r="X41" s="1172"/>
      <c r="Y41" s="293"/>
      <c r="Z41" s="1172"/>
      <c r="AA41" s="1172"/>
      <c r="AB41" s="1172"/>
    </row>
    <row r="42" spans="1:28" hidden="1" x14ac:dyDescent="0.35">
      <c r="A42" s="293"/>
      <c r="B42" s="1477"/>
      <c r="C42" s="1477"/>
      <c r="D42" s="1477"/>
      <c r="E42" s="1477"/>
      <c r="F42" s="1477"/>
      <c r="G42" s="1477"/>
      <c r="H42" s="1477"/>
      <c r="I42" s="1477"/>
      <c r="J42" s="1477"/>
      <c r="K42" s="1477"/>
      <c r="L42" s="1477"/>
      <c r="M42" s="1477"/>
      <c r="N42" s="1477"/>
      <c r="O42" s="1477"/>
      <c r="P42" s="1477"/>
      <c r="Q42" s="1477"/>
      <c r="R42" s="1477"/>
      <c r="S42" s="1477"/>
      <c r="T42" s="1477"/>
      <c r="U42" s="1477"/>
      <c r="V42" s="1477"/>
      <c r="W42" s="1172"/>
      <c r="X42" s="1172"/>
      <c r="Y42" s="293"/>
      <c r="Z42" s="1172"/>
      <c r="AA42" s="1172"/>
      <c r="AB42" s="1172"/>
    </row>
    <row r="43" spans="1:28" hidden="1" x14ac:dyDescent="0.35">
      <c r="A43" s="293"/>
      <c r="B43" s="1477"/>
      <c r="C43" s="1477"/>
      <c r="D43" s="1477"/>
      <c r="E43" s="1477"/>
      <c r="F43" s="1477"/>
      <c r="G43" s="1477"/>
      <c r="H43" s="1477"/>
      <c r="I43" s="1477"/>
      <c r="J43" s="1477"/>
      <c r="K43" s="1477"/>
      <c r="L43" s="1477"/>
      <c r="M43" s="1477"/>
      <c r="N43" s="1477"/>
      <c r="O43" s="1477"/>
      <c r="P43" s="1477"/>
      <c r="Q43" s="1477"/>
      <c r="R43" s="1477"/>
      <c r="S43" s="1477"/>
      <c r="T43" s="1477"/>
      <c r="U43" s="1477"/>
      <c r="V43" s="1477"/>
      <c r="W43" s="1172"/>
      <c r="X43" s="1172"/>
      <c r="Y43" s="293"/>
      <c r="Z43" s="1172"/>
      <c r="AA43" s="1172"/>
      <c r="AB43" s="1172"/>
    </row>
    <row r="44" spans="1:28" hidden="1" x14ac:dyDescent="0.35">
      <c r="A44" s="293"/>
      <c r="B44" s="1477"/>
      <c r="C44" s="1477"/>
      <c r="D44" s="1477"/>
      <c r="E44" s="1477"/>
      <c r="F44" s="1477"/>
      <c r="G44" s="1477"/>
      <c r="H44" s="1477"/>
      <c r="I44" s="1477"/>
      <c r="J44" s="1477"/>
      <c r="K44" s="1477"/>
      <c r="L44" s="1477"/>
      <c r="M44" s="1477"/>
      <c r="N44" s="1477"/>
      <c r="O44" s="1477"/>
      <c r="P44" s="1477"/>
      <c r="Q44" s="1477"/>
      <c r="R44" s="1477"/>
      <c r="S44" s="1477"/>
      <c r="T44" s="1477"/>
      <c r="U44" s="1477"/>
      <c r="V44" s="1477"/>
      <c r="W44" s="1172"/>
      <c r="X44" s="1172"/>
      <c r="Y44" s="293"/>
      <c r="Z44" s="1172"/>
      <c r="AA44" s="1172"/>
      <c r="AB44" s="1172"/>
    </row>
    <row r="45" spans="1:28" ht="15" hidden="1" customHeight="1" x14ac:dyDescent="0.35">
      <c r="A45" s="293"/>
      <c r="B45" s="1182"/>
      <c r="C45" s="1182"/>
      <c r="D45" s="1182"/>
      <c r="E45" s="1182"/>
      <c r="F45" s="1182"/>
      <c r="G45" s="1182"/>
      <c r="H45" s="1182"/>
      <c r="I45" s="1182"/>
      <c r="J45" s="1182"/>
      <c r="K45" s="1182"/>
      <c r="L45" s="1182"/>
      <c r="M45" s="1182"/>
      <c r="N45" s="1182"/>
      <c r="O45" s="1172"/>
      <c r="P45" s="1172"/>
      <c r="Q45" s="1172"/>
      <c r="R45" s="1172"/>
      <c r="S45" s="1172"/>
      <c r="T45" s="1172"/>
      <c r="U45" s="1172"/>
      <c r="V45" s="1172"/>
      <c r="W45" s="1172"/>
      <c r="X45" s="1172"/>
      <c r="Y45" s="293"/>
      <c r="Z45" s="1172"/>
      <c r="AA45" s="1172"/>
      <c r="AB45" s="1172"/>
    </row>
    <row r="46" spans="1:28" ht="15" hidden="1" customHeight="1" x14ac:dyDescent="0.35">
      <c r="A46" s="293"/>
      <c r="B46" s="1477" t="s">
        <v>365</v>
      </c>
      <c r="C46" s="1477"/>
      <c r="D46" s="1477"/>
      <c r="E46" s="1477"/>
      <c r="F46" s="1477"/>
      <c r="G46" s="1477"/>
      <c r="H46" s="1477"/>
      <c r="I46" s="1477"/>
      <c r="J46" s="1477"/>
      <c r="K46" s="1477"/>
      <c r="L46" s="1477"/>
      <c r="M46" s="1477"/>
      <c r="N46" s="1477"/>
      <c r="O46" s="1477"/>
      <c r="P46" s="1477"/>
      <c r="Q46" s="1477"/>
      <c r="R46" s="1477"/>
      <c r="S46" s="1477"/>
      <c r="T46" s="1477"/>
      <c r="U46" s="1477"/>
      <c r="V46" s="1477"/>
      <c r="W46" s="1172"/>
      <c r="X46" s="1172"/>
      <c r="Y46" s="293"/>
      <c r="Z46" s="1172"/>
      <c r="AA46" s="1172"/>
      <c r="AB46" s="1172"/>
    </row>
    <row r="47" spans="1:28" hidden="1" x14ac:dyDescent="0.35">
      <c r="A47" s="293"/>
      <c r="B47" s="1477"/>
      <c r="C47" s="1477"/>
      <c r="D47" s="1477"/>
      <c r="E47" s="1477"/>
      <c r="F47" s="1477"/>
      <c r="G47" s="1477"/>
      <c r="H47" s="1477"/>
      <c r="I47" s="1477"/>
      <c r="J47" s="1477"/>
      <c r="K47" s="1477"/>
      <c r="L47" s="1477"/>
      <c r="M47" s="1477"/>
      <c r="N47" s="1477"/>
      <c r="O47" s="1477"/>
      <c r="P47" s="1477"/>
      <c r="Q47" s="1477"/>
      <c r="R47" s="1477"/>
      <c r="S47" s="1477"/>
      <c r="T47" s="1477"/>
      <c r="U47" s="1477"/>
      <c r="V47" s="1477"/>
      <c r="W47" s="1172"/>
      <c r="X47" s="1172"/>
      <c r="Y47" s="293"/>
      <c r="Z47" s="1172"/>
      <c r="AA47" s="1172"/>
      <c r="AB47" s="1172"/>
    </row>
    <row r="48" spans="1:28" ht="15" hidden="1" customHeight="1" x14ac:dyDescent="0.35">
      <c r="A48" s="293"/>
      <c r="B48" s="1477" t="s">
        <v>366</v>
      </c>
      <c r="C48" s="1477"/>
      <c r="D48" s="1477"/>
      <c r="E48" s="1477"/>
      <c r="F48" s="1477"/>
      <c r="G48" s="1477"/>
      <c r="H48" s="1477"/>
      <c r="I48" s="1477"/>
      <c r="J48" s="1477"/>
      <c r="K48" s="1477"/>
      <c r="L48" s="1477"/>
      <c r="M48" s="1477"/>
      <c r="N48" s="1477"/>
      <c r="O48" s="1477"/>
      <c r="P48" s="1477"/>
      <c r="Q48" s="1477"/>
      <c r="R48" s="1477"/>
      <c r="S48" s="1477"/>
      <c r="T48" s="1477"/>
      <c r="U48" s="1477"/>
      <c r="V48" s="1477"/>
      <c r="W48" s="1172"/>
      <c r="X48" s="1172"/>
      <c r="Y48" s="293"/>
      <c r="Z48" s="1172"/>
      <c r="AA48" s="1172"/>
      <c r="AB48" s="1172"/>
    </row>
    <row r="49" spans="1:39" ht="37.5" hidden="1" customHeight="1" x14ac:dyDescent="0.35">
      <c r="A49" s="293"/>
      <c r="B49" s="1477"/>
      <c r="C49" s="1477"/>
      <c r="D49" s="1477"/>
      <c r="E49" s="1477"/>
      <c r="F49" s="1477"/>
      <c r="G49" s="1477"/>
      <c r="H49" s="1477"/>
      <c r="I49" s="1477"/>
      <c r="J49" s="1477"/>
      <c r="K49" s="1477"/>
      <c r="L49" s="1477"/>
      <c r="M49" s="1477"/>
      <c r="N49" s="1477"/>
      <c r="O49" s="1477"/>
      <c r="P49" s="1477"/>
      <c r="Q49" s="1477"/>
      <c r="R49" s="1477"/>
      <c r="S49" s="1477"/>
      <c r="T49" s="1477"/>
      <c r="U49" s="1477"/>
      <c r="V49" s="1477"/>
      <c r="W49" s="1172"/>
      <c r="X49" s="1172"/>
      <c r="Y49" s="293"/>
      <c r="Z49" s="1172"/>
      <c r="AA49" s="1172"/>
      <c r="AB49" s="1172"/>
    </row>
    <row r="50" spans="1:39" ht="15" hidden="1" customHeight="1" x14ac:dyDescent="0.35">
      <c r="A50" s="293"/>
      <c r="B50" s="1172"/>
      <c r="C50" s="1172"/>
      <c r="D50" s="1172"/>
      <c r="E50" s="1172"/>
      <c r="F50" s="1172"/>
      <c r="G50" s="1172"/>
      <c r="H50" s="1172"/>
      <c r="I50" s="1172"/>
      <c r="J50" s="293"/>
      <c r="K50" s="293"/>
      <c r="L50" s="293"/>
      <c r="O50" s="1172"/>
      <c r="P50" s="1172"/>
      <c r="Q50" s="1172"/>
      <c r="R50" s="1172"/>
      <c r="S50" s="1172"/>
      <c r="T50" s="1172"/>
      <c r="U50" s="1172"/>
      <c r="V50" s="1172"/>
      <c r="W50" s="1172"/>
      <c r="X50" s="1172"/>
      <c r="Y50" s="293"/>
      <c r="Z50" s="1172"/>
      <c r="AA50" s="1172"/>
      <c r="AB50" s="1172"/>
    </row>
    <row r="51" spans="1:39" ht="15" hidden="1" customHeight="1" x14ac:dyDescent="0.35">
      <c r="A51" s="293"/>
      <c r="B51" s="84" t="s">
        <v>11</v>
      </c>
      <c r="C51" s="1172"/>
      <c r="D51" s="1172"/>
      <c r="E51" s="1172"/>
      <c r="F51" s="88" t="s">
        <v>367</v>
      </c>
      <c r="G51" s="88" t="s">
        <v>368</v>
      </c>
      <c r="H51" s="1172"/>
      <c r="I51" s="1172"/>
      <c r="J51" s="293"/>
      <c r="K51" s="293"/>
      <c r="L51" s="293"/>
      <c r="O51" s="1172"/>
      <c r="P51" s="1172"/>
      <c r="Q51" s="1172"/>
      <c r="R51" s="1172"/>
      <c r="S51" s="1172"/>
      <c r="T51" s="1172"/>
      <c r="U51" s="1172"/>
      <c r="V51" s="1172"/>
      <c r="W51" s="1172"/>
      <c r="X51" s="1172"/>
      <c r="Y51" s="293"/>
      <c r="Z51" s="1172"/>
      <c r="AA51" s="1172"/>
      <c r="AB51" s="1172"/>
    </row>
    <row r="52" spans="1:39" ht="15" hidden="1" customHeight="1" x14ac:dyDescent="0.35">
      <c r="A52" s="293">
        <v>9257021</v>
      </c>
      <c r="B52" s="1460" t="s">
        <v>344</v>
      </c>
      <c r="C52" s="1461"/>
      <c r="D52" s="1461"/>
      <c r="E52" s="1476"/>
      <c r="F52" s="255">
        <v>274420</v>
      </c>
      <c r="G52" s="255">
        <f>F52*(3/12)</f>
        <v>68605</v>
      </c>
      <c r="H52" s="1172"/>
      <c r="I52" s="1172"/>
      <c r="J52" s="293" t="s">
        <v>369</v>
      </c>
      <c r="K52" s="293"/>
      <c r="L52" s="293"/>
      <c r="O52" s="1172"/>
      <c r="P52" s="1172"/>
      <c r="Q52" s="1172"/>
      <c r="R52" s="1172"/>
      <c r="S52" s="1172"/>
      <c r="T52" s="1172"/>
      <c r="U52" s="1172"/>
      <c r="V52" s="1172"/>
      <c r="W52" s="1172"/>
      <c r="X52" s="1172"/>
      <c r="Y52" s="293"/>
      <c r="Z52" s="1172"/>
      <c r="AA52" s="1172"/>
      <c r="AB52" s="1172"/>
    </row>
    <row r="53" spans="1:39" ht="15" hidden="1" customHeight="1" x14ac:dyDescent="0.35">
      <c r="A53" s="293">
        <v>9257016</v>
      </c>
      <c r="B53" s="1460" t="s">
        <v>349</v>
      </c>
      <c r="C53" s="1461"/>
      <c r="D53" s="1461"/>
      <c r="E53" s="1476"/>
      <c r="F53" s="255">
        <v>582568</v>
      </c>
      <c r="G53" s="255">
        <f>F53</f>
        <v>582568</v>
      </c>
      <c r="H53" s="1172"/>
      <c r="I53" s="1172"/>
      <c r="J53" s="293"/>
      <c r="K53" s="293"/>
      <c r="L53" s="293"/>
      <c r="O53" s="1172"/>
      <c r="P53" s="1172"/>
      <c r="Q53" s="1172"/>
      <c r="R53" s="1172"/>
      <c r="S53" s="1172"/>
      <c r="T53" s="1172"/>
      <c r="U53" s="1172"/>
      <c r="V53" s="1172"/>
      <c r="W53" s="1172"/>
      <c r="X53" s="1172"/>
      <c r="Y53" s="293"/>
      <c r="Z53" s="1172"/>
      <c r="AA53" s="1172"/>
      <c r="AB53" s="1172"/>
    </row>
    <row r="54" spans="1:39" ht="15" hidden="1" customHeight="1" x14ac:dyDescent="0.35">
      <c r="A54" s="293">
        <v>9257025</v>
      </c>
      <c r="B54" s="1460" t="s">
        <v>351</v>
      </c>
      <c r="C54" s="1461"/>
      <c r="D54" s="1461"/>
      <c r="E54" s="1476"/>
      <c r="F54" s="255">
        <v>327644</v>
      </c>
      <c r="G54" s="255">
        <f>F54</f>
        <v>327644</v>
      </c>
      <c r="H54" s="1172"/>
      <c r="I54" s="1172"/>
      <c r="J54" s="293"/>
      <c r="K54" s="293"/>
      <c r="L54" s="293"/>
      <c r="O54" s="1172"/>
      <c r="P54" s="1172"/>
      <c r="Q54" s="1172"/>
      <c r="R54" s="1172"/>
      <c r="S54" s="1172"/>
      <c r="T54" s="1172"/>
      <c r="U54" s="1172"/>
      <c r="V54" s="1172"/>
      <c r="W54" s="1172"/>
      <c r="X54" s="1172"/>
      <c r="Y54" s="293"/>
      <c r="Z54" s="1172"/>
      <c r="AA54" s="1172"/>
      <c r="AB54" s="1172"/>
    </row>
    <row r="55" spans="1:39" ht="15" hidden="1" customHeight="1" x14ac:dyDescent="0.35">
      <c r="A55" s="293"/>
      <c r="B55" s="1172"/>
      <c r="C55" s="1172"/>
      <c r="D55" s="1172"/>
      <c r="E55" s="1172"/>
      <c r="F55" s="87">
        <f>SUM(F52:F54)</f>
        <v>1184632</v>
      </c>
      <c r="G55" s="89">
        <f>SUM(G52:G54)</f>
        <v>978817</v>
      </c>
      <c r="H55" s="1172" t="s">
        <v>370</v>
      </c>
      <c r="I55" s="1172"/>
      <c r="J55" s="293"/>
      <c r="K55" s="293"/>
      <c r="L55" s="293"/>
      <c r="O55" s="1172"/>
      <c r="P55" s="1172"/>
      <c r="Q55" s="1172"/>
      <c r="R55" s="1172"/>
      <c r="S55" s="1172"/>
      <c r="T55" s="1172"/>
      <c r="U55" s="1172"/>
      <c r="V55" s="1172"/>
      <c r="W55" s="1172"/>
      <c r="X55" s="1172"/>
      <c r="Y55" s="293"/>
      <c r="Z55" s="1172"/>
      <c r="AA55" s="1172"/>
      <c r="AB55" s="1172"/>
    </row>
    <row r="56" spans="1:39" ht="15" hidden="1" customHeight="1" x14ac:dyDescent="0.35">
      <c r="A56" s="293"/>
      <c r="B56" s="1172"/>
      <c r="C56" s="1172"/>
      <c r="D56" s="1172"/>
      <c r="E56" s="1172"/>
      <c r="F56" s="1183"/>
      <c r="G56" s="1183"/>
      <c r="H56" s="1172"/>
      <c r="I56" s="1172"/>
      <c r="J56" s="293"/>
      <c r="K56" s="293"/>
      <c r="L56" s="293"/>
      <c r="O56" s="1172"/>
      <c r="P56" s="1172"/>
      <c r="Q56" s="1172"/>
      <c r="R56" s="1172"/>
      <c r="S56" s="1172"/>
      <c r="T56" s="1172"/>
      <c r="U56" s="1172"/>
      <c r="V56" s="1172"/>
      <c r="W56" s="1172"/>
      <c r="X56" s="1172"/>
      <c r="Y56" s="293"/>
      <c r="Z56" s="1172"/>
      <c r="AA56" s="1172"/>
      <c r="AB56" s="1172"/>
    </row>
    <row r="57" spans="1:39" ht="15" hidden="1" customHeight="1" x14ac:dyDescent="0.35">
      <c r="A57" s="293"/>
      <c r="B57" s="1172" t="s">
        <v>371</v>
      </c>
      <c r="C57" s="1172"/>
      <c r="D57" s="1172"/>
      <c r="E57" s="1172"/>
      <c r="F57" s="1172"/>
      <c r="G57" s="1172"/>
      <c r="H57" s="1172"/>
      <c r="I57" s="1172"/>
      <c r="J57" s="293"/>
      <c r="K57" s="293"/>
      <c r="L57" s="293"/>
      <c r="O57" s="1172"/>
      <c r="P57" s="1172"/>
      <c r="Q57" s="1172"/>
      <c r="R57" s="1172"/>
      <c r="S57" s="1172"/>
      <c r="T57" s="1172"/>
      <c r="U57" s="1172"/>
      <c r="V57" s="1172"/>
      <c r="W57" s="1172"/>
      <c r="X57" s="1172"/>
      <c r="Y57" s="293"/>
      <c r="Z57" s="1172"/>
      <c r="AA57" s="1172"/>
      <c r="AB57" s="1172"/>
    </row>
    <row r="58" spans="1:39" ht="15" hidden="1" customHeight="1" x14ac:dyDescent="0.35">
      <c r="A58" s="293"/>
      <c r="B58" s="1172"/>
      <c r="C58" s="1172"/>
      <c r="D58" s="1172"/>
      <c r="E58" s="1172"/>
      <c r="F58" s="1172"/>
      <c r="G58" s="1172"/>
      <c r="H58" s="1172"/>
      <c r="I58" s="1172"/>
      <c r="J58" s="293"/>
      <c r="K58" s="293"/>
      <c r="L58" s="293"/>
      <c r="O58" s="1172"/>
      <c r="P58" s="1172"/>
      <c r="Q58" s="1172"/>
      <c r="R58" s="1172"/>
      <c r="S58" s="1172"/>
      <c r="T58" s="1172"/>
      <c r="U58" s="1172"/>
      <c r="V58" s="1172"/>
      <c r="W58" s="1172"/>
      <c r="X58" s="1172"/>
      <c r="Y58" s="293"/>
      <c r="Z58" s="1172"/>
      <c r="AA58" s="1172"/>
      <c r="AB58" s="1172"/>
    </row>
    <row r="59" spans="1:39" ht="15" customHeight="1" x14ac:dyDescent="0.35">
      <c r="A59" s="293"/>
      <c r="B59" s="1172"/>
      <c r="C59" s="1172"/>
      <c r="D59" s="1172"/>
      <c r="E59" s="1172"/>
      <c r="F59" s="1172"/>
      <c r="G59" s="1172"/>
      <c r="H59" s="1172"/>
      <c r="I59" s="1172"/>
      <c r="J59" s="293"/>
      <c r="K59" s="293"/>
      <c r="L59" s="293"/>
      <c r="O59" s="1172"/>
      <c r="P59" s="1172"/>
      <c r="Q59" s="1172"/>
      <c r="R59" s="1172"/>
      <c r="S59" s="1172"/>
      <c r="T59" s="1172"/>
      <c r="U59" s="1172"/>
      <c r="V59" s="1172"/>
      <c r="W59" s="1172"/>
      <c r="X59" s="1172"/>
      <c r="Y59" s="293"/>
      <c r="Z59" s="293" t="s">
        <v>207</v>
      </c>
      <c r="AA59" s="1184">
        <f>L26-AA26</f>
        <v>260000</v>
      </c>
      <c r="AB59" s="1184">
        <f>Q26-AB26</f>
        <v>111962.66666666666</v>
      </c>
      <c r="AC59" s="1184">
        <f>206000-AC26</f>
        <v>77249.999999999971</v>
      </c>
      <c r="AD59" s="1184" t="s">
        <v>207</v>
      </c>
      <c r="AE59" s="1183"/>
      <c r="AG59" s="292" t="s">
        <v>207</v>
      </c>
      <c r="AH59" s="292" t="s">
        <v>207</v>
      </c>
      <c r="AI59" s="292" t="s">
        <v>207</v>
      </c>
      <c r="AJ59" s="292" t="s">
        <v>207</v>
      </c>
      <c r="AK59" s="292" t="s">
        <v>207</v>
      </c>
      <c r="AL59" s="292" t="s">
        <v>207</v>
      </c>
      <c r="AM59" s="293"/>
    </row>
    <row r="60" spans="1:39" ht="15" customHeight="1" x14ac:dyDescent="0.35">
      <c r="A60" s="293"/>
      <c r="B60" s="1172"/>
      <c r="C60" s="1172"/>
      <c r="D60" s="1172"/>
      <c r="E60" s="1172"/>
      <c r="F60" s="1172"/>
      <c r="G60" s="1172"/>
      <c r="H60" s="1172"/>
      <c r="I60" s="1172"/>
      <c r="J60" s="293"/>
      <c r="K60" s="293"/>
      <c r="L60" s="293"/>
      <c r="O60" s="1172"/>
      <c r="P60" s="1172"/>
      <c r="Q60" s="1172"/>
      <c r="R60" s="1172"/>
      <c r="S60" s="1172"/>
      <c r="T60" s="1172"/>
      <c r="U60" s="1172"/>
      <c r="V60" s="1172"/>
      <c r="W60" s="1172"/>
      <c r="X60" s="1172"/>
      <c r="Y60" s="293"/>
      <c r="Z60" s="1172"/>
      <c r="AA60" s="1172"/>
      <c r="AB60" s="1172"/>
      <c r="AC60" s="1184"/>
      <c r="AD60" s="1183"/>
      <c r="AE60" s="1183"/>
      <c r="AG60" s="293"/>
      <c r="AH60" s="293"/>
      <c r="AI60" s="293"/>
      <c r="AJ60" s="293"/>
      <c r="AK60" s="293"/>
      <c r="AL60" s="293"/>
      <c r="AM60" s="293"/>
    </row>
    <row r="61" spans="1:39" ht="15" customHeight="1" x14ac:dyDescent="0.35">
      <c r="A61" s="293"/>
      <c r="B61" s="1172"/>
      <c r="C61" s="1172"/>
      <c r="D61" s="1172"/>
      <c r="E61" s="1172"/>
      <c r="F61" s="1172"/>
      <c r="G61" s="1172"/>
      <c r="H61" s="1172"/>
      <c r="I61" s="1172"/>
      <c r="J61" s="293"/>
      <c r="K61" s="293"/>
      <c r="L61" s="293"/>
      <c r="O61" s="1172"/>
      <c r="P61" s="1172"/>
      <c r="Q61" s="1172"/>
      <c r="R61" s="1172"/>
      <c r="S61" s="1172"/>
      <c r="T61" s="1172"/>
      <c r="U61" s="1172"/>
      <c r="V61" s="1172"/>
      <c r="W61" s="1172"/>
      <c r="X61" s="1172"/>
      <c r="Y61" s="293"/>
      <c r="Z61" s="1172"/>
      <c r="AA61" s="293" t="s">
        <v>207</v>
      </c>
      <c r="AB61" s="293" t="s">
        <v>207</v>
      </c>
      <c r="AC61" s="293" t="s">
        <v>207</v>
      </c>
      <c r="AD61" s="1183"/>
      <c r="AE61" s="1183"/>
      <c r="AG61" s="293"/>
      <c r="AH61" s="292" t="s">
        <v>372</v>
      </c>
      <c r="AI61" s="294">
        <f>SUM(AA64:AC64)</f>
        <v>757936</v>
      </c>
      <c r="AJ61" s="292"/>
      <c r="AK61" s="292" t="s">
        <v>3</v>
      </c>
      <c r="AL61" s="294">
        <f>AL26-AE64</f>
        <v>209307</v>
      </c>
      <c r="AM61" s="293"/>
    </row>
    <row r="62" spans="1:39" ht="15" customHeight="1" x14ac:dyDescent="0.35">
      <c r="A62" s="293"/>
      <c r="B62" s="1172"/>
      <c r="C62" s="1172"/>
      <c r="D62" s="1172"/>
      <c r="E62" s="1172"/>
      <c r="F62" s="1172"/>
      <c r="G62" s="1172"/>
      <c r="H62" s="1172"/>
      <c r="I62" s="1172"/>
      <c r="J62" s="293"/>
      <c r="K62" s="293"/>
      <c r="L62" s="293"/>
      <c r="O62" s="1172"/>
      <c r="P62" s="1172"/>
      <c r="Q62" s="1172"/>
      <c r="R62" s="1172"/>
      <c r="S62" s="1172"/>
      <c r="T62" s="1172"/>
      <c r="U62" s="1172"/>
      <c r="V62" s="1172"/>
      <c r="W62" s="1172"/>
      <c r="X62" s="1172"/>
      <c r="Y62" s="293"/>
      <c r="Z62" s="1172"/>
      <c r="AA62" s="1183">
        <f>((L18+L19+L23+L24+L25)*(7/12))+L11</f>
        <v>235000</v>
      </c>
      <c r="AB62" s="1184">
        <f>Q26*(7/12)</f>
        <v>111962.66666666667</v>
      </c>
      <c r="AC62" s="1184">
        <f>(7/12)*206000</f>
        <v>120166.66666666667</v>
      </c>
      <c r="AD62" s="1183"/>
      <c r="AE62" s="1183"/>
      <c r="AG62" s="293"/>
      <c r="AH62" s="292"/>
      <c r="AI62" s="292" t="s">
        <v>207</v>
      </c>
      <c r="AJ62" s="292"/>
      <c r="AK62" s="1475" t="s">
        <v>373</v>
      </c>
      <c r="AL62" s="1475"/>
      <c r="AM62" s="293"/>
    </row>
    <row r="63" spans="1:39" ht="15" customHeight="1" x14ac:dyDescent="0.35">
      <c r="A63" s="293"/>
      <c r="B63" s="1172"/>
      <c r="C63" s="1172"/>
      <c r="D63" s="1172"/>
      <c r="E63" s="1172"/>
      <c r="F63" s="1172"/>
      <c r="G63" s="1172"/>
      <c r="H63" s="1172"/>
      <c r="I63" s="1172"/>
      <c r="J63" s="293"/>
      <c r="K63" s="293"/>
      <c r="L63" s="293"/>
      <c r="O63" s="1172"/>
      <c r="P63" s="1172"/>
      <c r="Q63" s="1172"/>
      <c r="R63" s="1172"/>
      <c r="S63" s="1172"/>
      <c r="T63" s="1172"/>
      <c r="U63" s="1172"/>
      <c r="V63" s="1172"/>
      <c r="W63" s="1172"/>
      <c r="X63" s="1172"/>
      <c r="Y63" s="293"/>
      <c r="Z63" s="1172"/>
      <c r="AA63" s="1172"/>
      <c r="AB63" s="1172"/>
      <c r="AC63" s="1183"/>
      <c r="AD63" s="1183"/>
      <c r="AE63" s="1183"/>
      <c r="AG63" s="293"/>
      <c r="AH63" s="292"/>
      <c r="AI63" s="292"/>
      <c r="AJ63" s="292"/>
      <c r="AK63" s="1475"/>
      <c r="AL63" s="1475"/>
      <c r="AM63" s="293"/>
    </row>
    <row r="64" spans="1:39" ht="12" customHeight="1" x14ac:dyDescent="0.35">
      <c r="A64" s="293"/>
      <c r="B64" s="1172"/>
      <c r="C64" s="1172"/>
      <c r="D64" s="1172"/>
      <c r="E64" s="1172"/>
      <c r="F64" s="1172"/>
      <c r="G64" s="1172"/>
      <c r="H64" s="1172"/>
      <c r="I64" s="1172"/>
      <c r="J64" s="293"/>
      <c r="K64" s="293"/>
      <c r="L64" s="293"/>
      <c r="O64" s="1172"/>
      <c r="P64" s="1172"/>
      <c r="Q64" s="1172"/>
      <c r="R64" s="1172"/>
      <c r="S64" s="1172"/>
      <c r="T64" s="1172"/>
      <c r="U64" s="1172"/>
      <c r="V64" s="1172"/>
      <c r="W64" s="1172"/>
      <c r="X64" s="1172"/>
      <c r="Y64" s="293"/>
      <c r="Z64" s="1183">
        <f>I26</f>
        <v>317322</v>
      </c>
      <c r="AA64" s="1183">
        <f>L26</f>
        <v>360000</v>
      </c>
      <c r="AB64" s="1183">
        <f>Q26</f>
        <v>191936</v>
      </c>
      <c r="AC64" s="1184">
        <f>206000</f>
        <v>206000</v>
      </c>
      <c r="AD64" s="1184">
        <f>U26</f>
        <v>910212</v>
      </c>
      <c r="AE64" s="1184">
        <f>SUM(Z64:AD64)</f>
        <v>1985470</v>
      </c>
      <c r="AG64" s="293"/>
      <c r="AH64" s="292"/>
      <c r="AI64" s="292"/>
      <c r="AJ64" s="292"/>
      <c r="AK64" s="1475"/>
      <c r="AL64" s="1475"/>
      <c r="AM64" s="293"/>
    </row>
    <row r="65" spans="2:38" s="79" customFormat="1" ht="12" customHeight="1" x14ac:dyDescent="0.35">
      <c r="B65" s="159"/>
      <c r="C65" s="1172"/>
      <c r="D65" s="1172"/>
      <c r="E65" s="1172"/>
      <c r="F65" s="1172"/>
      <c r="G65" s="1172"/>
      <c r="H65" s="1172"/>
      <c r="I65" s="1172"/>
      <c r="J65" s="293"/>
      <c r="K65" s="293"/>
      <c r="L65" s="293"/>
      <c r="O65" s="1172"/>
      <c r="P65" s="1172"/>
      <c r="Q65" s="1172"/>
      <c r="R65" s="1172"/>
      <c r="S65" s="1172"/>
      <c r="T65" s="1172"/>
      <c r="U65" s="1172"/>
      <c r="V65" s="1172"/>
      <c r="W65" s="1172"/>
      <c r="X65" s="1172"/>
      <c r="Y65" s="293"/>
      <c r="Z65" s="1172"/>
      <c r="AA65" s="1172"/>
      <c r="AB65" s="1172"/>
      <c r="AC65" s="1184"/>
      <c r="AD65" s="1184"/>
      <c r="AE65" s="1184"/>
    </row>
    <row r="66" spans="2:38" s="79" customFormat="1" ht="12" customHeight="1" x14ac:dyDescent="0.35">
      <c r="B66" s="1172"/>
      <c r="C66" s="1172"/>
      <c r="D66" s="1172"/>
      <c r="E66" s="1185" t="s">
        <v>374</v>
      </c>
      <c r="F66" s="1172"/>
      <c r="G66" s="1172"/>
      <c r="H66" s="1172"/>
      <c r="I66" s="1172"/>
      <c r="J66" s="293"/>
      <c r="K66" s="293"/>
      <c r="L66" s="293"/>
      <c r="O66" s="1172"/>
      <c r="P66" s="1172"/>
      <c r="Q66" s="1172"/>
      <c r="R66" s="1172"/>
      <c r="S66" s="1172"/>
      <c r="T66" s="1172"/>
      <c r="U66" s="1172"/>
      <c r="V66" s="1172"/>
      <c r="W66" s="1172"/>
      <c r="X66" s="1172"/>
      <c r="Y66" s="293"/>
      <c r="Z66" s="1183">
        <f>Z26</f>
        <v>317322</v>
      </c>
      <c r="AA66" s="1172"/>
      <c r="AB66" s="1172"/>
      <c r="AC66" s="1184"/>
      <c r="AD66" s="1184">
        <f>AD26</f>
        <v>910212</v>
      </c>
      <c r="AE66" s="1184"/>
      <c r="AL66" s="292" t="s">
        <v>375</v>
      </c>
    </row>
    <row r="67" spans="2:38" s="79" customFormat="1" ht="12" customHeight="1" x14ac:dyDescent="0.35">
      <c r="B67" s="1172"/>
      <c r="C67" s="1172"/>
      <c r="D67" s="1172"/>
      <c r="E67" s="1172"/>
      <c r="F67" s="1172"/>
      <c r="G67" s="1172"/>
      <c r="H67" s="1172"/>
      <c r="I67" s="1172"/>
      <c r="J67" s="293"/>
      <c r="K67" s="293"/>
      <c r="L67" s="293"/>
      <c r="O67" s="1172"/>
      <c r="P67" s="1172"/>
      <c r="Q67" s="1172"/>
      <c r="R67" s="1172"/>
      <c r="S67" s="1172"/>
      <c r="T67" s="1172"/>
      <c r="U67" s="1172"/>
      <c r="V67" s="1172"/>
      <c r="W67" s="1172"/>
      <c r="X67" s="1172"/>
      <c r="Y67" s="293"/>
      <c r="Z67" s="1172"/>
      <c r="AA67" s="1172"/>
      <c r="AB67" s="1172"/>
      <c r="AL67" s="292" t="s">
        <v>376</v>
      </c>
    </row>
  </sheetData>
  <mergeCells count="81">
    <mergeCell ref="U4:U6"/>
    <mergeCell ref="V2:V3"/>
    <mergeCell ref="F4:F6"/>
    <mergeCell ref="G4:G6"/>
    <mergeCell ref="H4:H6"/>
    <mergeCell ref="I4:I6"/>
    <mergeCell ref="J4:J6"/>
    <mergeCell ref="K4:K6"/>
    <mergeCell ref="L4:L6"/>
    <mergeCell ref="M4:M6"/>
    <mergeCell ref="N4:N6"/>
    <mergeCell ref="O4:O6"/>
    <mergeCell ref="P4:P6"/>
    <mergeCell ref="Q4:Q6"/>
    <mergeCell ref="R4:R6"/>
    <mergeCell ref="S4:S6"/>
    <mergeCell ref="AI4:AI6"/>
    <mergeCell ref="V4:V6"/>
    <mergeCell ref="X4:X6"/>
    <mergeCell ref="Y4:Y6"/>
    <mergeCell ref="Z4:Z6"/>
    <mergeCell ref="AA4:AA6"/>
    <mergeCell ref="AB4:AB6"/>
    <mergeCell ref="BC4:BC6"/>
    <mergeCell ref="BD4:BD6"/>
    <mergeCell ref="AQ4:AQ6"/>
    <mergeCell ref="AR4:AR6"/>
    <mergeCell ref="AS4:AS6"/>
    <mergeCell ref="AU4:AU6"/>
    <mergeCell ref="AV4:AV6"/>
    <mergeCell ref="AW4:AW6"/>
    <mergeCell ref="B6:E6"/>
    <mergeCell ref="AX4:AX6"/>
    <mergeCell ref="AY4:AY6"/>
    <mergeCell ref="AZ4:AZ6"/>
    <mergeCell ref="BB4:BB6"/>
    <mergeCell ref="AJ4:AJ6"/>
    <mergeCell ref="AK4:AK6"/>
    <mergeCell ref="AL4:AL6"/>
    <mergeCell ref="AN4:AN6"/>
    <mergeCell ref="AO4:AO6"/>
    <mergeCell ref="AP4:AP6"/>
    <mergeCell ref="AC4:AC6"/>
    <mergeCell ref="AD4:AD6"/>
    <mergeCell ref="AE4:AE6"/>
    <mergeCell ref="AG4:AG6"/>
    <mergeCell ref="AH4:AH6"/>
    <mergeCell ref="BE4:BE6"/>
    <mergeCell ref="BG4:BG6"/>
    <mergeCell ref="BH4:BH6"/>
    <mergeCell ref="BI4:BI6"/>
    <mergeCell ref="BJ4:BJ6"/>
    <mergeCell ref="B18:E18"/>
    <mergeCell ref="B7:E7"/>
    <mergeCell ref="B8:E8"/>
    <mergeCell ref="B9:E9"/>
    <mergeCell ref="B10:E10"/>
    <mergeCell ref="B11:E11"/>
    <mergeCell ref="B12:E12"/>
    <mergeCell ref="B13:E13"/>
    <mergeCell ref="B14:E14"/>
    <mergeCell ref="B15:E15"/>
    <mergeCell ref="B16:E16"/>
    <mergeCell ref="B17:E17"/>
    <mergeCell ref="B46:V47"/>
    <mergeCell ref="B19:E19"/>
    <mergeCell ref="B20:E20"/>
    <mergeCell ref="B21:E21"/>
    <mergeCell ref="B22:E22"/>
    <mergeCell ref="B23:E23"/>
    <mergeCell ref="B24:E24"/>
    <mergeCell ref="B25:E25"/>
    <mergeCell ref="B26:E26"/>
    <mergeCell ref="B30:V33"/>
    <mergeCell ref="B36:V38"/>
    <mergeCell ref="B41:V44"/>
    <mergeCell ref="B48:V49"/>
    <mergeCell ref="B52:E52"/>
    <mergeCell ref="B53:E53"/>
    <mergeCell ref="B54:E54"/>
    <mergeCell ref="AK62:AL64"/>
  </mergeCells>
  <pageMargins left="0.7" right="0.7" top="0.75" bottom="0.75" header="0.3" footer="0.3"/>
  <legacy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2:V68"/>
  <sheetViews>
    <sheetView workbookViewId="0">
      <selection activeCell="S21" sqref="S21"/>
    </sheetView>
  </sheetViews>
  <sheetFormatPr defaultColWidth="9.1796875" defaultRowHeight="12.5" x14ac:dyDescent="0.25"/>
  <cols>
    <col min="1" max="1" width="9.1796875" style="34"/>
    <col min="2" max="2" width="18" style="34" customWidth="1"/>
    <col min="3" max="3" width="11" style="34" customWidth="1"/>
    <col min="4" max="4" width="11.7265625" style="34" customWidth="1"/>
    <col min="5" max="5" width="10.453125" style="34" customWidth="1"/>
    <col min="6" max="8" width="9.54296875" style="34" bestFit="1" customWidth="1"/>
    <col min="9" max="9" width="9" style="34" customWidth="1"/>
    <col min="10" max="11" width="9.54296875" style="34" bestFit="1" customWidth="1"/>
    <col min="12" max="16" width="9.1796875" style="34"/>
    <col min="17" max="17" width="10.81640625" style="34" customWidth="1"/>
    <col min="18" max="18" width="9.1796875" style="34"/>
    <col min="19" max="19" width="10" style="34" customWidth="1"/>
    <col min="20" max="22" width="9.1796875" style="34"/>
    <col min="23" max="23" width="10.453125" style="34" customWidth="1"/>
    <col min="24" max="16384" width="9.1796875" style="34"/>
  </cols>
  <sheetData>
    <row r="2" spans="2:22" ht="13" x14ac:dyDescent="0.3">
      <c r="B2" s="454" t="s">
        <v>1197</v>
      </c>
      <c r="C2" s="316"/>
      <c r="D2" s="316"/>
      <c r="E2" s="316"/>
      <c r="F2" s="316"/>
      <c r="G2" s="316"/>
      <c r="H2" s="316"/>
      <c r="I2" s="316"/>
      <c r="J2" s="316"/>
      <c r="K2" s="316"/>
      <c r="L2" s="316"/>
      <c r="M2" s="316"/>
      <c r="N2" s="316"/>
      <c r="O2" s="316"/>
      <c r="P2" s="316"/>
      <c r="Q2" s="316"/>
      <c r="R2" s="316"/>
      <c r="S2" s="316"/>
      <c r="T2" s="316"/>
      <c r="U2" s="1541" t="s">
        <v>992</v>
      </c>
      <c r="V2" s="1542"/>
    </row>
    <row r="4" spans="2:22" ht="21" x14ac:dyDescent="0.25">
      <c r="B4" s="316"/>
      <c r="C4" s="358" t="s">
        <v>183</v>
      </c>
      <c r="D4" s="358" t="s">
        <v>184</v>
      </c>
      <c r="E4" s="359" t="s">
        <v>792</v>
      </c>
      <c r="F4" s="360" t="s">
        <v>735</v>
      </c>
      <c r="G4" s="361" t="s">
        <v>901</v>
      </c>
      <c r="H4" s="360" t="s">
        <v>736</v>
      </c>
      <c r="I4" s="361" t="s">
        <v>920</v>
      </c>
      <c r="J4" s="360" t="s">
        <v>737</v>
      </c>
      <c r="K4" s="361" t="s">
        <v>921</v>
      </c>
      <c r="L4" s="360" t="s">
        <v>738</v>
      </c>
      <c r="M4" s="361" t="s">
        <v>922</v>
      </c>
      <c r="N4" s="362" t="s">
        <v>739</v>
      </c>
      <c r="O4" s="363" t="s">
        <v>923</v>
      </c>
      <c r="P4" s="360" t="s">
        <v>741</v>
      </c>
      <c r="Q4" s="361" t="s">
        <v>924</v>
      </c>
      <c r="R4" s="362" t="s">
        <v>743</v>
      </c>
      <c r="S4" s="363" t="s">
        <v>925</v>
      </c>
      <c r="T4" s="316"/>
      <c r="U4" s="316"/>
      <c r="V4" s="316"/>
    </row>
    <row r="5" spans="2:22" ht="20.5" x14ac:dyDescent="0.25">
      <c r="B5" s="238">
        <v>9257010</v>
      </c>
      <c r="C5" s="455" t="s">
        <v>205</v>
      </c>
      <c r="D5" s="365">
        <v>4</v>
      </c>
      <c r="E5" s="453">
        <v>64</v>
      </c>
      <c r="F5" s="367">
        <v>4</v>
      </c>
      <c r="G5" s="368">
        <f>F5/E5</f>
        <v>6.25E-2</v>
      </c>
      <c r="H5" s="369">
        <v>22</v>
      </c>
      <c r="I5" s="368">
        <f>H5/E5</f>
        <v>0.34375</v>
      </c>
      <c r="J5" s="369">
        <v>4</v>
      </c>
      <c r="K5" s="368">
        <f>J5/E5</f>
        <v>6.25E-2</v>
      </c>
      <c r="L5" s="369">
        <v>11</v>
      </c>
      <c r="M5" s="368">
        <f>L5/E5</f>
        <v>0.171875</v>
      </c>
      <c r="N5" s="370">
        <v>3</v>
      </c>
      <c r="O5" s="371">
        <f>N5/E5</f>
        <v>4.6875E-2</v>
      </c>
      <c r="P5" s="369">
        <v>11</v>
      </c>
      <c r="Q5" s="368">
        <f>P5/E5</f>
        <v>0.171875</v>
      </c>
      <c r="R5" s="370">
        <v>9</v>
      </c>
      <c r="S5" s="371">
        <f>R5/E5</f>
        <v>0.140625</v>
      </c>
      <c r="T5" s="316"/>
      <c r="U5" s="376">
        <f>F5+H5+J5+L5+N5+P5+R5</f>
        <v>64</v>
      </c>
      <c r="V5" s="379">
        <f>G5+I5+K5+M5+O5+Q5+S5</f>
        <v>1</v>
      </c>
    </row>
    <row r="6" spans="2:22" ht="20.5" x14ac:dyDescent="0.25">
      <c r="B6" s="238">
        <v>9257005</v>
      </c>
      <c r="C6" s="455" t="s">
        <v>208</v>
      </c>
      <c r="D6" s="365" t="s">
        <v>1178</v>
      </c>
      <c r="E6" s="453">
        <v>76</v>
      </c>
      <c r="F6" s="367">
        <v>6</v>
      </c>
      <c r="G6" s="368">
        <f>F6/E6</f>
        <v>7.8947368421052627E-2</v>
      </c>
      <c r="H6" s="369">
        <v>27</v>
      </c>
      <c r="I6" s="368">
        <f>H6/E6</f>
        <v>0.35526315789473684</v>
      </c>
      <c r="J6" s="369">
        <v>5</v>
      </c>
      <c r="K6" s="368">
        <f>J6/E6</f>
        <v>6.5789473684210523E-2</v>
      </c>
      <c r="L6" s="369">
        <v>11</v>
      </c>
      <c r="M6" s="368">
        <f>L6/E6</f>
        <v>0.14473684210526316</v>
      </c>
      <c r="N6" s="370">
        <v>11</v>
      </c>
      <c r="O6" s="371">
        <f>N6/E6</f>
        <v>0.14473684210526316</v>
      </c>
      <c r="P6" s="369">
        <v>12</v>
      </c>
      <c r="Q6" s="368">
        <f>P6/E6</f>
        <v>0.15789473684210525</v>
      </c>
      <c r="R6" s="370">
        <v>4</v>
      </c>
      <c r="S6" s="371">
        <f>R6/E6</f>
        <v>5.2631578947368418E-2</v>
      </c>
      <c r="T6" s="316"/>
      <c r="U6" s="376">
        <f t="shared" ref="U6:U22" si="0">F6+H6+J6+L6+N6+P6+R6</f>
        <v>76</v>
      </c>
      <c r="V6" s="379">
        <f t="shared" ref="V6:V22" si="1">G6+I6+K6+M6+O6+Q6+S6</f>
        <v>1</v>
      </c>
    </row>
    <row r="7" spans="2:22" ht="20.5" x14ac:dyDescent="0.25">
      <c r="B7" s="238">
        <v>9257025</v>
      </c>
      <c r="C7" s="455" t="s">
        <v>209</v>
      </c>
      <c r="D7" s="365">
        <v>4</v>
      </c>
      <c r="E7" s="453">
        <f>F7+H7+J7+L7+N7+P7+R7</f>
        <v>74</v>
      </c>
      <c r="F7" s="367">
        <v>12</v>
      </c>
      <c r="G7" s="368">
        <f>F7/E7</f>
        <v>0.16216216216216217</v>
      </c>
      <c r="H7" s="369">
        <v>26</v>
      </c>
      <c r="I7" s="368">
        <f>H7/E7</f>
        <v>0.35135135135135137</v>
      </c>
      <c r="J7" s="369">
        <v>5</v>
      </c>
      <c r="K7" s="368">
        <f>J7/E7</f>
        <v>6.7567567567567571E-2</v>
      </c>
      <c r="L7" s="369">
        <v>13</v>
      </c>
      <c r="M7" s="368">
        <f>L7/E7</f>
        <v>0.17567567567567569</v>
      </c>
      <c r="N7" s="370">
        <v>4</v>
      </c>
      <c r="O7" s="371">
        <f>N7/E7</f>
        <v>5.4054054054054057E-2</v>
      </c>
      <c r="P7" s="369">
        <v>10</v>
      </c>
      <c r="Q7" s="368">
        <f>P7/E7</f>
        <v>0.13513513513513514</v>
      </c>
      <c r="R7" s="370">
        <v>4</v>
      </c>
      <c r="S7" s="371">
        <f>R7/E7</f>
        <v>5.4054054054054057E-2</v>
      </c>
      <c r="T7" s="316"/>
      <c r="U7" s="376">
        <f t="shared" si="0"/>
        <v>74</v>
      </c>
      <c r="V7" s="379">
        <f t="shared" si="1"/>
        <v>1</v>
      </c>
    </row>
    <row r="8" spans="2:22" ht="20.5" x14ac:dyDescent="0.25">
      <c r="B8" s="238">
        <v>9257011</v>
      </c>
      <c r="C8" s="455" t="s">
        <v>210</v>
      </c>
      <c r="D8" s="365">
        <v>4</v>
      </c>
      <c r="E8" s="453">
        <v>53</v>
      </c>
      <c r="F8" s="367">
        <v>3</v>
      </c>
      <c r="G8" s="368">
        <f>F8/E8</f>
        <v>5.6603773584905662E-2</v>
      </c>
      <c r="H8" s="369">
        <v>17</v>
      </c>
      <c r="I8" s="368">
        <f>H8/E8</f>
        <v>0.32075471698113206</v>
      </c>
      <c r="J8" s="369">
        <v>2</v>
      </c>
      <c r="K8" s="368">
        <f>J8/E8</f>
        <v>3.7735849056603772E-2</v>
      </c>
      <c r="L8" s="369">
        <v>9</v>
      </c>
      <c r="M8" s="368">
        <f>L8/E8</f>
        <v>0.16981132075471697</v>
      </c>
      <c r="N8" s="370">
        <v>9</v>
      </c>
      <c r="O8" s="371">
        <f>N8/E8</f>
        <v>0.16981132075471697</v>
      </c>
      <c r="P8" s="369">
        <v>8</v>
      </c>
      <c r="Q8" s="368">
        <f>P8/E8</f>
        <v>0.15094339622641509</v>
      </c>
      <c r="R8" s="370">
        <v>5</v>
      </c>
      <c r="S8" s="371">
        <f>R8/E8</f>
        <v>9.4339622641509441E-2</v>
      </c>
      <c r="T8" s="316"/>
      <c r="U8" s="376">
        <f t="shared" si="0"/>
        <v>53</v>
      </c>
      <c r="V8" s="379">
        <f t="shared" si="1"/>
        <v>0.99999999999999989</v>
      </c>
    </row>
    <row r="9" spans="2:22" ht="20.5" x14ac:dyDescent="0.25">
      <c r="B9" s="238">
        <v>9257024</v>
      </c>
      <c r="C9" s="455" t="s">
        <v>211</v>
      </c>
      <c r="D9" s="365">
        <v>4</v>
      </c>
      <c r="E9" s="453">
        <v>83</v>
      </c>
      <c r="F9" s="369">
        <v>9</v>
      </c>
      <c r="G9" s="368">
        <f>F9/E9</f>
        <v>0.10843373493975904</v>
      </c>
      <c r="H9" s="369">
        <v>36</v>
      </c>
      <c r="I9" s="368">
        <f>H9/E9</f>
        <v>0.43373493975903615</v>
      </c>
      <c r="J9" s="369">
        <v>2</v>
      </c>
      <c r="K9" s="368">
        <f>J9/E9</f>
        <v>2.4096385542168676E-2</v>
      </c>
      <c r="L9" s="369">
        <v>13</v>
      </c>
      <c r="M9" s="368">
        <f>L9/E9</f>
        <v>0.15662650602409639</v>
      </c>
      <c r="N9" s="370">
        <v>9</v>
      </c>
      <c r="O9" s="371">
        <f>N9/E9</f>
        <v>0.10843373493975904</v>
      </c>
      <c r="P9" s="369">
        <v>6</v>
      </c>
      <c r="Q9" s="368">
        <f>P9/E9</f>
        <v>7.2289156626506021E-2</v>
      </c>
      <c r="R9" s="370">
        <v>8</v>
      </c>
      <c r="S9" s="371">
        <f>R9/E9</f>
        <v>9.6385542168674704E-2</v>
      </c>
      <c r="T9" s="316"/>
      <c r="U9" s="376">
        <f t="shared" si="0"/>
        <v>83</v>
      </c>
      <c r="V9" s="379">
        <f t="shared" si="1"/>
        <v>0.99999999999999989</v>
      </c>
    </row>
    <row r="10" spans="2:22" x14ac:dyDescent="0.25">
      <c r="B10" s="238">
        <v>9257031</v>
      </c>
      <c r="C10" s="455" t="s">
        <v>257</v>
      </c>
      <c r="D10" s="365" t="s">
        <v>1179</v>
      </c>
      <c r="E10" s="453">
        <f>F10+H10+J10+L10+N10+P10+R10</f>
        <v>0</v>
      </c>
      <c r="F10" s="369">
        <v>0</v>
      </c>
      <c r="G10" s="368">
        <v>0</v>
      </c>
      <c r="H10" s="369">
        <v>0</v>
      </c>
      <c r="I10" s="368">
        <v>0</v>
      </c>
      <c r="J10" s="369">
        <v>0</v>
      </c>
      <c r="K10" s="368">
        <v>1</v>
      </c>
      <c r="L10" s="369">
        <v>0</v>
      </c>
      <c r="M10" s="368">
        <v>0</v>
      </c>
      <c r="N10" s="370">
        <v>0</v>
      </c>
      <c r="O10" s="371">
        <v>0</v>
      </c>
      <c r="P10" s="369">
        <v>0</v>
      </c>
      <c r="Q10" s="368">
        <v>0</v>
      </c>
      <c r="R10" s="370">
        <v>0</v>
      </c>
      <c r="S10" s="371">
        <v>0</v>
      </c>
      <c r="T10" s="316"/>
      <c r="U10" s="376">
        <f>F10+H10+J10+L10+N10+P10+R10</f>
        <v>0</v>
      </c>
      <c r="V10" s="379">
        <f>G10+I10+K10+M10+O10+Q10+S10</f>
        <v>1</v>
      </c>
    </row>
    <row r="11" spans="2:22" ht="20.5" x14ac:dyDescent="0.25">
      <c r="B11" s="238">
        <v>9257033</v>
      </c>
      <c r="C11" s="455" t="s">
        <v>220</v>
      </c>
      <c r="D11" s="365" t="s">
        <v>1178</v>
      </c>
      <c r="E11" s="453">
        <v>95</v>
      </c>
      <c r="F11" s="369">
        <v>17</v>
      </c>
      <c r="G11" s="368">
        <f>F11/E11</f>
        <v>0.17894736842105263</v>
      </c>
      <c r="H11" s="369">
        <v>42</v>
      </c>
      <c r="I11" s="368">
        <f>H11/E11</f>
        <v>0.44210526315789472</v>
      </c>
      <c r="J11" s="369">
        <v>12</v>
      </c>
      <c r="K11" s="368">
        <f>J11/E11</f>
        <v>0.12631578947368421</v>
      </c>
      <c r="L11" s="369">
        <v>15</v>
      </c>
      <c r="M11" s="368">
        <f>L11/E11</f>
        <v>0.15789473684210525</v>
      </c>
      <c r="N11" s="370">
        <v>4</v>
      </c>
      <c r="O11" s="371">
        <f>N11/E11</f>
        <v>4.2105263157894736E-2</v>
      </c>
      <c r="P11" s="369">
        <v>5</v>
      </c>
      <c r="Q11" s="368">
        <f>P11/E11</f>
        <v>5.2631578947368418E-2</v>
      </c>
      <c r="R11" s="370">
        <v>0</v>
      </c>
      <c r="S11" s="371">
        <f>R11/E11</f>
        <v>0</v>
      </c>
      <c r="T11" s="316"/>
      <c r="U11" s="376">
        <f>F11+H11+J11+L11+N11+P11+R11</f>
        <v>95</v>
      </c>
      <c r="V11" s="379">
        <f>G11+I11+K11+M11+O11+Q11+S11</f>
        <v>1</v>
      </c>
    </row>
    <row r="12" spans="2:22" ht="20.5" x14ac:dyDescent="0.25">
      <c r="B12" s="238">
        <v>9257008</v>
      </c>
      <c r="C12" s="455" t="s">
        <v>212</v>
      </c>
      <c r="D12" s="365">
        <v>4</v>
      </c>
      <c r="E12" s="453">
        <v>97</v>
      </c>
      <c r="F12" s="369">
        <v>10</v>
      </c>
      <c r="G12" s="368">
        <f>F12/E12</f>
        <v>0.10309278350515463</v>
      </c>
      <c r="H12" s="369">
        <v>51</v>
      </c>
      <c r="I12" s="368">
        <f>H12/E12</f>
        <v>0.52577319587628868</v>
      </c>
      <c r="J12" s="369">
        <v>8</v>
      </c>
      <c r="K12" s="368">
        <f>J12/E12</f>
        <v>8.247422680412371E-2</v>
      </c>
      <c r="L12" s="369">
        <v>9</v>
      </c>
      <c r="M12" s="368">
        <f>L12/E12</f>
        <v>9.2783505154639179E-2</v>
      </c>
      <c r="N12" s="373">
        <v>1</v>
      </c>
      <c r="O12" s="371">
        <f>N12/E12</f>
        <v>1.0309278350515464E-2</v>
      </c>
      <c r="P12" s="369">
        <v>18</v>
      </c>
      <c r="Q12" s="368">
        <f>P12/E12</f>
        <v>0.18556701030927836</v>
      </c>
      <c r="R12" s="373">
        <v>0</v>
      </c>
      <c r="S12" s="371">
        <f>R12/E12</f>
        <v>0</v>
      </c>
      <c r="T12" s="316"/>
      <c r="U12" s="376">
        <f t="shared" si="0"/>
        <v>97</v>
      </c>
      <c r="V12" s="379">
        <f t="shared" si="1"/>
        <v>1</v>
      </c>
    </row>
    <row r="13" spans="2:22" ht="20.5" x14ac:dyDescent="0.25">
      <c r="B13" s="238">
        <v>9257034</v>
      </c>
      <c r="C13" s="455" t="s">
        <v>221</v>
      </c>
      <c r="D13" s="365" t="s">
        <v>1178</v>
      </c>
      <c r="E13" s="453">
        <v>109</v>
      </c>
      <c r="F13" s="369">
        <v>46</v>
      </c>
      <c r="G13" s="368">
        <f>F13/E13</f>
        <v>0.42201834862385323</v>
      </c>
      <c r="H13" s="369">
        <v>29</v>
      </c>
      <c r="I13" s="368">
        <f>H13/E13</f>
        <v>0.26605504587155965</v>
      </c>
      <c r="J13" s="369">
        <v>17</v>
      </c>
      <c r="K13" s="368">
        <f>J13/E13</f>
        <v>0.15596330275229359</v>
      </c>
      <c r="L13" s="369">
        <v>5</v>
      </c>
      <c r="M13" s="368">
        <f>L13/E13</f>
        <v>4.5871559633027525E-2</v>
      </c>
      <c r="N13" s="370">
        <v>5</v>
      </c>
      <c r="O13" s="371">
        <f>N13/E13</f>
        <v>4.5871559633027525E-2</v>
      </c>
      <c r="P13" s="369">
        <v>6</v>
      </c>
      <c r="Q13" s="368">
        <f>P13/E13</f>
        <v>5.5045871559633031E-2</v>
      </c>
      <c r="R13" s="370">
        <v>1</v>
      </c>
      <c r="S13" s="371">
        <f>R13/E13</f>
        <v>9.1743119266055051E-3</v>
      </c>
      <c r="T13" s="316"/>
      <c r="U13" s="376">
        <f>F13+H13+J13+L13+N13+P13+R13</f>
        <v>109</v>
      </c>
      <c r="V13" s="379">
        <f>G13+I13+K13+M13+O13+Q13+S13</f>
        <v>1</v>
      </c>
    </row>
    <row r="14" spans="2:22" ht="20.5" x14ac:dyDescent="0.25">
      <c r="B14" s="238">
        <v>9257002</v>
      </c>
      <c r="C14" s="455" t="s">
        <v>213</v>
      </c>
      <c r="D14" s="365">
        <v>4</v>
      </c>
      <c r="E14" s="453">
        <v>142</v>
      </c>
      <c r="F14" s="369">
        <v>61</v>
      </c>
      <c r="G14" s="368">
        <f>F14/E14</f>
        <v>0.42957746478873238</v>
      </c>
      <c r="H14" s="369">
        <v>36</v>
      </c>
      <c r="I14" s="368">
        <f>H14/E14</f>
        <v>0.25352112676056338</v>
      </c>
      <c r="J14" s="369">
        <v>22</v>
      </c>
      <c r="K14" s="368">
        <f>J14/E14</f>
        <v>0.15492957746478872</v>
      </c>
      <c r="L14" s="369">
        <v>3</v>
      </c>
      <c r="M14" s="368">
        <f>L14/E14</f>
        <v>2.1126760563380281E-2</v>
      </c>
      <c r="N14" s="370">
        <v>6</v>
      </c>
      <c r="O14" s="371">
        <f>N14/E14</f>
        <v>4.2253521126760563E-2</v>
      </c>
      <c r="P14" s="369">
        <v>12</v>
      </c>
      <c r="Q14" s="368">
        <f>P14/E14</f>
        <v>8.4507042253521125E-2</v>
      </c>
      <c r="R14" s="370">
        <v>2</v>
      </c>
      <c r="S14" s="371">
        <f>R14/E14</f>
        <v>1.4084507042253521E-2</v>
      </c>
      <c r="T14" s="316"/>
      <c r="U14" s="376">
        <f t="shared" si="0"/>
        <v>142</v>
      </c>
      <c r="V14" s="379">
        <f t="shared" si="1"/>
        <v>0.99999999999999989</v>
      </c>
    </row>
    <row r="15" spans="2:22" ht="20.5" x14ac:dyDescent="0.25">
      <c r="B15" s="238">
        <v>9257009</v>
      </c>
      <c r="C15" s="455" t="s">
        <v>214</v>
      </c>
      <c r="D15" s="365">
        <v>4</v>
      </c>
      <c r="E15" s="453">
        <v>129</v>
      </c>
      <c r="F15" s="369">
        <v>22</v>
      </c>
      <c r="G15" s="368">
        <f>F15/E15</f>
        <v>0.17054263565891473</v>
      </c>
      <c r="H15" s="369">
        <v>75</v>
      </c>
      <c r="I15" s="368">
        <f>H15/E15</f>
        <v>0.58139534883720934</v>
      </c>
      <c r="J15" s="369">
        <v>11</v>
      </c>
      <c r="K15" s="368">
        <f>J15/E15</f>
        <v>8.5271317829457363E-2</v>
      </c>
      <c r="L15" s="369">
        <v>2</v>
      </c>
      <c r="M15" s="368">
        <f>L15/E15</f>
        <v>1.5503875968992248E-2</v>
      </c>
      <c r="N15" s="370">
        <v>4</v>
      </c>
      <c r="O15" s="371">
        <f>N15/E15</f>
        <v>3.1007751937984496E-2</v>
      </c>
      <c r="P15" s="369">
        <v>15</v>
      </c>
      <c r="Q15" s="368">
        <f>P15/E15</f>
        <v>0.11627906976744186</v>
      </c>
      <c r="R15" s="370">
        <v>0</v>
      </c>
      <c r="S15" s="371">
        <f>R15/E15</f>
        <v>0</v>
      </c>
      <c r="T15" s="316"/>
      <c r="U15" s="376">
        <f t="shared" si="0"/>
        <v>129</v>
      </c>
      <c r="V15" s="379">
        <f t="shared" si="1"/>
        <v>1</v>
      </c>
    </row>
    <row r="16" spans="2:22" ht="20.5" x14ac:dyDescent="0.25">
      <c r="B16" s="238">
        <v>9257029</v>
      </c>
      <c r="C16" s="455" t="s">
        <v>890</v>
      </c>
      <c r="D16" s="365" t="s">
        <v>1179</v>
      </c>
      <c r="E16" s="453">
        <f>F16+H16+J16+L16+N16+P16+R16</f>
        <v>0</v>
      </c>
      <c r="F16" s="369">
        <v>0</v>
      </c>
      <c r="G16" s="368">
        <v>0</v>
      </c>
      <c r="H16" s="369">
        <v>0</v>
      </c>
      <c r="I16" s="368">
        <v>0</v>
      </c>
      <c r="J16" s="369">
        <v>0</v>
      </c>
      <c r="K16" s="368">
        <v>1</v>
      </c>
      <c r="L16" s="369">
        <v>0</v>
      </c>
      <c r="M16" s="368">
        <v>0</v>
      </c>
      <c r="N16" s="370">
        <v>0</v>
      </c>
      <c r="O16" s="371">
        <v>0</v>
      </c>
      <c r="P16" s="369">
        <v>0</v>
      </c>
      <c r="Q16" s="368">
        <v>0</v>
      </c>
      <c r="R16" s="370">
        <v>0</v>
      </c>
      <c r="S16" s="371">
        <v>0</v>
      </c>
      <c r="T16" s="316"/>
      <c r="U16" s="376">
        <f t="shared" ref="U16:V18" si="2">F16+H16+J16+L16+N16+P16+R16</f>
        <v>0</v>
      </c>
      <c r="V16" s="379">
        <f t="shared" si="2"/>
        <v>1</v>
      </c>
    </row>
    <row r="17" spans="2:22" x14ac:dyDescent="0.25">
      <c r="B17" s="238">
        <v>9257032</v>
      </c>
      <c r="C17" s="455" t="s">
        <v>813</v>
      </c>
      <c r="D17" s="365" t="s">
        <v>1179</v>
      </c>
      <c r="E17" s="453">
        <f>F17+H17+J17+L17+N17+P17+R17</f>
        <v>0</v>
      </c>
      <c r="F17" s="369">
        <v>0</v>
      </c>
      <c r="G17" s="368">
        <v>0</v>
      </c>
      <c r="H17" s="369">
        <v>0</v>
      </c>
      <c r="I17" s="368">
        <v>0</v>
      </c>
      <c r="J17" s="369">
        <v>0</v>
      </c>
      <c r="K17" s="368">
        <v>1</v>
      </c>
      <c r="L17" s="369">
        <v>0</v>
      </c>
      <c r="M17" s="368">
        <v>0</v>
      </c>
      <c r="N17" s="370">
        <v>0</v>
      </c>
      <c r="O17" s="371">
        <v>0</v>
      </c>
      <c r="P17" s="369">
        <v>0</v>
      </c>
      <c r="Q17" s="368">
        <v>0</v>
      </c>
      <c r="R17" s="370">
        <v>0</v>
      </c>
      <c r="S17" s="371">
        <v>0</v>
      </c>
      <c r="T17" s="316"/>
      <c r="U17" s="376">
        <f t="shared" si="2"/>
        <v>0</v>
      </c>
      <c r="V17" s="379">
        <f t="shared" si="2"/>
        <v>1</v>
      </c>
    </row>
    <row r="18" spans="2:22" ht="20.5" x14ac:dyDescent="0.25">
      <c r="B18" s="238">
        <v>9257030</v>
      </c>
      <c r="C18" s="455" t="s">
        <v>815</v>
      </c>
      <c r="D18" s="365" t="s">
        <v>1179</v>
      </c>
      <c r="E18" s="453">
        <f>F18+H18+J18+L18+N18+P18+R18</f>
        <v>0</v>
      </c>
      <c r="F18" s="367">
        <v>0</v>
      </c>
      <c r="G18" s="368">
        <v>0</v>
      </c>
      <c r="H18" s="369">
        <v>0</v>
      </c>
      <c r="I18" s="368">
        <v>0</v>
      </c>
      <c r="J18" s="369">
        <v>0</v>
      </c>
      <c r="K18" s="368">
        <v>1</v>
      </c>
      <c r="L18" s="369">
        <v>0</v>
      </c>
      <c r="M18" s="368">
        <v>0</v>
      </c>
      <c r="N18" s="370">
        <v>0</v>
      </c>
      <c r="O18" s="371">
        <v>0</v>
      </c>
      <c r="P18" s="369">
        <v>0</v>
      </c>
      <c r="Q18" s="368">
        <v>0</v>
      </c>
      <c r="R18" s="370">
        <v>0</v>
      </c>
      <c r="S18" s="371">
        <v>0</v>
      </c>
      <c r="T18" s="316"/>
      <c r="U18" s="376">
        <f t="shared" si="2"/>
        <v>0</v>
      </c>
      <c r="V18" s="379">
        <f t="shared" si="2"/>
        <v>1</v>
      </c>
    </row>
    <row r="19" spans="2:22" ht="20.5" x14ac:dyDescent="0.25">
      <c r="B19" s="238">
        <v>9257028</v>
      </c>
      <c r="C19" s="455" t="s">
        <v>215</v>
      </c>
      <c r="D19" s="365">
        <v>4</v>
      </c>
      <c r="E19" s="453">
        <v>95</v>
      </c>
      <c r="F19" s="369">
        <v>9</v>
      </c>
      <c r="G19" s="368">
        <f>F19/E19</f>
        <v>9.4736842105263161E-2</v>
      </c>
      <c r="H19" s="367">
        <v>34</v>
      </c>
      <c r="I19" s="368">
        <f>H19/E19</f>
        <v>0.35789473684210527</v>
      </c>
      <c r="J19" s="367">
        <v>4</v>
      </c>
      <c r="K19" s="368">
        <f>J19/E19</f>
        <v>4.2105263157894736E-2</v>
      </c>
      <c r="L19" s="367">
        <v>9</v>
      </c>
      <c r="M19" s="368">
        <f>L19/E19</f>
        <v>9.4736842105263161E-2</v>
      </c>
      <c r="N19" s="370">
        <v>14</v>
      </c>
      <c r="O19" s="371">
        <f>N19/E19</f>
        <v>0.14736842105263157</v>
      </c>
      <c r="P19" s="367">
        <v>13</v>
      </c>
      <c r="Q19" s="368">
        <f>P19/E19</f>
        <v>0.1368421052631579</v>
      </c>
      <c r="R19" s="370">
        <v>12</v>
      </c>
      <c r="S19" s="371">
        <f>R19/E19</f>
        <v>0.12631578947368421</v>
      </c>
      <c r="T19" s="316"/>
      <c r="U19" s="376">
        <f t="shared" si="0"/>
        <v>95</v>
      </c>
      <c r="V19" s="379">
        <f t="shared" si="1"/>
        <v>1</v>
      </c>
    </row>
    <row r="20" spans="2:22" ht="20.5" x14ac:dyDescent="0.25">
      <c r="B20" s="238">
        <v>9257021</v>
      </c>
      <c r="C20" s="455" t="s">
        <v>216</v>
      </c>
      <c r="D20" s="365" t="s">
        <v>1180</v>
      </c>
      <c r="E20" s="453">
        <v>163</v>
      </c>
      <c r="F20" s="369">
        <v>47</v>
      </c>
      <c r="G20" s="368">
        <f>F20/E20</f>
        <v>0.28834355828220859</v>
      </c>
      <c r="H20" s="369">
        <v>58</v>
      </c>
      <c r="I20" s="368">
        <f>H20/E20</f>
        <v>0.35582822085889571</v>
      </c>
      <c r="J20" s="369">
        <v>16</v>
      </c>
      <c r="K20" s="368">
        <f>J20/E20</f>
        <v>9.815950920245399E-2</v>
      </c>
      <c r="L20" s="369">
        <v>10</v>
      </c>
      <c r="M20" s="368">
        <f>L20/E20</f>
        <v>6.1349693251533742E-2</v>
      </c>
      <c r="N20" s="370">
        <v>10</v>
      </c>
      <c r="O20" s="371">
        <f>N20/E20</f>
        <v>6.1349693251533742E-2</v>
      </c>
      <c r="P20" s="369">
        <v>20</v>
      </c>
      <c r="Q20" s="368">
        <f>P20/E20</f>
        <v>0.12269938650306748</v>
      </c>
      <c r="R20" s="370">
        <v>2</v>
      </c>
      <c r="S20" s="371">
        <f>R20/E20</f>
        <v>1.2269938650306749E-2</v>
      </c>
      <c r="T20" s="316"/>
      <c r="U20" s="376">
        <f t="shared" si="0"/>
        <v>163</v>
      </c>
      <c r="V20" s="379">
        <f t="shared" si="1"/>
        <v>1</v>
      </c>
    </row>
    <row r="21" spans="2:22" ht="20.5" x14ac:dyDescent="0.25">
      <c r="B21" s="238">
        <v>9257015</v>
      </c>
      <c r="C21" s="455" t="s">
        <v>217</v>
      </c>
      <c r="D21" s="365" t="s">
        <v>1181</v>
      </c>
      <c r="E21" s="453">
        <v>232</v>
      </c>
      <c r="F21" s="369">
        <v>88</v>
      </c>
      <c r="G21" s="368">
        <f>F21/E21</f>
        <v>0.37931034482758619</v>
      </c>
      <c r="H21" s="369">
        <v>77</v>
      </c>
      <c r="I21" s="368">
        <f>H21/E21</f>
        <v>0.33189655172413796</v>
      </c>
      <c r="J21" s="369">
        <v>6</v>
      </c>
      <c r="K21" s="368">
        <f>J21/E21</f>
        <v>2.5862068965517241E-2</v>
      </c>
      <c r="L21" s="369">
        <v>15</v>
      </c>
      <c r="M21" s="368">
        <f>L21/E21</f>
        <v>6.4655172413793108E-2</v>
      </c>
      <c r="N21" s="370">
        <v>9</v>
      </c>
      <c r="O21" s="371">
        <f>N21/E21</f>
        <v>3.8793103448275863E-2</v>
      </c>
      <c r="P21" s="369">
        <v>34</v>
      </c>
      <c r="Q21" s="368">
        <f>P21/E21</f>
        <v>0.14655172413793102</v>
      </c>
      <c r="R21" s="370">
        <v>3</v>
      </c>
      <c r="S21" s="371">
        <f>R21/E21</f>
        <v>1.2931034482758621E-2</v>
      </c>
      <c r="T21" s="316"/>
      <c r="U21" s="376">
        <f t="shared" si="0"/>
        <v>232</v>
      </c>
      <c r="V21" s="379">
        <f t="shared" si="1"/>
        <v>1.0000000000000002</v>
      </c>
    </row>
    <row r="22" spans="2:22" ht="20.5" x14ac:dyDescent="0.25">
      <c r="B22" s="238">
        <v>9257016</v>
      </c>
      <c r="C22" s="455" t="s">
        <v>219</v>
      </c>
      <c r="D22" s="365" t="s">
        <v>1181</v>
      </c>
      <c r="E22" s="453">
        <v>152</v>
      </c>
      <c r="F22" s="369">
        <v>32</v>
      </c>
      <c r="G22" s="368">
        <f>F22/E22</f>
        <v>0.21052631578947367</v>
      </c>
      <c r="H22" s="369">
        <v>21</v>
      </c>
      <c r="I22" s="368">
        <f>H22/E22</f>
        <v>0.13815789473684212</v>
      </c>
      <c r="J22" s="369">
        <v>1</v>
      </c>
      <c r="K22" s="368">
        <f>J22/E22</f>
        <v>6.5789473684210523E-3</v>
      </c>
      <c r="L22" s="369">
        <v>33</v>
      </c>
      <c r="M22" s="368">
        <f>L22/E22</f>
        <v>0.21710526315789475</v>
      </c>
      <c r="N22" s="370">
        <v>30</v>
      </c>
      <c r="O22" s="371">
        <f>N22/E22</f>
        <v>0.19736842105263158</v>
      </c>
      <c r="P22" s="369">
        <v>1</v>
      </c>
      <c r="Q22" s="368">
        <f>P22/E22</f>
        <v>6.5789473684210523E-3</v>
      </c>
      <c r="R22" s="370">
        <v>34</v>
      </c>
      <c r="S22" s="371">
        <f>R22/E22</f>
        <v>0.22368421052631579</v>
      </c>
      <c r="T22" s="316"/>
      <c r="U22" s="376">
        <f t="shared" si="0"/>
        <v>152</v>
      </c>
      <c r="V22" s="379">
        <f t="shared" si="1"/>
        <v>1</v>
      </c>
    </row>
    <row r="24" spans="2:22" x14ac:dyDescent="0.25">
      <c r="B24" s="316"/>
      <c r="C24" s="316"/>
      <c r="D24" s="316"/>
      <c r="E24" s="376">
        <f>SUM(E5:E23)</f>
        <v>1564</v>
      </c>
      <c r="F24" s="316"/>
      <c r="G24" s="316"/>
      <c r="H24" s="316"/>
      <c r="I24" s="316"/>
      <c r="J24" s="316"/>
      <c r="K24" s="316"/>
      <c r="L24" s="316"/>
      <c r="M24" s="316"/>
      <c r="N24" s="316"/>
      <c r="O24" s="316"/>
      <c r="P24" s="316"/>
      <c r="Q24" s="316"/>
      <c r="R24" s="316"/>
      <c r="S24" s="316"/>
      <c r="T24" s="316"/>
      <c r="U24" s="376">
        <f>SUM(U5:U23)</f>
        <v>1564</v>
      </c>
      <c r="V24" s="316"/>
    </row>
    <row r="26" spans="2:22" ht="13" x14ac:dyDescent="0.3">
      <c r="B26" s="454" t="s">
        <v>1198</v>
      </c>
      <c r="C26" s="316"/>
      <c r="D26" s="316"/>
      <c r="E26" s="316"/>
      <c r="F26" s="316"/>
      <c r="G26" s="316"/>
      <c r="H26" s="316"/>
      <c r="I26" s="316"/>
      <c r="J26" s="316"/>
      <c r="K26" s="316"/>
      <c r="L26" s="316"/>
      <c r="M26" s="316"/>
      <c r="N26" s="316"/>
      <c r="O26" s="316"/>
      <c r="P26" s="316"/>
      <c r="Q26" s="316"/>
      <c r="R26" s="316"/>
      <c r="S26" s="316"/>
      <c r="T26" s="316"/>
      <c r="U26" s="316"/>
      <c r="V26" s="316"/>
    </row>
    <row r="28" spans="2:22" ht="21" x14ac:dyDescent="0.25">
      <c r="B28" s="316"/>
      <c r="C28" s="357" t="s">
        <v>183</v>
      </c>
      <c r="D28" s="358" t="s">
        <v>184</v>
      </c>
      <c r="E28" s="359" t="s">
        <v>792</v>
      </c>
      <c r="F28" s="360" t="s">
        <v>735</v>
      </c>
      <c r="G28" s="361" t="s">
        <v>901</v>
      </c>
      <c r="H28" s="360" t="s">
        <v>736</v>
      </c>
      <c r="I28" s="361" t="s">
        <v>920</v>
      </c>
      <c r="J28" s="360" t="s">
        <v>737</v>
      </c>
      <c r="K28" s="361" t="s">
        <v>921</v>
      </c>
      <c r="L28" s="360" t="s">
        <v>738</v>
      </c>
      <c r="M28" s="361" t="s">
        <v>922</v>
      </c>
      <c r="N28" s="362" t="s">
        <v>739</v>
      </c>
      <c r="O28" s="363" t="s">
        <v>923</v>
      </c>
      <c r="P28" s="360" t="s">
        <v>741</v>
      </c>
      <c r="Q28" s="361" t="s">
        <v>924</v>
      </c>
      <c r="R28" s="362" t="s">
        <v>743</v>
      </c>
      <c r="S28" s="363" t="s">
        <v>925</v>
      </c>
      <c r="T28" s="316"/>
      <c r="U28" s="316"/>
      <c r="V28" s="316"/>
    </row>
    <row r="29" spans="2:22" ht="20.5" x14ac:dyDescent="0.25">
      <c r="B29" s="316"/>
      <c r="C29" s="447" t="s">
        <v>205</v>
      </c>
      <c r="D29" s="365">
        <v>3</v>
      </c>
      <c r="E29" s="366">
        <f t="shared" ref="E29:E37" si="3">F29+H29+J29+L29+N29+P29+R29</f>
        <v>60</v>
      </c>
      <c r="F29" s="367">
        <v>3</v>
      </c>
      <c r="G29" s="368">
        <f>F29/E29</f>
        <v>0.05</v>
      </c>
      <c r="H29" s="369">
        <v>21</v>
      </c>
      <c r="I29" s="368">
        <f>H29/E29</f>
        <v>0.35</v>
      </c>
      <c r="J29" s="369">
        <v>4</v>
      </c>
      <c r="K29" s="368">
        <f>J29/E29</f>
        <v>6.6666666666666666E-2</v>
      </c>
      <c r="L29" s="369">
        <v>9</v>
      </c>
      <c r="M29" s="368">
        <f>L29/E29</f>
        <v>0.15</v>
      </c>
      <c r="N29" s="370">
        <v>3</v>
      </c>
      <c r="O29" s="371">
        <f>N29/E29</f>
        <v>0.05</v>
      </c>
      <c r="P29" s="369">
        <v>13</v>
      </c>
      <c r="Q29" s="368">
        <f>P29/E29</f>
        <v>0.21666666666666667</v>
      </c>
      <c r="R29" s="370">
        <v>7</v>
      </c>
      <c r="S29" s="371">
        <f>R29/E29</f>
        <v>0.11666666666666667</v>
      </c>
      <c r="T29" s="316"/>
      <c r="U29" s="316"/>
      <c r="V29" s="316"/>
    </row>
    <row r="30" spans="2:22" ht="20.5" x14ac:dyDescent="0.25">
      <c r="B30" s="316"/>
      <c r="C30" s="447" t="s">
        <v>208</v>
      </c>
      <c r="D30" s="365">
        <v>3</v>
      </c>
      <c r="E30" s="366">
        <f t="shared" si="3"/>
        <v>74</v>
      </c>
      <c r="F30" s="367">
        <v>8</v>
      </c>
      <c r="G30" s="368">
        <f>F30/E30</f>
        <v>0.10810810810810811</v>
      </c>
      <c r="H30" s="369">
        <v>17</v>
      </c>
      <c r="I30" s="368">
        <f>H30/E30</f>
        <v>0.22972972972972974</v>
      </c>
      <c r="J30" s="369">
        <v>9</v>
      </c>
      <c r="K30" s="368">
        <f>J30/E30</f>
        <v>0.12162162162162163</v>
      </c>
      <c r="L30" s="369">
        <v>11</v>
      </c>
      <c r="M30" s="368">
        <f>L30/E30</f>
        <v>0.14864864864864866</v>
      </c>
      <c r="N30" s="370">
        <v>10</v>
      </c>
      <c r="O30" s="371">
        <f>N30/E30</f>
        <v>0.13513513513513514</v>
      </c>
      <c r="P30" s="369">
        <v>13</v>
      </c>
      <c r="Q30" s="368">
        <f>P30/E30</f>
        <v>0.17567567567567569</v>
      </c>
      <c r="R30" s="370">
        <v>6</v>
      </c>
      <c r="S30" s="371">
        <f>R30/E30</f>
        <v>8.1081081081081086E-2</v>
      </c>
      <c r="T30" s="316"/>
      <c r="U30" s="316"/>
      <c r="V30" s="316"/>
    </row>
    <row r="31" spans="2:22" ht="20.5" x14ac:dyDescent="0.25">
      <c r="B31" s="316"/>
      <c r="C31" s="447" t="s">
        <v>209</v>
      </c>
      <c r="D31" s="365">
        <v>3</v>
      </c>
      <c r="E31" s="366">
        <f t="shared" si="3"/>
        <v>74</v>
      </c>
      <c r="F31" s="367">
        <v>17</v>
      </c>
      <c r="G31" s="368">
        <f>F31/E31</f>
        <v>0.22972972972972974</v>
      </c>
      <c r="H31" s="369">
        <v>22</v>
      </c>
      <c r="I31" s="368">
        <f>H31/E31</f>
        <v>0.29729729729729731</v>
      </c>
      <c r="J31" s="369">
        <v>9</v>
      </c>
      <c r="K31" s="368">
        <f>J31/E31</f>
        <v>0.12162162162162163</v>
      </c>
      <c r="L31" s="369">
        <v>9</v>
      </c>
      <c r="M31" s="368">
        <f>L31/E31</f>
        <v>0.12162162162162163</v>
      </c>
      <c r="N31" s="370">
        <v>6</v>
      </c>
      <c r="O31" s="371">
        <f>N31/E31</f>
        <v>8.1081081081081086E-2</v>
      </c>
      <c r="P31" s="369">
        <v>8</v>
      </c>
      <c r="Q31" s="368">
        <f>P31/E31</f>
        <v>0.10810810810810811</v>
      </c>
      <c r="R31" s="370">
        <v>3</v>
      </c>
      <c r="S31" s="371">
        <f>R31/E31</f>
        <v>4.0540540540540543E-2</v>
      </c>
      <c r="T31" s="316"/>
      <c r="U31" s="316"/>
      <c r="V31" s="316"/>
    </row>
    <row r="32" spans="2:22" ht="20.5" x14ac:dyDescent="0.25">
      <c r="B32" s="316"/>
      <c r="C32" s="447" t="s">
        <v>210</v>
      </c>
      <c r="D32" s="365">
        <v>3</v>
      </c>
      <c r="E32" s="366">
        <f t="shared" si="3"/>
        <v>55</v>
      </c>
      <c r="F32" s="367">
        <v>4</v>
      </c>
      <c r="G32" s="368">
        <f>F32/E32</f>
        <v>7.2727272727272724E-2</v>
      </c>
      <c r="H32" s="369">
        <v>15</v>
      </c>
      <c r="I32" s="368">
        <f>H32/E32</f>
        <v>0.27272727272727271</v>
      </c>
      <c r="J32" s="369">
        <v>2</v>
      </c>
      <c r="K32" s="368">
        <f>J32/E32</f>
        <v>3.6363636363636362E-2</v>
      </c>
      <c r="L32" s="369">
        <v>13</v>
      </c>
      <c r="M32" s="368">
        <f>L32/E32</f>
        <v>0.23636363636363636</v>
      </c>
      <c r="N32" s="370">
        <v>8</v>
      </c>
      <c r="O32" s="371">
        <f>N32/E32</f>
        <v>0.14545454545454545</v>
      </c>
      <c r="P32" s="369">
        <v>8</v>
      </c>
      <c r="Q32" s="368">
        <f>P32/E32</f>
        <v>0.14545454545454545</v>
      </c>
      <c r="R32" s="370">
        <v>5</v>
      </c>
      <c r="S32" s="371">
        <f>R32/E32</f>
        <v>9.0909090909090912E-2</v>
      </c>
      <c r="T32" s="316"/>
      <c r="U32" s="316"/>
      <c r="V32" s="316"/>
    </row>
    <row r="33" spans="2:19" ht="20.5" x14ac:dyDescent="0.25">
      <c r="B33" s="316"/>
      <c r="C33" s="447" t="s">
        <v>211</v>
      </c>
      <c r="D33" s="365">
        <v>3</v>
      </c>
      <c r="E33" s="366">
        <f t="shared" si="3"/>
        <v>82</v>
      </c>
      <c r="F33" s="369">
        <v>9</v>
      </c>
      <c r="G33" s="368">
        <f>F33/E33</f>
        <v>0.10975609756097561</v>
      </c>
      <c r="H33" s="369">
        <v>34</v>
      </c>
      <c r="I33" s="368">
        <f>H33/E33</f>
        <v>0.41463414634146339</v>
      </c>
      <c r="J33" s="369">
        <v>2</v>
      </c>
      <c r="K33" s="368">
        <f>J33/E33</f>
        <v>2.4390243902439025E-2</v>
      </c>
      <c r="L33" s="369">
        <v>11</v>
      </c>
      <c r="M33" s="368">
        <f>L33/E33</f>
        <v>0.13414634146341464</v>
      </c>
      <c r="N33" s="370">
        <v>10</v>
      </c>
      <c r="O33" s="371">
        <f>N33/E33</f>
        <v>0.12195121951219512</v>
      </c>
      <c r="P33" s="369">
        <v>6</v>
      </c>
      <c r="Q33" s="368">
        <f>P33/E33</f>
        <v>7.3170731707317069E-2</v>
      </c>
      <c r="R33" s="370">
        <v>10</v>
      </c>
      <c r="S33" s="371">
        <f>R33/E33</f>
        <v>0.12195121951219512</v>
      </c>
    </row>
    <row r="34" spans="2:19" x14ac:dyDescent="0.25">
      <c r="B34" s="316"/>
      <c r="C34" s="447" t="s">
        <v>257</v>
      </c>
      <c r="D34" s="365">
        <v>3</v>
      </c>
      <c r="E34" s="366">
        <f t="shared" si="3"/>
        <v>0</v>
      </c>
      <c r="F34" s="369">
        <v>0</v>
      </c>
      <c r="G34" s="368">
        <v>0</v>
      </c>
      <c r="H34" s="369">
        <v>0</v>
      </c>
      <c r="I34" s="368">
        <v>0</v>
      </c>
      <c r="J34" s="369">
        <v>0</v>
      </c>
      <c r="K34" s="368">
        <v>1</v>
      </c>
      <c r="L34" s="369">
        <v>0</v>
      </c>
      <c r="M34" s="368">
        <v>0</v>
      </c>
      <c r="N34" s="370">
        <v>0</v>
      </c>
      <c r="O34" s="371">
        <v>0</v>
      </c>
      <c r="P34" s="369">
        <v>0</v>
      </c>
      <c r="Q34" s="368">
        <v>0</v>
      </c>
      <c r="R34" s="370">
        <v>0</v>
      </c>
      <c r="S34" s="371">
        <v>0</v>
      </c>
    </row>
    <row r="35" spans="2:19" ht="20.5" x14ac:dyDescent="0.25">
      <c r="B35" s="316"/>
      <c r="C35" s="447" t="s">
        <v>220</v>
      </c>
      <c r="D35" s="365">
        <v>3</v>
      </c>
      <c r="E35" s="366">
        <f t="shared" si="3"/>
        <v>88</v>
      </c>
      <c r="F35" s="369">
        <v>18</v>
      </c>
      <c r="G35" s="368">
        <f>F35/E35</f>
        <v>0.20454545454545456</v>
      </c>
      <c r="H35" s="369">
        <v>25</v>
      </c>
      <c r="I35" s="368">
        <f>H35/E35</f>
        <v>0.28409090909090912</v>
      </c>
      <c r="J35" s="369">
        <v>17</v>
      </c>
      <c r="K35" s="368">
        <f>J35/E35</f>
        <v>0.19318181818181818</v>
      </c>
      <c r="L35" s="372">
        <v>15</v>
      </c>
      <c r="M35" s="368">
        <f>L35/E35</f>
        <v>0.17045454545454544</v>
      </c>
      <c r="N35" s="370">
        <v>7</v>
      </c>
      <c r="O35" s="371">
        <f>N35/E35</f>
        <v>7.9545454545454544E-2</v>
      </c>
      <c r="P35" s="372">
        <v>6</v>
      </c>
      <c r="Q35" s="368">
        <f>P35/E35</f>
        <v>6.8181818181818177E-2</v>
      </c>
      <c r="R35" s="370">
        <v>0</v>
      </c>
      <c r="S35" s="371">
        <f>R35/E35</f>
        <v>0</v>
      </c>
    </row>
    <row r="36" spans="2:19" ht="20.5" x14ac:dyDescent="0.25">
      <c r="B36" s="316"/>
      <c r="C36" s="447" t="s">
        <v>212</v>
      </c>
      <c r="D36" s="365">
        <v>3</v>
      </c>
      <c r="E36" s="366">
        <f t="shared" si="3"/>
        <v>95</v>
      </c>
      <c r="F36" s="369">
        <v>6</v>
      </c>
      <c r="G36" s="368">
        <f>F36/E36</f>
        <v>6.3157894736842107E-2</v>
      </c>
      <c r="H36" s="369">
        <v>55</v>
      </c>
      <c r="I36" s="368">
        <f>H36/E36</f>
        <v>0.57894736842105265</v>
      </c>
      <c r="J36" s="369">
        <v>10</v>
      </c>
      <c r="K36" s="368">
        <f>J36/E36</f>
        <v>0.10526315789473684</v>
      </c>
      <c r="L36" s="369">
        <v>5</v>
      </c>
      <c r="M36" s="368">
        <f>L36/E36</f>
        <v>5.2631578947368418E-2</v>
      </c>
      <c r="N36" s="373">
        <v>1</v>
      </c>
      <c r="O36" s="371">
        <f>N36/E36</f>
        <v>1.0526315789473684E-2</v>
      </c>
      <c r="P36" s="369">
        <v>18</v>
      </c>
      <c r="Q36" s="368">
        <f>P36/E36</f>
        <v>0.18947368421052632</v>
      </c>
      <c r="R36" s="373">
        <v>0</v>
      </c>
      <c r="S36" s="371">
        <f>R36/E36</f>
        <v>0</v>
      </c>
    </row>
    <row r="37" spans="2:19" ht="20.5" x14ac:dyDescent="0.25">
      <c r="B37" s="316"/>
      <c r="C37" s="447" t="s">
        <v>221</v>
      </c>
      <c r="D37" s="365">
        <v>4</v>
      </c>
      <c r="E37" s="366">
        <f t="shared" si="3"/>
        <v>112</v>
      </c>
      <c r="F37" s="369">
        <v>47</v>
      </c>
      <c r="G37" s="368">
        <f>F37/E37</f>
        <v>0.41964285714285715</v>
      </c>
      <c r="H37" s="369">
        <v>30</v>
      </c>
      <c r="I37" s="368">
        <f>H37/E37</f>
        <v>0.26785714285714285</v>
      </c>
      <c r="J37" s="369">
        <v>20</v>
      </c>
      <c r="K37" s="368">
        <f>J37/E37</f>
        <v>0.17857142857142858</v>
      </c>
      <c r="L37" s="369">
        <v>5</v>
      </c>
      <c r="M37" s="368">
        <f>L37/E37</f>
        <v>4.4642857142857144E-2</v>
      </c>
      <c r="N37" s="370">
        <v>4</v>
      </c>
      <c r="O37" s="371">
        <f>N37/E37</f>
        <v>3.5714285714285712E-2</v>
      </c>
      <c r="P37" s="369">
        <v>5</v>
      </c>
      <c r="Q37" s="368">
        <f>P37/E37</f>
        <v>4.4642857142857144E-2</v>
      </c>
      <c r="R37" s="370">
        <v>1</v>
      </c>
      <c r="S37" s="371">
        <f>R37/E37</f>
        <v>8.9285714285714281E-3</v>
      </c>
    </row>
    <row r="38" spans="2:19" ht="20.5" x14ac:dyDescent="0.25">
      <c r="B38" s="316"/>
      <c r="C38" s="447" t="s">
        <v>213</v>
      </c>
      <c r="D38" s="365">
        <v>4</v>
      </c>
      <c r="E38" s="366">
        <f>F38+H38+J38+L38+N38+P38+R38</f>
        <v>144</v>
      </c>
      <c r="F38" s="369">
        <v>67</v>
      </c>
      <c r="G38" s="368">
        <f>F38/E38</f>
        <v>0.46527777777777779</v>
      </c>
      <c r="H38" s="369">
        <v>24</v>
      </c>
      <c r="I38" s="368">
        <f>H38/E38</f>
        <v>0.16666666666666666</v>
      </c>
      <c r="J38" s="369">
        <v>27</v>
      </c>
      <c r="K38" s="368">
        <f>J38/E38</f>
        <v>0.1875</v>
      </c>
      <c r="L38" s="369">
        <v>2</v>
      </c>
      <c r="M38" s="368">
        <f>L38/E38</f>
        <v>1.3888888888888888E-2</v>
      </c>
      <c r="N38" s="370">
        <v>7</v>
      </c>
      <c r="O38" s="371">
        <f>N38/E38</f>
        <v>4.8611111111111112E-2</v>
      </c>
      <c r="P38" s="369">
        <v>16</v>
      </c>
      <c r="Q38" s="368">
        <f>P38/E38</f>
        <v>0.1111111111111111</v>
      </c>
      <c r="R38" s="370">
        <v>1</v>
      </c>
      <c r="S38" s="371">
        <f>R38/E38</f>
        <v>6.9444444444444441E-3</v>
      </c>
    </row>
    <row r="39" spans="2:19" ht="20.5" x14ac:dyDescent="0.25">
      <c r="B39" s="316"/>
      <c r="C39" s="447" t="s">
        <v>214</v>
      </c>
      <c r="D39" s="365">
        <v>4</v>
      </c>
      <c r="E39" s="366">
        <f t="shared" ref="E39:E46" si="4">F39+H39+J39+L39+N39+P39+R39</f>
        <v>134</v>
      </c>
      <c r="F39" s="369">
        <v>24</v>
      </c>
      <c r="G39" s="368">
        <f>F39/E39</f>
        <v>0.17910447761194029</v>
      </c>
      <c r="H39" s="369">
        <v>68</v>
      </c>
      <c r="I39" s="368">
        <f>H39/E39</f>
        <v>0.5074626865671642</v>
      </c>
      <c r="J39" s="369">
        <v>16</v>
      </c>
      <c r="K39" s="368">
        <f>J39/E39</f>
        <v>0.11940298507462686</v>
      </c>
      <c r="L39" s="369">
        <v>2</v>
      </c>
      <c r="M39" s="368">
        <f>L39/E39</f>
        <v>1.4925373134328358E-2</v>
      </c>
      <c r="N39" s="370">
        <v>5</v>
      </c>
      <c r="O39" s="371">
        <f>N39/E39</f>
        <v>3.7313432835820892E-2</v>
      </c>
      <c r="P39" s="369">
        <v>19</v>
      </c>
      <c r="Q39" s="368">
        <f>P39/E39</f>
        <v>0.1417910447761194</v>
      </c>
      <c r="R39" s="370">
        <v>0</v>
      </c>
      <c r="S39" s="371">
        <f>R39/E39</f>
        <v>0</v>
      </c>
    </row>
    <row r="40" spans="2:19" ht="20.5" x14ac:dyDescent="0.25">
      <c r="B40" s="316"/>
      <c r="C40" s="447" t="s">
        <v>890</v>
      </c>
      <c r="D40" s="365">
        <v>4</v>
      </c>
      <c r="E40" s="366">
        <f t="shared" si="4"/>
        <v>0</v>
      </c>
      <c r="F40" s="369">
        <v>0</v>
      </c>
      <c r="G40" s="368">
        <v>0</v>
      </c>
      <c r="H40" s="369">
        <v>0</v>
      </c>
      <c r="I40" s="368">
        <v>0</v>
      </c>
      <c r="J40" s="369">
        <v>0</v>
      </c>
      <c r="K40" s="368">
        <v>1</v>
      </c>
      <c r="L40" s="369">
        <v>0</v>
      </c>
      <c r="M40" s="368">
        <v>0</v>
      </c>
      <c r="N40" s="370">
        <v>0</v>
      </c>
      <c r="O40" s="371">
        <v>0</v>
      </c>
      <c r="P40" s="369">
        <v>0</v>
      </c>
      <c r="Q40" s="368">
        <v>0</v>
      </c>
      <c r="R40" s="370">
        <v>0</v>
      </c>
      <c r="S40" s="371">
        <v>0</v>
      </c>
    </row>
    <row r="41" spans="2:19" x14ac:dyDescent="0.25">
      <c r="B41" s="316"/>
      <c r="C41" s="447" t="s">
        <v>813</v>
      </c>
      <c r="D41" s="365">
        <v>4</v>
      </c>
      <c r="E41" s="366">
        <f t="shared" si="4"/>
        <v>0</v>
      </c>
      <c r="F41" s="369">
        <v>0</v>
      </c>
      <c r="G41" s="368">
        <v>0</v>
      </c>
      <c r="H41" s="369">
        <v>0</v>
      </c>
      <c r="I41" s="368">
        <v>0</v>
      </c>
      <c r="J41" s="369">
        <v>0</v>
      </c>
      <c r="K41" s="368">
        <v>1</v>
      </c>
      <c r="L41" s="369">
        <v>0</v>
      </c>
      <c r="M41" s="368">
        <v>0</v>
      </c>
      <c r="N41" s="370">
        <v>0</v>
      </c>
      <c r="O41" s="371">
        <v>0</v>
      </c>
      <c r="P41" s="369">
        <v>0</v>
      </c>
      <c r="Q41" s="368">
        <v>0</v>
      </c>
      <c r="R41" s="370">
        <v>0</v>
      </c>
      <c r="S41" s="371">
        <v>0</v>
      </c>
    </row>
    <row r="42" spans="2:19" ht="20.5" x14ac:dyDescent="0.25">
      <c r="B42" s="316"/>
      <c r="C42" s="447" t="s">
        <v>815</v>
      </c>
      <c r="D42" s="365">
        <v>4</v>
      </c>
      <c r="E42" s="366">
        <f t="shared" si="4"/>
        <v>0</v>
      </c>
      <c r="F42" s="367">
        <v>0</v>
      </c>
      <c r="G42" s="368">
        <v>0</v>
      </c>
      <c r="H42" s="369">
        <v>0</v>
      </c>
      <c r="I42" s="368">
        <v>0</v>
      </c>
      <c r="J42" s="369">
        <v>0</v>
      </c>
      <c r="K42" s="368">
        <v>1</v>
      </c>
      <c r="L42" s="369">
        <v>0</v>
      </c>
      <c r="M42" s="368">
        <v>0</v>
      </c>
      <c r="N42" s="370">
        <v>0</v>
      </c>
      <c r="O42" s="371">
        <v>0</v>
      </c>
      <c r="P42" s="369">
        <v>0</v>
      </c>
      <c r="Q42" s="368">
        <v>0</v>
      </c>
      <c r="R42" s="370">
        <v>0</v>
      </c>
      <c r="S42" s="371">
        <v>0</v>
      </c>
    </row>
    <row r="43" spans="2:19" ht="20.5" x14ac:dyDescent="0.25">
      <c r="B43" s="316"/>
      <c r="C43" s="447" t="s">
        <v>215</v>
      </c>
      <c r="D43" s="365">
        <v>4</v>
      </c>
      <c r="E43" s="366">
        <f t="shared" si="4"/>
        <v>86</v>
      </c>
      <c r="F43" s="369">
        <v>6</v>
      </c>
      <c r="G43" s="368">
        <f>F43/E43</f>
        <v>6.9767441860465115E-2</v>
      </c>
      <c r="H43" s="367">
        <v>24</v>
      </c>
      <c r="I43" s="368">
        <f>H43/E43</f>
        <v>0.27906976744186046</v>
      </c>
      <c r="J43" s="367">
        <v>3</v>
      </c>
      <c r="K43" s="368">
        <f>J43/E43</f>
        <v>3.4883720930232558E-2</v>
      </c>
      <c r="L43" s="367">
        <v>11</v>
      </c>
      <c r="M43" s="368">
        <f>L43/E43</f>
        <v>0.12790697674418605</v>
      </c>
      <c r="N43" s="370">
        <v>16</v>
      </c>
      <c r="O43" s="371">
        <f>N43/E43</f>
        <v>0.18604651162790697</v>
      </c>
      <c r="P43" s="367">
        <v>14</v>
      </c>
      <c r="Q43" s="368">
        <f>P43/E43</f>
        <v>0.16279069767441862</v>
      </c>
      <c r="R43" s="370">
        <v>12</v>
      </c>
      <c r="S43" s="371">
        <f>R43/E43</f>
        <v>0.13953488372093023</v>
      </c>
    </row>
    <row r="44" spans="2:19" ht="20.5" x14ac:dyDescent="0.25">
      <c r="B44" s="316"/>
      <c r="C44" s="447" t="s">
        <v>216</v>
      </c>
      <c r="D44" s="365">
        <v>5</v>
      </c>
      <c r="E44" s="366">
        <f t="shared" si="4"/>
        <v>162</v>
      </c>
      <c r="F44" s="369">
        <v>45</v>
      </c>
      <c r="G44" s="368">
        <f>F44/E44</f>
        <v>0.27777777777777779</v>
      </c>
      <c r="H44" s="369">
        <v>57</v>
      </c>
      <c r="I44" s="368">
        <f>H44/E44</f>
        <v>0.35185185185185186</v>
      </c>
      <c r="J44" s="369">
        <v>16</v>
      </c>
      <c r="K44" s="368">
        <f>J44/E44</f>
        <v>9.8765432098765427E-2</v>
      </c>
      <c r="L44" s="369">
        <v>7</v>
      </c>
      <c r="M44" s="368">
        <f>L44/E44</f>
        <v>4.3209876543209874E-2</v>
      </c>
      <c r="N44" s="370">
        <v>12</v>
      </c>
      <c r="O44" s="371">
        <f>N44/E44</f>
        <v>7.407407407407407E-2</v>
      </c>
      <c r="P44" s="369">
        <v>24</v>
      </c>
      <c r="Q44" s="368">
        <f>P44/E44</f>
        <v>0.14814814814814814</v>
      </c>
      <c r="R44" s="370">
        <v>1</v>
      </c>
      <c r="S44" s="371">
        <f>R44/E44</f>
        <v>6.1728395061728392E-3</v>
      </c>
    </row>
    <row r="45" spans="2:19" ht="20.5" x14ac:dyDescent="0.25">
      <c r="B45" s="316"/>
      <c r="C45" s="447" t="s">
        <v>217</v>
      </c>
      <c r="D45" s="365">
        <v>5</v>
      </c>
      <c r="E45" s="366">
        <f t="shared" si="4"/>
        <v>237</v>
      </c>
      <c r="F45" s="369">
        <v>102</v>
      </c>
      <c r="G45" s="368">
        <f>F45/E45</f>
        <v>0.43037974683544306</v>
      </c>
      <c r="H45" s="369">
        <v>64</v>
      </c>
      <c r="I45" s="368">
        <f>H45/E45</f>
        <v>0.27004219409282698</v>
      </c>
      <c r="J45" s="369">
        <v>7</v>
      </c>
      <c r="K45" s="368">
        <f>J45/E45</f>
        <v>2.9535864978902954E-2</v>
      </c>
      <c r="L45" s="369">
        <v>15</v>
      </c>
      <c r="M45" s="368">
        <f>L45/E45</f>
        <v>6.3291139240506333E-2</v>
      </c>
      <c r="N45" s="370">
        <v>14</v>
      </c>
      <c r="O45" s="371">
        <f>N45/E45</f>
        <v>5.9071729957805907E-2</v>
      </c>
      <c r="P45" s="369">
        <v>33</v>
      </c>
      <c r="Q45" s="368">
        <f>P45/E45</f>
        <v>0.13924050632911392</v>
      </c>
      <c r="R45" s="370">
        <v>2</v>
      </c>
      <c r="S45" s="371">
        <f>R45/E45</f>
        <v>8.4388185654008432E-3</v>
      </c>
    </row>
    <row r="46" spans="2:19" ht="20.5" x14ac:dyDescent="0.25">
      <c r="B46" s="316"/>
      <c r="C46" s="447" t="s">
        <v>219</v>
      </c>
      <c r="D46" s="365">
        <v>6</v>
      </c>
      <c r="E46" s="366">
        <f t="shared" si="4"/>
        <v>136</v>
      </c>
      <c r="F46" s="369">
        <v>23</v>
      </c>
      <c r="G46" s="368">
        <f>F46/E46</f>
        <v>0.16911764705882354</v>
      </c>
      <c r="H46" s="369">
        <v>16</v>
      </c>
      <c r="I46" s="368">
        <f>H46/E46</f>
        <v>0.11764705882352941</v>
      </c>
      <c r="J46" s="369">
        <v>1</v>
      </c>
      <c r="K46" s="368">
        <f>J46/E46</f>
        <v>7.3529411764705881E-3</v>
      </c>
      <c r="L46" s="369">
        <v>28</v>
      </c>
      <c r="M46" s="368">
        <f>L46/E46</f>
        <v>0.20588235294117646</v>
      </c>
      <c r="N46" s="370">
        <v>32</v>
      </c>
      <c r="O46" s="371">
        <f>N46/E46</f>
        <v>0.23529411764705882</v>
      </c>
      <c r="P46" s="369">
        <v>1</v>
      </c>
      <c r="Q46" s="368">
        <f>P46/E46</f>
        <v>7.3529411764705881E-3</v>
      </c>
      <c r="R46" s="370">
        <v>35</v>
      </c>
      <c r="S46" s="371">
        <f>R46/E46</f>
        <v>0.25735294117647056</v>
      </c>
    </row>
    <row r="48" spans="2:19" ht="13" x14ac:dyDescent="0.3">
      <c r="B48" s="458" t="s">
        <v>1199</v>
      </c>
      <c r="C48" s="316"/>
      <c r="D48" s="316"/>
      <c r="E48" s="316"/>
      <c r="F48" s="316"/>
      <c r="G48" s="316"/>
      <c r="H48" s="316"/>
      <c r="I48" s="316"/>
      <c r="J48" s="316"/>
      <c r="K48" s="316"/>
      <c r="L48" s="316"/>
      <c r="M48" s="316"/>
      <c r="N48" s="316"/>
      <c r="O48" s="316"/>
      <c r="P48" s="316"/>
      <c r="Q48" s="316"/>
      <c r="R48" s="316"/>
      <c r="S48" s="316"/>
    </row>
    <row r="50" spans="3:19" ht="21" x14ac:dyDescent="0.25">
      <c r="C50" s="357" t="s">
        <v>183</v>
      </c>
      <c r="D50" s="358" t="s">
        <v>184</v>
      </c>
      <c r="E50" s="359" t="s">
        <v>792</v>
      </c>
      <c r="F50" s="360" t="s">
        <v>735</v>
      </c>
      <c r="G50" s="361" t="s">
        <v>901</v>
      </c>
      <c r="H50" s="360" t="s">
        <v>736</v>
      </c>
      <c r="I50" s="361" t="s">
        <v>920</v>
      </c>
      <c r="J50" s="360" t="s">
        <v>737</v>
      </c>
      <c r="K50" s="361" t="s">
        <v>921</v>
      </c>
      <c r="L50" s="360" t="s">
        <v>738</v>
      </c>
      <c r="M50" s="361" t="s">
        <v>922</v>
      </c>
      <c r="N50" s="362" t="s">
        <v>739</v>
      </c>
      <c r="O50" s="363" t="s">
        <v>923</v>
      </c>
      <c r="P50" s="360" t="s">
        <v>741</v>
      </c>
      <c r="Q50" s="361" t="s">
        <v>924</v>
      </c>
      <c r="R50" s="362" t="s">
        <v>743</v>
      </c>
      <c r="S50" s="363" t="s">
        <v>925</v>
      </c>
    </row>
    <row r="51" spans="3:19" ht="20.5" x14ac:dyDescent="0.25">
      <c r="C51" s="364" t="s">
        <v>205</v>
      </c>
      <c r="D51" s="365">
        <v>3</v>
      </c>
      <c r="E51" s="366">
        <f t="shared" ref="E51:S51" si="5">E5-E29</f>
        <v>4</v>
      </c>
      <c r="F51" s="385">
        <f t="shared" si="5"/>
        <v>1</v>
      </c>
      <c r="G51" s="384">
        <f t="shared" si="5"/>
        <v>1.2499999999999997E-2</v>
      </c>
      <c r="H51" s="385">
        <f t="shared" si="5"/>
        <v>1</v>
      </c>
      <c r="I51" s="384">
        <f t="shared" si="5"/>
        <v>-6.2499999999999778E-3</v>
      </c>
      <c r="J51" s="385">
        <f t="shared" si="5"/>
        <v>0</v>
      </c>
      <c r="K51" s="384">
        <f t="shared" si="5"/>
        <v>-4.1666666666666657E-3</v>
      </c>
      <c r="L51" s="385">
        <f t="shared" si="5"/>
        <v>2</v>
      </c>
      <c r="M51" s="384">
        <f t="shared" si="5"/>
        <v>2.1875000000000006E-2</v>
      </c>
      <c r="N51" s="385">
        <f t="shared" si="5"/>
        <v>0</v>
      </c>
      <c r="O51" s="384">
        <f t="shared" si="5"/>
        <v>-3.1250000000000028E-3</v>
      </c>
      <c r="P51" s="385">
        <f t="shared" si="5"/>
        <v>-2</v>
      </c>
      <c r="Q51" s="384">
        <f t="shared" si="5"/>
        <v>-4.4791666666666674E-2</v>
      </c>
      <c r="R51" s="385">
        <f t="shared" si="5"/>
        <v>2</v>
      </c>
      <c r="S51" s="384">
        <f t="shared" si="5"/>
        <v>2.3958333333333331E-2</v>
      </c>
    </row>
    <row r="52" spans="3:19" ht="20.5" x14ac:dyDescent="0.25">
      <c r="C52" s="364" t="s">
        <v>208</v>
      </c>
      <c r="D52" s="365">
        <v>3</v>
      </c>
      <c r="E52" s="366">
        <f t="shared" ref="E52:G68" si="6">E6-E30</f>
        <v>2</v>
      </c>
      <c r="F52" s="385">
        <f t="shared" si="6"/>
        <v>-2</v>
      </c>
      <c r="G52" s="384">
        <f t="shared" si="6"/>
        <v>-2.9160739687055487E-2</v>
      </c>
      <c r="H52" s="385">
        <f t="shared" ref="H52:I68" si="7">H6-H30</f>
        <v>10</v>
      </c>
      <c r="I52" s="384">
        <f t="shared" si="7"/>
        <v>0.12553342816500709</v>
      </c>
      <c r="J52" s="385">
        <f t="shared" ref="J52:K68" si="8">J6-J30</f>
        <v>-4</v>
      </c>
      <c r="K52" s="384">
        <f t="shared" si="8"/>
        <v>-5.5832147937411106E-2</v>
      </c>
      <c r="L52" s="385">
        <f t="shared" ref="L52:M68" si="9">L6-L30</f>
        <v>0</v>
      </c>
      <c r="M52" s="384">
        <f t="shared" si="9"/>
        <v>-3.9118065433854932E-3</v>
      </c>
      <c r="N52" s="385">
        <f t="shared" ref="N52:O68" si="10">N6-N30</f>
        <v>1</v>
      </c>
      <c r="O52" s="384">
        <f t="shared" si="10"/>
        <v>9.6017069701280211E-3</v>
      </c>
      <c r="P52" s="385">
        <f t="shared" ref="P52:Q68" si="11">P6-P30</f>
        <v>-1</v>
      </c>
      <c r="Q52" s="384">
        <f t="shared" si="11"/>
        <v>-1.7780938833570431E-2</v>
      </c>
      <c r="R52" s="385">
        <f t="shared" ref="R52:S68" si="12">R6-R30</f>
        <v>-2</v>
      </c>
      <c r="S52" s="384">
        <f t="shared" si="12"/>
        <v>-2.8449502133712667E-2</v>
      </c>
    </row>
    <row r="53" spans="3:19" ht="20.5" x14ac:dyDescent="0.25">
      <c r="C53" s="364" t="s">
        <v>209</v>
      </c>
      <c r="D53" s="365">
        <v>3</v>
      </c>
      <c r="E53" s="366">
        <f t="shared" si="6"/>
        <v>0</v>
      </c>
      <c r="F53" s="385">
        <f t="shared" si="6"/>
        <v>-5</v>
      </c>
      <c r="G53" s="384">
        <f t="shared" si="6"/>
        <v>-6.7567567567567571E-2</v>
      </c>
      <c r="H53" s="385">
        <f t="shared" si="7"/>
        <v>4</v>
      </c>
      <c r="I53" s="384">
        <f t="shared" si="7"/>
        <v>5.4054054054054057E-2</v>
      </c>
      <c r="J53" s="385">
        <f t="shared" si="8"/>
        <v>-4</v>
      </c>
      <c r="K53" s="384">
        <f t="shared" si="8"/>
        <v>-5.4054054054054057E-2</v>
      </c>
      <c r="L53" s="385">
        <f t="shared" si="9"/>
        <v>4</v>
      </c>
      <c r="M53" s="384">
        <f t="shared" si="9"/>
        <v>5.4054054054054057E-2</v>
      </c>
      <c r="N53" s="385">
        <f t="shared" si="10"/>
        <v>-2</v>
      </c>
      <c r="O53" s="384">
        <f t="shared" si="10"/>
        <v>-2.7027027027027029E-2</v>
      </c>
      <c r="P53" s="385">
        <f t="shared" si="11"/>
        <v>2</v>
      </c>
      <c r="Q53" s="384">
        <f t="shared" si="11"/>
        <v>2.7027027027027029E-2</v>
      </c>
      <c r="R53" s="385">
        <f t="shared" si="12"/>
        <v>1</v>
      </c>
      <c r="S53" s="384">
        <f t="shared" si="12"/>
        <v>1.3513513513513514E-2</v>
      </c>
    </row>
    <row r="54" spans="3:19" ht="20.5" x14ac:dyDescent="0.25">
      <c r="C54" s="364" t="s">
        <v>210</v>
      </c>
      <c r="D54" s="365">
        <v>3</v>
      </c>
      <c r="E54" s="366">
        <f t="shared" si="6"/>
        <v>-2</v>
      </c>
      <c r="F54" s="385">
        <f t="shared" si="6"/>
        <v>-1</v>
      </c>
      <c r="G54" s="384">
        <f t="shared" si="6"/>
        <v>-1.6123499142367062E-2</v>
      </c>
      <c r="H54" s="385">
        <f t="shared" si="7"/>
        <v>2</v>
      </c>
      <c r="I54" s="384">
        <f t="shared" si="7"/>
        <v>4.8027444253859353E-2</v>
      </c>
      <c r="J54" s="385">
        <f t="shared" si="8"/>
        <v>0</v>
      </c>
      <c r="K54" s="384">
        <f t="shared" si="8"/>
        <v>1.3722126929674103E-3</v>
      </c>
      <c r="L54" s="385">
        <f t="shared" si="9"/>
        <v>-4</v>
      </c>
      <c r="M54" s="384">
        <f t="shared" si="9"/>
        <v>-6.6552315608919388E-2</v>
      </c>
      <c r="N54" s="385">
        <f t="shared" si="10"/>
        <v>1</v>
      </c>
      <c r="O54" s="384">
        <f t="shared" si="10"/>
        <v>2.4356775300171524E-2</v>
      </c>
      <c r="P54" s="385">
        <f t="shared" si="11"/>
        <v>0</v>
      </c>
      <c r="Q54" s="384">
        <f t="shared" si="11"/>
        <v>5.4888507718696411E-3</v>
      </c>
      <c r="R54" s="385">
        <f t="shared" si="12"/>
        <v>0</v>
      </c>
      <c r="S54" s="384">
        <f t="shared" si="12"/>
        <v>3.4305317324185292E-3</v>
      </c>
    </row>
    <row r="55" spans="3:19" ht="20.5" x14ac:dyDescent="0.25">
      <c r="C55" s="364" t="s">
        <v>211</v>
      </c>
      <c r="D55" s="365">
        <v>3</v>
      </c>
      <c r="E55" s="366">
        <f t="shared" si="6"/>
        <v>1</v>
      </c>
      <c r="F55" s="385">
        <f t="shared" si="6"/>
        <v>0</v>
      </c>
      <c r="G55" s="384">
        <f t="shared" si="6"/>
        <v>-1.3223626212165718E-3</v>
      </c>
      <c r="H55" s="385">
        <f t="shared" si="7"/>
        <v>2</v>
      </c>
      <c r="I55" s="384">
        <f t="shared" si="7"/>
        <v>1.9100793417572759E-2</v>
      </c>
      <c r="J55" s="385">
        <f t="shared" si="8"/>
        <v>0</v>
      </c>
      <c r="K55" s="384">
        <f t="shared" si="8"/>
        <v>-2.9385836027034928E-4</v>
      </c>
      <c r="L55" s="385">
        <f t="shared" si="9"/>
        <v>2</v>
      </c>
      <c r="M55" s="384">
        <f t="shared" si="9"/>
        <v>2.2480164560681748E-2</v>
      </c>
      <c r="N55" s="385">
        <f t="shared" si="10"/>
        <v>-1</v>
      </c>
      <c r="O55" s="384">
        <f t="shared" si="10"/>
        <v>-1.3517484572436081E-2</v>
      </c>
      <c r="P55" s="385">
        <f t="shared" si="11"/>
        <v>0</v>
      </c>
      <c r="Q55" s="384">
        <f t="shared" si="11"/>
        <v>-8.8157508081104785E-4</v>
      </c>
      <c r="R55" s="385">
        <f t="shared" si="12"/>
        <v>-2</v>
      </c>
      <c r="S55" s="384">
        <f t="shared" si="12"/>
        <v>-2.5565677343520415E-2</v>
      </c>
    </row>
    <row r="56" spans="3:19" x14ac:dyDescent="0.25">
      <c r="C56" s="364" t="s">
        <v>257</v>
      </c>
      <c r="D56" s="365">
        <v>3</v>
      </c>
      <c r="E56" s="366">
        <f t="shared" si="6"/>
        <v>0</v>
      </c>
      <c r="F56" s="385">
        <f t="shared" si="6"/>
        <v>0</v>
      </c>
      <c r="G56" s="384">
        <f t="shared" si="6"/>
        <v>0</v>
      </c>
      <c r="H56" s="385">
        <f t="shared" si="7"/>
        <v>0</v>
      </c>
      <c r="I56" s="384">
        <f t="shared" si="7"/>
        <v>0</v>
      </c>
      <c r="J56" s="385">
        <f t="shared" si="8"/>
        <v>0</v>
      </c>
      <c r="K56" s="384">
        <f t="shared" si="8"/>
        <v>0</v>
      </c>
      <c r="L56" s="385">
        <f t="shared" si="9"/>
        <v>0</v>
      </c>
      <c r="M56" s="384">
        <f t="shared" si="9"/>
        <v>0</v>
      </c>
      <c r="N56" s="385">
        <f t="shared" si="10"/>
        <v>0</v>
      </c>
      <c r="O56" s="384">
        <f t="shared" si="10"/>
        <v>0</v>
      </c>
      <c r="P56" s="385">
        <f t="shared" si="11"/>
        <v>0</v>
      </c>
      <c r="Q56" s="384">
        <f t="shared" si="11"/>
        <v>0</v>
      </c>
      <c r="R56" s="385">
        <f t="shared" si="12"/>
        <v>0</v>
      </c>
      <c r="S56" s="384">
        <f t="shared" si="12"/>
        <v>0</v>
      </c>
    </row>
    <row r="57" spans="3:19" ht="20.5" x14ac:dyDescent="0.25">
      <c r="C57" s="364" t="s">
        <v>220</v>
      </c>
      <c r="D57" s="365">
        <v>3</v>
      </c>
      <c r="E57" s="366">
        <f t="shared" si="6"/>
        <v>7</v>
      </c>
      <c r="F57" s="385">
        <f t="shared" si="6"/>
        <v>-1</v>
      </c>
      <c r="G57" s="384">
        <f t="shared" si="6"/>
        <v>-2.5598086124401925E-2</v>
      </c>
      <c r="H57" s="385">
        <f t="shared" si="7"/>
        <v>17</v>
      </c>
      <c r="I57" s="384">
        <f t="shared" si="7"/>
        <v>0.15801435406698561</v>
      </c>
      <c r="J57" s="385">
        <f t="shared" si="8"/>
        <v>-5</v>
      </c>
      <c r="K57" s="384">
        <f t="shared" si="8"/>
        <v>-6.6866028708133962E-2</v>
      </c>
      <c r="L57" s="385">
        <f t="shared" si="9"/>
        <v>0</v>
      </c>
      <c r="M57" s="384">
        <f t="shared" si="9"/>
        <v>-1.2559808612440188E-2</v>
      </c>
      <c r="N57" s="385">
        <f t="shared" si="10"/>
        <v>-3</v>
      </c>
      <c r="O57" s="384">
        <f t="shared" si="10"/>
        <v>-3.7440191387559808E-2</v>
      </c>
      <c r="P57" s="385">
        <f t="shared" si="11"/>
        <v>-1</v>
      </c>
      <c r="Q57" s="384">
        <f t="shared" si="11"/>
        <v>-1.5550239234449759E-2</v>
      </c>
      <c r="R57" s="385">
        <f t="shared" si="12"/>
        <v>0</v>
      </c>
      <c r="S57" s="384">
        <f t="shared" si="12"/>
        <v>0</v>
      </c>
    </row>
    <row r="58" spans="3:19" ht="20.5" x14ac:dyDescent="0.25">
      <c r="C58" s="364" t="s">
        <v>212</v>
      </c>
      <c r="D58" s="365">
        <v>3</v>
      </c>
      <c r="E58" s="366">
        <f t="shared" si="6"/>
        <v>2</v>
      </c>
      <c r="F58" s="385">
        <f t="shared" si="6"/>
        <v>4</v>
      </c>
      <c r="G58" s="384">
        <f t="shared" si="6"/>
        <v>3.9934888768312526E-2</v>
      </c>
      <c r="H58" s="385">
        <f t="shared" si="7"/>
        <v>-4</v>
      </c>
      <c r="I58" s="384">
        <f t="shared" si="7"/>
        <v>-5.3174172544763976E-2</v>
      </c>
      <c r="J58" s="385">
        <f t="shared" si="8"/>
        <v>-2</v>
      </c>
      <c r="K58" s="384">
        <f t="shared" si="8"/>
        <v>-2.2788931090613126E-2</v>
      </c>
      <c r="L58" s="385">
        <f t="shared" si="9"/>
        <v>4</v>
      </c>
      <c r="M58" s="384">
        <f t="shared" si="9"/>
        <v>4.0151926207270761E-2</v>
      </c>
      <c r="N58" s="385">
        <f t="shared" si="10"/>
        <v>0</v>
      </c>
      <c r="O58" s="384">
        <f t="shared" si="10"/>
        <v>-2.1703743895822025E-4</v>
      </c>
      <c r="P58" s="385">
        <f t="shared" si="11"/>
        <v>0</v>
      </c>
      <c r="Q58" s="384">
        <f t="shared" si="11"/>
        <v>-3.9066739012479645E-3</v>
      </c>
      <c r="R58" s="385">
        <f t="shared" si="12"/>
        <v>0</v>
      </c>
      <c r="S58" s="384">
        <f t="shared" si="12"/>
        <v>0</v>
      </c>
    </row>
    <row r="59" spans="3:19" ht="20.5" x14ac:dyDescent="0.25">
      <c r="C59" s="364" t="s">
        <v>221</v>
      </c>
      <c r="D59" s="365">
        <v>4</v>
      </c>
      <c r="E59" s="366">
        <f t="shared" si="6"/>
        <v>-3</v>
      </c>
      <c r="F59" s="385">
        <f t="shared" si="6"/>
        <v>-1</v>
      </c>
      <c r="G59" s="384">
        <f t="shared" si="6"/>
        <v>2.3754914809960836E-3</v>
      </c>
      <c r="H59" s="385">
        <f t="shared" si="7"/>
        <v>-1</v>
      </c>
      <c r="I59" s="384">
        <f t="shared" si="7"/>
        <v>-1.8020969855832014E-3</v>
      </c>
      <c r="J59" s="385">
        <f t="shared" si="8"/>
        <v>-3</v>
      </c>
      <c r="K59" s="384">
        <f t="shared" si="8"/>
        <v>-2.2608125819134989E-2</v>
      </c>
      <c r="L59" s="385">
        <f t="shared" si="9"/>
        <v>0</v>
      </c>
      <c r="M59" s="384">
        <f t="shared" si="9"/>
        <v>1.2287024901703816E-3</v>
      </c>
      <c r="N59" s="385">
        <f t="shared" si="10"/>
        <v>1</v>
      </c>
      <c r="O59" s="384">
        <f t="shared" si="10"/>
        <v>1.0157273918741813E-2</v>
      </c>
      <c r="P59" s="385">
        <f t="shared" si="11"/>
        <v>1</v>
      </c>
      <c r="Q59" s="384">
        <f t="shared" si="11"/>
        <v>1.0403014416775887E-2</v>
      </c>
      <c r="R59" s="385">
        <f t="shared" si="12"/>
        <v>0</v>
      </c>
      <c r="S59" s="384">
        <f t="shared" si="12"/>
        <v>2.4574049803407702E-4</v>
      </c>
    </row>
    <row r="60" spans="3:19" ht="20.5" x14ac:dyDescent="0.25">
      <c r="C60" s="364" t="s">
        <v>213</v>
      </c>
      <c r="D60" s="365">
        <v>4</v>
      </c>
      <c r="E60" s="366">
        <f t="shared" si="6"/>
        <v>-2</v>
      </c>
      <c r="F60" s="385">
        <f t="shared" si="6"/>
        <v>-6</v>
      </c>
      <c r="G60" s="384">
        <f t="shared" si="6"/>
        <v>-3.5700312989045413E-2</v>
      </c>
      <c r="H60" s="385">
        <f t="shared" si="7"/>
        <v>12</v>
      </c>
      <c r="I60" s="384">
        <f t="shared" si="7"/>
        <v>8.6854460093896718E-2</v>
      </c>
      <c r="J60" s="385">
        <f t="shared" si="8"/>
        <v>-5</v>
      </c>
      <c r="K60" s="384">
        <f t="shared" si="8"/>
        <v>-3.257042253521128E-2</v>
      </c>
      <c r="L60" s="385">
        <f t="shared" si="9"/>
        <v>1</v>
      </c>
      <c r="M60" s="384">
        <f t="shared" si="9"/>
        <v>7.2378716744913932E-3</v>
      </c>
      <c r="N60" s="385">
        <f t="shared" si="10"/>
        <v>-1</v>
      </c>
      <c r="O60" s="384">
        <f t="shared" si="10"/>
        <v>-6.3575899843505493E-3</v>
      </c>
      <c r="P60" s="385">
        <f t="shared" si="11"/>
        <v>-4</v>
      </c>
      <c r="Q60" s="384">
        <f t="shared" si="11"/>
        <v>-2.660406885758998E-2</v>
      </c>
      <c r="R60" s="385">
        <f t="shared" si="12"/>
        <v>1</v>
      </c>
      <c r="S60" s="384">
        <f t="shared" si="12"/>
        <v>7.1400625978090774E-3</v>
      </c>
    </row>
    <row r="61" spans="3:19" ht="20.5" x14ac:dyDescent="0.25">
      <c r="C61" s="364" t="s">
        <v>214</v>
      </c>
      <c r="D61" s="365">
        <v>4</v>
      </c>
      <c r="E61" s="366">
        <f t="shared" si="6"/>
        <v>-5</v>
      </c>
      <c r="F61" s="385">
        <f t="shared" si="6"/>
        <v>-2</v>
      </c>
      <c r="G61" s="384">
        <f t="shared" si="6"/>
        <v>-8.5618419530255618E-3</v>
      </c>
      <c r="H61" s="385">
        <f t="shared" si="7"/>
        <v>7</v>
      </c>
      <c r="I61" s="384">
        <f t="shared" si="7"/>
        <v>7.3932662270045135E-2</v>
      </c>
      <c r="J61" s="385">
        <f t="shared" si="8"/>
        <v>-5</v>
      </c>
      <c r="K61" s="384">
        <f t="shared" si="8"/>
        <v>-3.41316672451695E-2</v>
      </c>
      <c r="L61" s="385">
        <f t="shared" si="9"/>
        <v>0</v>
      </c>
      <c r="M61" s="384">
        <f t="shared" si="9"/>
        <v>5.7850283466388992E-4</v>
      </c>
      <c r="N61" s="385">
        <f t="shared" si="10"/>
        <v>-1</v>
      </c>
      <c r="O61" s="384">
        <f t="shared" si="10"/>
        <v>-6.3056808978363965E-3</v>
      </c>
      <c r="P61" s="385">
        <f t="shared" si="11"/>
        <v>-4</v>
      </c>
      <c r="Q61" s="384">
        <f t="shared" si="11"/>
        <v>-2.5511975008677537E-2</v>
      </c>
      <c r="R61" s="385">
        <f t="shared" si="12"/>
        <v>0</v>
      </c>
      <c r="S61" s="384">
        <f t="shared" si="12"/>
        <v>0</v>
      </c>
    </row>
    <row r="62" spans="3:19" ht="20.5" x14ac:dyDescent="0.25">
      <c r="C62" s="364" t="s">
        <v>259</v>
      </c>
      <c r="D62" s="365">
        <v>4</v>
      </c>
      <c r="E62" s="366">
        <f t="shared" si="6"/>
        <v>0</v>
      </c>
      <c r="F62" s="385">
        <f t="shared" si="6"/>
        <v>0</v>
      </c>
      <c r="G62" s="384">
        <f t="shared" si="6"/>
        <v>0</v>
      </c>
      <c r="H62" s="385">
        <f t="shared" si="7"/>
        <v>0</v>
      </c>
      <c r="I62" s="384">
        <f t="shared" si="7"/>
        <v>0</v>
      </c>
      <c r="J62" s="385">
        <f t="shared" si="8"/>
        <v>0</v>
      </c>
      <c r="K62" s="384">
        <f t="shared" si="8"/>
        <v>0</v>
      </c>
      <c r="L62" s="385">
        <f t="shared" si="9"/>
        <v>0</v>
      </c>
      <c r="M62" s="384">
        <f t="shared" si="9"/>
        <v>0</v>
      </c>
      <c r="N62" s="385">
        <f t="shared" si="10"/>
        <v>0</v>
      </c>
      <c r="O62" s="384">
        <f t="shared" si="10"/>
        <v>0</v>
      </c>
      <c r="P62" s="385">
        <f t="shared" si="11"/>
        <v>0</v>
      </c>
      <c r="Q62" s="384">
        <f t="shared" si="11"/>
        <v>0</v>
      </c>
      <c r="R62" s="385">
        <f t="shared" si="12"/>
        <v>0</v>
      </c>
      <c r="S62" s="384">
        <f t="shared" si="12"/>
        <v>0</v>
      </c>
    </row>
    <row r="63" spans="3:19" ht="20.5" x14ac:dyDescent="0.25">
      <c r="C63" s="364" t="s">
        <v>261</v>
      </c>
      <c r="D63" s="365">
        <v>4</v>
      </c>
      <c r="E63" s="366">
        <f t="shared" si="6"/>
        <v>0</v>
      </c>
      <c r="F63" s="385">
        <f t="shared" si="6"/>
        <v>0</v>
      </c>
      <c r="G63" s="384">
        <f t="shared" si="6"/>
        <v>0</v>
      </c>
      <c r="H63" s="385">
        <f t="shared" si="7"/>
        <v>0</v>
      </c>
      <c r="I63" s="384">
        <f t="shared" si="7"/>
        <v>0</v>
      </c>
      <c r="J63" s="385">
        <f t="shared" si="8"/>
        <v>0</v>
      </c>
      <c r="K63" s="384">
        <f t="shared" si="8"/>
        <v>0</v>
      </c>
      <c r="L63" s="385">
        <f t="shared" si="9"/>
        <v>0</v>
      </c>
      <c r="M63" s="384">
        <f t="shared" si="9"/>
        <v>0</v>
      </c>
      <c r="N63" s="385">
        <f t="shared" si="10"/>
        <v>0</v>
      </c>
      <c r="O63" s="384">
        <f t="shared" si="10"/>
        <v>0</v>
      </c>
      <c r="P63" s="385">
        <f t="shared" si="11"/>
        <v>0</v>
      </c>
      <c r="Q63" s="384">
        <f t="shared" si="11"/>
        <v>0</v>
      </c>
      <c r="R63" s="385">
        <f t="shared" si="12"/>
        <v>0</v>
      </c>
      <c r="S63" s="384">
        <f t="shared" si="12"/>
        <v>0</v>
      </c>
    </row>
    <row r="64" spans="3:19" ht="30.5" x14ac:dyDescent="0.25">
      <c r="C64" s="364" t="s">
        <v>262</v>
      </c>
      <c r="D64" s="365">
        <v>4</v>
      </c>
      <c r="E64" s="366">
        <f t="shared" si="6"/>
        <v>0</v>
      </c>
      <c r="F64" s="385">
        <f t="shared" si="6"/>
        <v>0</v>
      </c>
      <c r="G64" s="384">
        <f t="shared" si="6"/>
        <v>0</v>
      </c>
      <c r="H64" s="385">
        <f t="shared" si="7"/>
        <v>0</v>
      </c>
      <c r="I64" s="384">
        <f t="shared" si="7"/>
        <v>0</v>
      </c>
      <c r="J64" s="385">
        <f t="shared" si="8"/>
        <v>0</v>
      </c>
      <c r="K64" s="384">
        <f t="shared" si="8"/>
        <v>0</v>
      </c>
      <c r="L64" s="385">
        <f t="shared" si="9"/>
        <v>0</v>
      </c>
      <c r="M64" s="384">
        <f t="shared" si="9"/>
        <v>0</v>
      </c>
      <c r="N64" s="385">
        <f t="shared" si="10"/>
        <v>0</v>
      </c>
      <c r="O64" s="384">
        <f t="shared" si="10"/>
        <v>0</v>
      </c>
      <c r="P64" s="385">
        <f t="shared" si="11"/>
        <v>0</v>
      </c>
      <c r="Q64" s="384">
        <f t="shared" si="11"/>
        <v>0</v>
      </c>
      <c r="R64" s="385">
        <f t="shared" si="12"/>
        <v>0</v>
      </c>
      <c r="S64" s="384">
        <f t="shared" si="12"/>
        <v>0</v>
      </c>
    </row>
    <row r="65" spans="3:19" ht="20.5" x14ac:dyDescent="0.25">
      <c r="C65" s="364" t="s">
        <v>215</v>
      </c>
      <c r="D65" s="365">
        <v>4</v>
      </c>
      <c r="E65" s="366">
        <f t="shared" si="6"/>
        <v>9</v>
      </c>
      <c r="F65" s="385">
        <f t="shared" si="6"/>
        <v>3</v>
      </c>
      <c r="G65" s="384">
        <f t="shared" si="6"/>
        <v>2.4969400244798046E-2</v>
      </c>
      <c r="H65" s="385">
        <f t="shared" si="7"/>
        <v>10</v>
      </c>
      <c r="I65" s="384">
        <f t="shared" si="7"/>
        <v>7.8824969400244804E-2</v>
      </c>
      <c r="J65" s="385">
        <f t="shared" si="8"/>
        <v>1</v>
      </c>
      <c r="K65" s="384">
        <f t="shared" si="8"/>
        <v>7.2215422276621782E-3</v>
      </c>
      <c r="L65" s="385">
        <f t="shared" si="9"/>
        <v>-2</v>
      </c>
      <c r="M65" s="384">
        <f t="shared" si="9"/>
        <v>-3.3170134638922891E-2</v>
      </c>
      <c r="N65" s="385">
        <f t="shared" si="10"/>
        <v>-2</v>
      </c>
      <c r="O65" s="384">
        <f t="shared" si="10"/>
        <v>-3.8678090575275409E-2</v>
      </c>
      <c r="P65" s="385">
        <f t="shared" si="11"/>
        <v>-1</v>
      </c>
      <c r="Q65" s="384">
        <f t="shared" si="11"/>
        <v>-2.5948592411260712E-2</v>
      </c>
      <c r="R65" s="385">
        <f t="shared" si="12"/>
        <v>0</v>
      </c>
      <c r="S65" s="384">
        <f t="shared" si="12"/>
        <v>-1.3219094247246016E-2</v>
      </c>
    </row>
    <row r="66" spans="3:19" ht="20.5" x14ac:dyDescent="0.25">
      <c r="C66" s="364" t="s">
        <v>216</v>
      </c>
      <c r="D66" s="365">
        <v>5</v>
      </c>
      <c r="E66" s="366">
        <f t="shared" si="6"/>
        <v>1</v>
      </c>
      <c r="F66" s="385">
        <f t="shared" si="6"/>
        <v>2</v>
      </c>
      <c r="G66" s="384">
        <f t="shared" si="6"/>
        <v>1.05657805044308E-2</v>
      </c>
      <c r="H66" s="385">
        <f t="shared" si="7"/>
        <v>1</v>
      </c>
      <c r="I66" s="384">
        <f t="shared" si="7"/>
        <v>3.9763690070438451E-3</v>
      </c>
      <c r="J66" s="385">
        <f t="shared" si="8"/>
        <v>0</v>
      </c>
      <c r="K66" s="384">
        <f t="shared" si="8"/>
        <v>-6.0592289631143659E-4</v>
      </c>
      <c r="L66" s="385">
        <f t="shared" si="9"/>
        <v>3</v>
      </c>
      <c r="M66" s="384">
        <f t="shared" si="9"/>
        <v>1.8139816708323868E-2</v>
      </c>
      <c r="N66" s="385">
        <f t="shared" si="10"/>
        <v>-2</v>
      </c>
      <c r="O66" s="384">
        <f t="shared" si="10"/>
        <v>-1.2724380822540328E-2</v>
      </c>
      <c r="P66" s="385">
        <f t="shared" si="11"/>
        <v>-4</v>
      </c>
      <c r="Q66" s="384">
        <f t="shared" si="11"/>
        <v>-2.5448761645080656E-2</v>
      </c>
      <c r="R66" s="385">
        <f t="shared" si="12"/>
        <v>1</v>
      </c>
      <c r="S66" s="384">
        <f t="shared" si="12"/>
        <v>6.0970991441339096E-3</v>
      </c>
    </row>
    <row r="67" spans="3:19" ht="20.5" x14ac:dyDescent="0.25">
      <c r="C67" s="364" t="s">
        <v>217</v>
      </c>
      <c r="D67" s="365">
        <v>5</v>
      </c>
      <c r="E67" s="366">
        <f t="shared" si="6"/>
        <v>-5</v>
      </c>
      <c r="F67" s="385">
        <f t="shared" si="6"/>
        <v>-14</v>
      </c>
      <c r="G67" s="384">
        <f t="shared" si="6"/>
        <v>-5.1069402007856868E-2</v>
      </c>
      <c r="H67" s="385">
        <f t="shared" si="7"/>
        <v>13</v>
      </c>
      <c r="I67" s="384">
        <f t="shared" si="7"/>
        <v>6.1854357631310974E-2</v>
      </c>
      <c r="J67" s="385">
        <f t="shared" si="8"/>
        <v>-1</v>
      </c>
      <c r="K67" s="384">
        <f t="shared" si="8"/>
        <v>-3.6737960133857127E-3</v>
      </c>
      <c r="L67" s="385">
        <f t="shared" si="9"/>
        <v>0</v>
      </c>
      <c r="M67" s="384">
        <f t="shared" si="9"/>
        <v>1.3640331732867744E-3</v>
      </c>
      <c r="N67" s="385">
        <f t="shared" si="10"/>
        <v>-5</v>
      </c>
      <c r="O67" s="384">
        <f t="shared" si="10"/>
        <v>-2.0278626509530044E-2</v>
      </c>
      <c r="P67" s="385">
        <f t="shared" si="11"/>
        <v>1</v>
      </c>
      <c r="Q67" s="384">
        <f t="shared" si="11"/>
        <v>7.3112178088171054E-3</v>
      </c>
      <c r="R67" s="385">
        <f t="shared" si="12"/>
        <v>1</v>
      </c>
      <c r="S67" s="384">
        <f t="shared" si="12"/>
        <v>4.4922159173577773E-3</v>
      </c>
    </row>
    <row r="68" spans="3:19" ht="20.5" x14ac:dyDescent="0.25">
      <c r="C68" s="364" t="s">
        <v>219</v>
      </c>
      <c r="D68" s="365">
        <v>6</v>
      </c>
      <c r="E68" s="366">
        <f t="shared" si="6"/>
        <v>16</v>
      </c>
      <c r="F68" s="385">
        <f t="shared" si="6"/>
        <v>9</v>
      </c>
      <c r="G68" s="384">
        <f t="shared" si="6"/>
        <v>4.1408668730650133E-2</v>
      </c>
      <c r="H68" s="385">
        <f t="shared" si="7"/>
        <v>5</v>
      </c>
      <c r="I68" s="384">
        <f t="shared" si="7"/>
        <v>2.0510835913312708E-2</v>
      </c>
      <c r="J68" s="385">
        <f t="shared" si="8"/>
        <v>0</v>
      </c>
      <c r="K68" s="384">
        <f t="shared" si="8"/>
        <v>-7.7399380804953587E-4</v>
      </c>
      <c r="L68" s="385">
        <f t="shared" si="9"/>
        <v>5</v>
      </c>
      <c r="M68" s="384">
        <f t="shared" si="9"/>
        <v>1.1222910216718285E-2</v>
      </c>
      <c r="N68" s="385">
        <f t="shared" si="10"/>
        <v>-2</v>
      </c>
      <c r="O68" s="384">
        <f t="shared" si="10"/>
        <v>-3.7925696594427238E-2</v>
      </c>
      <c r="P68" s="385">
        <f t="shared" si="11"/>
        <v>0</v>
      </c>
      <c r="Q68" s="384">
        <f t="shared" si="11"/>
        <v>-7.7399380804953587E-4</v>
      </c>
      <c r="R68" s="385">
        <f t="shared" si="12"/>
        <v>-1</v>
      </c>
      <c r="S68" s="384">
        <f t="shared" si="12"/>
        <v>-3.3668730650154771E-2</v>
      </c>
    </row>
  </sheetData>
  <mergeCells count="1">
    <mergeCell ref="U2:V2"/>
  </mergeCell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4:S29"/>
  <sheetViews>
    <sheetView workbookViewId="0">
      <selection activeCell="M22" sqref="M22"/>
    </sheetView>
  </sheetViews>
  <sheetFormatPr defaultRowHeight="12.5" x14ac:dyDescent="0.25"/>
  <cols>
    <col min="9" max="9" width="9.1796875" style="2"/>
    <col min="10" max="12" width="9.54296875" bestFit="1" customWidth="1"/>
    <col min="13" max="14" width="9.26953125" bestFit="1" customWidth="1"/>
    <col min="15" max="15" width="9.54296875" bestFit="1" customWidth="1"/>
    <col min="16" max="16" width="9.26953125" bestFit="1" customWidth="1"/>
  </cols>
  <sheetData>
    <row r="4" spans="1:19" x14ac:dyDescent="0.25">
      <c r="B4" t="s">
        <v>901</v>
      </c>
      <c r="C4" t="s">
        <v>902</v>
      </c>
      <c r="D4" t="s">
        <v>903</v>
      </c>
      <c r="E4" t="s">
        <v>904</v>
      </c>
      <c r="F4" t="s">
        <v>905</v>
      </c>
      <c r="G4" t="s">
        <v>906</v>
      </c>
      <c r="H4" t="s">
        <v>907</v>
      </c>
      <c r="I4" s="316" t="s">
        <v>128</v>
      </c>
      <c r="J4" t="s">
        <v>901</v>
      </c>
      <c r="K4" t="s">
        <v>902</v>
      </c>
      <c r="L4" t="s">
        <v>903</v>
      </c>
      <c r="M4" t="s">
        <v>904</v>
      </c>
      <c r="N4" t="s">
        <v>905</v>
      </c>
      <c r="O4" t="s">
        <v>906</v>
      </c>
      <c r="P4" t="s">
        <v>907</v>
      </c>
    </row>
    <row r="5" spans="1:19" x14ac:dyDescent="0.25">
      <c r="A5" s="289" t="s">
        <v>879</v>
      </c>
      <c r="B5" s="459">
        <v>0.17910447761194029</v>
      </c>
      <c r="C5" s="459">
        <v>0.5074626865671642</v>
      </c>
      <c r="D5" s="459">
        <v>0.11940298507462686</v>
      </c>
      <c r="E5" s="459">
        <v>1.4925373134328358E-2</v>
      </c>
      <c r="F5" s="459">
        <v>3.7313432835820892E-2</v>
      </c>
      <c r="G5" s="459">
        <v>0.1417910447761194</v>
      </c>
      <c r="H5" s="459">
        <v>0</v>
      </c>
      <c r="I5" s="122">
        <f>'1920 Funding Detail'!M11</f>
        <v>134.16666666666669</v>
      </c>
      <c r="J5" s="460">
        <f>B5*$I$5</f>
        <v>24.029850746268657</v>
      </c>
      <c r="K5" s="460">
        <f t="shared" ref="K5:P5" si="0">C5*$I$5</f>
        <v>68.084577114427873</v>
      </c>
      <c r="L5" s="460">
        <f t="shared" si="0"/>
        <v>16.019900497512438</v>
      </c>
      <c r="M5" s="460">
        <f t="shared" si="0"/>
        <v>2.0024875621890548</v>
      </c>
      <c r="N5" s="460">
        <f t="shared" si="0"/>
        <v>5.0062189054726369</v>
      </c>
      <c r="O5" s="460">
        <f t="shared" si="0"/>
        <v>19.023631840796021</v>
      </c>
      <c r="P5" s="460">
        <f t="shared" si="0"/>
        <v>0</v>
      </c>
      <c r="R5" s="460">
        <f>I5*'1920 Funding Detail'!U11*-1</f>
        <v>83209.202555855503</v>
      </c>
      <c r="S5">
        <f>R5/I5</f>
        <v>620.19281408091047</v>
      </c>
    </row>
    <row r="6" spans="1:19" x14ac:dyDescent="0.25">
      <c r="A6" s="289" t="s">
        <v>947</v>
      </c>
      <c r="B6" s="1024">
        <v>0.17054263565891473</v>
      </c>
      <c r="C6" s="1024">
        <v>0.58139534883720934</v>
      </c>
      <c r="D6" s="1024">
        <v>8.5271317829457363E-2</v>
      </c>
      <c r="E6" s="1024">
        <v>1.5503875968992248E-2</v>
      </c>
      <c r="F6" s="1024">
        <v>3.1007751937984496E-2</v>
      </c>
      <c r="G6" s="1024">
        <v>0.11627906976744186</v>
      </c>
      <c r="H6" s="1024">
        <v>0</v>
      </c>
      <c r="I6" s="122">
        <f>'2021 Funding Detail'!M11</f>
        <v>135.58333333333334</v>
      </c>
      <c r="J6" s="460">
        <f>B6*$I$6</f>
        <v>23.122739018087856</v>
      </c>
      <c r="K6" s="460">
        <f t="shared" ref="K6:P6" si="1">C6*$I$6</f>
        <v>78.827519379844972</v>
      </c>
      <c r="L6" s="460">
        <f t="shared" si="1"/>
        <v>11.561369509043928</v>
      </c>
      <c r="M6" s="460">
        <f t="shared" si="1"/>
        <v>2.1020671834625326</v>
      </c>
      <c r="N6" s="460">
        <f t="shared" si="1"/>
        <v>4.2041343669250653</v>
      </c>
      <c r="O6" s="460">
        <f t="shared" si="1"/>
        <v>15.765503875968992</v>
      </c>
      <c r="P6" s="460">
        <f t="shared" si="1"/>
        <v>0</v>
      </c>
    </row>
    <row r="7" spans="1:19" x14ac:dyDescent="0.25">
      <c r="J7" s="460">
        <f>J6-J5</f>
        <v>-0.90711172818080144</v>
      </c>
      <c r="K7" s="460">
        <f t="shared" ref="K7:P7" si="2">K6-K5</f>
        <v>10.742942265417099</v>
      </c>
      <c r="L7" s="460">
        <f t="shared" si="2"/>
        <v>-4.4585309884685103</v>
      </c>
      <c r="M7" s="460">
        <f t="shared" si="2"/>
        <v>9.9579621273477859E-2</v>
      </c>
      <c r="N7" s="460">
        <f t="shared" si="2"/>
        <v>-0.80208453854757167</v>
      </c>
      <c r="O7" s="460">
        <f t="shared" si="2"/>
        <v>-3.2581279648270289</v>
      </c>
      <c r="P7" s="460">
        <f t="shared" si="2"/>
        <v>0</v>
      </c>
    </row>
    <row r="9" spans="1:19" x14ac:dyDescent="0.25">
      <c r="J9">
        <f>J5*$S$5</f>
        <v>14903.140756272625</v>
      </c>
      <c r="K9">
        <f t="shared" ref="K9:P9" si="3">K5*$S$5</f>
        <v>42225.565476105774</v>
      </c>
      <c r="L9">
        <f t="shared" si="3"/>
        <v>9935.4271708484175</v>
      </c>
      <c r="M9">
        <f t="shared" si="3"/>
        <v>1241.9283963560522</v>
      </c>
      <c r="N9">
        <f t="shared" si="3"/>
        <v>3104.8209908901304</v>
      </c>
      <c r="O9">
        <f t="shared" si="3"/>
        <v>11798.319765382495</v>
      </c>
      <c r="P9">
        <f t="shared" si="3"/>
        <v>0</v>
      </c>
      <c r="R9">
        <f>SUM(J9:P9)</f>
        <v>83209.202555855503</v>
      </c>
    </row>
    <row r="11" spans="1:19" x14ac:dyDescent="0.25">
      <c r="J11">
        <f t="shared" ref="J11:O11" si="4">IF(J7&lt;0,(J6*$S$5),IF(J7&gt;0,(J5*$S$5),(0)))</f>
        <v>14340.556580886376</v>
      </c>
      <c r="K11">
        <f t="shared" si="4"/>
        <v>42225.565476105774</v>
      </c>
      <c r="L11">
        <f t="shared" si="4"/>
        <v>7170.2782904431879</v>
      </c>
      <c r="M11">
        <f t="shared" si="4"/>
        <v>1241.9283963560522</v>
      </c>
      <c r="N11">
        <f t="shared" si="4"/>
        <v>2607.3739237975233</v>
      </c>
      <c r="O11">
        <f t="shared" si="4"/>
        <v>9777.6522142407102</v>
      </c>
      <c r="R11">
        <f>SUM(J11:P11)</f>
        <v>77363.354881829611</v>
      </c>
    </row>
    <row r="14" spans="1:19" x14ac:dyDescent="0.25">
      <c r="J14" s="1" t="s">
        <v>1200</v>
      </c>
    </row>
    <row r="15" spans="1:19" x14ac:dyDescent="0.25">
      <c r="B15" t="s">
        <v>735</v>
      </c>
      <c r="D15">
        <v>5740.9218150011166</v>
      </c>
      <c r="E15">
        <f>D15</f>
        <v>5740.9218150011166</v>
      </c>
      <c r="F15">
        <f>E15/E15</f>
        <v>1</v>
      </c>
      <c r="J15" s="289" t="s">
        <v>1201</v>
      </c>
    </row>
    <row r="16" spans="1:19" x14ac:dyDescent="0.25">
      <c r="J16" s="289" t="s">
        <v>1202</v>
      </c>
    </row>
    <row r="17" spans="2:10" x14ac:dyDescent="0.25">
      <c r="B17" t="s">
        <v>736</v>
      </c>
      <c r="D17">
        <v>6829.0826228613796</v>
      </c>
      <c r="E17">
        <f t="shared" ref="E17:E27" si="5">D17</f>
        <v>6829.0826228613796</v>
      </c>
      <c r="F17">
        <f>E17/$E$15</f>
        <v>1.1895446137268204</v>
      </c>
      <c r="J17" s="289" t="s">
        <v>1203</v>
      </c>
    </row>
    <row r="18" spans="2:10" x14ac:dyDescent="0.25">
      <c r="J18" s="289" t="s">
        <v>1204</v>
      </c>
    </row>
    <row r="19" spans="2:10" x14ac:dyDescent="0.25">
      <c r="B19" t="s">
        <v>737</v>
      </c>
      <c r="D19">
        <v>11263.412317184524</v>
      </c>
      <c r="E19">
        <f>D19+D29</f>
        <v>13898.412317184524</v>
      </c>
      <c r="F19">
        <f t="shared" ref="F19:F27" si="6">E19/$E$15</f>
        <v>2.420937397347541</v>
      </c>
      <c r="J19" s="289" t="s">
        <v>1205</v>
      </c>
    </row>
    <row r="21" spans="2:10" x14ac:dyDescent="0.25">
      <c r="B21" t="s">
        <v>738</v>
      </c>
      <c r="D21">
        <v>14004.235952555704</v>
      </c>
      <c r="E21">
        <f t="shared" si="5"/>
        <v>14004.235952555704</v>
      </c>
      <c r="F21">
        <f t="shared" si="6"/>
        <v>2.4393706104762516</v>
      </c>
    </row>
    <row r="23" spans="2:10" x14ac:dyDescent="0.25">
      <c r="B23" t="s">
        <v>739</v>
      </c>
      <c r="D23">
        <v>14004.235952555704</v>
      </c>
      <c r="E23">
        <f t="shared" si="5"/>
        <v>14004.235952555704</v>
      </c>
      <c r="F23">
        <f t="shared" si="6"/>
        <v>2.4393706104762516</v>
      </c>
    </row>
    <row r="25" spans="2:10" x14ac:dyDescent="0.25">
      <c r="B25" t="s">
        <v>741</v>
      </c>
      <c r="D25">
        <v>14877.000599571715</v>
      </c>
      <c r="E25">
        <f t="shared" si="5"/>
        <v>14877.000599571715</v>
      </c>
      <c r="F25">
        <f t="shared" si="6"/>
        <v>2.5913957860735684</v>
      </c>
    </row>
    <row r="27" spans="2:10" x14ac:dyDescent="0.25">
      <c r="B27" t="s">
        <v>743</v>
      </c>
      <c r="D27">
        <v>22512.750755794426</v>
      </c>
      <c r="E27">
        <f t="shared" si="5"/>
        <v>22512.750755794426</v>
      </c>
      <c r="F27">
        <f t="shared" si="6"/>
        <v>3.9214522477850622</v>
      </c>
    </row>
    <row r="29" spans="2:10" x14ac:dyDescent="0.25">
      <c r="B29" t="s">
        <v>913</v>
      </c>
      <c r="D29">
        <v>2635</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F0000"/>
  </sheetPr>
  <dimension ref="A2:N38"/>
  <sheetViews>
    <sheetView workbookViewId="0">
      <selection activeCell="E4" sqref="E4"/>
    </sheetView>
  </sheetViews>
  <sheetFormatPr defaultRowHeight="12.5" x14ac:dyDescent="0.25"/>
  <cols>
    <col min="1" max="1" width="29.453125" bestFit="1" customWidth="1"/>
    <col min="3" max="3" width="12.26953125" style="2" customWidth="1"/>
    <col min="5" max="5" width="11.1796875" style="2" bestFit="1" customWidth="1"/>
    <col min="7" max="7" width="11.54296875" bestFit="1" customWidth="1"/>
    <col min="9" max="9" width="59.81640625" customWidth="1"/>
    <col min="10" max="10" width="11.453125" customWidth="1"/>
    <col min="11" max="11" width="11.1796875" bestFit="1" customWidth="1"/>
  </cols>
  <sheetData>
    <row r="2" spans="1:14" ht="13" x14ac:dyDescent="0.3">
      <c r="A2" s="1" t="s">
        <v>0</v>
      </c>
      <c r="B2" s="231"/>
      <c r="C2" s="231" t="s">
        <v>947</v>
      </c>
      <c r="D2" s="232"/>
      <c r="E2" s="231" t="s">
        <v>958</v>
      </c>
      <c r="F2" s="232"/>
      <c r="G2" s="231" t="s">
        <v>3</v>
      </c>
    </row>
    <row r="3" spans="1:14" x14ac:dyDescent="0.25">
      <c r="B3" s="2"/>
      <c r="G3" s="2"/>
    </row>
    <row r="4" spans="1:14" x14ac:dyDescent="0.25">
      <c r="A4" s="289" t="s">
        <v>4</v>
      </c>
      <c r="B4" s="2"/>
      <c r="C4" s="16">
        <f>'2021 Funding Detail'!AH25</f>
        <v>29334218.614862774</v>
      </c>
      <c r="D4" s="230"/>
      <c r="E4" s="16">
        <f>SUM('2223 Funding Detail'!R22)</f>
        <v>34044037.127210051</v>
      </c>
      <c r="F4" s="230"/>
      <c r="G4" s="16">
        <f>E4-C4</f>
        <v>4709818.5123472773</v>
      </c>
      <c r="I4" s="289" t="s">
        <v>1206</v>
      </c>
    </row>
    <row r="5" spans="1:14" x14ac:dyDescent="0.25">
      <c r="A5" s="289" t="s">
        <v>6</v>
      </c>
      <c r="B5" s="2"/>
      <c r="C5" s="16">
        <f>SUM('2021 Funding Detail'!F25)</f>
        <v>971898</v>
      </c>
      <c r="D5" s="230"/>
      <c r="E5" s="16">
        <f>SUM('2223 Funding Detail'!F22)</f>
        <v>1045220</v>
      </c>
      <c r="F5" s="230"/>
      <c r="G5" s="16">
        <f t="shared" ref="G5:G23" si="0">E5-C5</f>
        <v>73322</v>
      </c>
      <c r="I5" s="289"/>
    </row>
    <row r="6" spans="1:14" x14ac:dyDescent="0.25">
      <c r="A6" s="289" t="s">
        <v>383</v>
      </c>
      <c r="B6" s="2"/>
      <c r="C6" s="16">
        <f>'2021 Funding Detail'!G25</f>
        <v>160701</v>
      </c>
      <c r="D6" s="230"/>
      <c r="E6" s="16">
        <f>SUM('2223 Funding Detail'!G22)</f>
        <v>568580</v>
      </c>
      <c r="F6" s="230"/>
      <c r="G6" s="16">
        <f t="shared" si="0"/>
        <v>407879</v>
      </c>
      <c r="I6" s="289"/>
    </row>
    <row r="7" spans="1:14" ht="13" x14ac:dyDescent="0.3">
      <c r="A7" s="409" t="s">
        <v>961</v>
      </c>
      <c r="B7" s="2"/>
      <c r="C7" s="16"/>
      <c r="D7" s="230"/>
      <c r="E7" s="16" t="e">
        <f>'2122 OLEA Placements'!F24*-1</f>
        <v>#N/A</v>
      </c>
      <c r="F7" s="230"/>
      <c r="G7" s="16" t="e">
        <f t="shared" si="0"/>
        <v>#N/A</v>
      </c>
      <c r="I7" s="289"/>
    </row>
    <row r="8" spans="1:14" ht="13" x14ac:dyDescent="0.3">
      <c r="A8" s="409"/>
      <c r="B8" s="2"/>
      <c r="C8" s="408">
        <f>SUM(C4:C7)</f>
        <v>30466817.614862774</v>
      </c>
      <c r="D8" s="835"/>
      <c r="E8" s="408" t="e">
        <f>SUM(E4:E7)</f>
        <v>#N/A</v>
      </c>
      <c r="F8" s="835"/>
      <c r="G8" s="408" t="e">
        <f t="shared" si="0"/>
        <v>#N/A</v>
      </c>
      <c r="I8" s="885" t="s">
        <v>1207</v>
      </c>
      <c r="J8" s="315">
        <f>'Pay &amp; Pension Workings'!F109*-1</f>
        <v>-1400520</v>
      </c>
      <c r="K8" s="398" t="e">
        <f>G8+J8</f>
        <v>#N/A</v>
      </c>
      <c r="L8" s="289" t="s">
        <v>974</v>
      </c>
    </row>
    <row r="9" spans="1:14" x14ac:dyDescent="0.25">
      <c r="B9" s="2"/>
      <c r="C9" s="16"/>
      <c r="D9" s="230"/>
      <c r="F9" s="230"/>
      <c r="G9" s="16"/>
      <c r="I9" s="289"/>
    </row>
    <row r="10" spans="1:14" x14ac:dyDescent="0.25">
      <c r="A10" s="289" t="s">
        <v>8</v>
      </c>
      <c r="B10" s="2"/>
      <c r="C10" s="16">
        <f>'2021 Other Funding'!BH26+442129</f>
        <v>757935.66666666674</v>
      </c>
      <c r="D10" s="230"/>
      <c r="E10" s="16">
        <f>SUM('2122 Other Funding'!BM26)</f>
        <v>757936</v>
      </c>
      <c r="F10" s="230"/>
      <c r="G10" s="16">
        <f t="shared" si="0"/>
        <v>0.33333333325572312</v>
      </c>
      <c r="I10" s="289" t="s">
        <v>1208</v>
      </c>
    </row>
    <row r="11" spans="1:14" ht="13" x14ac:dyDescent="0.3">
      <c r="A11" s="857" t="s">
        <v>962</v>
      </c>
      <c r="B11" s="858"/>
      <c r="C11" s="833"/>
      <c r="D11" s="859"/>
      <c r="E11" s="833">
        <f>(617500-'2122 Other Funding'!BO10)+140436-'2122 Other Funding'!BM18</f>
        <v>0</v>
      </c>
      <c r="F11" s="859"/>
      <c r="G11" s="833">
        <f t="shared" si="0"/>
        <v>0</v>
      </c>
      <c r="H11" s="857"/>
      <c r="I11" s="857" t="s">
        <v>1209</v>
      </c>
      <c r="J11" s="409"/>
      <c r="K11" s="409"/>
      <c r="L11" s="409"/>
      <c r="M11" s="409"/>
      <c r="N11" s="409"/>
    </row>
    <row r="12" spans="1:14" x14ac:dyDescent="0.25">
      <c r="A12" s="289" t="s">
        <v>10</v>
      </c>
      <c r="B12" s="2"/>
      <c r="C12" s="16">
        <f>'2021 Other Funding'!BG26</f>
        <v>329822</v>
      </c>
      <c r="D12" s="230"/>
      <c r="E12" s="16">
        <f>SUM('2122 Other Funding'!BL26)</f>
        <v>317322</v>
      </c>
      <c r="F12" s="230"/>
      <c r="G12" s="16">
        <f t="shared" si="0"/>
        <v>-12500</v>
      </c>
      <c r="I12" s="289" t="s">
        <v>1210</v>
      </c>
    </row>
    <row r="13" spans="1:14" ht="13" x14ac:dyDescent="0.3">
      <c r="A13" s="857" t="s">
        <v>964</v>
      </c>
      <c r="B13" s="2"/>
      <c r="C13" s="16"/>
      <c r="D13" s="230"/>
      <c r="E13" s="290">
        <f>317322-'2122 Other Funding'!BL26</f>
        <v>0</v>
      </c>
      <c r="F13" s="230"/>
      <c r="G13" s="833">
        <f t="shared" si="0"/>
        <v>0</v>
      </c>
      <c r="I13" s="289"/>
    </row>
    <row r="14" spans="1:14" ht="13" x14ac:dyDescent="0.3">
      <c r="A14" s="289" t="s">
        <v>11</v>
      </c>
      <c r="B14" s="2"/>
      <c r="C14" s="16">
        <f>'2021 Other Funding'!BI26</f>
        <v>1119519</v>
      </c>
      <c r="D14" s="230"/>
      <c r="E14" s="16">
        <f>SUM('2122 Other Funding'!BN20)+((5/12)*'2122 Other Funding'!BP18)</f>
        <v>536951</v>
      </c>
      <c r="F14" s="230"/>
      <c r="G14" s="16">
        <f t="shared" si="0"/>
        <v>-582568</v>
      </c>
      <c r="I14" s="857" t="s">
        <v>1211</v>
      </c>
    </row>
    <row r="15" spans="1:14" ht="13" x14ac:dyDescent="0.3">
      <c r="A15" s="289"/>
      <c r="B15" s="2"/>
      <c r="C15" s="408">
        <f>SUM(C10:C14)</f>
        <v>2207276.666666667</v>
      </c>
      <c r="D15" s="408"/>
      <c r="E15" s="408">
        <f t="shared" ref="E15:G15" si="1">SUM(E10:E14)</f>
        <v>1612209</v>
      </c>
      <c r="F15" s="408"/>
      <c r="G15" s="408">
        <f t="shared" si="1"/>
        <v>-595067.66666666674</v>
      </c>
      <c r="I15" s="857"/>
    </row>
    <row r="16" spans="1:14" ht="13" x14ac:dyDescent="0.3">
      <c r="A16" s="289"/>
      <c r="B16" s="2"/>
      <c r="C16" s="16"/>
      <c r="D16" s="230"/>
      <c r="E16" s="16"/>
      <c r="F16" s="230"/>
      <c r="G16" s="16"/>
      <c r="I16" s="857"/>
    </row>
    <row r="17" spans="1:12" ht="13.5" thickBot="1" x14ac:dyDescent="0.35">
      <c r="A17" s="289"/>
      <c r="B17" s="2"/>
      <c r="C17" s="886">
        <f>C8+C15</f>
        <v>32674094.281529441</v>
      </c>
      <c r="D17" s="886"/>
      <c r="E17" s="886" t="e">
        <f t="shared" ref="E17:G17" si="2">E8+E15</f>
        <v>#N/A</v>
      </c>
      <c r="F17" s="886"/>
      <c r="G17" s="886" t="e">
        <f t="shared" si="2"/>
        <v>#N/A</v>
      </c>
      <c r="I17" s="857"/>
    </row>
    <row r="18" spans="1:12" ht="13" x14ac:dyDescent="0.3">
      <c r="A18" s="289"/>
      <c r="B18" s="2"/>
      <c r="C18" s="16"/>
      <c r="D18" s="230"/>
      <c r="E18" s="16"/>
      <c r="F18" s="230"/>
      <c r="G18" s="16"/>
      <c r="I18" s="857"/>
    </row>
    <row r="19" spans="1:12" x14ac:dyDescent="0.25">
      <c r="A19" s="289" t="s">
        <v>12</v>
      </c>
      <c r="B19" s="2"/>
      <c r="C19" s="16">
        <v>1563045</v>
      </c>
      <c r="D19" s="230"/>
      <c r="E19" s="16">
        <v>2047777</v>
      </c>
      <c r="F19" s="230"/>
      <c r="G19" s="16">
        <f t="shared" si="0"/>
        <v>484732</v>
      </c>
      <c r="I19" s="289" t="s">
        <v>1212</v>
      </c>
    </row>
    <row r="20" spans="1:12" ht="13" x14ac:dyDescent="0.3">
      <c r="A20" s="289" t="s">
        <v>14</v>
      </c>
      <c r="B20" s="2"/>
      <c r="C20" s="16">
        <v>294911</v>
      </c>
      <c r="D20" s="230"/>
      <c r="E20" s="16">
        <v>0</v>
      </c>
      <c r="F20" s="230"/>
      <c r="G20" s="16">
        <f t="shared" si="0"/>
        <v>-294911</v>
      </c>
      <c r="I20" s="885" t="s">
        <v>1207</v>
      </c>
      <c r="J20" s="315">
        <f>80*557.86*-1</f>
        <v>-44628.800000000003</v>
      </c>
      <c r="K20" s="398">
        <f>G19+G20+J20</f>
        <v>145192.20000000001</v>
      </c>
      <c r="L20" s="289" t="s">
        <v>974</v>
      </c>
    </row>
    <row r="21" spans="1:12" x14ac:dyDescent="0.25">
      <c r="A21" s="289"/>
      <c r="B21" s="2"/>
      <c r="C21" s="16"/>
      <c r="D21" s="230"/>
      <c r="E21" s="16"/>
      <c r="F21" s="230"/>
      <c r="G21" s="16"/>
      <c r="I21" s="289"/>
    </row>
    <row r="22" spans="1:12" x14ac:dyDescent="0.25">
      <c r="A22" s="289" t="s">
        <v>955</v>
      </c>
      <c r="B22" s="2"/>
      <c r="C22" s="16">
        <v>235160</v>
      </c>
      <c r="D22" s="230"/>
      <c r="E22" s="16">
        <v>235160</v>
      </c>
      <c r="F22" s="230"/>
      <c r="G22" s="16">
        <f t="shared" si="0"/>
        <v>0</v>
      </c>
      <c r="I22" s="289" t="s">
        <v>1213</v>
      </c>
    </row>
    <row r="23" spans="1:12" x14ac:dyDescent="0.25">
      <c r="A23" s="289" t="s">
        <v>956</v>
      </c>
      <c r="B23" s="2"/>
      <c r="C23" s="16">
        <v>40000</v>
      </c>
      <c r="D23" s="230"/>
      <c r="E23" s="16">
        <v>40000</v>
      </c>
      <c r="F23" s="230"/>
      <c r="G23" s="16">
        <f t="shared" si="0"/>
        <v>0</v>
      </c>
      <c r="I23" s="289"/>
    </row>
    <row r="24" spans="1:12" ht="13" x14ac:dyDescent="0.3">
      <c r="A24" s="289"/>
      <c r="B24" s="2"/>
      <c r="C24" s="16"/>
      <c r="D24" s="230"/>
      <c r="E24" s="16"/>
      <c r="F24" s="230"/>
      <c r="G24" s="72"/>
    </row>
    <row r="25" spans="1:12" ht="13" x14ac:dyDescent="0.3">
      <c r="A25" s="186" t="s">
        <v>882</v>
      </c>
      <c r="B25" s="2"/>
      <c r="C25" s="72">
        <f>C17+C19+C20+C22+C23</f>
        <v>34807210.281529441</v>
      </c>
      <c r="D25" s="72"/>
      <c r="E25" s="72" t="e">
        <f t="shared" ref="E25:G25" si="3">E17+E19+E20+E22+E23</f>
        <v>#N/A</v>
      </c>
      <c r="F25" s="72"/>
      <c r="G25" s="72" t="e">
        <f t="shared" si="3"/>
        <v>#N/A</v>
      </c>
      <c r="I25" s="184"/>
    </row>
    <row r="26" spans="1:12" ht="13" x14ac:dyDescent="0.3">
      <c r="A26" s="186"/>
      <c r="B26" s="2"/>
      <c r="C26" s="72"/>
      <c r="D26" s="72"/>
      <c r="E26" s="72"/>
      <c r="F26" s="72"/>
      <c r="G26" s="72"/>
      <c r="I26" s="184"/>
    </row>
    <row r="27" spans="1:12" ht="13" x14ac:dyDescent="0.3">
      <c r="A27" s="860"/>
      <c r="B27" s="858"/>
      <c r="C27" s="889"/>
      <c r="D27" s="889"/>
      <c r="E27" s="888" t="s">
        <v>1214</v>
      </c>
      <c r="F27" s="889"/>
      <c r="G27" s="833" t="e">
        <f>J8+G25+J20</f>
        <v>#N/A</v>
      </c>
      <c r="H27" s="857"/>
      <c r="I27" s="184"/>
    </row>
    <row r="28" spans="1:12" ht="13" x14ac:dyDescent="0.3">
      <c r="A28" s="860"/>
      <c r="B28" s="2"/>
      <c r="C28" s="72"/>
      <c r="D28" s="72"/>
      <c r="E28" s="72"/>
      <c r="F28" s="72"/>
      <c r="G28" s="72"/>
      <c r="I28" s="184"/>
    </row>
    <row r="29" spans="1:12" ht="13" x14ac:dyDescent="0.3">
      <c r="A29" s="860"/>
      <c r="B29" s="2"/>
      <c r="C29" s="72"/>
      <c r="D29" s="72"/>
      <c r="E29" s="72"/>
      <c r="F29" s="72"/>
      <c r="G29" s="72"/>
      <c r="I29" s="184"/>
    </row>
    <row r="30" spans="1:12" x14ac:dyDescent="0.25">
      <c r="E30" s="16"/>
    </row>
    <row r="31" spans="1:12" x14ac:dyDescent="0.25">
      <c r="A31" s="289"/>
      <c r="C31" s="16"/>
      <c r="E31" s="16"/>
      <c r="G31" s="16"/>
    </row>
    <row r="32" spans="1:12" x14ac:dyDescent="0.25">
      <c r="A32" s="289"/>
      <c r="C32" s="16"/>
      <c r="E32" s="230"/>
      <c r="G32" s="16"/>
    </row>
    <row r="34" spans="3:5" x14ac:dyDescent="0.25">
      <c r="C34" s="16"/>
      <c r="E34" s="16"/>
    </row>
    <row r="35" spans="3:5" x14ac:dyDescent="0.25">
      <c r="C35" s="16"/>
    </row>
    <row r="36" spans="3:5" x14ac:dyDescent="0.25">
      <c r="E36" s="16"/>
    </row>
    <row r="38" spans="3:5" x14ac:dyDescent="0.25">
      <c r="E38" s="16"/>
    </row>
  </sheetData>
  <pageMargins left="0.7" right="0.7" top="0.75" bottom="0.75" header="0.3" footer="0.3"/>
  <pageSetup orientation="portrait" horizontalDpi="90" verticalDpi="90" r:id="rId1"/>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BEA35-5397-4B05-85C3-47D995A77864}">
  <sheetPr>
    <tabColor rgb="FFFFC000"/>
  </sheetPr>
  <dimension ref="A1:AF71"/>
  <sheetViews>
    <sheetView topLeftCell="D1" workbookViewId="0">
      <selection activeCell="F17" sqref="F17"/>
    </sheetView>
  </sheetViews>
  <sheetFormatPr defaultColWidth="10.26953125" defaultRowHeight="12.5" x14ac:dyDescent="0.25"/>
  <cols>
    <col min="1" max="1" width="10.26953125" style="36"/>
    <col min="2" max="2" width="31.54296875" style="36" customWidth="1"/>
    <col min="3" max="3" width="26.54296875" style="36" customWidth="1"/>
    <col min="4" max="7" width="15.7265625" style="234" customWidth="1"/>
    <col min="8" max="10" width="15.7265625" style="36" customWidth="1"/>
    <col min="11" max="11" width="15.7265625" style="234" customWidth="1"/>
    <col min="12" max="12" width="17.26953125" style="36" customWidth="1"/>
    <col min="13" max="13" width="10.26953125" style="234"/>
    <col min="14" max="16" width="13.81640625" style="36" customWidth="1"/>
    <col min="17" max="17" width="10.26953125" style="36"/>
    <col min="18" max="19" width="11.1796875" style="36" customWidth="1"/>
    <col min="20" max="20" width="10.26953125" style="36"/>
    <col min="21" max="21" width="10.26953125" style="235"/>
    <col min="22" max="22" width="11.81640625" style="234" customWidth="1"/>
    <col min="23" max="23" width="10.26953125" style="234"/>
    <col min="24" max="24" width="11.1796875" style="36" customWidth="1"/>
    <col min="25" max="25" width="11.26953125" style="36" customWidth="1"/>
    <col min="26" max="26" width="9.81640625" style="234" bestFit="1" customWidth="1"/>
    <col min="27" max="27" width="10.26953125" style="36"/>
    <col min="28" max="30" width="14.453125" style="36" bestFit="1" customWidth="1"/>
    <col min="31" max="16384" width="10.26953125" style="36"/>
  </cols>
  <sheetData>
    <row r="1" spans="1:32" ht="17.5" x14ac:dyDescent="0.35">
      <c r="B1" s="33" t="s">
        <v>1215</v>
      </c>
    </row>
    <row r="2" spans="1:32" ht="12.75" customHeight="1" x14ac:dyDescent="0.25"/>
    <row r="3" spans="1:32" ht="39" customHeight="1" x14ac:dyDescent="0.25">
      <c r="A3" s="236" t="s">
        <v>182</v>
      </c>
      <c r="B3" s="237" t="s">
        <v>183</v>
      </c>
      <c r="C3" s="241" t="s">
        <v>985</v>
      </c>
      <c r="D3" s="240" t="s">
        <v>58</v>
      </c>
      <c r="E3" s="240" t="s">
        <v>59</v>
      </c>
      <c r="F3" s="238" t="s">
        <v>147</v>
      </c>
      <c r="G3" s="238" t="s">
        <v>185</v>
      </c>
      <c r="H3" s="241" t="s">
        <v>186</v>
      </c>
      <c r="I3" s="241" t="s">
        <v>104</v>
      </c>
      <c r="J3" s="241" t="s">
        <v>187</v>
      </c>
      <c r="K3" s="238" t="s">
        <v>189</v>
      </c>
      <c r="L3" s="241" t="s">
        <v>190</v>
      </c>
      <c r="M3" s="241" t="s">
        <v>1216</v>
      </c>
      <c r="N3" s="826" t="s">
        <v>743</v>
      </c>
      <c r="O3" s="827" t="s">
        <v>1217</v>
      </c>
      <c r="P3" s="828" t="s">
        <v>888</v>
      </c>
      <c r="Q3" s="321" t="s">
        <v>697</v>
      </c>
      <c r="R3" s="321" t="s">
        <v>698</v>
      </c>
      <c r="S3" s="321" t="s">
        <v>699</v>
      </c>
      <c r="T3" s="321" t="s">
        <v>700</v>
      </c>
      <c r="U3" s="241" t="s">
        <v>192</v>
      </c>
      <c r="V3" s="242" t="s">
        <v>193</v>
      </c>
      <c r="W3" s="242" t="s">
        <v>194</v>
      </c>
      <c r="X3" s="242" t="s">
        <v>303</v>
      </c>
      <c r="Y3" s="242" t="s">
        <v>199</v>
      </c>
      <c r="Z3" s="241" t="s">
        <v>992</v>
      </c>
      <c r="AB3" s="243"/>
      <c r="AC3" s="243"/>
      <c r="AD3" s="272"/>
      <c r="AF3" s="243"/>
    </row>
    <row r="4" spans="1:32" x14ac:dyDescent="0.25">
      <c r="A4" s="244">
        <v>9257010</v>
      </c>
      <c r="B4" s="237" t="s">
        <v>804</v>
      </c>
      <c r="C4" s="1035" t="str">
        <f>IF(I4+H4-'[22]Pay &amp; Pension Workings'!H112-'[22]TA Workings'!J112&lt;'[22]Group Sizes'!$B$46,'[22]Group Sizes'!$C$46,IF('[22]2122 Funding Detail'!I4+H4-'[22]Pay &amp; Pension Workings'!H112-'[22]TA Workings'!J112&lt;'[22]Group Sizes'!$B$47,'[22]Group Sizes'!$C$47,IF('[22]2122 Funding Detail'!I4+H4-'[22]Pay &amp; Pension Workings'!H112-'[22]TA Workings'!J112&lt;'[22]Group Sizes'!$B$48,'[22]Group Sizes'!$C$48,IF(I4+H4-'[22]Pay &amp; Pension Workings'!H112-'[22]TA Workings'!J112&lt;'[22]Group Sizes'!$B$49,'[22]Group Sizes'!$C$49,IF(I4+H4-'[22]Pay &amp; Pension Workings'!H112-'[22]TA Workings'!J112&lt;'[22]Group Sizes'!$B$50,'[22]Group Sizes'!$C$50,IF(I4+H4-'[22]Pay &amp; Pension Workings'!H112-'[22]TA Workings'!J112&lt;'[22]Group Sizes'!$B$51,'[22]Group Sizes'!$C$51,IF(I4+H4-'[22]Pay &amp; Pension Workings'!H112-'[22]TA Workings'!J112&lt;'[22]Group Sizes'!$B$52,'[22]Group Sizes'!$C$52,IF(I4+H4-'[22]Pay &amp; Pension Workings'!H112-'[22]TA Workings'!J112&lt;'[22]Group Sizes'!$B$53,'[22]Group Sizes'!$C$53,IF(I4+H4-'[22]Pay &amp; Pension Workings'!H112-'[22]TA Workings'!J112&lt;'[22]Group Sizes'!$B$54,'[22]Group Sizes'!$C$54,IF(I4+H4-'[22]Pay &amp; Pension Workings'!H112-'[22]TA Workings'!J112&lt;'[22]Group Sizes'!$B$55,'[22]Group Sizes'!$C$55,IF(I4+H4-'[22]Pay &amp; Pension Workings'!H112-'[22]TA Workings'!J112&lt;'[22]Group Sizes'!$B$56,'[22]Group Sizes'!$C$56)))))))))))</f>
        <v>School Size 5</v>
      </c>
      <c r="D4" s="245">
        <f>IF(H4+I4-'[22]Pay &amp; Pension Workings'!H112-'[22]TA Workings'!J112&lt;'[22]Group Sizes'!$B$46,'[22]Group Sizes'!$D$46,IF('[22]2122 Funding Detail'!H4+I4-'[22]Pay &amp; Pension Workings'!H112-'[22]TA Workings'!J112&lt;'[22]Group Sizes'!$B$47,'[22]Group Sizes'!$D$47,IF('[22]2122 Funding Detail'!H4+I4-'[22]Pay &amp; Pension Workings'!H112-'[22]TA Workings'!J112&lt;'[22]Group Sizes'!$B$48,'[22]Group Sizes'!$D$48,IF(H4+I4-'[22]Pay &amp; Pension Workings'!H112-'[22]TA Workings'!J112&lt;'[22]Group Sizes'!$B$49,'[22]Group Sizes'!$D$49,IF(H4+I4-'[22]Pay &amp; Pension Workings'!H112-'[22]TA Workings'!J112&lt;'[22]Group Sizes'!$B$50,'[22]Group Sizes'!$D$50,IF(H4+I4-'[22]Pay &amp; Pension Workings'!H112-'[22]TA Workings'!J112&lt;'[22]Group Sizes'!$B$51,'[22]Group Sizes'!$D$51,IF(H4+I4-'[22]Pay &amp; Pension Workings'!H112-'[22]TA Workings'!J112&lt;'[22]Group Sizes'!$B$52,'[22]Group Sizes'!$D$52,IF(H4+I4-'[22]Pay &amp; Pension Workings'!H112-'[22]TA Workings'!J112&lt;'[22]Group Sizes'!$B$53,'[22]Group Sizes'!$D$53,IF(H4+I4-'[22]Pay &amp; Pension Workings'!H112-'[22]TA Workings'!J112&lt;'[22]Group Sizes'!$B$54,'[22]Group Sizes'!$D$54,IF(H4+I4-'[22]Pay &amp; Pension Workings'!H112-'[22]TA Workings'!J112&lt;'[22]Group Sizes'!$B$55,'[22]Group Sizes'!$D$55,IF(H4+I4-'[22]Pay &amp; Pension Workings'!H112-'[22]TA Workings'!J112&lt;'[22]Group Sizes'!$B$56,'[22]Group Sizes'!$D$56)))))))))))</f>
        <v>420000</v>
      </c>
      <c r="E4" s="245">
        <f>IF(I4+H4-'[22]Pay &amp; Pension Workings'!H112-'[22]TA Workings'!J112&lt;'[22]Group Sizes'!$B$46,'[22]Group Sizes'!$E$46,IF('[22]2122 Funding Detail'!I4+H4-'[22]Pay &amp; Pension Workings'!H112-'[22]TA Workings'!J112&lt;'[22]Group Sizes'!$B$47,'[22]Group Sizes'!$E$47,IF('[22]2122 Funding Detail'!I4+H4-'[22]Pay &amp; Pension Workings'!H112-'[22]TA Workings'!J112&lt;'[22]Group Sizes'!$B$48,'[22]Group Sizes'!$E$48,IF(I4+H4-'[22]Pay &amp; Pension Workings'!H112-'[22]TA Workings'!J112&lt;'[22]Group Sizes'!$B$49,'[22]Group Sizes'!$E$49,IF(I4+H4-'[22]Pay &amp; Pension Workings'!H112-'[22]TA Workings'!J112&lt;'[22]Group Sizes'!$B$50,'[22]Group Sizes'!$E$50,IF(I4+H4-'[22]Pay &amp; Pension Workings'!H112-'[22]TA Workings'!J112&lt;'[22]Group Sizes'!$B$51,'[22]Group Sizes'!$E$51,IF(I4+H4-'[22]Pay &amp; Pension Workings'!H112-'[22]TA Workings'!J112&lt;'[22]Group Sizes'!$B$52,'[22]Group Sizes'!$E$52,IF(I4+H4-'[22]Pay &amp; Pension Workings'!H112-'[22]TA Workings'!J112&lt;'[22]Group Sizes'!$B$53,'[22]Group Sizes'!$E$53,IF(I4+H4-'[22]Pay &amp; Pension Workings'!H112-'[22]TA Workings'!J112&lt;'[22]Group Sizes'!$B$54,'[22]Group Sizes'!$E$54,IF(I4+H4-'[22]Pay &amp; Pension Workings'!H112-'[22]TA Workings'!J112&lt;'[22]Group Sizes'!$B$55,'[22]Group Sizes'!$E$55,IF(I4+H4-'[22]Pay &amp; Pension Workings'!H112-'[22]TA Workings'!J112&lt;'[22]Group Sizes'!$B$56,'[22]Group Sizes'!$E$56)))))))))))</f>
        <v>120000</v>
      </c>
      <c r="F4" s="245"/>
      <c r="G4" s="245"/>
      <c r="H4" s="248">
        <f>VLOOKUP(A4,'[22]2122 Band Calculations'!$A$112:$T$129,10,FALSE)</f>
        <v>1158838.1764308882</v>
      </c>
      <c r="I4" s="248">
        <f>VLOOKUP(A4,'[22]2122 Band Calculations'!$A$112:$T$129,17,FALSE)</f>
        <v>21498.253968253968</v>
      </c>
      <c r="J4" s="245">
        <f>VLOOKUP(A4,'[22]2122 FSM Calculation'!$A$4:$D$21,4,FALSE)</f>
        <v>7630.4500000000007</v>
      </c>
      <c r="K4" s="245">
        <f t="shared" ref="K4:K21" si="0">SUM(D4:J4)</f>
        <v>1727966.8803991422</v>
      </c>
      <c r="L4" s="248">
        <f>K4-F4-G4</f>
        <v>1727966.8803991422</v>
      </c>
      <c r="M4" s="1036">
        <f>VLOOKUP(A4,'[22]2122 Band Calculations'!$A$112:$T$129,19,FALSE)</f>
        <v>85.666666666666671</v>
      </c>
      <c r="N4" s="235">
        <f>VLOOKUP(A4,'[22]2122 Band Calculations'!$A$110:$AL$129,38,(FALSE))</f>
        <v>279960.97400187148</v>
      </c>
      <c r="O4" s="253">
        <f>M4-(M4*(VLOOKUP(A4,'[22]2122 Band Calculations'!$A$6:$J$23,10,(FALSE))))</f>
        <v>73.428571428571431</v>
      </c>
      <c r="P4" s="235">
        <f>(H4+I4-N4)/O4</f>
        <v>12261.922557939484</v>
      </c>
      <c r="Q4" s="1025">
        <f>'[22]2122 MFG Protection'!L9</f>
        <v>9139.18596024607</v>
      </c>
      <c r="R4" s="1025">
        <f>L4+Q4</f>
        <v>1737106.0663593882</v>
      </c>
      <c r="S4" s="235">
        <f>M4*10000</f>
        <v>856666.66666666674</v>
      </c>
      <c r="T4" s="235">
        <f>IF(S4&gt;R4,(S4-R4),(0))</f>
        <v>0</v>
      </c>
      <c r="U4" s="242">
        <f>R4/M4</f>
        <v>20277.502720148499</v>
      </c>
      <c r="V4" s="242">
        <f t="shared" ref="V4:V21" si="1">M4*10000</f>
        <v>856666.66666666674</v>
      </c>
      <c r="W4" s="242">
        <f>U4-10000</f>
        <v>10277.502720148499</v>
      </c>
      <c r="X4" s="245">
        <f>R4-V4</f>
        <v>880439.39969272143</v>
      </c>
      <c r="Y4" s="245">
        <f>V4+X4</f>
        <v>1737106.0663593882</v>
      </c>
      <c r="Z4" s="245">
        <f>R4-Y4</f>
        <v>0</v>
      </c>
      <c r="AB4" s="387"/>
      <c r="AC4" s="387"/>
      <c r="AD4" s="387"/>
      <c r="AE4" s="1037"/>
      <c r="AF4" s="247"/>
    </row>
    <row r="5" spans="1:32" x14ac:dyDescent="0.25">
      <c r="A5" s="244">
        <v>9257005</v>
      </c>
      <c r="B5" s="237" t="s">
        <v>805</v>
      </c>
      <c r="C5" s="1038" t="str">
        <f>IF(I5+H5-'[22]Pay &amp; Pension Workings'!H113-'[22]TA Workings'!J113&lt;'[22]Group Sizes'!$B$46,'[22]Group Sizes'!$C$46,IF('[22]2122 Funding Detail'!I5+H5-'[22]Pay &amp; Pension Workings'!H113-'[22]TA Workings'!J113&lt;'[22]Group Sizes'!$B$47,'[22]Group Sizes'!$C$47,IF('[22]2122 Funding Detail'!I5+H5-'[22]Pay &amp; Pension Workings'!H113-'[22]TA Workings'!J113&lt;'[22]Group Sizes'!$B$48,'[22]Group Sizes'!$C$48,IF(I5+H5-'[22]Pay &amp; Pension Workings'!H113-'[22]TA Workings'!J113&lt;'[22]Group Sizes'!$B$49,'[22]Group Sizes'!$C$49,IF(I5+H5-'[22]Pay &amp; Pension Workings'!H113-'[22]TA Workings'!J113&lt;'[22]Group Sizes'!$B$50,'[22]Group Sizes'!$C$50,IF(I5+H5-'[22]Pay &amp; Pension Workings'!H113-'[22]TA Workings'!J113&lt;'[22]Group Sizes'!$B$51,'[22]Group Sizes'!$C$51,IF(I5+H5-'[22]Pay &amp; Pension Workings'!H113-'[22]TA Workings'!J113&lt;'[22]Group Sizes'!$B$52,'[22]Group Sizes'!$C$52,IF(I5+H5-'[22]Pay &amp; Pension Workings'!H113-'[22]TA Workings'!J113&lt;'[22]Group Sizes'!$B$53,'[22]Group Sizes'!$C$53,IF(I5+H5-'[22]Pay &amp; Pension Workings'!H113-'[22]TA Workings'!J113&lt;'[22]Group Sizes'!$B$54,'[22]Group Sizes'!$C$54,IF(I5+H5-'[22]Pay &amp; Pension Workings'!H113-'[22]TA Workings'!J113&lt;'[22]Group Sizes'!$B$55,'[22]Group Sizes'!$C$55,IF(I5+H5-'[22]Pay &amp; Pension Workings'!H113-'[22]TA Workings'!J113&lt;'[22]Group Sizes'!$B$56,'[22]Group Sizes'!$C$56)))))))))))</f>
        <v>School Size 4</v>
      </c>
      <c r="D5" s="245">
        <f>IF(H5+I5-'[22]Pay &amp; Pension Workings'!H113-'[22]TA Workings'!J113&lt;'[22]Group Sizes'!$B$46,'[22]Group Sizes'!$D$46,IF('[22]2122 Funding Detail'!H5+I5-'[22]Pay &amp; Pension Workings'!H113-'[22]TA Workings'!J113&lt;'[22]Group Sizes'!$B$47,'[22]Group Sizes'!$D$47,IF('[22]2122 Funding Detail'!H5+I5-'[22]Pay &amp; Pension Workings'!H113-'[22]TA Workings'!J113&lt;'[22]Group Sizes'!$B$48,'[22]Group Sizes'!$D$48,IF(H5+I5-'[22]Pay &amp; Pension Workings'!H113-'[22]TA Workings'!J113&lt;'[22]Group Sizes'!$B$49,'[22]Group Sizes'!$D$49,IF(H5+I5-'[22]Pay &amp; Pension Workings'!H113-'[22]TA Workings'!J113&lt;'[22]Group Sizes'!$B$50,'[22]Group Sizes'!$D$50,IF(H5+I5-'[22]Pay &amp; Pension Workings'!H113-'[22]TA Workings'!J113&lt;'[22]Group Sizes'!$B$51,'[22]Group Sizes'!$D$51,IF(H5+I5-'[22]Pay &amp; Pension Workings'!H113-'[22]TA Workings'!J113&lt;'[22]Group Sizes'!$B$52,'[22]Group Sizes'!$D$52,IF(H5+I5-'[22]Pay &amp; Pension Workings'!H113-'[22]TA Workings'!J113&lt;'[22]Group Sizes'!$B$53,'[22]Group Sizes'!$D$53,IF(H5+I5-'[22]Pay &amp; Pension Workings'!H113-'[22]TA Workings'!J113&lt;'[22]Group Sizes'!$B$54,'[22]Group Sizes'!$D$54,IF(H5+I5-'[22]Pay &amp; Pension Workings'!H113-'[22]TA Workings'!J113&lt;'[22]Group Sizes'!$B$55,'[22]Group Sizes'!$D$55,IF(H5+I5-'[22]Pay &amp; Pension Workings'!H113-'[22]TA Workings'!J113&lt;'[22]Group Sizes'!$B$56,'[22]Group Sizes'!$D$56)))))))))))</f>
        <v>360000</v>
      </c>
      <c r="E5" s="245">
        <f>IF(I5+H5-'[22]Pay &amp; Pension Workings'!H113-'[22]TA Workings'!J113&lt;'[22]Group Sizes'!$B$46,'[22]Group Sizes'!$E$46,IF('[22]2122 Funding Detail'!I5+H5-'[22]Pay &amp; Pension Workings'!H113-'[22]TA Workings'!J113&lt;'[22]Group Sizes'!$B$47,'[22]Group Sizes'!$E$47,IF('[22]2122 Funding Detail'!I5+H5-'[22]Pay &amp; Pension Workings'!H113-'[22]TA Workings'!J113&lt;'[22]Group Sizes'!$B$48,'[22]Group Sizes'!$E$48,IF(I5+H5-'[22]Pay &amp; Pension Workings'!H113-'[22]TA Workings'!J113&lt;'[22]Group Sizes'!$B$49,'[22]Group Sizes'!$E$49,IF(I5+H5-'[22]Pay &amp; Pension Workings'!H113-'[22]TA Workings'!J113&lt;'[22]Group Sizes'!$B$50,'[22]Group Sizes'!$E$50,IF(I5+H5-'[22]Pay &amp; Pension Workings'!H113-'[22]TA Workings'!J113&lt;'[22]Group Sizes'!$B$51,'[22]Group Sizes'!$E$51,IF(I5+H5-'[22]Pay &amp; Pension Workings'!H113-'[22]TA Workings'!J113&lt;'[22]Group Sizes'!$B$52,'[22]Group Sizes'!$E$52,IF(I5+H5-'[22]Pay &amp; Pension Workings'!H113-'[22]TA Workings'!J113&lt;'[22]Group Sizes'!$B$53,'[22]Group Sizes'!$E$53,IF(I5+H5-'[22]Pay &amp; Pension Workings'!H113-'[22]TA Workings'!J113&lt;'[22]Group Sizes'!$B$54,'[22]Group Sizes'!$E$54,IF(I5+H5-'[22]Pay &amp; Pension Workings'!H113-'[22]TA Workings'!J113&lt;'[22]Group Sizes'!$B$55,'[22]Group Sizes'!$E$55,IF(I5+H5-'[22]Pay &amp; Pension Workings'!H113-'[22]TA Workings'!J113&lt;'[22]Group Sizes'!$B$56,'[22]Group Sizes'!$E$56)))))))))))</f>
        <v>110000</v>
      </c>
      <c r="F5" s="245"/>
      <c r="G5" s="245"/>
      <c r="H5" s="248">
        <f>VLOOKUP(A5,'[22]2122 Band Calculations'!$A$112:$T$129,10,FALSE)</f>
        <v>1001409.0586673757</v>
      </c>
      <c r="I5" s="248">
        <f>VLOOKUP(A5,'[22]2122 Band Calculations'!$A$112:$T$129,17,FALSE)</f>
        <v>13710.234375</v>
      </c>
      <c r="J5" s="245">
        <f>VLOOKUP(A5,'[22]2122 FSM Calculation'!$A$4:$D$21,4,FALSE)</f>
        <v>10323.550000000001</v>
      </c>
      <c r="K5" s="245">
        <f t="shared" si="0"/>
        <v>1495442.8430423758</v>
      </c>
      <c r="L5" s="248">
        <f t="shared" ref="L5:L21" si="2">K5-F5-G5</f>
        <v>1495442.8430423758</v>
      </c>
      <c r="M5" s="1036">
        <f>VLOOKUP(A5,'[22]2122 Band Calculations'!$A$112:$T$129,19,FALSE)</f>
        <v>83.25</v>
      </c>
      <c r="N5" s="235">
        <f>VLOOKUP(A5,'[22]2122 Band Calculations'!$A$110:$AL$129,38,(FALSE))</f>
        <v>119027.6684821916</v>
      </c>
      <c r="O5" s="253">
        <f>M5-(M5*(VLOOKUP(A5,'[22]2122 Band Calculations'!$A$6:$J$23,10,(FALSE))))</f>
        <v>78.046875</v>
      </c>
      <c r="P5" s="235">
        <f t="shared" ref="P5:P21" si="3">(H5+I5-N5)/O5</f>
        <v>11481.454248618975</v>
      </c>
      <c r="Q5" s="1025">
        <f>'[22]2122 MFG Protection'!L17</f>
        <v>1106.2590793901277</v>
      </c>
      <c r="R5" s="1025">
        <f t="shared" ref="R5:R21" si="4">L5+Q5</f>
        <v>1496549.102121766</v>
      </c>
      <c r="S5" s="235">
        <f t="shared" ref="S5:S21" si="5">M5*10000</f>
        <v>832500</v>
      </c>
      <c r="T5" s="235">
        <f t="shared" ref="T5:T21" si="6">IF(S5&gt;R5,(S5-R5),(0))</f>
        <v>0</v>
      </c>
      <c r="U5" s="242">
        <f t="shared" ref="U5:U21" si="7">R5/M5</f>
        <v>17976.565791252444</v>
      </c>
      <c r="V5" s="242">
        <f t="shared" si="1"/>
        <v>832500</v>
      </c>
      <c r="W5" s="242">
        <f t="shared" ref="W5:W21" si="8">U5-10000</f>
        <v>7976.5657912524439</v>
      </c>
      <c r="X5" s="245">
        <f t="shared" ref="X5:X21" si="9">R5-V5</f>
        <v>664049.10212176596</v>
      </c>
      <c r="Y5" s="245">
        <f t="shared" ref="Y5:Y21" si="10">V5+X5</f>
        <v>1496549.102121766</v>
      </c>
      <c r="Z5" s="245">
        <f t="shared" ref="Z5:Z21" si="11">R5-Y5</f>
        <v>0</v>
      </c>
      <c r="AB5" s="387"/>
      <c r="AC5" s="387"/>
      <c r="AD5" s="387"/>
      <c r="AE5" s="1037"/>
    </row>
    <row r="6" spans="1:32" x14ac:dyDescent="0.25">
      <c r="A6" s="244">
        <v>9257025</v>
      </c>
      <c r="B6" s="237" t="s">
        <v>806</v>
      </c>
      <c r="C6" s="1038" t="str">
        <f>IF(I6+H6-'[22]Pay &amp; Pension Workings'!H114-'[22]TA Workings'!J114&lt;'[22]Group Sizes'!$B$46,'[22]Group Sizes'!$C$46,IF('[22]2122 Funding Detail'!I6+H6-'[22]Pay &amp; Pension Workings'!H114-'[22]TA Workings'!J114&lt;'[22]Group Sizes'!$B$47,'[22]Group Sizes'!$C$47,IF('[22]2122 Funding Detail'!I6+H6-'[22]Pay &amp; Pension Workings'!H114-'[22]TA Workings'!J114&lt;'[22]Group Sizes'!$B$48,'[22]Group Sizes'!$C$48,IF(I6+H6-'[22]Pay &amp; Pension Workings'!H114-'[22]TA Workings'!J114&lt;'[22]Group Sizes'!$B$49,'[22]Group Sizes'!$C$49,IF(I6+H6-'[22]Pay &amp; Pension Workings'!H114-'[22]TA Workings'!J114&lt;'[22]Group Sizes'!$B$50,'[22]Group Sizes'!$C$50,IF(I6+H6-'[22]Pay &amp; Pension Workings'!H114-'[22]TA Workings'!J114&lt;'[22]Group Sizes'!$B$51,'[22]Group Sizes'!$C$51,IF(I6+H6-'[22]Pay &amp; Pension Workings'!H114-'[22]TA Workings'!J114&lt;'[22]Group Sizes'!$B$52,'[22]Group Sizes'!$C$52,IF(I6+H6-'[22]Pay &amp; Pension Workings'!H114-'[22]TA Workings'!J114&lt;'[22]Group Sizes'!$B$53,'[22]Group Sizes'!$C$53,IF(I6+H6-'[22]Pay &amp; Pension Workings'!H114-'[22]TA Workings'!J114&lt;'[22]Group Sizes'!$B$54,'[22]Group Sizes'!$C$54,IF(I6+H6-'[22]Pay &amp; Pension Workings'!H114-'[22]TA Workings'!J114&lt;'[22]Group Sizes'!$B$55,'[22]Group Sizes'!$C$55,IF(I6+H6-'[22]Pay &amp; Pension Workings'!H114-'[22]TA Workings'!J114&lt;'[22]Group Sizes'!$B$56,'[22]Group Sizes'!$C$56)))))))))))</f>
        <v>School Size 4</v>
      </c>
      <c r="D6" s="245">
        <f>IF(H6+I6-'[22]Pay &amp; Pension Workings'!H114-'[22]TA Workings'!J114&lt;'[22]Group Sizes'!$B$46,'[22]Group Sizes'!$D$46,IF('[22]2122 Funding Detail'!H6+I6-'[22]Pay &amp; Pension Workings'!H114-'[22]TA Workings'!J114&lt;'[22]Group Sizes'!$B$47,'[22]Group Sizes'!$D$47,IF('[22]2122 Funding Detail'!H6+I6-'[22]Pay &amp; Pension Workings'!H114-'[22]TA Workings'!J114&lt;'[22]Group Sizes'!$B$48,'[22]Group Sizes'!$D$48,IF(H6+I6-'[22]Pay &amp; Pension Workings'!H114-'[22]TA Workings'!J114&lt;'[22]Group Sizes'!$B$49,'[22]Group Sizes'!$D$49,IF(H6+I6-'[22]Pay &amp; Pension Workings'!H114-'[22]TA Workings'!J114&lt;'[22]Group Sizes'!$B$50,'[22]Group Sizes'!$D$50,IF(H6+I6-'[22]Pay &amp; Pension Workings'!H114-'[22]TA Workings'!J114&lt;'[22]Group Sizes'!$B$51,'[22]Group Sizes'!$D$51,IF(H6+I6-'[22]Pay &amp; Pension Workings'!H114-'[22]TA Workings'!J114&lt;'[22]Group Sizes'!$B$52,'[22]Group Sizes'!$D$52,IF(H6+I6-'[22]Pay &amp; Pension Workings'!H114-'[22]TA Workings'!J114&lt;'[22]Group Sizes'!$B$53,'[22]Group Sizes'!$D$53,IF(H6+I6-'[22]Pay &amp; Pension Workings'!H114-'[22]TA Workings'!J114&lt;'[22]Group Sizes'!$B$54,'[22]Group Sizes'!$D$54,IF(H6+I6-'[22]Pay &amp; Pension Workings'!H114-'[22]TA Workings'!J114&lt;'[22]Group Sizes'!$B$55,'[22]Group Sizes'!$D$55,IF(H6+I6-'[22]Pay &amp; Pension Workings'!H114-'[22]TA Workings'!J114&lt;'[22]Group Sizes'!$B$56,'[22]Group Sizes'!$D$56)))))))))))</f>
        <v>360000</v>
      </c>
      <c r="E6" s="245">
        <f>IF(I6+H6-'[22]Pay &amp; Pension Workings'!H114-'[22]TA Workings'!J114&lt;'[22]Group Sizes'!$B$46,'[22]Group Sizes'!$E$46,IF('[22]2122 Funding Detail'!I6+H6-'[22]Pay &amp; Pension Workings'!H114-'[22]TA Workings'!J114&lt;'[22]Group Sizes'!$B$47,'[22]Group Sizes'!$E$47,IF('[22]2122 Funding Detail'!I6+H6-'[22]Pay &amp; Pension Workings'!H114-'[22]TA Workings'!J114&lt;'[22]Group Sizes'!$B$48,'[22]Group Sizes'!$E$48,IF(I6+H6-'[22]Pay &amp; Pension Workings'!H114-'[22]TA Workings'!J114&lt;'[22]Group Sizes'!$B$49,'[22]Group Sizes'!$E$49,IF(I6+H6-'[22]Pay &amp; Pension Workings'!H114-'[22]TA Workings'!J114&lt;'[22]Group Sizes'!$B$50,'[22]Group Sizes'!$E$50,IF(I6+H6-'[22]Pay &amp; Pension Workings'!H114-'[22]TA Workings'!J114&lt;'[22]Group Sizes'!$B$51,'[22]Group Sizes'!$E$51,IF(I6+H6-'[22]Pay &amp; Pension Workings'!H114-'[22]TA Workings'!J114&lt;'[22]Group Sizes'!$B$52,'[22]Group Sizes'!$E$52,IF(I6+H6-'[22]Pay &amp; Pension Workings'!H114-'[22]TA Workings'!J114&lt;'[22]Group Sizes'!$B$53,'[22]Group Sizes'!$E$53,IF(I6+H6-'[22]Pay &amp; Pension Workings'!H114-'[22]TA Workings'!J114&lt;'[22]Group Sizes'!$B$54,'[22]Group Sizes'!$E$54,IF(I6+H6-'[22]Pay &amp; Pension Workings'!H114-'[22]TA Workings'!J114&lt;'[22]Group Sizes'!$B$55,'[22]Group Sizes'!$E$55,IF(I6+H6-'[22]Pay &amp; Pension Workings'!H114-'[22]TA Workings'!J114&lt;'[22]Group Sizes'!$B$56,'[22]Group Sizes'!$E$56)))))))))))</f>
        <v>110000</v>
      </c>
      <c r="F6" s="245"/>
      <c r="G6" s="245"/>
      <c r="H6" s="248">
        <f>VLOOKUP(A6,'[22]2122 Band Calculations'!$A$112:$T$129,10,FALSE)</f>
        <v>857582.99105446076</v>
      </c>
      <c r="I6" s="248">
        <f>VLOOKUP(A6,'[22]2122 Band Calculations'!$A$112:$T$129,17,FALSE)</f>
        <v>7956.3311688311687</v>
      </c>
      <c r="J6" s="245">
        <f>VLOOKUP(A6,'[22]2122 FSM Calculation'!$A$4:$D$21,4,FALSE)</f>
        <v>9425.85</v>
      </c>
      <c r="K6" s="245">
        <f t="shared" si="0"/>
        <v>1344965.1722232921</v>
      </c>
      <c r="L6" s="248">
        <f t="shared" si="2"/>
        <v>1344965.1722232921</v>
      </c>
      <c r="M6" s="1036">
        <f>VLOOKUP(A6,'[22]2122 Band Calculations'!$A$112:$T$129,19,FALSE)</f>
        <v>77.5</v>
      </c>
      <c r="N6" s="235">
        <f>VLOOKUP(A6,'[22]2122 Band Calculations'!$A$110:$AL$129,38,(FALSE))</f>
        <v>92098.940863721436</v>
      </c>
      <c r="O6" s="253">
        <f>M6-(M6*(VLOOKUP(A6,'[22]2122 Band Calculations'!$A$6:$J$23,10,(FALSE))))</f>
        <v>73.474025974025977</v>
      </c>
      <c r="P6" s="235">
        <f t="shared" si="3"/>
        <v>10526.718402949524</v>
      </c>
      <c r="Q6" s="1025">
        <f>'[22]2122 MFG Protection'!L25</f>
        <v>20124.481605575605</v>
      </c>
      <c r="R6" s="1025">
        <f t="shared" si="4"/>
        <v>1365089.6538288677</v>
      </c>
      <c r="S6" s="235">
        <f t="shared" si="5"/>
        <v>775000</v>
      </c>
      <c r="T6" s="235">
        <f t="shared" si="6"/>
        <v>0</v>
      </c>
      <c r="U6" s="242">
        <f t="shared" si="7"/>
        <v>17614.060049404743</v>
      </c>
      <c r="V6" s="242">
        <f t="shared" si="1"/>
        <v>775000</v>
      </c>
      <c r="W6" s="242">
        <f t="shared" si="8"/>
        <v>7614.060049404743</v>
      </c>
      <c r="X6" s="245">
        <f t="shared" si="9"/>
        <v>590089.65382886771</v>
      </c>
      <c r="Y6" s="245">
        <f t="shared" si="10"/>
        <v>1365089.6538288677</v>
      </c>
      <c r="Z6" s="245">
        <f t="shared" si="11"/>
        <v>0</v>
      </c>
      <c r="AB6" s="387"/>
      <c r="AC6" s="387"/>
      <c r="AD6" s="387"/>
      <c r="AE6" s="1037"/>
    </row>
    <row r="7" spans="1:32" x14ac:dyDescent="0.25">
      <c r="A7" s="244">
        <v>9257011</v>
      </c>
      <c r="B7" s="237" t="s">
        <v>210</v>
      </c>
      <c r="C7" s="1039" t="str">
        <f>IF(I7+H7-'[22]Pay &amp; Pension Workings'!H115-'[22]TA Workings'!J115&lt;'[22]Group Sizes'!$B$46,'[22]Group Sizes'!$C$46,IF('[22]2122 Funding Detail'!I7+H7-'[22]Pay &amp; Pension Workings'!H115-'[22]TA Workings'!J115&lt;'[22]Group Sizes'!$B$47,'[22]Group Sizes'!$C$47,IF('[22]2122 Funding Detail'!I7+H7-'[22]Pay &amp; Pension Workings'!H115-'[22]TA Workings'!J115&lt;'[22]Group Sizes'!$B$48,'[22]Group Sizes'!$C$48,IF(I7+H7-'[22]Pay &amp; Pension Workings'!H115-'[22]TA Workings'!J115&lt;'[22]Group Sizes'!$B$49,'[22]Group Sizes'!$C$49,IF(I7+H7-'[22]Pay &amp; Pension Workings'!H115-'[22]TA Workings'!J115&lt;'[22]Group Sizes'!$B$50,'[22]Group Sizes'!$C$50,IF(I7+H7-'[22]Pay &amp; Pension Workings'!H115-'[22]TA Workings'!J115&lt;'[22]Group Sizes'!$B$51,'[22]Group Sizes'!$C$51,IF(I7+H7-'[22]Pay &amp; Pension Workings'!H115-'[22]TA Workings'!J115&lt;'[22]Group Sizes'!$B$52,'[22]Group Sizes'!$C$52,IF(I7+H7-'[22]Pay &amp; Pension Workings'!H115-'[22]TA Workings'!J115&lt;'[22]Group Sizes'!$B$53,'[22]Group Sizes'!$C$53,IF(I7+H7-'[22]Pay &amp; Pension Workings'!H115-'[22]TA Workings'!J115&lt;'[22]Group Sizes'!$B$54,'[22]Group Sizes'!$C$54,IF(I7+H7-'[22]Pay &amp; Pension Workings'!H115-'[22]TA Workings'!J115&lt;'[22]Group Sizes'!$B$55,'[22]Group Sizes'!$C$55,IF(I7+H7-'[22]Pay &amp; Pension Workings'!H115-'[22]TA Workings'!J115&lt;'[22]Group Sizes'!$B$56,'[22]Group Sizes'!$C$56)))))))))))</f>
        <v>School Size 3 Transition Point</v>
      </c>
      <c r="D7" s="245">
        <f>IF(H7+I7-'[22]Pay &amp; Pension Workings'!H115-'[22]TA Workings'!J115&lt;'[22]Group Sizes'!$B$46,'[22]Group Sizes'!$D$46,IF('[22]2122 Funding Detail'!H7+I7-'[22]Pay &amp; Pension Workings'!H115-'[22]TA Workings'!J115&lt;'[22]Group Sizes'!$B$47,'[22]Group Sizes'!$D$47,IF('[22]2122 Funding Detail'!H7+I7-'[22]Pay &amp; Pension Workings'!H115-'[22]TA Workings'!J115&lt;'[22]Group Sizes'!$B$48,'[22]Group Sizes'!$D$48,IF(H7+I7-'[22]Pay &amp; Pension Workings'!H115-'[22]TA Workings'!J115&lt;'[22]Group Sizes'!$B$49,'[22]Group Sizes'!$D$49,IF(H7+I7-'[22]Pay &amp; Pension Workings'!H115-'[22]TA Workings'!J115&lt;'[22]Group Sizes'!$B$50,'[22]Group Sizes'!$D$50,IF(H7+I7-'[22]Pay &amp; Pension Workings'!H115-'[22]TA Workings'!J115&lt;'[22]Group Sizes'!$B$51,'[22]Group Sizes'!$D$51,IF(H7+I7-'[22]Pay &amp; Pension Workings'!H115-'[22]TA Workings'!J115&lt;'[22]Group Sizes'!$B$52,'[22]Group Sizes'!$D$52,IF(H7+I7-'[22]Pay &amp; Pension Workings'!H115-'[22]TA Workings'!J115&lt;'[22]Group Sizes'!$B$53,'[22]Group Sizes'!$D$53,IF(H7+I7-'[22]Pay &amp; Pension Workings'!H115-'[22]TA Workings'!J115&lt;'[22]Group Sizes'!$B$54,'[22]Group Sizes'!$D$54,IF(H7+I7-'[22]Pay &amp; Pension Workings'!H115-'[22]TA Workings'!J115&lt;'[22]Group Sizes'!$B$55,'[22]Group Sizes'!$D$55,IF(H7+I7-'[22]Pay &amp; Pension Workings'!H115-'[22]TA Workings'!J115&lt;'[22]Group Sizes'!$B$56,'[22]Group Sizes'!$D$56)))))))))))</f>
        <v>332500</v>
      </c>
      <c r="E7" s="245">
        <f>IF(I7+H7-'[22]Pay &amp; Pension Workings'!H115-'[22]TA Workings'!J115&lt;'[22]Group Sizes'!$B$46,'[22]Group Sizes'!$E$46,IF('[22]2122 Funding Detail'!I7+H7-'[22]Pay &amp; Pension Workings'!H115-'[22]TA Workings'!J115&lt;'[22]Group Sizes'!$B$47,'[22]Group Sizes'!$E$47,IF('[22]2122 Funding Detail'!I7+H7-'[22]Pay &amp; Pension Workings'!H115-'[22]TA Workings'!J115&lt;'[22]Group Sizes'!$B$48,'[22]Group Sizes'!$E$48,IF(I7+H7-'[22]Pay &amp; Pension Workings'!H115-'[22]TA Workings'!J115&lt;'[22]Group Sizes'!$B$49,'[22]Group Sizes'!$E$49,IF(I7+H7-'[22]Pay &amp; Pension Workings'!H115-'[22]TA Workings'!J115&lt;'[22]Group Sizes'!$B$50,'[22]Group Sizes'!$E$50,IF(I7+H7-'[22]Pay &amp; Pension Workings'!H115-'[22]TA Workings'!J115&lt;'[22]Group Sizes'!$B$51,'[22]Group Sizes'!$E$51,IF(I7+H7-'[22]Pay &amp; Pension Workings'!H115-'[22]TA Workings'!J115&lt;'[22]Group Sizes'!$B$52,'[22]Group Sizes'!$E$52,IF(I7+H7-'[22]Pay &amp; Pension Workings'!H115-'[22]TA Workings'!J115&lt;'[22]Group Sizes'!$B$53,'[22]Group Sizes'!$E$53,IF(I7+H7-'[22]Pay &amp; Pension Workings'!H115-'[22]TA Workings'!J115&lt;'[22]Group Sizes'!$B$54,'[22]Group Sizes'!$E$54,IF(I7+H7-'[22]Pay &amp; Pension Workings'!H115-'[22]TA Workings'!J115&lt;'[22]Group Sizes'!$B$55,'[22]Group Sizes'!$E$55,IF(I7+H7-'[22]Pay &amp; Pension Workings'!H115-'[22]TA Workings'!J115&lt;'[22]Group Sizes'!$B$56,'[22]Group Sizes'!$E$56)))))))))))</f>
        <v>105000</v>
      </c>
      <c r="F7" s="245"/>
      <c r="G7" s="245"/>
      <c r="H7" s="248">
        <f>VLOOKUP(A7,'[22]2122 Band Calculations'!$A$112:$T$129,10,FALSE)</f>
        <v>743100.46710014949</v>
      </c>
      <c r="I7" s="248">
        <f>VLOOKUP(A7,'[22]2122 Band Calculations'!$A$112:$T$129,17,FALSE)</f>
        <v>2883.5849056603774</v>
      </c>
      <c r="J7" s="245">
        <f>VLOOKUP(A7,'[22]2122 FSM Calculation'!$A$4:$D$21,4,FALSE)</f>
        <v>10772.400000000001</v>
      </c>
      <c r="K7" s="245">
        <f t="shared" si="0"/>
        <v>1194256.4520058099</v>
      </c>
      <c r="L7" s="248">
        <f t="shared" si="2"/>
        <v>1194256.4520058099</v>
      </c>
      <c r="M7" s="1036">
        <f>VLOOKUP(A7,'[22]2122 Band Calculations'!$A$112:$T$129,19,FALSE)</f>
        <v>58</v>
      </c>
      <c r="N7" s="235">
        <f>VLOOKUP(A7,'[22]2122 Band Calculations'!$A$110:$AL$129,38,(FALSE))</f>
        <v>150205.91718711381</v>
      </c>
      <c r="O7" s="253">
        <f>M7-(M7*(VLOOKUP(A7,'[22]2122 Band Calculations'!$A$6:$J$23,10,(FALSE))))</f>
        <v>51.433962264150942</v>
      </c>
      <c r="P7" s="235">
        <f t="shared" si="3"/>
        <v>11583.36065494897</v>
      </c>
      <c r="Q7" s="1025">
        <f>'[22]2122 MFG Protection'!L33</f>
        <v>0</v>
      </c>
      <c r="R7" s="1025">
        <f t="shared" si="4"/>
        <v>1194256.4520058099</v>
      </c>
      <c r="S7" s="235">
        <f t="shared" si="5"/>
        <v>580000</v>
      </c>
      <c r="T7" s="235">
        <f t="shared" si="6"/>
        <v>0</v>
      </c>
      <c r="U7" s="242">
        <f t="shared" si="7"/>
        <v>20590.628482858792</v>
      </c>
      <c r="V7" s="242">
        <f t="shared" si="1"/>
        <v>580000</v>
      </c>
      <c r="W7" s="242">
        <f t="shared" si="8"/>
        <v>10590.628482858792</v>
      </c>
      <c r="X7" s="245">
        <f t="shared" si="9"/>
        <v>614256.45200580987</v>
      </c>
      <c r="Y7" s="245">
        <f t="shared" si="10"/>
        <v>1194256.4520058099</v>
      </c>
      <c r="Z7" s="245">
        <f t="shared" si="11"/>
        <v>0</v>
      </c>
      <c r="AB7" s="387"/>
      <c r="AC7" s="387"/>
      <c r="AD7" s="387"/>
      <c r="AE7" s="1037"/>
    </row>
    <row r="8" spans="1:32" x14ac:dyDescent="0.25">
      <c r="A8" s="244">
        <v>9257024</v>
      </c>
      <c r="B8" s="237" t="s">
        <v>807</v>
      </c>
      <c r="C8" s="1038" t="str">
        <f>IF(I8+H8-'[22]Pay &amp; Pension Workings'!H116-'[22]TA Workings'!J116&lt;'[22]Group Sizes'!$B$46,'[22]Group Sizes'!$C$46,IF('[22]2122 Funding Detail'!I8+H8-'[22]Pay &amp; Pension Workings'!H116-'[22]TA Workings'!J116&lt;'[22]Group Sizes'!$B$47,'[22]Group Sizes'!$C$47,IF('[22]2122 Funding Detail'!I8+H8-'[22]Pay &amp; Pension Workings'!H116-'[22]TA Workings'!J116&lt;'[22]Group Sizes'!$B$48,'[22]Group Sizes'!$C$48,IF(I8+H8-'[22]Pay &amp; Pension Workings'!H116-'[22]TA Workings'!J116&lt;'[22]Group Sizes'!$B$49,'[22]Group Sizes'!$C$49,IF(I8+H8-'[22]Pay &amp; Pension Workings'!H116-'[22]TA Workings'!J116&lt;'[22]Group Sizes'!$B$50,'[22]Group Sizes'!$C$50,IF(I8+H8-'[22]Pay &amp; Pension Workings'!H116-'[22]TA Workings'!J116&lt;'[22]Group Sizes'!$B$51,'[22]Group Sizes'!$C$51,IF(I8+H8-'[22]Pay &amp; Pension Workings'!H116-'[22]TA Workings'!J116&lt;'[22]Group Sizes'!$B$52,'[22]Group Sizes'!$C$52,IF(I8+H8-'[22]Pay &amp; Pension Workings'!H116-'[22]TA Workings'!J116&lt;'[22]Group Sizes'!$B$53,'[22]Group Sizes'!$C$53,IF(I8+H8-'[22]Pay &amp; Pension Workings'!H116-'[22]TA Workings'!J116&lt;'[22]Group Sizes'!$B$54,'[22]Group Sizes'!$C$54,IF(I8+H8-'[22]Pay &amp; Pension Workings'!H116-'[22]TA Workings'!J116&lt;'[22]Group Sizes'!$B$55,'[22]Group Sizes'!$C$55,IF(I8+H8-'[22]Pay &amp; Pension Workings'!H116-'[22]TA Workings'!J116&lt;'[22]Group Sizes'!$B$56,'[22]Group Sizes'!$C$56)))))))))))</f>
        <v>School Size 4</v>
      </c>
      <c r="D8" s="245">
        <f>IF(H8+I8-'[22]Pay &amp; Pension Workings'!H116-'[22]TA Workings'!J116&lt;'[22]Group Sizes'!$B$46,'[22]Group Sizes'!$D$46,IF('[22]2122 Funding Detail'!H8+I8-'[22]Pay &amp; Pension Workings'!H116-'[22]TA Workings'!J116&lt;'[22]Group Sizes'!$B$47,'[22]Group Sizes'!$D$47,IF('[22]2122 Funding Detail'!H8+I8-'[22]Pay &amp; Pension Workings'!H116-'[22]TA Workings'!J116&lt;'[22]Group Sizes'!$B$48,'[22]Group Sizes'!$D$48,IF(H8+I8-'[22]Pay &amp; Pension Workings'!H116-'[22]TA Workings'!J116&lt;'[22]Group Sizes'!$B$49,'[22]Group Sizes'!$D$49,IF(H8+I8-'[22]Pay &amp; Pension Workings'!H116-'[22]TA Workings'!J116&lt;'[22]Group Sizes'!$B$50,'[22]Group Sizes'!$D$50,IF(H8+I8-'[22]Pay &amp; Pension Workings'!H116-'[22]TA Workings'!J116&lt;'[22]Group Sizes'!$B$51,'[22]Group Sizes'!$D$51,IF(H8+I8-'[22]Pay &amp; Pension Workings'!H116-'[22]TA Workings'!J116&lt;'[22]Group Sizes'!$B$52,'[22]Group Sizes'!$D$52,IF(H8+I8-'[22]Pay &amp; Pension Workings'!H116-'[22]TA Workings'!J116&lt;'[22]Group Sizes'!$B$53,'[22]Group Sizes'!$D$53,IF(H8+I8-'[22]Pay &amp; Pension Workings'!H116-'[22]TA Workings'!J116&lt;'[22]Group Sizes'!$B$54,'[22]Group Sizes'!$D$54,IF(H8+I8-'[22]Pay &amp; Pension Workings'!H116-'[22]TA Workings'!J116&lt;'[22]Group Sizes'!$B$55,'[22]Group Sizes'!$D$55,IF(H8+I8-'[22]Pay &amp; Pension Workings'!H116-'[22]TA Workings'!J116&lt;'[22]Group Sizes'!$B$56,'[22]Group Sizes'!$D$56)))))))))))</f>
        <v>360000</v>
      </c>
      <c r="E8" s="245">
        <f>IF(I8+H8-'[22]Pay &amp; Pension Workings'!H116-'[22]TA Workings'!J116&lt;'[22]Group Sizes'!$B$46,'[22]Group Sizes'!$E$46,IF('[22]2122 Funding Detail'!I8+H8-'[22]Pay &amp; Pension Workings'!H116-'[22]TA Workings'!J116&lt;'[22]Group Sizes'!$B$47,'[22]Group Sizes'!$E$47,IF('[22]2122 Funding Detail'!I8+H8-'[22]Pay &amp; Pension Workings'!H116-'[22]TA Workings'!J116&lt;'[22]Group Sizes'!$B$48,'[22]Group Sizes'!$E$48,IF(I8+H8-'[22]Pay &amp; Pension Workings'!H116-'[22]TA Workings'!J116&lt;'[22]Group Sizes'!$B$49,'[22]Group Sizes'!$E$49,IF(I8+H8-'[22]Pay &amp; Pension Workings'!H116-'[22]TA Workings'!J116&lt;'[22]Group Sizes'!$B$50,'[22]Group Sizes'!$E$50,IF(I8+H8-'[22]Pay &amp; Pension Workings'!H116-'[22]TA Workings'!J116&lt;'[22]Group Sizes'!$B$51,'[22]Group Sizes'!$E$51,IF(I8+H8-'[22]Pay &amp; Pension Workings'!H116-'[22]TA Workings'!J116&lt;'[22]Group Sizes'!$B$52,'[22]Group Sizes'!$E$52,IF(I8+H8-'[22]Pay &amp; Pension Workings'!H116-'[22]TA Workings'!J116&lt;'[22]Group Sizes'!$B$53,'[22]Group Sizes'!$E$53,IF(I8+H8-'[22]Pay &amp; Pension Workings'!H116-'[22]TA Workings'!J116&lt;'[22]Group Sizes'!$B$54,'[22]Group Sizes'!$E$54,IF(I8+H8-'[22]Pay &amp; Pension Workings'!H116-'[22]TA Workings'!J116&lt;'[22]Group Sizes'!$B$55,'[22]Group Sizes'!$E$55,IF(I8+H8-'[22]Pay &amp; Pension Workings'!H116-'[22]TA Workings'!J116&lt;'[22]Group Sizes'!$B$56,'[22]Group Sizes'!$E$56)))))))))))</f>
        <v>110000</v>
      </c>
      <c r="F8" s="245"/>
      <c r="G8" s="245"/>
      <c r="H8" s="248">
        <f>VLOOKUP(A8,'[22]2122 Band Calculations'!$A$112:$T$129,10,FALSE)</f>
        <v>983575.69878823857</v>
      </c>
      <c r="I8" s="248">
        <f>VLOOKUP(A8,'[22]2122 Band Calculations'!$A$112:$T$129,17,FALSE)</f>
        <v>2664.1014056224903</v>
      </c>
      <c r="J8" s="245">
        <f>VLOOKUP(A8,'[22]2122 FSM Calculation'!$A$4:$D$21,4,FALSE)</f>
        <v>9874.7000000000007</v>
      </c>
      <c r="K8" s="245">
        <f t="shared" si="0"/>
        <v>1466114.5001938611</v>
      </c>
      <c r="L8" s="248">
        <f t="shared" si="2"/>
        <v>1466114.5001938611</v>
      </c>
      <c r="M8" s="1036">
        <f>VLOOKUP(A8,'[22]2122 Band Calculations'!$A$112:$T$129,19,FALSE)</f>
        <v>83.916666666666686</v>
      </c>
      <c r="N8" s="235">
        <f>VLOOKUP(A8,'[22]2122 Band Calculations'!$A$110:$AL$129,38,(FALSE))</f>
        <v>208159.53485130478</v>
      </c>
      <c r="O8" s="253">
        <f>M8-(M8*(VLOOKUP(A8,'[22]2122 Band Calculations'!$A$6:$J$23,10,(FALSE))))</f>
        <v>74.817269076305237</v>
      </c>
      <c r="P8" s="235">
        <f t="shared" si="3"/>
        <v>10399.74159640873</v>
      </c>
      <c r="Q8" s="1025">
        <f>'[22]2122 MFG Protection'!L41</f>
        <v>21452.798486354863</v>
      </c>
      <c r="R8" s="1025">
        <f t="shared" si="4"/>
        <v>1487567.2986802158</v>
      </c>
      <c r="S8" s="235">
        <f t="shared" si="5"/>
        <v>839166.66666666686</v>
      </c>
      <c r="T8" s="235">
        <f t="shared" si="6"/>
        <v>0</v>
      </c>
      <c r="U8" s="242">
        <f>R8/M8</f>
        <v>17726.720540379927</v>
      </c>
      <c r="V8" s="242">
        <f t="shared" si="1"/>
        <v>839166.66666666686</v>
      </c>
      <c r="W8" s="242">
        <f t="shared" si="8"/>
        <v>7726.7205403799271</v>
      </c>
      <c r="X8" s="245">
        <f t="shared" si="9"/>
        <v>648400.63201354898</v>
      </c>
      <c r="Y8" s="245">
        <f t="shared" si="10"/>
        <v>1487567.2986802158</v>
      </c>
      <c r="Z8" s="245">
        <f t="shared" si="11"/>
        <v>0</v>
      </c>
      <c r="AB8" s="387"/>
      <c r="AC8" s="387"/>
      <c r="AD8" s="387"/>
      <c r="AE8" s="1037"/>
    </row>
    <row r="9" spans="1:32" ht="13" x14ac:dyDescent="0.3">
      <c r="A9" s="244">
        <v>9257031</v>
      </c>
      <c r="B9" s="32" t="s">
        <v>557</v>
      </c>
      <c r="C9" s="1035" t="str">
        <f>IF(I9+H9-'[22]Pay &amp; Pension Workings'!H117-'[22]TA Workings'!J117&lt;'[22]Group Sizes'!$B$46,'[22]Group Sizes'!$C$46,IF('[22]2122 Funding Detail'!I9+H9-'[22]Pay &amp; Pension Workings'!H117-'[22]TA Workings'!J117&lt;'[22]Group Sizes'!$B$47,'[22]Group Sizes'!$C$47,IF('[22]2122 Funding Detail'!I9+H9-'[22]Pay &amp; Pension Workings'!H117-'[22]TA Workings'!J117&lt;'[22]Group Sizes'!$B$48,'[22]Group Sizes'!$C$48,IF(I9+H9-'[22]Pay &amp; Pension Workings'!H117-'[22]TA Workings'!J117&lt;'[22]Group Sizes'!$B$49,'[22]Group Sizes'!$C$49,IF(I9+H9-'[22]Pay &amp; Pension Workings'!H117-'[22]TA Workings'!J117&lt;'[22]Group Sizes'!$B$50,'[22]Group Sizes'!$C$50,IF(I9+H9-'[22]Pay &amp; Pension Workings'!H117-'[22]TA Workings'!J117&lt;'[22]Group Sizes'!$B$51,'[22]Group Sizes'!$C$51,IF(I9+H9-'[22]Pay &amp; Pension Workings'!H117-'[22]TA Workings'!J117&lt;'[22]Group Sizes'!$B$52,'[22]Group Sizes'!$C$52,IF(I9+H9-'[22]Pay &amp; Pension Workings'!H117-'[22]TA Workings'!J117&lt;'[22]Group Sizes'!$B$53,'[22]Group Sizes'!$C$53,IF(I9+H9-'[22]Pay &amp; Pension Workings'!H117-'[22]TA Workings'!J117&lt;'[22]Group Sizes'!$B$54,'[22]Group Sizes'!$C$54,IF(I9+H9-'[22]Pay &amp; Pension Workings'!H117-'[22]TA Workings'!J117&lt;'[22]Group Sizes'!$B$55,'[22]Group Sizes'!$C$55,IF(I9+H9-'[22]Pay &amp; Pension Workings'!H117-'[22]TA Workings'!J117&lt;'[22]Group Sizes'!$B$56,'[22]Group Sizes'!$C$56)))))))))))</f>
        <v>School Size 5</v>
      </c>
      <c r="D9" s="245">
        <f>IF(H9+I9-'[22]Pay &amp; Pension Workings'!H117-'[22]TA Workings'!J117&lt;'[22]Group Sizes'!$B$61,'[22]Group Sizes'!$D$61,IF('[22]2122 Funding Detail'!H9+I9-'[22]Pay &amp; Pension Workings'!H117-'[22]TA Workings'!J117&lt;'[22]Group Sizes'!$B$62,'[22]Group Sizes'!$D$62,IF('[22]2122 Funding Detail'!H9+I9-'[22]Pay &amp; Pension Workings'!H117-'[22]TA Workings'!J117&lt;'[22]Group Sizes'!$B$63,'[22]Group Sizes'!$D$63,IF(H9+I9-'[22]Pay &amp; Pension Workings'!H117-'[22]TA Workings'!J117&lt;'[22]Group Sizes'!$B$64,'[22]Group Sizes'!$D$64,IF(H9+I9-'[22]Pay &amp; Pension Workings'!H117-'[22]TA Workings'!J117&lt;'[22]Group Sizes'!$B$65,'[22]Group Sizes'!$D$65)))))</f>
        <v>360000</v>
      </c>
      <c r="E9" s="245">
        <f>IF(H9+I9-'[22]Pay &amp; Pension Workings'!H117-'[22]TA Workings'!J117&lt;'[22]Group Sizes'!$B$61,'[22]Group Sizes'!$E$61,IF('[22]2122 Funding Detail'!H9+I9-'[22]Pay &amp; Pension Workings'!H117-'[22]TA Workings'!J117&lt;'[22]Group Sizes'!$B$62,'[22]Group Sizes'!$E$62,IF('[22]2122 Funding Detail'!H9+I9-'[22]Pay &amp; Pension Workings'!H117-'[22]TA Workings'!J117&lt;'[22]Group Sizes'!$B$63,'[22]Group Sizes'!$E$63,IF(H9+I9-'[22]Pay &amp; Pension Workings'!H117-'[22]TA Workings'!J117&lt;'[22]Group Sizes'!$B$64,'[22]Group Sizes'!$E$64,IF(H9+I9-'[22]Pay &amp; Pension Workings'!H117-'[22]TA Workings'!J117&lt;'[22]Group Sizes'!$B$65,'[22]Group Sizes'!$E$65)))))</f>
        <v>85000</v>
      </c>
      <c r="F9" s="245">
        <v>187683</v>
      </c>
      <c r="G9" s="245"/>
      <c r="H9" s="248">
        <f>VLOOKUP(A9,'[22]2122 Band Calculations'!$A$112:$T$129,10,FALSE)</f>
        <v>971767.43493117648</v>
      </c>
      <c r="I9" s="248">
        <f>VLOOKUP(A9,'[22]2122 Band Calculations'!$A$112:$T$129,17,FALSE)</f>
        <v>212337.08333333337</v>
      </c>
      <c r="J9" s="245">
        <f>VLOOKUP(A9,'[22]2122 FSM Calculation'!$A$4:$D$21,4,FALSE)</f>
        <v>21095.95</v>
      </c>
      <c r="K9" s="245">
        <f>SUM(D9:J9)</f>
        <v>1837883.4682645097</v>
      </c>
      <c r="L9" s="248">
        <f>K9-F9-G9</f>
        <v>1650200.4682645097</v>
      </c>
      <c r="M9" s="1036">
        <f>VLOOKUP(A9,'[22]2122 Band Calculations'!$A$112:$T$129,19,FALSE)</f>
        <v>80.583333333333343</v>
      </c>
      <c r="N9" s="235">
        <f>VLOOKUP(A9,'[22]2122 Band Calculations'!$A$110:$AL$129,38,(FALSE))</f>
        <v>0</v>
      </c>
      <c r="O9" s="253">
        <f>M9-(M9*(VLOOKUP(A9,'[22]2122 Band Calculations'!$A$6:$J$23,10,(FALSE))))</f>
        <v>80.583333333333343</v>
      </c>
      <c r="P9" s="235">
        <f>(H9+I9-N9)/O9</f>
        <v>14694.161550335177</v>
      </c>
      <c r="Q9" s="1025">
        <f>'[22]2122 MFG Protection'!L49</f>
        <v>17799.737007142194</v>
      </c>
      <c r="R9" s="1025">
        <f>L9+Q9</f>
        <v>1668000.205271652</v>
      </c>
      <c r="S9" s="235">
        <f>M9*10000</f>
        <v>805833.33333333337</v>
      </c>
      <c r="T9" s="235">
        <f>IF(S9&gt;R9,(S9-R9),(0))</f>
        <v>0</v>
      </c>
      <c r="U9" s="242">
        <f>R9/M9</f>
        <v>20699.071833774375</v>
      </c>
      <c r="V9" s="242">
        <f>M9*10000</f>
        <v>805833.33333333337</v>
      </c>
      <c r="W9" s="242">
        <f>U9-10000</f>
        <v>10699.071833774375</v>
      </c>
      <c r="X9" s="245">
        <f>R9-V9</f>
        <v>862166.8719383186</v>
      </c>
      <c r="Y9" s="245">
        <f>V9+X9</f>
        <v>1668000.205271652</v>
      </c>
      <c r="Z9" s="245">
        <f>R9-Y9</f>
        <v>0</v>
      </c>
      <c r="AB9" s="387"/>
      <c r="AC9" s="387"/>
      <c r="AD9" s="387"/>
      <c r="AE9" s="1037"/>
    </row>
    <row r="10" spans="1:32" x14ac:dyDescent="0.25">
      <c r="A10" s="244">
        <v>9257033</v>
      </c>
      <c r="B10" s="237" t="s">
        <v>816</v>
      </c>
      <c r="C10" s="1038" t="str">
        <f>IF(I10+H10-'[22]Pay &amp; Pension Workings'!H118-'[22]TA Workings'!J118&lt;'[22]Group Sizes'!$B$46,'[22]Group Sizes'!$C$46,IF('[22]2122 Funding Detail'!I10+H10-'[22]Pay &amp; Pension Workings'!H118-'[22]TA Workings'!J118&lt;'[22]Group Sizes'!$B$47,'[22]Group Sizes'!$C$47,IF('[22]2122 Funding Detail'!I10+H10-'[22]Pay &amp; Pension Workings'!H118-'[22]TA Workings'!J118&lt;'[22]Group Sizes'!$B$48,'[22]Group Sizes'!$C$48,IF(I10+H10-'[22]Pay &amp; Pension Workings'!H118-'[22]TA Workings'!J118&lt;'[22]Group Sizes'!$B$49,'[22]Group Sizes'!$C$49,IF(I10+H10-'[22]Pay &amp; Pension Workings'!H118-'[22]TA Workings'!J118&lt;'[22]Group Sizes'!$B$50,'[22]Group Sizes'!$C$50,IF(I10+H10-'[22]Pay &amp; Pension Workings'!H118-'[22]TA Workings'!J118&lt;'[22]Group Sizes'!$B$51,'[22]Group Sizes'!$C$51,IF(I10+H10-'[22]Pay &amp; Pension Workings'!H118-'[22]TA Workings'!J118&lt;'[22]Group Sizes'!$B$52,'[22]Group Sizes'!$C$52,IF(I10+H10-'[22]Pay &amp; Pension Workings'!H118-'[22]TA Workings'!J118&lt;'[22]Group Sizes'!$B$53,'[22]Group Sizes'!$C$53,IF(I10+H10-'[22]Pay &amp; Pension Workings'!H118-'[22]TA Workings'!J118&lt;'[22]Group Sizes'!$B$54,'[22]Group Sizes'!$C$54,IF(I10+H10-'[22]Pay &amp; Pension Workings'!H118-'[22]TA Workings'!J118&lt;'[22]Group Sizes'!$B$55,'[22]Group Sizes'!$C$55,IF(I10+H10-'[22]Pay &amp; Pension Workings'!H118-'[22]TA Workings'!J118&lt;'[22]Group Sizes'!$B$56,'[22]Group Sizes'!$C$56)))))))))))</f>
        <v>School Size 4</v>
      </c>
      <c r="D10" s="245">
        <f>IF(H10+I10-'[22]Pay &amp; Pension Workings'!H118-'[22]TA Workings'!J118&lt;'[22]Group Sizes'!$B$46,'[22]Group Sizes'!$D$46,IF('[22]2122 Funding Detail'!H10+I10-'[22]Pay &amp; Pension Workings'!H118-'[22]TA Workings'!J118&lt;'[22]Group Sizes'!$B$47,'[22]Group Sizes'!$D$47,IF('[22]2122 Funding Detail'!H10+I10-'[22]Pay &amp; Pension Workings'!H118-'[22]TA Workings'!J118&lt;'[22]Group Sizes'!$B$48,'[22]Group Sizes'!$D$48,IF(H10+I10-'[22]Pay &amp; Pension Workings'!H118-'[22]TA Workings'!J118&lt;'[22]Group Sizes'!$B$49,'[22]Group Sizes'!$D$49,IF(H10+I10-'[22]Pay &amp; Pension Workings'!H118-'[22]TA Workings'!J118&lt;'[22]Group Sizes'!$B$50,'[22]Group Sizes'!$D$50,IF(H10+I10-'[22]Pay &amp; Pension Workings'!H118-'[22]TA Workings'!J118&lt;'[22]Group Sizes'!$B$51,'[22]Group Sizes'!$D$51,IF(H10+I10-'[22]Pay &amp; Pension Workings'!H118-'[22]TA Workings'!J118&lt;'[22]Group Sizes'!$B$52,'[22]Group Sizes'!$D$52,IF(H10+I10-'[22]Pay &amp; Pension Workings'!H118-'[22]TA Workings'!J118&lt;'[22]Group Sizes'!$B$53,'[22]Group Sizes'!$D$53,IF(H10+I10-'[22]Pay &amp; Pension Workings'!H118-'[22]TA Workings'!J118&lt;'[22]Group Sizes'!$B$54,'[22]Group Sizes'!$D$54,IF(H10+I10-'[22]Pay &amp; Pension Workings'!H118-'[22]TA Workings'!J118&lt;'[22]Group Sizes'!$B$55,'[22]Group Sizes'!$D$55,IF(H10+I10-'[22]Pay &amp; Pension Workings'!H118-'[22]TA Workings'!J118&lt;'[22]Group Sizes'!$B$56,'[22]Group Sizes'!$D$56)))))))))))</f>
        <v>360000</v>
      </c>
      <c r="E10" s="245">
        <f>IF(I10+H10-'[22]Pay &amp; Pension Workings'!H118-'[22]TA Workings'!J118&lt;'[22]Group Sizes'!$B$46,'[22]Group Sizes'!$E$46,IF('[22]2122 Funding Detail'!I10+H10-'[22]Pay &amp; Pension Workings'!H118-'[22]TA Workings'!J118&lt;'[22]Group Sizes'!$B$47,'[22]Group Sizes'!$E$47,IF('[22]2122 Funding Detail'!I10+H10-'[22]Pay &amp; Pension Workings'!H118-'[22]TA Workings'!J118&lt;'[22]Group Sizes'!$B$48,'[22]Group Sizes'!$E$48,IF(I10+H10-'[22]Pay &amp; Pension Workings'!H118-'[22]TA Workings'!J118&lt;'[22]Group Sizes'!$B$49,'[22]Group Sizes'!$E$49,IF(I10+H10-'[22]Pay &amp; Pension Workings'!H118-'[22]TA Workings'!J118&lt;'[22]Group Sizes'!$B$50,'[22]Group Sizes'!$E$50,IF(I10+H10-'[22]Pay &amp; Pension Workings'!H118-'[22]TA Workings'!J118&lt;'[22]Group Sizes'!$B$51,'[22]Group Sizes'!$E$51,IF(I10+H10-'[22]Pay &amp; Pension Workings'!H118-'[22]TA Workings'!J118&lt;'[22]Group Sizes'!$B$52,'[22]Group Sizes'!$E$52,IF(I10+H10-'[22]Pay &amp; Pension Workings'!H118-'[22]TA Workings'!J118&lt;'[22]Group Sizes'!$B$53,'[22]Group Sizes'!$E$53,IF(I10+H10-'[22]Pay &amp; Pension Workings'!H118-'[22]TA Workings'!J118&lt;'[22]Group Sizes'!$B$54,'[22]Group Sizes'!$E$54,IF(I10+H10-'[22]Pay &amp; Pension Workings'!H118-'[22]TA Workings'!J118&lt;'[22]Group Sizes'!$B$55,'[22]Group Sizes'!$E$55,IF(I10+H10-'[22]Pay &amp; Pension Workings'!H118-'[22]TA Workings'!J118&lt;'[22]Group Sizes'!$B$56,'[22]Group Sizes'!$E$56)))))))))))</f>
        <v>110000</v>
      </c>
      <c r="F10" s="245"/>
      <c r="G10" s="245"/>
      <c r="H10" s="248">
        <f>VLOOKUP(A10,'[22]2122 Band Calculations'!$A$112:$T$129,10,FALSE)</f>
        <v>920915.78688585176</v>
      </c>
      <c r="I10" s="248">
        <f>VLOOKUP(A10,'[22]2122 Band Calculations'!$A$112:$T$129,17,FALSE)</f>
        <v>16378.605263157897</v>
      </c>
      <c r="J10" s="245">
        <f>VLOOKUP(A10,'[22]2122 FSM Calculation'!$A$4:$D$21,4,FALSE)</f>
        <v>21993.65</v>
      </c>
      <c r="K10" s="245">
        <f>SUM(D10:J10)</f>
        <v>1429288.0421490096</v>
      </c>
      <c r="L10" s="248">
        <f>K10-F10-G10</f>
        <v>1429288.0421490096</v>
      </c>
      <c r="M10" s="1036">
        <f>VLOOKUP(A10,'[22]2122 Band Calculations'!$A$112:$T$129,19,FALSE)</f>
        <v>98.416666666666671</v>
      </c>
      <c r="N10" s="235">
        <f>VLOOKUP(A10,'[22]2122 Band Calculations'!$A$110:$AL$129,38,(FALSE))</f>
        <v>0</v>
      </c>
      <c r="O10" s="253">
        <f>M10-(M10*(VLOOKUP(A10,'[22]2122 Band Calculations'!$A$6:$J$23,10,(FALSE))))</f>
        <v>98.416666666666671</v>
      </c>
      <c r="P10" s="235">
        <f>(H10+I10-N10)/O10</f>
        <v>9523.7364147232129</v>
      </c>
      <c r="Q10" s="1025">
        <f>'[22]2122 MFG Protection'!L57</f>
        <v>0</v>
      </c>
      <c r="R10" s="1025">
        <f>L10+Q10</f>
        <v>1429288.0421490096</v>
      </c>
      <c r="S10" s="235">
        <f>M10*10000</f>
        <v>984166.66666666674</v>
      </c>
      <c r="T10" s="235">
        <f>IF(S10&gt;R10,(S10-R10),(0))</f>
        <v>0</v>
      </c>
      <c r="U10" s="242">
        <f>R10/M10</f>
        <v>14522.825153080537</v>
      </c>
      <c r="V10" s="242">
        <f>M10*10000</f>
        <v>984166.66666666674</v>
      </c>
      <c r="W10" s="242">
        <f>U10-10000</f>
        <v>4522.8251530805373</v>
      </c>
      <c r="X10" s="245">
        <f>R10-V10</f>
        <v>445121.3754823429</v>
      </c>
      <c r="Y10" s="245">
        <f>V10+X10</f>
        <v>1429288.0421490096</v>
      </c>
      <c r="Z10" s="245">
        <f>R10-Y10</f>
        <v>0</v>
      </c>
      <c r="AB10" s="387"/>
      <c r="AC10" s="387"/>
      <c r="AD10" s="387"/>
      <c r="AE10" s="1037"/>
    </row>
    <row r="11" spans="1:32" x14ac:dyDescent="0.25">
      <c r="A11" s="244">
        <v>9257008</v>
      </c>
      <c r="B11" s="237" t="s">
        <v>340</v>
      </c>
      <c r="C11" s="1038" t="str">
        <f>IF(I11+H11-'[22]Pay &amp; Pension Workings'!H119-'[22]TA Workings'!J119&lt;'[22]Group Sizes'!$B$46,'[22]Group Sizes'!$C$46,IF('[22]2122 Funding Detail'!I11+H11-'[22]Pay &amp; Pension Workings'!H119-'[22]TA Workings'!J119&lt;'[22]Group Sizes'!$B$47,'[22]Group Sizes'!$C$47,IF('[22]2122 Funding Detail'!I11+H11-'[22]Pay &amp; Pension Workings'!H119-'[22]TA Workings'!J119&lt;'[22]Group Sizes'!$B$48,'[22]Group Sizes'!$C$48,IF(I11+H11-'[22]Pay &amp; Pension Workings'!H119-'[22]TA Workings'!J119&lt;'[22]Group Sizes'!$B$49,'[22]Group Sizes'!$C$49,IF(I11+H11-'[22]Pay &amp; Pension Workings'!H119-'[22]TA Workings'!J119&lt;'[22]Group Sizes'!$B$50,'[22]Group Sizes'!$C$50,IF(I11+H11-'[22]Pay &amp; Pension Workings'!H119-'[22]TA Workings'!J119&lt;'[22]Group Sizes'!$B$51,'[22]Group Sizes'!$C$51,IF(I11+H11-'[22]Pay &amp; Pension Workings'!H119-'[22]TA Workings'!J119&lt;'[22]Group Sizes'!$B$52,'[22]Group Sizes'!$C$52,IF(I11+H11-'[22]Pay &amp; Pension Workings'!H119-'[22]TA Workings'!J119&lt;'[22]Group Sizes'!$B$53,'[22]Group Sizes'!$C$53,IF(I11+H11-'[22]Pay &amp; Pension Workings'!H119-'[22]TA Workings'!J119&lt;'[22]Group Sizes'!$B$54,'[22]Group Sizes'!$C$54,IF(I11+H11-'[22]Pay &amp; Pension Workings'!H119-'[22]TA Workings'!J119&lt;'[22]Group Sizes'!$B$55,'[22]Group Sizes'!$C$55,IF(I11+H11-'[22]Pay &amp; Pension Workings'!H119-'[22]TA Workings'!J119&lt;'[22]Group Sizes'!$B$56,'[22]Group Sizes'!$C$56)))))))))))</f>
        <v>School Size 4</v>
      </c>
      <c r="D11" s="245">
        <f>IF(H11+I11-'[22]Pay &amp; Pension Workings'!H119-'[22]TA Workings'!J119&lt;'[22]Group Sizes'!$B$46,'[22]Group Sizes'!$D$46,IF('[22]2122 Funding Detail'!H11+I11-'[22]Pay &amp; Pension Workings'!H119-'[22]TA Workings'!J119&lt;'[22]Group Sizes'!$B$47,'[22]Group Sizes'!$D$47,IF('[22]2122 Funding Detail'!H11+I11-'[22]Pay &amp; Pension Workings'!H119-'[22]TA Workings'!J119&lt;'[22]Group Sizes'!$B$48,'[22]Group Sizes'!$D$48,IF(H11+I11-'[22]Pay &amp; Pension Workings'!H119-'[22]TA Workings'!J119&lt;'[22]Group Sizes'!$B$49,'[22]Group Sizes'!$D$49,IF(H11+I11-'[22]Pay &amp; Pension Workings'!H119-'[22]TA Workings'!J119&lt;'[22]Group Sizes'!$B$50,'[22]Group Sizes'!$D$50,IF(H11+I11-'[22]Pay &amp; Pension Workings'!H119-'[22]TA Workings'!J119&lt;'[22]Group Sizes'!$B$51,'[22]Group Sizes'!$D$51,IF(H11+I11-'[22]Pay &amp; Pension Workings'!H119-'[22]TA Workings'!J119&lt;'[22]Group Sizes'!$B$52,'[22]Group Sizes'!$D$52,IF(H11+I11-'[22]Pay &amp; Pension Workings'!H119-'[22]TA Workings'!J119&lt;'[22]Group Sizes'!$B$53,'[22]Group Sizes'!$D$53,IF(H11+I11-'[22]Pay &amp; Pension Workings'!H119-'[22]TA Workings'!J119&lt;'[22]Group Sizes'!$B$54,'[22]Group Sizes'!$D$54,IF(H11+I11-'[22]Pay &amp; Pension Workings'!H119-'[22]TA Workings'!J119&lt;'[22]Group Sizes'!$B$55,'[22]Group Sizes'!$D$55,IF(H11+I11-'[22]Pay &amp; Pension Workings'!H119-'[22]TA Workings'!J119&lt;'[22]Group Sizes'!$B$56,'[22]Group Sizes'!$D$56)))))))))))</f>
        <v>360000</v>
      </c>
      <c r="E11" s="245">
        <f>IF(I11+H11-'[22]Pay &amp; Pension Workings'!H119-'[22]TA Workings'!J119&lt;'[22]Group Sizes'!$B$46,'[22]Group Sizes'!$E$46,IF('[22]2122 Funding Detail'!I11+H11-'[22]Pay &amp; Pension Workings'!H119-'[22]TA Workings'!J119&lt;'[22]Group Sizes'!$B$47,'[22]Group Sizes'!$E$47,IF('[22]2122 Funding Detail'!I11+H11-'[22]Pay &amp; Pension Workings'!H119-'[22]TA Workings'!J119&lt;'[22]Group Sizes'!$B$48,'[22]Group Sizes'!$E$48,IF(I11+H11-'[22]Pay &amp; Pension Workings'!H119-'[22]TA Workings'!J119&lt;'[22]Group Sizes'!$B$49,'[22]Group Sizes'!$E$49,IF(I11+H11-'[22]Pay &amp; Pension Workings'!H119-'[22]TA Workings'!J119&lt;'[22]Group Sizes'!$B$50,'[22]Group Sizes'!$E$50,IF(I11+H11-'[22]Pay &amp; Pension Workings'!H119-'[22]TA Workings'!J119&lt;'[22]Group Sizes'!$B$51,'[22]Group Sizes'!$E$51,IF(I11+H11-'[22]Pay &amp; Pension Workings'!H119-'[22]TA Workings'!J119&lt;'[22]Group Sizes'!$B$52,'[22]Group Sizes'!$E$52,IF(I11+H11-'[22]Pay &amp; Pension Workings'!H119-'[22]TA Workings'!J119&lt;'[22]Group Sizes'!$B$53,'[22]Group Sizes'!$E$53,IF(I11+H11-'[22]Pay &amp; Pension Workings'!H119-'[22]TA Workings'!J119&lt;'[22]Group Sizes'!$B$54,'[22]Group Sizes'!$E$54,IF(I11+H11-'[22]Pay &amp; Pension Workings'!H119-'[22]TA Workings'!J119&lt;'[22]Group Sizes'!$B$55,'[22]Group Sizes'!$E$55,IF(I11+H11-'[22]Pay &amp; Pension Workings'!H119-'[22]TA Workings'!J119&lt;'[22]Group Sizes'!$B$56,'[22]Group Sizes'!$E$56)))))))))))</f>
        <v>110000</v>
      </c>
      <c r="F11" s="245"/>
      <c r="G11" s="245"/>
      <c r="H11" s="248">
        <f>VLOOKUP(A11,'[22]2122 Band Calculations'!$A$112:$T$129,10,FALSE)</f>
        <v>955264.96067784482</v>
      </c>
      <c r="I11" s="248">
        <f>VLOOKUP(A11,'[22]2122 Band Calculations'!$A$112:$T$129,17,FALSE)</f>
        <v>20991.279461279461</v>
      </c>
      <c r="J11" s="245">
        <f>VLOOKUP(A11,'[22]2122 FSM Calculation'!$A$4:$D$21,4,FALSE)</f>
        <v>14363.2</v>
      </c>
      <c r="K11" s="245">
        <f t="shared" si="0"/>
        <v>1460619.4401391244</v>
      </c>
      <c r="L11" s="248">
        <f t="shared" si="2"/>
        <v>1460619.4401391244</v>
      </c>
      <c r="M11" s="1036">
        <f>VLOOKUP(A11,'[22]2122 Band Calculations'!$A$112:$T$129,19,FALSE)</f>
        <v>98.583333333333343</v>
      </c>
      <c r="N11" s="235">
        <f>VLOOKUP(A11,'[22]2122 Band Calculations'!$A$110:$AL$129,38,(FALSE))</f>
        <v>22779.908282332057</v>
      </c>
      <c r="O11" s="253">
        <f>M11-(M11*(VLOOKUP(A11,'[22]2122 Band Calculations'!$A$6:$J$23,10,(FALSE))))</f>
        <v>97.58754208754209</v>
      </c>
      <c r="P11" s="235">
        <f t="shared" si="3"/>
        <v>9770.4718395455111</v>
      </c>
      <c r="Q11" s="1025">
        <f>'[22]2122 MFG Protection'!L65</f>
        <v>0</v>
      </c>
      <c r="R11" s="1025">
        <f t="shared" si="4"/>
        <v>1460619.4401391244</v>
      </c>
      <c r="S11" s="235">
        <f t="shared" si="5"/>
        <v>985833.33333333337</v>
      </c>
      <c r="T11" s="235">
        <f t="shared" si="6"/>
        <v>0</v>
      </c>
      <c r="U11" s="242">
        <f t="shared" si="7"/>
        <v>14816.088995494076</v>
      </c>
      <c r="V11" s="242">
        <f t="shared" si="1"/>
        <v>985833.33333333337</v>
      </c>
      <c r="W11" s="242">
        <f t="shared" si="8"/>
        <v>4816.0889954940758</v>
      </c>
      <c r="X11" s="245">
        <f t="shared" si="9"/>
        <v>474786.10680579103</v>
      </c>
      <c r="Y11" s="245">
        <f t="shared" si="10"/>
        <v>1460619.4401391244</v>
      </c>
      <c r="Z11" s="245">
        <f t="shared" si="11"/>
        <v>0</v>
      </c>
      <c r="AB11" s="387"/>
      <c r="AC11" s="387"/>
      <c r="AD11" s="387"/>
      <c r="AE11" s="1037"/>
    </row>
    <row r="12" spans="1:32" x14ac:dyDescent="0.25">
      <c r="A12" s="244">
        <v>9257034</v>
      </c>
      <c r="B12" s="237" t="s">
        <v>817</v>
      </c>
      <c r="C12" s="1038" t="str">
        <f>IF(I12+H12-'[22]Pay &amp; Pension Workings'!H120-'[22]TA Workings'!J120&lt;'[22]Group Sizes'!$B$46,'[22]Group Sizes'!$C$46,IF('[22]2122 Funding Detail'!I12+H12-'[22]Pay &amp; Pension Workings'!H120-'[22]TA Workings'!J120&lt;'[22]Group Sizes'!$B$47,'[22]Group Sizes'!$C$47,IF('[22]2122 Funding Detail'!I12+H12-'[22]Pay &amp; Pension Workings'!H120-'[22]TA Workings'!J120&lt;'[22]Group Sizes'!$B$48,'[22]Group Sizes'!$C$48,IF(I12+H12-'[22]Pay &amp; Pension Workings'!H120-'[22]TA Workings'!J120&lt;'[22]Group Sizes'!$B$49,'[22]Group Sizes'!$C$49,IF(I12+H12-'[22]Pay &amp; Pension Workings'!H120-'[22]TA Workings'!J120&lt;'[22]Group Sizes'!$B$50,'[22]Group Sizes'!$C$50,IF(I12+H12-'[22]Pay &amp; Pension Workings'!H120-'[22]TA Workings'!J120&lt;'[22]Group Sizes'!$B$51,'[22]Group Sizes'!$C$51,IF(I12+H12-'[22]Pay &amp; Pension Workings'!H120-'[22]TA Workings'!J120&lt;'[22]Group Sizes'!$B$52,'[22]Group Sizes'!$C$52,IF(I12+H12-'[22]Pay &amp; Pension Workings'!H120-'[22]TA Workings'!J120&lt;'[22]Group Sizes'!$B$53,'[22]Group Sizes'!$C$53,IF(I12+H12-'[22]Pay &amp; Pension Workings'!H120-'[22]TA Workings'!J120&lt;'[22]Group Sizes'!$B$54,'[22]Group Sizes'!$C$54,IF(I12+H12-'[22]Pay &amp; Pension Workings'!H120-'[22]TA Workings'!J120&lt;'[22]Group Sizes'!$B$55,'[22]Group Sizes'!$C$55,IF(I12+H12-'[22]Pay &amp; Pension Workings'!H120-'[22]TA Workings'!J120&lt;'[22]Group Sizes'!$B$56,'[22]Group Sizes'!$C$56)))))))))))</f>
        <v>School Size 4 Transition Point</v>
      </c>
      <c r="D12" s="245">
        <f>IF(H12+I12-'[22]Pay &amp; Pension Workings'!H120-'[22]TA Workings'!J120&lt;'[22]Group Sizes'!$B$46,'[22]Group Sizes'!$D$46,IF('[22]2122 Funding Detail'!H12+I12-'[22]Pay &amp; Pension Workings'!H120-'[22]TA Workings'!J120&lt;'[22]Group Sizes'!$B$47,'[22]Group Sizes'!$D$47,IF('[22]2122 Funding Detail'!H12+I12-'[22]Pay &amp; Pension Workings'!H120-'[22]TA Workings'!J120&lt;'[22]Group Sizes'!$B$48,'[22]Group Sizes'!$D$48,IF(H12+I12-'[22]Pay &amp; Pension Workings'!H120-'[22]TA Workings'!J120&lt;'[22]Group Sizes'!$B$49,'[22]Group Sizes'!$D$49,IF(H12+I12-'[22]Pay &amp; Pension Workings'!H120-'[22]TA Workings'!J120&lt;'[22]Group Sizes'!$B$50,'[22]Group Sizes'!$D$50,IF(H12+I12-'[22]Pay &amp; Pension Workings'!H120-'[22]TA Workings'!J120&lt;'[22]Group Sizes'!$B$51,'[22]Group Sizes'!$D$51,IF(H12+I12-'[22]Pay &amp; Pension Workings'!H120-'[22]TA Workings'!J120&lt;'[22]Group Sizes'!$B$52,'[22]Group Sizes'!$D$52,IF(H12+I12-'[22]Pay &amp; Pension Workings'!H120-'[22]TA Workings'!J120&lt;'[22]Group Sizes'!$B$53,'[22]Group Sizes'!$D$53,IF(H12+I12-'[22]Pay &amp; Pension Workings'!H120-'[22]TA Workings'!J120&lt;'[22]Group Sizes'!$B$54,'[22]Group Sizes'!$D$54,IF(H12+I12-'[22]Pay &amp; Pension Workings'!H120-'[22]TA Workings'!J120&lt;'[22]Group Sizes'!$B$55,'[22]Group Sizes'!$D$55,IF(H12+I12-'[22]Pay &amp; Pension Workings'!H120-'[22]TA Workings'!J120&lt;'[22]Group Sizes'!$B$56,'[22]Group Sizes'!$D$56)))))))))))</f>
        <v>390000</v>
      </c>
      <c r="E12" s="245">
        <f>IF(I12+H12-'[22]Pay &amp; Pension Workings'!H120-'[22]TA Workings'!J120&lt;'[22]Group Sizes'!$B$46,'[22]Group Sizes'!$E$46,IF('[22]2122 Funding Detail'!I12+H12-'[22]Pay &amp; Pension Workings'!H120-'[22]TA Workings'!J120&lt;'[22]Group Sizes'!$B$47,'[22]Group Sizes'!$E$47,IF('[22]2122 Funding Detail'!I12+H12-'[22]Pay &amp; Pension Workings'!H120-'[22]TA Workings'!J120&lt;'[22]Group Sizes'!$B$48,'[22]Group Sizes'!$E$48,IF(I12+H12-'[22]Pay &amp; Pension Workings'!H120-'[22]TA Workings'!J120&lt;'[22]Group Sizes'!$B$49,'[22]Group Sizes'!$E$49,IF(I12+H12-'[22]Pay &amp; Pension Workings'!H120-'[22]TA Workings'!J120&lt;'[22]Group Sizes'!$B$50,'[22]Group Sizes'!$E$50,IF(I12+H12-'[22]Pay &amp; Pension Workings'!H120-'[22]TA Workings'!J120&lt;'[22]Group Sizes'!$B$51,'[22]Group Sizes'!$E$51,IF(I12+H12-'[22]Pay &amp; Pension Workings'!H120-'[22]TA Workings'!J120&lt;'[22]Group Sizes'!$B$52,'[22]Group Sizes'!$E$52,IF(I12+H12-'[22]Pay &amp; Pension Workings'!H120-'[22]TA Workings'!J120&lt;'[22]Group Sizes'!$B$53,'[22]Group Sizes'!$E$53,IF(I12+H12-'[22]Pay &amp; Pension Workings'!H120-'[22]TA Workings'!J120&lt;'[22]Group Sizes'!$B$54,'[22]Group Sizes'!$E$54,IF(I12+H12-'[22]Pay &amp; Pension Workings'!H120-'[22]TA Workings'!J120&lt;'[22]Group Sizes'!$B$55,'[22]Group Sizes'!$E$55,IF(I12+H12-'[22]Pay &amp; Pension Workings'!H120-'[22]TA Workings'!J120&lt;'[22]Group Sizes'!$B$56,'[22]Group Sizes'!$E$56)))))))))))</f>
        <v>115000</v>
      </c>
      <c r="F12" s="245"/>
      <c r="G12" s="245"/>
      <c r="H12" s="248">
        <f>VLOOKUP(A12,'[22]2122 Band Calculations'!$A$112:$T$129,10,FALSE)</f>
        <v>1087703.2634701165</v>
      </c>
      <c r="I12" s="248">
        <f>VLOOKUP(A12,'[22]2122 Band Calculations'!$A$112:$T$129,17,FALSE)</f>
        <v>45895.134680134681</v>
      </c>
      <c r="J12" s="245">
        <f>VLOOKUP(A12,'[22]2122 FSM Calculation'!$A$4:$D$21,4,FALSE)</f>
        <v>21095.95</v>
      </c>
      <c r="K12" s="245">
        <f>SUM(D12:J12)</f>
        <v>1659694.3481502512</v>
      </c>
      <c r="L12" s="248">
        <f>K12-F12-G12</f>
        <v>1659694.3481502512</v>
      </c>
      <c r="M12" s="1036">
        <f>VLOOKUP(A12,'[22]2122 Band Calculations'!$A$112:$T$129,19,FALSE)</f>
        <v>123.16666666666666</v>
      </c>
      <c r="N12" s="235">
        <f>VLOOKUP(A12,'[22]2122 Band Calculations'!$A$110:$AL$129,38,(FALSE))</f>
        <v>28460.443314697197</v>
      </c>
      <c r="O12" s="253">
        <f>M12-(M12*(VLOOKUP(A12,'[22]2122 Band Calculations'!$A$6:$J$23,10,(FALSE))))</f>
        <v>121.92255892255891</v>
      </c>
      <c r="P12" s="235">
        <f>(H12+I12-N12)/O12</f>
        <v>9064.261483697208</v>
      </c>
      <c r="Q12" s="1025">
        <f>'[22]2122 MFG Protection'!L73</f>
        <v>59535.284511571168</v>
      </c>
      <c r="R12" s="1025">
        <f>L12+Q12</f>
        <v>1719229.6326618223</v>
      </c>
      <c r="S12" s="235">
        <f>M12*10000</f>
        <v>1231666.6666666665</v>
      </c>
      <c r="T12" s="235">
        <f>IF(S12&gt;R12,(S12-R12),(0))</f>
        <v>0</v>
      </c>
      <c r="U12" s="242">
        <f>R12/M12</f>
        <v>13958.562646780696</v>
      </c>
      <c r="V12" s="242">
        <f>M12*10000</f>
        <v>1231666.6666666665</v>
      </c>
      <c r="W12" s="242">
        <f>U12-10000</f>
        <v>3958.562646780696</v>
      </c>
      <c r="X12" s="245">
        <f>R12-V12</f>
        <v>487562.96599515574</v>
      </c>
      <c r="Y12" s="245">
        <f>V12+X12</f>
        <v>1719229.6326618223</v>
      </c>
      <c r="Z12" s="245">
        <f>R12-Y12</f>
        <v>0</v>
      </c>
      <c r="AB12" s="387"/>
      <c r="AC12" s="387"/>
      <c r="AD12" s="387"/>
      <c r="AE12" s="1037"/>
    </row>
    <row r="13" spans="1:32" x14ac:dyDescent="0.25">
      <c r="A13" s="244">
        <v>9257002</v>
      </c>
      <c r="B13" s="237" t="s">
        <v>808</v>
      </c>
      <c r="C13" s="1038" t="str">
        <f>IF(I13+H13-'[22]Pay &amp; Pension Workings'!H121-'[22]TA Workings'!J121&lt;'[22]Group Sizes'!$B$46,'[22]Group Sizes'!$C$46,IF('[22]2122 Funding Detail'!I13+H13-'[22]Pay &amp; Pension Workings'!H121-'[22]TA Workings'!J121&lt;'[22]Group Sizes'!$B$47,'[22]Group Sizes'!$C$47,IF('[22]2122 Funding Detail'!I13+H13-'[22]Pay &amp; Pension Workings'!H121-'[22]TA Workings'!J121&lt;'[22]Group Sizes'!$B$48,'[22]Group Sizes'!$C$48,IF(I13+H13-'[22]Pay &amp; Pension Workings'!H121-'[22]TA Workings'!J121&lt;'[22]Group Sizes'!$B$49,'[22]Group Sizes'!$C$49,IF(I13+H13-'[22]Pay &amp; Pension Workings'!H121-'[22]TA Workings'!J121&lt;'[22]Group Sizes'!$B$50,'[22]Group Sizes'!$C$50,IF(I13+H13-'[22]Pay &amp; Pension Workings'!H121-'[22]TA Workings'!J121&lt;'[22]Group Sizes'!$B$51,'[22]Group Sizes'!$C$51,IF(I13+H13-'[22]Pay &amp; Pension Workings'!H121-'[22]TA Workings'!J121&lt;'[22]Group Sizes'!$B$52,'[22]Group Sizes'!$C$52,IF(I13+H13-'[22]Pay &amp; Pension Workings'!H121-'[22]TA Workings'!J121&lt;'[22]Group Sizes'!$B$53,'[22]Group Sizes'!$C$53,IF(I13+H13-'[22]Pay &amp; Pension Workings'!H121-'[22]TA Workings'!J121&lt;'[22]Group Sizes'!$B$54,'[22]Group Sizes'!$C$54,IF(I13+H13-'[22]Pay &amp; Pension Workings'!H121-'[22]TA Workings'!J121&lt;'[22]Group Sizes'!$B$55,'[22]Group Sizes'!$C$55,IF(I13+H13-'[22]Pay &amp; Pension Workings'!H121-'[22]TA Workings'!J121&lt;'[22]Group Sizes'!$B$56,'[22]Group Sizes'!$C$56)))))))))))</f>
        <v>School Size 5</v>
      </c>
      <c r="D13" s="245">
        <f>IF(H13+I13-'[22]Pay &amp; Pension Workings'!H121-'[22]TA Workings'!J121&lt;'[22]Group Sizes'!$B$46,'[22]Group Sizes'!$D$46,IF('[22]2122 Funding Detail'!H13+I13-'[22]Pay &amp; Pension Workings'!H121-'[22]TA Workings'!J121&lt;'[22]Group Sizes'!$B$47,'[22]Group Sizes'!$D$47,IF('[22]2122 Funding Detail'!H13+I13-'[22]Pay &amp; Pension Workings'!H121-'[22]TA Workings'!J121&lt;'[22]Group Sizes'!$B$48,'[22]Group Sizes'!$D$48,IF(H13+I13-'[22]Pay &amp; Pension Workings'!H121-'[22]TA Workings'!J121&lt;'[22]Group Sizes'!$B$49,'[22]Group Sizes'!$D$49,IF(H13+I13-'[22]Pay &amp; Pension Workings'!H121-'[22]TA Workings'!J121&lt;'[22]Group Sizes'!$B$50,'[22]Group Sizes'!$D$50,IF(H13+I13-'[22]Pay &amp; Pension Workings'!H121-'[22]TA Workings'!J121&lt;'[22]Group Sizes'!$B$51,'[22]Group Sizes'!$D$51,IF(H13+I13-'[22]Pay &amp; Pension Workings'!H121-'[22]TA Workings'!J121&lt;'[22]Group Sizes'!$B$52,'[22]Group Sizes'!$D$52,IF(H13+I13-'[22]Pay &amp; Pension Workings'!H121-'[22]TA Workings'!J121&lt;'[22]Group Sizes'!$B$53,'[22]Group Sizes'!$D$53,IF(H13+I13-'[22]Pay &amp; Pension Workings'!H121-'[22]TA Workings'!J121&lt;'[22]Group Sizes'!$B$54,'[22]Group Sizes'!$D$54,IF(H13+I13-'[22]Pay &amp; Pension Workings'!H121-'[22]TA Workings'!J121&lt;'[22]Group Sizes'!$B$55,'[22]Group Sizes'!$D$55,IF(H13+I13-'[22]Pay &amp; Pension Workings'!H121-'[22]TA Workings'!J121&lt;'[22]Group Sizes'!$B$56,'[22]Group Sizes'!$D$56)))))))))))</f>
        <v>420000</v>
      </c>
      <c r="E13" s="245">
        <f>IF(I13+H13-'[22]Pay &amp; Pension Workings'!H121-'[22]TA Workings'!J121&lt;'[22]Group Sizes'!$B$46,'[22]Group Sizes'!$E$46,IF('[22]2122 Funding Detail'!I13+H13-'[22]Pay &amp; Pension Workings'!H121-'[22]TA Workings'!J121&lt;'[22]Group Sizes'!$B$47,'[22]Group Sizes'!$E$47,IF('[22]2122 Funding Detail'!I13+H13-'[22]Pay &amp; Pension Workings'!H121-'[22]TA Workings'!J121&lt;'[22]Group Sizes'!$B$48,'[22]Group Sizes'!$E$48,IF(I13+H13-'[22]Pay &amp; Pension Workings'!H121-'[22]TA Workings'!J121&lt;'[22]Group Sizes'!$B$49,'[22]Group Sizes'!$E$49,IF(I13+H13-'[22]Pay &amp; Pension Workings'!H121-'[22]TA Workings'!J121&lt;'[22]Group Sizes'!$B$50,'[22]Group Sizes'!$E$50,IF(I13+H13-'[22]Pay &amp; Pension Workings'!H121-'[22]TA Workings'!J121&lt;'[22]Group Sizes'!$B$51,'[22]Group Sizes'!$E$51,IF(I13+H13-'[22]Pay &amp; Pension Workings'!H121-'[22]TA Workings'!J121&lt;'[22]Group Sizes'!$B$52,'[22]Group Sizes'!$E$52,IF(I13+H13-'[22]Pay &amp; Pension Workings'!H121-'[22]TA Workings'!J121&lt;'[22]Group Sizes'!$B$53,'[22]Group Sizes'!$E$53,IF(I13+H13-'[22]Pay &amp; Pension Workings'!H121-'[22]TA Workings'!J121&lt;'[22]Group Sizes'!$B$54,'[22]Group Sizes'!$E$54,IF(I13+H13-'[22]Pay &amp; Pension Workings'!H121-'[22]TA Workings'!J121&lt;'[22]Group Sizes'!$B$55,'[22]Group Sizes'!$E$55,IF(I13+H13-'[22]Pay &amp; Pension Workings'!H121-'[22]TA Workings'!J121&lt;'[22]Group Sizes'!$B$56,'[22]Group Sizes'!$E$56)))))))))))</f>
        <v>120000</v>
      </c>
      <c r="F13" s="245"/>
      <c r="G13" s="245"/>
      <c r="H13" s="248">
        <f>VLOOKUP(A13,'[22]2122 Band Calculations'!$A$112:$T$129,10,FALSE)</f>
        <v>1324642.7827644676</v>
      </c>
      <c r="I13" s="248">
        <f>VLOOKUP(A13,'[22]2122 Band Calculations'!$A$112:$T$129,17,FALSE)</f>
        <v>50653.670212765952</v>
      </c>
      <c r="J13" s="245">
        <f>VLOOKUP(A13,'[22]2122 FSM Calculation'!$A$4:$D$21,4,FALSE)</f>
        <v>18851.7</v>
      </c>
      <c r="K13" s="245">
        <f t="shared" si="0"/>
        <v>1934148.1529772335</v>
      </c>
      <c r="L13" s="248">
        <f t="shared" si="2"/>
        <v>1934148.1529772335</v>
      </c>
      <c r="M13" s="1036">
        <f>VLOOKUP(A13,'[22]2122 Band Calculations'!$A$112:$T$129,19,FALSE)</f>
        <v>150.58333333333334</v>
      </c>
      <c r="N13" s="235">
        <f>VLOOKUP(A13,'[22]2122 Band Calculations'!$A$110:$AL$129,38,(FALSE))</f>
        <v>24431.012226106413</v>
      </c>
      <c r="O13" s="253">
        <f>M13-(M13*(VLOOKUP(A13,'[22]2122 Band Calculations'!$A$6:$J$23,10,(FALSE))))</f>
        <v>149.51536643026006</v>
      </c>
      <c r="P13" s="235">
        <f t="shared" si="3"/>
        <v>9034.9605729737814</v>
      </c>
      <c r="Q13" s="1025">
        <f>'[22]2122 MFG Protection'!L81</f>
        <v>0</v>
      </c>
      <c r="R13" s="1025">
        <f t="shared" si="4"/>
        <v>1934148.1529772335</v>
      </c>
      <c r="S13" s="235">
        <f t="shared" si="5"/>
        <v>1505833.3333333335</v>
      </c>
      <c r="T13" s="235">
        <f t="shared" si="6"/>
        <v>0</v>
      </c>
      <c r="U13" s="242">
        <f t="shared" si="7"/>
        <v>12844.370689389485</v>
      </c>
      <c r="V13" s="242">
        <f t="shared" si="1"/>
        <v>1505833.3333333335</v>
      </c>
      <c r="W13" s="242">
        <f t="shared" si="8"/>
        <v>2844.3706893894851</v>
      </c>
      <c r="X13" s="245">
        <f t="shared" si="9"/>
        <v>428314.81964390003</v>
      </c>
      <c r="Y13" s="245">
        <f t="shared" si="10"/>
        <v>1934148.1529772335</v>
      </c>
      <c r="Z13" s="245">
        <f t="shared" si="11"/>
        <v>0</v>
      </c>
      <c r="AB13" s="387"/>
      <c r="AC13" s="387"/>
      <c r="AD13" s="387"/>
      <c r="AE13" s="1037"/>
    </row>
    <row r="14" spans="1:32" x14ac:dyDescent="0.25">
      <c r="A14" s="244">
        <v>9257009</v>
      </c>
      <c r="B14" s="237" t="s">
        <v>546</v>
      </c>
      <c r="C14" s="1039" t="str">
        <f>IF(I14+H14-'[22]Pay &amp; Pension Workings'!H122-'[22]TA Workings'!J122&lt;'[22]Group Sizes'!$B$46,'[22]Group Sizes'!$C$46,IF('[22]2122 Funding Detail'!I14+H14-'[22]Pay &amp; Pension Workings'!H122-'[22]TA Workings'!J122&lt;'[22]Group Sizes'!$B$47,'[22]Group Sizes'!$C$47,IF('[22]2122 Funding Detail'!I14+H14-'[22]Pay &amp; Pension Workings'!H122-'[22]TA Workings'!J122&lt;'[22]Group Sizes'!$B$48,'[22]Group Sizes'!$C$48,IF(I14+H14-'[22]Pay &amp; Pension Workings'!H122-'[22]TA Workings'!J122&lt;'[22]Group Sizes'!$B$49,'[22]Group Sizes'!$C$49,IF(I14+H14-'[22]Pay &amp; Pension Workings'!H122-'[22]TA Workings'!J122&lt;'[22]Group Sizes'!$B$50,'[22]Group Sizes'!$C$50,IF(I14+H14-'[22]Pay &amp; Pension Workings'!H122-'[22]TA Workings'!J122&lt;'[22]Group Sizes'!$B$51,'[22]Group Sizes'!$C$51,IF(I14+H14-'[22]Pay &amp; Pension Workings'!H122-'[22]TA Workings'!J122&lt;'[22]Group Sizes'!$B$52,'[22]Group Sizes'!$C$52,IF(I14+H14-'[22]Pay &amp; Pension Workings'!H122-'[22]TA Workings'!J122&lt;'[22]Group Sizes'!$B$53,'[22]Group Sizes'!$C$53,IF(I14+H14-'[22]Pay &amp; Pension Workings'!H122-'[22]TA Workings'!J122&lt;'[22]Group Sizes'!$B$54,'[22]Group Sizes'!$C$54,IF(I14+H14-'[22]Pay &amp; Pension Workings'!H122-'[22]TA Workings'!J122&lt;'[22]Group Sizes'!$B$55,'[22]Group Sizes'!$C$55,IF(I14+H14-'[22]Pay &amp; Pension Workings'!H122-'[22]TA Workings'!J122&lt;'[22]Group Sizes'!$B$56,'[22]Group Sizes'!$C$56)))))))))))</f>
        <v>School Size 4 Transition Point</v>
      </c>
      <c r="D14" s="245">
        <f>IF(H14+I14-'[22]Pay &amp; Pension Workings'!H122-'[22]TA Workings'!J122&lt;'[22]Group Sizes'!$B$46,'[22]Group Sizes'!$D$46,IF('[22]2122 Funding Detail'!H14+I14-'[22]Pay &amp; Pension Workings'!H122-'[22]TA Workings'!J122&lt;'[22]Group Sizes'!$B$47,'[22]Group Sizes'!$D$47,IF('[22]2122 Funding Detail'!H14+I14-'[22]Pay &amp; Pension Workings'!H122-'[22]TA Workings'!J122&lt;'[22]Group Sizes'!$B$48,'[22]Group Sizes'!$D$48,IF(H14+I14-'[22]Pay &amp; Pension Workings'!H122-'[22]TA Workings'!J122&lt;'[22]Group Sizes'!$B$49,'[22]Group Sizes'!$D$49,IF(H14+I14-'[22]Pay &amp; Pension Workings'!H122-'[22]TA Workings'!J122&lt;'[22]Group Sizes'!$B$50,'[22]Group Sizes'!$D$50,IF(H14+I14-'[22]Pay &amp; Pension Workings'!H122-'[22]TA Workings'!J122&lt;'[22]Group Sizes'!$B$51,'[22]Group Sizes'!$D$51,IF(H14+I14-'[22]Pay &amp; Pension Workings'!H122-'[22]TA Workings'!J122&lt;'[22]Group Sizes'!$B$52,'[22]Group Sizes'!$D$52,IF(H14+I14-'[22]Pay &amp; Pension Workings'!H122-'[22]TA Workings'!J122&lt;'[22]Group Sizes'!$B$53,'[22]Group Sizes'!$D$53,IF(H14+I14-'[22]Pay &amp; Pension Workings'!H122-'[22]TA Workings'!J122&lt;'[22]Group Sizes'!$B$54,'[22]Group Sizes'!$D$54,IF(H14+I14-'[22]Pay &amp; Pension Workings'!H122-'[22]TA Workings'!J122&lt;'[22]Group Sizes'!$B$55,'[22]Group Sizes'!$D$55,IF(H14+I14-'[22]Pay &amp; Pension Workings'!H122-'[22]TA Workings'!J122&lt;'[22]Group Sizes'!$B$56,'[22]Group Sizes'!$D$56)))))))))))</f>
        <v>390000</v>
      </c>
      <c r="E14" s="245">
        <f>IF(I14+H14-'[22]Pay &amp; Pension Workings'!H122-'[22]TA Workings'!J122&lt;'[22]Group Sizes'!$B$46,'[22]Group Sizes'!$E$46,IF('[22]2122 Funding Detail'!I14+H14-'[22]Pay &amp; Pension Workings'!H122-'[22]TA Workings'!J122&lt;'[22]Group Sizes'!$B$47,'[22]Group Sizes'!$E$47,IF('[22]2122 Funding Detail'!I14+H14-'[22]Pay &amp; Pension Workings'!H122-'[22]TA Workings'!J122&lt;'[22]Group Sizes'!$B$48,'[22]Group Sizes'!$E$48,IF(I14+H14-'[22]Pay &amp; Pension Workings'!H122-'[22]TA Workings'!J122&lt;'[22]Group Sizes'!$B$49,'[22]Group Sizes'!$E$49,IF(I14+H14-'[22]Pay &amp; Pension Workings'!H122-'[22]TA Workings'!J122&lt;'[22]Group Sizes'!$B$50,'[22]Group Sizes'!$E$50,IF(I14+H14-'[22]Pay &amp; Pension Workings'!H122-'[22]TA Workings'!J122&lt;'[22]Group Sizes'!$B$51,'[22]Group Sizes'!$E$51,IF(I14+H14-'[22]Pay &amp; Pension Workings'!H122-'[22]TA Workings'!J122&lt;'[22]Group Sizes'!$B$52,'[22]Group Sizes'!$E$52,IF(I14+H14-'[22]Pay &amp; Pension Workings'!H122-'[22]TA Workings'!J122&lt;'[22]Group Sizes'!$B$53,'[22]Group Sizes'!$E$53,IF(I14+H14-'[22]Pay &amp; Pension Workings'!H122-'[22]TA Workings'!J122&lt;'[22]Group Sizes'!$B$54,'[22]Group Sizes'!$E$54,IF(I14+H14-'[22]Pay &amp; Pension Workings'!H122-'[22]TA Workings'!J122&lt;'[22]Group Sizes'!$B$55,'[22]Group Sizes'!$E$55,IF(I14+H14-'[22]Pay &amp; Pension Workings'!H122-'[22]TA Workings'!J122&lt;'[22]Group Sizes'!$B$56,'[22]Group Sizes'!$E$56)))))))))))</f>
        <v>115000</v>
      </c>
      <c r="F14" s="245"/>
      <c r="G14" s="245"/>
      <c r="H14" s="248">
        <f>VLOOKUP(A14,'[22]2122 Band Calculations'!$A$112:$T$129,10,FALSE)</f>
        <v>1156108.9567382953</v>
      </c>
      <c r="I14" s="248">
        <f>VLOOKUP(A14,'[22]2122 Band Calculations'!$A$112:$T$129,17,FALSE)</f>
        <v>28668.800000000007</v>
      </c>
      <c r="J14" s="245">
        <f>VLOOKUP(A14,'[22]2122 FSM Calculation'!$A$4:$D$21,4,FALSE)</f>
        <v>22442.5</v>
      </c>
      <c r="K14" s="245">
        <f t="shared" si="0"/>
        <v>1712220.2567382953</v>
      </c>
      <c r="L14" s="248">
        <f t="shared" si="2"/>
        <v>1712220.2567382953</v>
      </c>
      <c r="M14" s="1036">
        <f>VLOOKUP(A14,'[22]2122 Band Calculations'!$A$112:$T$129,19,FALSE)</f>
        <v>136</v>
      </c>
      <c r="N14" s="235">
        <f>VLOOKUP(A14,'[22]2122 Band Calculations'!$A$110:$AL$129,38,(FALSE))</f>
        <v>0</v>
      </c>
      <c r="O14" s="253">
        <f>M14-(M14*(VLOOKUP(A14,'[22]2122 Band Calculations'!$A$6:$J$23,10,(FALSE))))</f>
        <v>136</v>
      </c>
      <c r="P14" s="235">
        <f t="shared" si="3"/>
        <v>8711.6011524874648</v>
      </c>
      <c r="Q14" s="1025">
        <f>'[22]2122 MFG Protection'!L89</f>
        <v>60152.544594865052</v>
      </c>
      <c r="R14" s="1025">
        <f t="shared" si="4"/>
        <v>1772372.8013331604</v>
      </c>
      <c r="S14" s="235">
        <f t="shared" si="5"/>
        <v>1360000</v>
      </c>
      <c r="T14" s="235">
        <f t="shared" si="6"/>
        <v>0</v>
      </c>
      <c r="U14" s="242">
        <f t="shared" si="7"/>
        <v>13032.15295097912</v>
      </c>
      <c r="V14" s="242">
        <f t="shared" si="1"/>
        <v>1360000</v>
      </c>
      <c r="W14" s="242">
        <f t="shared" si="8"/>
        <v>3032.1529509791199</v>
      </c>
      <c r="X14" s="245">
        <f t="shared" si="9"/>
        <v>412372.80133316037</v>
      </c>
      <c r="Y14" s="245">
        <f t="shared" si="10"/>
        <v>1772372.8013331604</v>
      </c>
      <c r="Z14" s="245">
        <f t="shared" si="11"/>
        <v>0</v>
      </c>
      <c r="AB14" s="387"/>
      <c r="AC14" s="387"/>
      <c r="AD14" s="387"/>
      <c r="AE14" s="1037"/>
    </row>
    <row r="15" spans="1:32" ht="13" x14ac:dyDescent="0.3">
      <c r="A15" s="244">
        <v>9257029</v>
      </c>
      <c r="B15" s="32" t="s">
        <v>890</v>
      </c>
      <c r="C15" s="1038" t="str">
        <f>IF(I15+H15-'[22]Pay &amp; Pension Workings'!H123-'[22]TA Workings'!J123&lt;'[22]Group Sizes'!$B$46,'[22]Group Sizes'!$C$46,IF('[22]2122 Funding Detail'!I15+H15-'[22]Pay &amp; Pension Workings'!H123-'[22]TA Workings'!J123&lt;'[22]Group Sizes'!$B$47,'[22]Group Sizes'!$C$47,IF('[22]2122 Funding Detail'!I15+H15-'[22]Pay &amp; Pension Workings'!H123-'[22]TA Workings'!J123&lt;'[22]Group Sizes'!$B$48,'[22]Group Sizes'!$C$48,IF(I15+H15-'[22]Pay &amp; Pension Workings'!H123-'[22]TA Workings'!J123&lt;'[22]Group Sizes'!$B$49,'[22]Group Sizes'!$C$49,IF(I15+H15-'[22]Pay &amp; Pension Workings'!H123-'[22]TA Workings'!J123&lt;'[22]Group Sizes'!$B$50,'[22]Group Sizes'!$C$50,IF(I15+H15-'[22]Pay &amp; Pension Workings'!H123-'[22]TA Workings'!J123&lt;'[22]Group Sizes'!$B$51,'[22]Group Sizes'!$C$51,IF(I15+H15-'[22]Pay &amp; Pension Workings'!H123-'[22]TA Workings'!J123&lt;'[22]Group Sizes'!$B$52,'[22]Group Sizes'!$C$52,IF(I15+H15-'[22]Pay &amp; Pension Workings'!H123-'[22]TA Workings'!J123&lt;'[22]Group Sizes'!$B$53,'[22]Group Sizes'!$C$53,IF(I15+H15-'[22]Pay &amp; Pension Workings'!H123-'[22]TA Workings'!J123&lt;'[22]Group Sizes'!$B$54,'[22]Group Sizes'!$C$54,IF(I15+H15-'[22]Pay &amp; Pension Workings'!H123-'[22]TA Workings'!J123&lt;'[22]Group Sizes'!$B$55,'[22]Group Sizes'!$C$55,IF(I15+H15-'[22]Pay &amp; Pension Workings'!H123-'[22]TA Workings'!J123&lt;'[22]Group Sizes'!$B$56,'[22]Group Sizes'!$C$56)))))))))))</f>
        <v>School Size 4 Transition Point</v>
      </c>
      <c r="D15" s="245">
        <f>IF(H15+I15-'[22]Pay &amp; Pension Workings'!H123-'[22]TA Workings'!J123&lt;'[22]Group Sizes'!$B$61,'[22]Group Sizes'!$D$61,IF('[22]2122 Funding Detail'!H15+I15-'[22]Pay &amp; Pension Workings'!H123-'[22]TA Workings'!J123&lt;'[22]Group Sizes'!$B$62,'[22]Group Sizes'!$D$62,IF('[22]2122 Funding Detail'!H15+I15-'[22]Pay &amp; Pension Workings'!H123-'[22]TA Workings'!J123&lt;'[22]Group Sizes'!$B$63,'[22]Group Sizes'!$D$63,IF(H15+I15-'[22]Pay &amp; Pension Workings'!H123-'[22]TA Workings'!J123&lt;'[22]Group Sizes'!$B$64,'[22]Group Sizes'!$D$64,IF(H15+I15-'[22]Pay &amp; Pension Workings'!H123-'[22]TA Workings'!J123&lt;'[22]Group Sizes'!$B$65,'[22]Group Sizes'!$D$65)))))</f>
        <v>350000</v>
      </c>
      <c r="E15" s="245">
        <f>IF(H15+I15-'[22]Pay &amp; Pension Workings'!H123-'[22]TA Workings'!J123&lt;'[22]Group Sizes'!$B$61,'[22]Group Sizes'!$E$61,IF('[22]2122 Funding Detail'!H15+I15-'[22]Pay &amp; Pension Workings'!H123-'[22]TA Workings'!J123&lt;'[22]Group Sizes'!$B$62,'[22]Group Sizes'!$E$62,IF('[22]2122 Funding Detail'!H15+I15-'[22]Pay &amp; Pension Workings'!H123-'[22]TA Workings'!J123&lt;'[22]Group Sizes'!$B$63,'[22]Group Sizes'!$E$63,IF(H15+I15-'[22]Pay &amp; Pension Workings'!H123-'[22]TA Workings'!J123&lt;'[22]Group Sizes'!$B$64,'[22]Group Sizes'!$E$64,IF(H15+I15-'[22]Pay &amp; Pension Workings'!H123-'[22]TA Workings'!J123&lt;'[22]Group Sizes'!$B$65,'[22]Group Sizes'!$E$65)))))</f>
        <v>85000</v>
      </c>
      <c r="F15" s="245">
        <v>265481</v>
      </c>
      <c r="G15" s="245"/>
      <c r="H15" s="248">
        <f>VLOOKUP(A15,'[22]2122 Band Calculations'!$A$112:$T$129,10,FALSE)</f>
        <v>900417.39575836004</v>
      </c>
      <c r="I15" s="248">
        <f>VLOOKUP(A15,'[22]2122 Band Calculations'!$A$112:$T$129,17,FALSE)</f>
        <v>196746.66666666669</v>
      </c>
      <c r="J15" s="245">
        <f>VLOOKUP(A15,'[22]2122 FSM Calculation'!$A$4:$D$21,4,FALSE)</f>
        <v>10323.550000000001</v>
      </c>
      <c r="K15" s="245">
        <f>SUM(D15:J15)</f>
        <v>1807968.6124250269</v>
      </c>
      <c r="L15" s="248">
        <f>K15-F15-G15</f>
        <v>1542487.6124250269</v>
      </c>
      <c r="M15" s="1036">
        <f>VLOOKUP(A15,'[22]2122 Band Calculations'!$A$112:$T$129,19,FALSE)</f>
        <v>74.666666666666671</v>
      </c>
      <c r="N15" s="235">
        <f>VLOOKUP(A15,'[22]2122 Band Calculations'!$A$110:$AL$129,38,(FALSE))</f>
        <v>0</v>
      </c>
      <c r="O15" s="253">
        <f>M15-(M15*(VLOOKUP(A15,'[22]2122 Band Calculations'!$A$6:$J$23,10,(FALSE))))</f>
        <v>74.666666666666671</v>
      </c>
      <c r="P15" s="235">
        <f>(H15+I15-N15)/O15</f>
        <v>14694.161550335177</v>
      </c>
      <c r="Q15" s="1025">
        <f>'[22]2122 MFG Protection'!L97</f>
        <v>4968.7663456613536</v>
      </c>
      <c r="R15" s="1025">
        <f>L15+Q15</f>
        <v>1547456.3787706883</v>
      </c>
      <c r="S15" s="235">
        <f>M15*10000</f>
        <v>746666.66666666674</v>
      </c>
      <c r="T15" s="235">
        <f>IF(S15&gt;R15,(S15-R15),(0))</f>
        <v>0</v>
      </c>
      <c r="U15" s="242">
        <f>R15/M15</f>
        <v>20724.862215678859</v>
      </c>
      <c r="V15" s="242">
        <f>M15*10000</f>
        <v>746666.66666666674</v>
      </c>
      <c r="W15" s="242">
        <f>U15-10000</f>
        <v>10724.862215678859</v>
      </c>
      <c r="X15" s="245">
        <f>R15-V15</f>
        <v>800789.71210402157</v>
      </c>
      <c r="Y15" s="245">
        <f>V15+X15</f>
        <v>1547456.3787706883</v>
      </c>
      <c r="Z15" s="245">
        <f>R15-Y15</f>
        <v>0</v>
      </c>
      <c r="AB15" s="387"/>
      <c r="AC15" s="387"/>
      <c r="AD15" s="387"/>
      <c r="AE15" s="1037"/>
    </row>
    <row r="16" spans="1:32" ht="13" x14ac:dyDescent="0.3">
      <c r="A16" s="244">
        <v>9257032</v>
      </c>
      <c r="B16" s="32" t="s">
        <v>813</v>
      </c>
      <c r="C16" s="1038" t="s">
        <v>759</v>
      </c>
      <c r="D16" s="69">
        <v>350000</v>
      </c>
      <c r="E16" s="69">
        <v>85000</v>
      </c>
      <c r="F16" s="245">
        <v>235661</v>
      </c>
      <c r="G16" s="245">
        <v>168000</v>
      </c>
      <c r="H16" s="248">
        <f>VLOOKUP(A16,'[22]2122 Band Calculations'!$A$112:$T$129,10,FALSE)</f>
        <v>1143610.4870234528</v>
      </c>
      <c r="I16" s="248">
        <f>VLOOKUP(A16,'[22]2122 Band Calculations'!$A$112:$T$129,17,FALSE)</f>
        <v>249885.83333333337</v>
      </c>
      <c r="J16" s="245">
        <f>VLOOKUP(A16,'[22]2122 FSM Calculation'!$A$4:$D$21,4,FALSE)</f>
        <v>19300.55</v>
      </c>
      <c r="K16" s="245">
        <f>SUM(D16:J16)</f>
        <v>2251457.8703567861</v>
      </c>
      <c r="L16" s="248">
        <f>K16-F16-G16</f>
        <v>1847796.8703567861</v>
      </c>
      <c r="M16" s="1036">
        <f>VLOOKUP(A16,'[22]2122 Band Calculations'!$A$112:$T$129,19,FALSE)</f>
        <v>94.833333333333343</v>
      </c>
      <c r="N16" s="235">
        <f>VLOOKUP(A16,'[22]2122 Band Calculations'!$A$110:$AL$129,38,(FALSE))</f>
        <v>0</v>
      </c>
      <c r="O16" s="253">
        <f>M16-(M16*(VLOOKUP(A16,'[22]2122 Band Calculations'!$A$6:$J$23,10,(FALSE))))</f>
        <v>94.833333333333343</v>
      </c>
      <c r="P16" s="235">
        <f>(H16+I16-N16)/O16</f>
        <v>14694.161550335179</v>
      </c>
      <c r="Q16" s="1025">
        <f>'[22]2122 MFG Protection'!L105</f>
        <v>26861.708477914828</v>
      </c>
      <c r="R16" s="1025">
        <f>L16+Q16</f>
        <v>1874658.5788347009</v>
      </c>
      <c r="S16" s="235">
        <f>M16*10000</f>
        <v>948333.33333333337</v>
      </c>
      <c r="T16" s="235">
        <f>IF(S16&gt;R16,(S16-R16),(0))</f>
        <v>0</v>
      </c>
      <c r="U16" s="242">
        <f>R16/M16</f>
        <v>19767.928775058353</v>
      </c>
      <c r="V16" s="242">
        <f>M16*10000</f>
        <v>948333.33333333337</v>
      </c>
      <c r="W16" s="242">
        <f>U16-10000</f>
        <v>9767.9287750583535</v>
      </c>
      <c r="X16" s="245">
        <f>R16-V16</f>
        <v>926325.24550136749</v>
      </c>
      <c r="Y16" s="245">
        <f>V16+X16</f>
        <v>1874658.5788347009</v>
      </c>
      <c r="Z16" s="245">
        <f>R16-Y16</f>
        <v>0</v>
      </c>
      <c r="AB16" s="387"/>
      <c r="AC16" s="387"/>
      <c r="AD16" s="387"/>
      <c r="AE16" s="1037"/>
    </row>
    <row r="17" spans="1:32" ht="13" x14ac:dyDescent="0.3">
      <c r="A17" s="244">
        <v>9257030</v>
      </c>
      <c r="B17" s="32" t="s">
        <v>815</v>
      </c>
      <c r="C17" s="1038" t="str">
        <f>IF(I17+H17-'[22]Pay &amp; Pension Workings'!H125-'[22]TA Workings'!J125&lt;'[22]Group Sizes'!$B$46,'[22]Group Sizes'!$C$46,IF('[22]2122 Funding Detail'!I17+H17-'[22]Pay &amp; Pension Workings'!H125-'[22]TA Workings'!J125&lt;'[22]Group Sizes'!$B$47,'[22]Group Sizes'!$C$47,IF('[22]2122 Funding Detail'!I17+H17-'[22]Pay &amp; Pension Workings'!H125-'[22]TA Workings'!J125&lt;'[22]Group Sizes'!$B$48,'[22]Group Sizes'!$C$48,IF(I17+H17-'[22]Pay &amp; Pension Workings'!H125-'[22]TA Workings'!J125&lt;'[22]Group Sizes'!$B$49,'[22]Group Sizes'!$C$49,IF(I17+H17-'[22]Pay &amp; Pension Workings'!H125-'[22]TA Workings'!J125&lt;'[22]Group Sizes'!$B$50,'[22]Group Sizes'!$C$50,IF(I17+H17-'[22]Pay &amp; Pension Workings'!H125-'[22]TA Workings'!J125&lt;'[22]Group Sizes'!$B$51,'[22]Group Sizes'!$C$51,IF(I17+H17-'[22]Pay &amp; Pension Workings'!H125-'[22]TA Workings'!J125&lt;'[22]Group Sizes'!$B$52,'[22]Group Sizes'!$C$52,IF(I17+H17-'[22]Pay &amp; Pension Workings'!H125-'[22]TA Workings'!J125&lt;'[22]Group Sizes'!$B$53,'[22]Group Sizes'!$C$53,IF(I17+H17-'[22]Pay &amp; Pension Workings'!H125-'[22]TA Workings'!J125&lt;'[22]Group Sizes'!$B$54,'[22]Group Sizes'!$C$54,IF(I17+H17-'[22]Pay &amp; Pension Workings'!H125-'[22]TA Workings'!J125&lt;'[22]Group Sizes'!$B$55,'[22]Group Sizes'!$C$55,IF(I17+H17-'[22]Pay &amp; Pension Workings'!H125-'[22]TA Workings'!J125&lt;'[22]Group Sizes'!$B$56,'[22]Group Sizes'!$C$56)))))))))))</f>
        <v>School Size 4 Transition Point</v>
      </c>
      <c r="D17" s="245">
        <f>IF(H17+I17-'[22]Pay &amp; Pension Workings'!H125-'[22]TA Workings'!J125&lt;'[22]Group Sizes'!$B$61,'[22]Group Sizes'!$D$61,IF('[22]2122 Funding Detail'!H17+I17-'[22]Pay &amp; Pension Workings'!H125-'[22]TA Workings'!J125&lt;'[22]Group Sizes'!$B$62,'[22]Group Sizes'!$D$62,IF('[22]2122 Funding Detail'!H17+I17-'[22]Pay &amp; Pension Workings'!H125-'[22]TA Workings'!J125&lt;'[22]Group Sizes'!$B$63,'[22]Group Sizes'!$D$63,IF(H17+I17-'[22]Pay &amp; Pension Workings'!H125-'[22]TA Workings'!J125&lt;'[22]Group Sizes'!$B$64,'[22]Group Sizes'!$D$64,IF(H17+I17-'[22]Pay &amp; Pension Workings'!H125-'[22]TA Workings'!J125&lt;'[22]Group Sizes'!$B$65,'[22]Group Sizes'!$D$65)))))</f>
        <v>350000</v>
      </c>
      <c r="E17" s="245">
        <f>IF(H17+I17-'[22]Pay &amp; Pension Workings'!H125-'[22]TA Workings'!J125&lt;'[22]Group Sizes'!$B$61,'[22]Group Sizes'!$E$61,IF('[22]2122 Funding Detail'!H17+I17-'[22]Pay &amp; Pension Workings'!H125-'[22]TA Workings'!J125&lt;'[22]Group Sizes'!$B$62,'[22]Group Sizes'!$E$62,IF('[22]2122 Funding Detail'!H17+I17-'[22]Pay &amp; Pension Workings'!H125-'[22]TA Workings'!J125&lt;'[22]Group Sizes'!$B$63,'[22]Group Sizes'!$E$63,IF(H17+I17-'[22]Pay &amp; Pension Workings'!H125-'[22]TA Workings'!J125&lt;'[22]Group Sizes'!$B$64,'[22]Group Sizes'!$E$64,IF(H17+I17-'[22]Pay &amp; Pension Workings'!H125-'[22]TA Workings'!J125&lt;'[22]Group Sizes'!$B$65,'[22]Group Sizes'!$E$65)))))</f>
        <v>85000</v>
      </c>
      <c r="F17" s="245">
        <v>289365</v>
      </c>
      <c r="G17" s="245"/>
      <c r="H17" s="248">
        <f>VLOOKUP(A17,'[22]2122 Band Calculations'!$A$112:$T$129,10,FALSE)</f>
        <v>883333.58356205188</v>
      </c>
      <c r="I17" s="248">
        <f>VLOOKUP(A17,'[22]2122 Band Calculations'!$A$112:$T$129,17,FALSE)</f>
        <v>193013.75</v>
      </c>
      <c r="J17" s="245">
        <f>VLOOKUP(A17,'[22]2122 FSM Calculation'!$A$4:$D$21,4,FALSE)</f>
        <v>8977</v>
      </c>
      <c r="K17" s="245">
        <f>SUM(D17:J17)</f>
        <v>1809689.3335620519</v>
      </c>
      <c r="L17" s="248">
        <f>K17-F17-G17</f>
        <v>1520324.3335620519</v>
      </c>
      <c r="M17" s="1036">
        <f>VLOOKUP(A17,'[22]2122 Band Calculations'!$A$112:$T$129,19,FALSE)</f>
        <v>73.25</v>
      </c>
      <c r="N17" s="235">
        <f>VLOOKUP(A17,'[22]2122 Band Calculations'!$A$110:$AL$129,38,(FALSE))</f>
        <v>0</v>
      </c>
      <c r="O17" s="253">
        <f>M17-(M17*(VLOOKUP(A17,'[22]2122 Band Calculations'!$A$6:$J$23,10,(FALSE))))</f>
        <v>73.25</v>
      </c>
      <c r="P17" s="235">
        <f>(H17+I17-N17)/O17</f>
        <v>14694.161550335179</v>
      </c>
      <c r="Q17" s="1025">
        <f>'[22]2122 MFG Protection'!L113</f>
        <v>33252.755302644044</v>
      </c>
      <c r="R17" s="1025">
        <f>L17+Q17</f>
        <v>1553577.088864696</v>
      </c>
      <c r="S17" s="235">
        <f>M17*10000</f>
        <v>732500</v>
      </c>
      <c r="T17" s="235">
        <f>IF(S17&gt;R17,(S17-R17),(0))</f>
        <v>0</v>
      </c>
      <c r="U17" s="242">
        <f>R17/M17</f>
        <v>21209.243533989025</v>
      </c>
      <c r="V17" s="242">
        <f>M17*10000</f>
        <v>732500</v>
      </c>
      <c r="W17" s="242">
        <f>U17-10000</f>
        <v>11209.243533989025</v>
      </c>
      <c r="X17" s="245">
        <f>R17-V17</f>
        <v>821077.08886469598</v>
      </c>
      <c r="Y17" s="245">
        <f>V17+X17</f>
        <v>1553577.088864696</v>
      </c>
      <c r="Z17" s="245">
        <f>R17-Y17</f>
        <v>0</v>
      </c>
      <c r="AB17" s="387"/>
      <c r="AC17" s="387"/>
      <c r="AD17" s="387"/>
      <c r="AE17" s="1037"/>
    </row>
    <row r="18" spans="1:32" x14ac:dyDescent="0.25">
      <c r="A18" s="244">
        <v>9257028</v>
      </c>
      <c r="B18" s="237" t="s">
        <v>215</v>
      </c>
      <c r="C18" s="1038" t="str">
        <f>IF(I18+H18-'[22]Pay &amp; Pension Workings'!H126-'[22]TA Workings'!J126&lt;'[22]Group Sizes'!$B$46,'[22]Group Sizes'!$C$46,IF('[22]2122 Funding Detail'!I18+H18-'[22]Pay &amp; Pension Workings'!H126-'[22]TA Workings'!J126&lt;'[22]Group Sizes'!$B$47,'[22]Group Sizes'!$C$47,IF('[22]2122 Funding Detail'!I18+H18-'[22]Pay &amp; Pension Workings'!H126-'[22]TA Workings'!J126&lt;'[22]Group Sizes'!$B$48,'[22]Group Sizes'!$C$48,IF(I18+H18-'[22]Pay &amp; Pension Workings'!H126-'[22]TA Workings'!J126&lt;'[22]Group Sizes'!$B$49,'[22]Group Sizes'!$C$49,IF(I18+H18-'[22]Pay &amp; Pension Workings'!H126-'[22]TA Workings'!J126&lt;'[22]Group Sizes'!$B$50,'[22]Group Sizes'!$C$50,IF(I18+H18-'[22]Pay &amp; Pension Workings'!H126-'[22]TA Workings'!J126&lt;'[22]Group Sizes'!$B$51,'[22]Group Sizes'!$C$51,IF(I18+H18-'[22]Pay &amp; Pension Workings'!H126-'[22]TA Workings'!J126&lt;'[22]Group Sizes'!$B$52,'[22]Group Sizes'!$C$52,IF(I18+H18-'[22]Pay &amp; Pension Workings'!H126-'[22]TA Workings'!J126&lt;'[22]Group Sizes'!$B$53,'[22]Group Sizes'!$C$53,IF(I18+H18-'[22]Pay &amp; Pension Workings'!H126-'[22]TA Workings'!J126&lt;'[22]Group Sizes'!$B$54,'[22]Group Sizes'!$C$54,IF(I18+H18-'[22]Pay &amp; Pension Workings'!H126-'[22]TA Workings'!J126&lt;'[22]Group Sizes'!$B$55,'[22]Group Sizes'!$C$55,IF(I18+H18-'[22]Pay &amp; Pension Workings'!H126-'[22]TA Workings'!J126&lt;'[22]Group Sizes'!$B$56,'[22]Group Sizes'!$C$56)))))))))))</f>
        <v>School Size 5</v>
      </c>
      <c r="D18" s="245">
        <f>IF(H18+I18-'[22]Pay &amp; Pension Workings'!H126-'[22]TA Workings'!J126&lt;'[22]Group Sizes'!$B$46,'[22]Group Sizes'!$D$46,IF('[22]2122 Funding Detail'!H18+I18-'[22]Pay &amp; Pension Workings'!H126-'[22]TA Workings'!J126&lt;'[22]Group Sizes'!$B$47,'[22]Group Sizes'!$D$47,IF('[22]2122 Funding Detail'!H18+I18-'[22]Pay &amp; Pension Workings'!H126-'[22]TA Workings'!J126&lt;'[22]Group Sizes'!$B$48,'[22]Group Sizes'!$D$48,IF(H18+I18-'[22]Pay &amp; Pension Workings'!H126-'[22]TA Workings'!J126&lt;'[22]Group Sizes'!$B$49,'[22]Group Sizes'!$D$49,IF(H18+I18-'[22]Pay &amp; Pension Workings'!H126-'[22]TA Workings'!J126&lt;'[22]Group Sizes'!$B$50,'[22]Group Sizes'!$D$50,IF(H18+I18-'[22]Pay &amp; Pension Workings'!H126-'[22]TA Workings'!J126&lt;'[22]Group Sizes'!$B$51,'[22]Group Sizes'!$D$51,IF(H18+I18-'[22]Pay &amp; Pension Workings'!H126-'[22]TA Workings'!J126&lt;'[22]Group Sizes'!$B$52,'[22]Group Sizes'!$D$52,IF(H18+I18-'[22]Pay &amp; Pension Workings'!H126-'[22]TA Workings'!J126&lt;'[22]Group Sizes'!$B$53,'[22]Group Sizes'!$D$53,IF(H18+I18-'[22]Pay &amp; Pension Workings'!H126-'[22]TA Workings'!J126&lt;'[22]Group Sizes'!$B$54,'[22]Group Sizes'!$D$54,IF(H18+I18-'[22]Pay &amp; Pension Workings'!H126-'[22]TA Workings'!J126&lt;'[22]Group Sizes'!$B$55,'[22]Group Sizes'!$D$55,IF(H18+I18-'[22]Pay &amp; Pension Workings'!H126-'[22]TA Workings'!J126&lt;'[22]Group Sizes'!$B$56,'[22]Group Sizes'!$D$56)))))))))))</f>
        <v>420000</v>
      </c>
      <c r="E18" s="245">
        <f>IF(I18+H18-'[22]Pay &amp; Pension Workings'!H126-'[22]TA Workings'!J126&lt;'[22]Group Sizes'!$B$46,'[22]Group Sizes'!$E$46,IF('[22]2122 Funding Detail'!I18+H18-'[22]Pay &amp; Pension Workings'!H126-'[22]TA Workings'!J126&lt;'[22]Group Sizes'!$B$47,'[22]Group Sizes'!$E$47,IF('[22]2122 Funding Detail'!I18+H18-'[22]Pay &amp; Pension Workings'!H126-'[22]TA Workings'!J126&lt;'[22]Group Sizes'!$B$48,'[22]Group Sizes'!$E$48,IF(I18+H18-'[22]Pay &amp; Pension Workings'!H126-'[22]TA Workings'!J126&lt;'[22]Group Sizes'!$B$49,'[22]Group Sizes'!$E$49,IF(I18+H18-'[22]Pay &amp; Pension Workings'!H126-'[22]TA Workings'!J126&lt;'[22]Group Sizes'!$B$50,'[22]Group Sizes'!$E$50,IF(I18+H18-'[22]Pay &amp; Pension Workings'!H126-'[22]TA Workings'!J126&lt;'[22]Group Sizes'!$B$51,'[22]Group Sizes'!$E$51,IF(I18+H18-'[22]Pay &amp; Pension Workings'!H126-'[22]TA Workings'!J126&lt;'[22]Group Sizes'!$B$52,'[22]Group Sizes'!$E$52,IF(I18+H18-'[22]Pay &amp; Pension Workings'!H126-'[22]TA Workings'!J126&lt;'[22]Group Sizes'!$B$53,'[22]Group Sizes'!$E$53,IF(I18+H18-'[22]Pay &amp; Pension Workings'!H126-'[22]TA Workings'!J126&lt;'[22]Group Sizes'!$B$54,'[22]Group Sizes'!$E$54,IF(I18+H18-'[22]Pay &amp; Pension Workings'!H126-'[22]TA Workings'!J126&lt;'[22]Group Sizes'!$B$55,'[22]Group Sizes'!$E$55,IF(I18+H18-'[22]Pay &amp; Pension Workings'!H126-'[22]TA Workings'!J126&lt;'[22]Group Sizes'!$B$56,'[22]Group Sizes'!$E$56)))))))))))</f>
        <v>120000</v>
      </c>
      <c r="F18" s="245"/>
      <c r="G18" s="245"/>
      <c r="H18" s="248">
        <f>VLOOKUP(A18,'[22]2122 Band Calculations'!$A$112:$T$129,10,FALSE)</f>
        <v>1335301.3034477031</v>
      </c>
      <c r="I18" s="248">
        <f>VLOOKUP(A18,'[22]2122 Band Calculations'!$A$112:$T$129,17,FALSE)</f>
        <v>23410.627062706269</v>
      </c>
      <c r="J18" s="245">
        <f>VLOOKUP(A18,'[22]2122 FSM Calculation'!$A$4:$D$21,4,FALSE)</f>
        <v>14363.2</v>
      </c>
      <c r="K18" s="245">
        <f t="shared" si="0"/>
        <v>1913075.1305104094</v>
      </c>
      <c r="L18" s="248">
        <f t="shared" si="2"/>
        <v>1913075.1305104094</v>
      </c>
      <c r="M18" s="1036">
        <f>VLOOKUP(A18,'[22]2122 Band Calculations'!$A$112:$T$129,19,FALSE)</f>
        <v>112.16666666666667</v>
      </c>
      <c r="N18" s="235">
        <f>VLOOKUP(A18,'[22]2122 Band Calculations'!$A$110:$AL$129,38,(FALSE))</f>
        <v>279459.44511597994</v>
      </c>
      <c r="O18" s="253">
        <f>M18-(M18*(VLOOKUP(A18,'[22]2122 Band Calculations'!$A$6:$J$23,10,(FALSE))))</f>
        <v>99.950495049504951</v>
      </c>
      <c r="P18" s="235">
        <f t="shared" si="3"/>
        <v>10797.870334307812</v>
      </c>
      <c r="Q18" s="1025">
        <f>'[22]2122 MFG Protection'!L121</f>
        <v>0</v>
      </c>
      <c r="R18" s="1025">
        <f t="shared" si="4"/>
        <v>1913075.1305104094</v>
      </c>
      <c r="S18" s="235">
        <f t="shared" si="5"/>
        <v>1121666.6666666667</v>
      </c>
      <c r="T18" s="235">
        <f t="shared" si="6"/>
        <v>0</v>
      </c>
      <c r="U18" s="242">
        <f t="shared" si="7"/>
        <v>17055.647523124004</v>
      </c>
      <c r="V18" s="242">
        <f t="shared" si="1"/>
        <v>1121666.6666666667</v>
      </c>
      <c r="W18" s="242">
        <f t="shared" si="8"/>
        <v>7055.6475231240038</v>
      </c>
      <c r="X18" s="245">
        <f t="shared" si="9"/>
        <v>791408.46384374262</v>
      </c>
      <c r="Y18" s="245">
        <f t="shared" si="10"/>
        <v>1913075.1305104094</v>
      </c>
      <c r="Z18" s="245">
        <f t="shared" si="11"/>
        <v>0</v>
      </c>
      <c r="AB18" s="387"/>
      <c r="AC18" s="387"/>
      <c r="AD18" s="387"/>
      <c r="AE18" s="1037"/>
    </row>
    <row r="19" spans="1:32" x14ac:dyDescent="0.25">
      <c r="A19" s="244">
        <v>9257021</v>
      </c>
      <c r="B19" s="237" t="s">
        <v>809</v>
      </c>
      <c r="C19" s="1038" t="str">
        <f>IF(I19+H19-'[22]Pay &amp; Pension Workings'!H127-'[22]TA Workings'!J127&lt;'[22]Group Sizes'!$B$46,'[22]Group Sizes'!$C$46,IF('[22]2122 Funding Detail'!I19+H19-'[22]Pay &amp; Pension Workings'!H127-'[22]TA Workings'!J127&lt;'[22]Group Sizes'!$B$47,'[22]Group Sizes'!$C$47,IF('[22]2122 Funding Detail'!I19+H19-'[22]Pay &amp; Pension Workings'!H127-'[22]TA Workings'!J127&lt;'[22]Group Sizes'!$B$48,'[22]Group Sizes'!$C$48,IF(I19+H19-'[22]Pay &amp; Pension Workings'!H127-'[22]TA Workings'!J127&lt;'[22]Group Sizes'!$B$49,'[22]Group Sizes'!$C$49,IF(I19+H19-'[22]Pay &amp; Pension Workings'!H127-'[22]TA Workings'!J127&lt;'[22]Group Sizes'!$B$50,'[22]Group Sizes'!$C$50,IF(I19+H19-'[22]Pay &amp; Pension Workings'!H127-'[22]TA Workings'!J127&lt;'[22]Group Sizes'!$B$51,'[22]Group Sizes'!$C$51,IF(I19+H19-'[22]Pay &amp; Pension Workings'!H127-'[22]TA Workings'!J127&lt;'[22]Group Sizes'!$B$52,'[22]Group Sizes'!$C$52,IF(I19+H19-'[22]Pay &amp; Pension Workings'!H127-'[22]TA Workings'!J127&lt;'[22]Group Sizes'!$B$53,'[22]Group Sizes'!$C$53,IF(I19+H19-'[22]Pay &amp; Pension Workings'!H127-'[22]TA Workings'!J127&lt;'[22]Group Sizes'!$B$54,'[22]Group Sizes'!$C$54,IF(I19+H19-'[22]Pay &amp; Pension Workings'!H127-'[22]TA Workings'!J127&lt;'[22]Group Sizes'!$B$55,'[22]Group Sizes'!$C$55,IF(I19+H19-'[22]Pay &amp; Pension Workings'!H127-'[22]TA Workings'!J127&lt;'[22]Group Sizes'!$B$56,'[22]Group Sizes'!$C$56)))))))))))</f>
        <v>School Size 5 Transition Point</v>
      </c>
      <c r="D19" s="245">
        <f>IF(H19+I19-'[22]Pay &amp; Pension Workings'!H127-'[22]TA Workings'!J127&lt;'[22]Group Sizes'!$B$46,'[22]Group Sizes'!$D$46,IF('[22]2122 Funding Detail'!H19+I19-'[22]Pay &amp; Pension Workings'!H127-'[22]TA Workings'!J127&lt;'[22]Group Sizes'!$B$47,'[22]Group Sizes'!$D$47,IF('[22]2122 Funding Detail'!H19+I19-'[22]Pay &amp; Pension Workings'!H127-'[22]TA Workings'!J127&lt;'[22]Group Sizes'!$B$48,'[22]Group Sizes'!$D$48,IF(H19+I19-'[22]Pay &amp; Pension Workings'!H127-'[22]TA Workings'!J127&lt;'[22]Group Sizes'!$B$49,'[22]Group Sizes'!$D$49,IF(H19+I19-'[22]Pay &amp; Pension Workings'!H127-'[22]TA Workings'!J127&lt;'[22]Group Sizes'!$B$50,'[22]Group Sizes'!$D$50,IF(H19+I19-'[22]Pay &amp; Pension Workings'!H127-'[22]TA Workings'!J127&lt;'[22]Group Sizes'!$B$51,'[22]Group Sizes'!$D$51,IF(H19+I19-'[22]Pay &amp; Pension Workings'!H127-'[22]TA Workings'!J127&lt;'[22]Group Sizes'!$B$52,'[22]Group Sizes'!$D$52,IF(H19+I19-'[22]Pay &amp; Pension Workings'!H127-'[22]TA Workings'!J127&lt;'[22]Group Sizes'!$B$53,'[22]Group Sizes'!$D$53,IF(H19+I19-'[22]Pay &amp; Pension Workings'!H127-'[22]TA Workings'!J127&lt;'[22]Group Sizes'!$B$54,'[22]Group Sizes'!$D$54,IF(H19+I19-'[22]Pay &amp; Pension Workings'!H127-'[22]TA Workings'!J127&lt;'[22]Group Sizes'!$B$55,'[22]Group Sizes'!$D$55,IF(H19+I19-'[22]Pay &amp; Pension Workings'!H127-'[22]TA Workings'!J127&lt;'[22]Group Sizes'!$B$56,'[22]Group Sizes'!$D$56)))))))))))</f>
        <v>455000</v>
      </c>
      <c r="E19" s="245">
        <f>IF(I19+H19-'[22]Pay &amp; Pension Workings'!H127-'[22]TA Workings'!J127&lt;'[22]Group Sizes'!$B$46,'[22]Group Sizes'!$E$46,IF('[22]2122 Funding Detail'!I19+H19-'[22]Pay &amp; Pension Workings'!H127-'[22]TA Workings'!J127&lt;'[22]Group Sizes'!$B$47,'[22]Group Sizes'!$E$47,IF('[22]2122 Funding Detail'!I19+H19-'[22]Pay &amp; Pension Workings'!H127-'[22]TA Workings'!J127&lt;'[22]Group Sizes'!$B$48,'[22]Group Sizes'!$E$48,IF(I19+H19-'[22]Pay &amp; Pension Workings'!H127-'[22]TA Workings'!J127&lt;'[22]Group Sizes'!$B$49,'[22]Group Sizes'!$E$49,IF(I19+H19-'[22]Pay &amp; Pension Workings'!H127-'[22]TA Workings'!J127&lt;'[22]Group Sizes'!$B$50,'[22]Group Sizes'!$E$50,IF(I19+H19-'[22]Pay &amp; Pension Workings'!H127-'[22]TA Workings'!J127&lt;'[22]Group Sizes'!$B$51,'[22]Group Sizes'!$E$51,IF(I19+H19-'[22]Pay &amp; Pension Workings'!H127-'[22]TA Workings'!J127&lt;'[22]Group Sizes'!$B$52,'[22]Group Sizes'!$E$52,IF(I19+H19-'[22]Pay &amp; Pension Workings'!H127-'[22]TA Workings'!J127&lt;'[22]Group Sizes'!$B$53,'[22]Group Sizes'!$E$53,IF(I19+H19-'[22]Pay &amp; Pension Workings'!H127-'[22]TA Workings'!J127&lt;'[22]Group Sizes'!$B$54,'[22]Group Sizes'!$E$54,IF(I19+H19-'[22]Pay &amp; Pension Workings'!H127-'[22]TA Workings'!J127&lt;'[22]Group Sizes'!$B$55,'[22]Group Sizes'!$E$55,IF(I19+H19-'[22]Pay &amp; Pension Workings'!H127-'[22]TA Workings'!J127&lt;'[22]Group Sizes'!$B$56,'[22]Group Sizes'!$E$56)))))))))))</f>
        <v>130000</v>
      </c>
      <c r="F19" s="245"/>
      <c r="G19" s="245"/>
      <c r="H19" s="248">
        <f>VLOOKUP(A19,'[22]2122 Band Calculations'!$A$112:$T$129,10,FALSE)</f>
        <v>1579584.5197189793</v>
      </c>
      <c r="I19" s="248">
        <f>VLOOKUP(A19,'[22]2122 Band Calculations'!$A$112:$T$129,17,FALSE)</f>
        <v>35038.269817073175</v>
      </c>
      <c r="J19" s="245">
        <f>VLOOKUP(A19,'[22]2122 FSM Calculation'!$A$4:$D$21,4,FALSE)</f>
        <v>25584.45</v>
      </c>
      <c r="K19" s="245">
        <f t="shared" si="0"/>
        <v>2225207.239536053</v>
      </c>
      <c r="L19" s="248">
        <f t="shared" si="2"/>
        <v>2225207.239536053</v>
      </c>
      <c r="M19" s="1036">
        <f>VLOOKUP(A19,'[22]2122 Band Calculations'!$A$112:$T$129,19,FALSE)</f>
        <v>167.75</v>
      </c>
      <c r="N19" s="235">
        <f>VLOOKUP(A19,'[22]2122 Band Calculations'!$A$110:$AL$129,38,(FALSE))</f>
        <v>46798.544232945467</v>
      </c>
      <c r="O19" s="253">
        <f>M19-(M19*(VLOOKUP(A19,'[22]2122 Band Calculations'!$A$6:$J$23,10,(FALSE))))</f>
        <v>165.70426829268294</v>
      </c>
      <c r="P19" s="235">
        <f t="shared" si="3"/>
        <v>9461.5803289620999</v>
      </c>
      <c r="Q19" s="1025">
        <f>'[22]2122 MFG Protection'!L129</f>
        <v>12937.523007891316</v>
      </c>
      <c r="R19" s="1025">
        <f t="shared" si="4"/>
        <v>2238144.7625439442</v>
      </c>
      <c r="S19" s="235">
        <f t="shared" si="5"/>
        <v>1677500</v>
      </c>
      <c r="T19" s="235">
        <f t="shared" si="6"/>
        <v>0</v>
      </c>
      <c r="U19" s="242">
        <f t="shared" si="7"/>
        <v>13342.144635135286</v>
      </c>
      <c r="V19" s="242">
        <f t="shared" si="1"/>
        <v>1677500</v>
      </c>
      <c r="W19" s="242">
        <f t="shared" si="8"/>
        <v>3342.1446351352861</v>
      </c>
      <c r="X19" s="245">
        <f t="shared" si="9"/>
        <v>560644.76254394418</v>
      </c>
      <c r="Y19" s="245">
        <f t="shared" si="10"/>
        <v>2238144.7625439442</v>
      </c>
      <c r="Z19" s="245">
        <f t="shared" si="11"/>
        <v>0</v>
      </c>
      <c r="AB19" s="387"/>
      <c r="AC19" s="387"/>
      <c r="AD19" s="387"/>
      <c r="AE19" s="1037"/>
    </row>
    <row r="20" spans="1:32" ht="12.75" customHeight="1" x14ac:dyDescent="0.25">
      <c r="A20" s="244">
        <v>9257015</v>
      </c>
      <c r="B20" s="237" t="s">
        <v>217</v>
      </c>
      <c r="C20" s="1038" t="str">
        <f>IF(I20+H20-'[22]Pay &amp; Pension Workings'!H128-'[22]TA Workings'!J128&lt;'[22]Group Sizes'!$B$46,'[22]Group Sizes'!$C$46,IF('[22]2122 Funding Detail'!I20+H20-'[22]Pay &amp; Pension Workings'!H128-'[22]TA Workings'!J128&lt;'[22]Group Sizes'!$B$47,'[22]Group Sizes'!$C$47,IF('[22]2122 Funding Detail'!I20+H20-'[22]Pay &amp; Pension Workings'!H128-'[22]TA Workings'!J128&lt;'[22]Group Sizes'!$B$48,'[22]Group Sizes'!$C$48,IF(I20+H20-'[22]Pay &amp; Pension Workings'!H128-'[22]TA Workings'!J128&lt;'[22]Group Sizes'!$B$49,'[22]Group Sizes'!$C$49,IF(I20+H20-'[22]Pay &amp; Pension Workings'!H128-'[22]TA Workings'!J128&lt;'[22]Group Sizes'!$B$50,'[22]Group Sizes'!$C$50,IF(I20+H20-'[22]Pay &amp; Pension Workings'!H128-'[22]TA Workings'!J128&lt;'[22]Group Sizes'!$B$51,'[22]Group Sizes'!$C$51,IF(I20+H20-'[22]Pay &amp; Pension Workings'!H128-'[22]TA Workings'!J128&lt;'[22]Group Sizes'!$B$52,'[22]Group Sizes'!$C$52,IF(I20+H20-'[22]Pay &amp; Pension Workings'!H128-'[22]TA Workings'!J128&lt;'[22]Group Sizes'!$B$53,'[22]Group Sizes'!$C$53,IF(I20+H20-'[22]Pay &amp; Pension Workings'!H128-'[22]TA Workings'!J128&lt;'[22]Group Sizes'!$B$54,'[22]Group Sizes'!$C$54,IF(I20+H20-'[22]Pay &amp; Pension Workings'!H128-'[22]TA Workings'!J128&lt;'[22]Group Sizes'!$B$55,'[22]Group Sizes'!$C$55,IF(I20+H20-'[22]Pay &amp; Pension Workings'!H128-'[22]TA Workings'!J128&lt;'[22]Group Sizes'!$B$56,'[22]Group Sizes'!$C$56)))))))))))</f>
        <v>School Size 6 Transition Point</v>
      </c>
      <c r="D20" s="245">
        <f>IF(H20+I20-'[22]Pay &amp; Pension Workings'!H128-'[22]TA Workings'!J128&lt;'[22]Group Sizes'!$B$46,'[22]Group Sizes'!$D$46,IF('[22]2122 Funding Detail'!H20+I20-'[22]Pay &amp; Pension Workings'!H128-'[22]TA Workings'!J128&lt;'[22]Group Sizes'!$B$47,'[22]Group Sizes'!$D$47,IF('[22]2122 Funding Detail'!H20+I20-'[22]Pay &amp; Pension Workings'!H128-'[22]TA Workings'!J128&lt;'[22]Group Sizes'!$B$48,'[22]Group Sizes'!$D$48,IF(H20+I20-'[22]Pay &amp; Pension Workings'!H128-'[22]TA Workings'!J128&lt;'[22]Group Sizes'!$B$49,'[22]Group Sizes'!$D$49,IF(H20+I20-'[22]Pay &amp; Pension Workings'!H128-'[22]TA Workings'!J128&lt;'[22]Group Sizes'!$B$50,'[22]Group Sizes'!$D$50,IF(H20+I20-'[22]Pay &amp; Pension Workings'!H128-'[22]TA Workings'!J128&lt;'[22]Group Sizes'!$B$51,'[22]Group Sizes'!$D$51,IF(H20+I20-'[22]Pay &amp; Pension Workings'!H128-'[22]TA Workings'!J128&lt;'[22]Group Sizes'!$B$52,'[22]Group Sizes'!$D$52,IF(H20+I20-'[22]Pay &amp; Pension Workings'!H128-'[22]TA Workings'!J128&lt;'[22]Group Sizes'!$B$53,'[22]Group Sizes'!$D$53,IF(H20+I20-'[22]Pay &amp; Pension Workings'!H128-'[22]TA Workings'!J128&lt;'[22]Group Sizes'!$B$54,'[22]Group Sizes'!$D$54,IF(H20+I20-'[22]Pay &amp; Pension Workings'!H128-'[22]TA Workings'!J128&lt;'[22]Group Sizes'!$B$55,'[22]Group Sizes'!$D$55,IF(H20+I20-'[22]Pay &amp; Pension Workings'!H128-'[22]TA Workings'!J128&lt;'[22]Group Sizes'!$B$56,'[22]Group Sizes'!$D$56)))))))))))</f>
        <v>525000</v>
      </c>
      <c r="E20" s="245">
        <f>IF(I20+H20-'[22]Pay &amp; Pension Workings'!H128-'[22]TA Workings'!J128&lt;'[22]Group Sizes'!$B$46,'[22]Group Sizes'!$E$46,IF('[22]2122 Funding Detail'!I20+H20-'[22]Pay &amp; Pension Workings'!H128-'[22]TA Workings'!J128&lt;'[22]Group Sizes'!$B$47,'[22]Group Sizes'!$E$47,IF('[22]2122 Funding Detail'!I20+H20-'[22]Pay &amp; Pension Workings'!H128-'[22]TA Workings'!J128&lt;'[22]Group Sizes'!$B$48,'[22]Group Sizes'!$E$48,IF(I20+H20-'[22]Pay &amp; Pension Workings'!H128-'[22]TA Workings'!J128&lt;'[22]Group Sizes'!$B$49,'[22]Group Sizes'!$E$49,IF(I20+H20-'[22]Pay &amp; Pension Workings'!H128-'[22]TA Workings'!J128&lt;'[22]Group Sizes'!$B$50,'[22]Group Sizes'!$E$50,IF(I20+H20-'[22]Pay &amp; Pension Workings'!H128-'[22]TA Workings'!J128&lt;'[22]Group Sizes'!$B$51,'[22]Group Sizes'!$E$51,IF(I20+H20-'[22]Pay &amp; Pension Workings'!H128-'[22]TA Workings'!J128&lt;'[22]Group Sizes'!$B$52,'[22]Group Sizes'!$E$52,IF(I20+H20-'[22]Pay &amp; Pension Workings'!H128-'[22]TA Workings'!J128&lt;'[22]Group Sizes'!$B$53,'[22]Group Sizes'!$E$53,IF(I20+H20-'[22]Pay &amp; Pension Workings'!H128-'[22]TA Workings'!J128&lt;'[22]Group Sizes'!$B$54,'[22]Group Sizes'!$E$54,IF(I20+H20-'[22]Pay &amp; Pension Workings'!H128-'[22]TA Workings'!J128&lt;'[22]Group Sizes'!$B$55,'[22]Group Sizes'!$E$55,IF(I20+H20-'[22]Pay &amp; Pension Workings'!H128-'[22]TA Workings'!J128&lt;'[22]Group Sizes'!$B$56,'[22]Group Sizes'!$E$56)))))))))))</f>
        <v>145000</v>
      </c>
      <c r="F20" s="245"/>
      <c r="G20" s="245"/>
      <c r="H20" s="248">
        <f>VLOOKUP(A20,'[22]2122 Band Calculations'!$A$112:$T$129,10,FALSE)</f>
        <v>2148810.2146396968</v>
      </c>
      <c r="I20" s="248">
        <f>VLOOKUP(A20,'[22]2122 Band Calculations'!$A$112:$T$129,17,FALSE)</f>
        <v>10637.160766961651</v>
      </c>
      <c r="J20" s="245">
        <f>VLOOKUP(A20,'[22]2122 FSM Calculation'!$A$4:$D$21,4,FALSE)</f>
        <v>21544.800000000003</v>
      </c>
      <c r="K20" s="245">
        <f t="shared" si="0"/>
        <v>2850992.1754066581</v>
      </c>
      <c r="L20" s="248">
        <f t="shared" si="2"/>
        <v>2850992.1754066581</v>
      </c>
      <c r="M20" s="1036">
        <f>VLOOKUP(A20,'[22]2122 Band Calculations'!$A$112:$T$129,19,FALSE)</f>
        <v>228.08333333333334</v>
      </c>
      <c r="N20" s="235">
        <f>VLOOKUP(A20,'[22]2122 Band Calculations'!$A$110:$AL$129,38,(FALSE))</f>
        <v>69261.203568685509</v>
      </c>
      <c r="O20" s="253">
        <f>M20-(M20*(VLOOKUP(A20,'[22]2122 Band Calculations'!$A$6:$J$23,10,(FALSE))))</f>
        <v>225.0556784660767</v>
      </c>
      <c r="P20" s="235">
        <f t="shared" si="3"/>
        <v>9287.4180562079564</v>
      </c>
      <c r="Q20" s="1025">
        <f>'[22]2122 MFG Protection'!L137</f>
        <v>0</v>
      </c>
      <c r="R20" s="1025">
        <f t="shared" si="4"/>
        <v>2850992.1754066581</v>
      </c>
      <c r="S20" s="235">
        <f t="shared" si="5"/>
        <v>2280833.3333333335</v>
      </c>
      <c r="T20" s="235">
        <f t="shared" si="6"/>
        <v>0</v>
      </c>
      <c r="U20" s="242">
        <f t="shared" si="7"/>
        <v>12499.783012378479</v>
      </c>
      <c r="V20" s="242">
        <f t="shared" si="1"/>
        <v>2280833.3333333335</v>
      </c>
      <c r="W20" s="242">
        <f t="shared" si="8"/>
        <v>2499.7830123784788</v>
      </c>
      <c r="X20" s="245">
        <f t="shared" si="9"/>
        <v>570158.8420733246</v>
      </c>
      <c r="Y20" s="245">
        <f t="shared" si="10"/>
        <v>2850992.1754066581</v>
      </c>
      <c r="Z20" s="245">
        <f t="shared" si="11"/>
        <v>0</v>
      </c>
      <c r="AB20" s="387"/>
      <c r="AC20" s="387"/>
      <c r="AD20" s="387"/>
      <c r="AE20" s="1037"/>
    </row>
    <row r="21" spans="1:32" x14ac:dyDescent="0.25">
      <c r="A21" s="244">
        <v>9257016</v>
      </c>
      <c r="B21" s="237" t="s">
        <v>219</v>
      </c>
      <c r="C21" s="1038" t="str">
        <f>IF(I21+H21-'[22]Pay &amp; Pension Workings'!H129-'[22]TA Workings'!J129&lt;'[22]Group Sizes'!$B$46,'[22]Group Sizes'!$C$46,IF('[22]2122 Funding Detail'!I21+H21-'[22]Pay &amp; Pension Workings'!H129-'[22]TA Workings'!J129&lt;'[22]Group Sizes'!$B$47,'[22]Group Sizes'!$C$47,IF('[22]2122 Funding Detail'!I21+H21-'[22]Pay &amp; Pension Workings'!H129-'[22]TA Workings'!J129&lt;'[22]Group Sizes'!$B$48,'[22]Group Sizes'!$C$48,IF(I21+H21-'[22]Pay &amp; Pension Workings'!H129-'[22]TA Workings'!J129&lt;'[22]Group Sizes'!$B$49,'[22]Group Sizes'!$C$49,IF(I21+H21-'[22]Pay &amp; Pension Workings'!H129-'[22]TA Workings'!J129&lt;'[22]Group Sizes'!$B$50,'[22]Group Sizes'!$C$50,IF(I21+H21-'[22]Pay &amp; Pension Workings'!H129-'[22]TA Workings'!J129&lt;'[22]Group Sizes'!$B$51,'[22]Group Sizes'!$C$51,IF(I21+H21-'[22]Pay &amp; Pension Workings'!H129-'[22]TA Workings'!J129&lt;'[22]Group Sizes'!$B$52,'[22]Group Sizes'!$C$52,IF(I21+H21-'[22]Pay &amp; Pension Workings'!H129-'[22]TA Workings'!J129&lt;'[22]Group Sizes'!$B$53,'[22]Group Sizes'!$C$53,IF(I21+H21-'[22]Pay &amp; Pension Workings'!H129-'[22]TA Workings'!J129&lt;'[22]Group Sizes'!$B$54,'[22]Group Sizes'!$C$54,IF(I21+H21-'[22]Pay &amp; Pension Workings'!H129-'[22]TA Workings'!J129&lt;'[22]Group Sizes'!$B$55,'[22]Group Sizes'!$C$55,IF(I21+H21-'[22]Pay &amp; Pension Workings'!H129-'[22]TA Workings'!J129&lt;'[22]Group Sizes'!$B$56,'[22]Group Sizes'!$C$56)))))))))))</f>
        <v>School Size 6 Transition Point</v>
      </c>
      <c r="D21" s="245">
        <f>IF(H21+I21-'[22]Pay &amp; Pension Workings'!H129-'[22]TA Workings'!J129&lt;'[22]Group Sizes'!$B$46,'[22]Group Sizes'!$D$46,IF('[22]2122 Funding Detail'!H21+I21-'[22]Pay &amp; Pension Workings'!H129-'[22]TA Workings'!J129&lt;'[22]Group Sizes'!$B$47,'[22]Group Sizes'!$D$47,IF('[22]2122 Funding Detail'!H21+I21-'[22]Pay &amp; Pension Workings'!H129-'[22]TA Workings'!J129&lt;'[22]Group Sizes'!$B$48,'[22]Group Sizes'!$D$48,IF(H21+I21-'[22]Pay &amp; Pension Workings'!H129-'[22]TA Workings'!J129&lt;'[22]Group Sizes'!$B$49,'[22]Group Sizes'!$D$49,IF(H21+I21-'[22]Pay &amp; Pension Workings'!H129-'[22]TA Workings'!J129&lt;'[22]Group Sizes'!$B$50,'[22]Group Sizes'!$D$50,IF(H21+I21-'[22]Pay &amp; Pension Workings'!H129-'[22]TA Workings'!J129&lt;'[22]Group Sizes'!$B$51,'[22]Group Sizes'!$D$51,IF(H21+I21-'[22]Pay &amp; Pension Workings'!H129-'[22]TA Workings'!J129&lt;'[22]Group Sizes'!$B$52,'[22]Group Sizes'!$D$52,IF(H21+I21-'[22]Pay &amp; Pension Workings'!H129-'[22]TA Workings'!J129&lt;'[22]Group Sizes'!$B$53,'[22]Group Sizes'!$D$53,IF(H21+I21-'[22]Pay &amp; Pension Workings'!H129-'[22]TA Workings'!J129&lt;'[22]Group Sizes'!$B$54,'[22]Group Sizes'!$D$54,IF(H21+I21-'[22]Pay &amp; Pension Workings'!H129-'[22]TA Workings'!J129&lt;'[22]Group Sizes'!$B$55,'[22]Group Sizes'!$D$55,IF(H21+I21-'[22]Pay &amp; Pension Workings'!H129-'[22]TA Workings'!J129&lt;'[22]Group Sizes'!$B$56,'[22]Group Sizes'!$D$56)))))))))))</f>
        <v>525000</v>
      </c>
      <c r="E21" s="245">
        <f>IF(I21+H21-'[22]Pay &amp; Pension Workings'!H129-'[22]TA Workings'!J129&lt;'[22]Group Sizes'!$B$46,'[22]Group Sizes'!$E$46,IF('[22]2122 Funding Detail'!I21+H21-'[22]Pay &amp; Pension Workings'!H129-'[22]TA Workings'!J129&lt;'[22]Group Sizes'!$B$47,'[22]Group Sizes'!$E$47,IF('[22]2122 Funding Detail'!I21+H21-'[22]Pay &amp; Pension Workings'!H129-'[22]TA Workings'!J129&lt;'[22]Group Sizes'!$B$48,'[22]Group Sizes'!$E$48,IF(I21+H21-'[22]Pay &amp; Pension Workings'!H129-'[22]TA Workings'!J129&lt;'[22]Group Sizes'!$B$49,'[22]Group Sizes'!$E$49,IF(I21+H21-'[22]Pay &amp; Pension Workings'!H129-'[22]TA Workings'!J129&lt;'[22]Group Sizes'!$B$50,'[22]Group Sizes'!$E$50,IF(I21+H21-'[22]Pay &amp; Pension Workings'!H129-'[22]TA Workings'!J129&lt;'[22]Group Sizes'!$B$51,'[22]Group Sizes'!$E$51,IF(I21+H21-'[22]Pay &amp; Pension Workings'!H129-'[22]TA Workings'!J129&lt;'[22]Group Sizes'!$B$52,'[22]Group Sizes'!$E$52,IF(I21+H21-'[22]Pay &amp; Pension Workings'!H129-'[22]TA Workings'!J129&lt;'[22]Group Sizes'!$B$53,'[22]Group Sizes'!$E$53,IF(I21+H21-'[22]Pay &amp; Pension Workings'!H129-'[22]TA Workings'!J129&lt;'[22]Group Sizes'!$B$54,'[22]Group Sizes'!$E$54,IF(I21+H21-'[22]Pay &amp; Pension Workings'!H129-'[22]TA Workings'!J129&lt;'[22]Group Sizes'!$B$55,'[22]Group Sizes'!$E$55,IF(I21+H21-'[22]Pay &amp; Pension Workings'!H129-'[22]TA Workings'!J129&lt;'[22]Group Sizes'!$B$56,'[22]Group Sizes'!$E$56)))))))))))</f>
        <v>145000</v>
      </c>
      <c r="F21" s="245"/>
      <c r="G21" s="245"/>
      <c r="H21" s="248">
        <f>VLOOKUP(A21,'[22]2122 Band Calculations'!$A$112:$T$129,10,FALSE)</f>
        <v>2256437.5442380505</v>
      </c>
      <c r="I21" s="248">
        <f>VLOOKUP(A21,'[22]2122 Band Calculations'!$A$112:$T$129,17,FALSE)</f>
        <v>2652.7303312629401</v>
      </c>
      <c r="J21" s="245">
        <f>VLOOKUP(A21,'[22]2122 FSM Calculation'!$A$4:$D$21,4,FALSE)</f>
        <v>21544.800000000003</v>
      </c>
      <c r="K21" s="245">
        <f t="shared" si="0"/>
        <v>2950635.0745693133</v>
      </c>
      <c r="L21" s="248">
        <f t="shared" si="2"/>
        <v>2950635.0745693133</v>
      </c>
      <c r="M21" s="1036">
        <f>VLOOKUP(A21,'[22]2122 Band Calculations'!$A$112:$T$129,19,FALSE)</f>
        <v>162.08333333333334</v>
      </c>
      <c r="N21" s="235">
        <f>VLOOKUP(A21,'[22]2122 Band Calculations'!$A$110:$AL$129,38,(FALSE))</f>
        <v>783023.98962712591</v>
      </c>
      <c r="O21" s="253">
        <f>M21-(M21*(VLOOKUP(A21,'[22]2122 Band Calculations'!$A$6:$J$23,10,(FALSE))))</f>
        <v>127.85455486542443</v>
      </c>
      <c r="P21" s="235">
        <f t="shared" si="3"/>
        <v>11544.886191155623</v>
      </c>
      <c r="Q21" s="1025">
        <f>'[22]2122 MFG Protection'!L145</f>
        <v>0</v>
      </c>
      <c r="R21" s="1025">
        <f t="shared" si="4"/>
        <v>2950635.0745693133</v>
      </c>
      <c r="S21" s="235">
        <f t="shared" si="5"/>
        <v>1620833.3333333335</v>
      </c>
      <c r="T21" s="235">
        <f t="shared" si="6"/>
        <v>0</v>
      </c>
      <c r="U21" s="242">
        <f t="shared" si="7"/>
        <v>18204.432336674425</v>
      </c>
      <c r="V21" s="242">
        <f t="shared" si="1"/>
        <v>1620833.3333333335</v>
      </c>
      <c r="W21" s="242">
        <f t="shared" si="8"/>
        <v>8204.4323366744247</v>
      </c>
      <c r="X21" s="245">
        <f t="shared" si="9"/>
        <v>1329801.7412359798</v>
      </c>
      <c r="Y21" s="245">
        <f t="shared" si="10"/>
        <v>2950635.0745693133</v>
      </c>
      <c r="Z21" s="245">
        <f t="shared" si="11"/>
        <v>0</v>
      </c>
      <c r="AB21" s="387"/>
      <c r="AC21" s="387"/>
      <c r="AD21" s="387"/>
      <c r="AE21" s="1037"/>
    </row>
    <row r="22" spans="1:32" x14ac:dyDescent="0.25">
      <c r="A22" s="249"/>
      <c r="C22" s="234"/>
      <c r="D22" s="235"/>
      <c r="E22" s="235"/>
      <c r="F22" s="235"/>
      <c r="G22" s="235"/>
      <c r="H22" s="235"/>
      <c r="I22" s="235"/>
      <c r="J22" s="235"/>
    </row>
    <row r="23" spans="1:32" ht="13.5" customHeight="1" thickBot="1" x14ac:dyDescent="0.3">
      <c r="A23" s="249"/>
      <c r="D23" s="250">
        <f t="shared" ref="D23:O23" si="12">SUM(D4:D21)</f>
        <v>7087500</v>
      </c>
      <c r="E23" s="250">
        <f>SUM(E4:E21)</f>
        <v>2005000</v>
      </c>
      <c r="F23" s="250">
        <f t="shared" si="12"/>
        <v>978190</v>
      </c>
      <c r="G23" s="250">
        <f t="shared" si="12"/>
        <v>168000</v>
      </c>
      <c r="H23" s="250">
        <f t="shared" si="12"/>
        <v>21408404.625897162</v>
      </c>
      <c r="I23" s="250">
        <f t="shared" si="12"/>
        <v>1135022.1167520436</v>
      </c>
      <c r="J23" s="250">
        <f t="shared" si="12"/>
        <v>289508.25</v>
      </c>
      <c r="K23" s="250">
        <f t="shared" si="12"/>
        <v>33071624.992649201</v>
      </c>
      <c r="L23" s="250">
        <f t="shared" si="12"/>
        <v>31925434.992649201</v>
      </c>
      <c r="M23" s="251">
        <f t="shared" si="12"/>
        <v>1988.5</v>
      </c>
      <c r="N23" s="250">
        <f t="shared" si="12"/>
        <v>2103667.5817540754</v>
      </c>
      <c r="O23" s="251">
        <f t="shared" si="12"/>
        <v>1896.5411678571038</v>
      </c>
      <c r="P23" s="251"/>
      <c r="Q23" s="250">
        <f>SUM(Q4:Q21)</f>
        <v>267331.04437925667</v>
      </c>
      <c r="R23" s="250">
        <f>SUM(R4:R21)</f>
        <v>32192766.037028458</v>
      </c>
      <c r="S23" s="250">
        <f>SUM(S4:S21)</f>
        <v>19885000</v>
      </c>
      <c r="V23" s="250">
        <f>SUM(V4:V21)</f>
        <v>19885000</v>
      </c>
      <c r="W23" s="235"/>
      <c r="X23" s="250">
        <f>SUM(X4:X21)</f>
        <v>12307766.037028458</v>
      </c>
      <c r="Y23" s="250">
        <f>SUM(Y4:Y21)</f>
        <v>32192766.037028458</v>
      </c>
    </row>
    <row r="24" spans="1:32" ht="13" x14ac:dyDescent="0.3">
      <c r="A24" s="249"/>
      <c r="C24" s="862"/>
      <c r="D24" s="861"/>
      <c r="E24" s="861"/>
      <c r="F24" s="861"/>
      <c r="G24" s="861"/>
      <c r="H24" s="861"/>
      <c r="I24" s="861"/>
      <c r="J24" s="861"/>
      <c r="K24" s="861"/>
      <c r="L24" s="881"/>
      <c r="M24" s="881"/>
      <c r="N24" s="861"/>
      <c r="O24" s="882"/>
      <c r="P24" s="861"/>
      <c r="Q24" s="861"/>
      <c r="R24" s="861"/>
      <c r="S24" s="247"/>
      <c r="V24" s="235"/>
      <c r="W24" s="249"/>
      <c r="AF24" s="249"/>
    </row>
    <row r="25" spans="1:32" ht="13" x14ac:dyDescent="0.3">
      <c r="B25" s="806" t="s">
        <v>1218</v>
      </c>
      <c r="C25" s="234"/>
      <c r="D25" s="235"/>
      <c r="E25" s="831"/>
      <c r="G25" s="235"/>
      <c r="H25" s="235"/>
      <c r="I25" s="235"/>
      <c r="J25" s="235"/>
      <c r="K25" s="235"/>
      <c r="L25" s="235"/>
      <c r="M25" s="253">
        <f>'[22]2021 Funding Detail'!M25</f>
        <v>1896.0833333333337</v>
      </c>
      <c r="N25" s="816">
        <f>M23-M25</f>
        <v>92.416666666666288</v>
      </c>
      <c r="O25" s="816"/>
      <c r="P25" s="816"/>
      <c r="Q25" s="36" t="s">
        <v>947</v>
      </c>
      <c r="R25" s="235">
        <f>'[22]2021 Funding Detail'!X25</f>
        <v>29334218.614862774</v>
      </c>
      <c r="X25" s="234"/>
      <c r="Y25" s="234" t="s">
        <v>999</v>
      </c>
    </row>
    <row r="26" spans="1:32" ht="13" x14ac:dyDescent="0.3">
      <c r="B26" s="234"/>
      <c r="D26" s="235"/>
      <c r="E26" s="832"/>
      <c r="I26" s="247"/>
      <c r="M26" s="253"/>
      <c r="R26" s="234"/>
      <c r="S26" s="861"/>
      <c r="X26" s="234"/>
    </row>
    <row r="27" spans="1:32" x14ac:dyDescent="0.25">
      <c r="A27" s="244">
        <v>9257010</v>
      </c>
      <c r="B27" s="237" t="s">
        <v>804</v>
      </c>
      <c r="C27" s="1038" t="s">
        <v>758</v>
      </c>
      <c r="D27" s="245">
        <v>340000</v>
      </c>
      <c r="E27" s="245">
        <v>105000</v>
      </c>
      <c r="F27" s="245">
        <f>D4+E4-D27-E27</f>
        <v>95000</v>
      </c>
      <c r="G27" s="245"/>
      <c r="H27" s="248">
        <v>766348.93047857203</v>
      </c>
      <c r="I27" s="248">
        <v>10347.864583333334</v>
      </c>
      <c r="J27" s="245"/>
      <c r="K27" s="245"/>
      <c r="L27" s="248"/>
      <c r="M27" s="1036">
        <v>62.833333333333329</v>
      </c>
      <c r="P27" s="247"/>
      <c r="Q27" s="36" t="s">
        <v>3</v>
      </c>
      <c r="R27" s="235">
        <f>R23-R25</f>
        <v>2858547.4221656844</v>
      </c>
      <c r="X27" s="234"/>
    </row>
    <row r="28" spans="1:32" x14ac:dyDescent="0.25">
      <c r="A28" s="244">
        <v>9257005</v>
      </c>
      <c r="B28" s="237" t="s">
        <v>805</v>
      </c>
      <c r="C28" s="1040" t="s">
        <v>758</v>
      </c>
      <c r="D28" s="245">
        <v>340000</v>
      </c>
      <c r="E28" s="245">
        <v>105000</v>
      </c>
      <c r="F28" s="245">
        <f>D5+E5-D28-E28</f>
        <v>25000</v>
      </c>
      <c r="G28" s="245"/>
      <c r="H28" s="248">
        <v>869562.19164385577</v>
      </c>
      <c r="I28" s="248">
        <v>13449.479166666666</v>
      </c>
      <c r="J28" s="245"/>
      <c r="K28" s="245"/>
      <c r="L28" s="248"/>
      <c r="M28" s="1036">
        <v>77.583333333333329</v>
      </c>
      <c r="R28" s="234"/>
    </row>
    <row r="29" spans="1:32" x14ac:dyDescent="0.25">
      <c r="A29" s="244">
        <v>9257025</v>
      </c>
      <c r="B29" s="237" t="s">
        <v>806</v>
      </c>
      <c r="C29" s="1038" t="s">
        <v>758</v>
      </c>
      <c r="D29" s="245">
        <v>340000</v>
      </c>
      <c r="E29" s="245">
        <v>105000</v>
      </c>
      <c r="F29" s="245">
        <f>D6+E6-D29-E29</f>
        <v>25000</v>
      </c>
      <c r="G29" s="245"/>
      <c r="H29" s="248">
        <v>793705.17090371286</v>
      </c>
      <c r="I29" s="248">
        <v>13412.387387387389</v>
      </c>
      <c r="J29" s="245"/>
      <c r="K29" s="245"/>
      <c r="L29" s="248"/>
      <c r="M29" s="1036">
        <v>75.333333333333343</v>
      </c>
      <c r="Q29" s="36" t="s">
        <v>1219</v>
      </c>
      <c r="R29" s="1041">
        <f>'[22]2122 Pay &amp; Pension Allocations'!A95</f>
        <v>1400520</v>
      </c>
    </row>
    <row r="30" spans="1:32" x14ac:dyDescent="0.25">
      <c r="A30" s="244">
        <v>9257011</v>
      </c>
      <c r="B30" s="237" t="s">
        <v>210</v>
      </c>
      <c r="C30" s="1038" t="s">
        <v>758</v>
      </c>
      <c r="D30" s="245">
        <v>340000</v>
      </c>
      <c r="E30" s="245">
        <v>105000</v>
      </c>
      <c r="F30" s="245">
        <f>D7+E7-D30-E30</f>
        <v>-7500</v>
      </c>
      <c r="G30" s="245"/>
      <c r="H30" s="248">
        <v>697819.18281502777</v>
      </c>
      <c r="I30" s="248">
        <v>5750.59748427673</v>
      </c>
      <c r="J30" s="245"/>
      <c r="K30" s="245"/>
      <c r="L30" s="248"/>
      <c r="M30" s="1036">
        <v>57.833333333333336</v>
      </c>
      <c r="N30" s="298"/>
      <c r="O30" s="298"/>
      <c r="P30" s="298"/>
      <c r="Q30" s="298"/>
      <c r="R30" s="298"/>
      <c r="S30" s="298"/>
      <c r="T30" s="298"/>
      <c r="U30" s="298"/>
      <c r="V30" s="298"/>
      <c r="W30" s="298"/>
      <c r="X30" s="298"/>
      <c r="Y30" s="298"/>
      <c r="Z30" s="298"/>
    </row>
    <row r="31" spans="1:32" x14ac:dyDescent="0.25">
      <c r="A31" s="244">
        <v>9257024</v>
      </c>
      <c r="B31" s="237" t="s">
        <v>807</v>
      </c>
      <c r="C31" s="1038" t="s">
        <v>758</v>
      </c>
      <c r="D31" s="245">
        <v>340000</v>
      </c>
      <c r="E31" s="245">
        <v>105000</v>
      </c>
      <c r="F31" s="245">
        <f>D8+E8-D31-E31</f>
        <v>25000</v>
      </c>
      <c r="G31" s="245"/>
      <c r="H31" s="248">
        <v>898400.3997032356</v>
      </c>
      <c r="I31" s="248">
        <v>5275.2911646586344</v>
      </c>
      <c r="J31" s="245"/>
      <c r="K31" s="245"/>
      <c r="L31" s="248"/>
      <c r="M31" s="1036">
        <v>83.083333333333329</v>
      </c>
      <c r="Q31" s="36" t="s">
        <v>974</v>
      </c>
      <c r="R31" s="235">
        <f>R27-R29</f>
        <v>1458027.4221656844</v>
      </c>
    </row>
    <row r="32" spans="1:32" x14ac:dyDescent="0.25">
      <c r="A32" s="244">
        <v>9257008</v>
      </c>
      <c r="B32" s="237" t="s">
        <v>340</v>
      </c>
      <c r="C32" s="1038" t="s">
        <v>758</v>
      </c>
      <c r="D32" s="245">
        <v>340000</v>
      </c>
      <c r="E32" s="245">
        <v>105000</v>
      </c>
      <c r="F32" s="245">
        <f>D11+E11-D32-E32</f>
        <v>25000</v>
      </c>
      <c r="G32" s="245"/>
      <c r="H32" s="248">
        <v>901299.16236721608</v>
      </c>
      <c r="I32" s="248">
        <v>21025.670103092787</v>
      </c>
      <c r="J32" s="245"/>
      <c r="K32" s="245"/>
      <c r="L32" s="248"/>
      <c r="M32" s="1036">
        <v>96.75</v>
      </c>
    </row>
    <row r="33" spans="1:26" x14ac:dyDescent="0.25">
      <c r="A33" s="244">
        <v>9257002</v>
      </c>
      <c r="B33" s="237" t="s">
        <v>808</v>
      </c>
      <c r="C33" s="1038" t="s">
        <v>760</v>
      </c>
      <c r="D33" s="245">
        <v>385000</v>
      </c>
      <c r="E33" s="245">
        <v>115000</v>
      </c>
      <c r="F33" s="245">
        <f>D13+E13-D33-E33</f>
        <v>40000</v>
      </c>
      <c r="G33" s="245"/>
      <c r="H33" s="248">
        <v>1243151.9879120709</v>
      </c>
      <c r="I33" s="248">
        <v>60385.416666666672</v>
      </c>
      <c r="J33" s="245"/>
      <c r="K33" s="245"/>
      <c r="L33" s="248"/>
      <c r="M33" s="1036">
        <v>147.91666666666669</v>
      </c>
      <c r="R33" s="280"/>
    </row>
    <row r="34" spans="1:26" x14ac:dyDescent="0.25">
      <c r="A34" s="244">
        <v>9257009</v>
      </c>
      <c r="B34" s="237" t="s">
        <v>546</v>
      </c>
      <c r="C34" s="1038" t="s">
        <v>760</v>
      </c>
      <c r="D34" s="245">
        <v>385000</v>
      </c>
      <c r="E34" s="245">
        <v>115000</v>
      </c>
      <c r="F34" s="245">
        <f>D14+E14-D34-E34</f>
        <v>5000</v>
      </c>
      <c r="G34" s="245"/>
      <c r="H34" s="248">
        <v>1124142.8964747144</v>
      </c>
      <c r="I34" s="248">
        <v>30464.208656330753</v>
      </c>
      <c r="J34" s="245"/>
      <c r="K34" s="245"/>
      <c r="L34" s="248"/>
      <c r="M34" s="1036">
        <v>135.58333333333334</v>
      </c>
      <c r="Q34" s="296"/>
    </row>
    <row r="35" spans="1:26" x14ac:dyDescent="0.25">
      <c r="A35" s="244">
        <v>9257028</v>
      </c>
      <c r="B35" s="237" t="s">
        <v>215</v>
      </c>
      <c r="C35" s="1040" t="s">
        <v>760</v>
      </c>
      <c r="D35" s="245">
        <v>385000</v>
      </c>
      <c r="E35" s="245">
        <v>115000</v>
      </c>
      <c r="F35" s="245">
        <f>D18+E18-D35-E35</f>
        <v>40000</v>
      </c>
      <c r="G35" s="245"/>
      <c r="H35" s="248">
        <v>1094030.7896330541</v>
      </c>
      <c r="I35" s="248">
        <v>10345.842105263158</v>
      </c>
      <c r="J35" s="245"/>
      <c r="K35" s="245"/>
      <c r="L35" s="248"/>
      <c r="M35" s="1036">
        <v>93.25</v>
      </c>
    </row>
    <row r="36" spans="1:26" x14ac:dyDescent="0.25">
      <c r="A36" s="244">
        <v>9257021</v>
      </c>
      <c r="B36" s="237" t="s">
        <v>809</v>
      </c>
      <c r="C36" s="1038" t="s">
        <v>761</v>
      </c>
      <c r="D36" s="245">
        <v>407500</v>
      </c>
      <c r="E36" s="245">
        <v>120000</v>
      </c>
      <c r="F36" s="245">
        <f>D19+E19-D36-E36</f>
        <v>57500</v>
      </c>
      <c r="G36" s="245"/>
      <c r="H36" s="248">
        <v>1480789.4660544591</v>
      </c>
      <c r="I36" s="248">
        <v>42504.867075664632</v>
      </c>
      <c r="J36" s="245"/>
      <c r="K36" s="245"/>
      <c r="L36" s="248"/>
      <c r="M36" s="1036">
        <v>164.33333333333334</v>
      </c>
    </row>
    <row r="37" spans="1:26" x14ac:dyDescent="0.25">
      <c r="A37" s="244">
        <v>9257015</v>
      </c>
      <c r="B37" s="237" t="s">
        <v>217</v>
      </c>
      <c r="C37" s="1038" t="s">
        <v>763</v>
      </c>
      <c r="D37" s="245">
        <v>452500</v>
      </c>
      <c r="E37" s="245">
        <v>130000</v>
      </c>
      <c r="F37" s="245">
        <f>D20+E20-D37-E37</f>
        <v>87500</v>
      </c>
      <c r="G37" s="245"/>
      <c r="H37" s="248">
        <v>2020340.8670849968</v>
      </c>
      <c r="I37" s="248">
        <v>15906.540948275862</v>
      </c>
      <c r="J37" s="245"/>
      <c r="K37" s="245"/>
      <c r="L37" s="248"/>
      <c r="M37" s="1036">
        <v>233.41666666666671</v>
      </c>
      <c r="U37" s="36"/>
      <c r="V37" s="36"/>
      <c r="W37" s="36"/>
      <c r="Z37" s="36"/>
    </row>
    <row r="38" spans="1:26" x14ac:dyDescent="0.25">
      <c r="A38" s="244">
        <v>9257016</v>
      </c>
      <c r="B38" s="237" t="s">
        <v>219</v>
      </c>
      <c r="C38" s="1040" t="s">
        <v>763</v>
      </c>
      <c r="D38" s="245">
        <v>452500</v>
      </c>
      <c r="E38" s="245">
        <v>130000</v>
      </c>
      <c r="F38" s="245">
        <f>D21+E21-D38-E38</f>
        <v>87500</v>
      </c>
      <c r="G38" s="245"/>
      <c r="H38" s="248">
        <v>1961468.3847430935</v>
      </c>
      <c r="I38" s="248">
        <v>2582.9934210526317</v>
      </c>
      <c r="J38" s="245"/>
      <c r="K38" s="245"/>
      <c r="L38" s="248"/>
      <c r="M38" s="1036">
        <v>149</v>
      </c>
      <c r="U38" s="36"/>
      <c r="V38" s="36"/>
      <c r="W38" s="36"/>
      <c r="Z38" s="36"/>
    </row>
    <row r="39" spans="1:26" x14ac:dyDescent="0.25">
      <c r="A39" s="244"/>
      <c r="B39" s="237"/>
      <c r="C39" s="244"/>
      <c r="D39" s="245"/>
      <c r="E39" s="245"/>
      <c r="F39" s="245"/>
      <c r="G39" s="245"/>
      <c r="H39" s="248"/>
      <c r="I39" s="248"/>
      <c r="J39" s="245"/>
      <c r="K39" s="245"/>
      <c r="L39" s="248"/>
      <c r="M39" s="1036"/>
      <c r="U39" s="36"/>
      <c r="V39" s="36"/>
      <c r="W39" s="36"/>
      <c r="Z39" s="36"/>
    </row>
    <row r="40" spans="1:26" ht="13" x14ac:dyDescent="0.3">
      <c r="A40" s="244">
        <v>9257031</v>
      </c>
      <c r="B40" s="32" t="s">
        <v>557</v>
      </c>
      <c r="C40" s="1038" t="s">
        <v>810</v>
      </c>
      <c r="D40" s="245">
        <v>332500</v>
      </c>
      <c r="E40" s="245">
        <v>80000</v>
      </c>
      <c r="F40" s="245">
        <f>D9+E9-D40-E40</f>
        <v>32500</v>
      </c>
      <c r="G40" s="245"/>
      <c r="H40" s="248">
        <v>877607.54304729425</v>
      </c>
      <c r="I40" s="248">
        <v>205310.41666666669</v>
      </c>
      <c r="J40" s="245"/>
      <c r="K40" s="245"/>
      <c r="L40" s="248"/>
      <c r="M40" s="1036">
        <v>77.916666666666671</v>
      </c>
      <c r="U40" s="36"/>
      <c r="V40" s="36"/>
      <c r="W40" s="36"/>
      <c r="Z40" s="36"/>
    </row>
    <row r="41" spans="1:26" ht="13" x14ac:dyDescent="0.3">
      <c r="A41" s="244">
        <v>9257029</v>
      </c>
      <c r="B41" s="32" t="s">
        <v>890</v>
      </c>
      <c r="C41" s="1040" t="s">
        <v>810</v>
      </c>
      <c r="D41" s="245">
        <v>332500</v>
      </c>
      <c r="E41" s="245">
        <v>80000</v>
      </c>
      <c r="F41" s="245">
        <f>D15+E15-D41-E41</f>
        <v>22500</v>
      </c>
      <c r="G41" s="245"/>
      <c r="H41" s="248">
        <v>779052.6852719296</v>
      </c>
      <c r="I41" s="248">
        <v>182254.16666666669</v>
      </c>
      <c r="J41" s="245"/>
      <c r="K41" s="245"/>
      <c r="L41" s="248"/>
      <c r="M41" s="1036">
        <v>69.166666666666671</v>
      </c>
    </row>
    <row r="42" spans="1:26" ht="13" x14ac:dyDescent="0.3">
      <c r="A42" s="244">
        <v>9257032</v>
      </c>
      <c r="B42" s="32" t="s">
        <v>813</v>
      </c>
      <c r="C42" s="1038" t="s">
        <v>810</v>
      </c>
      <c r="D42" s="245">
        <v>332500</v>
      </c>
      <c r="E42" s="245">
        <v>80000</v>
      </c>
      <c r="F42" s="245">
        <f>D16+E16-D42-E42</f>
        <v>22500</v>
      </c>
      <c r="G42" s="245"/>
      <c r="H42" s="248">
        <v>871975.83688870189</v>
      </c>
      <c r="I42" s="248">
        <v>203992.91666666669</v>
      </c>
      <c r="J42" s="245"/>
      <c r="K42" s="245"/>
      <c r="L42" s="248"/>
      <c r="M42" s="1036">
        <v>77.416666666666671</v>
      </c>
    </row>
    <row r="43" spans="1:26" ht="13" x14ac:dyDescent="0.3">
      <c r="A43" s="244">
        <v>9257030</v>
      </c>
      <c r="B43" s="32" t="s">
        <v>815</v>
      </c>
      <c r="C43" s="1038" t="s">
        <v>810</v>
      </c>
      <c r="D43" s="245">
        <v>332500</v>
      </c>
      <c r="E43" s="245">
        <v>80000</v>
      </c>
      <c r="F43" s="245">
        <f>D17+E17-D43-E43</f>
        <v>22500</v>
      </c>
      <c r="G43" s="245"/>
      <c r="H43" s="248">
        <v>840062.83532334573</v>
      </c>
      <c r="I43" s="248">
        <v>196527.08333333337</v>
      </c>
      <c r="J43" s="245"/>
      <c r="K43" s="245"/>
      <c r="L43" s="248"/>
      <c r="M43" s="1036">
        <v>74.583333333333343</v>
      </c>
    </row>
    <row r="44" spans="1:26" ht="13" x14ac:dyDescent="0.3">
      <c r="A44" s="244"/>
      <c r="B44" s="32"/>
      <c r="C44" s="244"/>
      <c r="D44" s="245"/>
      <c r="E44" s="245"/>
      <c r="F44" s="245"/>
      <c r="G44" s="245"/>
      <c r="H44" s="248"/>
      <c r="I44" s="248"/>
      <c r="J44" s="245"/>
      <c r="K44" s="245"/>
      <c r="L44" s="248"/>
      <c r="M44" s="1036"/>
    </row>
    <row r="45" spans="1:26" x14ac:dyDescent="0.25">
      <c r="A45" s="244">
        <v>9257033</v>
      </c>
      <c r="B45" s="237" t="s">
        <v>816</v>
      </c>
      <c r="C45" s="1040" t="s">
        <v>758</v>
      </c>
      <c r="D45" s="245">
        <v>340000</v>
      </c>
      <c r="E45" s="245">
        <v>105000</v>
      </c>
      <c r="F45" s="245">
        <f>D10+E10-D45-E45</f>
        <v>25000</v>
      </c>
      <c r="G45" s="245"/>
      <c r="H45" s="248">
        <v>866078.96842602338</v>
      </c>
      <c r="I45" s="248">
        <v>31841.894736842107</v>
      </c>
      <c r="J45" s="245"/>
      <c r="K45" s="245"/>
      <c r="L45" s="248"/>
      <c r="M45" s="1036">
        <v>95.666666666666686</v>
      </c>
    </row>
    <row r="46" spans="1:26" x14ac:dyDescent="0.25">
      <c r="A46" s="244">
        <v>9257034</v>
      </c>
      <c r="B46" s="237" t="s">
        <v>817</v>
      </c>
      <c r="C46" s="1038" t="s">
        <v>759</v>
      </c>
      <c r="D46" s="245">
        <v>362500</v>
      </c>
      <c r="E46" s="245">
        <v>110000</v>
      </c>
      <c r="F46" s="245">
        <f>D12+E12-D46-E46</f>
        <v>32500</v>
      </c>
      <c r="G46" s="245"/>
      <c r="H46" s="248">
        <v>1033481.2215414048</v>
      </c>
      <c r="I46" s="248">
        <v>51130.684250764534</v>
      </c>
      <c r="J46" s="245"/>
      <c r="K46" s="245"/>
      <c r="L46" s="248"/>
      <c r="M46" s="1036">
        <v>124.41666666666666</v>
      </c>
    </row>
    <row r="48" spans="1:26" x14ac:dyDescent="0.25">
      <c r="D48" s="235">
        <f>SUM(D27:D46)</f>
        <v>6540000</v>
      </c>
      <c r="E48" s="235">
        <f>SUM(E27:E46)</f>
        <v>1890000</v>
      </c>
    </row>
    <row r="50" spans="2:8" x14ac:dyDescent="0.25">
      <c r="C50" s="814" t="s">
        <v>974</v>
      </c>
      <c r="D50" s="235">
        <f>D23-D48</f>
        <v>547500</v>
      </c>
      <c r="E50" s="235">
        <f>E23-E48</f>
        <v>115000</v>
      </c>
    </row>
    <row r="51" spans="2:8" x14ac:dyDescent="0.25">
      <c r="H51" s="296" t="s">
        <v>1220</v>
      </c>
    </row>
    <row r="53" spans="2:8" x14ac:dyDescent="0.25">
      <c r="B53" s="36">
        <v>600000</v>
      </c>
      <c r="C53" s="36" t="s">
        <v>756</v>
      </c>
    </row>
    <row r="54" spans="2:8" x14ac:dyDescent="0.25">
      <c r="B54" s="36">
        <v>700000</v>
      </c>
      <c r="C54" s="36" t="s">
        <v>757</v>
      </c>
      <c r="E54" s="234" t="s">
        <v>205</v>
      </c>
    </row>
    <row r="55" spans="2:8" x14ac:dyDescent="0.25">
      <c r="B55" s="36">
        <v>950000</v>
      </c>
      <c r="C55" s="36" t="s">
        <v>758</v>
      </c>
      <c r="E55" s="234" t="s">
        <v>208</v>
      </c>
    </row>
    <row r="56" spans="2:8" x14ac:dyDescent="0.25">
      <c r="B56" s="36">
        <v>1100000</v>
      </c>
      <c r="C56" s="36" t="s">
        <v>759</v>
      </c>
      <c r="E56" s="234" t="s">
        <v>209</v>
      </c>
    </row>
    <row r="57" spans="2:8" x14ac:dyDescent="0.25">
      <c r="B57" s="36">
        <v>1400000</v>
      </c>
      <c r="C57" s="36" t="s">
        <v>760</v>
      </c>
      <c r="E57" s="234" t="s">
        <v>210</v>
      </c>
    </row>
    <row r="58" spans="2:8" x14ac:dyDescent="0.25">
      <c r="B58" s="36">
        <v>1600000</v>
      </c>
      <c r="C58" s="36" t="s">
        <v>761</v>
      </c>
      <c r="E58" s="234" t="s">
        <v>211</v>
      </c>
    </row>
    <row r="59" spans="2:8" x14ac:dyDescent="0.25">
      <c r="B59" s="36">
        <v>1950000</v>
      </c>
      <c r="C59" s="36" t="s">
        <v>762</v>
      </c>
      <c r="E59" s="234" t="s">
        <v>257</v>
      </c>
    </row>
    <row r="60" spans="2:8" x14ac:dyDescent="0.25">
      <c r="B60" s="36">
        <v>2200000</v>
      </c>
      <c r="C60" s="36" t="s">
        <v>763</v>
      </c>
      <c r="E60" s="234" t="s">
        <v>220</v>
      </c>
    </row>
    <row r="61" spans="2:8" x14ac:dyDescent="0.25">
      <c r="B61" s="36">
        <v>2600000</v>
      </c>
      <c r="C61" s="36" t="s">
        <v>764</v>
      </c>
      <c r="E61" s="234" t="s">
        <v>212</v>
      </c>
    </row>
    <row r="62" spans="2:8" x14ac:dyDescent="0.25">
      <c r="B62" s="36">
        <v>2900000</v>
      </c>
      <c r="C62" s="36" t="s">
        <v>1149</v>
      </c>
      <c r="E62" s="234" t="s">
        <v>221</v>
      </c>
    </row>
    <row r="63" spans="2:8" x14ac:dyDescent="0.25">
      <c r="B63" s="36">
        <v>3350000</v>
      </c>
      <c r="C63" s="36" t="s">
        <v>1150</v>
      </c>
      <c r="E63" s="234" t="s">
        <v>213</v>
      </c>
    </row>
    <row r="64" spans="2:8" x14ac:dyDescent="0.25">
      <c r="E64" s="234" t="s">
        <v>214</v>
      </c>
    </row>
    <row r="65" spans="5:5" x14ac:dyDescent="0.25">
      <c r="E65" s="234" t="s">
        <v>890</v>
      </c>
    </row>
    <row r="66" spans="5:5" x14ac:dyDescent="0.25">
      <c r="E66" s="234" t="s">
        <v>1043</v>
      </c>
    </row>
    <row r="67" spans="5:5" x14ac:dyDescent="0.25">
      <c r="E67" s="234" t="s">
        <v>1046</v>
      </c>
    </row>
    <row r="68" spans="5:5" x14ac:dyDescent="0.25">
      <c r="E68" s="234" t="s">
        <v>215</v>
      </c>
    </row>
    <row r="69" spans="5:5" x14ac:dyDescent="0.25">
      <c r="E69" s="234" t="s">
        <v>216</v>
      </c>
    </row>
    <row r="70" spans="5:5" x14ac:dyDescent="0.25">
      <c r="E70" s="234" t="s">
        <v>217</v>
      </c>
    </row>
    <row r="71" spans="5:5" x14ac:dyDescent="0.25">
      <c r="E71" s="234" t="s">
        <v>219</v>
      </c>
    </row>
  </sheetData>
  <pageMargins left="0.7" right="0.7" top="0.75" bottom="0.75" header="0.3" footer="0.3"/>
  <legacy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62E26-1510-4BC4-A250-7494C7809312}">
  <sheetPr>
    <tabColor rgb="FF92D050"/>
  </sheetPr>
  <dimension ref="A5:O109"/>
  <sheetViews>
    <sheetView topLeftCell="A15" workbookViewId="0">
      <selection activeCell="E42" sqref="E42"/>
    </sheetView>
  </sheetViews>
  <sheetFormatPr defaultRowHeight="12.5" x14ac:dyDescent="0.25"/>
  <cols>
    <col min="1" max="1" width="11.26953125" customWidth="1"/>
    <col min="3" max="7" width="25.7265625" style="2" customWidth="1"/>
    <col min="8" max="17" width="25.7265625" customWidth="1"/>
  </cols>
  <sheetData>
    <row r="5" spans="2:6" x14ac:dyDescent="0.25">
      <c r="C5" s="1544" t="s">
        <v>1221</v>
      </c>
      <c r="D5" s="1544"/>
      <c r="E5" s="1076" t="s">
        <v>1222</v>
      </c>
    </row>
    <row r="6" spans="2:6" ht="13" x14ac:dyDescent="0.3">
      <c r="C6" s="822" t="s">
        <v>1223</v>
      </c>
      <c r="D6" s="822" t="s">
        <v>1224</v>
      </c>
      <c r="E6" s="19" t="s">
        <v>1225</v>
      </c>
      <c r="F6" s="798" t="s">
        <v>1226</v>
      </c>
    </row>
    <row r="7" spans="2:6" ht="13" x14ac:dyDescent="0.3">
      <c r="B7" s="36" t="s">
        <v>735</v>
      </c>
      <c r="C7" s="1075">
        <f>'[23]TA Workings'!M92</f>
        <v>1.0226871923558922E-2</v>
      </c>
      <c r="D7" s="1075">
        <f>'[23]Pay &amp; Pension Workings'!P92</f>
        <v>8.4827726326253489E-2</v>
      </c>
      <c r="E7" s="1075">
        <f>'[23]2223 Band Values'!BL11</f>
        <v>2.6131128871127795E-2</v>
      </c>
      <c r="F7" s="1077">
        <f>SUM(C7:E7)</f>
        <v>0.12118572712094021</v>
      </c>
    </row>
    <row r="8" spans="2:6" ht="13" x14ac:dyDescent="0.3">
      <c r="B8" s="36"/>
      <c r="C8" s="1075"/>
      <c r="D8" s="1075"/>
      <c r="F8" s="1077"/>
    </row>
    <row r="9" spans="2:6" ht="13" x14ac:dyDescent="0.3">
      <c r="B9" s="36" t="s">
        <v>736</v>
      </c>
      <c r="C9" s="1075">
        <f>'[23]TA Workings'!M94</f>
        <v>1.0316760016105668E-2</v>
      </c>
      <c r="D9" s="1075">
        <f>'[23]Pay &amp; Pension Workings'!P94</f>
        <v>8.5573311346926056E-2</v>
      </c>
      <c r="E9" s="1075">
        <f>'[23]2223 Band Values'!BL8</f>
        <v>2.6360805877731167E-2</v>
      </c>
      <c r="F9" s="1077">
        <f t="shared" ref="F9:F19" si="0">SUM(C9:E9)</f>
        <v>0.12225087724076289</v>
      </c>
    </row>
    <row r="10" spans="2:6" ht="13" x14ac:dyDescent="0.3">
      <c r="B10" s="36"/>
      <c r="C10" s="1075"/>
      <c r="D10" s="1075"/>
      <c r="F10" s="1077"/>
    </row>
    <row r="11" spans="2:6" ht="13" x14ac:dyDescent="0.3">
      <c r="B11" s="36" t="s">
        <v>737</v>
      </c>
      <c r="C11" s="1075">
        <f>'[23]TA Workings'!M96</f>
        <v>1.8765362902340054E-2</v>
      </c>
      <c r="D11" s="1075">
        <f>'[23]Pay &amp; Pension Workings'!P96</f>
        <v>5.1883674062824015E-2</v>
      </c>
      <c r="E11" s="1075">
        <f>'[23]2223 Band Values'!BL30</f>
        <v>2.6594926315760596E-2</v>
      </c>
      <c r="F11" s="1077">
        <f t="shared" si="0"/>
        <v>9.7243963280924661E-2</v>
      </c>
    </row>
    <row r="12" spans="2:6" ht="13" x14ac:dyDescent="0.3">
      <c r="B12" s="36"/>
      <c r="C12" s="1075"/>
      <c r="D12" s="1075"/>
      <c r="F12" s="1077"/>
    </row>
    <row r="13" spans="2:6" ht="13" x14ac:dyDescent="0.3">
      <c r="B13" s="36" t="s">
        <v>738</v>
      </c>
      <c r="C13" s="1075">
        <f>'[23]TA Workings'!M98</f>
        <v>1.8865900678794404E-2</v>
      </c>
      <c r="D13" s="1075">
        <f>'[23]Pay &amp; Pension Workings'!P98</f>
        <v>5.216164732940607E-2</v>
      </c>
      <c r="E13" s="1075">
        <f>'[23]2223 Band Values'!BL5</f>
        <v>3.0676153688162025E-2</v>
      </c>
      <c r="F13" s="1077">
        <f t="shared" si="0"/>
        <v>0.1017037016963625</v>
      </c>
    </row>
    <row r="14" spans="2:6" ht="13" x14ac:dyDescent="0.3">
      <c r="B14" s="36"/>
      <c r="C14" s="1075"/>
      <c r="D14" s="1075"/>
      <c r="F14" s="1077"/>
    </row>
    <row r="15" spans="2:6" ht="13" x14ac:dyDescent="0.3">
      <c r="B15" s="36" t="s">
        <v>739</v>
      </c>
      <c r="C15" s="1075">
        <f>'[23]TA Workings'!M100</f>
        <v>1.8865900678794404E-2</v>
      </c>
      <c r="D15" s="1075">
        <f>'[23]Pay &amp; Pension Workings'!P100</f>
        <v>5.216164732940607E-2</v>
      </c>
      <c r="E15" s="1075">
        <f>'[23]2223 Band Values'!BL14</f>
        <v>3.0676153688162025E-2</v>
      </c>
      <c r="F15" s="1077">
        <f t="shared" si="0"/>
        <v>0.1017037016963625</v>
      </c>
    </row>
    <row r="16" spans="2:6" ht="13" x14ac:dyDescent="0.3">
      <c r="B16" s="36"/>
      <c r="C16" s="1075"/>
      <c r="D16" s="1075"/>
      <c r="F16" s="1077"/>
    </row>
    <row r="17" spans="1:13" ht="13" x14ac:dyDescent="0.3">
      <c r="B17" s="36" t="s">
        <v>741</v>
      </c>
      <c r="C17" s="1075">
        <f>'[23]TA Workings'!M102</f>
        <v>1.5785889563484205E-2</v>
      </c>
      <c r="D17" s="1075">
        <f>'[23]Pay &amp; Pension Workings'!P102</f>
        <v>6.5468753775186753E-2</v>
      </c>
      <c r="E17" s="1075">
        <f>'[23]2223 Band Values'!BL22</f>
        <v>2.9334821969648105E-2</v>
      </c>
      <c r="F17" s="1077">
        <f t="shared" si="0"/>
        <v>0.11058946530831906</v>
      </c>
    </row>
    <row r="18" spans="1:13" ht="13" x14ac:dyDescent="0.3">
      <c r="B18" s="36"/>
      <c r="C18" s="1075"/>
      <c r="D18" s="1075"/>
      <c r="F18" s="1077"/>
    </row>
    <row r="19" spans="1:13" ht="13" x14ac:dyDescent="0.3">
      <c r="B19" s="36" t="s">
        <v>743</v>
      </c>
      <c r="C19" s="1075">
        <f>'[23]TA Workings'!M104</f>
        <v>1.6143641675148718E-2</v>
      </c>
      <c r="D19" s="1075">
        <f>'[23]Pay &amp; Pension Workings'!P104</f>
        <v>0</v>
      </c>
      <c r="E19" s="1075">
        <f>'[23]2223 Band Values'!BL24</f>
        <v>3.6347569411603046E-2</v>
      </c>
      <c r="F19" s="1077">
        <f t="shared" si="0"/>
        <v>5.2491211086751768E-2</v>
      </c>
      <c r="H19" s="409" t="s">
        <v>1227</v>
      </c>
    </row>
    <row r="21" spans="1:13" ht="13.5" thickBot="1" x14ac:dyDescent="0.35">
      <c r="F21" s="1078">
        <f>AVERAGE(F7:F19)</f>
        <v>0.10102409249006052</v>
      </c>
      <c r="G21" s="2" t="s">
        <v>1228</v>
      </c>
    </row>
    <row r="23" spans="1:13" ht="13" x14ac:dyDescent="0.3">
      <c r="B23" s="289" t="s">
        <v>1229</v>
      </c>
      <c r="F23" s="1077">
        <f>AVERAGE(F7:F17)</f>
        <v>0.10911290605727864</v>
      </c>
      <c r="G23" s="316" t="s">
        <v>1230</v>
      </c>
    </row>
    <row r="28" spans="1:13" ht="13" x14ac:dyDescent="0.3">
      <c r="A28" t="s">
        <v>1144</v>
      </c>
      <c r="H28" s="1543" t="s">
        <v>1142</v>
      </c>
      <c r="I28" s="1543"/>
      <c r="J28" s="1543" t="s">
        <v>1143</v>
      </c>
      <c r="K28" s="1543"/>
    </row>
    <row r="29" spans="1:13" ht="13" x14ac:dyDescent="0.3">
      <c r="B29" s="1543" t="s">
        <v>1145</v>
      </c>
      <c r="C29" s="1543"/>
      <c r="E29" s="1543" t="s">
        <v>1231</v>
      </c>
      <c r="F29" s="1543"/>
      <c r="H29" s="2" t="s">
        <v>1147</v>
      </c>
      <c r="I29" s="316" t="s">
        <v>1148</v>
      </c>
      <c r="J29" s="2" t="s">
        <v>1147</v>
      </c>
      <c r="K29" s="316" t="s">
        <v>1148</v>
      </c>
      <c r="M29" s="316" t="s">
        <v>1232</v>
      </c>
    </row>
    <row r="30" spans="1:13" x14ac:dyDescent="0.25">
      <c r="B30" s="2">
        <v>600</v>
      </c>
      <c r="C30" s="16">
        <v>600000</v>
      </c>
      <c r="D30" s="133" t="s">
        <v>756</v>
      </c>
      <c r="E30" s="16">
        <f>C30*1.1</f>
        <v>660000</v>
      </c>
      <c r="F30" s="16">
        <f>E30</f>
        <v>660000</v>
      </c>
      <c r="G30" s="16"/>
      <c r="H30" s="395">
        <v>316450</v>
      </c>
      <c r="I30" s="395">
        <v>103000</v>
      </c>
      <c r="J30" s="395">
        <v>277282</v>
      </c>
      <c r="K30" s="395">
        <v>88550</v>
      </c>
      <c r="L30" s="2"/>
    </row>
    <row r="31" spans="1:13" x14ac:dyDescent="0.25">
      <c r="B31" s="2">
        <v>100</v>
      </c>
      <c r="C31" s="16">
        <v>700000</v>
      </c>
      <c r="D31" s="133" t="s">
        <v>757</v>
      </c>
      <c r="E31" s="16">
        <f t="shared" ref="E31:E40" si="1">C31*1.1</f>
        <v>770000.00000000012</v>
      </c>
      <c r="F31" s="16">
        <f>E31-E30</f>
        <v>110000.00000000012</v>
      </c>
      <c r="G31" s="16"/>
      <c r="H31" s="395">
        <v>352135</v>
      </c>
      <c r="I31" s="395">
        <v>108150</v>
      </c>
      <c r="J31" s="395">
        <v>321141</v>
      </c>
      <c r="K31" s="395">
        <v>88550</v>
      </c>
      <c r="L31" s="2"/>
    </row>
    <row r="32" spans="1:13" x14ac:dyDescent="0.25">
      <c r="B32" s="2">
        <v>250</v>
      </c>
      <c r="C32" s="16">
        <v>950000</v>
      </c>
      <c r="D32" s="133" t="s">
        <v>758</v>
      </c>
      <c r="E32" s="16">
        <f t="shared" si="1"/>
        <v>1045000.0000000001</v>
      </c>
      <c r="F32" s="465">
        <f>E32-E31</f>
        <v>275000</v>
      </c>
      <c r="G32" s="16"/>
      <c r="H32" s="395">
        <v>387820</v>
      </c>
      <c r="I32" s="395">
        <v>113300</v>
      </c>
      <c r="J32" s="395">
        <v>365000</v>
      </c>
      <c r="K32" s="395">
        <v>88550</v>
      </c>
      <c r="L32" s="2"/>
    </row>
    <row r="33" spans="1:12" x14ac:dyDescent="0.25">
      <c r="A33">
        <f t="shared" ref="A33:A40" si="2">B33-B31</f>
        <v>50</v>
      </c>
      <c r="B33" s="2">
        <v>150</v>
      </c>
      <c r="C33" s="16">
        <v>1100000</v>
      </c>
      <c r="D33" s="133" t="s">
        <v>759</v>
      </c>
      <c r="E33" s="16">
        <f t="shared" si="1"/>
        <v>1210000</v>
      </c>
      <c r="F33" s="16">
        <f>E33-E32</f>
        <v>164999.99999999988</v>
      </c>
      <c r="G33" s="16">
        <f>F33-F31</f>
        <v>54999.999999999767</v>
      </c>
      <c r="H33" s="395">
        <v>425940</v>
      </c>
      <c r="I33" s="395">
        <v>118450</v>
      </c>
      <c r="J33" s="395">
        <v>383275</v>
      </c>
      <c r="K33" s="395">
        <v>88550</v>
      </c>
      <c r="L33" s="2"/>
    </row>
    <row r="34" spans="1:12" x14ac:dyDescent="0.25">
      <c r="A34">
        <f t="shared" si="2"/>
        <v>50</v>
      </c>
      <c r="B34" s="2">
        <v>300</v>
      </c>
      <c r="C34" s="16">
        <v>1400000</v>
      </c>
      <c r="D34" s="133" t="s">
        <v>760</v>
      </c>
      <c r="E34" s="16">
        <f t="shared" si="1"/>
        <v>1540000.0000000002</v>
      </c>
      <c r="F34" s="465">
        <f t="shared" ref="F34:F39" si="3">E34-E33</f>
        <v>330000.00000000023</v>
      </c>
      <c r="G34" s="465">
        <f>F34-F32</f>
        <v>55000.000000000233</v>
      </c>
      <c r="H34" s="395">
        <v>464060</v>
      </c>
      <c r="I34" s="395">
        <v>123600</v>
      </c>
      <c r="J34" s="395">
        <v>401550</v>
      </c>
      <c r="K34" s="395">
        <v>88550</v>
      </c>
      <c r="L34" s="2"/>
    </row>
    <row r="35" spans="1:12" x14ac:dyDescent="0.25">
      <c r="A35">
        <f t="shared" si="2"/>
        <v>50</v>
      </c>
      <c r="B35" s="2">
        <v>200</v>
      </c>
      <c r="C35" s="16">
        <v>1600000</v>
      </c>
      <c r="D35" s="133" t="s">
        <v>761</v>
      </c>
      <c r="E35" s="16">
        <f t="shared" si="1"/>
        <v>1760000.0000000002</v>
      </c>
      <c r="F35" s="16">
        <f t="shared" si="3"/>
        <v>220000</v>
      </c>
      <c r="G35" s="16">
        <f t="shared" ref="G35:G39" si="4">F35-F33</f>
        <v>55000.000000000116</v>
      </c>
      <c r="H35" s="395">
        <v>507380</v>
      </c>
      <c r="I35" s="395">
        <v>133900</v>
      </c>
      <c r="J35" s="395"/>
      <c r="K35" s="805"/>
      <c r="L35" s="2"/>
    </row>
    <row r="36" spans="1:12" x14ac:dyDescent="0.25">
      <c r="A36">
        <f t="shared" si="2"/>
        <v>50</v>
      </c>
      <c r="B36" s="2">
        <v>350</v>
      </c>
      <c r="C36" s="16">
        <v>1950000</v>
      </c>
      <c r="D36" s="133" t="s">
        <v>762</v>
      </c>
      <c r="E36" s="16">
        <f t="shared" si="1"/>
        <v>2145000</v>
      </c>
      <c r="F36" s="465">
        <f t="shared" si="3"/>
        <v>384999.99999999977</v>
      </c>
      <c r="G36" s="465">
        <f t="shared" si="4"/>
        <v>54999.999999999534</v>
      </c>
      <c r="H36" s="395">
        <v>550700</v>
      </c>
      <c r="I36" s="395">
        <v>144200</v>
      </c>
      <c r="J36" s="1316"/>
      <c r="K36" s="805"/>
      <c r="L36" s="2"/>
    </row>
    <row r="37" spans="1:12" x14ac:dyDescent="0.25">
      <c r="A37">
        <f t="shared" si="2"/>
        <v>50</v>
      </c>
      <c r="B37" s="2">
        <v>250</v>
      </c>
      <c r="C37" s="16">
        <v>2200000</v>
      </c>
      <c r="D37" s="133" t="s">
        <v>763</v>
      </c>
      <c r="E37" s="16">
        <f t="shared" si="1"/>
        <v>2420000</v>
      </c>
      <c r="F37" s="16">
        <f t="shared" si="3"/>
        <v>275000</v>
      </c>
      <c r="G37" s="16">
        <f t="shared" si="4"/>
        <v>55000</v>
      </c>
      <c r="H37" s="395">
        <v>597290</v>
      </c>
      <c r="I37" s="395">
        <v>149350</v>
      </c>
      <c r="J37" s="1316"/>
      <c r="K37" s="805"/>
      <c r="L37" s="2"/>
    </row>
    <row r="38" spans="1:12" x14ac:dyDescent="0.25">
      <c r="A38">
        <f t="shared" si="2"/>
        <v>50</v>
      </c>
      <c r="B38" s="2">
        <v>400</v>
      </c>
      <c r="C38" s="16">
        <v>2600000</v>
      </c>
      <c r="D38" s="133" t="s">
        <v>764</v>
      </c>
      <c r="E38" s="16">
        <f t="shared" si="1"/>
        <v>2860000</v>
      </c>
      <c r="F38" s="465">
        <f t="shared" si="3"/>
        <v>440000</v>
      </c>
      <c r="G38" s="465">
        <f t="shared" si="4"/>
        <v>55000.000000000233</v>
      </c>
      <c r="H38" s="395">
        <v>643880</v>
      </c>
      <c r="I38" s="395">
        <v>154500</v>
      </c>
      <c r="J38" s="1316"/>
      <c r="K38" s="805"/>
      <c r="L38" s="2"/>
    </row>
    <row r="39" spans="1:12" x14ac:dyDescent="0.25">
      <c r="A39">
        <f t="shared" si="2"/>
        <v>50</v>
      </c>
      <c r="B39" s="2">
        <v>300</v>
      </c>
      <c r="C39" s="16">
        <v>2900000</v>
      </c>
      <c r="D39" s="133" t="s">
        <v>1149</v>
      </c>
      <c r="E39" s="16">
        <f>C39*1.1</f>
        <v>3190000.0000000005</v>
      </c>
      <c r="F39" s="16">
        <f t="shared" si="3"/>
        <v>330000.00000000047</v>
      </c>
      <c r="G39" s="16">
        <f t="shared" si="4"/>
        <v>55000.000000000466</v>
      </c>
      <c r="H39" s="230"/>
      <c r="I39" s="16"/>
      <c r="J39" s="16"/>
      <c r="K39" s="16"/>
      <c r="L39" s="2"/>
    </row>
    <row r="40" spans="1:12" x14ac:dyDescent="0.25">
      <c r="A40">
        <f t="shared" si="2"/>
        <v>50</v>
      </c>
      <c r="B40" s="2">
        <v>450</v>
      </c>
      <c r="C40" s="16">
        <v>3350000</v>
      </c>
      <c r="D40" s="133" t="s">
        <v>1150</v>
      </c>
      <c r="E40" s="16">
        <f t="shared" si="1"/>
        <v>3685000.0000000005</v>
      </c>
      <c r="F40" s="465">
        <f>E40-E39</f>
        <v>495000</v>
      </c>
      <c r="G40" s="465">
        <f>F40-F38</f>
        <v>55000</v>
      </c>
      <c r="H40" s="230"/>
      <c r="I40" s="16"/>
      <c r="J40" s="16"/>
      <c r="K40" s="16"/>
      <c r="L40" s="2"/>
    </row>
    <row r="41" spans="1:12" ht="13" thickBot="1" x14ac:dyDescent="0.3">
      <c r="B41" s="1079">
        <f>SUM(B30:B40)</f>
        <v>3350</v>
      </c>
      <c r="D41"/>
      <c r="I41" s="2"/>
      <c r="J41" s="2"/>
      <c r="K41" s="2"/>
      <c r="L41" s="2"/>
    </row>
    <row r="42" spans="1:12" x14ac:dyDescent="0.25">
      <c r="G42" s="2" t="s">
        <v>1233</v>
      </c>
    </row>
    <row r="44" spans="1:12" x14ac:dyDescent="0.25">
      <c r="H44" t="s">
        <v>1234</v>
      </c>
    </row>
    <row r="45" spans="1:12" ht="13" x14ac:dyDescent="0.3">
      <c r="H45" s="1543" t="s">
        <v>1142</v>
      </c>
      <c r="I45" s="1543"/>
      <c r="J45" s="1543" t="s">
        <v>1143</v>
      </c>
      <c r="K45" s="1543"/>
    </row>
    <row r="46" spans="1:12" x14ac:dyDescent="0.25">
      <c r="H46" s="2" t="s">
        <v>1147</v>
      </c>
      <c r="I46" s="316" t="s">
        <v>1148</v>
      </c>
      <c r="J46" s="2" t="s">
        <v>1147</v>
      </c>
      <c r="K46" s="316" t="s">
        <v>1148</v>
      </c>
    </row>
    <row r="47" spans="1:12" x14ac:dyDescent="0.25">
      <c r="G47" s="133" t="s">
        <v>756</v>
      </c>
      <c r="H47" s="16">
        <v>316450</v>
      </c>
      <c r="I47" s="16">
        <v>103000</v>
      </c>
      <c r="J47" s="16">
        <v>277282</v>
      </c>
      <c r="K47" s="16">
        <v>88550</v>
      </c>
    </row>
    <row r="48" spans="1:12" x14ac:dyDescent="0.25">
      <c r="G48" s="133" t="s">
        <v>757</v>
      </c>
      <c r="H48" s="16">
        <f>(H49+H47)/2</f>
        <v>352135</v>
      </c>
      <c r="I48" s="16">
        <f>(I49+I47)/2</f>
        <v>108150</v>
      </c>
      <c r="J48" s="16">
        <f>(J49+J47)/2</f>
        <v>321141</v>
      </c>
      <c r="K48" s="16">
        <v>88550</v>
      </c>
    </row>
    <row r="49" spans="7:13" x14ac:dyDescent="0.25">
      <c r="G49" s="133" t="s">
        <v>758</v>
      </c>
      <c r="H49" s="16">
        <v>387820</v>
      </c>
      <c r="I49" s="16">
        <v>113300</v>
      </c>
      <c r="J49" s="16">
        <v>365000</v>
      </c>
      <c r="K49" s="16">
        <v>88550</v>
      </c>
    </row>
    <row r="50" spans="7:13" x14ac:dyDescent="0.25">
      <c r="G50" s="133" t="s">
        <v>759</v>
      </c>
      <c r="H50" s="16">
        <f>(H51+H49)/2</f>
        <v>425940</v>
      </c>
      <c r="I50" s="16">
        <f>(I51+I49)/2</f>
        <v>118450</v>
      </c>
      <c r="J50" s="16">
        <f>(J51+J49)/2</f>
        <v>383275</v>
      </c>
      <c r="K50" s="16">
        <v>88550</v>
      </c>
    </row>
    <row r="51" spans="7:13" x14ac:dyDescent="0.25">
      <c r="G51" s="133" t="s">
        <v>760</v>
      </c>
      <c r="H51" s="16">
        <v>464060</v>
      </c>
      <c r="I51" s="16">
        <v>123600</v>
      </c>
      <c r="J51" s="16">
        <v>401550</v>
      </c>
      <c r="K51" s="16">
        <v>88550</v>
      </c>
    </row>
    <row r="52" spans="7:13" x14ac:dyDescent="0.25">
      <c r="G52" s="133" t="s">
        <v>761</v>
      </c>
      <c r="H52" s="16">
        <f>(H53+H51)/2</f>
        <v>507380</v>
      </c>
      <c r="I52" s="16">
        <f>(I53+I51)/2</f>
        <v>133900</v>
      </c>
      <c r="J52" s="16"/>
    </row>
    <row r="53" spans="7:13" x14ac:dyDescent="0.25">
      <c r="G53" s="133" t="s">
        <v>762</v>
      </c>
      <c r="H53" s="16">
        <v>550700</v>
      </c>
      <c r="I53" s="16">
        <v>144200</v>
      </c>
      <c r="J53" s="230"/>
    </row>
    <row r="54" spans="7:13" x14ac:dyDescent="0.25">
      <c r="G54" s="133" t="s">
        <v>763</v>
      </c>
      <c r="H54" s="16">
        <f>(H55+H53)/2</f>
        <v>597290</v>
      </c>
      <c r="I54" s="16">
        <f>(I55+I53)/2</f>
        <v>149350</v>
      </c>
      <c r="J54" s="230"/>
    </row>
    <row r="55" spans="7:13" x14ac:dyDescent="0.25">
      <c r="G55" s="133" t="s">
        <v>764</v>
      </c>
      <c r="H55" s="16">
        <v>643880</v>
      </c>
      <c r="I55" s="16">
        <v>154500</v>
      </c>
      <c r="J55" s="230"/>
    </row>
    <row r="56" spans="7:13" x14ac:dyDescent="0.25">
      <c r="G56" s="133" t="s">
        <v>1149</v>
      </c>
    </row>
    <row r="57" spans="7:13" x14ac:dyDescent="0.25">
      <c r="G57" s="133" t="s">
        <v>1150</v>
      </c>
    </row>
    <row r="59" spans="7:13" x14ac:dyDescent="0.25">
      <c r="H59" s="316" t="s">
        <v>1235</v>
      </c>
      <c r="I59" s="316" t="s">
        <v>1236</v>
      </c>
      <c r="K59" s="316" t="s">
        <v>1236</v>
      </c>
    </row>
    <row r="61" spans="7:13" x14ac:dyDescent="0.25">
      <c r="J61" s="289" t="s">
        <v>1237</v>
      </c>
      <c r="K61" s="16">
        <v>143800</v>
      </c>
      <c r="M61" s="16"/>
    </row>
    <row r="62" spans="7:13" x14ac:dyDescent="0.25">
      <c r="J62" s="289" t="s">
        <v>1238</v>
      </c>
      <c r="K62" s="16">
        <v>30900</v>
      </c>
      <c r="M62" s="16"/>
    </row>
    <row r="63" spans="7:13" ht="13" thickBot="1" x14ac:dyDescent="0.3">
      <c r="K63" s="886">
        <f>SUM(K61:K62)</f>
        <v>174700</v>
      </c>
      <c r="M63" s="16"/>
    </row>
    <row r="67" spans="4:12" x14ac:dyDescent="0.25">
      <c r="H67" s="289" t="s">
        <v>1239</v>
      </c>
    </row>
    <row r="68" spans="4:12" ht="13" x14ac:dyDescent="0.3">
      <c r="H68" s="1543" t="s">
        <v>1142</v>
      </c>
      <c r="I68" s="1543"/>
      <c r="J68" s="1543" t="s">
        <v>1143</v>
      </c>
      <c r="K68" s="1543"/>
      <c r="L68" s="316" t="s">
        <v>1240</v>
      </c>
    </row>
    <row r="69" spans="4:12" ht="13" x14ac:dyDescent="0.3">
      <c r="F69" s="316" t="s">
        <v>1241</v>
      </c>
      <c r="H69" s="2" t="s">
        <v>1147</v>
      </c>
      <c r="I69" s="316" t="s">
        <v>1242</v>
      </c>
      <c r="J69" s="2" t="s">
        <v>1147</v>
      </c>
      <c r="K69" s="316" t="s">
        <v>1148</v>
      </c>
      <c r="L69" s="316" t="s">
        <v>1241</v>
      </c>
    </row>
    <row r="70" spans="4:12" x14ac:dyDescent="0.25">
      <c r="E70" s="316"/>
      <c r="F70" s="16">
        <v>1293</v>
      </c>
      <c r="G70" s="133" t="s">
        <v>756</v>
      </c>
      <c r="H70" s="16">
        <v>334380</v>
      </c>
      <c r="I70" s="16">
        <f>I106</f>
        <v>114500</v>
      </c>
      <c r="J70" s="16">
        <v>290560</v>
      </c>
      <c r="K70" s="16">
        <v>100800</v>
      </c>
      <c r="L70" s="16">
        <v>1169</v>
      </c>
    </row>
    <row r="71" spans="4:12" x14ac:dyDescent="0.25">
      <c r="E71" s="16"/>
      <c r="F71" s="16">
        <f>(F72+F70)/2</f>
        <v>1450.5</v>
      </c>
      <c r="G71" s="133" t="s">
        <v>757</v>
      </c>
      <c r="H71" s="16">
        <f>(H72+H70)/2</f>
        <v>371845</v>
      </c>
      <c r="I71" s="16">
        <f>(I72+I70)/2</f>
        <v>120350</v>
      </c>
      <c r="J71" s="16">
        <f>(J72+J70)/2</f>
        <v>335725</v>
      </c>
      <c r="K71" s="16">
        <v>100800</v>
      </c>
      <c r="L71" s="16">
        <f>(L72+L70)/2</f>
        <v>1316.5</v>
      </c>
    </row>
    <row r="72" spans="4:12" x14ac:dyDescent="0.25">
      <c r="E72" s="16">
        <f>H72-H70</f>
        <v>74930</v>
      </c>
      <c r="F72" s="16">
        <v>1608</v>
      </c>
      <c r="G72" s="133" t="s">
        <v>758</v>
      </c>
      <c r="H72" s="16">
        <v>409310</v>
      </c>
      <c r="I72" s="16">
        <f>J106</f>
        <v>126200</v>
      </c>
      <c r="J72" s="16">
        <v>380890</v>
      </c>
      <c r="K72" s="16">
        <v>100800</v>
      </c>
      <c r="L72" s="16">
        <v>1464</v>
      </c>
    </row>
    <row r="73" spans="4:12" x14ac:dyDescent="0.25">
      <c r="E73" s="16"/>
      <c r="F73" s="16">
        <f>(F74+F72)/2</f>
        <v>1763.5</v>
      </c>
      <c r="G73" s="133" t="s">
        <v>759</v>
      </c>
      <c r="H73" s="16">
        <f>(H74+H72)/2</f>
        <v>449760</v>
      </c>
      <c r="I73" s="16">
        <f>(I74+I72)/2</f>
        <v>132200</v>
      </c>
      <c r="J73" s="16">
        <f>(J74+J72)/2</f>
        <v>400875</v>
      </c>
      <c r="K73" s="16">
        <v>100800</v>
      </c>
      <c r="L73" s="16">
        <f>(L74+L72)/2</f>
        <v>1586.5</v>
      </c>
    </row>
    <row r="74" spans="4:12" x14ac:dyDescent="0.25">
      <c r="D74" s="16">
        <f>E74-E72</f>
        <v>5970</v>
      </c>
      <c r="E74" s="16">
        <f>H74-H72</f>
        <v>80900</v>
      </c>
      <c r="F74" s="16">
        <v>1919</v>
      </c>
      <c r="G74" s="133" t="s">
        <v>760</v>
      </c>
      <c r="H74" s="16">
        <v>490210</v>
      </c>
      <c r="I74" s="16">
        <f>K106</f>
        <v>138200</v>
      </c>
      <c r="J74" s="16">
        <v>420860</v>
      </c>
      <c r="K74" s="16">
        <v>100800</v>
      </c>
      <c r="L74" s="16">
        <v>1709</v>
      </c>
    </row>
    <row r="75" spans="4:12" x14ac:dyDescent="0.25">
      <c r="E75" s="16"/>
      <c r="F75" s="16">
        <f>(F76+F74)/2</f>
        <v>2110.5</v>
      </c>
      <c r="G75" s="133" t="s">
        <v>761</v>
      </c>
      <c r="H75" s="16">
        <f>(H76+H74)/2</f>
        <v>535990</v>
      </c>
      <c r="I75" s="16">
        <f>(I76+I74)/2</f>
        <v>149900</v>
      </c>
      <c r="J75" s="16"/>
    </row>
    <row r="76" spans="4:12" x14ac:dyDescent="0.25">
      <c r="D76" s="16">
        <f>E76-E74</f>
        <v>10660</v>
      </c>
      <c r="E76" s="16">
        <f>H76-H74</f>
        <v>91560</v>
      </c>
      <c r="F76" s="16">
        <v>2302</v>
      </c>
      <c r="G76" s="133" t="s">
        <v>762</v>
      </c>
      <c r="H76" s="16">
        <v>581770</v>
      </c>
      <c r="I76" s="16">
        <f>L106</f>
        <v>161600</v>
      </c>
      <c r="J76" s="230"/>
    </row>
    <row r="77" spans="4:12" x14ac:dyDescent="0.25">
      <c r="E77" s="16"/>
      <c r="F77" s="16">
        <f>(F78+F76)/2</f>
        <v>2530</v>
      </c>
      <c r="G77" s="133" t="s">
        <v>763</v>
      </c>
      <c r="H77" s="16">
        <f>(H78+H76)/2</f>
        <v>630997.5</v>
      </c>
      <c r="I77" s="16">
        <f>(I78+I76)/2</f>
        <v>167550</v>
      </c>
      <c r="J77" s="230"/>
    </row>
    <row r="78" spans="4:12" x14ac:dyDescent="0.25">
      <c r="D78" s="16">
        <f>E78-E76</f>
        <v>6895</v>
      </c>
      <c r="E78" s="16">
        <f>H78-H76</f>
        <v>98455</v>
      </c>
      <c r="F78" s="16">
        <v>2758</v>
      </c>
      <c r="G78" s="133" t="s">
        <v>764</v>
      </c>
      <c r="H78" s="16">
        <v>680225</v>
      </c>
      <c r="I78" s="16">
        <f>M106</f>
        <v>173500</v>
      </c>
      <c r="J78" s="230"/>
    </row>
    <row r="79" spans="4:12" x14ac:dyDescent="0.25">
      <c r="E79" s="16"/>
      <c r="G79" s="133" t="s">
        <v>1149</v>
      </c>
    </row>
    <row r="80" spans="4:12" x14ac:dyDescent="0.25">
      <c r="G80" s="133" t="s">
        <v>1150</v>
      </c>
    </row>
    <row r="82" spans="7:12" x14ac:dyDescent="0.25">
      <c r="H82" s="316" t="s">
        <v>1235</v>
      </c>
      <c r="I82" s="316" t="s">
        <v>1236</v>
      </c>
      <c r="K82" s="316" t="s">
        <v>1243</v>
      </c>
      <c r="L82" s="316" t="s">
        <v>1240</v>
      </c>
    </row>
    <row r="83" spans="7:12" x14ac:dyDescent="0.25">
      <c r="L83" s="316" t="s">
        <v>1241</v>
      </c>
    </row>
    <row r="84" spans="7:12" x14ac:dyDescent="0.25">
      <c r="J84" s="289" t="s">
        <v>1237</v>
      </c>
      <c r="K84" s="395">
        <v>153090</v>
      </c>
      <c r="L84" s="16">
        <v>568</v>
      </c>
    </row>
    <row r="85" spans="7:12" x14ac:dyDescent="0.25">
      <c r="J85" s="289" t="s">
        <v>1238</v>
      </c>
      <c r="K85" s="16">
        <v>35000</v>
      </c>
    </row>
    <row r="86" spans="7:12" ht="13" thickBot="1" x14ac:dyDescent="0.3">
      <c r="K86" s="886">
        <f>SUM(K84:K85)</f>
        <v>188090</v>
      </c>
    </row>
    <row r="87" spans="7:12" x14ac:dyDescent="0.25">
      <c r="K87" s="16"/>
    </row>
    <row r="88" spans="7:12" x14ac:dyDescent="0.25">
      <c r="K88" s="16"/>
    </row>
    <row r="89" spans="7:12" ht="13" x14ac:dyDescent="0.3">
      <c r="H89" s="1543" t="s">
        <v>1142</v>
      </c>
      <c r="I89" s="1543"/>
      <c r="J89" s="1543" t="s">
        <v>1143</v>
      </c>
      <c r="K89" s="1543"/>
    </row>
    <row r="90" spans="7:12" ht="13" x14ac:dyDescent="0.3">
      <c r="H90" s="2" t="s">
        <v>1147</v>
      </c>
      <c r="I90" s="316" t="s">
        <v>1244</v>
      </c>
      <c r="J90" s="2" t="s">
        <v>1147</v>
      </c>
      <c r="K90" s="316" t="s">
        <v>1148</v>
      </c>
    </row>
    <row r="91" spans="7:12" x14ac:dyDescent="0.25">
      <c r="G91" s="133" t="s">
        <v>756</v>
      </c>
      <c r="H91" s="16">
        <v>334380</v>
      </c>
      <c r="I91" s="16">
        <f>I107</f>
        <v>112100</v>
      </c>
      <c r="J91" s="16">
        <v>290560</v>
      </c>
      <c r="K91" s="16">
        <v>98900</v>
      </c>
    </row>
    <row r="92" spans="7:12" x14ac:dyDescent="0.25">
      <c r="G92" s="133" t="s">
        <v>757</v>
      </c>
      <c r="H92" s="16">
        <v>371845</v>
      </c>
      <c r="I92" s="16">
        <f>(I93+I91)/2</f>
        <v>117900</v>
      </c>
      <c r="J92" s="16">
        <v>335725</v>
      </c>
      <c r="K92" s="16">
        <v>98900</v>
      </c>
    </row>
    <row r="93" spans="7:12" x14ac:dyDescent="0.25">
      <c r="G93" s="133" t="s">
        <v>758</v>
      </c>
      <c r="H93" s="16">
        <v>409310</v>
      </c>
      <c r="I93" s="315">
        <f>J107</f>
        <v>123700</v>
      </c>
      <c r="J93" s="16">
        <v>380890</v>
      </c>
      <c r="K93" s="16">
        <v>98900</v>
      </c>
    </row>
    <row r="94" spans="7:12" x14ac:dyDescent="0.25">
      <c r="G94" s="133" t="s">
        <v>759</v>
      </c>
      <c r="H94" s="16">
        <v>449760</v>
      </c>
      <c r="I94" s="16">
        <f>(I95+I93)/2</f>
        <v>129550</v>
      </c>
      <c r="J94" s="16">
        <v>400875</v>
      </c>
      <c r="K94" s="16">
        <v>98900</v>
      </c>
    </row>
    <row r="95" spans="7:12" x14ac:dyDescent="0.25">
      <c r="G95" s="133" t="s">
        <v>760</v>
      </c>
      <c r="H95" s="16">
        <v>490210</v>
      </c>
      <c r="I95" s="16">
        <f>K107</f>
        <v>135400</v>
      </c>
      <c r="J95" s="16">
        <v>420860</v>
      </c>
      <c r="K95" s="16">
        <v>98900</v>
      </c>
    </row>
    <row r="96" spans="7:12" x14ac:dyDescent="0.25">
      <c r="G96" s="133" t="s">
        <v>761</v>
      </c>
      <c r="H96" s="16">
        <v>535990</v>
      </c>
      <c r="I96" s="16">
        <f>(I97+I95)/2</f>
        <v>146900</v>
      </c>
      <c r="J96" s="16"/>
    </row>
    <row r="97" spans="6:15" x14ac:dyDescent="0.25">
      <c r="G97" s="133" t="s">
        <v>762</v>
      </c>
      <c r="H97" s="16">
        <v>581770</v>
      </c>
      <c r="I97" s="16">
        <f>L107</f>
        <v>158400</v>
      </c>
      <c r="J97" s="230"/>
    </row>
    <row r="98" spans="6:15" x14ac:dyDescent="0.25">
      <c r="G98" s="133" t="s">
        <v>763</v>
      </c>
      <c r="H98" s="16">
        <v>630997.5</v>
      </c>
      <c r="I98" s="16">
        <f>(I99+I97)/2</f>
        <v>164250</v>
      </c>
      <c r="K98" s="316" t="s">
        <v>1236</v>
      </c>
    </row>
    <row r="99" spans="6:15" x14ac:dyDescent="0.25">
      <c r="G99" s="133" t="s">
        <v>764</v>
      </c>
      <c r="H99" s="16">
        <v>680225</v>
      </c>
      <c r="I99" s="16">
        <f>M107</f>
        <v>170100</v>
      </c>
    </row>
    <row r="100" spans="6:15" x14ac:dyDescent="0.25">
      <c r="G100" s="133" t="s">
        <v>1149</v>
      </c>
      <c r="J100" s="289" t="s">
        <v>1237</v>
      </c>
      <c r="K100" s="395">
        <v>153090</v>
      </c>
    </row>
    <row r="101" spans="6:15" x14ac:dyDescent="0.25">
      <c r="G101" s="133" t="s">
        <v>1150</v>
      </c>
      <c r="J101" s="289" t="s">
        <v>1238</v>
      </c>
      <c r="K101" s="16">
        <v>34400</v>
      </c>
    </row>
    <row r="102" spans="6:15" ht="13" thickBot="1" x14ac:dyDescent="0.3">
      <c r="K102" s="886">
        <f>SUM(K100:K101)</f>
        <v>187490</v>
      </c>
    </row>
    <row r="105" spans="6:15" x14ac:dyDescent="0.25">
      <c r="G105" s="2" t="s">
        <v>1245</v>
      </c>
      <c r="H105" s="2" t="s">
        <v>1246</v>
      </c>
      <c r="I105" s="2" t="s">
        <v>62</v>
      </c>
      <c r="J105" s="2" t="s">
        <v>65</v>
      </c>
      <c r="K105" s="2" t="s">
        <v>68</v>
      </c>
      <c r="L105" s="2" t="s">
        <v>71</v>
      </c>
      <c r="M105" s="2" t="s">
        <v>1247</v>
      </c>
      <c r="N105" s="2" t="s">
        <v>1248</v>
      </c>
      <c r="O105" s="316" t="s">
        <v>1240</v>
      </c>
    </row>
    <row r="106" spans="6:15" ht="13" thickBot="1" x14ac:dyDescent="0.3">
      <c r="F106" s="316" t="s">
        <v>1249</v>
      </c>
      <c r="G106" s="155">
        <v>35000</v>
      </c>
      <c r="H106" s="155">
        <v>102700</v>
      </c>
      <c r="I106" s="155">
        <v>114500</v>
      </c>
      <c r="J106" s="155">
        <v>126200</v>
      </c>
      <c r="K106" s="155">
        <v>138200</v>
      </c>
      <c r="L106" s="155">
        <v>161600</v>
      </c>
      <c r="M106" s="155">
        <v>173500</v>
      </c>
      <c r="N106" s="155">
        <v>185500</v>
      </c>
      <c r="O106" s="428">
        <v>97100</v>
      </c>
    </row>
    <row r="107" spans="6:15" x14ac:dyDescent="0.25">
      <c r="F107" s="316" t="s">
        <v>1250</v>
      </c>
      <c r="G107" s="16">
        <v>34400</v>
      </c>
      <c r="H107" s="16">
        <v>100600</v>
      </c>
      <c r="I107" s="16">
        <v>112100</v>
      </c>
      <c r="J107" s="16">
        <v>123700</v>
      </c>
      <c r="K107" s="16">
        <v>135400</v>
      </c>
      <c r="L107" s="16">
        <v>158400</v>
      </c>
      <c r="M107" s="16">
        <v>170100</v>
      </c>
      <c r="N107" s="16">
        <v>181900</v>
      </c>
      <c r="O107" s="16">
        <v>96500</v>
      </c>
    </row>
    <row r="109" spans="6:15" x14ac:dyDescent="0.25">
      <c r="G109" s="316"/>
    </row>
  </sheetData>
  <mergeCells count="11">
    <mergeCell ref="H68:I68"/>
    <mergeCell ref="J68:K68"/>
    <mergeCell ref="H89:I89"/>
    <mergeCell ref="J89:K89"/>
    <mergeCell ref="C5:D5"/>
    <mergeCell ref="H28:I28"/>
    <mergeCell ref="J28:K28"/>
    <mergeCell ref="B29:C29"/>
    <mergeCell ref="E29:F29"/>
    <mergeCell ref="H45:I45"/>
    <mergeCell ref="J45:K45"/>
  </mergeCells>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618DE-D34B-49D8-A797-72FB952ADBDD}">
  <sheetPr>
    <tabColor theme="8" tint="0.39997558519241921"/>
  </sheetPr>
  <dimension ref="A5:M63"/>
  <sheetViews>
    <sheetView topLeftCell="G22" workbookViewId="0">
      <selection activeCell="H38" sqref="H38"/>
    </sheetView>
  </sheetViews>
  <sheetFormatPr defaultRowHeight="12.5" x14ac:dyDescent="0.25"/>
  <cols>
    <col min="1" max="1" width="11.26953125" customWidth="1"/>
    <col min="3" max="7" width="25.7265625" style="2" customWidth="1"/>
    <col min="8" max="17" width="25.7265625" customWidth="1"/>
  </cols>
  <sheetData>
    <row r="5" spans="2:6" x14ac:dyDescent="0.25">
      <c r="C5" s="1544" t="s">
        <v>1221</v>
      </c>
      <c r="D5" s="1544"/>
      <c r="E5" s="1076" t="s">
        <v>1222</v>
      </c>
    </row>
    <row r="6" spans="2:6" ht="13" x14ac:dyDescent="0.3">
      <c r="C6" s="822" t="s">
        <v>1223</v>
      </c>
      <c r="D6" s="822" t="s">
        <v>1224</v>
      </c>
      <c r="E6" s="19" t="s">
        <v>1225</v>
      </c>
      <c r="F6" s="798" t="s">
        <v>1226</v>
      </c>
    </row>
    <row r="7" spans="2:6" ht="13" x14ac:dyDescent="0.3">
      <c r="B7" s="36" t="s">
        <v>735</v>
      </c>
      <c r="C7" s="1075">
        <f>'TA Workings'!M92</f>
        <v>1.0226871923558922E-2</v>
      </c>
      <c r="D7" s="1075">
        <f>'Pay &amp; Pension Workings'!P92</f>
        <v>8.4827726326253489E-2</v>
      </c>
      <c r="E7" s="1075">
        <f>'2223 Band Values'!BL11</f>
        <v>2.6131128871127795E-2</v>
      </c>
      <c r="F7" s="1077">
        <f>SUM(C7:E7)</f>
        <v>0.12118572712094021</v>
      </c>
    </row>
    <row r="8" spans="2:6" ht="13" x14ac:dyDescent="0.3">
      <c r="B8" s="36"/>
      <c r="C8" s="1075"/>
      <c r="D8" s="1075"/>
      <c r="F8" s="1077"/>
    </row>
    <row r="9" spans="2:6" ht="13" x14ac:dyDescent="0.3">
      <c r="B9" s="36" t="s">
        <v>736</v>
      </c>
      <c r="C9" s="1075">
        <f>'TA Workings'!M94</f>
        <v>1.0316760016105668E-2</v>
      </c>
      <c r="D9" s="1075">
        <f>'Pay &amp; Pension Workings'!P94</f>
        <v>8.5573311346926056E-2</v>
      </c>
      <c r="E9" s="1075">
        <f>'2223 Band Values'!BL8</f>
        <v>2.6360805877731167E-2</v>
      </c>
      <c r="F9" s="1077">
        <f t="shared" ref="F9:F19" si="0">SUM(C9:E9)</f>
        <v>0.12225087724076289</v>
      </c>
    </row>
    <row r="10" spans="2:6" ht="13" x14ac:dyDescent="0.3">
      <c r="B10" s="36"/>
      <c r="C10" s="1075"/>
      <c r="D10" s="1075"/>
      <c r="F10" s="1077"/>
    </row>
    <row r="11" spans="2:6" ht="13" x14ac:dyDescent="0.3">
      <c r="B11" s="36" t="s">
        <v>737</v>
      </c>
      <c r="C11" s="1075">
        <f>'TA Workings'!M96</f>
        <v>1.8765362902340054E-2</v>
      </c>
      <c r="D11" s="1075">
        <f>'Pay &amp; Pension Workings'!P96</f>
        <v>5.1883674062824015E-2</v>
      </c>
      <c r="E11" s="1075">
        <f>'2223 Band Values'!BL30</f>
        <v>2.6594926315760596E-2</v>
      </c>
      <c r="F11" s="1077">
        <f t="shared" si="0"/>
        <v>9.7243963280924661E-2</v>
      </c>
    </row>
    <row r="12" spans="2:6" ht="13" x14ac:dyDescent="0.3">
      <c r="B12" s="36"/>
      <c r="C12" s="1075"/>
      <c r="D12" s="1075"/>
      <c r="F12" s="1077"/>
    </row>
    <row r="13" spans="2:6" ht="13" x14ac:dyDescent="0.3">
      <c r="B13" s="36" t="s">
        <v>738</v>
      </c>
      <c r="C13" s="1075">
        <f>'TA Workings'!M98</f>
        <v>1.8865900678794404E-2</v>
      </c>
      <c r="D13" s="1075">
        <f>'Pay &amp; Pension Workings'!P98</f>
        <v>5.216164732940607E-2</v>
      </c>
      <c r="E13" s="1075">
        <f>'2223 Band Values'!BL5</f>
        <v>3.0676153688162025E-2</v>
      </c>
      <c r="F13" s="1077">
        <f t="shared" si="0"/>
        <v>0.1017037016963625</v>
      </c>
    </row>
    <row r="14" spans="2:6" ht="13" x14ac:dyDescent="0.3">
      <c r="B14" s="36"/>
      <c r="C14" s="1075"/>
      <c r="D14" s="1075"/>
      <c r="F14" s="1077"/>
    </row>
    <row r="15" spans="2:6" ht="13" x14ac:dyDescent="0.3">
      <c r="B15" s="36" t="s">
        <v>739</v>
      </c>
      <c r="C15" s="1075">
        <f>'TA Workings'!M100</f>
        <v>1.8865900678794404E-2</v>
      </c>
      <c r="D15" s="1075">
        <f>'Pay &amp; Pension Workings'!P100</f>
        <v>5.216164732940607E-2</v>
      </c>
      <c r="E15" s="1075">
        <f>'2223 Band Values'!BL14</f>
        <v>3.0676153688162025E-2</v>
      </c>
      <c r="F15" s="1077">
        <f t="shared" si="0"/>
        <v>0.1017037016963625</v>
      </c>
    </row>
    <row r="16" spans="2:6" ht="13" x14ac:dyDescent="0.3">
      <c r="B16" s="36"/>
      <c r="C16" s="1075"/>
      <c r="D16" s="1075"/>
      <c r="F16" s="1077"/>
    </row>
    <row r="17" spans="1:13" ht="13" x14ac:dyDescent="0.3">
      <c r="B17" s="36" t="s">
        <v>741</v>
      </c>
      <c r="C17" s="1075">
        <f>'TA Workings'!M102</f>
        <v>1.5785889563484205E-2</v>
      </c>
      <c r="D17" s="1075">
        <f>'Pay &amp; Pension Workings'!P102</f>
        <v>6.5468753775186753E-2</v>
      </c>
      <c r="E17" s="1075">
        <f>'2223 Band Values'!BL22</f>
        <v>2.9334821969648105E-2</v>
      </c>
      <c r="F17" s="1077">
        <f t="shared" si="0"/>
        <v>0.11058946530831906</v>
      </c>
    </row>
    <row r="18" spans="1:13" ht="13" x14ac:dyDescent="0.3">
      <c r="B18" s="36"/>
      <c r="C18" s="1075"/>
      <c r="D18" s="1075"/>
      <c r="F18" s="1077"/>
    </row>
    <row r="19" spans="1:13" ht="13" x14ac:dyDescent="0.3">
      <c r="B19" s="36" t="s">
        <v>743</v>
      </c>
      <c r="C19" s="1075">
        <f>'TA Workings'!M104</f>
        <v>1.6143641675148718E-2</v>
      </c>
      <c r="D19" s="1075">
        <f>'Pay &amp; Pension Workings'!P104</f>
        <v>0</v>
      </c>
      <c r="E19" s="1075">
        <f>'2223 Band Values'!BL24</f>
        <v>3.6347569411603046E-2</v>
      </c>
      <c r="F19" s="1077">
        <f t="shared" si="0"/>
        <v>5.2491211086751768E-2</v>
      </c>
      <c r="H19" s="409" t="s">
        <v>1227</v>
      </c>
    </row>
    <row r="21" spans="1:13" ht="13.5" thickBot="1" x14ac:dyDescent="0.35">
      <c r="F21" s="1078">
        <f>AVERAGE(F7:F19)</f>
        <v>0.10102409249006052</v>
      </c>
      <c r="G21" s="2" t="s">
        <v>1228</v>
      </c>
    </row>
    <row r="23" spans="1:13" ht="13" x14ac:dyDescent="0.3">
      <c r="B23" s="289" t="s">
        <v>1229</v>
      </c>
      <c r="F23" s="1077">
        <f>AVERAGE(F7:F17)</f>
        <v>0.10911290605727864</v>
      </c>
      <c r="G23" s="316" t="s">
        <v>1230</v>
      </c>
    </row>
    <row r="28" spans="1:13" ht="13" x14ac:dyDescent="0.3">
      <c r="A28" t="s">
        <v>1144</v>
      </c>
      <c r="H28" s="1543" t="s">
        <v>1142</v>
      </c>
      <c r="I28" s="1543"/>
      <c r="J28" s="1543" t="s">
        <v>1143</v>
      </c>
      <c r="K28" s="1543"/>
    </row>
    <row r="29" spans="1:13" ht="13" x14ac:dyDescent="0.3">
      <c r="B29" s="1543" t="s">
        <v>1145</v>
      </c>
      <c r="C29" s="1543"/>
      <c r="E29" s="1543" t="s">
        <v>1146</v>
      </c>
      <c r="F29" s="1543"/>
      <c r="H29" s="2" t="s">
        <v>1147</v>
      </c>
      <c r="I29" s="316" t="s">
        <v>1148</v>
      </c>
      <c r="J29" s="2" t="s">
        <v>1147</v>
      </c>
      <c r="K29" s="316" t="s">
        <v>1148</v>
      </c>
    </row>
    <row r="30" spans="1:13" x14ac:dyDescent="0.25">
      <c r="B30" s="2">
        <v>600</v>
      </c>
      <c r="C30" s="16">
        <v>600000</v>
      </c>
      <c r="D30" s="133" t="s">
        <v>756</v>
      </c>
      <c r="E30" s="1303">
        <f t="shared" ref="E30:E40" si="1">(C30*1.1)*1.03</f>
        <v>679800</v>
      </c>
      <c r="F30" s="16">
        <f>E30</f>
        <v>679800</v>
      </c>
      <c r="G30" s="16"/>
      <c r="H30" s="1303">
        <f>316450*1.03</f>
        <v>325943.5</v>
      </c>
      <c r="I30" s="1303">
        <v>106090</v>
      </c>
      <c r="J30" s="1303">
        <f>277282*1.03</f>
        <v>285600.46000000002</v>
      </c>
      <c r="K30" s="1303">
        <f>K47*1.03</f>
        <v>91206.5</v>
      </c>
      <c r="L30" s="1304">
        <f>(I30-I47)/I47</f>
        <v>0.03</v>
      </c>
      <c r="M30" s="1305">
        <f>I47*1.03</f>
        <v>106090</v>
      </c>
    </row>
    <row r="31" spans="1:13" x14ac:dyDescent="0.25">
      <c r="B31" s="2">
        <v>100</v>
      </c>
      <c r="C31" s="16">
        <v>700000</v>
      </c>
      <c r="D31" s="133" t="s">
        <v>757</v>
      </c>
      <c r="E31" s="1303">
        <f t="shared" si="1"/>
        <v>793100.00000000012</v>
      </c>
      <c r="F31" s="16">
        <f>E31-E30</f>
        <v>113300.00000000012</v>
      </c>
      <c r="G31" s="16"/>
      <c r="H31" s="1303">
        <f>(H32+H30)/2</f>
        <v>362699.05000000005</v>
      </c>
      <c r="I31" s="1303">
        <f>(I32+I30)/2</f>
        <v>111394.5</v>
      </c>
      <c r="J31" s="1303">
        <f>(J32+J30)/2</f>
        <v>330775.23</v>
      </c>
      <c r="K31" s="1303">
        <f t="shared" ref="K31:K34" si="2">K48*1.03</f>
        <v>91206.5</v>
      </c>
      <c r="L31" s="1304">
        <f t="shared" ref="L31:L38" si="3">(I31-I48)/I48</f>
        <v>0.03</v>
      </c>
      <c r="M31" s="1305">
        <f t="shared" ref="M31:M38" si="4">I48*1.03</f>
        <v>111394.5</v>
      </c>
    </row>
    <row r="32" spans="1:13" x14ac:dyDescent="0.25">
      <c r="B32" s="2">
        <v>250</v>
      </c>
      <c r="C32" s="16">
        <v>950000</v>
      </c>
      <c r="D32" s="133" t="s">
        <v>758</v>
      </c>
      <c r="E32" s="1303">
        <f t="shared" si="1"/>
        <v>1076350.0000000002</v>
      </c>
      <c r="F32" s="465">
        <f>E32-E31</f>
        <v>283250.00000000012</v>
      </c>
      <c r="G32" s="16"/>
      <c r="H32" s="1303">
        <f>387820*1.03</f>
        <v>399454.60000000003</v>
      </c>
      <c r="I32" s="1303">
        <f>M32</f>
        <v>116699</v>
      </c>
      <c r="J32" s="1303">
        <f>365000*1.03</f>
        <v>375950</v>
      </c>
      <c r="K32" s="1303">
        <f t="shared" si="2"/>
        <v>91206.5</v>
      </c>
      <c r="L32" s="1304">
        <f t="shared" si="3"/>
        <v>0.03</v>
      </c>
      <c r="M32" s="1305">
        <f t="shared" si="4"/>
        <v>116699</v>
      </c>
    </row>
    <row r="33" spans="1:13" x14ac:dyDescent="0.25">
      <c r="A33">
        <f t="shared" ref="A33:A40" si="5">B33-B31</f>
        <v>50</v>
      </c>
      <c r="B33" s="2">
        <v>150</v>
      </c>
      <c r="C33" s="16">
        <v>1100000</v>
      </c>
      <c r="D33" s="133" t="s">
        <v>759</v>
      </c>
      <c r="E33" s="1303">
        <f t="shared" si="1"/>
        <v>1246300</v>
      </c>
      <c r="F33" s="16">
        <f>E33-E32</f>
        <v>169949.99999999977</v>
      </c>
      <c r="G33" s="16">
        <f>F33-F31</f>
        <v>56649.999999999651</v>
      </c>
      <c r="H33" s="1303">
        <f>(H34+H32)/2</f>
        <v>438718.2</v>
      </c>
      <c r="I33" s="1303">
        <f>(I34+I32)/2</f>
        <v>122003.5</v>
      </c>
      <c r="J33" s="1303">
        <f>(J34+J32)/2</f>
        <v>394773.25</v>
      </c>
      <c r="K33" s="1303">
        <f t="shared" si="2"/>
        <v>91206.5</v>
      </c>
      <c r="L33" s="1304">
        <f t="shared" si="3"/>
        <v>0.03</v>
      </c>
      <c r="M33" s="1305">
        <f t="shared" si="4"/>
        <v>122003.5</v>
      </c>
    </row>
    <row r="34" spans="1:13" x14ac:dyDescent="0.25">
      <c r="A34">
        <f t="shared" si="5"/>
        <v>50</v>
      </c>
      <c r="B34" s="2">
        <v>300</v>
      </c>
      <c r="C34" s="16">
        <v>1400000</v>
      </c>
      <c r="D34" s="133" t="s">
        <v>760</v>
      </c>
      <c r="E34" s="1303">
        <f t="shared" si="1"/>
        <v>1586200.0000000002</v>
      </c>
      <c r="F34" s="465">
        <f t="shared" ref="F34:F39" si="6">E34-E33</f>
        <v>339900.00000000023</v>
      </c>
      <c r="G34" s="465">
        <f>F34-F32</f>
        <v>56650.000000000116</v>
      </c>
      <c r="H34" s="1303">
        <f>464060*1.03</f>
        <v>477981.8</v>
      </c>
      <c r="I34" s="1303">
        <f>M34</f>
        <v>127308</v>
      </c>
      <c r="J34" s="1303">
        <f>401550*1.03</f>
        <v>413596.5</v>
      </c>
      <c r="K34" s="1303">
        <f t="shared" si="2"/>
        <v>91206.5</v>
      </c>
      <c r="L34" s="1304">
        <f t="shared" si="3"/>
        <v>0.03</v>
      </c>
      <c r="M34" s="1305">
        <f t="shared" si="4"/>
        <v>127308</v>
      </c>
    </row>
    <row r="35" spans="1:13" x14ac:dyDescent="0.25">
      <c r="A35">
        <f t="shared" si="5"/>
        <v>50</v>
      </c>
      <c r="B35" s="2">
        <v>200</v>
      </c>
      <c r="C35" s="16">
        <v>1600000</v>
      </c>
      <c r="D35" s="133" t="s">
        <v>761</v>
      </c>
      <c r="E35" s="1303">
        <f t="shared" si="1"/>
        <v>1812800.0000000002</v>
      </c>
      <c r="F35" s="16">
        <f t="shared" si="6"/>
        <v>226600</v>
      </c>
      <c r="G35" s="16">
        <f t="shared" ref="G35:G39" si="7">F35-F33</f>
        <v>56650.000000000233</v>
      </c>
      <c r="H35" s="1303">
        <f>(H36+H34)/2</f>
        <v>522601.4</v>
      </c>
      <c r="I35" s="1303">
        <f>(I36+I34)/2</f>
        <v>137917</v>
      </c>
      <c r="J35" s="1303"/>
      <c r="K35" s="1306"/>
      <c r="L35" s="1304">
        <f t="shared" si="3"/>
        <v>0.03</v>
      </c>
      <c r="M35" s="1305">
        <f t="shared" si="4"/>
        <v>137917</v>
      </c>
    </row>
    <row r="36" spans="1:13" x14ac:dyDescent="0.25">
      <c r="A36">
        <f t="shared" si="5"/>
        <v>50</v>
      </c>
      <c r="B36" s="2">
        <v>350</v>
      </c>
      <c r="C36" s="16">
        <v>1950000</v>
      </c>
      <c r="D36" s="133" t="s">
        <v>762</v>
      </c>
      <c r="E36" s="1303">
        <f t="shared" si="1"/>
        <v>2209350</v>
      </c>
      <c r="F36" s="465">
        <f t="shared" si="6"/>
        <v>396549.99999999977</v>
      </c>
      <c r="G36" s="465">
        <f t="shared" si="7"/>
        <v>56649.999999999534</v>
      </c>
      <c r="H36" s="1303">
        <f>550700*1.03</f>
        <v>567221</v>
      </c>
      <c r="I36" s="1303">
        <f>M36</f>
        <v>148526</v>
      </c>
      <c r="J36" s="1307"/>
      <c r="K36" s="1306"/>
      <c r="L36" s="1304">
        <f t="shared" si="3"/>
        <v>0.03</v>
      </c>
      <c r="M36" s="1305">
        <f t="shared" si="4"/>
        <v>148526</v>
      </c>
    </row>
    <row r="37" spans="1:13" x14ac:dyDescent="0.25">
      <c r="A37">
        <f t="shared" si="5"/>
        <v>50</v>
      </c>
      <c r="B37" s="2">
        <v>250</v>
      </c>
      <c r="C37" s="16">
        <v>2200000</v>
      </c>
      <c r="D37" s="133" t="s">
        <v>763</v>
      </c>
      <c r="E37" s="1303">
        <f t="shared" si="1"/>
        <v>2492600</v>
      </c>
      <c r="F37" s="16">
        <f t="shared" si="6"/>
        <v>283250</v>
      </c>
      <c r="G37" s="16">
        <f t="shared" si="7"/>
        <v>56650</v>
      </c>
      <c r="H37" s="1303">
        <f>(H38+H36)/2</f>
        <v>615208.69999999995</v>
      </c>
      <c r="I37" s="1303">
        <f>(I38+I36)/2</f>
        <v>153830.5</v>
      </c>
      <c r="J37" s="1307"/>
      <c r="K37" s="1306"/>
      <c r="L37" s="1304">
        <f t="shared" si="3"/>
        <v>0.03</v>
      </c>
      <c r="M37" s="1305">
        <f t="shared" si="4"/>
        <v>153830.5</v>
      </c>
    </row>
    <row r="38" spans="1:13" x14ac:dyDescent="0.25">
      <c r="A38">
        <f t="shared" si="5"/>
        <v>50</v>
      </c>
      <c r="B38" s="2">
        <v>400</v>
      </c>
      <c r="C38" s="16">
        <v>2600000</v>
      </c>
      <c r="D38" s="133" t="s">
        <v>764</v>
      </c>
      <c r="E38" s="1303">
        <f t="shared" si="1"/>
        <v>2945800</v>
      </c>
      <c r="F38" s="465">
        <f t="shared" si="6"/>
        <v>453200</v>
      </c>
      <c r="G38" s="465">
        <f t="shared" si="7"/>
        <v>56650.000000000233</v>
      </c>
      <c r="H38" s="1303">
        <f>643880*1.03</f>
        <v>663196.4</v>
      </c>
      <c r="I38" s="1303">
        <f>M38</f>
        <v>159135</v>
      </c>
      <c r="J38" s="1307"/>
      <c r="K38" s="1306"/>
      <c r="L38" s="1304">
        <f t="shared" si="3"/>
        <v>0.03</v>
      </c>
      <c r="M38" s="1305">
        <f t="shared" si="4"/>
        <v>159135</v>
      </c>
    </row>
    <row r="39" spans="1:13" x14ac:dyDescent="0.25">
      <c r="A39">
        <f t="shared" si="5"/>
        <v>50</v>
      </c>
      <c r="B39" s="2">
        <v>300</v>
      </c>
      <c r="C39" s="16">
        <v>2900000</v>
      </c>
      <c r="D39" s="133" t="s">
        <v>1149</v>
      </c>
      <c r="E39" s="1303">
        <f t="shared" si="1"/>
        <v>3285700.0000000005</v>
      </c>
      <c r="F39" s="16">
        <f t="shared" si="6"/>
        <v>339900.00000000047</v>
      </c>
      <c r="G39" s="16">
        <f t="shared" si="7"/>
        <v>56650.000000000466</v>
      </c>
      <c r="H39" s="230"/>
      <c r="I39" s="16"/>
      <c r="J39" s="16"/>
      <c r="K39" s="16"/>
      <c r="L39" s="2"/>
    </row>
    <row r="40" spans="1:13" x14ac:dyDescent="0.25">
      <c r="A40">
        <f t="shared" si="5"/>
        <v>50</v>
      </c>
      <c r="B40" s="2">
        <v>450</v>
      </c>
      <c r="C40" s="16">
        <v>3350000</v>
      </c>
      <c r="D40" s="133" t="s">
        <v>1150</v>
      </c>
      <c r="E40" s="1303">
        <f t="shared" si="1"/>
        <v>3795550.0000000005</v>
      </c>
      <c r="F40" s="465">
        <f>E40-E39</f>
        <v>509850</v>
      </c>
      <c r="G40" s="465">
        <f>F40-F38</f>
        <v>56650</v>
      </c>
      <c r="H40" s="230"/>
      <c r="I40" s="16"/>
      <c r="J40" s="16"/>
      <c r="K40" s="16"/>
      <c r="L40" s="2"/>
    </row>
    <row r="41" spans="1:13" ht="13" thickBot="1" x14ac:dyDescent="0.3">
      <c r="B41" s="1079">
        <f>SUM(B30:B40)</f>
        <v>3350</v>
      </c>
      <c r="D41"/>
      <c r="I41" s="2"/>
      <c r="J41" s="2"/>
      <c r="K41" s="2"/>
      <c r="L41" s="2"/>
    </row>
    <row r="42" spans="1:13" x14ac:dyDescent="0.25">
      <c r="G42" s="2" t="s">
        <v>1233</v>
      </c>
    </row>
    <row r="44" spans="1:13" x14ac:dyDescent="0.25">
      <c r="H44" t="s">
        <v>1234</v>
      </c>
    </row>
    <row r="45" spans="1:13" ht="13" x14ac:dyDescent="0.3">
      <c r="H45" s="1543" t="s">
        <v>1142</v>
      </c>
      <c r="I45" s="1543"/>
      <c r="J45" s="1543" t="s">
        <v>1143</v>
      </c>
      <c r="K45" s="1543"/>
    </row>
    <row r="46" spans="1:13" x14ac:dyDescent="0.25">
      <c r="H46" s="2" t="s">
        <v>1147</v>
      </c>
      <c r="I46" s="316" t="s">
        <v>1148</v>
      </c>
      <c r="J46" s="2" t="s">
        <v>1147</v>
      </c>
      <c r="K46" s="316" t="s">
        <v>1148</v>
      </c>
    </row>
    <row r="47" spans="1:13" x14ac:dyDescent="0.25">
      <c r="G47" s="133" t="s">
        <v>756</v>
      </c>
      <c r="H47" s="16">
        <v>316450</v>
      </c>
      <c r="I47" s="16">
        <v>103000</v>
      </c>
      <c r="J47" s="16">
        <v>277282</v>
      </c>
      <c r="K47" s="16">
        <v>88550</v>
      </c>
    </row>
    <row r="48" spans="1:13" x14ac:dyDescent="0.25">
      <c r="G48" s="133" t="s">
        <v>757</v>
      </c>
      <c r="H48" s="16">
        <f>(H49+H47)/2</f>
        <v>352135</v>
      </c>
      <c r="I48" s="16">
        <f>(I49+I47)/2</f>
        <v>108150</v>
      </c>
      <c r="J48" s="16">
        <f>(J49+J47)/2</f>
        <v>321141</v>
      </c>
      <c r="K48" s="16">
        <v>88550</v>
      </c>
    </row>
    <row r="49" spans="7:11" x14ac:dyDescent="0.25">
      <c r="G49" s="133" t="s">
        <v>758</v>
      </c>
      <c r="H49" s="16">
        <v>387820</v>
      </c>
      <c r="I49" s="16">
        <v>113300</v>
      </c>
      <c r="J49" s="16">
        <v>365000</v>
      </c>
      <c r="K49" s="16">
        <v>88550</v>
      </c>
    </row>
    <row r="50" spans="7:11" x14ac:dyDescent="0.25">
      <c r="G50" s="133" t="s">
        <v>759</v>
      </c>
      <c r="H50" s="16">
        <f>(H51+H49)/2</f>
        <v>425940</v>
      </c>
      <c r="I50" s="16">
        <f>(I51+I49)/2</f>
        <v>118450</v>
      </c>
      <c r="J50" s="16">
        <f>(J51+J49)/2</f>
        <v>383275</v>
      </c>
      <c r="K50" s="16">
        <v>88550</v>
      </c>
    </row>
    <row r="51" spans="7:11" x14ac:dyDescent="0.25">
      <c r="G51" s="133" t="s">
        <v>760</v>
      </c>
      <c r="H51" s="16">
        <v>464060</v>
      </c>
      <c r="I51" s="16">
        <v>123600</v>
      </c>
      <c r="J51" s="16">
        <v>401550</v>
      </c>
      <c r="K51" s="16">
        <v>88550</v>
      </c>
    </row>
    <row r="52" spans="7:11" x14ac:dyDescent="0.25">
      <c r="G52" s="133" t="s">
        <v>761</v>
      </c>
      <c r="H52" s="16">
        <f>(H53+H51)/2</f>
        <v>507380</v>
      </c>
      <c r="I52" s="16">
        <f>(I53+I51)/2</f>
        <v>133900</v>
      </c>
      <c r="J52" s="16"/>
    </row>
    <row r="53" spans="7:11" x14ac:dyDescent="0.25">
      <c r="G53" s="133" t="s">
        <v>762</v>
      </c>
      <c r="H53" s="16">
        <v>550700</v>
      </c>
      <c r="I53" s="16">
        <v>144200</v>
      </c>
      <c r="J53" s="230"/>
    </row>
    <row r="54" spans="7:11" x14ac:dyDescent="0.25">
      <c r="G54" s="133" t="s">
        <v>763</v>
      </c>
      <c r="H54" s="16">
        <f>(H55+H53)/2</f>
        <v>597290</v>
      </c>
      <c r="I54" s="16">
        <f>(I55+I53)/2</f>
        <v>149350</v>
      </c>
      <c r="J54" s="230"/>
    </row>
    <row r="55" spans="7:11" x14ac:dyDescent="0.25">
      <c r="G55" s="133" t="s">
        <v>764</v>
      </c>
      <c r="H55" s="16">
        <v>643880</v>
      </c>
      <c r="I55" s="16">
        <v>154500</v>
      </c>
      <c r="J55" s="230"/>
    </row>
    <row r="56" spans="7:11" x14ac:dyDescent="0.25">
      <c r="G56" s="133" t="s">
        <v>1149</v>
      </c>
    </row>
    <row r="57" spans="7:11" x14ac:dyDescent="0.25">
      <c r="G57" s="133" t="s">
        <v>1150</v>
      </c>
    </row>
    <row r="59" spans="7:11" x14ac:dyDescent="0.25">
      <c r="H59" s="316" t="s">
        <v>1235</v>
      </c>
      <c r="I59" s="316" t="s">
        <v>1236</v>
      </c>
      <c r="K59" s="316" t="s">
        <v>1236</v>
      </c>
    </row>
    <row r="61" spans="7:11" x14ac:dyDescent="0.25">
      <c r="J61" s="289" t="s">
        <v>1237</v>
      </c>
      <c r="K61" s="16">
        <v>143800</v>
      </c>
    </row>
    <row r="62" spans="7:11" x14ac:dyDescent="0.25">
      <c r="J62" s="289" t="s">
        <v>1238</v>
      </c>
      <c r="K62" s="16">
        <v>30900</v>
      </c>
    </row>
    <row r="63" spans="7:11" ht="13" thickBot="1" x14ac:dyDescent="0.3">
      <c r="K63" s="886">
        <f>SUM(K61:K62)</f>
        <v>174700</v>
      </c>
    </row>
  </sheetData>
  <mergeCells count="7">
    <mergeCell ref="J45:K45"/>
    <mergeCell ref="H45:I45"/>
    <mergeCell ref="C5:D5"/>
    <mergeCell ref="B29:C29"/>
    <mergeCell ref="E29:F29"/>
    <mergeCell ref="H28:I28"/>
    <mergeCell ref="J28:K28"/>
  </mergeCells>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C66FA-935E-4515-892D-A2FA062641B2}">
  <sheetPr>
    <tabColor rgb="FFFFC000"/>
  </sheetPr>
  <dimension ref="A1:BB206"/>
  <sheetViews>
    <sheetView topLeftCell="A142" workbookViewId="0">
      <selection activeCell="O165" sqref="O165"/>
    </sheetView>
  </sheetViews>
  <sheetFormatPr defaultColWidth="10.26953125" defaultRowHeight="12.5" x14ac:dyDescent="0.25"/>
  <cols>
    <col min="1" max="1" width="9.1796875" style="36" customWidth="1"/>
    <col min="2" max="2" width="26.7265625" style="36" customWidth="1"/>
    <col min="3" max="3" width="7.26953125" style="36" bestFit="1" customWidth="1"/>
    <col min="4" max="4" width="12.1796875" style="36" bestFit="1" customWidth="1"/>
    <col min="5" max="5" width="16.453125" style="36" customWidth="1"/>
    <col min="6" max="6" width="12.7265625" style="36" customWidth="1"/>
    <col min="7" max="7" width="14.54296875" style="36" customWidth="1"/>
    <col min="8" max="8" width="13.26953125" style="36" customWidth="1"/>
    <col min="9" max="9" width="13" style="234" customWidth="1"/>
    <col min="10" max="10" width="12.81640625" style="234" customWidth="1"/>
    <col min="11" max="11" width="12.26953125" style="36" customWidth="1"/>
    <col min="12" max="12" width="11.1796875" style="36" customWidth="1"/>
    <col min="13" max="13" width="13.26953125" style="36" customWidth="1"/>
    <col min="14" max="14" width="11.453125" style="36" customWidth="1"/>
    <col min="15" max="15" width="12.81640625" style="36" customWidth="1"/>
    <col min="16" max="16" width="12.453125" style="36" customWidth="1"/>
    <col min="17" max="17" width="12.453125" style="36" bestFit="1" customWidth="1"/>
    <col min="18" max="18" width="11.54296875" style="36" customWidth="1"/>
    <col min="19" max="19" width="12.453125" style="288" customWidth="1"/>
    <col min="20" max="20" width="12.26953125" style="36" customWidth="1"/>
    <col min="21" max="22" width="11.26953125" style="36" customWidth="1"/>
    <col min="23" max="23" width="10.26953125" style="36"/>
    <col min="24" max="24" width="11.1796875" style="36" bestFit="1" customWidth="1"/>
    <col min="25" max="25" width="11.1796875" style="36" customWidth="1"/>
    <col min="26" max="26" width="12.81640625" style="36" customWidth="1"/>
    <col min="27" max="27" width="11" style="36" customWidth="1"/>
    <col min="28" max="28" width="12.7265625" style="36" customWidth="1"/>
    <col min="29" max="29" width="13.1796875" style="36" customWidth="1"/>
    <col min="30" max="30" width="12.1796875" style="36" customWidth="1"/>
    <col min="31" max="31" width="11" style="36" customWidth="1"/>
    <col min="32" max="32" width="10.54296875" style="36" bestFit="1" customWidth="1"/>
    <col min="33" max="33" width="12.453125" style="36" customWidth="1"/>
    <col min="34" max="34" width="10.26953125" style="36"/>
    <col min="35" max="35" width="28.54296875" style="36" bestFit="1" customWidth="1"/>
    <col min="36" max="36" width="11.1796875" style="36" customWidth="1"/>
    <col min="37" max="37" width="3.453125" style="36" customWidth="1"/>
    <col min="38" max="38" width="10" style="36" customWidth="1"/>
    <col min="39" max="39" width="9.7265625" style="36" customWidth="1"/>
    <col min="40" max="40" width="10.54296875" style="36" bestFit="1" customWidth="1"/>
    <col min="41" max="41" width="10.26953125" style="36"/>
    <col min="42" max="42" width="15" style="36" customWidth="1"/>
    <col min="43" max="43" width="14.1796875" style="36" customWidth="1"/>
    <col min="44" max="47" width="10.26953125" style="36"/>
    <col min="48" max="48" width="14.7265625" style="234" customWidth="1"/>
    <col min="49" max="49" width="13.26953125" style="234" customWidth="1"/>
    <col min="50" max="51" width="10.26953125" style="36"/>
    <col min="52" max="52" width="19" style="234" bestFit="1" customWidth="1"/>
    <col min="53" max="53" width="16.81640625" style="234" customWidth="1"/>
    <col min="54" max="54" width="10.26953125" style="234"/>
    <col min="55" max="16384" width="10.26953125" style="36"/>
  </cols>
  <sheetData>
    <row r="1" spans="1:54" x14ac:dyDescent="0.25">
      <c r="A1" s="94" t="s">
        <v>230</v>
      </c>
      <c r="S1" s="1023"/>
      <c r="AV1" s="36"/>
      <c r="AW1" s="36"/>
      <c r="AZ1" s="36"/>
      <c r="BA1" s="36"/>
      <c r="BB1" s="36"/>
    </row>
    <row r="2" spans="1:54" ht="13" x14ac:dyDescent="0.3">
      <c r="A2" s="94"/>
      <c r="E2" s="139" t="s">
        <v>1176</v>
      </c>
      <c r="S2" s="1023"/>
      <c r="AV2" s="36"/>
      <c r="AW2" s="36"/>
      <c r="AZ2" s="36"/>
      <c r="BA2" s="36"/>
      <c r="BB2" s="36"/>
    </row>
    <row r="3" spans="1:54" ht="13" x14ac:dyDescent="0.3">
      <c r="A3" s="93" t="s">
        <v>1177</v>
      </c>
      <c r="K3" s="94" t="s">
        <v>911</v>
      </c>
      <c r="S3" s="1023"/>
      <c r="AV3" s="36"/>
      <c r="AW3" s="36"/>
      <c r="AZ3" s="36"/>
      <c r="BA3" s="36"/>
      <c r="BB3" s="36"/>
    </row>
    <row r="4" spans="1:54" x14ac:dyDescent="0.25">
      <c r="B4" s="263"/>
      <c r="C4" s="263"/>
      <c r="O4" s="1445" t="s">
        <v>238</v>
      </c>
      <c r="P4" s="1446"/>
      <c r="R4" s="1023"/>
      <c r="S4" s="36"/>
      <c r="AV4" s="36"/>
      <c r="AW4" s="36"/>
      <c r="AZ4" s="36"/>
      <c r="BA4" s="36"/>
      <c r="BB4" s="36"/>
    </row>
    <row r="5" spans="1:54" ht="37.5" x14ac:dyDescent="0.25">
      <c r="A5" s="265" t="s">
        <v>182</v>
      </c>
      <c r="B5" s="237" t="s">
        <v>183</v>
      </c>
      <c r="C5" s="238" t="s">
        <v>184</v>
      </c>
      <c r="D5" s="234" t="s">
        <v>901</v>
      </c>
      <c r="E5" s="234" t="s">
        <v>902</v>
      </c>
      <c r="F5" s="234" t="s">
        <v>903</v>
      </c>
      <c r="G5" s="234" t="s">
        <v>904</v>
      </c>
      <c r="H5" s="234" t="s">
        <v>905</v>
      </c>
      <c r="I5" s="234" t="s">
        <v>906</v>
      </c>
      <c r="J5" s="234" t="s">
        <v>907</v>
      </c>
      <c r="K5" s="243" t="s">
        <v>246</v>
      </c>
      <c r="L5" s="243" t="s">
        <v>249</v>
      </c>
      <c r="M5" s="243" t="s">
        <v>250</v>
      </c>
      <c r="N5" s="243" t="s">
        <v>251</v>
      </c>
      <c r="O5" s="266" t="s">
        <v>252</v>
      </c>
      <c r="P5" s="320" t="s">
        <v>253</v>
      </c>
      <c r="R5" s="449" t="s">
        <v>908</v>
      </c>
      <c r="S5" s="36"/>
      <c r="AV5" s="36"/>
      <c r="AW5" s="36"/>
      <c r="AZ5" s="36"/>
      <c r="BA5" s="36"/>
      <c r="BB5" s="36"/>
    </row>
    <row r="6" spans="1:54" x14ac:dyDescent="0.25">
      <c r="A6" s="244">
        <v>9257010</v>
      </c>
      <c r="B6" s="237" t="s">
        <v>205</v>
      </c>
      <c r="C6" s="365">
        <v>5</v>
      </c>
      <c r="D6" s="1024">
        <f>VLOOKUP(A6,'[22]2122 Band Moderations'!$B$5:$S$22,6,(FALSE))</f>
        <v>1.5873015873015872E-2</v>
      </c>
      <c r="E6" s="1024">
        <f>VLOOKUP(A6,'[22]2122 Band Moderations'!$B$5:$S$22,8,(FALSE))</f>
        <v>0.31746031746031744</v>
      </c>
      <c r="F6" s="1024">
        <f>VLOOKUP(A6,'[22]2122 Band Moderations'!$B$5:$S$22,10,(FALSE))</f>
        <v>9.5238095238095233E-2</v>
      </c>
      <c r="G6" s="1024">
        <f>VLOOKUP(A6,'[22]2122 Band Moderations'!$B$5:$S$22,12,(FALSE))</f>
        <v>0.17460317460317459</v>
      </c>
      <c r="H6" s="1024">
        <f>VLOOKUP(A6,'[22]2122 Band Moderations'!$B$5:$S$22,14,(FALSE))</f>
        <v>6.3492063492063489E-2</v>
      </c>
      <c r="I6" s="1024">
        <f>VLOOKUP(A6,'[22]2122 Band Moderations'!$B$5:$S$22,16,(FALSE))</f>
        <v>0.19047619047619047</v>
      </c>
      <c r="J6" s="1024">
        <f>VLOOKUP(A6,'[22]2122 Band Moderations'!$B$5:$S$22,18,(FALSE))</f>
        <v>0.14285714285714285</v>
      </c>
      <c r="K6" s="451">
        <v>58</v>
      </c>
      <c r="L6" s="1025">
        <f t="shared" ref="L6:L23" si="0">((((K6*D6)*$G$92)+((K6*E6)*$G$94)+((K6*F6)*$G$96)+((K6*G6)*$G$98)+((K6*H6)*$G$100)+((K6*I6)*$G$102)+((K6*J6)*$G$104))*(5/12))</f>
        <v>326909.60230054241</v>
      </c>
      <c r="M6" s="1025">
        <f>((K6*F6)*$G$106)*(5/12)</f>
        <v>6064.6825396825398</v>
      </c>
      <c r="N6" s="1025">
        <f t="shared" ref="N6:N23" si="1">SUM(L6:M6)</f>
        <v>332974.28484022495</v>
      </c>
      <c r="O6" s="1026">
        <f>(K6*(5/12))*10000</f>
        <v>241666.66666666669</v>
      </c>
      <c r="P6" s="1026">
        <f>(VLOOKUP(A6,'[22]2122 Funding Detail'!$A$4:$Y$21,23,FALSE)*5/12)*K6</f>
        <v>248372.98240358874</v>
      </c>
      <c r="Q6" s="235"/>
      <c r="R6" s="235">
        <f>(J6*K6*$G$104)*5/12</f>
        <v>78977.317568621322</v>
      </c>
      <c r="S6" s="269"/>
      <c r="T6" s="1118"/>
      <c r="U6" s="1118"/>
      <c r="V6" s="1118"/>
      <c r="W6" s="1118"/>
      <c r="X6" s="1118"/>
      <c r="Y6" s="1118"/>
      <c r="Z6" s="1118"/>
      <c r="AA6" s="1118"/>
      <c r="AB6" s="1118"/>
      <c r="AC6" s="1118"/>
      <c r="AD6" s="1118"/>
      <c r="AE6" s="1118"/>
      <c r="AF6" s="1118"/>
      <c r="AG6" s="1118"/>
      <c r="AH6" s="1118"/>
      <c r="AI6" s="1118"/>
      <c r="AJ6" s="1118"/>
      <c r="AV6" s="36"/>
      <c r="AW6" s="36"/>
      <c r="AZ6" s="36"/>
      <c r="BA6" s="36"/>
      <c r="BB6" s="36"/>
    </row>
    <row r="7" spans="1:54" ht="12.75" customHeight="1" x14ac:dyDescent="0.25">
      <c r="A7" s="244">
        <v>9257005</v>
      </c>
      <c r="B7" s="237" t="s">
        <v>208</v>
      </c>
      <c r="C7" s="365">
        <v>4</v>
      </c>
      <c r="D7" s="1024">
        <f>VLOOKUP(A7,'[22]2122 Band Moderations'!$B$5:$S$22,6,(FALSE))</f>
        <v>0.05</v>
      </c>
      <c r="E7" s="1024">
        <f>VLOOKUP(A7,'[22]2122 Band Moderations'!$B$5:$S$22,8,(FALSE))</f>
        <v>0.4</v>
      </c>
      <c r="F7" s="1024">
        <f>VLOOKUP(A7,'[22]2122 Band Moderations'!$B$5:$S$22,10,(FALSE))</f>
        <v>6.25E-2</v>
      </c>
      <c r="G7" s="1024">
        <f>VLOOKUP(A7,'[22]2122 Band Moderations'!$B$5:$S$22,12,(FALSE))</f>
        <v>0.15</v>
      </c>
      <c r="H7" s="1024">
        <f>VLOOKUP(A7,'[22]2122 Band Moderations'!$B$5:$S$22,14,(FALSE))</f>
        <v>0.125</v>
      </c>
      <c r="I7" s="1024">
        <f>VLOOKUP(A7,'[22]2122 Band Moderations'!$B$5:$S$22,16,(FALSE))</f>
        <v>0.15</v>
      </c>
      <c r="J7" s="1024">
        <f>VLOOKUP(A7,'[22]2122 Band Moderations'!$B$5:$S$22,18,(FALSE))</f>
        <v>6.25E-2</v>
      </c>
      <c r="K7" s="451">
        <v>53</v>
      </c>
      <c r="L7" s="1025">
        <f t="shared" si="0"/>
        <v>265639.03958644101</v>
      </c>
      <c r="M7" s="1025">
        <f t="shared" ref="M7:M23" si="2">((K7*F7)*$G$106)*(5/12)</f>
        <v>3636.8489583333335</v>
      </c>
      <c r="N7" s="1025">
        <f t="shared" si="1"/>
        <v>269275.88854477432</v>
      </c>
      <c r="O7" s="1026">
        <f t="shared" ref="O7:O23" si="3">(K7*(5/12))*10000</f>
        <v>220833.33333333334</v>
      </c>
      <c r="P7" s="1026">
        <f>(VLOOKUP(A7,'[22]2122 Funding Detail'!$A$4:$Y$21,23,FALSE)*5/12)*K7</f>
        <v>176149.16122349148</v>
      </c>
      <c r="Q7" s="235"/>
      <c r="R7" s="235">
        <f t="shared" ref="R7:R23" si="4">(J7*K7*$G$104)*5/12</f>
        <v>31573.906053834609</v>
      </c>
      <c r="S7" s="233"/>
      <c r="T7" s="296"/>
      <c r="W7" s="235"/>
      <c r="X7" s="234"/>
      <c r="AV7" s="36"/>
      <c r="AW7" s="36"/>
      <c r="AZ7" s="36"/>
      <c r="BA7" s="36"/>
      <c r="BB7" s="36"/>
    </row>
    <row r="8" spans="1:54" ht="12.75" customHeight="1" x14ac:dyDescent="0.25">
      <c r="A8" s="244">
        <v>9257025</v>
      </c>
      <c r="B8" s="237" t="s">
        <v>209</v>
      </c>
      <c r="C8" s="365">
        <v>4</v>
      </c>
      <c r="D8" s="1024">
        <f>VLOOKUP(A8,'[22]2122 Band Moderations'!$B$5:$S$22,6,(FALSE))</f>
        <v>0.15584415584415584</v>
      </c>
      <c r="E8" s="1024">
        <f>VLOOKUP(A8,'[22]2122 Band Moderations'!$B$5:$S$22,8,(FALSE))</f>
        <v>0.40259740259740262</v>
      </c>
      <c r="F8" s="1024">
        <f>VLOOKUP(A8,'[22]2122 Band Moderations'!$B$5:$S$22,10,(FALSE))</f>
        <v>3.896103896103896E-2</v>
      </c>
      <c r="G8" s="1024">
        <f>VLOOKUP(A8,'[22]2122 Band Moderations'!$B$5:$S$22,12,(FALSE))</f>
        <v>0.15584415584415584</v>
      </c>
      <c r="H8" s="1024">
        <f>VLOOKUP(A8,'[22]2122 Band Moderations'!$B$5:$S$22,14,(FALSE))</f>
        <v>5.1948051948051951E-2</v>
      </c>
      <c r="I8" s="1024">
        <f>VLOOKUP(A8,'[22]2122 Band Moderations'!$B$5:$S$22,16,(FALSE))</f>
        <v>0.14285714285714285</v>
      </c>
      <c r="J8" s="1024">
        <f>VLOOKUP(A8,'[22]2122 Band Moderations'!$B$5:$S$22,18,(FALSE))</f>
        <v>5.1948051948051951E-2</v>
      </c>
      <c r="K8" s="451">
        <v>56</v>
      </c>
      <c r="L8" s="1025">
        <f t="shared" si="0"/>
        <v>258197.02956478385</v>
      </c>
      <c r="M8" s="1025">
        <f t="shared" si="2"/>
        <v>2395.4545454545455</v>
      </c>
      <c r="N8" s="1025">
        <f t="shared" si="1"/>
        <v>260592.48411023841</v>
      </c>
      <c r="O8" s="1026">
        <f t="shared" si="3"/>
        <v>233333.33333333334</v>
      </c>
      <c r="P8" s="1026">
        <f>(VLOOKUP(A8,'[22]2122 Funding Detail'!$A$4:$Y$21,23,FALSE)*5/12)*K8</f>
        <v>177661.40115277734</v>
      </c>
      <c r="Q8" s="235"/>
      <c r="R8" s="235">
        <f t="shared" si="4"/>
        <v>27728.71337832473</v>
      </c>
      <c r="S8" s="233"/>
      <c r="T8" s="380"/>
      <c r="U8" s="380"/>
      <c r="V8" s="380"/>
      <c r="W8" s="380"/>
      <c r="X8" s="380"/>
      <c r="Y8" s="380"/>
      <c r="Z8" s="380"/>
      <c r="AV8" s="36"/>
      <c r="AW8" s="36"/>
      <c r="AZ8" s="36"/>
      <c r="BA8" s="36"/>
      <c r="BB8" s="36"/>
    </row>
    <row r="9" spans="1:54" x14ac:dyDescent="0.25">
      <c r="A9" s="244">
        <v>9257011</v>
      </c>
      <c r="B9" s="237" t="s">
        <v>210</v>
      </c>
      <c r="C9" s="365" t="s">
        <v>1251</v>
      </c>
      <c r="D9" s="1024">
        <f>VLOOKUP(A9,'[22]2122 Band Moderations'!$B$5:$S$22,6,(FALSE))</f>
        <v>5.6603773584905662E-2</v>
      </c>
      <c r="E9" s="1024">
        <f>VLOOKUP(A9,'[22]2122 Band Moderations'!$B$5:$S$22,8,(FALSE))</f>
        <v>0.35849056603773582</v>
      </c>
      <c r="F9" s="1024">
        <f>VLOOKUP(A9,'[22]2122 Band Moderations'!$B$5:$S$22,10,(FALSE))</f>
        <v>1.8867924528301886E-2</v>
      </c>
      <c r="G9" s="1024">
        <f>VLOOKUP(A9,'[22]2122 Band Moderations'!$B$5:$S$22,12,(FALSE))</f>
        <v>0.16981132075471697</v>
      </c>
      <c r="H9" s="1024">
        <f>VLOOKUP(A9,'[22]2122 Band Moderations'!$B$5:$S$22,14,(FALSE))</f>
        <v>0.13207547169811321</v>
      </c>
      <c r="I9" s="1024">
        <f>VLOOKUP(A9,'[22]2122 Band Moderations'!$B$5:$S$22,16,(FALSE))</f>
        <v>0.15094339622641509</v>
      </c>
      <c r="J9" s="1024">
        <f>VLOOKUP(A9,'[22]2122 Band Moderations'!$B$5:$S$22,18,(FALSE))</f>
        <v>0.11320754716981132</v>
      </c>
      <c r="K9" s="451">
        <v>50</v>
      </c>
      <c r="L9" s="1025">
        <f t="shared" si="0"/>
        <v>266918.27122850198</v>
      </c>
      <c r="M9" s="1025">
        <f t="shared" si="2"/>
        <v>1035.7704402515724</v>
      </c>
      <c r="N9" s="1025">
        <f t="shared" si="1"/>
        <v>267954.04166875355</v>
      </c>
      <c r="O9" s="1026">
        <f t="shared" si="3"/>
        <v>208333.33333333334</v>
      </c>
      <c r="P9" s="1026">
        <f>(VLOOKUP(A9,'[22]2122 Funding Detail'!$A$4:$Y$21,23,FALSE)*5/12)*K9</f>
        <v>220638.09339289152</v>
      </c>
      <c r="Q9" s="235"/>
      <c r="R9" s="235">
        <f t="shared" si="4"/>
        <v>53953.274851693182</v>
      </c>
      <c r="S9" s="233"/>
      <c r="T9" s="380"/>
      <c r="U9" s="380"/>
      <c r="V9" s="380"/>
      <c r="W9" s="380"/>
      <c r="X9" s="380"/>
      <c r="Y9" s="380"/>
      <c r="Z9" s="380"/>
      <c r="AV9" s="36"/>
      <c r="AW9" s="36"/>
      <c r="AZ9" s="36"/>
      <c r="BA9" s="36"/>
      <c r="BB9" s="36"/>
    </row>
    <row r="10" spans="1:54" x14ac:dyDescent="0.25">
      <c r="A10" s="244">
        <v>9257024</v>
      </c>
      <c r="B10" s="237" t="s">
        <v>211</v>
      </c>
      <c r="C10" s="365">
        <v>4</v>
      </c>
      <c r="D10" s="1024">
        <f>VLOOKUP(A10,'[22]2122 Band Moderations'!$B$5:$S$22,6,(FALSE))</f>
        <v>8.4337349397590355E-2</v>
      </c>
      <c r="E10" s="1024">
        <f>VLOOKUP(A10,'[22]2122 Band Moderations'!$B$5:$S$22,8,(FALSE))</f>
        <v>0.45783132530120479</v>
      </c>
      <c r="F10" s="1024">
        <f>VLOOKUP(A10,'[22]2122 Band Moderations'!$B$5:$S$22,10,(FALSE))</f>
        <v>1.2048192771084338E-2</v>
      </c>
      <c r="G10" s="1024">
        <f>VLOOKUP(A10,'[22]2122 Band Moderations'!$B$5:$S$22,12,(FALSE))</f>
        <v>0.18072289156626506</v>
      </c>
      <c r="H10" s="1024">
        <f>VLOOKUP(A10,'[22]2122 Band Moderations'!$B$5:$S$22,14,(FALSE))</f>
        <v>8.4337349397590355E-2</v>
      </c>
      <c r="I10" s="1024">
        <f>VLOOKUP(A10,'[22]2122 Band Moderations'!$B$5:$S$22,16,(FALSE))</f>
        <v>7.2289156626506021E-2</v>
      </c>
      <c r="J10" s="1024">
        <f>VLOOKUP(A10,'[22]2122 Band Moderations'!$B$5:$S$22,18,(FALSE))</f>
        <v>0.10843373493975904</v>
      </c>
      <c r="K10" s="451">
        <v>70</v>
      </c>
      <c r="L10" s="1025">
        <f t="shared" si="0"/>
        <v>341858.48517962609</v>
      </c>
      <c r="M10" s="1025">
        <f t="shared" si="2"/>
        <v>925.95381526104427</v>
      </c>
      <c r="N10" s="1025">
        <f t="shared" si="1"/>
        <v>342784.43899488711</v>
      </c>
      <c r="O10" s="1026">
        <f t="shared" si="3"/>
        <v>291666.66666666669</v>
      </c>
      <c r="P10" s="1026">
        <f>(VLOOKUP(A10,'[22]2122 Funding Detail'!$A$4:$Y$21,23,FALSE)*5/12)*K10</f>
        <v>225362.6824277479</v>
      </c>
      <c r="Q10" s="235"/>
      <c r="R10" s="235">
        <f t="shared" si="4"/>
        <v>72349.391457752412</v>
      </c>
      <c r="S10" s="233"/>
      <c r="T10" s="380"/>
      <c r="U10" s="380"/>
      <c r="V10" s="380"/>
      <c r="W10" s="380"/>
      <c r="X10" s="380"/>
      <c r="Y10" s="380"/>
      <c r="Z10" s="380"/>
      <c r="AV10" s="36"/>
      <c r="AW10" s="36"/>
      <c r="AZ10" s="36"/>
      <c r="BA10" s="36"/>
      <c r="BB10" s="36"/>
    </row>
    <row r="11" spans="1:54" ht="12.75" customHeight="1" x14ac:dyDescent="0.25">
      <c r="A11" s="244">
        <v>9257031</v>
      </c>
      <c r="B11" s="237" t="s">
        <v>257</v>
      </c>
      <c r="C11" s="365">
        <v>5</v>
      </c>
      <c r="D11" s="1024">
        <f>VLOOKUP(A11,'[22]2122 Band Moderations'!$B$5:$S$22,6,(FALSE))</f>
        <v>0</v>
      </c>
      <c r="E11" s="1024">
        <f>VLOOKUP(A11,'[22]2122 Band Moderations'!$B$5:$S$22,8,(FALSE))</f>
        <v>0</v>
      </c>
      <c r="F11" s="1024">
        <f>VLOOKUP(A11,'[22]2122 Band Moderations'!$B$5:$S$22,10,(FALSE))</f>
        <v>1</v>
      </c>
      <c r="G11" s="1024">
        <f>VLOOKUP(A11,'[22]2122 Band Moderations'!$B$5:$S$22,12,(FALSE))</f>
        <v>0</v>
      </c>
      <c r="H11" s="1024">
        <f>VLOOKUP(A11,'[22]2122 Band Moderations'!$B$5:$S$22,14,(FALSE))</f>
        <v>0</v>
      </c>
      <c r="I11" s="1024">
        <f>VLOOKUP(A11,'[22]2122 Band Moderations'!$B$5:$S$22,16,(FALSE))</f>
        <v>0</v>
      </c>
      <c r="J11" s="1024">
        <f>VLOOKUP(A11,'[22]2122 Band Moderations'!$B$5:$S$22,18,(FALSE))</f>
        <v>0</v>
      </c>
      <c r="K11" s="451">
        <v>80</v>
      </c>
      <c r="L11" s="1025">
        <f t="shared" si="0"/>
        <v>401972.05167783931</v>
      </c>
      <c r="M11" s="1025">
        <f t="shared" si="2"/>
        <v>87833.333333333343</v>
      </c>
      <c r="N11" s="1025">
        <f t="shared" si="1"/>
        <v>489805.38501117262</v>
      </c>
      <c r="O11" s="1026">
        <f t="shared" si="3"/>
        <v>333333.33333333337</v>
      </c>
      <c r="P11" s="1026">
        <f>(VLOOKUP(A11,'[22]2122 Funding Detail'!$A$4:$Y$21,23,FALSE)*5/12)*K11</f>
        <v>356635.72779247916</v>
      </c>
      <c r="Q11" s="235"/>
      <c r="R11" s="235">
        <f t="shared" si="4"/>
        <v>0</v>
      </c>
      <c r="S11" s="233"/>
      <c r="T11" s="380"/>
      <c r="U11" s="380"/>
      <c r="V11" s="380"/>
      <c r="W11" s="380"/>
      <c r="X11" s="380"/>
      <c r="Y11" s="380"/>
      <c r="Z11" s="380"/>
      <c r="AV11" s="36"/>
      <c r="AW11" s="36"/>
      <c r="AZ11" s="36"/>
      <c r="BA11" s="36"/>
      <c r="BB11" s="36"/>
    </row>
    <row r="12" spans="1:54" x14ac:dyDescent="0.25">
      <c r="A12" s="244">
        <v>9257033</v>
      </c>
      <c r="B12" s="237" t="s">
        <v>220</v>
      </c>
      <c r="C12" s="365" t="s">
        <v>1178</v>
      </c>
      <c r="D12" s="1024">
        <f>VLOOKUP(A12,'[22]2122 Band Moderations'!$B$5:$S$22,6,(FALSE))</f>
        <v>0.16842105263157894</v>
      </c>
      <c r="E12" s="1024">
        <f>VLOOKUP(A12,'[22]2122 Band Moderations'!$B$5:$S$22,8,(FALSE))</f>
        <v>0.5368421052631579</v>
      </c>
      <c r="F12" s="1024">
        <f>VLOOKUP(A12,'[22]2122 Band Moderations'!$B$5:$S$22,10,(FALSE))</f>
        <v>6.3157894736842107E-2</v>
      </c>
      <c r="G12" s="1024">
        <f>VLOOKUP(A12,'[22]2122 Band Moderations'!$B$5:$S$22,12,(FALSE))</f>
        <v>0.14736842105263157</v>
      </c>
      <c r="H12" s="1024">
        <f>VLOOKUP(A12,'[22]2122 Band Moderations'!$B$5:$S$22,14,(FALSE))</f>
        <v>4.2105263157894736E-2</v>
      </c>
      <c r="I12" s="1024">
        <f>VLOOKUP(A12,'[22]2122 Band Moderations'!$B$5:$S$22,16,(FALSE))</f>
        <v>4.2105263157894736E-2</v>
      </c>
      <c r="J12" s="1024">
        <f>VLOOKUP(A12,'[22]2122 Band Moderations'!$B$5:$S$22,18,(FALSE))</f>
        <v>0</v>
      </c>
      <c r="K12" s="451">
        <v>99</v>
      </c>
      <c r="L12" s="1025">
        <f t="shared" si="0"/>
        <v>385989.25868627999</v>
      </c>
      <c r="M12" s="1025">
        <f t="shared" si="2"/>
        <v>6864.8684210526326</v>
      </c>
      <c r="N12" s="1025">
        <f t="shared" si="1"/>
        <v>392854.12710733264</v>
      </c>
      <c r="O12" s="1026">
        <f t="shared" si="3"/>
        <v>412500</v>
      </c>
      <c r="P12" s="1026">
        <f>(VLOOKUP(A12,'[22]2122 Funding Detail'!$A$4:$Y$21,23,FALSE)*5/12)*K12</f>
        <v>186566.53756457215</v>
      </c>
      <c r="Q12" s="235"/>
      <c r="R12" s="235">
        <f t="shared" si="4"/>
        <v>0</v>
      </c>
      <c r="S12" s="233"/>
      <c r="T12" s="380"/>
      <c r="U12" s="380"/>
      <c r="V12" s="380"/>
      <c r="W12" s="380"/>
      <c r="X12" s="380"/>
      <c r="Y12" s="380"/>
      <c r="Z12" s="380"/>
      <c r="AV12" s="36"/>
      <c r="AW12" s="36"/>
      <c r="AZ12" s="36"/>
      <c r="BA12" s="36"/>
      <c r="BB12" s="36"/>
    </row>
    <row r="13" spans="1:54" x14ac:dyDescent="0.25">
      <c r="A13" s="244">
        <v>9257008</v>
      </c>
      <c r="B13" s="237" t="s">
        <v>212</v>
      </c>
      <c r="C13" s="365">
        <v>4</v>
      </c>
      <c r="D13" s="1024">
        <f>VLOOKUP(A13,'[22]2122 Band Moderations'!$B$5:$S$22,6,(FALSE))</f>
        <v>0.10101010101010101</v>
      </c>
      <c r="E13" s="1024">
        <f>VLOOKUP(A13,'[22]2122 Band Moderations'!$B$5:$S$22,8,(FALSE))</f>
        <v>0.58585858585858586</v>
      </c>
      <c r="F13" s="1024">
        <f>VLOOKUP(A13,'[22]2122 Band Moderations'!$B$5:$S$22,10,(FALSE))</f>
        <v>8.0808080808080815E-2</v>
      </c>
      <c r="G13" s="1024">
        <f>VLOOKUP(A13,'[22]2122 Band Moderations'!$B$5:$S$22,12,(FALSE))</f>
        <v>9.0909090909090912E-2</v>
      </c>
      <c r="H13" s="1024">
        <f>VLOOKUP(A13,'[22]2122 Band Moderations'!$B$5:$S$22,14,(FALSE))</f>
        <v>1.0101010101010102E-2</v>
      </c>
      <c r="I13" s="1024">
        <f>VLOOKUP(A13,'[22]2122 Band Moderations'!$B$5:$S$22,16,(FALSE))</f>
        <v>0.12121212121212122</v>
      </c>
      <c r="J13" s="1024">
        <f>VLOOKUP(A13,'[22]2122 Band Moderations'!$B$5:$S$22,18,(FALSE))</f>
        <v>1.0101010101010102E-2</v>
      </c>
      <c r="K13" s="451">
        <v>98</v>
      </c>
      <c r="L13" s="1025">
        <f t="shared" si="0"/>
        <v>395671.877203841</v>
      </c>
      <c r="M13" s="1025">
        <f t="shared" si="2"/>
        <v>8694.6127946127945</v>
      </c>
      <c r="N13" s="1025">
        <f t="shared" si="1"/>
        <v>404366.48999845376</v>
      </c>
      <c r="O13" s="1026">
        <f t="shared" si="3"/>
        <v>408333.33333333337</v>
      </c>
      <c r="P13" s="1026">
        <f>(VLOOKUP(A13,'[22]2122 Funding Detail'!$A$4:$Y$21,23,FALSE)*5/12)*K13</f>
        <v>196656.96731600809</v>
      </c>
      <c r="Q13" s="235"/>
      <c r="R13" s="235">
        <f t="shared" si="4"/>
        <v>9435.4649690132774</v>
      </c>
      <c r="S13" s="233"/>
      <c r="T13" s="380"/>
      <c r="U13" s="380"/>
      <c r="V13" s="380"/>
      <c r="W13" s="380"/>
      <c r="X13" s="380"/>
      <c r="Y13" s="380"/>
      <c r="Z13" s="380"/>
      <c r="AV13" s="36"/>
      <c r="AW13" s="36"/>
      <c r="AZ13" s="36"/>
      <c r="BA13" s="36"/>
      <c r="BB13" s="36"/>
    </row>
    <row r="14" spans="1:54" x14ac:dyDescent="0.25">
      <c r="A14" s="244">
        <v>9257034</v>
      </c>
      <c r="B14" s="237" t="s">
        <v>221</v>
      </c>
      <c r="C14" s="365" t="s">
        <v>1178</v>
      </c>
      <c r="D14" s="1024">
        <f>VLOOKUP(A14,'[22]2122 Band Moderations'!$B$5:$S$22,6,(FALSE))</f>
        <v>0.42424242424242425</v>
      </c>
      <c r="E14" s="1024">
        <f>VLOOKUP(A14,'[22]2122 Band Moderations'!$B$5:$S$22,8,(FALSE))</f>
        <v>0.29292929292929293</v>
      </c>
      <c r="F14" s="1024">
        <f>VLOOKUP(A14,'[22]2122 Band Moderations'!$B$5:$S$22,10,(FALSE))</f>
        <v>0.14141414141414141</v>
      </c>
      <c r="G14" s="1024">
        <f>VLOOKUP(A14,'[22]2122 Band Moderations'!$B$5:$S$22,12,(FALSE))</f>
        <v>3.0303030303030304E-2</v>
      </c>
      <c r="H14" s="1024">
        <f>VLOOKUP(A14,'[22]2122 Band Moderations'!$B$5:$S$22,14,(FALSE))</f>
        <v>4.0404040404040407E-2</v>
      </c>
      <c r="I14" s="1024">
        <f>VLOOKUP(A14,'[22]2122 Band Moderations'!$B$5:$S$22,16,(FALSE))</f>
        <v>6.0606060606060608E-2</v>
      </c>
      <c r="J14" s="1024">
        <f>VLOOKUP(A14,'[22]2122 Band Moderations'!$B$5:$S$22,18,(FALSE))</f>
        <v>1.0101010101010102E-2</v>
      </c>
      <c r="K14" s="451">
        <v>94</v>
      </c>
      <c r="L14" s="1025">
        <f t="shared" si="0"/>
        <v>345886.69406695175</v>
      </c>
      <c r="M14" s="1025">
        <f t="shared" si="2"/>
        <v>14594.528619528619</v>
      </c>
      <c r="N14" s="1025">
        <f t="shared" si="1"/>
        <v>360481.22268648038</v>
      </c>
      <c r="O14" s="1026">
        <f t="shared" si="3"/>
        <v>391666.66666666669</v>
      </c>
      <c r="P14" s="1026">
        <f>(VLOOKUP(A14,'[22]2122 Funding Detail'!$A$4:$Y$21,23,FALSE)*5/12)*K14</f>
        <v>155043.70366557725</v>
      </c>
      <c r="Q14" s="235"/>
      <c r="R14" s="235">
        <f t="shared" si="4"/>
        <v>9050.3439498698808</v>
      </c>
      <c r="S14" s="233"/>
      <c r="T14" s="380"/>
      <c r="U14" s="380"/>
      <c r="V14" s="380"/>
      <c r="W14" s="380"/>
      <c r="X14" s="380"/>
      <c r="Y14" s="380"/>
      <c r="Z14" s="380"/>
      <c r="AV14" s="36"/>
      <c r="AW14" s="36"/>
      <c r="AZ14" s="36"/>
      <c r="BA14" s="36"/>
      <c r="BB14" s="36"/>
    </row>
    <row r="15" spans="1:54" x14ac:dyDescent="0.25">
      <c r="A15" s="244">
        <v>9257002</v>
      </c>
      <c r="B15" s="237" t="s">
        <v>213</v>
      </c>
      <c r="C15" s="365">
        <v>5</v>
      </c>
      <c r="D15" s="1024">
        <f>VLOOKUP(A15,'[22]2122 Band Moderations'!$B$5:$S$22,6,(FALSE))</f>
        <v>0.3546099290780142</v>
      </c>
      <c r="E15" s="1024">
        <f>VLOOKUP(A15,'[22]2122 Band Moderations'!$B$5:$S$22,8,(FALSE))</f>
        <v>0.38297872340425532</v>
      </c>
      <c r="F15" s="1024">
        <f>VLOOKUP(A15,'[22]2122 Band Moderations'!$B$5:$S$22,10,(FALSE))</f>
        <v>0.1276595744680851</v>
      </c>
      <c r="G15" s="1024">
        <f>VLOOKUP(A15,'[22]2122 Band Moderations'!$B$5:$S$22,12,(FALSE))</f>
        <v>2.8368794326241134E-2</v>
      </c>
      <c r="H15" s="1024">
        <f>VLOOKUP(A15,'[22]2122 Band Moderations'!$B$5:$S$22,14,(FALSE))</f>
        <v>2.1276595744680851E-2</v>
      </c>
      <c r="I15" s="1024">
        <f>VLOOKUP(A15,'[22]2122 Band Moderations'!$B$5:$S$22,16,(FALSE))</f>
        <v>7.8014184397163122E-2</v>
      </c>
      <c r="J15" s="1024">
        <f>VLOOKUP(A15,'[22]2122 Band Moderations'!$B$5:$S$22,18,(FALSE))</f>
        <v>7.0921985815602835E-3</v>
      </c>
      <c r="K15" s="451">
        <v>150</v>
      </c>
      <c r="L15" s="1025">
        <f t="shared" si="0"/>
        <v>549796.39572404581</v>
      </c>
      <c r="M15" s="1025">
        <f t="shared" si="2"/>
        <v>21023.936170212764</v>
      </c>
      <c r="N15" s="1025">
        <f t="shared" si="1"/>
        <v>570820.33189425862</v>
      </c>
      <c r="O15" s="1026">
        <f t="shared" si="3"/>
        <v>625000</v>
      </c>
      <c r="P15" s="1026">
        <f>(VLOOKUP(A15,'[22]2122 Funding Detail'!$A$4:$Y$21,23,FALSE)*5/12)*K15</f>
        <v>177773.16808684281</v>
      </c>
      <c r="Q15" s="235"/>
      <c r="R15" s="235">
        <f t="shared" si="4"/>
        <v>10140.154493403326</v>
      </c>
      <c r="S15" s="233"/>
      <c r="T15" s="380"/>
      <c r="U15" s="380"/>
      <c r="V15" s="380"/>
      <c r="W15" s="380"/>
      <c r="X15" s="380"/>
      <c r="Y15" s="380"/>
      <c r="Z15" s="380"/>
      <c r="AV15" s="36"/>
      <c r="AW15" s="36"/>
      <c r="AZ15" s="36"/>
      <c r="BA15" s="36"/>
      <c r="BB15" s="36"/>
    </row>
    <row r="16" spans="1:54" x14ac:dyDescent="0.25">
      <c r="A16" s="244">
        <v>9257009</v>
      </c>
      <c r="B16" s="237" t="s">
        <v>214</v>
      </c>
      <c r="C16" s="365" t="s">
        <v>1178</v>
      </c>
      <c r="D16" s="1024">
        <f>VLOOKUP(A16,'[22]2122 Band Moderations'!$B$5:$S$22,6,(FALSE))</f>
        <v>0.23200000000000001</v>
      </c>
      <c r="E16" s="1024">
        <f>VLOOKUP(A16,'[22]2122 Band Moderations'!$B$5:$S$22,8,(FALSE))</f>
        <v>0.57599999999999996</v>
      </c>
      <c r="F16" s="1024">
        <f>VLOOKUP(A16,'[22]2122 Band Moderations'!$B$5:$S$22,10,(FALSE))</f>
        <v>0.08</v>
      </c>
      <c r="G16" s="1024">
        <f>VLOOKUP(A16,'[22]2122 Band Moderations'!$B$5:$S$22,12,(FALSE))</f>
        <v>2.4E-2</v>
      </c>
      <c r="H16" s="1024">
        <f>VLOOKUP(A16,'[22]2122 Band Moderations'!$B$5:$S$22,14,(FALSE))</f>
        <v>8.0000000000000002E-3</v>
      </c>
      <c r="I16" s="1024">
        <f>VLOOKUP(A16,'[22]2122 Band Moderations'!$B$5:$S$22,16,(FALSE))</f>
        <v>0.08</v>
      </c>
      <c r="J16" s="1024">
        <f>VLOOKUP(A16,'[22]2122 Band Moderations'!$B$5:$S$22,18,(FALSE))</f>
        <v>0</v>
      </c>
      <c r="K16" s="451">
        <v>136</v>
      </c>
      <c r="L16" s="1025">
        <f t="shared" si="0"/>
        <v>481712.06530762307</v>
      </c>
      <c r="M16" s="1025">
        <f t="shared" si="2"/>
        <v>11945.333333333336</v>
      </c>
      <c r="N16" s="1025">
        <f t="shared" si="1"/>
        <v>493657.39864095638</v>
      </c>
      <c r="O16" s="1026">
        <f t="shared" si="3"/>
        <v>566666.66666666674</v>
      </c>
      <c r="P16" s="1026">
        <f>(VLOOKUP(A16,'[22]2122 Funding Detail'!$A$4:$Y$21,23,FALSE)*5/12)*K16</f>
        <v>171822.00055548345</v>
      </c>
      <c r="Q16" s="235"/>
      <c r="R16" s="235">
        <f t="shared" si="4"/>
        <v>0</v>
      </c>
      <c r="S16" s="233"/>
      <c r="T16" s="380"/>
      <c r="U16" s="380"/>
      <c r="V16" s="380"/>
      <c r="W16" s="380"/>
      <c r="X16" s="380"/>
      <c r="Y16" s="380"/>
      <c r="Z16" s="380"/>
      <c r="AV16" s="36"/>
      <c r="AW16" s="36"/>
      <c r="AZ16" s="36"/>
      <c r="BA16" s="36"/>
      <c r="BB16" s="36"/>
    </row>
    <row r="17" spans="1:23" s="36" customFormat="1" x14ac:dyDescent="0.25">
      <c r="A17" s="244">
        <v>9257029</v>
      </c>
      <c r="B17" s="237" t="s">
        <v>890</v>
      </c>
      <c r="C17" s="365" t="s">
        <v>1179</v>
      </c>
      <c r="D17" s="1024">
        <f>VLOOKUP(A17,'[22]2122 Band Moderations'!$B$5:$S$22,6,(FALSE))</f>
        <v>0</v>
      </c>
      <c r="E17" s="1024">
        <f>VLOOKUP(A17,'[22]2122 Band Moderations'!$B$5:$S$22,8,(FALSE))</f>
        <v>0</v>
      </c>
      <c r="F17" s="1024">
        <f>VLOOKUP(A17,'[22]2122 Band Moderations'!$B$5:$S$22,10,(FALSE))</f>
        <v>1</v>
      </c>
      <c r="G17" s="1024">
        <f>VLOOKUP(A17,'[22]2122 Band Moderations'!$B$5:$S$22,12,(FALSE))</f>
        <v>0</v>
      </c>
      <c r="H17" s="1024">
        <f>VLOOKUP(A17,'[22]2122 Band Moderations'!$B$5:$S$22,14,(FALSE))</f>
        <v>0</v>
      </c>
      <c r="I17" s="1024">
        <f>VLOOKUP(A17,'[22]2122 Band Moderations'!$B$5:$S$22,16,(FALSE))</f>
        <v>0</v>
      </c>
      <c r="J17" s="1024">
        <f>VLOOKUP(A17,'[22]2122 Band Moderations'!$B$5:$S$22,18,(FALSE))</f>
        <v>0</v>
      </c>
      <c r="K17" s="451">
        <v>70</v>
      </c>
      <c r="L17" s="1025">
        <f t="shared" si="0"/>
        <v>351725.54521810939</v>
      </c>
      <c r="M17" s="1025">
        <f t="shared" si="2"/>
        <v>76854.166666666672</v>
      </c>
      <c r="N17" s="1025">
        <f t="shared" si="1"/>
        <v>428579.71188477607</v>
      </c>
      <c r="O17" s="1026">
        <f t="shared" si="3"/>
        <v>291666.66666666669</v>
      </c>
      <c r="P17" s="1026">
        <f>(VLOOKUP(A17,'[22]2122 Funding Detail'!$A$4:$Y$21,23,FALSE)*5/12)*K17</f>
        <v>312808.48129063338</v>
      </c>
      <c r="Q17" s="235"/>
      <c r="R17" s="235">
        <f t="shared" si="4"/>
        <v>0</v>
      </c>
      <c r="S17" s="233"/>
      <c r="T17" s="296"/>
      <c r="W17" s="235"/>
    </row>
    <row r="18" spans="1:23" s="36" customFormat="1" x14ac:dyDescent="0.25">
      <c r="A18" s="244">
        <v>9257032</v>
      </c>
      <c r="B18" s="237" t="s">
        <v>1043</v>
      </c>
      <c r="C18" s="365" t="s">
        <v>1179</v>
      </c>
      <c r="D18" s="1024">
        <f>VLOOKUP(A18,'[22]2122 Band Moderations'!$B$5:$S$22,6,(FALSE))</f>
        <v>0</v>
      </c>
      <c r="E18" s="1024">
        <f>VLOOKUP(A18,'[22]2122 Band Moderations'!$B$5:$S$22,8,(FALSE))</f>
        <v>0</v>
      </c>
      <c r="F18" s="1024">
        <f>VLOOKUP(A18,'[22]2122 Band Moderations'!$B$5:$S$22,10,(FALSE))</f>
        <v>1</v>
      </c>
      <c r="G18" s="1024">
        <f>VLOOKUP(A18,'[22]2122 Band Moderations'!$B$5:$S$22,12,(FALSE))</f>
        <v>0</v>
      </c>
      <c r="H18" s="1024">
        <f>VLOOKUP(A18,'[22]2122 Band Moderations'!$B$5:$S$22,14,(FALSE))</f>
        <v>0</v>
      </c>
      <c r="I18" s="1024">
        <f>VLOOKUP(A18,'[22]2122 Band Moderations'!$B$5:$S$22,16,(FALSE))</f>
        <v>0</v>
      </c>
      <c r="J18" s="1024">
        <f>VLOOKUP(A18,'[22]2122 Band Moderations'!$B$5:$S$22,18,(FALSE))</f>
        <v>0</v>
      </c>
      <c r="K18" s="451">
        <v>82</v>
      </c>
      <c r="L18" s="1025">
        <f t="shared" si="0"/>
        <v>412021.35296978528</v>
      </c>
      <c r="M18" s="1025">
        <f t="shared" si="2"/>
        <v>90029.166666666672</v>
      </c>
      <c r="N18" s="1025">
        <f t="shared" si="1"/>
        <v>502050.51963645197</v>
      </c>
      <c r="O18" s="1026">
        <f t="shared" si="3"/>
        <v>341666.66666666669</v>
      </c>
      <c r="P18" s="1026">
        <f>(VLOOKUP(A18,'[22]2122 Funding Detail'!$A$4:$Y$21,23,FALSE)*5/12)*K18</f>
        <v>333737.56648116041</v>
      </c>
      <c r="Q18" s="235"/>
      <c r="R18" s="235">
        <f t="shared" si="4"/>
        <v>0</v>
      </c>
      <c r="S18" s="269"/>
      <c r="W18" s="235"/>
    </row>
    <row r="19" spans="1:23" s="36" customFormat="1" x14ac:dyDescent="0.25">
      <c r="A19" s="244">
        <v>9257030</v>
      </c>
      <c r="B19" s="237" t="s">
        <v>1046</v>
      </c>
      <c r="C19" s="365" t="s">
        <v>1179</v>
      </c>
      <c r="D19" s="1024">
        <f>VLOOKUP(A19,'[22]2122 Band Moderations'!$B$5:$S$22,6,(FALSE))</f>
        <v>0</v>
      </c>
      <c r="E19" s="1024">
        <f>VLOOKUP(A19,'[22]2122 Band Moderations'!$B$5:$S$22,8,(FALSE))</f>
        <v>0</v>
      </c>
      <c r="F19" s="1024">
        <f>VLOOKUP(A19,'[22]2122 Band Moderations'!$B$5:$S$22,10,(FALSE))</f>
        <v>1</v>
      </c>
      <c r="G19" s="1024">
        <f>VLOOKUP(A19,'[22]2122 Band Moderations'!$B$5:$S$22,12,(FALSE))</f>
        <v>0</v>
      </c>
      <c r="H19" s="1024">
        <f>VLOOKUP(A19,'[22]2122 Band Moderations'!$B$5:$S$22,14,(FALSE))</f>
        <v>0</v>
      </c>
      <c r="I19" s="1024">
        <f>VLOOKUP(A19,'[22]2122 Band Moderations'!$B$5:$S$22,16,(FALSE))</f>
        <v>0</v>
      </c>
      <c r="J19" s="1024">
        <f>VLOOKUP(A19,'[22]2122 Band Moderations'!$B$5:$S$22,18,(FALSE))</f>
        <v>0</v>
      </c>
      <c r="K19" s="451">
        <v>75</v>
      </c>
      <c r="L19" s="1025">
        <f t="shared" si="0"/>
        <v>376848.79844797438</v>
      </c>
      <c r="M19" s="1025">
        <f t="shared" si="2"/>
        <v>82343.75</v>
      </c>
      <c r="N19" s="1025">
        <f t="shared" si="1"/>
        <v>459192.54844797438</v>
      </c>
      <c r="O19" s="1026">
        <f t="shared" si="3"/>
        <v>312500</v>
      </c>
      <c r="P19" s="1026">
        <f>(VLOOKUP(A19,'[22]2122 Funding Detail'!$A$4:$Y$21,23,FALSE)*5/12)*K19</f>
        <v>350288.86043715704</v>
      </c>
      <c r="Q19" s="235"/>
      <c r="R19" s="235">
        <f t="shared" si="4"/>
        <v>0</v>
      </c>
      <c r="S19" s="269"/>
      <c r="W19" s="235"/>
    </row>
    <row r="20" spans="1:23" s="36" customFormat="1" x14ac:dyDescent="0.25">
      <c r="A20" s="244">
        <v>9257028</v>
      </c>
      <c r="B20" s="237" t="s">
        <v>215</v>
      </c>
      <c r="C20" s="365">
        <v>5</v>
      </c>
      <c r="D20" s="1024">
        <f>VLOOKUP(A20,'[22]2122 Band Moderations'!$B$5:$S$22,6,(FALSE))</f>
        <v>8.9108910891089105E-2</v>
      </c>
      <c r="E20" s="1024">
        <f>VLOOKUP(A20,'[22]2122 Band Moderations'!$B$5:$S$22,8,(FALSE))</f>
        <v>0.40594059405940597</v>
      </c>
      <c r="F20" s="1024">
        <f>VLOOKUP(A20,'[22]2122 Band Moderations'!$B$5:$S$22,10,(FALSE))</f>
        <v>7.9207920792079209E-2</v>
      </c>
      <c r="G20" s="1024">
        <f>VLOOKUP(A20,'[22]2122 Band Moderations'!$B$5:$S$22,12,(FALSE))</f>
        <v>8.9108910891089105E-2</v>
      </c>
      <c r="H20" s="1024">
        <f>VLOOKUP(A20,'[22]2122 Band Moderations'!$B$5:$S$22,14,(FALSE))</f>
        <v>0.12871287128712872</v>
      </c>
      <c r="I20" s="1024">
        <f>VLOOKUP(A20,'[22]2122 Band Moderations'!$B$5:$S$22,16,(FALSE))</f>
        <v>9.9009900990099015E-2</v>
      </c>
      <c r="J20" s="1024">
        <f>VLOOKUP(A20,'[22]2122 Band Moderations'!$B$5:$S$22,18,(FALSE))</f>
        <v>0.10891089108910891</v>
      </c>
      <c r="K20" s="451">
        <v>91</v>
      </c>
      <c r="L20" s="1025">
        <f t="shared" si="0"/>
        <v>451383.42724272283</v>
      </c>
      <c r="M20" s="1025">
        <f t="shared" si="2"/>
        <v>7913.6963696369639</v>
      </c>
      <c r="N20" s="1025">
        <f t="shared" si="1"/>
        <v>459297.12361235981</v>
      </c>
      <c r="O20" s="1026">
        <f t="shared" si="3"/>
        <v>379166.66666666669</v>
      </c>
      <c r="P20" s="1026">
        <f>(VLOOKUP(A20,'[22]2122 Funding Detail'!$A$4:$Y$21,23,FALSE)*5/12)*K20</f>
        <v>267526.6352517851</v>
      </c>
      <c r="Q20" s="235"/>
      <c r="R20" s="235">
        <f t="shared" si="4"/>
        <v>94468.088802207203</v>
      </c>
      <c r="S20" s="269"/>
      <c r="W20" s="235"/>
    </row>
    <row r="21" spans="1:23" s="36" customFormat="1" x14ac:dyDescent="0.25">
      <c r="A21" s="244">
        <v>9257021</v>
      </c>
      <c r="B21" s="237" t="s">
        <v>216</v>
      </c>
      <c r="C21" s="365" t="s">
        <v>1180</v>
      </c>
      <c r="D21" s="1024">
        <f>VLOOKUP(A21,'[22]2122 Band Moderations'!$B$5:$S$22,6,(FALSE))</f>
        <v>0.26829268292682928</v>
      </c>
      <c r="E21" s="1024">
        <f>VLOOKUP(A21,'[22]2122 Band Moderations'!$B$5:$S$22,8,(FALSE))</f>
        <v>0.42682926829268292</v>
      </c>
      <c r="F21" s="1024">
        <f>VLOOKUP(A21,'[22]2122 Band Moderations'!$B$5:$S$22,10,(FALSE))</f>
        <v>7.926829268292683E-2</v>
      </c>
      <c r="G21" s="1024">
        <f>VLOOKUP(A21,'[22]2122 Band Moderations'!$B$5:$S$22,12,(FALSE))</f>
        <v>6.7073170731707321E-2</v>
      </c>
      <c r="H21" s="1024">
        <f>VLOOKUP(A21,'[22]2122 Band Moderations'!$B$5:$S$22,14,(FALSE))</f>
        <v>5.4878048780487805E-2</v>
      </c>
      <c r="I21" s="1024">
        <f>VLOOKUP(A21,'[22]2122 Band Moderations'!$B$5:$S$22,16,(FALSE))</f>
        <v>9.1463414634146339E-2</v>
      </c>
      <c r="J21" s="1024">
        <f>VLOOKUP(A21,'[22]2122 Band Moderations'!$B$5:$S$22,18,(FALSE))</f>
        <v>1.2195121951219513E-2</v>
      </c>
      <c r="K21" s="451">
        <v>166</v>
      </c>
      <c r="L21" s="1025">
        <f t="shared" si="0"/>
        <v>651294.16361984739</v>
      </c>
      <c r="M21" s="1025">
        <f t="shared" si="2"/>
        <v>14446.976626016261</v>
      </c>
      <c r="N21" s="1025">
        <f t="shared" si="1"/>
        <v>665741.1402458637</v>
      </c>
      <c r="O21" s="1026">
        <f t="shared" si="3"/>
        <v>691666.66666666674</v>
      </c>
      <c r="P21" s="1026">
        <f>(VLOOKUP(A21,'[22]2122 Funding Detail'!$A$4:$Y$21,23,FALSE)*5/12)*K21</f>
        <v>231165.00393019064</v>
      </c>
      <c r="Q21" s="235"/>
      <c r="R21" s="235">
        <f t="shared" si="4"/>
        <v>19295.972038422624</v>
      </c>
      <c r="S21" s="269"/>
      <c r="W21" s="235"/>
    </row>
    <row r="22" spans="1:23" s="36" customFormat="1" x14ac:dyDescent="0.25">
      <c r="A22" s="244">
        <v>9257015</v>
      </c>
      <c r="B22" s="237" t="s">
        <v>217</v>
      </c>
      <c r="C22" s="365" t="s">
        <v>1181</v>
      </c>
      <c r="D22" s="1024">
        <f>VLOOKUP(A22,'[22]2122 Band Moderations'!$B$5:$S$22,6,(FALSE))</f>
        <v>0.33185840707964603</v>
      </c>
      <c r="E22" s="1024">
        <f>VLOOKUP(A22,'[22]2122 Band Moderations'!$B$5:$S$22,8,(FALSE))</f>
        <v>0.38495575221238937</v>
      </c>
      <c r="F22" s="1024">
        <f>VLOOKUP(A22,'[22]2122 Band Moderations'!$B$5:$S$22,10,(FALSE))</f>
        <v>1.7699115044247787E-2</v>
      </c>
      <c r="G22" s="1024">
        <f>VLOOKUP(A22,'[22]2122 Band Moderations'!$B$5:$S$22,12,(FALSE))</f>
        <v>8.8495575221238937E-2</v>
      </c>
      <c r="H22" s="1024">
        <f>VLOOKUP(A22,'[22]2122 Band Moderations'!$B$5:$S$22,14,(FALSE))</f>
        <v>2.2123893805309734E-2</v>
      </c>
      <c r="I22" s="1024">
        <f>VLOOKUP(A22,'[22]2122 Band Moderations'!$B$5:$S$22,16,(FALSE))</f>
        <v>0.1415929203539823</v>
      </c>
      <c r="J22" s="1024">
        <f>VLOOKUP(A22,'[22]2122 Band Moderations'!$B$5:$S$22,18,(FALSE))</f>
        <v>1.3274336283185841E-2</v>
      </c>
      <c r="K22" s="451">
        <v>224</v>
      </c>
      <c r="L22" s="1025">
        <f t="shared" si="0"/>
        <v>879308.52772979927</v>
      </c>
      <c r="M22" s="1025">
        <f t="shared" si="2"/>
        <v>4352.8023598820064</v>
      </c>
      <c r="N22" s="1025">
        <f t="shared" si="1"/>
        <v>883661.33008968132</v>
      </c>
      <c r="O22" s="1026">
        <f t="shared" si="3"/>
        <v>933333.33333333337</v>
      </c>
      <c r="P22" s="1026">
        <f>(VLOOKUP(A22,'[22]2122 Funding Detail'!$A$4:$Y$21,23,FALSE)*5/12)*K22</f>
        <v>233313.0811553247</v>
      </c>
      <c r="Q22" s="235"/>
      <c r="R22" s="235">
        <f t="shared" si="4"/>
        <v>28342.180488464659</v>
      </c>
      <c r="S22" s="269"/>
      <c r="W22" s="235"/>
    </row>
    <row r="23" spans="1:23" s="36" customFormat="1" x14ac:dyDescent="0.25">
      <c r="A23" s="244">
        <v>9257016</v>
      </c>
      <c r="B23" s="237" t="s">
        <v>219</v>
      </c>
      <c r="C23" s="365" t="s">
        <v>1181</v>
      </c>
      <c r="D23" s="1024">
        <f>VLOOKUP(A23,'[22]2122 Band Moderations'!$B$5:$S$22,6,(FALSE))</f>
        <v>0.18012422360248448</v>
      </c>
      <c r="E23" s="1024">
        <f>VLOOKUP(A23,'[22]2122 Band Moderations'!$B$5:$S$22,8,(FALSE))</f>
        <v>0.15527950310559005</v>
      </c>
      <c r="F23" s="1024">
        <f>VLOOKUP(A23,'[22]2122 Band Moderations'!$B$5:$S$22,10,(FALSE))</f>
        <v>6.2111801242236021E-3</v>
      </c>
      <c r="G23" s="1024">
        <f>VLOOKUP(A23,'[22]2122 Band Moderations'!$B$5:$S$22,12,(FALSE))</f>
        <v>0.2236024844720497</v>
      </c>
      <c r="H23" s="1024">
        <f>VLOOKUP(A23,'[22]2122 Band Moderations'!$B$5:$S$22,14,(FALSE))</f>
        <v>0.21118012422360249</v>
      </c>
      <c r="I23" s="1024">
        <f>VLOOKUP(A23,'[22]2122 Band Moderations'!$B$5:$S$22,16,(FALSE))</f>
        <v>1.2422360248447204E-2</v>
      </c>
      <c r="J23" s="1024">
        <f>VLOOKUP(A23,'[22]2122 Band Moderations'!$B$5:$S$22,18,(FALSE))</f>
        <v>0.21118012422360249</v>
      </c>
      <c r="K23" s="451">
        <v>110</v>
      </c>
      <c r="L23" s="1025">
        <f t="shared" si="0"/>
        <v>638067.17189250793</v>
      </c>
      <c r="M23" s="1025">
        <f t="shared" si="2"/>
        <v>750.12939958592131</v>
      </c>
      <c r="N23" s="1025">
        <f t="shared" si="1"/>
        <v>638817.30129209382</v>
      </c>
      <c r="O23" s="1026">
        <f t="shared" si="3"/>
        <v>458333.33333333337</v>
      </c>
      <c r="P23" s="1026">
        <f>(VLOOKUP(A23,'[22]2122 Funding Detail'!$A$4:$Y$21,23,FALSE)*5/12)*K23</f>
        <v>376036.48209757777</v>
      </c>
      <c r="Q23" s="299" t="s">
        <v>207</v>
      </c>
      <c r="R23" s="235">
        <f t="shared" si="4"/>
        <v>221420.66544725923</v>
      </c>
      <c r="S23" s="269"/>
      <c r="W23" s="235"/>
    </row>
    <row r="24" spans="1:23" s="36" customFormat="1" x14ac:dyDescent="0.25">
      <c r="A24" s="249"/>
      <c r="C24" s="234"/>
      <c r="D24" s="268"/>
      <c r="E24" s="268"/>
      <c r="G24" s="268"/>
      <c r="H24" s="268"/>
      <c r="I24" s="268"/>
      <c r="J24" s="268"/>
      <c r="K24" s="268"/>
      <c r="L24" s="269"/>
      <c r="N24" s="235"/>
      <c r="O24" s="235"/>
      <c r="P24" s="235"/>
      <c r="Q24" s="299" t="s">
        <v>207</v>
      </c>
      <c r="R24" s="269"/>
      <c r="S24" s="269"/>
    </row>
    <row r="25" spans="1:23" s="36" customFormat="1" ht="13" x14ac:dyDescent="0.3">
      <c r="A25" s="93" t="s">
        <v>1182</v>
      </c>
      <c r="C25" s="234"/>
      <c r="D25" s="268"/>
      <c r="E25" s="268"/>
      <c r="G25" s="268"/>
      <c r="H25" s="268"/>
      <c r="I25" s="268"/>
      <c r="J25" s="268"/>
      <c r="K25" s="269"/>
      <c r="L25" s="269"/>
      <c r="M25" s="299" t="s">
        <v>207</v>
      </c>
      <c r="N25" s="235"/>
      <c r="O25" s="235"/>
      <c r="P25" s="235"/>
      <c r="Q25" s="235"/>
      <c r="R25" s="269"/>
      <c r="S25" s="269"/>
    </row>
    <row r="26" spans="1:23" s="36" customFormat="1" x14ac:dyDescent="0.25">
      <c r="A26" s="249"/>
      <c r="C26" s="234"/>
      <c r="D26" s="268"/>
      <c r="E26" s="268"/>
      <c r="G26" s="268"/>
      <c r="H26" s="268"/>
      <c r="I26" s="268"/>
      <c r="J26" s="268"/>
      <c r="K26" s="94" t="s">
        <v>911</v>
      </c>
      <c r="L26" s="269"/>
      <c r="M26" s="269"/>
      <c r="N26" s="235"/>
      <c r="O26" s="1445" t="s">
        <v>238</v>
      </c>
      <c r="P26" s="1446"/>
      <c r="Q26" s="235"/>
      <c r="R26" s="269"/>
      <c r="S26" s="269"/>
    </row>
    <row r="27" spans="1:23" s="36" customFormat="1" ht="37.5" x14ac:dyDescent="0.25">
      <c r="A27" s="265" t="s">
        <v>182</v>
      </c>
      <c r="B27" s="237" t="s">
        <v>183</v>
      </c>
      <c r="C27" s="238" t="s">
        <v>184</v>
      </c>
      <c r="D27" s="234" t="s">
        <v>901</v>
      </c>
      <c r="E27" s="234" t="s">
        <v>902</v>
      </c>
      <c r="F27" s="234" t="s">
        <v>903</v>
      </c>
      <c r="G27" s="234" t="s">
        <v>904</v>
      </c>
      <c r="H27" s="234" t="s">
        <v>905</v>
      </c>
      <c r="I27" s="234" t="s">
        <v>906</v>
      </c>
      <c r="J27" s="234" t="s">
        <v>907</v>
      </c>
      <c r="K27" s="243" t="s">
        <v>264</v>
      </c>
      <c r="L27" s="243" t="s">
        <v>265</v>
      </c>
      <c r="M27" s="243" t="s">
        <v>266</v>
      </c>
      <c r="N27" s="243" t="s">
        <v>265</v>
      </c>
      <c r="O27" s="276" t="s">
        <v>267</v>
      </c>
      <c r="P27" s="320" t="s">
        <v>268</v>
      </c>
      <c r="Q27" s="243"/>
      <c r="R27" s="243"/>
      <c r="S27" s="276"/>
    </row>
    <row r="28" spans="1:23" s="36" customFormat="1" x14ac:dyDescent="0.25">
      <c r="A28" s="244">
        <v>9257010</v>
      </c>
      <c r="B28" s="237" t="s">
        <v>205</v>
      </c>
      <c r="C28" s="365">
        <v>5</v>
      </c>
      <c r="D28" s="1024">
        <f>VLOOKUP(A28,'[22]2122 Band Moderations'!$B$5:$S$22,6,(FALSE))</f>
        <v>1.5873015873015872E-2</v>
      </c>
      <c r="E28" s="1024">
        <f>VLOOKUP(A28,'[22]2122 Band Moderations'!$B$5:$S$22,8,(FALSE))</f>
        <v>0.31746031746031744</v>
      </c>
      <c r="F28" s="1024">
        <f>VLOOKUP(A28,'[22]2122 Band Moderations'!$B$5:$S$22,10,(FALSE))</f>
        <v>9.5238095238095233E-2</v>
      </c>
      <c r="G28" s="1024">
        <f>VLOOKUP(A28,'[22]2122 Band Moderations'!$B$5:$S$22,12,(FALSE))</f>
        <v>0.17460317460317459</v>
      </c>
      <c r="H28" s="1024">
        <f>VLOOKUP(A28,'[22]2122 Band Moderations'!$B$5:$S$22,14,(FALSE))</f>
        <v>6.3492063492063489E-2</v>
      </c>
      <c r="I28" s="1024">
        <f>VLOOKUP(A28,'[22]2122 Band Moderations'!$B$5:$S$22,16,(FALSE))</f>
        <v>0.19047619047619047</v>
      </c>
      <c r="J28" s="1024">
        <f>VLOOKUP(A28,'[22]2122 Band Moderations'!$B$5:$S$22,18,(FALSE))</f>
        <v>0.14285714285714285</v>
      </c>
      <c r="K28" s="451">
        <v>7</v>
      </c>
      <c r="L28" s="1025">
        <f t="shared" ref="L28:L45" si="5">((((K28*D28)*$G$92)+((K28*E28)*$G$94)+((K28*F28)*$G$96)+((K28*G28)*$G$98)+((K28*H28)*$G$100)+((K28*I28)*$G$102)+((K28*J28)*$G$104)))*(4/12)</f>
        <v>31563.685739362718</v>
      </c>
      <c r="M28" s="1025">
        <f t="shared" ref="M28:M45" si="6">((K28*F28)*$G$106)*(4/12)</f>
        <v>585.55555555555543</v>
      </c>
      <c r="N28" s="1025">
        <f>SUM(L28:M28)</f>
        <v>32149.241294918273</v>
      </c>
      <c r="O28" s="1026">
        <f>(K28*(4/12))*10000</f>
        <v>23333.333333333332</v>
      </c>
      <c r="P28" s="1026">
        <f>(VLOOKUP(A28,'[22]2122 Funding Detail'!$A$4:$Y$21,23,FALSE)*4/12)*K28</f>
        <v>23980.8396803465</v>
      </c>
      <c r="Q28" s="235"/>
      <c r="R28" s="235">
        <f t="shared" ref="R28:R45" si="7">(J28*K28*$G$104)*4/12</f>
        <v>7625.3961790393014</v>
      </c>
      <c r="S28" s="269"/>
      <c r="T28" s="235"/>
      <c r="U28" s="235"/>
      <c r="V28" s="297"/>
      <c r="W28" s="296"/>
    </row>
    <row r="29" spans="1:23" s="36" customFormat="1" x14ac:dyDescent="0.25">
      <c r="A29" s="244">
        <v>9257005</v>
      </c>
      <c r="B29" s="237" t="s">
        <v>208</v>
      </c>
      <c r="C29" s="365">
        <v>4</v>
      </c>
      <c r="D29" s="1024">
        <f>VLOOKUP(A29,'[22]2122 Band Moderations'!$B$5:$S$22,6,(FALSE))</f>
        <v>0.05</v>
      </c>
      <c r="E29" s="1024">
        <f>VLOOKUP(A29,'[22]2122 Band Moderations'!$B$5:$S$22,8,(FALSE))</f>
        <v>0.4</v>
      </c>
      <c r="F29" s="1024">
        <f>VLOOKUP(A29,'[22]2122 Band Moderations'!$B$5:$S$22,10,(FALSE))</f>
        <v>6.25E-2</v>
      </c>
      <c r="G29" s="1024">
        <f>VLOOKUP(A29,'[22]2122 Band Moderations'!$B$5:$S$22,12,(FALSE))</f>
        <v>0.15</v>
      </c>
      <c r="H29" s="1024">
        <f>VLOOKUP(A29,'[22]2122 Band Moderations'!$B$5:$S$22,14,(FALSE))</f>
        <v>0.125</v>
      </c>
      <c r="I29" s="1024">
        <f>VLOOKUP(A29,'[22]2122 Band Moderations'!$B$5:$S$22,16,(FALSE))</f>
        <v>0.15</v>
      </c>
      <c r="J29" s="1024">
        <f>VLOOKUP(A29,'[22]2122 Band Moderations'!$B$5:$S$22,18,(FALSE))</f>
        <v>6.25E-2</v>
      </c>
      <c r="K29" s="451">
        <v>26</v>
      </c>
      <c r="L29" s="1025">
        <f t="shared" si="5"/>
        <v>104250.79289430138</v>
      </c>
      <c r="M29" s="1025">
        <f t="shared" si="6"/>
        <v>1427.2916666666665</v>
      </c>
      <c r="N29" s="1025">
        <f>SUM(L29:M29)</f>
        <v>105678.08456096805</v>
      </c>
      <c r="O29" s="1026">
        <f>(K29*(4/12))*10000</f>
        <v>86666.666666666657</v>
      </c>
      <c r="P29" s="1026">
        <f>(VLOOKUP(A29,'[22]2122 Funding Detail'!$A$4:$Y$21,23,FALSE)*4/12)*K29</f>
        <v>69130.236857521173</v>
      </c>
      <c r="Q29" s="235"/>
      <c r="R29" s="235">
        <f t="shared" si="7"/>
        <v>12391.268790938864</v>
      </c>
      <c r="S29" s="269"/>
      <c r="T29" s="235"/>
      <c r="U29" s="235"/>
      <c r="V29" s="235"/>
    </row>
    <row r="30" spans="1:23" s="36" customFormat="1" x14ac:dyDescent="0.25">
      <c r="A30" s="244">
        <v>9257025</v>
      </c>
      <c r="B30" s="237" t="s">
        <v>209</v>
      </c>
      <c r="C30" s="365">
        <v>4</v>
      </c>
      <c r="D30" s="1024">
        <f>VLOOKUP(A30,'[22]2122 Band Moderations'!$B$5:$S$22,6,(FALSE))</f>
        <v>0.15584415584415584</v>
      </c>
      <c r="E30" s="1024">
        <f>VLOOKUP(A30,'[22]2122 Band Moderations'!$B$5:$S$22,8,(FALSE))</f>
        <v>0.40259740259740262</v>
      </c>
      <c r="F30" s="1024">
        <f>VLOOKUP(A30,'[22]2122 Band Moderations'!$B$5:$S$22,10,(FALSE))</f>
        <v>3.896103896103896E-2</v>
      </c>
      <c r="G30" s="1024">
        <f>VLOOKUP(A30,'[22]2122 Band Moderations'!$B$5:$S$22,12,(FALSE))</f>
        <v>0.15584415584415584</v>
      </c>
      <c r="H30" s="1024">
        <f>VLOOKUP(A30,'[22]2122 Band Moderations'!$B$5:$S$22,14,(FALSE))</f>
        <v>5.1948051948051951E-2</v>
      </c>
      <c r="I30" s="1024">
        <f>VLOOKUP(A30,'[22]2122 Band Moderations'!$B$5:$S$22,16,(FALSE))</f>
        <v>0.14285714285714285</v>
      </c>
      <c r="J30" s="1024">
        <f>VLOOKUP(A30,'[22]2122 Band Moderations'!$B$5:$S$22,18,(FALSE))</f>
        <v>5.1948051948051951E-2</v>
      </c>
      <c r="K30" s="451">
        <v>20</v>
      </c>
      <c r="L30" s="1025">
        <f t="shared" si="5"/>
        <v>73770.579875652533</v>
      </c>
      <c r="M30" s="1025">
        <f t="shared" si="6"/>
        <v>684.41558441558448</v>
      </c>
      <c r="N30" s="1025">
        <f t="shared" ref="N30:N45" si="8">SUM(L30:M30)</f>
        <v>74454.995460068123</v>
      </c>
      <c r="O30" s="1026">
        <f t="shared" ref="O30:O45" si="9">(K30*(4/12))*10000</f>
        <v>66666.666666666657</v>
      </c>
      <c r="P30" s="1026">
        <f>(VLOOKUP(A30,'[22]2122 Funding Detail'!$A$4:$Y$21,23,FALSE)*4/12)*K30</f>
        <v>50760.400329364958</v>
      </c>
      <c r="Q30" s="235"/>
      <c r="R30" s="235">
        <f t="shared" si="7"/>
        <v>7922.4895366642113</v>
      </c>
      <c r="S30" s="269"/>
      <c r="T30" s="235"/>
      <c r="U30" s="235"/>
      <c r="V30" s="235"/>
    </row>
    <row r="31" spans="1:23" s="36" customFormat="1" x14ac:dyDescent="0.25">
      <c r="A31" s="244">
        <v>9257011</v>
      </c>
      <c r="B31" s="237" t="s">
        <v>210</v>
      </c>
      <c r="C31" s="365" t="s">
        <v>1251</v>
      </c>
      <c r="D31" s="1024">
        <f>VLOOKUP(A31,'[22]2122 Band Moderations'!$B$5:$S$22,6,(FALSE))</f>
        <v>5.6603773584905662E-2</v>
      </c>
      <c r="E31" s="1024">
        <f>VLOOKUP(A31,'[22]2122 Band Moderations'!$B$5:$S$22,8,(FALSE))</f>
        <v>0.35849056603773582</v>
      </c>
      <c r="F31" s="1024">
        <f>VLOOKUP(A31,'[22]2122 Band Moderations'!$B$5:$S$22,10,(FALSE))</f>
        <v>1.8867924528301886E-2</v>
      </c>
      <c r="G31" s="1024">
        <f>VLOOKUP(A31,'[22]2122 Band Moderations'!$B$5:$S$22,12,(FALSE))</f>
        <v>0.16981132075471697</v>
      </c>
      <c r="H31" s="1024">
        <f>VLOOKUP(A31,'[22]2122 Band Moderations'!$B$5:$S$22,14,(FALSE))</f>
        <v>0.13207547169811321</v>
      </c>
      <c r="I31" s="1024">
        <f>VLOOKUP(A31,'[22]2122 Band Moderations'!$B$5:$S$22,16,(FALSE))</f>
        <v>0.15094339622641509</v>
      </c>
      <c r="J31" s="1024">
        <f>VLOOKUP(A31,'[22]2122 Band Moderations'!$B$5:$S$22,18,(FALSE))</f>
        <v>0.11320754716981132</v>
      </c>
      <c r="K31" s="451">
        <v>8</v>
      </c>
      <c r="L31" s="1025">
        <f t="shared" si="5"/>
        <v>34165.538717248251</v>
      </c>
      <c r="M31" s="1025">
        <f t="shared" si="6"/>
        <v>132.57861635220124</v>
      </c>
      <c r="N31" s="1025">
        <f t="shared" si="8"/>
        <v>34298.11733360045</v>
      </c>
      <c r="O31" s="1026">
        <f t="shared" si="9"/>
        <v>26666.666666666664</v>
      </c>
      <c r="P31" s="1026">
        <f>(VLOOKUP(A31,'[22]2122 Funding Detail'!$A$4:$Y$21,23,FALSE)*4/12)*K31</f>
        <v>28241.675954290113</v>
      </c>
      <c r="Q31" s="235"/>
      <c r="R31" s="235">
        <f t="shared" si="7"/>
        <v>6906.0191810167262</v>
      </c>
      <c r="S31" s="269"/>
      <c r="T31" s="235"/>
      <c r="U31" s="235"/>
      <c r="V31" s="235"/>
    </row>
    <row r="32" spans="1:23" s="36" customFormat="1" x14ac:dyDescent="0.25">
      <c r="A32" s="244">
        <v>9257024</v>
      </c>
      <c r="B32" s="237" t="s">
        <v>211</v>
      </c>
      <c r="C32" s="365">
        <v>4</v>
      </c>
      <c r="D32" s="1024">
        <f>VLOOKUP(A32,'[22]2122 Band Moderations'!$B$5:$S$22,6,(FALSE))</f>
        <v>8.4337349397590355E-2</v>
      </c>
      <c r="E32" s="1024">
        <f>VLOOKUP(A32,'[22]2122 Band Moderations'!$B$5:$S$22,8,(FALSE))</f>
        <v>0.45783132530120479</v>
      </c>
      <c r="F32" s="1024">
        <f>VLOOKUP(A32,'[22]2122 Band Moderations'!$B$5:$S$22,10,(FALSE))</f>
        <v>1.2048192771084338E-2</v>
      </c>
      <c r="G32" s="1024">
        <f>VLOOKUP(A32,'[22]2122 Band Moderations'!$B$5:$S$22,12,(FALSE))</f>
        <v>0.18072289156626506</v>
      </c>
      <c r="H32" s="1024">
        <f>VLOOKUP(A32,'[22]2122 Band Moderations'!$B$5:$S$22,14,(FALSE))</f>
        <v>8.4337349397590355E-2</v>
      </c>
      <c r="I32" s="1024">
        <f>VLOOKUP(A32,'[22]2122 Band Moderations'!$B$5:$S$22,16,(FALSE))</f>
        <v>7.2289156626506021E-2</v>
      </c>
      <c r="J32" s="1024">
        <f>VLOOKUP(A32,'[22]2122 Band Moderations'!$B$5:$S$22,18,(FALSE))</f>
        <v>0.10843373493975904</v>
      </c>
      <c r="K32" s="451">
        <v>14</v>
      </c>
      <c r="L32" s="1025">
        <f t="shared" si="5"/>
        <v>54697.357628740181</v>
      </c>
      <c r="M32" s="1025">
        <f t="shared" si="6"/>
        <v>148.15261044176708</v>
      </c>
      <c r="N32" s="1025">
        <f t="shared" si="8"/>
        <v>54845.510239181946</v>
      </c>
      <c r="O32" s="1026">
        <f t="shared" si="9"/>
        <v>46666.666666666664</v>
      </c>
      <c r="P32" s="1026">
        <f>(VLOOKUP(A32,'[22]2122 Funding Detail'!$A$4:$Y$21,23,FALSE)*4/12)*K32</f>
        <v>36058.029188439665</v>
      </c>
      <c r="Q32" s="235"/>
      <c r="R32" s="235">
        <f t="shared" si="7"/>
        <v>11575.902633240386</v>
      </c>
      <c r="S32" s="269"/>
      <c r="T32" s="235"/>
      <c r="U32" s="235"/>
      <c r="V32" s="235"/>
    </row>
    <row r="33" spans="1:22" s="36" customFormat="1" x14ac:dyDescent="0.25">
      <c r="A33" s="244">
        <v>9257031</v>
      </c>
      <c r="B33" s="237" t="s">
        <v>257</v>
      </c>
      <c r="C33" s="365">
        <v>5</v>
      </c>
      <c r="D33" s="1024">
        <f>VLOOKUP(A33,'[22]2122 Band Moderations'!$B$5:$S$22,6,(FALSE))</f>
        <v>0</v>
      </c>
      <c r="E33" s="1024">
        <f>VLOOKUP(A33,'[22]2122 Band Moderations'!$B$5:$S$22,8,(FALSE))</f>
        <v>0</v>
      </c>
      <c r="F33" s="1024">
        <f>VLOOKUP(A33,'[22]2122 Band Moderations'!$B$5:$S$22,10,(FALSE))</f>
        <v>1</v>
      </c>
      <c r="G33" s="1024">
        <f>VLOOKUP(A33,'[22]2122 Band Moderations'!$B$5:$S$22,12,(FALSE))</f>
        <v>0</v>
      </c>
      <c r="H33" s="1024">
        <f>VLOOKUP(A33,'[22]2122 Band Moderations'!$B$5:$S$22,14,(FALSE))</f>
        <v>0</v>
      </c>
      <c r="I33" s="1024">
        <f>VLOOKUP(A33,'[22]2122 Band Moderations'!$B$5:$S$22,16,(FALSE))</f>
        <v>0</v>
      </c>
      <c r="J33" s="1024">
        <f>VLOOKUP(A33,'[22]2122 Band Moderations'!$B$5:$S$22,18,(FALSE))</f>
        <v>0</v>
      </c>
      <c r="K33" s="451">
        <v>0</v>
      </c>
      <c r="L33" s="1025">
        <f t="shared" si="5"/>
        <v>0</v>
      </c>
      <c r="M33" s="1025">
        <f t="shared" si="6"/>
        <v>0</v>
      </c>
      <c r="N33" s="1025">
        <f t="shared" si="8"/>
        <v>0</v>
      </c>
      <c r="O33" s="1026">
        <f t="shared" si="9"/>
        <v>0</v>
      </c>
      <c r="P33" s="1026">
        <f>(VLOOKUP(A33,'[22]2122 Funding Detail'!$A$4:$Y$21,23,FALSE)*4/12)*K33</f>
        <v>0</v>
      </c>
      <c r="Q33" s="235"/>
      <c r="R33" s="235">
        <f t="shared" si="7"/>
        <v>0</v>
      </c>
      <c r="S33" s="269"/>
      <c r="T33" s="235"/>
      <c r="U33" s="235"/>
      <c r="V33" s="235"/>
    </row>
    <row r="34" spans="1:22" s="36" customFormat="1" x14ac:dyDescent="0.25">
      <c r="A34" s="244">
        <v>9257033</v>
      </c>
      <c r="B34" s="237" t="s">
        <v>220</v>
      </c>
      <c r="C34" s="365" t="s">
        <v>1178</v>
      </c>
      <c r="D34" s="1024">
        <f>VLOOKUP(A34,'[22]2122 Band Moderations'!$B$5:$S$22,6,(FALSE))</f>
        <v>0.16842105263157894</v>
      </c>
      <c r="E34" s="1024">
        <f>VLOOKUP(A34,'[22]2122 Band Moderations'!$B$5:$S$22,8,(FALSE))</f>
        <v>0.5368421052631579</v>
      </c>
      <c r="F34" s="1024">
        <f>VLOOKUP(A34,'[22]2122 Band Moderations'!$B$5:$S$22,10,(FALSE))</f>
        <v>6.3157894736842107E-2</v>
      </c>
      <c r="G34" s="1024">
        <f>VLOOKUP(A34,'[22]2122 Band Moderations'!$B$5:$S$22,12,(FALSE))</f>
        <v>0.14736842105263157</v>
      </c>
      <c r="H34" s="1024">
        <f>VLOOKUP(A34,'[22]2122 Band Moderations'!$B$5:$S$22,14,(FALSE))</f>
        <v>4.2105263157894736E-2</v>
      </c>
      <c r="I34" s="1024">
        <f>VLOOKUP(A34,'[22]2122 Band Moderations'!$B$5:$S$22,16,(FALSE))</f>
        <v>4.2105263157894736E-2</v>
      </c>
      <c r="J34" s="1024">
        <f>VLOOKUP(A34,'[22]2122 Band Moderations'!$B$5:$S$22,18,(FALSE))</f>
        <v>0</v>
      </c>
      <c r="K34" s="451">
        <v>0</v>
      </c>
      <c r="L34" s="1025">
        <f t="shared" si="5"/>
        <v>0</v>
      </c>
      <c r="M34" s="1025">
        <f t="shared" si="6"/>
        <v>0</v>
      </c>
      <c r="N34" s="1025">
        <f t="shared" si="8"/>
        <v>0</v>
      </c>
      <c r="O34" s="1026">
        <f t="shared" si="9"/>
        <v>0</v>
      </c>
      <c r="P34" s="1026">
        <f>(VLOOKUP(A34,'[22]2122 Funding Detail'!$A$4:$Y$21,23,FALSE)*4/12)*K34</f>
        <v>0</v>
      </c>
      <c r="Q34" s="235"/>
      <c r="R34" s="235">
        <f t="shared" si="7"/>
        <v>0</v>
      </c>
      <c r="S34" s="269"/>
      <c r="T34" s="235"/>
      <c r="U34" s="235"/>
      <c r="V34" s="235"/>
    </row>
    <row r="35" spans="1:22" s="36" customFormat="1" x14ac:dyDescent="0.25">
      <c r="A35" s="244">
        <v>9257008</v>
      </c>
      <c r="B35" s="237" t="s">
        <v>212</v>
      </c>
      <c r="C35" s="365">
        <v>4</v>
      </c>
      <c r="D35" s="1024">
        <f>VLOOKUP(A35,'[22]2122 Band Moderations'!$B$5:$S$22,6,(FALSE))</f>
        <v>0.10101010101010101</v>
      </c>
      <c r="E35" s="1024">
        <f>VLOOKUP(A35,'[22]2122 Band Moderations'!$B$5:$S$22,8,(FALSE))</f>
        <v>0.58585858585858586</v>
      </c>
      <c r="F35" s="1024">
        <f>VLOOKUP(A35,'[22]2122 Band Moderations'!$B$5:$S$22,10,(FALSE))</f>
        <v>8.0808080808080815E-2</v>
      </c>
      <c r="G35" s="1024">
        <f>VLOOKUP(A35,'[22]2122 Band Moderations'!$B$5:$S$22,12,(FALSE))</f>
        <v>9.0909090909090912E-2</v>
      </c>
      <c r="H35" s="1024">
        <f>VLOOKUP(A35,'[22]2122 Band Moderations'!$B$5:$S$22,14,(FALSE))</f>
        <v>1.0101010101010102E-2</v>
      </c>
      <c r="I35" s="1024">
        <f>VLOOKUP(A35,'[22]2122 Band Moderations'!$B$5:$S$22,16,(FALSE))</f>
        <v>0.12121212121212122</v>
      </c>
      <c r="J35" s="1024">
        <f>VLOOKUP(A35,'[22]2122 Band Moderations'!$B$5:$S$22,18,(FALSE))</f>
        <v>1.0101010101010102E-2</v>
      </c>
      <c r="K35" s="451">
        <v>0</v>
      </c>
      <c r="L35" s="1025">
        <f t="shared" si="5"/>
        <v>0</v>
      </c>
      <c r="M35" s="1025">
        <f t="shared" si="6"/>
        <v>0</v>
      </c>
      <c r="N35" s="1025">
        <f t="shared" si="8"/>
        <v>0</v>
      </c>
      <c r="O35" s="1026">
        <f t="shared" si="9"/>
        <v>0</v>
      </c>
      <c r="P35" s="1026">
        <f>(VLOOKUP(A35,'[22]2122 Funding Detail'!$A$4:$Y$21,23,FALSE)*4/12)*K35</f>
        <v>0</v>
      </c>
      <c r="Q35" s="235"/>
      <c r="R35" s="235">
        <f t="shared" si="7"/>
        <v>0</v>
      </c>
      <c r="S35" s="269"/>
      <c r="T35" s="235"/>
      <c r="U35" s="235"/>
      <c r="V35" s="235"/>
    </row>
    <row r="36" spans="1:22" s="36" customFormat="1" x14ac:dyDescent="0.25">
      <c r="A36" s="244">
        <v>9257034</v>
      </c>
      <c r="B36" s="237" t="s">
        <v>221</v>
      </c>
      <c r="C36" s="365" t="s">
        <v>1178</v>
      </c>
      <c r="D36" s="1024">
        <f>VLOOKUP(A36,'[22]2122 Band Moderations'!$B$5:$S$22,6,(FALSE))</f>
        <v>0.42424242424242425</v>
      </c>
      <c r="E36" s="1024">
        <f>VLOOKUP(A36,'[22]2122 Band Moderations'!$B$5:$S$22,8,(FALSE))</f>
        <v>0.29292929292929293</v>
      </c>
      <c r="F36" s="1024">
        <f>VLOOKUP(A36,'[22]2122 Band Moderations'!$B$5:$S$22,10,(FALSE))</f>
        <v>0.14141414141414141</v>
      </c>
      <c r="G36" s="1024">
        <f>VLOOKUP(A36,'[22]2122 Band Moderations'!$B$5:$S$22,12,(FALSE))</f>
        <v>3.0303030303030304E-2</v>
      </c>
      <c r="H36" s="1024">
        <f>VLOOKUP(A36,'[22]2122 Band Moderations'!$B$5:$S$22,14,(FALSE))</f>
        <v>4.0404040404040407E-2</v>
      </c>
      <c r="I36" s="1024">
        <f>VLOOKUP(A36,'[22]2122 Band Moderations'!$B$5:$S$22,16,(FALSE))</f>
        <v>6.0606060606060608E-2</v>
      </c>
      <c r="J36" s="1024">
        <f>VLOOKUP(A36,'[22]2122 Band Moderations'!$B$5:$S$22,18,(FALSE))</f>
        <v>1.0101010101010102E-2</v>
      </c>
      <c r="K36" s="451">
        <v>34</v>
      </c>
      <c r="L36" s="1025">
        <f t="shared" si="5"/>
        <v>100086.3625385222</v>
      </c>
      <c r="M36" s="1025">
        <f t="shared" si="6"/>
        <v>4223.0976430976425</v>
      </c>
      <c r="N36" s="1025">
        <f t="shared" si="8"/>
        <v>104309.46018161984</v>
      </c>
      <c r="O36" s="1026">
        <f t="shared" si="9"/>
        <v>113333.33333333333</v>
      </c>
      <c r="P36" s="1026">
        <f>(VLOOKUP(A36,'[22]2122 Funding Detail'!$A$4:$Y$21,23,FALSE)*4/12)*K36</f>
        <v>44863.709996847887</v>
      </c>
      <c r="Q36" s="235"/>
      <c r="R36" s="235">
        <f t="shared" si="7"/>
        <v>2618.8229301751139</v>
      </c>
      <c r="S36" s="269"/>
      <c r="T36" s="235"/>
      <c r="U36" s="235"/>
      <c r="V36" s="235"/>
    </row>
    <row r="37" spans="1:22" s="36" customFormat="1" x14ac:dyDescent="0.25">
      <c r="A37" s="244">
        <v>9257002</v>
      </c>
      <c r="B37" s="237" t="s">
        <v>213</v>
      </c>
      <c r="C37" s="365">
        <v>5</v>
      </c>
      <c r="D37" s="1024">
        <f>VLOOKUP(A37,'[22]2122 Band Moderations'!$B$5:$S$22,6,(FALSE))</f>
        <v>0.3546099290780142</v>
      </c>
      <c r="E37" s="1024">
        <f>VLOOKUP(A37,'[22]2122 Band Moderations'!$B$5:$S$22,8,(FALSE))</f>
        <v>0.38297872340425532</v>
      </c>
      <c r="F37" s="1024">
        <f>VLOOKUP(A37,'[22]2122 Band Moderations'!$B$5:$S$22,10,(FALSE))</f>
        <v>0.1276595744680851</v>
      </c>
      <c r="G37" s="1024">
        <f>VLOOKUP(A37,'[22]2122 Band Moderations'!$B$5:$S$22,12,(FALSE))</f>
        <v>2.8368794326241134E-2</v>
      </c>
      <c r="H37" s="1024">
        <f>VLOOKUP(A37,'[22]2122 Band Moderations'!$B$5:$S$22,14,(FALSE))</f>
        <v>2.1276595744680851E-2</v>
      </c>
      <c r="I37" s="1024">
        <f>VLOOKUP(A37,'[22]2122 Band Moderations'!$B$5:$S$22,16,(FALSE))</f>
        <v>7.8014184397163122E-2</v>
      </c>
      <c r="J37" s="1024">
        <f>VLOOKUP(A37,'[22]2122 Band Moderations'!$B$5:$S$22,18,(FALSE))</f>
        <v>7.0921985815602835E-3</v>
      </c>
      <c r="K37" s="451">
        <v>0</v>
      </c>
      <c r="L37" s="1025">
        <f t="shared" si="5"/>
        <v>0</v>
      </c>
      <c r="M37" s="1025">
        <f t="shared" si="6"/>
        <v>0</v>
      </c>
      <c r="N37" s="1025">
        <f t="shared" si="8"/>
        <v>0</v>
      </c>
      <c r="O37" s="1026">
        <f t="shared" si="9"/>
        <v>0</v>
      </c>
      <c r="P37" s="1026">
        <f>(VLOOKUP(A37,'[22]2122 Funding Detail'!$A$4:$Y$21,23,FALSE)*4/12)*K37</f>
        <v>0</v>
      </c>
      <c r="Q37" s="235"/>
      <c r="R37" s="235">
        <f t="shared" si="7"/>
        <v>0</v>
      </c>
      <c r="S37" s="269"/>
      <c r="T37" s="235"/>
      <c r="U37" s="235"/>
      <c r="V37" s="235"/>
    </row>
    <row r="38" spans="1:22" s="36" customFormat="1" x14ac:dyDescent="0.25">
      <c r="A38" s="244">
        <v>9257009</v>
      </c>
      <c r="B38" s="237" t="s">
        <v>214</v>
      </c>
      <c r="C38" s="365" t="s">
        <v>1178</v>
      </c>
      <c r="D38" s="1024">
        <f>VLOOKUP(A38,'[22]2122 Band Moderations'!$B$5:$S$22,6,(FALSE))</f>
        <v>0.23200000000000001</v>
      </c>
      <c r="E38" s="1024">
        <f>VLOOKUP(A38,'[22]2122 Band Moderations'!$B$5:$S$22,8,(FALSE))</f>
        <v>0.57599999999999996</v>
      </c>
      <c r="F38" s="1024">
        <f>VLOOKUP(A38,'[22]2122 Band Moderations'!$B$5:$S$22,10,(FALSE))</f>
        <v>0.08</v>
      </c>
      <c r="G38" s="1024">
        <f>VLOOKUP(A38,'[22]2122 Band Moderations'!$B$5:$S$22,12,(FALSE))</f>
        <v>2.4E-2</v>
      </c>
      <c r="H38" s="1024">
        <f>VLOOKUP(A38,'[22]2122 Band Moderations'!$B$5:$S$22,14,(FALSE))</f>
        <v>8.0000000000000002E-3</v>
      </c>
      <c r="I38" s="1024">
        <f>VLOOKUP(A38,'[22]2122 Band Moderations'!$B$5:$S$22,16,(FALSE))</f>
        <v>0.08</v>
      </c>
      <c r="J38" s="1024">
        <f>VLOOKUP(A38,'[22]2122 Band Moderations'!$B$5:$S$22,18,(FALSE))</f>
        <v>0</v>
      </c>
      <c r="K38" s="451">
        <v>0</v>
      </c>
      <c r="L38" s="1025">
        <f t="shared" si="5"/>
        <v>0</v>
      </c>
      <c r="M38" s="1025">
        <f t="shared" si="6"/>
        <v>0</v>
      </c>
      <c r="N38" s="1025">
        <f t="shared" si="8"/>
        <v>0</v>
      </c>
      <c r="O38" s="1026">
        <f t="shared" si="9"/>
        <v>0</v>
      </c>
      <c r="P38" s="1026">
        <f>(VLOOKUP(A38,'[22]2122 Funding Detail'!$A$4:$Y$21,23,FALSE)*4/12)*K38</f>
        <v>0</v>
      </c>
      <c r="Q38" s="235"/>
      <c r="R38" s="235">
        <f t="shared" si="7"/>
        <v>0</v>
      </c>
      <c r="S38" s="269"/>
      <c r="T38" s="235"/>
      <c r="U38" s="235"/>
      <c r="V38" s="235"/>
    </row>
    <row r="39" spans="1:22" s="36" customFormat="1" x14ac:dyDescent="0.25">
      <c r="A39" s="244">
        <v>9257029</v>
      </c>
      <c r="B39" s="237" t="s">
        <v>890</v>
      </c>
      <c r="C39" s="365" t="s">
        <v>1179</v>
      </c>
      <c r="D39" s="1024">
        <f>VLOOKUP(A39,'[22]2122 Band Moderations'!$B$5:$S$22,6,(FALSE))</f>
        <v>0</v>
      </c>
      <c r="E39" s="1024">
        <f>VLOOKUP(A39,'[22]2122 Band Moderations'!$B$5:$S$22,8,(FALSE))</f>
        <v>0</v>
      </c>
      <c r="F39" s="1024">
        <f>VLOOKUP(A39,'[22]2122 Band Moderations'!$B$5:$S$22,10,(FALSE))</f>
        <v>1</v>
      </c>
      <c r="G39" s="1024">
        <f>VLOOKUP(A39,'[22]2122 Band Moderations'!$B$5:$S$22,12,(FALSE))</f>
        <v>0</v>
      </c>
      <c r="H39" s="1024">
        <f>VLOOKUP(A39,'[22]2122 Band Moderations'!$B$5:$S$22,14,(FALSE))</f>
        <v>0</v>
      </c>
      <c r="I39" s="1024">
        <f>VLOOKUP(A39,'[22]2122 Band Moderations'!$B$5:$S$22,16,(FALSE))</f>
        <v>0</v>
      </c>
      <c r="J39" s="1024">
        <f>VLOOKUP(A39,'[22]2122 Band Moderations'!$B$5:$S$22,18,(FALSE))</f>
        <v>0</v>
      </c>
      <c r="K39" s="451">
        <v>0</v>
      </c>
      <c r="L39" s="1025">
        <f t="shared" si="5"/>
        <v>0</v>
      </c>
      <c r="M39" s="1025">
        <f t="shared" si="6"/>
        <v>0</v>
      </c>
      <c r="N39" s="1025">
        <f t="shared" si="8"/>
        <v>0</v>
      </c>
      <c r="O39" s="1026">
        <f t="shared" si="9"/>
        <v>0</v>
      </c>
      <c r="P39" s="1026">
        <f>(VLOOKUP(A39,'[22]2122 Funding Detail'!$A$4:$Y$21,23,FALSE)*4/12)*K39</f>
        <v>0</v>
      </c>
      <c r="Q39" s="235"/>
      <c r="R39" s="235">
        <f t="shared" si="7"/>
        <v>0</v>
      </c>
      <c r="S39" s="269"/>
      <c r="T39" s="235"/>
      <c r="U39" s="235"/>
      <c r="V39" s="235"/>
    </row>
    <row r="40" spans="1:22" s="36" customFormat="1" x14ac:dyDescent="0.25">
      <c r="A40" s="244">
        <v>9257032</v>
      </c>
      <c r="B40" s="237" t="s">
        <v>1043</v>
      </c>
      <c r="C40" s="365" t="s">
        <v>1179</v>
      </c>
      <c r="D40" s="1024">
        <f>VLOOKUP(A40,'[22]2122 Band Moderations'!$B$5:$S$22,6,(FALSE))</f>
        <v>0</v>
      </c>
      <c r="E40" s="1024">
        <f>VLOOKUP(A40,'[22]2122 Band Moderations'!$B$5:$S$22,8,(FALSE))</f>
        <v>0</v>
      </c>
      <c r="F40" s="1024">
        <f>VLOOKUP(A40,'[22]2122 Band Moderations'!$B$5:$S$22,10,(FALSE))</f>
        <v>1</v>
      </c>
      <c r="G40" s="1024">
        <f>VLOOKUP(A40,'[22]2122 Band Moderations'!$B$5:$S$22,12,(FALSE))</f>
        <v>0</v>
      </c>
      <c r="H40" s="1024">
        <f>VLOOKUP(A40,'[22]2122 Band Moderations'!$B$5:$S$22,14,(FALSE))</f>
        <v>0</v>
      </c>
      <c r="I40" s="1024">
        <f>VLOOKUP(A40,'[22]2122 Band Moderations'!$B$5:$S$22,16,(FALSE))</f>
        <v>0</v>
      </c>
      <c r="J40" s="1024">
        <f>VLOOKUP(A40,'[22]2122 Band Moderations'!$B$5:$S$22,18,(FALSE))</f>
        <v>0</v>
      </c>
      <c r="K40" s="451">
        <v>0</v>
      </c>
      <c r="L40" s="1025">
        <f t="shared" si="5"/>
        <v>0</v>
      </c>
      <c r="M40" s="1025">
        <f t="shared" si="6"/>
        <v>0</v>
      </c>
      <c r="N40" s="1025">
        <f t="shared" si="8"/>
        <v>0</v>
      </c>
      <c r="O40" s="1026">
        <f t="shared" si="9"/>
        <v>0</v>
      </c>
      <c r="P40" s="1026">
        <f>(VLOOKUP(A40,'[22]2122 Funding Detail'!$A$4:$Y$21,23,FALSE)*4/12)*K40</f>
        <v>0</v>
      </c>
      <c r="Q40" s="235"/>
      <c r="R40" s="235">
        <f t="shared" si="7"/>
        <v>0</v>
      </c>
      <c r="S40" s="269"/>
      <c r="T40" s="235"/>
      <c r="U40" s="235"/>
      <c r="V40" s="235"/>
    </row>
    <row r="41" spans="1:22" s="36" customFormat="1" x14ac:dyDescent="0.25">
      <c r="A41" s="244">
        <v>9257030</v>
      </c>
      <c r="B41" s="237" t="s">
        <v>1046</v>
      </c>
      <c r="C41" s="365" t="s">
        <v>1179</v>
      </c>
      <c r="D41" s="1024">
        <f>VLOOKUP(A41,'[22]2122 Band Moderations'!$B$5:$S$22,6,(FALSE))</f>
        <v>0</v>
      </c>
      <c r="E41" s="1024">
        <f>VLOOKUP(A41,'[22]2122 Band Moderations'!$B$5:$S$22,8,(FALSE))</f>
        <v>0</v>
      </c>
      <c r="F41" s="1024">
        <f>VLOOKUP(A41,'[22]2122 Band Moderations'!$B$5:$S$22,10,(FALSE))</f>
        <v>1</v>
      </c>
      <c r="G41" s="1024">
        <f>VLOOKUP(A41,'[22]2122 Band Moderations'!$B$5:$S$22,12,(FALSE))</f>
        <v>0</v>
      </c>
      <c r="H41" s="1024">
        <f>VLOOKUP(A41,'[22]2122 Band Moderations'!$B$5:$S$22,14,(FALSE))</f>
        <v>0</v>
      </c>
      <c r="I41" s="1024">
        <f>VLOOKUP(A41,'[22]2122 Band Moderations'!$B$5:$S$22,16,(FALSE))</f>
        <v>0</v>
      </c>
      <c r="J41" s="1024">
        <f>VLOOKUP(A41,'[22]2122 Band Moderations'!$B$5:$S$22,18,(FALSE))</f>
        <v>0</v>
      </c>
      <c r="K41" s="451">
        <v>0</v>
      </c>
      <c r="L41" s="1025">
        <f t="shared" si="5"/>
        <v>0</v>
      </c>
      <c r="M41" s="1025">
        <f t="shared" si="6"/>
        <v>0</v>
      </c>
      <c r="N41" s="1025">
        <f t="shared" si="8"/>
        <v>0</v>
      </c>
      <c r="O41" s="1026">
        <f t="shared" si="9"/>
        <v>0</v>
      </c>
      <c r="P41" s="1026">
        <f>(VLOOKUP(A41,'[22]2122 Funding Detail'!$A$4:$Y$21,23,FALSE)*4/12)*K41</f>
        <v>0</v>
      </c>
      <c r="Q41" s="235"/>
      <c r="R41" s="235">
        <f t="shared" si="7"/>
        <v>0</v>
      </c>
      <c r="S41" s="269"/>
      <c r="T41" s="235"/>
      <c r="U41" s="235"/>
      <c r="V41" s="235"/>
    </row>
    <row r="42" spans="1:22" s="36" customFormat="1" x14ac:dyDescent="0.25">
      <c r="A42" s="244">
        <v>9257028</v>
      </c>
      <c r="B42" s="237" t="s">
        <v>215</v>
      </c>
      <c r="C42" s="365">
        <v>5</v>
      </c>
      <c r="D42" s="1024">
        <f>VLOOKUP(A42,'[22]2122 Band Moderations'!$B$5:$S$22,6,(FALSE))</f>
        <v>8.9108910891089105E-2</v>
      </c>
      <c r="E42" s="1024">
        <f>VLOOKUP(A42,'[22]2122 Band Moderations'!$B$5:$S$22,8,(FALSE))</f>
        <v>0.40594059405940597</v>
      </c>
      <c r="F42" s="1024">
        <f>VLOOKUP(A42,'[22]2122 Band Moderations'!$B$5:$S$22,10,(FALSE))</f>
        <v>7.9207920792079209E-2</v>
      </c>
      <c r="G42" s="1024">
        <f>VLOOKUP(A42,'[22]2122 Band Moderations'!$B$5:$S$22,12,(FALSE))</f>
        <v>8.9108910891089105E-2</v>
      </c>
      <c r="H42" s="1024">
        <f>VLOOKUP(A42,'[22]2122 Band Moderations'!$B$5:$S$22,14,(FALSE))</f>
        <v>0.12871287128712872</v>
      </c>
      <c r="I42" s="1024">
        <f>VLOOKUP(A42,'[22]2122 Band Moderations'!$B$5:$S$22,16,(FALSE))</f>
        <v>9.9009900990099015E-2</v>
      </c>
      <c r="J42" s="1024">
        <f>VLOOKUP(A42,'[22]2122 Band Moderations'!$B$5:$S$22,18,(FALSE))</f>
        <v>0.10891089108910891</v>
      </c>
      <c r="K42" s="451">
        <v>8</v>
      </c>
      <c r="L42" s="1025">
        <f t="shared" si="5"/>
        <v>31745.647630257423</v>
      </c>
      <c r="M42" s="1025">
        <f t="shared" si="6"/>
        <v>556.56765676567647</v>
      </c>
      <c r="N42" s="1025">
        <f t="shared" si="8"/>
        <v>32302.2152870231</v>
      </c>
      <c r="O42" s="1026">
        <f t="shared" si="9"/>
        <v>26666.666666666664</v>
      </c>
      <c r="P42" s="1026">
        <f>(VLOOKUP(A42,'[22]2122 Funding Detail'!$A$4:$Y$21,23,FALSE)*4/12)*K42</f>
        <v>18815.060061664011</v>
      </c>
      <c r="Q42" s="235"/>
      <c r="R42" s="235">
        <f t="shared" si="7"/>
        <v>6643.9095421332531</v>
      </c>
      <c r="S42" s="269"/>
      <c r="T42" s="235"/>
      <c r="U42" s="235"/>
      <c r="V42" s="235"/>
    </row>
    <row r="43" spans="1:22" s="36" customFormat="1" x14ac:dyDescent="0.25">
      <c r="A43" s="244">
        <v>9257021</v>
      </c>
      <c r="B43" s="237" t="s">
        <v>216</v>
      </c>
      <c r="C43" s="365" t="s">
        <v>1180</v>
      </c>
      <c r="D43" s="1024">
        <f>VLOOKUP(A43,'[22]2122 Band Moderations'!$B$5:$S$22,6,(FALSE))</f>
        <v>0.26829268292682928</v>
      </c>
      <c r="E43" s="1024">
        <f>VLOOKUP(A43,'[22]2122 Band Moderations'!$B$5:$S$22,8,(FALSE))</f>
        <v>0.42682926829268292</v>
      </c>
      <c r="F43" s="1024">
        <f>VLOOKUP(A43,'[22]2122 Band Moderations'!$B$5:$S$22,10,(FALSE))</f>
        <v>7.926829268292683E-2</v>
      </c>
      <c r="G43" s="1024">
        <f>VLOOKUP(A43,'[22]2122 Band Moderations'!$B$5:$S$22,12,(FALSE))</f>
        <v>6.7073170731707321E-2</v>
      </c>
      <c r="H43" s="1024">
        <f>VLOOKUP(A43,'[22]2122 Band Moderations'!$B$5:$S$22,14,(FALSE))</f>
        <v>5.4878048780487805E-2</v>
      </c>
      <c r="I43" s="1024">
        <f>VLOOKUP(A43,'[22]2122 Band Moderations'!$B$5:$S$22,16,(FALSE))</f>
        <v>9.1463414634146339E-2</v>
      </c>
      <c r="J43" s="1024">
        <f>VLOOKUP(A43,'[22]2122 Band Moderations'!$B$5:$S$22,18,(FALSE))</f>
        <v>1.2195121951219513E-2</v>
      </c>
      <c r="K43" s="451">
        <v>0</v>
      </c>
      <c r="L43" s="1025">
        <f t="shared" si="5"/>
        <v>0</v>
      </c>
      <c r="M43" s="1025">
        <f t="shared" si="6"/>
        <v>0</v>
      </c>
      <c r="N43" s="1025">
        <f t="shared" si="8"/>
        <v>0</v>
      </c>
      <c r="O43" s="1026">
        <f t="shared" si="9"/>
        <v>0</v>
      </c>
      <c r="P43" s="1026">
        <f>(VLOOKUP(A43,'[22]2122 Funding Detail'!$A$4:$Y$21,23,FALSE)*4/12)*K43</f>
        <v>0</v>
      </c>
      <c r="Q43" s="235"/>
      <c r="R43" s="235">
        <f t="shared" si="7"/>
        <v>0</v>
      </c>
      <c r="S43" s="269"/>
      <c r="T43" s="235"/>
      <c r="U43" s="235"/>
      <c r="V43" s="235"/>
    </row>
    <row r="44" spans="1:22" s="36" customFormat="1" x14ac:dyDescent="0.25">
      <c r="A44" s="244">
        <v>9257015</v>
      </c>
      <c r="B44" s="237" t="s">
        <v>217</v>
      </c>
      <c r="C44" s="365" t="s">
        <v>1181</v>
      </c>
      <c r="D44" s="1024">
        <f>VLOOKUP(A44,'[22]2122 Band Moderations'!$B$5:$S$22,6,(FALSE))</f>
        <v>0.33185840707964603</v>
      </c>
      <c r="E44" s="1024">
        <f>VLOOKUP(A44,'[22]2122 Band Moderations'!$B$5:$S$22,8,(FALSE))</f>
        <v>0.38495575221238937</v>
      </c>
      <c r="F44" s="1024">
        <f>VLOOKUP(A44,'[22]2122 Band Moderations'!$B$5:$S$22,10,(FALSE))</f>
        <v>1.7699115044247787E-2</v>
      </c>
      <c r="G44" s="1024">
        <f>VLOOKUP(A44,'[22]2122 Band Moderations'!$B$5:$S$22,12,(FALSE))</f>
        <v>8.8495575221238937E-2</v>
      </c>
      <c r="H44" s="1024">
        <f>VLOOKUP(A44,'[22]2122 Band Moderations'!$B$5:$S$22,14,(FALSE))</f>
        <v>2.2123893805309734E-2</v>
      </c>
      <c r="I44" s="1024">
        <f>VLOOKUP(A44,'[22]2122 Band Moderations'!$B$5:$S$22,16,(FALSE))</f>
        <v>0.1415929203539823</v>
      </c>
      <c r="J44" s="1024">
        <f>VLOOKUP(A44,'[22]2122 Band Moderations'!$B$5:$S$22,18,(FALSE))</f>
        <v>1.3274336283185841E-2</v>
      </c>
      <c r="K44" s="451">
        <v>8</v>
      </c>
      <c r="L44" s="1025">
        <f t="shared" si="5"/>
        <v>25123.100792279969</v>
      </c>
      <c r="M44" s="1025">
        <f t="shared" si="6"/>
        <v>124.36578171091446</v>
      </c>
      <c r="N44" s="1025">
        <f t="shared" si="8"/>
        <v>25247.466573990885</v>
      </c>
      <c r="O44" s="1026">
        <f t="shared" si="9"/>
        <v>26666.666666666664</v>
      </c>
      <c r="P44" s="1026">
        <f>(VLOOKUP(A44,'[22]2122 Funding Detail'!$A$4:$Y$21,23,FALSE)*4/12)*K44</f>
        <v>6666.0880330092768</v>
      </c>
      <c r="Q44" s="235"/>
      <c r="R44" s="235">
        <f t="shared" si="7"/>
        <v>809.77658538470462</v>
      </c>
      <c r="S44" s="269"/>
      <c r="T44" s="235"/>
      <c r="U44" s="235"/>
      <c r="V44" s="235"/>
    </row>
    <row r="45" spans="1:22" s="36" customFormat="1" x14ac:dyDescent="0.25">
      <c r="A45" s="244">
        <v>9257016</v>
      </c>
      <c r="B45" s="237" t="s">
        <v>219</v>
      </c>
      <c r="C45" s="365" t="s">
        <v>1181</v>
      </c>
      <c r="D45" s="1024">
        <f>VLOOKUP(A45,'[22]2122 Band Moderations'!$B$5:$S$22,6,(FALSE))</f>
        <v>0.18012422360248448</v>
      </c>
      <c r="E45" s="1024">
        <f>VLOOKUP(A45,'[22]2122 Band Moderations'!$B$5:$S$22,8,(FALSE))</f>
        <v>0.15527950310559005</v>
      </c>
      <c r="F45" s="1024">
        <f>VLOOKUP(A45,'[22]2122 Band Moderations'!$B$5:$S$22,10,(FALSE))</f>
        <v>6.2111801242236021E-3</v>
      </c>
      <c r="G45" s="1024">
        <f>VLOOKUP(A45,'[22]2122 Band Moderations'!$B$5:$S$22,12,(FALSE))</f>
        <v>0.2236024844720497</v>
      </c>
      <c r="H45" s="1024">
        <f>VLOOKUP(A45,'[22]2122 Band Moderations'!$B$5:$S$22,14,(FALSE))</f>
        <v>0.21118012422360249</v>
      </c>
      <c r="I45" s="1024">
        <f>VLOOKUP(A45,'[22]2122 Band Moderations'!$B$5:$S$22,16,(FALSE))</f>
        <v>1.2422360248447204E-2</v>
      </c>
      <c r="J45" s="1024">
        <f>VLOOKUP(A45,'[22]2122 Band Moderations'!$B$5:$S$22,18,(FALSE))</f>
        <v>0.21118012422360249</v>
      </c>
      <c r="K45" s="451">
        <v>47</v>
      </c>
      <c r="L45" s="1025">
        <f t="shared" si="5"/>
        <v>218102.9605741663</v>
      </c>
      <c r="M45" s="1025">
        <f t="shared" si="6"/>
        <v>256.40786749482402</v>
      </c>
      <c r="N45" s="1025">
        <f t="shared" si="8"/>
        <v>218359.36844166112</v>
      </c>
      <c r="O45" s="1026">
        <f t="shared" si="9"/>
        <v>156666.66666666666</v>
      </c>
      <c r="P45" s="1026">
        <f>(VLOOKUP(A45,'[22]2122 Funding Detail'!$A$4:$Y$21,23,FALSE)*4/12)*K45</f>
        <v>128536.10660789932</v>
      </c>
      <c r="Q45" s="299" t="s">
        <v>207</v>
      </c>
      <c r="R45" s="235">
        <f t="shared" si="7"/>
        <v>75685.609280154065</v>
      </c>
      <c r="S45" s="269"/>
      <c r="T45" s="235"/>
      <c r="U45" s="235"/>
      <c r="V45" s="235"/>
    </row>
    <row r="46" spans="1:22" s="36" customFormat="1" x14ac:dyDescent="0.25">
      <c r="A46" s="249"/>
      <c r="C46" s="234"/>
      <c r="D46" s="268"/>
      <c r="E46" s="268"/>
      <c r="F46" s="299" t="s">
        <v>207</v>
      </c>
      <c r="G46" s="268"/>
      <c r="H46" s="268"/>
      <c r="I46" s="268"/>
      <c r="J46" s="299" t="s">
        <v>207</v>
      </c>
      <c r="L46" s="269"/>
      <c r="M46" s="269"/>
      <c r="N46" s="299" t="s">
        <v>207</v>
      </c>
      <c r="O46" s="235"/>
      <c r="P46" s="235"/>
      <c r="Q46" s="235"/>
      <c r="R46" s="269"/>
      <c r="S46" s="269"/>
    </row>
    <row r="47" spans="1:22" s="36" customFormat="1" ht="13" x14ac:dyDescent="0.3">
      <c r="A47" s="93" t="s">
        <v>1183</v>
      </c>
      <c r="K47" s="234"/>
      <c r="L47" s="234"/>
      <c r="S47" s="288"/>
    </row>
    <row r="48" spans="1:22" s="36" customFormat="1" x14ac:dyDescent="0.25">
      <c r="K48" s="94" t="s">
        <v>1184</v>
      </c>
      <c r="L48" s="234"/>
      <c r="O48" s="1445" t="s">
        <v>238</v>
      </c>
      <c r="P48" s="1446"/>
    </row>
    <row r="49" spans="1:20" s="36" customFormat="1" ht="39.75" customHeight="1" x14ac:dyDescent="0.25">
      <c r="A49" s="265" t="s">
        <v>182</v>
      </c>
      <c r="B49" s="237" t="s">
        <v>183</v>
      </c>
      <c r="C49" s="238" t="s">
        <v>184</v>
      </c>
      <c r="D49" s="234" t="s">
        <v>901</v>
      </c>
      <c r="E49" s="234" t="s">
        <v>902</v>
      </c>
      <c r="F49" s="234" t="s">
        <v>903</v>
      </c>
      <c r="G49" s="234" t="s">
        <v>904</v>
      </c>
      <c r="H49" s="234" t="s">
        <v>905</v>
      </c>
      <c r="I49" s="234" t="s">
        <v>906</v>
      </c>
      <c r="J49" s="234" t="s">
        <v>907</v>
      </c>
      <c r="K49" s="243" t="s">
        <v>246</v>
      </c>
      <c r="L49" s="243" t="s">
        <v>272</v>
      </c>
      <c r="M49" s="243" t="s">
        <v>273</v>
      </c>
      <c r="N49" s="243" t="s">
        <v>274</v>
      </c>
      <c r="O49" s="277" t="s">
        <v>275</v>
      </c>
      <c r="P49" s="320" t="s">
        <v>276</v>
      </c>
      <c r="S49" s="288"/>
    </row>
    <row r="50" spans="1:20" s="36" customFormat="1" x14ac:dyDescent="0.25">
      <c r="A50" s="244">
        <v>9257010</v>
      </c>
      <c r="B50" s="237" t="s">
        <v>205</v>
      </c>
      <c r="C50" s="365">
        <v>5</v>
      </c>
      <c r="D50" s="1024">
        <f>VLOOKUP(A50,'[22]2122 Band Moderations'!$B$5:$S$22,6,(FALSE))</f>
        <v>1.5873015873015872E-2</v>
      </c>
      <c r="E50" s="1024">
        <f>VLOOKUP(A50,'[22]2122 Band Moderations'!$B$5:$S$22,8,(FALSE))</f>
        <v>0.31746031746031744</v>
      </c>
      <c r="F50" s="1024">
        <f>VLOOKUP(A50,'[22]2122 Band Moderations'!$B$5:$S$22,10,(FALSE))</f>
        <v>9.5238095238095233E-2</v>
      </c>
      <c r="G50" s="1024">
        <f>VLOOKUP(A50,'[22]2122 Band Moderations'!$B$5:$S$22,12,(FALSE))</f>
        <v>0.17460317460317459</v>
      </c>
      <c r="H50" s="1024">
        <f>VLOOKUP(A50,'[22]2122 Band Moderations'!$B$5:$S$22,14,(FALSE))</f>
        <v>6.3492063492063489E-2</v>
      </c>
      <c r="I50" s="1024">
        <f>VLOOKUP(A50,'[22]2122 Band Moderations'!$B$5:$S$22,16,(FALSE))</f>
        <v>0.19047619047619047</v>
      </c>
      <c r="J50" s="1024">
        <f>VLOOKUP(A50,'[22]2122 Band Moderations'!$B$5:$S$22,18,(FALSE))</f>
        <v>0.14285714285714285</v>
      </c>
      <c r="K50" s="451">
        <v>90</v>
      </c>
      <c r="L50" s="1025">
        <f t="shared" ref="L50:L67" si="10">((((K50*D50)*$G$92)+((K50*E50)*$G$94)+((K50*F50)*$G$96)+((K50*G50)*$G$98)+((K50*H50)*$G$100)+((K50*I50)*$G$102)+((K50*J50)*$G$104))*(7/12))</f>
        <v>710182.92913566111</v>
      </c>
      <c r="M50" s="1025">
        <f>((F50*K50)*$G$106)*(7/12)</f>
        <v>13175.000000000002</v>
      </c>
      <c r="N50" s="1025">
        <f t="shared" ref="N50:N67" si="11">SUM(L50:M50)</f>
        <v>723357.92913566111</v>
      </c>
      <c r="O50" s="1026">
        <f>(K50*(7/12))*10000</f>
        <v>525000</v>
      </c>
      <c r="P50" s="1026">
        <f>(VLOOKUP(A50,'[22]2122 Funding Detail'!$A$4:$Y$21,23,FALSE)*7/12)*K50</f>
        <v>539568.89280779613</v>
      </c>
      <c r="Q50" s="235"/>
      <c r="R50" s="235">
        <f t="shared" ref="R50:R67" si="12">(J50*K50*$G$104)*7/12</f>
        <v>171571.41402838429</v>
      </c>
      <c r="S50" s="233" t="s">
        <v>207</v>
      </c>
      <c r="T50" s="296" t="s">
        <v>277</v>
      </c>
    </row>
    <row r="51" spans="1:20" s="36" customFormat="1" x14ac:dyDescent="0.25">
      <c r="A51" s="244">
        <v>9257005</v>
      </c>
      <c r="B51" s="237" t="s">
        <v>208</v>
      </c>
      <c r="C51" s="365">
        <v>4</v>
      </c>
      <c r="D51" s="1024">
        <f>VLOOKUP(A51,'[22]2122 Band Moderations'!$B$5:$S$22,6,(FALSE))</f>
        <v>0.05</v>
      </c>
      <c r="E51" s="1024">
        <f>VLOOKUP(A51,'[22]2122 Band Moderations'!$B$5:$S$22,8,(FALSE))</f>
        <v>0.4</v>
      </c>
      <c r="F51" s="1024">
        <f>VLOOKUP(A51,'[22]2122 Band Moderations'!$B$5:$S$22,10,(FALSE))</f>
        <v>6.25E-2</v>
      </c>
      <c r="G51" s="1024">
        <f>VLOOKUP(A51,'[22]2122 Band Moderations'!$B$5:$S$22,12,(FALSE))</f>
        <v>0.15</v>
      </c>
      <c r="H51" s="1024">
        <f>VLOOKUP(A51,'[22]2122 Band Moderations'!$B$5:$S$22,14,(FALSE))</f>
        <v>0.125</v>
      </c>
      <c r="I51" s="1024">
        <f>VLOOKUP(A51,'[22]2122 Band Moderations'!$B$5:$S$22,16,(FALSE))</f>
        <v>0.15</v>
      </c>
      <c r="J51" s="1024">
        <f>VLOOKUP(A51,'[22]2122 Band Moderations'!$B$5:$S$22,18,(FALSE))</f>
        <v>6.25E-2</v>
      </c>
      <c r="K51" s="451">
        <v>58</v>
      </c>
      <c r="L51" s="1025">
        <f t="shared" si="10"/>
        <v>406979.0568758304</v>
      </c>
      <c r="M51" s="1025">
        <f t="shared" ref="M51:M67" si="13">((F51*K51)*$G$106)*(7/12)</f>
        <v>5571.9270833333339</v>
      </c>
      <c r="N51" s="1025">
        <f t="shared" si="11"/>
        <v>412550.98395916371</v>
      </c>
      <c r="O51" s="1026">
        <f t="shared" ref="O51:O67" si="14">(K51*(7/12))*10000</f>
        <v>338333.33333333337</v>
      </c>
      <c r="P51" s="1026">
        <f>(VLOOKUP(A51,'[22]2122 Funding Detail'!$A$4:$Y$21,23,FALSE)*7/12)*K51</f>
        <v>269873.80927070766</v>
      </c>
      <c r="Q51" s="235"/>
      <c r="R51" s="235">
        <f t="shared" si="12"/>
        <v>48373.607010780572</v>
      </c>
      <c r="S51" s="269"/>
    </row>
    <row r="52" spans="1:20" s="36" customFormat="1" x14ac:dyDescent="0.25">
      <c r="A52" s="244">
        <v>9257025</v>
      </c>
      <c r="B52" s="237" t="s">
        <v>209</v>
      </c>
      <c r="C52" s="365">
        <v>4</v>
      </c>
      <c r="D52" s="1024">
        <f>VLOOKUP(A52,'[22]2122 Band Moderations'!$B$5:$S$22,6,(FALSE))</f>
        <v>0.15584415584415584</v>
      </c>
      <c r="E52" s="1024">
        <f>VLOOKUP(A52,'[22]2122 Band Moderations'!$B$5:$S$22,8,(FALSE))</f>
        <v>0.40259740259740262</v>
      </c>
      <c r="F52" s="1024">
        <f>VLOOKUP(A52,'[22]2122 Band Moderations'!$B$5:$S$22,10,(FALSE))</f>
        <v>3.896103896103896E-2</v>
      </c>
      <c r="G52" s="1024">
        <f>VLOOKUP(A52,'[22]2122 Band Moderations'!$B$5:$S$22,12,(FALSE))</f>
        <v>0.15584415584415584</v>
      </c>
      <c r="H52" s="1024">
        <f>VLOOKUP(A52,'[22]2122 Band Moderations'!$B$5:$S$22,14,(FALSE))</f>
        <v>5.1948051948051951E-2</v>
      </c>
      <c r="I52" s="1024">
        <f>VLOOKUP(A52,'[22]2122 Band Moderations'!$B$5:$S$22,16,(FALSE))</f>
        <v>0.14285714285714285</v>
      </c>
      <c r="J52" s="1024">
        <f>VLOOKUP(A52,'[22]2122 Band Moderations'!$B$5:$S$22,18,(FALSE))</f>
        <v>5.1948051948051951E-2</v>
      </c>
      <c r="K52" s="451">
        <v>54</v>
      </c>
      <c r="L52" s="1025">
        <f t="shared" si="10"/>
        <v>348565.98991245835</v>
      </c>
      <c r="M52" s="1025">
        <f t="shared" si="13"/>
        <v>3233.8636363636369</v>
      </c>
      <c r="N52" s="1025">
        <f t="shared" si="11"/>
        <v>351799.85354882199</v>
      </c>
      <c r="O52" s="1026">
        <f t="shared" si="14"/>
        <v>315000.00000000006</v>
      </c>
      <c r="P52" s="1026">
        <f>(VLOOKUP(A52,'[22]2122 Funding Detail'!$A$4:$Y$21,23,FALSE)*7/12)*K52</f>
        <v>239842.89155624944</v>
      </c>
      <c r="Q52" s="235"/>
      <c r="R52" s="235">
        <f t="shared" si="12"/>
        <v>37433.763060738391</v>
      </c>
      <c r="S52" s="269"/>
    </row>
    <row r="53" spans="1:20" s="36" customFormat="1" x14ac:dyDescent="0.25">
      <c r="A53" s="244">
        <v>9257011</v>
      </c>
      <c r="B53" s="237" t="s">
        <v>210</v>
      </c>
      <c r="C53" s="365" t="s">
        <v>1251</v>
      </c>
      <c r="D53" s="1024">
        <f>VLOOKUP(A53,'[22]2122 Band Moderations'!$B$5:$S$22,6,(FALSE))</f>
        <v>5.6603773584905662E-2</v>
      </c>
      <c r="E53" s="1024">
        <f>VLOOKUP(A53,'[22]2122 Band Moderations'!$B$5:$S$22,8,(FALSE))</f>
        <v>0.35849056603773582</v>
      </c>
      <c r="F53" s="1024">
        <f>VLOOKUP(A53,'[22]2122 Band Moderations'!$B$5:$S$22,10,(FALSE))</f>
        <v>1.8867924528301886E-2</v>
      </c>
      <c r="G53" s="1024">
        <f>VLOOKUP(A53,'[22]2122 Band Moderations'!$B$5:$S$22,12,(FALSE))</f>
        <v>0.16981132075471697</v>
      </c>
      <c r="H53" s="1024">
        <f>VLOOKUP(A53,'[22]2122 Band Moderations'!$B$5:$S$22,14,(FALSE))</f>
        <v>0.13207547169811321</v>
      </c>
      <c r="I53" s="1024">
        <f>VLOOKUP(A53,'[22]2122 Band Moderations'!$B$5:$S$22,16,(FALSE))</f>
        <v>0.15094339622641509</v>
      </c>
      <c r="J53" s="1024">
        <f>VLOOKUP(A53,'[22]2122 Band Moderations'!$B$5:$S$22,18,(FALSE))</f>
        <v>0.11320754716981132</v>
      </c>
      <c r="K53" s="451">
        <v>50</v>
      </c>
      <c r="L53" s="1025">
        <f t="shared" si="10"/>
        <v>373685.57971990277</v>
      </c>
      <c r="M53" s="1025">
        <f t="shared" si="13"/>
        <v>1450.0786163522014</v>
      </c>
      <c r="N53" s="1025">
        <f t="shared" si="11"/>
        <v>375135.658336255</v>
      </c>
      <c r="O53" s="1026">
        <f t="shared" si="14"/>
        <v>291666.66666666669</v>
      </c>
      <c r="P53" s="1026">
        <f>(VLOOKUP(A53,'[22]2122 Funding Detail'!$A$4:$Y$21,23,FALSE)*7/12)*K53</f>
        <v>308893.3307500481</v>
      </c>
      <c r="Q53" s="235"/>
      <c r="R53" s="235">
        <f t="shared" si="12"/>
        <v>75534.584792370457</v>
      </c>
      <c r="S53" s="269"/>
    </row>
    <row r="54" spans="1:20" s="36" customFormat="1" x14ac:dyDescent="0.25">
      <c r="A54" s="244">
        <v>9257024</v>
      </c>
      <c r="B54" s="237" t="s">
        <v>211</v>
      </c>
      <c r="C54" s="365">
        <v>4</v>
      </c>
      <c r="D54" s="1024">
        <f>VLOOKUP(A54,'[22]2122 Band Moderations'!$B$5:$S$22,6,(FALSE))</f>
        <v>8.4337349397590355E-2</v>
      </c>
      <c r="E54" s="1024">
        <f>VLOOKUP(A54,'[22]2122 Band Moderations'!$B$5:$S$22,8,(FALSE))</f>
        <v>0.45783132530120479</v>
      </c>
      <c r="F54" s="1024">
        <f>VLOOKUP(A54,'[22]2122 Band Moderations'!$B$5:$S$22,10,(FALSE))</f>
        <v>1.2048192771084338E-2</v>
      </c>
      <c r="G54" s="1024">
        <f>VLOOKUP(A54,'[22]2122 Band Moderations'!$B$5:$S$22,12,(FALSE))</f>
        <v>0.18072289156626506</v>
      </c>
      <c r="H54" s="1024">
        <f>VLOOKUP(A54,'[22]2122 Band Moderations'!$B$5:$S$22,14,(FALSE))</f>
        <v>8.4337349397590355E-2</v>
      </c>
      <c r="I54" s="1024">
        <f>VLOOKUP(A54,'[22]2122 Band Moderations'!$B$5:$S$22,16,(FALSE))</f>
        <v>7.2289156626506021E-2</v>
      </c>
      <c r="J54" s="1024">
        <f>VLOOKUP(A54,'[22]2122 Band Moderations'!$B$5:$S$22,18,(FALSE))</f>
        <v>0.10843373493975904</v>
      </c>
      <c r="K54" s="451">
        <v>71</v>
      </c>
      <c r="L54" s="1025">
        <f t="shared" si="10"/>
        <v>485439.0489550691</v>
      </c>
      <c r="M54" s="1025">
        <f t="shared" si="13"/>
        <v>1314.8544176706828</v>
      </c>
      <c r="N54" s="1025">
        <f t="shared" si="11"/>
        <v>486753.90337273979</v>
      </c>
      <c r="O54" s="1026">
        <f t="shared" si="14"/>
        <v>414166.66666666669</v>
      </c>
      <c r="P54" s="1026">
        <f>(VLOOKUP(A54,'[22]2122 Funding Detail'!$A$4:$Y$21,23,FALSE)*7/12)*K54</f>
        <v>320015.00904740195</v>
      </c>
      <c r="Q54" s="235"/>
      <c r="R54" s="235">
        <f t="shared" si="12"/>
        <v>102736.13587000842</v>
      </c>
      <c r="S54" s="269"/>
    </row>
    <row r="55" spans="1:20" s="36" customFormat="1" x14ac:dyDescent="0.25">
      <c r="A55" s="244">
        <v>9257031</v>
      </c>
      <c r="B55" s="237" t="s">
        <v>257</v>
      </c>
      <c r="C55" s="365">
        <v>5</v>
      </c>
      <c r="D55" s="1024">
        <f>VLOOKUP(A55,'[22]2122 Band Moderations'!$B$5:$S$22,6,(FALSE))</f>
        <v>0</v>
      </c>
      <c r="E55" s="1024">
        <f>VLOOKUP(A55,'[22]2122 Band Moderations'!$B$5:$S$22,8,(FALSE))</f>
        <v>0</v>
      </c>
      <c r="F55" s="1024">
        <f>VLOOKUP(A55,'[22]2122 Band Moderations'!$B$5:$S$22,10,(FALSE))</f>
        <v>1</v>
      </c>
      <c r="G55" s="1024">
        <f>VLOOKUP(A55,'[22]2122 Band Moderations'!$B$5:$S$22,12,(FALSE))</f>
        <v>0</v>
      </c>
      <c r="H55" s="1024">
        <f>VLOOKUP(A55,'[22]2122 Band Moderations'!$B$5:$S$22,14,(FALSE))</f>
        <v>0</v>
      </c>
      <c r="I55" s="1024">
        <f>VLOOKUP(A55,'[22]2122 Band Moderations'!$B$5:$S$22,16,(FALSE))</f>
        <v>0</v>
      </c>
      <c r="J55" s="1024">
        <f>VLOOKUP(A55,'[22]2122 Band Moderations'!$B$5:$S$22,18,(FALSE))</f>
        <v>0</v>
      </c>
      <c r="K55" s="451">
        <v>81</v>
      </c>
      <c r="L55" s="1025">
        <f t="shared" si="10"/>
        <v>569795.38325333723</v>
      </c>
      <c r="M55" s="1025">
        <f t="shared" si="13"/>
        <v>124503.75000000001</v>
      </c>
      <c r="N55" s="1025">
        <f t="shared" si="11"/>
        <v>694299.13325333723</v>
      </c>
      <c r="O55" s="1026">
        <f t="shared" si="14"/>
        <v>472500</v>
      </c>
      <c r="P55" s="1026">
        <f>(VLOOKUP(A55,'[22]2122 Funding Detail'!$A$4:$Y$21,23,FALSE)*7/12)*K55</f>
        <v>505531.14414583921</v>
      </c>
      <c r="Q55" s="235"/>
      <c r="R55" s="235">
        <f t="shared" si="12"/>
        <v>0</v>
      </c>
      <c r="S55" s="269"/>
    </row>
    <row r="56" spans="1:20" s="36" customFormat="1" x14ac:dyDescent="0.25">
      <c r="A56" s="244">
        <v>9257033</v>
      </c>
      <c r="B56" s="237" t="s">
        <v>220</v>
      </c>
      <c r="C56" s="365" t="s">
        <v>1178</v>
      </c>
      <c r="D56" s="1024">
        <f>VLOOKUP(A56,'[22]2122 Band Moderations'!$B$5:$S$22,6,(FALSE))</f>
        <v>0.16842105263157894</v>
      </c>
      <c r="E56" s="1024">
        <f>VLOOKUP(A56,'[22]2122 Band Moderations'!$B$5:$S$22,8,(FALSE))</f>
        <v>0.5368421052631579</v>
      </c>
      <c r="F56" s="1024">
        <f>VLOOKUP(A56,'[22]2122 Band Moderations'!$B$5:$S$22,10,(FALSE))</f>
        <v>6.3157894736842107E-2</v>
      </c>
      <c r="G56" s="1024">
        <f>VLOOKUP(A56,'[22]2122 Band Moderations'!$B$5:$S$22,12,(FALSE))</f>
        <v>0.14736842105263157</v>
      </c>
      <c r="H56" s="1024">
        <f>VLOOKUP(A56,'[22]2122 Band Moderations'!$B$5:$S$22,14,(FALSE))</f>
        <v>4.2105263157894736E-2</v>
      </c>
      <c r="I56" s="1024">
        <f>VLOOKUP(A56,'[22]2122 Band Moderations'!$B$5:$S$22,16,(FALSE))</f>
        <v>4.2105263157894736E-2</v>
      </c>
      <c r="J56" s="1024">
        <f>VLOOKUP(A56,'[22]2122 Band Moderations'!$B$5:$S$22,18,(FALSE))</f>
        <v>0</v>
      </c>
      <c r="K56" s="451">
        <v>98</v>
      </c>
      <c r="L56" s="1025">
        <f t="shared" si="10"/>
        <v>534926.52819957177</v>
      </c>
      <c r="M56" s="1025">
        <f t="shared" si="13"/>
        <v>9513.7368421052652</v>
      </c>
      <c r="N56" s="1025">
        <f t="shared" si="11"/>
        <v>544440.26504167705</v>
      </c>
      <c r="O56" s="1026">
        <f t="shared" si="14"/>
        <v>571666.66666666674</v>
      </c>
      <c r="P56" s="1026">
        <f>(VLOOKUP(A56,'[22]2122 Funding Detail'!$A$4:$Y$21,23,FALSE)*7/12)*K56</f>
        <v>258554.83791777072</v>
      </c>
      <c r="Q56" s="235"/>
      <c r="R56" s="235">
        <f t="shared" si="12"/>
        <v>0</v>
      </c>
      <c r="S56" s="269"/>
    </row>
    <row r="57" spans="1:20" s="36" customFormat="1" x14ac:dyDescent="0.25">
      <c r="A57" s="244">
        <v>9257008</v>
      </c>
      <c r="B57" s="237" t="s">
        <v>212</v>
      </c>
      <c r="C57" s="365">
        <v>4</v>
      </c>
      <c r="D57" s="1024">
        <f>VLOOKUP(A57,'[22]2122 Band Moderations'!$B$5:$S$22,6,(FALSE))</f>
        <v>0.10101010101010101</v>
      </c>
      <c r="E57" s="1024">
        <f>VLOOKUP(A57,'[22]2122 Band Moderations'!$B$5:$S$22,8,(FALSE))</f>
        <v>0.58585858585858586</v>
      </c>
      <c r="F57" s="1024">
        <f>VLOOKUP(A57,'[22]2122 Band Moderations'!$B$5:$S$22,10,(FALSE))</f>
        <v>8.0808080808080815E-2</v>
      </c>
      <c r="G57" s="1024">
        <f>VLOOKUP(A57,'[22]2122 Band Moderations'!$B$5:$S$22,12,(FALSE))</f>
        <v>9.0909090909090912E-2</v>
      </c>
      <c r="H57" s="1024">
        <f>VLOOKUP(A57,'[22]2122 Band Moderations'!$B$5:$S$22,14,(FALSE))</f>
        <v>1.0101010101010102E-2</v>
      </c>
      <c r="I57" s="1024">
        <f>VLOOKUP(A57,'[22]2122 Band Moderations'!$B$5:$S$22,16,(FALSE))</f>
        <v>0.12121212121212122</v>
      </c>
      <c r="J57" s="1024">
        <f>VLOOKUP(A57,'[22]2122 Band Moderations'!$B$5:$S$22,18,(FALSE))</f>
        <v>1.0101010101010102E-2</v>
      </c>
      <c r="K57" s="451">
        <v>99</v>
      </c>
      <c r="L57" s="1025">
        <f t="shared" si="10"/>
        <v>559593.08347400383</v>
      </c>
      <c r="M57" s="1025">
        <f t="shared" si="13"/>
        <v>12296.666666666668</v>
      </c>
      <c r="N57" s="1025">
        <f t="shared" si="11"/>
        <v>571889.75014067045</v>
      </c>
      <c r="O57" s="1026">
        <f t="shared" si="14"/>
        <v>577500.00000000012</v>
      </c>
      <c r="P57" s="1026">
        <f>(VLOOKUP(A57,'[22]2122 Funding Detail'!$A$4:$Y$21,23,FALSE)*7/12)*K57</f>
        <v>278129.13948978286</v>
      </c>
      <c r="Q57" s="235"/>
      <c r="R57" s="235">
        <f t="shared" si="12"/>
        <v>13344.443313318778</v>
      </c>
      <c r="S57" s="269"/>
    </row>
    <row r="58" spans="1:20" s="36" customFormat="1" x14ac:dyDescent="0.25">
      <c r="A58" s="244">
        <v>9257034</v>
      </c>
      <c r="B58" s="237" t="s">
        <v>221</v>
      </c>
      <c r="C58" s="365" t="s">
        <v>1178</v>
      </c>
      <c r="D58" s="1024">
        <f>VLOOKUP(A58,'[22]2122 Band Moderations'!$B$5:$S$22,6,(FALSE))</f>
        <v>0.42424242424242425</v>
      </c>
      <c r="E58" s="1024">
        <f>VLOOKUP(A58,'[22]2122 Band Moderations'!$B$5:$S$22,8,(FALSE))</f>
        <v>0.29292929292929293</v>
      </c>
      <c r="F58" s="1024">
        <f>VLOOKUP(A58,'[22]2122 Band Moderations'!$B$5:$S$22,10,(FALSE))</f>
        <v>0.14141414141414141</v>
      </c>
      <c r="G58" s="1024">
        <f>VLOOKUP(A58,'[22]2122 Band Moderations'!$B$5:$S$22,12,(FALSE))</f>
        <v>3.0303030303030304E-2</v>
      </c>
      <c r="H58" s="1024">
        <f>VLOOKUP(A58,'[22]2122 Band Moderations'!$B$5:$S$22,14,(FALSE))</f>
        <v>4.0404040404040407E-2</v>
      </c>
      <c r="I58" s="1024">
        <f>VLOOKUP(A58,'[22]2122 Band Moderations'!$B$5:$S$22,16,(FALSE))</f>
        <v>6.0606060606060608E-2</v>
      </c>
      <c r="J58" s="1024">
        <f>VLOOKUP(A58,'[22]2122 Band Moderations'!$B$5:$S$22,18,(FALSE))</f>
        <v>1.0101010101010102E-2</v>
      </c>
      <c r="K58" s="451">
        <v>88</v>
      </c>
      <c r="L58" s="1025">
        <f>((((K58*D58)*$G$92)+((K58*E58)*$G$94)+((K58*F58)*$G$96)+((K58*G58)*$G$98)+((K58*H58)*$G$100)+((K58*I58)*$G$102)+((K58*J58)*$G$104))*(7/12))</f>
        <v>453332.34796860069</v>
      </c>
      <c r="M58" s="1025">
        <f t="shared" si="13"/>
        <v>19128.14814814815</v>
      </c>
      <c r="N58" s="1025">
        <f t="shared" si="11"/>
        <v>472460.49611674884</v>
      </c>
      <c r="O58" s="1026">
        <f t="shared" si="14"/>
        <v>513333.33333333337</v>
      </c>
      <c r="P58" s="1026">
        <f>(VLOOKUP(A58,'[22]2122 Funding Detail'!$A$4:$Y$21,23,FALSE)*7/12)*K58</f>
        <v>203206.21586807573</v>
      </c>
      <c r="Q58" s="235"/>
      <c r="R58" s="235">
        <f t="shared" si="12"/>
        <v>11861.727389616693</v>
      </c>
      <c r="S58" s="269"/>
    </row>
    <row r="59" spans="1:20" s="36" customFormat="1" x14ac:dyDescent="0.25">
      <c r="A59" s="244">
        <v>9257002</v>
      </c>
      <c r="B59" s="237" t="s">
        <v>213</v>
      </c>
      <c r="C59" s="365">
        <v>5</v>
      </c>
      <c r="D59" s="1024">
        <f>VLOOKUP(A59,'[22]2122 Band Moderations'!$B$5:$S$22,6,(FALSE))</f>
        <v>0.3546099290780142</v>
      </c>
      <c r="E59" s="1024">
        <f>VLOOKUP(A59,'[22]2122 Band Moderations'!$B$5:$S$22,8,(FALSE))</f>
        <v>0.38297872340425532</v>
      </c>
      <c r="F59" s="1024">
        <f>VLOOKUP(A59,'[22]2122 Band Moderations'!$B$5:$S$22,10,(FALSE))</f>
        <v>0.1276595744680851</v>
      </c>
      <c r="G59" s="1024">
        <f>VLOOKUP(A59,'[22]2122 Band Moderations'!$B$5:$S$22,12,(FALSE))</f>
        <v>2.8368794326241134E-2</v>
      </c>
      <c r="H59" s="1024">
        <f>VLOOKUP(A59,'[22]2122 Band Moderations'!$B$5:$S$22,14,(FALSE))</f>
        <v>2.1276595744680851E-2</v>
      </c>
      <c r="I59" s="1024">
        <f>VLOOKUP(A59,'[22]2122 Band Moderations'!$B$5:$S$22,16,(FALSE))</f>
        <v>7.8014184397163122E-2</v>
      </c>
      <c r="J59" s="1024">
        <f>VLOOKUP(A59,'[22]2122 Band Moderations'!$B$5:$S$22,18,(FALSE))</f>
        <v>7.0921985815602835E-3</v>
      </c>
      <c r="K59" s="451">
        <v>151</v>
      </c>
      <c r="L59" s="1025">
        <f t="shared" si="10"/>
        <v>774846.38704042183</v>
      </c>
      <c r="M59" s="1025">
        <f t="shared" si="13"/>
        <v>29629.734042553191</v>
      </c>
      <c r="N59" s="1025">
        <f t="shared" si="11"/>
        <v>804476.12108297506</v>
      </c>
      <c r="O59" s="1026">
        <f t="shared" si="14"/>
        <v>880833.33333333337</v>
      </c>
      <c r="P59" s="1026">
        <f>(VLOOKUP(A59,'[22]2122 Funding Detail'!$A$4:$Y$21,23,FALSE)*7/12)*K59</f>
        <v>250541.65155705716</v>
      </c>
      <c r="Q59" s="235"/>
      <c r="R59" s="235">
        <f t="shared" si="12"/>
        <v>14290.857732703087</v>
      </c>
      <c r="S59" s="269"/>
    </row>
    <row r="60" spans="1:20" s="36" customFormat="1" x14ac:dyDescent="0.25">
      <c r="A60" s="244">
        <v>9257009</v>
      </c>
      <c r="B60" s="237" t="s">
        <v>214</v>
      </c>
      <c r="C60" s="365" t="s">
        <v>1178</v>
      </c>
      <c r="D60" s="1024">
        <f>VLOOKUP(A60,'[22]2122 Band Moderations'!$B$5:$S$22,6,(FALSE))</f>
        <v>0.23200000000000001</v>
      </c>
      <c r="E60" s="1024">
        <f>VLOOKUP(A60,'[22]2122 Band Moderations'!$B$5:$S$22,8,(FALSE))</f>
        <v>0.57599999999999996</v>
      </c>
      <c r="F60" s="1024">
        <f>VLOOKUP(A60,'[22]2122 Band Moderations'!$B$5:$S$22,10,(FALSE))</f>
        <v>0.08</v>
      </c>
      <c r="G60" s="1024">
        <f>VLOOKUP(A60,'[22]2122 Band Moderations'!$B$5:$S$22,12,(FALSE))</f>
        <v>2.4E-2</v>
      </c>
      <c r="H60" s="1024">
        <f>VLOOKUP(A60,'[22]2122 Band Moderations'!$B$5:$S$22,14,(FALSE))</f>
        <v>8.0000000000000002E-3</v>
      </c>
      <c r="I60" s="1024">
        <f>VLOOKUP(A60,'[22]2122 Band Moderations'!$B$5:$S$22,16,(FALSE))</f>
        <v>0.08</v>
      </c>
      <c r="J60" s="1024">
        <f>VLOOKUP(A60,'[22]2122 Band Moderations'!$B$5:$S$22,18,(FALSE))</f>
        <v>0</v>
      </c>
      <c r="K60" s="451">
        <v>136</v>
      </c>
      <c r="L60" s="1025">
        <f t="shared" si="10"/>
        <v>674396.89143067226</v>
      </c>
      <c r="M60" s="1025">
        <f t="shared" si="13"/>
        <v>16723.466666666671</v>
      </c>
      <c r="N60" s="1025">
        <f t="shared" si="11"/>
        <v>691120.35809733893</v>
      </c>
      <c r="O60" s="1026">
        <f t="shared" si="14"/>
        <v>793333.33333333337</v>
      </c>
      <c r="P60" s="1026">
        <f>(VLOOKUP(A60,'[22]2122 Funding Detail'!$A$4:$Y$21,23,FALSE)*7/12)*K60</f>
        <v>240550.80077767681</v>
      </c>
      <c r="Q60" s="235"/>
      <c r="R60" s="235">
        <f t="shared" si="12"/>
        <v>0</v>
      </c>
      <c r="S60" s="269"/>
    </row>
    <row r="61" spans="1:20" s="36" customFormat="1" x14ac:dyDescent="0.25">
      <c r="A61" s="244">
        <v>9257029</v>
      </c>
      <c r="B61" s="237" t="s">
        <v>890</v>
      </c>
      <c r="C61" s="365" t="s">
        <v>1179</v>
      </c>
      <c r="D61" s="1024">
        <f>VLOOKUP(A61,'[22]2122 Band Moderations'!$B$5:$S$22,6,(FALSE))</f>
        <v>0</v>
      </c>
      <c r="E61" s="1024">
        <f>VLOOKUP(A61,'[22]2122 Band Moderations'!$B$5:$S$22,8,(FALSE))</f>
        <v>0</v>
      </c>
      <c r="F61" s="1024">
        <f>VLOOKUP(A61,'[22]2122 Band Moderations'!$B$5:$S$22,10,(FALSE))</f>
        <v>1</v>
      </c>
      <c r="G61" s="1024">
        <f>VLOOKUP(A61,'[22]2122 Band Moderations'!$B$5:$S$22,12,(FALSE))</f>
        <v>0</v>
      </c>
      <c r="H61" s="1024">
        <f>VLOOKUP(A61,'[22]2122 Band Moderations'!$B$5:$S$22,14,(FALSE))</f>
        <v>0</v>
      </c>
      <c r="I61" s="1024">
        <f>VLOOKUP(A61,'[22]2122 Band Moderations'!$B$5:$S$22,16,(FALSE))</f>
        <v>0</v>
      </c>
      <c r="J61" s="1024">
        <f>VLOOKUP(A61,'[22]2122 Band Moderations'!$B$5:$S$22,18,(FALSE))</f>
        <v>0</v>
      </c>
      <c r="K61" s="451">
        <v>78</v>
      </c>
      <c r="L61" s="1025">
        <f t="shared" si="10"/>
        <v>548691.85054025066</v>
      </c>
      <c r="M61" s="1025">
        <f t="shared" si="13"/>
        <v>119892.50000000001</v>
      </c>
      <c r="N61" s="1025">
        <f t="shared" si="11"/>
        <v>668584.35054025066</v>
      </c>
      <c r="O61" s="1026">
        <f t="shared" si="14"/>
        <v>455000</v>
      </c>
      <c r="P61" s="1026">
        <f>(VLOOKUP(A61,'[22]2122 Funding Detail'!$A$4:$Y$21,23,FALSE)*7/12)*K61</f>
        <v>487981.23081338807</v>
      </c>
      <c r="Q61" s="235"/>
      <c r="R61" s="235">
        <f t="shared" si="12"/>
        <v>0</v>
      </c>
      <c r="S61" s="269"/>
    </row>
    <row r="62" spans="1:20" s="36" customFormat="1" x14ac:dyDescent="0.25">
      <c r="A62" s="244">
        <v>9257032</v>
      </c>
      <c r="B62" s="237" t="s">
        <v>1043</v>
      </c>
      <c r="C62" s="365" t="s">
        <v>1179</v>
      </c>
      <c r="D62" s="1024">
        <f>VLOOKUP(A62,'[22]2122 Band Moderations'!$B$5:$S$22,6,(FALSE))</f>
        <v>0</v>
      </c>
      <c r="E62" s="1024">
        <f>VLOOKUP(A62,'[22]2122 Band Moderations'!$B$5:$S$22,8,(FALSE))</f>
        <v>0</v>
      </c>
      <c r="F62" s="1024">
        <f>VLOOKUP(A62,'[22]2122 Band Moderations'!$B$5:$S$22,10,(FALSE))</f>
        <v>1</v>
      </c>
      <c r="G62" s="1024">
        <f>VLOOKUP(A62,'[22]2122 Band Moderations'!$B$5:$S$22,12,(FALSE))</f>
        <v>0</v>
      </c>
      <c r="H62" s="1024">
        <f>VLOOKUP(A62,'[22]2122 Band Moderations'!$B$5:$S$22,14,(FALSE))</f>
        <v>0</v>
      </c>
      <c r="I62" s="1024">
        <f>VLOOKUP(A62,'[22]2122 Band Moderations'!$B$5:$S$22,16,(FALSE))</f>
        <v>0</v>
      </c>
      <c r="J62" s="1024">
        <f>VLOOKUP(A62,'[22]2122 Band Moderations'!$B$5:$S$22,18,(FALSE))</f>
        <v>0</v>
      </c>
      <c r="K62" s="451">
        <v>104</v>
      </c>
      <c r="L62" s="1025">
        <f t="shared" si="10"/>
        <v>731589.13405366754</v>
      </c>
      <c r="M62" s="1025">
        <f t="shared" si="13"/>
        <v>159856.66666666669</v>
      </c>
      <c r="N62" s="1025">
        <f t="shared" si="11"/>
        <v>891445.80072033429</v>
      </c>
      <c r="O62" s="1026">
        <f t="shared" si="14"/>
        <v>606666.66666666674</v>
      </c>
      <c r="P62" s="1026">
        <f>(VLOOKUP(A62,'[22]2122 Funding Detail'!$A$4:$Y$21,23,FALSE)*7/12)*K62</f>
        <v>592587.67902020668</v>
      </c>
      <c r="Q62" s="235"/>
      <c r="R62" s="235">
        <f t="shared" si="12"/>
        <v>0</v>
      </c>
      <c r="S62" s="269"/>
    </row>
    <row r="63" spans="1:20" s="36" customFormat="1" x14ac:dyDescent="0.25">
      <c r="A63" s="244">
        <v>9257030</v>
      </c>
      <c r="B63" s="237" t="s">
        <v>1046</v>
      </c>
      <c r="C63" s="365" t="s">
        <v>1179</v>
      </c>
      <c r="D63" s="1024">
        <f>VLOOKUP(A63,'[22]2122 Band Moderations'!$B$5:$S$22,6,(FALSE))</f>
        <v>0</v>
      </c>
      <c r="E63" s="1024">
        <f>VLOOKUP(A63,'[22]2122 Band Moderations'!$B$5:$S$22,8,(FALSE))</f>
        <v>0</v>
      </c>
      <c r="F63" s="1024">
        <f>VLOOKUP(A63,'[22]2122 Band Moderations'!$B$5:$S$22,10,(FALSE))</f>
        <v>1</v>
      </c>
      <c r="G63" s="1024">
        <f>VLOOKUP(A63,'[22]2122 Band Moderations'!$B$5:$S$22,12,(FALSE))</f>
        <v>0</v>
      </c>
      <c r="H63" s="1024">
        <f>VLOOKUP(A63,'[22]2122 Band Moderations'!$B$5:$S$22,14,(FALSE))</f>
        <v>0</v>
      </c>
      <c r="I63" s="1024">
        <f>VLOOKUP(A63,'[22]2122 Band Moderations'!$B$5:$S$22,16,(FALSE))</f>
        <v>0</v>
      </c>
      <c r="J63" s="1024">
        <f>VLOOKUP(A63,'[22]2122 Band Moderations'!$B$5:$S$22,18,(FALSE))</f>
        <v>0</v>
      </c>
      <c r="K63" s="451">
        <v>72</v>
      </c>
      <c r="L63" s="1025">
        <f t="shared" si="10"/>
        <v>506484.78511407756</v>
      </c>
      <c r="M63" s="1025">
        <f t="shared" si="13"/>
        <v>110670</v>
      </c>
      <c r="N63" s="1025">
        <f t="shared" si="11"/>
        <v>617154.78511407762</v>
      </c>
      <c r="O63" s="1026">
        <f t="shared" si="14"/>
        <v>420000</v>
      </c>
      <c r="P63" s="1026">
        <f>(VLOOKUP(A63,'[22]2122 Funding Detail'!$A$4:$Y$21,23,FALSE)*7/12)*K63</f>
        <v>470788.22842753911</v>
      </c>
      <c r="Q63" s="235"/>
      <c r="R63" s="235">
        <f t="shared" si="12"/>
        <v>0</v>
      </c>
      <c r="S63" s="269"/>
    </row>
    <row r="64" spans="1:20" s="36" customFormat="1" x14ac:dyDescent="0.25">
      <c r="A64" s="244">
        <v>9257028</v>
      </c>
      <c r="B64" s="237" t="s">
        <v>215</v>
      </c>
      <c r="C64" s="365">
        <v>5</v>
      </c>
      <c r="D64" s="1024">
        <f>VLOOKUP(A64,'[22]2122 Band Moderations'!$B$5:$S$22,6,(FALSE))</f>
        <v>8.9108910891089105E-2</v>
      </c>
      <c r="E64" s="1024">
        <f>VLOOKUP(A64,'[22]2122 Band Moderations'!$B$5:$S$22,8,(FALSE))</f>
        <v>0.40594059405940597</v>
      </c>
      <c r="F64" s="1024">
        <f>VLOOKUP(A64,'[22]2122 Band Moderations'!$B$5:$S$22,10,(FALSE))</f>
        <v>7.9207920792079209E-2</v>
      </c>
      <c r="G64" s="1024">
        <f>VLOOKUP(A64,'[22]2122 Band Moderations'!$B$5:$S$22,12,(FALSE))</f>
        <v>8.9108910891089105E-2</v>
      </c>
      <c r="H64" s="1024">
        <f>VLOOKUP(A64,'[22]2122 Band Moderations'!$B$5:$S$22,14,(FALSE))</f>
        <v>0.12871287128712872</v>
      </c>
      <c r="I64" s="1024">
        <f>VLOOKUP(A64,'[22]2122 Band Moderations'!$B$5:$S$22,16,(FALSE))</f>
        <v>9.9009900990099015E-2</v>
      </c>
      <c r="J64" s="1024">
        <f>VLOOKUP(A64,'[22]2122 Band Moderations'!$B$5:$S$22,18,(FALSE))</f>
        <v>0.10891089108910891</v>
      </c>
      <c r="K64" s="451">
        <v>117</v>
      </c>
      <c r="L64" s="1025">
        <f t="shared" si="10"/>
        <v>812490.16903690109</v>
      </c>
      <c r="M64" s="1025">
        <f t="shared" si="13"/>
        <v>14244.653465346533</v>
      </c>
      <c r="N64" s="1025">
        <f t="shared" si="11"/>
        <v>826734.82250224764</v>
      </c>
      <c r="O64" s="1026">
        <f t="shared" si="14"/>
        <v>682500</v>
      </c>
      <c r="P64" s="1026">
        <f>(VLOOKUP(A64,'[22]2122 Funding Detail'!$A$4:$Y$21,23,FALSE)*7/12)*K64</f>
        <v>481547.9434532132</v>
      </c>
      <c r="Q64" s="235"/>
      <c r="R64" s="235">
        <f t="shared" si="12"/>
        <v>170042.55984397294</v>
      </c>
      <c r="S64" s="269"/>
    </row>
    <row r="65" spans="1:23" s="36" customFormat="1" x14ac:dyDescent="0.25">
      <c r="A65" s="244">
        <v>9257021</v>
      </c>
      <c r="B65" s="237" t="s">
        <v>216</v>
      </c>
      <c r="C65" s="365" t="s">
        <v>1180</v>
      </c>
      <c r="D65" s="1024">
        <f>VLOOKUP(A65,'[22]2122 Band Moderations'!$B$5:$S$22,6,(FALSE))</f>
        <v>0.26829268292682928</v>
      </c>
      <c r="E65" s="1024">
        <f>VLOOKUP(A65,'[22]2122 Band Moderations'!$B$5:$S$22,8,(FALSE))</f>
        <v>0.42682926829268292</v>
      </c>
      <c r="F65" s="1024">
        <f>VLOOKUP(A65,'[22]2122 Band Moderations'!$B$5:$S$22,10,(FALSE))</f>
        <v>7.926829268292683E-2</v>
      </c>
      <c r="G65" s="1024">
        <f>VLOOKUP(A65,'[22]2122 Band Moderations'!$B$5:$S$22,12,(FALSE))</f>
        <v>6.7073170731707321E-2</v>
      </c>
      <c r="H65" s="1024">
        <f>VLOOKUP(A65,'[22]2122 Band Moderations'!$B$5:$S$22,14,(FALSE))</f>
        <v>5.4878048780487805E-2</v>
      </c>
      <c r="I65" s="1024">
        <f>VLOOKUP(A65,'[22]2122 Band Moderations'!$B$5:$S$22,16,(FALSE))</f>
        <v>9.1463414634146339E-2</v>
      </c>
      <c r="J65" s="1024">
        <f>VLOOKUP(A65,'[22]2122 Band Moderations'!$B$5:$S$22,18,(FALSE))</f>
        <v>1.2195121951219513E-2</v>
      </c>
      <c r="K65" s="451">
        <v>169</v>
      </c>
      <c r="L65" s="1025">
        <f t="shared" si="10"/>
        <v>928290.35609913187</v>
      </c>
      <c r="M65" s="1025">
        <f t="shared" si="13"/>
        <v>20591.293191056913</v>
      </c>
      <c r="N65" s="1025">
        <f t="shared" si="11"/>
        <v>948881.6492901888</v>
      </c>
      <c r="O65" s="1026">
        <f t="shared" si="14"/>
        <v>985833.33333333337</v>
      </c>
      <c r="P65" s="1026">
        <f>(VLOOKUP(A65,'[22]2122 Funding Detail'!$A$4:$Y$21,23,FALSE)*7/12)*K65</f>
        <v>329479.7586137536</v>
      </c>
      <c r="Q65" s="235"/>
      <c r="R65" s="235">
        <f t="shared" si="12"/>
        <v>27502.572194522847</v>
      </c>
      <c r="S65" s="269"/>
    </row>
    <row r="66" spans="1:23" s="36" customFormat="1" x14ac:dyDescent="0.25">
      <c r="A66" s="244">
        <v>9257015</v>
      </c>
      <c r="B66" s="237" t="s">
        <v>217</v>
      </c>
      <c r="C66" s="365" t="s">
        <v>1181</v>
      </c>
      <c r="D66" s="1024">
        <f>VLOOKUP(A66,'[22]2122 Band Moderations'!$B$5:$S$22,6,(FALSE))</f>
        <v>0.33185840707964603</v>
      </c>
      <c r="E66" s="1024">
        <f>VLOOKUP(A66,'[22]2122 Band Moderations'!$B$5:$S$22,8,(FALSE))</f>
        <v>0.38495575221238937</v>
      </c>
      <c r="F66" s="1024">
        <f>VLOOKUP(A66,'[22]2122 Band Moderations'!$B$5:$S$22,10,(FALSE))</f>
        <v>1.7699115044247787E-2</v>
      </c>
      <c r="G66" s="1024">
        <f>VLOOKUP(A66,'[22]2122 Band Moderations'!$B$5:$S$22,12,(FALSE))</f>
        <v>8.8495575221238937E-2</v>
      </c>
      <c r="H66" s="1024">
        <f>VLOOKUP(A66,'[22]2122 Band Moderations'!$B$5:$S$22,14,(FALSE))</f>
        <v>2.2123893805309734E-2</v>
      </c>
      <c r="I66" s="1024">
        <f>VLOOKUP(A66,'[22]2122 Band Moderations'!$B$5:$S$22,16,(FALSE))</f>
        <v>0.1415929203539823</v>
      </c>
      <c r="J66" s="1024">
        <f>VLOOKUP(A66,'[22]2122 Band Moderations'!$B$5:$S$22,18,(FALSE))</f>
        <v>1.3274336283185841E-2</v>
      </c>
      <c r="K66" s="451">
        <v>223</v>
      </c>
      <c r="L66" s="1025">
        <f t="shared" si="10"/>
        <v>1225536.2605234075</v>
      </c>
      <c r="M66" s="1025">
        <f t="shared" si="13"/>
        <v>6066.7182890855456</v>
      </c>
      <c r="N66" s="1025">
        <f t="shared" si="11"/>
        <v>1231602.9788124929</v>
      </c>
      <c r="O66" s="1026">
        <f t="shared" si="14"/>
        <v>1300833.3333333335</v>
      </c>
      <c r="P66" s="1026">
        <f>(VLOOKUP(A66,'[22]2122 Funding Detail'!$A$4:$Y$21,23,FALSE)*7/12)*K66</f>
        <v>325180.10686023376</v>
      </c>
      <c r="Q66" s="235"/>
      <c r="R66" s="235">
        <f t="shared" si="12"/>
        <v>39501.914055797621</v>
      </c>
      <c r="S66" s="269"/>
    </row>
    <row r="67" spans="1:23" s="36" customFormat="1" x14ac:dyDescent="0.25">
      <c r="A67" s="244">
        <v>9257016</v>
      </c>
      <c r="B67" s="237" t="s">
        <v>219</v>
      </c>
      <c r="C67" s="365" t="s">
        <v>1181</v>
      </c>
      <c r="D67" s="1024">
        <f>VLOOKUP(A67,'[22]2122 Band Moderations'!$B$5:$S$22,6,(FALSE))</f>
        <v>0.18012422360248448</v>
      </c>
      <c r="E67" s="1024">
        <f>VLOOKUP(A67,'[22]2122 Band Moderations'!$B$5:$S$22,8,(FALSE))</f>
        <v>0.15527950310559005</v>
      </c>
      <c r="F67" s="1024">
        <f>VLOOKUP(A67,'[22]2122 Band Moderations'!$B$5:$S$22,10,(FALSE))</f>
        <v>6.2111801242236021E-3</v>
      </c>
      <c r="G67" s="1024">
        <f>VLOOKUP(A67,'[22]2122 Band Moderations'!$B$5:$S$22,12,(FALSE))</f>
        <v>0.2236024844720497</v>
      </c>
      <c r="H67" s="1024">
        <f>VLOOKUP(A67,'[22]2122 Band Moderations'!$B$5:$S$22,14,(FALSE))</f>
        <v>0.21118012422360249</v>
      </c>
      <c r="I67" s="1024">
        <f>VLOOKUP(A67,'[22]2122 Band Moderations'!$B$5:$S$22,16,(FALSE))</f>
        <v>1.2422360248447204E-2</v>
      </c>
      <c r="J67" s="1024">
        <f>VLOOKUP(A67,'[22]2122 Band Moderations'!$B$5:$S$22,18,(FALSE))</f>
        <v>0.21118012422360249</v>
      </c>
      <c r="K67" s="451">
        <v>105</v>
      </c>
      <c r="L67" s="1025">
        <f t="shared" si="10"/>
        <v>852689.76607453323</v>
      </c>
      <c r="M67" s="1025">
        <f t="shared" si="13"/>
        <v>1002.4456521739131</v>
      </c>
      <c r="N67" s="1025">
        <f t="shared" si="11"/>
        <v>853692.21172670717</v>
      </c>
      <c r="O67" s="1026">
        <f t="shared" si="14"/>
        <v>612500.00000000012</v>
      </c>
      <c r="P67" s="1026">
        <f>(VLOOKUP(A67,'[22]2122 Funding Detail'!$A$4:$Y$21,23,FALSE)*7/12)*K67</f>
        <v>502521.4806213085</v>
      </c>
      <c r="Q67" s="299" t="s">
        <v>207</v>
      </c>
      <c r="R67" s="235">
        <f t="shared" si="12"/>
        <v>295898.5256431555</v>
      </c>
      <c r="S67" s="269"/>
    </row>
    <row r="68" spans="1:23" s="36" customFormat="1" x14ac:dyDescent="0.25">
      <c r="F68" s="299" t="s">
        <v>207</v>
      </c>
      <c r="J68" s="299" t="s">
        <v>207</v>
      </c>
      <c r="K68" s="234"/>
      <c r="N68" s="299" t="s">
        <v>207</v>
      </c>
      <c r="S68" s="288"/>
    </row>
    <row r="69" spans="1:23" s="36" customFormat="1" ht="13" x14ac:dyDescent="0.3">
      <c r="A69" s="93" t="s">
        <v>1185</v>
      </c>
      <c r="K69" s="234"/>
      <c r="L69" s="234"/>
      <c r="S69" s="288"/>
    </row>
    <row r="70" spans="1:23" s="36" customFormat="1" x14ac:dyDescent="0.25">
      <c r="K70" s="234"/>
      <c r="L70" s="234"/>
      <c r="O70" s="1445" t="s">
        <v>238</v>
      </c>
      <c r="P70" s="1446"/>
      <c r="S70" s="288"/>
    </row>
    <row r="71" spans="1:23" s="36" customFormat="1" ht="37.5" x14ac:dyDescent="0.25">
      <c r="A71" s="265" t="s">
        <v>182</v>
      </c>
      <c r="B71" s="237" t="s">
        <v>183</v>
      </c>
      <c r="C71" s="238" t="s">
        <v>184</v>
      </c>
      <c r="D71" s="234" t="s">
        <v>901</v>
      </c>
      <c r="E71" s="234" t="s">
        <v>902</v>
      </c>
      <c r="F71" s="234" t="s">
        <v>903</v>
      </c>
      <c r="G71" s="234" t="s">
        <v>904</v>
      </c>
      <c r="H71" s="234" t="s">
        <v>905</v>
      </c>
      <c r="I71" s="234" t="s">
        <v>906</v>
      </c>
      <c r="J71" s="234" t="s">
        <v>907</v>
      </c>
      <c r="K71" s="243" t="s">
        <v>264</v>
      </c>
      <c r="L71" s="243" t="s">
        <v>279</v>
      </c>
      <c r="M71" s="243" t="s">
        <v>280</v>
      </c>
      <c r="N71" s="243" t="s">
        <v>279</v>
      </c>
      <c r="O71" s="243" t="s">
        <v>267</v>
      </c>
      <c r="P71" s="320" t="s">
        <v>281</v>
      </c>
      <c r="Q71" s="243"/>
      <c r="R71" s="243"/>
      <c r="S71" s="276"/>
    </row>
    <row r="72" spans="1:23" s="36" customFormat="1" x14ac:dyDescent="0.25">
      <c r="A72" s="244">
        <v>9257010</v>
      </c>
      <c r="B72" s="237" t="s">
        <v>205</v>
      </c>
      <c r="C72" s="365">
        <v>5</v>
      </c>
      <c r="D72" s="1024">
        <f>VLOOKUP(A72,'[22]2122 Band Moderations'!$B$5:$S$22,6,(FALSE))</f>
        <v>1.5873015873015872E-2</v>
      </c>
      <c r="E72" s="1024">
        <f>VLOOKUP(A72,'[22]2122 Band Moderations'!$B$5:$S$22,8,(FALSE))</f>
        <v>0.31746031746031744</v>
      </c>
      <c r="F72" s="1024">
        <f>VLOOKUP(A72,'[22]2122 Band Moderations'!$B$5:$S$22,10,(FALSE))</f>
        <v>9.5238095238095233E-2</v>
      </c>
      <c r="G72" s="1024">
        <f>VLOOKUP(A72,'[22]2122 Band Moderations'!$B$5:$S$22,12,(FALSE))</f>
        <v>0.17460317460317459</v>
      </c>
      <c r="H72" s="1024">
        <f>VLOOKUP(A72,'[22]2122 Band Moderations'!$B$5:$S$22,14,(FALSE))</f>
        <v>6.3492063492063489E-2</v>
      </c>
      <c r="I72" s="1024">
        <f>VLOOKUP(A72,'[22]2122 Band Moderations'!$B$5:$S$22,16,(FALSE))</f>
        <v>0.19047619047619047</v>
      </c>
      <c r="J72" s="1024">
        <f>VLOOKUP(A72,'[22]2122 Band Moderations'!$B$5:$S$22,18,(FALSE))</f>
        <v>0.14285714285714285</v>
      </c>
      <c r="K72" s="451">
        <v>10</v>
      </c>
      <c r="L72" s="1025">
        <f t="shared" ref="L72:L89" si="15">((((K72*D72)*$G$92)+((K72*E72)*$G$94)+((K72*F72)*$G$96)+((K72*G72)*$G$98)+((K72*H72)*$G$100)+((K72*I72)*$G$102)+((K72*J72)*$G$104)))*(8/12)</f>
        <v>90181.959255322028</v>
      </c>
      <c r="M72" s="1025">
        <f t="shared" ref="M72:M89" si="16">((F72*K72)*$G$106)*(8/12)</f>
        <v>1673.0158730158728</v>
      </c>
      <c r="N72" s="1025">
        <f>SUM(L72:M72)</f>
        <v>91854.975128337901</v>
      </c>
      <c r="O72" s="1026">
        <f>(K72*(8/12))*10000</f>
        <v>66666.666666666657</v>
      </c>
      <c r="P72" s="1026">
        <f>(VLOOKUP(A72,'[22]2122 Funding Detail'!$A$4:$Y$21,23,FALSE)*8/12)*K72</f>
        <v>68516.684800989999</v>
      </c>
      <c r="Q72" s="235"/>
      <c r="R72" s="235">
        <f t="shared" ref="R72:R89" si="17">(J72*K72*$G$104)*8/12</f>
        <v>21786.846225826575</v>
      </c>
      <c r="S72" s="269"/>
      <c r="T72" s="280"/>
      <c r="V72" s="297" t="s">
        <v>207</v>
      </c>
      <c r="W72" s="296" t="s">
        <v>282</v>
      </c>
    </row>
    <row r="73" spans="1:23" s="36" customFormat="1" x14ac:dyDescent="0.25">
      <c r="A73" s="244">
        <v>9257005</v>
      </c>
      <c r="B73" s="237" t="s">
        <v>208</v>
      </c>
      <c r="C73" s="365">
        <v>4</v>
      </c>
      <c r="D73" s="1024">
        <f>VLOOKUP(A73,'[22]2122 Band Moderations'!$B$5:$S$22,6,(FALSE))</f>
        <v>0.05</v>
      </c>
      <c r="E73" s="1024">
        <f>VLOOKUP(A73,'[22]2122 Band Moderations'!$B$5:$S$22,8,(FALSE))</f>
        <v>0.4</v>
      </c>
      <c r="F73" s="1024">
        <f>VLOOKUP(A73,'[22]2122 Band Moderations'!$B$5:$S$22,10,(FALSE))</f>
        <v>6.25E-2</v>
      </c>
      <c r="G73" s="1024">
        <f>VLOOKUP(A73,'[22]2122 Band Moderations'!$B$5:$S$22,12,(FALSE))</f>
        <v>0.15</v>
      </c>
      <c r="H73" s="1024">
        <f>VLOOKUP(A73,'[22]2122 Band Moderations'!$B$5:$S$22,14,(FALSE))</f>
        <v>0.125</v>
      </c>
      <c r="I73" s="1024">
        <f>VLOOKUP(A73,'[22]2122 Band Moderations'!$B$5:$S$22,16,(FALSE))</f>
        <v>0.15</v>
      </c>
      <c r="J73" s="1024">
        <f>VLOOKUP(A73,'[22]2122 Band Moderations'!$B$5:$S$22,18,(FALSE))</f>
        <v>6.25E-2</v>
      </c>
      <c r="K73" s="451">
        <v>28</v>
      </c>
      <c r="L73" s="1025">
        <f t="shared" si="15"/>
        <v>224540.16931080297</v>
      </c>
      <c r="M73" s="1025">
        <f t="shared" si="16"/>
        <v>3074.1666666666665</v>
      </c>
      <c r="N73" s="1025">
        <f>SUM(L73:M73)</f>
        <v>227614.33597746963</v>
      </c>
      <c r="O73" s="1026">
        <f t="shared" ref="O73:O89" si="18">(K73*(8/12))*10000</f>
        <v>186666.66666666666</v>
      </c>
      <c r="P73" s="1026">
        <f>(VLOOKUP(A73,'[22]2122 Funding Detail'!$A$4:$Y$21,23,FALSE)*8/12)*K73</f>
        <v>148895.89477004562</v>
      </c>
      <c r="Q73" s="235"/>
      <c r="R73" s="235">
        <f t="shared" si="17"/>
        <v>26688.886626637555</v>
      </c>
      <c r="S73" s="269"/>
      <c r="T73" s="280"/>
    </row>
    <row r="74" spans="1:23" s="36" customFormat="1" x14ac:dyDescent="0.25">
      <c r="A74" s="244">
        <v>9257025</v>
      </c>
      <c r="B74" s="237" t="s">
        <v>209</v>
      </c>
      <c r="C74" s="365">
        <v>4</v>
      </c>
      <c r="D74" s="1024">
        <f>VLOOKUP(A74,'[22]2122 Band Moderations'!$B$5:$S$22,6,(FALSE))</f>
        <v>0.15584415584415584</v>
      </c>
      <c r="E74" s="1024">
        <f>VLOOKUP(A74,'[22]2122 Band Moderations'!$B$5:$S$22,8,(FALSE))</f>
        <v>0.40259740259740262</v>
      </c>
      <c r="F74" s="1024">
        <f>VLOOKUP(A74,'[22]2122 Band Moderations'!$B$5:$S$22,10,(FALSE))</f>
        <v>3.896103896103896E-2</v>
      </c>
      <c r="G74" s="1024">
        <f>VLOOKUP(A74,'[22]2122 Band Moderations'!$B$5:$S$22,12,(FALSE))</f>
        <v>0.15584415584415584</v>
      </c>
      <c r="H74" s="1024">
        <f>VLOOKUP(A74,'[22]2122 Band Moderations'!$B$5:$S$22,14,(FALSE))</f>
        <v>5.1948051948051951E-2</v>
      </c>
      <c r="I74" s="1024">
        <f>VLOOKUP(A74,'[22]2122 Band Moderations'!$B$5:$S$22,16,(FALSE))</f>
        <v>0.14285714285714285</v>
      </c>
      <c r="J74" s="1024">
        <f>VLOOKUP(A74,'[22]2122 Band Moderations'!$B$5:$S$22,18,(FALSE))</f>
        <v>5.1948051948051951E-2</v>
      </c>
      <c r="K74" s="451">
        <v>24</v>
      </c>
      <c r="L74" s="1025">
        <f t="shared" si="15"/>
        <v>177049.39170156608</v>
      </c>
      <c r="M74" s="1025">
        <f t="shared" si="16"/>
        <v>1642.5974025974024</v>
      </c>
      <c r="N74" s="1025">
        <f t="shared" ref="N74:N89" si="19">SUM(L74:M74)</f>
        <v>178691.98910416348</v>
      </c>
      <c r="O74" s="1026">
        <f t="shared" si="18"/>
        <v>160000</v>
      </c>
      <c r="P74" s="1026">
        <f>(VLOOKUP(A74,'[22]2122 Funding Detail'!$A$4:$Y$21,23,FALSE)*8/12)*K74</f>
        <v>121824.96079047589</v>
      </c>
      <c r="Q74" s="235"/>
      <c r="R74" s="235">
        <f t="shared" si="17"/>
        <v>19013.974887994103</v>
      </c>
      <c r="S74" s="269"/>
      <c r="T74" s="280"/>
    </row>
    <row r="75" spans="1:23" s="36" customFormat="1" x14ac:dyDescent="0.25">
      <c r="A75" s="244">
        <v>9257011</v>
      </c>
      <c r="B75" s="237" t="s">
        <v>210</v>
      </c>
      <c r="C75" s="365" t="s">
        <v>1251</v>
      </c>
      <c r="D75" s="1024">
        <f>VLOOKUP(A75,'[22]2122 Band Moderations'!$B$5:$S$22,6,(FALSE))</f>
        <v>5.6603773584905662E-2</v>
      </c>
      <c r="E75" s="1024">
        <f>VLOOKUP(A75,'[22]2122 Band Moderations'!$B$5:$S$22,8,(FALSE))</f>
        <v>0.35849056603773582</v>
      </c>
      <c r="F75" s="1024">
        <f>VLOOKUP(A75,'[22]2122 Band Moderations'!$B$5:$S$22,10,(FALSE))</f>
        <v>1.8867924528301886E-2</v>
      </c>
      <c r="G75" s="1024">
        <f>VLOOKUP(A75,'[22]2122 Band Moderations'!$B$5:$S$22,12,(FALSE))</f>
        <v>0.16981132075471697</v>
      </c>
      <c r="H75" s="1024">
        <f>VLOOKUP(A75,'[22]2122 Band Moderations'!$B$5:$S$22,14,(FALSE))</f>
        <v>0.13207547169811321</v>
      </c>
      <c r="I75" s="1024">
        <f>VLOOKUP(A75,'[22]2122 Band Moderations'!$B$5:$S$22,16,(FALSE))</f>
        <v>0.15094339622641509</v>
      </c>
      <c r="J75" s="1024">
        <f>VLOOKUP(A75,'[22]2122 Band Moderations'!$B$5:$S$22,18,(FALSE))</f>
        <v>0.11320754716981132</v>
      </c>
      <c r="K75" s="451">
        <v>8</v>
      </c>
      <c r="L75" s="1025">
        <f t="shared" si="15"/>
        <v>68331.077434496503</v>
      </c>
      <c r="M75" s="1025">
        <f t="shared" si="16"/>
        <v>265.15723270440247</v>
      </c>
      <c r="N75" s="1025">
        <f t="shared" si="19"/>
        <v>68596.234667200901</v>
      </c>
      <c r="O75" s="1026">
        <f t="shared" si="18"/>
        <v>53333.333333333328</v>
      </c>
      <c r="P75" s="1026">
        <f>(VLOOKUP(A75,'[22]2122 Funding Detail'!$A$4:$Y$21,23,FALSE)*8/12)*K75</f>
        <v>56483.351908580225</v>
      </c>
      <c r="Q75" s="235"/>
      <c r="R75" s="235">
        <f t="shared" si="17"/>
        <v>13812.038362033452</v>
      </c>
      <c r="S75" s="269"/>
      <c r="T75" s="280"/>
    </row>
    <row r="76" spans="1:23" s="36" customFormat="1" x14ac:dyDescent="0.25">
      <c r="A76" s="244">
        <v>9257024</v>
      </c>
      <c r="B76" s="237" t="s">
        <v>211</v>
      </c>
      <c r="C76" s="365">
        <v>4</v>
      </c>
      <c r="D76" s="1024">
        <f>VLOOKUP(A76,'[22]2122 Band Moderations'!$B$5:$S$22,6,(FALSE))</f>
        <v>8.4337349397590355E-2</v>
      </c>
      <c r="E76" s="1024">
        <f>VLOOKUP(A76,'[22]2122 Band Moderations'!$B$5:$S$22,8,(FALSE))</f>
        <v>0.45783132530120479</v>
      </c>
      <c r="F76" s="1024">
        <f>VLOOKUP(A76,'[22]2122 Band Moderations'!$B$5:$S$22,10,(FALSE))</f>
        <v>1.2048192771084338E-2</v>
      </c>
      <c r="G76" s="1024">
        <f>VLOOKUP(A76,'[22]2122 Band Moderations'!$B$5:$S$22,12,(FALSE))</f>
        <v>0.18072289156626506</v>
      </c>
      <c r="H76" s="1024">
        <f>VLOOKUP(A76,'[22]2122 Band Moderations'!$B$5:$S$22,14,(FALSE))</f>
        <v>8.4337349397590355E-2</v>
      </c>
      <c r="I76" s="1024">
        <f>VLOOKUP(A76,'[22]2122 Band Moderations'!$B$5:$S$22,16,(FALSE))</f>
        <v>7.2289156626506021E-2</v>
      </c>
      <c r="J76" s="1024">
        <f>VLOOKUP(A76,'[22]2122 Band Moderations'!$B$5:$S$22,18,(FALSE))</f>
        <v>0.10843373493975904</v>
      </c>
      <c r="K76" s="451">
        <v>13</v>
      </c>
      <c r="L76" s="1025">
        <f t="shared" si="15"/>
        <v>101580.80702480319</v>
      </c>
      <c r="M76" s="1025">
        <f t="shared" si="16"/>
        <v>275.14056224899599</v>
      </c>
      <c r="N76" s="1025">
        <f t="shared" si="19"/>
        <v>101855.94758705219</v>
      </c>
      <c r="O76" s="1026">
        <f t="shared" si="18"/>
        <v>86666.666666666657</v>
      </c>
      <c r="P76" s="1026">
        <f>(VLOOKUP(A76,'[22]2122 Funding Detail'!$A$4:$Y$21,23,FALSE)*8/12)*K76</f>
        <v>66964.911349959366</v>
      </c>
      <c r="Q76" s="235"/>
      <c r="R76" s="235">
        <f t="shared" si="17"/>
        <v>21498.104890303573</v>
      </c>
      <c r="S76" s="269"/>
      <c r="T76" s="280"/>
    </row>
    <row r="77" spans="1:23" s="36" customFormat="1" x14ac:dyDescent="0.25">
      <c r="A77" s="244">
        <v>9257031</v>
      </c>
      <c r="B77" s="237" t="s">
        <v>257</v>
      </c>
      <c r="C77" s="365">
        <v>5</v>
      </c>
      <c r="D77" s="1024">
        <f>VLOOKUP(A77,'[22]2122 Band Moderations'!$B$5:$S$22,6,(FALSE))</f>
        <v>0</v>
      </c>
      <c r="E77" s="1024">
        <f>VLOOKUP(A77,'[22]2122 Band Moderations'!$B$5:$S$22,8,(FALSE))</f>
        <v>0</v>
      </c>
      <c r="F77" s="1024">
        <f>VLOOKUP(A77,'[22]2122 Band Moderations'!$B$5:$S$22,10,(FALSE))</f>
        <v>1</v>
      </c>
      <c r="G77" s="1024">
        <f>VLOOKUP(A77,'[22]2122 Band Moderations'!$B$5:$S$22,12,(FALSE))</f>
        <v>0</v>
      </c>
      <c r="H77" s="1024">
        <f>VLOOKUP(A77,'[22]2122 Band Moderations'!$B$5:$S$22,14,(FALSE))</f>
        <v>0</v>
      </c>
      <c r="I77" s="1024">
        <f>VLOOKUP(A77,'[22]2122 Band Moderations'!$B$5:$S$22,16,(FALSE))</f>
        <v>0</v>
      </c>
      <c r="J77" s="1024">
        <f>VLOOKUP(A77,'[22]2122 Band Moderations'!$B$5:$S$22,18,(FALSE))</f>
        <v>0</v>
      </c>
      <c r="K77" s="451">
        <v>0</v>
      </c>
      <c r="L77" s="1025">
        <f t="shared" si="15"/>
        <v>0</v>
      </c>
      <c r="M77" s="1025">
        <f t="shared" si="16"/>
        <v>0</v>
      </c>
      <c r="N77" s="1025">
        <f t="shared" si="19"/>
        <v>0</v>
      </c>
      <c r="O77" s="1026">
        <f t="shared" si="18"/>
        <v>0</v>
      </c>
      <c r="P77" s="1026">
        <f>(VLOOKUP(A77,'[22]2122 Funding Detail'!$A$4:$Y$21,23,FALSE)*8/12)*K77</f>
        <v>0</v>
      </c>
      <c r="Q77" s="235"/>
      <c r="R77" s="235">
        <f t="shared" si="17"/>
        <v>0</v>
      </c>
      <c r="S77" s="269"/>
      <c r="T77" s="280"/>
    </row>
    <row r="78" spans="1:23" s="36" customFormat="1" x14ac:dyDescent="0.25">
      <c r="A78" s="244">
        <v>9257033</v>
      </c>
      <c r="B78" s="237" t="s">
        <v>220</v>
      </c>
      <c r="C78" s="365" t="s">
        <v>1178</v>
      </c>
      <c r="D78" s="1024">
        <f>VLOOKUP(A78,'[22]2122 Band Moderations'!$B$5:$S$22,6,(FALSE))</f>
        <v>0.16842105263157894</v>
      </c>
      <c r="E78" s="1024">
        <f>VLOOKUP(A78,'[22]2122 Band Moderations'!$B$5:$S$22,8,(FALSE))</f>
        <v>0.5368421052631579</v>
      </c>
      <c r="F78" s="1024">
        <f>VLOOKUP(A78,'[22]2122 Band Moderations'!$B$5:$S$22,10,(FALSE))</f>
        <v>6.3157894736842107E-2</v>
      </c>
      <c r="G78" s="1024">
        <f>VLOOKUP(A78,'[22]2122 Band Moderations'!$B$5:$S$22,12,(FALSE))</f>
        <v>0.14736842105263157</v>
      </c>
      <c r="H78" s="1024">
        <f>VLOOKUP(A78,'[22]2122 Band Moderations'!$B$5:$S$22,14,(FALSE))</f>
        <v>4.2105263157894736E-2</v>
      </c>
      <c r="I78" s="1024">
        <f>VLOOKUP(A78,'[22]2122 Band Moderations'!$B$5:$S$22,16,(FALSE))</f>
        <v>4.2105263157894736E-2</v>
      </c>
      <c r="J78" s="1024">
        <f>VLOOKUP(A78,'[22]2122 Band Moderations'!$B$5:$S$22,18,(FALSE))</f>
        <v>0</v>
      </c>
      <c r="K78" s="451">
        <v>0</v>
      </c>
      <c r="L78" s="1025">
        <f t="shared" si="15"/>
        <v>0</v>
      </c>
      <c r="M78" s="1025">
        <f t="shared" si="16"/>
        <v>0</v>
      </c>
      <c r="N78" s="1025">
        <f t="shared" si="19"/>
        <v>0</v>
      </c>
      <c r="O78" s="1026">
        <f t="shared" si="18"/>
        <v>0</v>
      </c>
      <c r="P78" s="1026">
        <f>(VLOOKUP(A78,'[22]2122 Funding Detail'!$A$4:$Y$21,23,FALSE)*8/12)*K78</f>
        <v>0</v>
      </c>
      <c r="Q78" s="235"/>
      <c r="R78" s="235">
        <f t="shared" si="17"/>
        <v>0</v>
      </c>
      <c r="S78" s="269"/>
      <c r="T78" s="280"/>
    </row>
    <row r="79" spans="1:23" s="36" customFormat="1" x14ac:dyDescent="0.25">
      <c r="A79" s="244">
        <v>9257008</v>
      </c>
      <c r="B79" s="237" t="s">
        <v>212</v>
      </c>
      <c r="C79" s="365">
        <v>4</v>
      </c>
      <c r="D79" s="1024">
        <f>VLOOKUP(A79,'[22]2122 Band Moderations'!$B$5:$S$22,6,(FALSE))</f>
        <v>0.10101010101010101</v>
      </c>
      <c r="E79" s="1024">
        <f>VLOOKUP(A79,'[22]2122 Band Moderations'!$B$5:$S$22,8,(FALSE))</f>
        <v>0.58585858585858586</v>
      </c>
      <c r="F79" s="1024">
        <f>VLOOKUP(A79,'[22]2122 Band Moderations'!$B$5:$S$22,10,(FALSE))</f>
        <v>8.0808080808080815E-2</v>
      </c>
      <c r="G79" s="1024">
        <f>VLOOKUP(A79,'[22]2122 Band Moderations'!$B$5:$S$22,12,(FALSE))</f>
        <v>9.0909090909090912E-2</v>
      </c>
      <c r="H79" s="1024">
        <f>VLOOKUP(A79,'[22]2122 Band Moderations'!$B$5:$S$22,14,(FALSE))</f>
        <v>1.0101010101010102E-2</v>
      </c>
      <c r="I79" s="1024">
        <f>VLOOKUP(A79,'[22]2122 Band Moderations'!$B$5:$S$22,16,(FALSE))</f>
        <v>0.12121212121212122</v>
      </c>
      <c r="J79" s="1024">
        <f>VLOOKUP(A79,'[22]2122 Band Moderations'!$B$5:$S$22,18,(FALSE))</f>
        <v>1.0101010101010102E-2</v>
      </c>
      <c r="K79" s="451">
        <v>0</v>
      </c>
      <c r="L79" s="1025">
        <f t="shared" si="15"/>
        <v>0</v>
      </c>
      <c r="M79" s="1025">
        <f t="shared" si="16"/>
        <v>0</v>
      </c>
      <c r="N79" s="1025">
        <f t="shared" si="19"/>
        <v>0</v>
      </c>
      <c r="O79" s="1026">
        <f t="shared" si="18"/>
        <v>0</v>
      </c>
      <c r="P79" s="1026">
        <f>(VLOOKUP(A79,'[22]2122 Funding Detail'!$A$4:$Y$21,23,FALSE)*8/12)*K79</f>
        <v>0</v>
      </c>
      <c r="Q79" s="235"/>
      <c r="R79" s="235">
        <f t="shared" si="17"/>
        <v>0</v>
      </c>
      <c r="S79" s="269"/>
      <c r="T79" s="280"/>
    </row>
    <row r="80" spans="1:23" s="36" customFormat="1" x14ac:dyDescent="0.25">
      <c r="A80" s="244">
        <v>9257034</v>
      </c>
      <c r="B80" s="237" t="s">
        <v>221</v>
      </c>
      <c r="C80" s="365" t="s">
        <v>1178</v>
      </c>
      <c r="D80" s="1024">
        <f>VLOOKUP(A80,'[22]2122 Band Moderations'!$B$5:$S$22,6,(FALSE))</f>
        <v>0.42424242424242425</v>
      </c>
      <c r="E80" s="1024">
        <f>VLOOKUP(A80,'[22]2122 Band Moderations'!$B$5:$S$22,8,(FALSE))</f>
        <v>0.29292929292929293</v>
      </c>
      <c r="F80" s="1024">
        <f>VLOOKUP(A80,'[22]2122 Band Moderations'!$B$5:$S$22,10,(FALSE))</f>
        <v>0.14141414141414141</v>
      </c>
      <c r="G80" s="1024">
        <f>VLOOKUP(A80,'[22]2122 Band Moderations'!$B$5:$S$22,12,(FALSE))</f>
        <v>3.0303030303030304E-2</v>
      </c>
      <c r="H80" s="1024">
        <f>VLOOKUP(A80,'[22]2122 Band Moderations'!$B$5:$S$22,14,(FALSE))</f>
        <v>4.0404040404040407E-2</v>
      </c>
      <c r="I80" s="1024">
        <f>VLOOKUP(A80,'[22]2122 Band Moderations'!$B$5:$S$22,16,(FALSE))</f>
        <v>6.0606060606060608E-2</v>
      </c>
      <c r="J80" s="1024">
        <f>VLOOKUP(A80,'[22]2122 Band Moderations'!$B$5:$S$22,18,(FALSE))</f>
        <v>1.0101010101010102E-2</v>
      </c>
      <c r="K80" s="451">
        <v>32</v>
      </c>
      <c r="L80" s="1025">
        <f t="shared" si="15"/>
        <v>188397.85889604181</v>
      </c>
      <c r="M80" s="1025">
        <f t="shared" si="16"/>
        <v>7949.3602693602679</v>
      </c>
      <c r="N80" s="1025">
        <f t="shared" si="19"/>
        <v>196347.21916540209</v>
      </c>
      <c r="O80" s="1026">
        <f t="shared" si="18"/>
        <v>213333.33333333331</v>
      </c>
      <c r="P80" s="1026">
        <f>(VLOOKUP(A80,'[22]2122 Funding Detail'!$A$4:$Y$21,23,FALSE)*8/12)*K80</f>
        <v>84449.336464654843</v>
      </c>
      <c r="Q80" s="235"/>
      <c r="R80" s="235">
        <f t="shared" si="17"/>
        <v>4929.5490450355092</v>
      </c>
      <c r="S80" s="269"/>
      <c r="T80" s="280"/>
    </row>
    <row r="81" spans="1:20" s="36" customFormat="1" x14ac:dyDescent="0.25">
      <c r="A81" s="244">
        <v>9257002</v>
      </c>
      <c r="B81" s="237" t="s">
        <v>213</v>
      </c>
      <c r="C81" s="365">
        <v>5</v>
      </c>
      <c r="D81" s="1024">
        <f>VLOOKUP(A81,'[22]2122 Band Moderations'!$B$5:$S$22,6,(FALSE))</f>
        <v>0.3546099290780142</v>
      </c>
      <c r="E81" s="1024">
        <f>VLOOKUP(A81,'[22]2122 Band Moderations'!$B$5:$S$22,8,(FALSE))</f>
        <v>0.38297872340425532</v>
      </c>
      <c r="F81" s="1024">
        <f>VLOOKUP(A81,'[22]2122 Band Moderations'!$B$5:$S$22,10,(FALSE))</f>
        <v>0.1276595744680851</v>
      </c>
      <c r="G81" s="1024">
        <f>VLOOKUP(A81,'[22]2122 Band Moderations'!$B$5:$S$22,12,(FALSE))</f>
        <v>2.8368794326241134E-2</v>
      </c>
      <c r="H81" s="1024">
        <f>VLOOKUP(A81,'[22]2122 Band Moderations'!$B$5:$S$22,14,(FALSE))</f>
        <v>2.1276595744680851E-2</v>
      </c>
      <c r="I81" s="1024">
        <f>VLOOKUP(A81,'[22]2122 Band Moderations'!$B$5:$S$22,16,(FALSE))</f>
        <v>7.8014184397163122E-2</v>
      </c>
      <c r="J81" s="1024">
        <f>VLOOKUP(A81,'[22]2122 Band Moderations'!$B$5:$S$22,18,(FALSE))</f>
        <v>7.0921985815602835E-3</v>
      </c>
      <c r="K81" s="451">
        <v>0</v>
      </c>
      <c r="L81" s="1025">
        <f t="shared" si="15"/>
        <v>0</v>
      </c>
      <c r="M81" s="1025">
        <f t="shared" si="16"/>
        <v>0</v>
      </c>
      <c r="N81" s="1025">
        <f t="shared" si="19"/>
        <v>0</v>
      </c>
      <c r="O81" s="1026">
        <f t="shared" si="18"/>
        <v>0</v>
      </c>
      <c r="P81" s="1026">
        <f>(VLOOKUP(A81,'[22]2122 Funding Detail'!$A$4:$Y$21,23,FALSE)*8/12)*K81</f>
        <v>0</v>
      </c>
      <c r="Q81" s="235"/>
      <c r="R81" s="235">
        <f t="shared" si="17"/>
        <v>0</v>
      </c>
      <c r="S81" s="269"/>
      <c r="T81" s="280"/>
    </row>
    <row r="82" spans="1:20" s="36" customFormat="1" x14ac:dyDescent="0.25">
      <c r="A82" s="244">
        <v>9257009</v>
      </c>
      <c r="B82" s="237" t="s">
        <v>214</v>
      </c>
      <c r="C82" s="365" t="s">
        <v>1178</v>
      </c>
      <c r="D82" s="1024">
        <f>VLOOKUP(A82,'[22]2122 Band Moderations'!$B$5:$S$22,6,(FALSE))</f>
        <v>0.23200000000000001</v>
      </c>
      <c r="E82" s="1024">
        <f>VLOOKUP(A82,'[22]2122 Band Moderations'!$B$5:$S$22,8,(FALSE))</f>
        <v>0.57599999999999996</v>
      </c>
      <c r="F82" s="1024">
        <f>VLOOKUP(A82,'[22]2122 Band Moderations'!$B$5:$S$22,10,(FALSE))</f>
        <v>0.08</v>
      </c>
      <c r="G82" s="1024">
        <f>VLOOKUP(A82,'[22]2122 Band Moderations'!$B$5:$S$22,12,(FALSE))</f>
        <v>2.4E-2</v>
      </c>
      <c r="H82" s="1024">
        <f>VLOOKUP(A82,'[22]2122 Band Moderations'!$B$5:$S$22,14,(FALSE))</f>
        <v>8.0000000000000002E-3</v>
      </c>
      <c r="I82" s="1024">
        <f>VLOOKUP(A82,'[22]2122 Band Moderations'!$B$5:$S$22,16,(FALSE))</f>
        <v>0.08</v>
      </c>
      <c r="J82" s="1024">
        <f>VLOOKUP(A82,'[22]2122 Band Moderations'!$B$5:$S$22,18,(FALSE))</f>
        <v>0</v>
      </c>
      <c r="K82" s="451">
        <v>0</v>
      </c>
      <c r="L82" s="1025">
        <f t="shared" si="15"/>
        <v>0</v>
      </c>
      <c r="M82" s="1025">
        <f t="shared" si="16"/>
        <v>0</v>
      </c>
      <c r="N82" s="1025">
        <f t="shared" si="19"/>
        <v>0</v>
      </c>
      <c r="O82" s="1026">
        <f t="shared" si="18"/>
        <v>0</v>
      </c>
      <c r="P82" s="1026">
        <f>(VLOOKUP(A82,'[22]2122 Funding Detail'!$A$4:$Y$21,23,FALSE)*8/12)*K82</f>
        <v>0</v>
      </c>
      <c r="Q82" s="235"/>
      <c r="R82" s="235">
        <f t="shared" si="17"/>
        <v>0</v>
      </c>
      <c r="S82" s="269"/>
      <c r="T82" s="280"/>
    </row>
    <row r="83" spans="1:20" s="36" customFormat="1" x14ac:dyDescent="0.25">
      <c r="A83" s="244">
        <v>9257029</v>
      </c>
      <c r="B83" s="237" t="s">
        <v>890</v>
      </c>
      <c r="C83" s="365" t="s">
        <v>1179</v>
      </c>
      <c r="D83" s="1024">
        <f>VLOOKUP(A83,'[22]2122 Band Moderations'!$B$5:$S$22,6,(FALSE))</f>
        <v>0</v>
      </c>
      <c r="E83" s="1024">
        <f>VLOOKUP(A83,'[22]2122 Band Moderations'!$B$5:$S$22,8,(FALSE))</f>
        <v>0</v>
      </c>
      <c r="F83" s="1024">
        <f>VLOOKUP(A83,'[22]2122 Band Moderations'!$B$5:$S$22,10,(FALSE))</f>
        <v>1</v>
      </c>
      <c r="G83" s="1024">
        <f>VLOOKUP(A83,'[22]2122 Band Moderations'!$B$5:$S$22,12,(FALSE))</f>
        <v>0</v>
      </c>
      <c r="H83" s="1024">
        <f>VLOOKUP(A83,'[22]2122 Band Moderations'!$B$5:$S$22,14,(FALSE))</f>
        <v>0</v>
      </c>
      <c r="I83" s="1024">
        <f>VLOOKUP(A83,'[22]2122 Band Moderations'!$B$5:$S$22,16,(FALSE))</f>
        <v>0</v>
      </c>
      <c r="J83" s="1024">
        <f>VLOOKUP(A83,'[22]2122 Band Moderations'!$B$5:$S$22,18,(FALSE))</f>
        <v>0</v>
      </c>
      <c r="K83" s="451">
        <v>0</v>
      </c>
      <c r="L83" s="1025">
        <f t="shared" si="15"/>
        <v>0</v>
      </c>
      <c r="M83" s="1025">
        <f t="shared" si="16"/>
        <v>0</v>
      </c>
      <c r="N83" s="1025">
        <f t="shared" si="19"/>
        <v>0</v>
      </c>
      <c r="O83" s="1026">
        <f t="shared" si="18"/>
        <v>0</v>
      </c>
      <c r="P83" s="1026">
        <f>(VLOOKUP(A83,'[22]2122 Funding Detail'!$A$4:$Y$21,23,FALSE)*8/12)*K83</f>
        <v>0</v>
      </c>
      <c r="Q83" s="235"/>
      <c r="R83" s="235">
        <f t="shared" si="17"/>
        <v>0</v>
      </c>
      <c r="S83" s="269"/>
      <c r="T83" s="280"/>
    </row>
    <row r="84" spans="1:20" s="36" customFormat="1" x14ac:dyDescent="0.25">
      <c r="A84" s="244">
        <v>9257032</v>
      </c>
      <c r="B84" s="237" t="s">
        <v>1043</v>
      </c>
      <c r="C84" s="365" t="s">
        <v>1179</v>
      </c>
      <c r="D84" s="1024">
        <f>VLOOKUP(A84,'[22]2122 Band Moderations'!$B$5:$S$22,6,(FALSE))</f>
        <v>0</v>
      </c>
      <c r="E84" s="1024">
        <f>VLOOKUP(A84,'[22]2122 Band Moderations'!$B$5:$S$22,8,(FALSE))</f>
        <v>0</v>
      </c>
      <c r="F84" s="1024">
        <f>VLOOKUP(A84,'[22]2122 Band Moderations'!$B$5:$S$22,10,(FALSE))</f>
        <v>1</v>
      </c>
      <c r="G84" s="1024">
        <f>VLOOKUP(A84,'[22]2122 Band Moderations'!$B$5:$S$22,12,(FALSE))</f>
        <v>0</v>
      </c>
      <c r="H84" s="1024">
        <f>VLOOKUP(A84,'[22]2122 Band Moderations'!$B$5:$S$22,14,(FALSE))</f>
        <v>0</v>
      </c>
      <c r="I84" s="1024">
        <f>VLOOKUP(A84,'[22]2122 Band Moderations'!$B$5:$S$22,16,(FALSE))</f>
        <v>0</v>
      </c>
      <c r="J84" s="1024">
        <f>VLOOKUP(A84,'[22]2122 Band Moderations'!$B$5:$S$22,18,(FALSE))</f>
        <v>0</v>
      </c>
      <c r="K84" s="451">
        <v>0</v>
      </c>
      <c r="L84" s="1025">
        <f t="shared" si="15"/>
        <v>0</v>
      </c>
      <c r="M84" s="1025">
        <f t="shared" si="16"/>
        <v>0</v>
      </c>
      <c r="N84" s="1025">
        <f t="shared" si="19"/>
        <v>0</v>
      </c>
      <c r="O84" s="1026">
        <f t="shared" si="18"/>
        <v>0</v>
      </c>
      <c r="P84" s="1026">
        <f>(VLOOKUP(A84,'[22]2122 Funding Detail'!$A$4:$Y$21,23,FALSE)*8/12)*K84</f>
        <v>0</v>
      </c>
      <c r="Q84" s="235"/>
      <c r="R84" s="235">
        <f t="shared" si="17"/>
        <v>0</v>
      </c>
      <c r="S84" s="269"/>
      <c r="T84" s="280"/>
    </row>
    <row r="85" spans="1:20" s="36" customFormat="1" x14ac:dyDescent="0.25">
      <c r="A85" s="244">
        <v>9257030</v>
      </c>
      <c r="B85" s="237" t="s">
        <v>1046</v>
      </c>
      <c r="C85" s="365" t="s">
        <v>1179</v>
      </c>
      <c r="D85" s="1024">
        <f>VLOOKUP(A85,'[22]2122 Band Moderations'!$B$5:$S$22,6,(FALSE))</f>
        <v>0</v>
      </c>
      <c r="E85" s="1024">
        <f>VLOOKUP(A85,'[22]2122 Band Moderations'!$B$5:$S$22,8,(FALSE))</f>
        <v>0</v>
      </c>
      <c r="F85" s="1024">
        <f>VLOOKUP(A85,'[22]2122 Band Moderations'!$B$5:$S$22,10,(FALSE))</f>
        <v>1</v>
      </c>
      <c r="G85" s="1024">
        <f>VLOOKUP(A85,'[22]2122 Band Moderations'!$B$5:$S$22,12,(FALSE))</f>
        <v>0</v>
      </c>
      <c r="H85" s="1024">
        <f>VLOOKUP(A85,'[22]2122 Band Moderations'!$B$5:$S$22,14,(FALSE))</f>
        <v>0</v>
      </c>
      <c r="I85" s="1024">
        <f>VLOOKUP(A85,'[22]2122 Band Moderations'!$B$5:$S$22,16,(FALSE))</f>
        <v>0</v>
      </c>
      <c r="J85" s="1024">
        <f>VLOOKUP(A85,'[22]2122 Band Moderations'!$B$5:$S$22,18,(FALSE))</f>
        <v>0</v>
      </c>
      <c r="K85" s="451">
        <v>0</v>
      </c>
      <c r="L85" s="1025">
        <f t="shared" si="15"/>
        <v>0</v>
      </c>
      <c r="M85" s="1025">
        <f t="shared" si="16"/>
        <v>0</v>
      </c>
      <c r="N85" s="1025">
        <f t="shared" si="19"/>
        <v>0</v>
      </c>
      <c r="O85" s="1026">
        <f t="shared" si="18"/>
        <v>0</v>
      </c>
      <c r="P85" s="1026">
        <f>(VLOOKUP(A85,'[22]2122 Funding Detail'!$A$4:$Y$21,23,FALSE)*8/12)*K85</f>
        <v>0</v>
      </c>
      <c r="Q85" s="235"/>
      <c r="R85" s="235">
        <f t="shared" si="17"/>
        <v>0</v>
      </c>
      <c r="S85" s="269"/>
      <c r="T85" s="280"/>
    </row>
    <row r="86" spans="1:20" s="36" customFormat="1" x14ac:dyDescent="0.25">
      <c r="A86" s="244">
        <v>9257028</v>
      </c>
      <c r="B86" s="237" t="s">
        <v>215</v>
      </c>
      <c r="C86" s="365">
        <v>5</v>
      </c>
      <c r="D86" s="1024">
        <f>VLOOKUP(A86,'[22]2122 Band Moderations'!$B$5:$S$22,6,(FALSE))</f>
        <v>8.9108910891089105E-2</v>
      </c>
      <c r="E86" s="1024">
        <f>VLOOKUP(A86,'[22]2122 Band Moderations'!$B$5:$S$22,8,(FALSE))</f>
        <v>0.40594059405940597</v>
      </c>
      <c r="F86" s="1024">
        <f>VLOOKUP(A86,'[22]2122 Band Moderations'!$B$5:$S$22,10,(FALSE))</f>
        <v>7.9207920792079209E-2</v>
      </c>
      <c r="G86" s="1024">
        <f>VLOOKUP(A86,'[22]2122 Band Moderations'!$B$5:$S$22,12,(FALSE))</f>
        <v>8.9108910891089105E-2</v>
      </c>
      <c r="H86" s="1024">
        <f>VLOOKUP(A86,'[22]2122 Band Moderations'!$B$5:$S$22,14,(FALSE))</f>
        <v>0.12871287128712872</v>
      </c>
      <c r="I86" s="1024">
        <f>VLOOKUP(A86,'[22]2122 Band Moderations'!$B$5:$S$22,16,(FALSE))</f>
        <v>9.9009900990099015E-2</v>
      </c>
      <c r="J86" s="1024">
        <f>VLOOKUP(A86,'[22]2122 Band Moderations'!$B$5:$S$22,18,(FALSE))</f>
        <v>0.10891089108910891</v>
      </c>
      <c r="K86" s="451">
        <v>5</v>
      </c>
      <c r="L86" s="1025">
        <f t="shared" si="15"/>
        <v>39682.059537821784</v>
      </c>
      <c r="M86" s="1025">
        <f t="shared" si="16"/>
        <v>695.70957095709559</v>
      </c>
      <c r="N86" s="1025">
        <f t="shared" si="19"/>
        <v>40377.769108778877</v>
      </c>
      <c r="O86" s="1026">
        <f t="shared" si="18"/>
        <v>33333.333333333328</v>
      </c>
      <c r="P86" s="1026">
        <f>(VLOOKUP(A86,'[22]2122 Funding Detail'!$A$4:$Y$21,23,FALSE)*8/12)*K86</f>
        <v>23518.825077080015</v>
      </c>
      <c r="Q86" s="235"/>
      <c r="R86" s="235">
        <f t="shared" si="17"/>
        <v>8304.8869276665664</v>
      </c>
      <c r="S86" s="269"/>
      <c r="T86" s="280"/>
    </row>
    <row r="87" spans="1:20" s="36" customFormat="1" x14ac:dyDescent="0.25">
      <c r="A87" s="244">
        <v>9257021</v>
      </c>
      <c r="B87" s="237" t="s">
        <v>216</v>
      </c>
      <c r="C87" s="365" t="s">
        <v>1180</v>
      </c>
      <c r="D87" s="1024">
        <f>VLOOKUP(A87,'[22]2122 Band Moderations'!$B$5:$S$22,6,(FALSE))</f>
        <v>0.26829268292682928</v>
      </c>
      <c r="E87" s="1024">
        <f>VLOOKUP(A87,'[22]2122 Band Moderations'!$B$5:$S$22,8,(FALSE))</f>
        <v>0.42682926829268292</v>
      </c>
      <c r="F87" s="1024">
        <f>VLOOKUP(A87,'[22]2122 Band Moderations'!$B$5:$S$22,10,(FALSE))</f>
        <v>7.926829268292683E-2</v>
      </c>
      <c r="G87" s="1024">
        <f>VLOOKUP(A87,'[22]2122 Band Moderations'!$B$5:$S$22,12,(FALSE))</f>
        <v>6.7073170731707321E-2</v>
      </c>
      <c r="H87" s="1024">
        <f>VLOOKUP(A87,'[22]2122 Band Moderations'!$B$5:$S$22,14,(FALSE))</f>
        <v>5.4878048780487805E-2</v>
      </c>
      <c r="I87" s="1024">
        <f>VLOOKUP(A87,'[22]2122 Band Moderations'!$B$5:$S$22,16,(FALSE))</f>
        <v>9.1463414634146339E-2</v>
      </c>
      <c r="J87" s="1024">
        <f>VLOOKUP(A87,'[22]2122 Band Moderations'!$B$5:$S$22,18,(FALSE))</f>
        <v>1.2195121951219513E-2</v>
      </c>
      <c r="K87" s="451">
        <v>0</v>
      </c>
      <c r="L87" s="1025">
        <f t="shared" si="15"/>
        <v>0</v>
      </c>
      <c r="M87" s="1025">
        <f t="shared" si="16"/>
        <v>0</v>
      </c>
      <c r="N87" s="1025">
        <f t="shared" si="19"/>
        <v>0</v>
      </c>
      <c r="O87" s="1026">
        <f t="shared" si="18"/>
        <v>0</v>
      </c>
      <c r="P87" s="1026">
        <f>(VLOOKUP(A87,'[22]2122 Funding Detail'!$A$4:$Y$21,23,FALSE)*8/12)*K87</f>
        <v>0</v>
      </c>
      <c r="Q87" s="235"/>
      <c r="R87" s="235">
        <f t="shared" si="17"/>
        <v>0</v>
      </c>
      <c r="S87" s="269"/>
      <c r="T87" s="280"/>
    </row>
    <row r="88" spans="1:20" s="36" customFormat="1" x14ac:dyDescent="0.25">
      <c r="A88" s="244">
        <v>9257015</v>
      </c>
      <c r="B88" s="237" t="s">
        <v>217</v>
      </c>
      <c r="C88" s="365" t="s">
        <v>1181</v>
      </c>
      <c r="D88" s="1024">
        <f>VLOOKUP(A88,'[22]2122 Band Moderations'!$B$5:$S$22,6,(FALSE))</f>
        <v>0.33185840707964603</v>
      </c>
      <c r="E88" s="1024">
        <f>VLOOKUP(A88,'[22]2122 Band Moderations'!$B$5:$S$22,8,(FALSE))</f>
        <v>0.38495575221238937</v>
      </c>
      <c r="F88" s="1024">
        <f>VLOOKUP(A88,'[22]2122 Band Moderations'!$B$5:$S$22,10,(FALSE))</f>
        <v>1.7699115044247787E-2</v>
      </c>
      <c r="G88" s="1024">
        <f>VLOOKUP(A88,'[22]2122 Band Moderations'!$B$5:$S$22,12,(FALSE))</f>
        <v>8.8495575221238937E-2</v>
      </c>
      <c r="H88" s="1024">
        <f>VLOOKUP(A88,'[22]2122 Band Moderations'!$B$5:$S$22,14,(FALSE))</f>
        <v>2.2123893805309734E-2</v>
      </c>
      <c r="I88" s="1024">
        <f>VLOOKUP(A88,'[22]2122 Band Moderations'!$B$5:$S$22,16,(FALSE))</f>
        <v>0.1415929203539823</v>
      </c>
      <c r="J88" s="1024">
        <f>VLOOKUP(A88,'[22]2122 Band Moderations'!$B$5:$S$22,18,(FALSE))</f>
        <v>1.3274336283185841E-2</v>
      </c>
      <c r="K88" s="451">
        <v>3</v>
      </c>
      <c r="L88" s="1025">
        <f t="shared" si="15"/>
        <v>18842.325594209979</v>
      </c>
      <c r="M88" s="1025">
        <f t="shared" si="16"/>
        <v>93.274336283185846</v>
      </c>
      <c r="N88" s="1025">
        <f t="shared" si="19"/>
        <v>18935.599930493165</v>
      </c>
      <c r="O88" s="1026">
        <f t="shared" si="18"/>
        <v>20000</v>
      </c>
      <c r="P88" s="1026">
        <f>(VLOOKUP(A88,'[22]2122 Funding Detail'!$A$4:$Y$21,23,FALSE)*8/12)*K88</f>
        <v>4999.5660247569576</v>
      </c>
      <c r="Q88" s="235"/>
      <c r="R88" s="235">
        <f t="shared" si="17"/>
        <v>607.33243903852838</v>
      </c>
      <c r="S88" s="269"/>
      <c r="T88" s="280"/>
    </row>
    <row r="89" spans="1:20" s="36" customFormat="1" x14ac:dyDescent="0.25">
      <c r="A89" s="244">
        <v>9257016</v>
      </c>
      <c r="B89" s="237" t="s">
        <v>219</v>
      </c>
      <c r="C89" s="365" t="s">
        <v>1181</v>
      </c>
      <c r="D89" s="1024">
        <f>VLOOKUP(A89,'[22]2122 Band Moderations'!$B$5:$S$22,6,(FALSE))</f>
        <v>0.18012422360248448</v>
      </c>
      <c r="E89" s="1024">
        <f>VLOOKUP(A89,'[22]2122 Band Moderations'!$B$5:$S$22,8,(FALSE))</f>
        <v>0.15527950310559005</v>
      </c>
      <c r="F89" s="1024">
        <f>VLOOKUP(A89,'[22]2122 Band Moderations'!$B$5:$S$22,10,(FALSE))</f>
        <v>6.2111801242236021E-3</v>
      </c>
      <c r="G89" s="1024">
        <f>VLOOKUP(A89,'[22]2122 Band Moderations'!$B$5:$S$22,12,(FALSE))</f>
        <v>0.2236024844720497</v>
      </c>
      <c r="H89" s="1024">
        <f>VLOOKUP(A89,'[22]2122 Band Moderations'!$B$5:$S$22,14,(FALSE))</f>
        <v>0.21118012422360249</v>
      </c>
      <c r="I89" s="1024">
        <f>VLOOKUP(A89,'[22]2122 Band Moderations'!$B$5:$S$22,16,(FALSE))</f>
        <v>1.2422360248447204E-2</v>
      </c>
      <c r="J89" s="1024">
        <f>VLOOKUP(A89,'[22]2122 Band Moderations'!$B$5:$S$22,18,(FALSE))</f>
        <v>0.21118012422360249</v>
      </c>
      <c r="K89" s="451">
        <v>59</v>
      </c>
      <c r="L89" s="1025">
        <f t="shared" si="15"/>
        <v>547577.64569684304</v>
      </c>
      <c r="M89" s="1025">
        <f t="shared" si="16"/>
        <v>643.74741200828146</v>
      </c>
      <c r="N89" s="1025">
        <f t="shared" si="19"/>
        <v>548221.39310885128</v>
      </c>
      <c r="O89" s="1026">
        <f t="shared" si="18"/>
        <v>393333.33333333331</v>
      </c>
      <c r="P89" s="1026">
        <f>(VLOOKUP(A89,'[22]2122 Funding Detail'!$A$4:$Y$21,23,FALSE)*8/12)*K89</f>
        <v>322707.67190919403</v>
      </c>
      <c r="Q89" s="299" t="s">
        <v>207</v>
      </c>
      <c r="R89" s="235">
        <f t="shared" si="17"/>
        <v>190019.189256557</v>
      </c>
      <c r="S89" s="269"/>
      <c r="T89" s="280"/>
    </row>
    <row r="90" spans="1:20" s="36" customFormat="1" x14ac:dyDescent="0.25">
      <c r="F90" s="299" t="s">
        <v>207</v>
      </c>
      <c r="H90" s="234"/>
      <c r="I90" s="299" t="s">
        <v>207</v>
      </c>
      <c r="S90" s="288"/>
    </row>
    <row r="91" spans="1:20" s="36" customFormat="1" x14ac:dyDescent="0.25">
      <c r="I91" s="234"/>
      <c r="J91" s="234"/>
      <c r="S91" s="288"/>
    </row>
    <row r="92" spans="1:20" s="36" customFormat="1" ht="13" x14ac:dyDescent="0.3">
      <c r="B92" s="792" t="s">
        <v>1252</v>
      </c>
      <c r="E92" s="36" t="s">
        <v>735</v>
      </c>
      <c r="G92" s="235">
        <f>VLOOKUP(E92,'2122 Band Values'!$A$5:$BG$28,57,FALSE)</f>
        <v>6286.622831709632</v>
      </c>
      <c r="H92" s="281"/>
      <c r="I92" s="281"/>
      <c r="J92" s="281"/>
      <c r="K92" s="281"/>
      <c r="L92" s="281"/>
      <c r="M92" s="281"/>
      <c r="N92" s="281"/>
      <c r="O92" s="281"/>
      <c r="P92" s="281"/>
      <c r="Q92" s="281"/>
      <c r="S92" s="288"/>
    </row>
    <row r="93" spans="1:20" s="36" customFormat="1" x14ac:dyDescent="0.25">
      <c r="G93" s="235"/>
      <c r="H93" s="281"/>
      <c r="I93" s="281"/>
      <c r="J93" s="281"/>
      <c r="K93" s="281"/>
      <c r="L93" s="281"/>
      <c r="M93" s="281"/>
      <c r="N93" s="281"/>
      <c r="O93" s="281"/>
      <c r="P93" s="281"/>
      <c r="Q93" s="281"/>
      <c r="S93" s="288"/>
    </row>
    <row r="94" spans="1:20" s="36" customFormat="1" x14ac:dyDescent="0.25">
      <c r="E94" s="36" t="s">
        <v>736</v>
      </c>
      <c r="G94" s="235">
        <f>VLOOKUP(E94,'2122 Band Values'!$A$5:$BG$28,57,FALSE)</f>
        <v>7483.9238429115967</v>
      </c>
      <c r="H94" s="281"/>
      <c r="I94" s="281"/>
      <c r="J94" s="281"/>
      <c r="K94" s="281"/>
      <c r="L94" s="281"/>
      <c r="M94" s="281"/>
      <c r="N94" s="281"/>
      <c r="O94" s="281"/>
      <c r="P94" s="281"/>
      <c r="Q94" s="281"/>
      <c r="S94" s="288"/>
    </row>
    <row r="95" spans="1:20" s="36" customFormat="1" x14ac:dyDescent="0.25">
      <c r="G95" s="235"/>
      <c r="H95" s="281"/>
      <c r="I95" s="402"/>
      <c r="J95" s="281"/>
      <c r="K95" s="281"/>
      <c r="L95" s="281"/>
      <c r="M95" s="281"/>
      <c r="N95" s="281"/>
      <c r="O95" s="281"/>
      <c r="P95" s="281"/>
      <c r="Q95" s="281"/>
      <c r="S95" s="288"/>
    </row>
    <row r="96" spans="1:20" s="36" customFormat="1" x14ac:dyDescent="0.25">
      <c r="E96" s="36" t="s">
        <v>737</v>
      </c>
      <c r="G96" s="235">
        <f>VLOOKUP(E96,'2122 Band Values'!$A$5:$BG$28,57,FALSE)</f>
        <v>12059.161550335179</v>
      </c>
      <c r="H96" s="281"/>
      <c r="I96" s="402"/>
      <c r="J96" s="281"/>
      <c r="K96" s="281"/>
      <c r="L96" s="281"/>
      <c r="M96" s="281"/>
      <c r="N96" s="281"/>
      <c r="O96" s="281"/>
      <c r="P96" s="281"/>
      <c r="Q96" s="281"/>
      <c r="S96" s="288"/>
    </row>
    <row r="97" spans="1:54" x14ac:dyDescent="0.25">
      <c r="G97" s="235"/>
      <c r="H97" s="281"/>
      <c r="I97" s="402"/>
      <c r="J97" s="281"/>
      <c r="K97" s="281"/>
      <c r="L97" s="281"/>
      <c r="M97" s="281"/>
      <c r="N97" s="281"/>
      <c r="O97" s="281"/>
      <c r="P97" s="281"/>
      <c r="Q97" s="281"/>
    </row>
    <row r="98" spans="1:54" x14ac:dyDescent="0.25">
      <c r="E98" s="36" t="s">
        <v>738</v>
      </c>
      <c r="G98" s="235">
        <f>VLOOKUP(E98,'2122 Band Values'!$A$5:$BG$28,57,FALSE)</f>
        <v>14998.922493994021</v>
      </c>
      <c r="H98" s="281"/>
      <c r="I98" s="402"/>
      <c r="J98" s="281"/>
      <c r="K98" s="281"/>
      <c r="L98" s="281"/>
      <c r="M98" s="281"/>
      <c r="N98" s="281"/>
      <c r="O98" s="281"/>
      <c r="P98" s="281"/>
      <c r="Q98" s="281"/>
    </row>
    <row r="99" spans="1:54" x14ac:dyDescent="0.25">
      <c r="G99" s="235"/>
      <c r="H99" s="281"/>
      <c r="I99" s="402"/>
      <c r="J99" s="281"/>
      <c r="K99" s="281"/>
      <c r="L99" s="281"/>
      <c r="M99" s="281"/>
      <c r="N99" s="281"/>
      <c r="O99" s="281"/>
      <c r="P99" s="281"/>
      <c r="Q99" s="281"/>
    </row>
    <row r="100" spans="1:54" x14ac:dyDescent="0.25">
      <c r="E100" s="36" t="s">
        <v>739</v>
      </c>
      <c r="G100" s="235">
        <f>VLOOKUP(E100,'2122 Band Values'!$A$5:$BG$28,57,FALSE)</f>
        <v>14998.922493994021</v>
      </c>
      <c r="H100" s="281"/>
      <c r="I100" s="402"/>
      <c r="J100" s="281"/>
      <c r="K100" s="281"/>
      <c r="L100" s="281"/>
      <c r="M100" s="281"/>
      <c r="N100" s="281"/>
      <c r="O100" s="281"/>
      <c r="P100" s="281"/>
      <c r="Q100" s="281"/>
    </row>
    <row r="101" spans="1:54" x14ac:dyDescent="0.25">
      <c r="G101" s="235"/>
      <c r="H101" s="281"/>
      <c r="I101" s="402"/>
      <c r="J101" s="281"/>
      <c r="K101" s="281"/>
      <c r="L101" s="281"/>
      <c r="M101" s="281"/>
      <c r="N101" s="281"/>
      <c r="O101" s="281"/>
      <c r="P101" s="281"/>
      <c r="Q101" s="281"/>
    </row>
    <row r="102" spans="1:54" x14ac:dyDescent="0.25">
      <c r="E102" s="36" t="s">
        <v>741</v>
      </c>
      <c r="G102" s="235">
        <f>VLOOKUP(E102,'2122 Band Values'!$A$5:$BG$28,57,FALSE)</f>
        <v>16085.825977239108</v>
      </c>
      <c r="H102" s="281"/>
      <c r="I102" s="402"/>
      <c r="J102" s="281"/>
      <c r="K102" s="281"/>
      <c r="L102" s="281"/>
      <c r="M102" s="281"/>
      <c r="N102" s="281"/>
      <c r="O102" s="281"/>
      <c r="P102" s="281"/>
      <c r="Q102" s="281"/>
    </row>
    <row r="103" spans="1:54" x14ac:dyDescent="0.25">
      <c r="G103" s="235"/>
      <c r="H103" s="281"/>
      <c r="I103" s="402"/>
      <c r="J103" s="281"/>
      <c r="K103" s="281"/>
      <c r="L103" s="281"/>
      <c r="M103" s="281"/>
      <c r="N103" s="281"/>
      <c r="O103" s="281"/>
      <c r="P103" s="281"/>
      <c r="Q103" s="281"/>
    </row>
    <row r="104" spans="1:54" x14ac:dyDescent="0.25">
      <c r="E104" s="36" t="s">
        <v>743</v>
      </c>
      <c r="G104" s="235">
        <f>VLOOKUP(E104,'2122 Band Values'!$A$5:$BG$28,57,FALSE)</f>
        <v>22876.188537117905</v>
      </c>
      <c r="H104" s="281"/>
      <c r="I104" s="402"/>
      <c r="J104" s="281"/>
      <c r="K104" s="281"/>
      <c r="L104" s="281"/>
      <c r="M104" s="281"/>
      <c r="N104" s="281"/>
      <c r="O104" s="281"/>
      <c r="P104" s="281"/>
      <c r="Q104" s="281"/>
    </row>
    <row r="105" spans="1:54" ht="14" x14ac:dyDescent="0.3">
      <c r="B105" s="37"/>
      <c r="C105" s="38"/>
      <c r="D105" s="39"/>
      <c r="E105" s="281"/>
      <c r="G105" s="235"/>
      <c r="H105" s="282"/>
      <c r="I105" s="402"/>
      <c r="J105" s="281"/>
      <c r="K105" s="282"/>
      <c r="L105" s="282"/>
      <c r="M105" s="282"/>
      <c r="N105" s="282"/>
      <c r="O105" s="282"/>
      <c r="P105" s="282"/>
      <c r="Q105" s="282"/>
    </row>
    <row r="106" spans="1:54" ht="14" x14ac:dyDescent="0.3">
      <c r="B106" s="40"/>
      <c r="C106" s="38"/>
      <c r="E106" s="36" t="s">
        <v>1253</v>
      </c>
      <c r="G106" s="235">
        <f>VLOOKUP(E106,'2122 Band Values'!$A$5:$BG$28,57,FALSE)</f>
        <v>2635</v>
      </c>
      <c r="H106" s="281"/>
      <c r="I106" s="402"/>
      <c r="J106" s="281"/>
      <c r="K106" s="281"/>
      <c r="L106" s="281"/>
      <c r="M106" s="281"/>
      <c r="N106" s="281"/>
      <c r="O106" s="281"/>
      <c r="P106" s="281"/>
      <c r="Q106" s="281"/>
    </row>
    <row r="107" spans="1:54" x14ac:dyDescent="0.25">
      <c r="F107" s="402"/>
      <c r="G107" s="234"/>
      <c r="I107" s="36"/>
      <c r="J107" s="36"/>
      <c r="AN107" s="234"/>
      <c r="AO107" s="234"/>
      <c r="AR107" s="234"/>
      <c r="AS107" s="234"/>
      <c r="AT107" s="234"/>
      <c r="AV107" s="36"/>
      <c r="AW107" s="36"/>
      <c r="AZ107" s="36"/>
      <c r="BA107" s="36"/>
      <c r="BB107" s="36"/>
    </row>
    <row r="108" spans="1:54" x14ac:dyDescent="0.25">
      <c r="F108" s="234"/>
      <c r="G108" s="234"/>
      <c r="I108" s="36"/>
      <c r="J108" s="36"/>
      <c r="AN108" s="234"/>
      <c r="AO108" s="234"/>
      <c r="AR108" s="234"/>
      <c r="AS108" s="234"/>
      <c r="AT108" s="234"/>
      <c r="AV108" s="36"/>
      <c r="AW108" s="36"/>
      <c r="AZ108" s="36"/>
      <c r="BA108" s="36"/>
      <c r="BB108" s="36"/>
    </row>
    <row r="109" spans="1:54" ht="12.75" customHeight="1" x14ac:dyDescent="0.25">
      <c r="F109" s="234"/>
      <c r="G109" s="234"/>
      <c r="I109" s="36"/>
      <c r="J109" s="36"/>
      <c r="AN109" s="234"/>
      <c r="AO109" s="234"/>
      <c r="AR109" s="234"/>
      <c r="AS109" s="234"/>
      <c r="AT109" s="234"/>
      <c r="AV109" s="36"/>
      <c r="AW109" s="36"/>
      <c r="AZ109" s="36"/>
      <c r="BA109" s="36"/>
      <c r="BB109" s="36"/>
    </row>
    <row r="110" spans="1:54" ht="12.75" customHeight="1" x14ac:dyDescent="0.3">
      <c r="D110" s="1448" t="s">
        <v>284</v>
      </c>
      <c r="E110" s="1449"/>
      <c r="F110" s="1450"/>
      <c r="G110" s="1448" t="s">
        <v>264</v>
      </c>
      <c r="H110" s="1449"/>
      <c r="I110" s="1450"/>
      <c r="J110" s="170" t="s">
        <v>285</v>
      </c>
      <c r="K110" s="1448" t="s">
        <v>284</v>
      </c>
      <c r="L110" s="1449"/>
      <c r="M110" s="1450"/>
      <c r="N110" s="1448" t="s">
        <v>264</v>
      </c>
      <c r="O110" s="1449"/>
      <c r="P110" s="1450"/>
      <c r="Q110" s="170" t="s">
        <v>285</v>
      </c>
      <c r="R110" s="171" t="s">
        <v>285</v>
      </c>
      <c r="S110" s="450"/>
      <c r="T110" s="173"/>
      <c r="AI110" s="1443" t="s">
        <v>286</v>
      </c>
      <c r="AL110" s="234"/>
      <c r="AM110" s="234"/>
      <c r="AP110" s="234"/>
      <c r="AQ110" s="234"/>
      <c r="AR110" s="234"/>
      <c r="AV110" s="36"/>
      <c r="AW110" s="36"/>
      <c r="AZ110" s="36"/>
      <c r="BA110" s="36"/>
      <c r="BB110" s="36"/>
    </row>
    <row r="111" spans="1:54" ht="41.25" customHeight="1" x14ac:dyDescent="0.3">
      <c r="A111" s="283" t="s">
        <v>182</v>
      </c>
      <c r="B111" s="284" t="s">
        <v>183</v>
      </c>
      <c r="C111" s="238" t="s">
        <v>184</v>
      </c>
      <c r="D111" s="241" t="str">
        <f t="shared" ref="D111:D129" si="20">L5</f>
        <v>Pre-16 Funding (Apr-Aug)</v>
      </c>
      <c r="E111" s="242" t="str">
        <f t="shared" ref="E111:E129" si="21">L49</f>
        <v>Pre-16 Funding (Sept-Mar)</v>
      </c>
      <c r="F111" s="96" t="s">
        <v>288</v>
      </c>
      <c r="G111" s="242" t="str">
        <f t="shared" ref="G111:G129" si="22">L27</f>
        <v>Post-16 Funding (Apr-Jul)</v>
      </c>
      <c r="H111" s="241" t="str">
        <f t="shared" ref="H111:H129" si="23">L71</f>
        <v>Post-16 Funding (Aug-Mar)</v>
      </c>
      <c r="I111" s="96" t="s">
        <v>289</v>
      </c>
      <c r="J111" s="96" t="s">
        <v>290</v>
      </c>
      <c r="K111" s="241" t="str">
        <f t="shared" ref="K111:K129" si="24">M5</f>
        <v>Additionality Funding (Apr-Aug)</v>
      </c>
      <c r="L111" s="241" t="str">
        <f t="shared" ref="L111:L129" si="25">M49</f>
        <v>Additionality Funding (Sept-Mar)</v>
      </c>
      <c r="M111" s="96" t="s">
        <v>291</v>
      </c>
      <c r="N111" s="241" t="str">
        <f t="shared" ref="N111:N129" si="26">M27</f>
        <v>Additionality Funding (Apr-Jul)</v>
      </c>
      <c r="O111" s="242" t="str">
        <f t="shared" ref="O111:O129" si="27">M71</f>
        <v>Additionality Funding (Aug-Mar)</v>
      </c>
      <c r="P111" s="96" t="s">
        <v>291</v>
      </c>
      <c r="Q111" s="96" t="s">
        <v>292</v>
      </c>
      <c r="R111" s="96" t="s">
        <v>189</v>
      </c>
      <c r="S111" s="1027" t="s">
        <v>293</v>
      </c>
      <c r="T111" s="241" t="s">
        <v>294</v>
      </c>
      <c r="U111" s="241" t="s">
        <v>888</v>
      </c>
      <c r="V111" s="241" t="s">
        <v>295</v>
      </c>
      <c r="W111" s="241" t="s">
        <v>267</v>
      </c>
      <c r="X111" s="96" t="s">
        <v>296</v>
      </c>
      <c r="Y111" s="323" t="s">
        <v>189</v>
      </c>
      <c r="Z111" s="241" t="s">
        <v>194</v>
      </c>
      <c r="AA111" s="241" t="s">
        <v>297</v>
      </c>
      <c r="AB111" s="241" t="s">
        <v>298</v>
      </c>
      <c r="AC111" s="96" t="s">
        <v>299</v>
      </c>
      <c r="AD111" s="241" t="s">
        <v>300</v>
      </c>
      <c r="AE111" s="241" t="s">
        <v>301</v>
      </c>
      <c r="AF111" s="96" t="s">
        <v>302</v>
      </c>
      <c r="AG111" s="96" t="s">
        <v>303</v>
      </c>
      <c r="AH111" s="284"/>
      <c r="AI111" s="1444"/>
      <c r="AL111" s="71" t="s">
        <v>1254</v>
      </c>
      <c r="AM111" s="823" t="s">
        <v>914</v>
      </c>
      <c r="AN111" s="823" t="s">
        <v>1187</v>
      </c>
      <c r="AO111" s="1028"/>
      <c r="AP111" s="824" t="s">
        <v>1188</v>
      </c>
      <c r="AQ111" s="823" t="s">
        <v>1189</v>
      </c>
      <c r="AR111" s="825" t="s">
        <v>1187</v>
      </c>
      <c r="AV111" s="36"/>
      <c r="AW111" s="36"/>
      <c r="AZ111" s="36"/>
      <c r="BA111" s="36"/>
      <c r="BB111" s="36"/>
    </row>
    <row r="112" spans="1:54" ht="13" x14ac:dyDescent="0.3">
      <c r="A112" s="244">
        <v>9257010</v>
      </c>
      <c r="B112" s="237" t="s">
        <v>205</v>
      </c>
      <c r="C112" s="238">
        <v>4</v>
      </c>
      <c r="D112" s="245">
        <f t="shared" si="20"/>
        <v>326909.60230054241</v>
      </c>
      <c r="E112" s="245">
        <f t="shared" si="21"/>
        <v>710182.92913566111</v>
      </c>
      <c r="F112" s="68">
        <f>SUM(D112:E112)</f>
        <v>1037092.5314362035</v>
      </c>
      <c r="G112" s="245">
        <f t="shared" si="22"/>
        <v>31563.685739362718</v>
      </c>
      <c r="H112" s="245">
        <f t="shared" si="23"/>
        <v>90181.959255322028</v>
      </c>
      <c r="I112" s="68">
        <f>SUM(G112:H112)</f>
        <v>121745.64499468474</v>
      </c>
      <c r="J112" s="68">
        <f>F112+I112</f>
        <v>1158838.1764308882</v>
      </c>
      <c r="K112" s="245">
        <f t="shared" si="24"/>
        <v>6064.6825396825398</v>
      </c>
      <c r="L112" s="245">
        <f t="shared" si="25"/>
        <v>13175.000000000002</v>
      </c>
      <c r="M112" s="68">
        <f>SUM(K112:L112)</f>
        <v>19239.682539682541</v>
      </c>
      <c r="N112" s="245">
        <f t="shared" si="26"/>
        <v>585.55555555555543</v>
      </c>
      <c r="O112" s="245">
        <f t="shared" si="27"/>
        <v>1673.0158730158728</v>
      </c>
      <c r="P112" s="68">
        <f>SUM(N112:O112)</f>
        <v>2258.5714285714284</v>
      </c>
      <c r="Q112" s="68">
        <f>M112+P112</f>
        <v>21498.253968253968</v>
      </c>
      <c r="R112" s="68">
        <f t="shared" ref="R112:R129" si="28">F112+I112+M112+P112</f>
        <v>1180336.4303991422</v>
      </c>
      <c r="S112" s="286">
        <f>(K6*(5/12))+(K50*(7/12))+(K28*(4/12))+(K72*(8/12))</f>
        <v>85.666666666666671</v>
      </c>
      <c r="T112" s="245">
        <f>R112/S112</f>
        <v>13778.246269250687</v>
      </c>
      <c r="U112" s="237"/>
      <c r="V112" s="245">
        <f>O6+O50</f>
        <v>766666.66666666674</v>
      </c>
      <c r="W112" s="245">
        <f>O28+O72</f>
        <v>89999.999999999985</v>
      </c>
      <c r="X112" s="245">
        <f>V112+W112</f>
        <v>856666.66666666674</v>
      </c>
      <c r="Y112" s="245">
        <f>VLOOKUP(A112,'[22]2122 Funding Detail'!$A$4:$Y$21,18,FALSE)</f>
        <v>1737106.0663593882</v>
      </c>
      <c r="Z112" s="245">
        <f>Y112-X112</f>
        <v>880439.39969272143</v>
      </c>
      <c r="AA112" s="245">
        <f t="shared" ref="AA112:AA129" si="29">P6</f>
        <v>248372.98240358874</v>
      </c>
      <c r="AB112" s="245">
        <f t="shared" ref="AB112:AB129" si="30">P50</f>
        <v>539568.89280779613</v>
      </c>
      <c r="AC112" s="245">
        <f>AA112+AB112</f>
        <v>787941.87521138485</v>
      </c>
      <c r="AD112" s="245">
        <f t="shared" ref="AD112:AD129" si="31">P28</f>
        <v>23980.8396803465</v>
      </c>
      <c r="AE112" s="245">
        <f t="shared" ref="AE112:AE129" si="32">P72</f>
        <v>68516.684800989999</v>
      </c>
      <c r="AF112" s="245">
        <f>AD112+AE112</f>
        <v>92497.524481336499</v>
      </c>
      <c r="AG112" s="245">
        <f>AC112+AF112</f>
        <v>880439.39969272132</v>
      </c>
      <c r="AH112" s="287"/>
      <c r="AI112" s="1029">
        <f>X112+AC112+AF112</f>
        <v>1737106.0663593882</v>
      </c>
      <c r="AJ112" s="247" t="s">
        <v>206</v>
      </c>
      <c r="AK112" s="297"/>
      <c r="AL112" s="235">
        <f>SUM(R6,R28,R50,R72)</f>
        <v>279960.97400187148</v>
      </c>
      <c r="AM112" s="270">
        <f>SUM('[22]1920 Band Calculations'!R6,'[22]1920 Band Calculations'!R28,'[22]1920 Band Calculations'!R50,'[22]1920 Band Calculations'!R72)</f>
        <v>154743.89373670361</v>
      </c>
      <c r="AN112" s="270">
        <f>AL112-AM112</f>
        <v>125217.08026516787</v>
      </c>
      <c r="AO112" s="1028"/>
      <c r="AP112" s="1030">
        <f>'[22]2021 Funding Detail'!M4-'[22]1920 Funding Detail'!M4</f>
        <v>3.9166666666666572</v>
      </c>
      <c r="AQ112" s="1030">
        <f>'[22]2021 Band Moderations'!R51</f>
        <v>2</v>
      </c>
      <c r="AR112" s="1030">
        <f t="shared" ref="AR112:AR128" si="33">AP112-AQ112</f>
        <v>1.9166666666666572</v>
      </c>
      <c r="AV112" s="36"/>
      <c r="AW112" s="36"/>
      <c r="AZ112" s="36"/>
      <c r="BA112" s="36"/>
      <c r="BB112" s="36"/>
    </row>
    <row r="113" spans="1:54" ht="13" x14ac:dyDescent="0.3">
      <c r="A113" s="244">
        <v>9257005</v>
      </c>
      <c r="B113" s="237" t="s">
        <v>208</v>
      </c>
      <c r="C113" s="238">
        <v>4</v>
      </c>
      <c r="D113" s="245">
        <f t="shared" si="20"/>
        <v>265639.03958644101</v>
      </c>
      <c r="E113" s="245">
        <f t="shared" si="21"/>
        <v>406979.0568758304</v>
      </c>
      <c r="F113" s="68">
        <f t="shared" ref="F113:F129" si="34">SUM(D113:E113)</f>
        <v>672618.09646227141</v>
      </c>
      <c r="G113" s="245">
        <f t="shared" si="22"/>
        <v>104250.79289430138</v>
      </c>
      <c r="H113" s="245">
        <f t="shared" si="23"/>
        <v>224540.16931080297</v>
      </c>
      <c r="I113" s="68">
        <f t="shared" ref="I113:I129" si="35">SUM(G113:H113)</f>
        <v>328790.96220510436</v>
      </c>
      <c r="J113" s="68">
        <f t="shared" ref="J113:J128" si="36">F113+I113</f>
        <v>1001409.0586673757</v>
      </c>
      <c r="K113" s="245">
        <f t="shared" si="24"/>
        <v>3636.8489583333335</v>
      </c>
      <c r="L113" s="245">
        <f t="shared" si="25"/>
        <v>5571.9270833333339</v>
      </c>
      <c r="M113" s="68">
        <f t="shared" ref="M113:M129" si="37">SUM(K113:L113)</f>
        <v>9208.7760416666679</v>
      </c>
      <c r="N113" s="245">
        <f t="shared" si="26"/>
        <v>1427.2916666666665</v>
      </c>
      <c r="O113" s="245">
        <f t="shared" si="27"/>
        <v>3074.1666666666665</v>
      </c>
      <c r="P113" s="68">
        <f t="shared" ref="P113:P129" si="38">SUM(N113:O113)</f>
        <v>4501.458333333333</v>
      </c>
      <c r="Q113" s="68">
        <f t="shared" ref="Q113:Q129" si="39">M113+P113</f>
        <v>13710.234375</v>
      </c>
      <c r="R113" s="68">
        <f t="shared" si="28"/>
        <v>1015119.2930423757</v>
      </c>
      <c r="S113" s="286">
        <f t="shared" ref="S113:S129" si="40">(K7*(5/12))+(K51*(7/12))+(K29*(4/12))+(K73*(8/12))</f>
        <v>83.25</v>
      </c>
      <c r="T113" s="245">
        <f t="shared" ref="T113:T129" si="41">R113/S113</f>
        <v>12193.625141650158</v>
      </c>
      <c r="U113" s="237"/>
      <c r="V113" s="245">
        <f t="shared" ref="V113:V129" si="42">O7+O51</f>
        <v>559166.66666666674</v>
      </c>
      <c r="W113" s="245">
        <f t="shared" ref="W113:W129" si="43">O29+O73</f>
        <v>273333.33333333331</v>
      </c>
      <c r="X113" s="245">
        <f t="shared" ref="X113:X129" si="44">V113+W113</f>
        <v>832500</v>
      </c>
      <c r="Y113" s="245">
        <f>VLOOKUP(A113,'[22]2122 Funding Detail'!$A$4:$Y$21,18,FALSE)</f>
        <v>1496549.102121766</v>
      </c>
      <c r="Z113" s="245">
        <f t="shared" ref="Z113:Z129" si="45">Y113-X113</f>
        <v>664049.10212176596</v>
      </c>
      <c r="AA113" s="245">
        <f t="shared" si="29"/>
        <v>176149.16122349148</v>
      </c>
      <c r="AB113" s="245">
        <f t="shared" si="30"/>
        <v>269873.80927070766</v>
      </c>
      <c r="AC113" s="245">
        <f t="shared" ref="AC113:AC129" si="46">AA113+AB113</f>
        <v>446022.97049419914</v>
      </c>
      <c r="AD113" s="245">
        <f t="shared" si="31"/>
        <v>69130.236857521173</v>
      </c>
      <c r="AE113" s="245">
        <f t="shared" si="32"/>
        <v>148895.89477004562</v>
      </c>
      <c r="AF113" s="245">
        <f t="shared" ref="AF113:AF129" si="47">AD113+AE113</f>
        <v>218026.13162756679</v>
      </c>
      <c r="AG113" s="245">
        <f t="shared" ref="AG113:AG129" si="48">AC113+AF113</f>
        <v>664049.10212176596</v>
      </c>
      <c r="AH113" s="287"/>
      <c r="AI113" s="1029">
        <f t="shared" ref="AI113:AI129" si="49">X113+AC113+AF113</f>
        <v>1496549.102121766</v>
      </c>
      <c r="AJ113" s="247" t="s">
        <v>206</v>
      </c>
      <c r="AK113" s="297"/>
      <c r="AL113" s="235">
        <f t="shared" ref="AL113:AL129" si="50">SUM(R7,R29,R51,R73)</f>
        <v>119027.6684821916</v>
      </c>
      <c r="AM113" s="270">
        <f>SUM('[22]1920 Band Calculations'!R7,'[22]1920 Band Calculations'!R29,'[22]1920 Band Calculations'!R51,'[22]1920 Band Calculations'!R73)</f>
        <v>133707.485907725</v>
      </c>
      <c r="AN113" s="270">
        <f t="shared" ref="AN113:AN129" si="51">AL113-AM113</f>
        <v>-14679.817425533402</v>
      </c>
      <c r="AO113" s="1028"/>
      <c r="AP113" s="1030">
        <f>'[22]2021 Funding Detail'!M5-'[22]1920 Funding Detail'!M5</f>
        <v>4.3333333333333286</v>
      </c>
      <c r="AQ113" s="1030">
        <f>'[22]2021 Band Moderations'!R52</f>
        <v>-2</v>
      </c>
      <c r="AR113" s="1030">
        <f t="shared" si="33"/>
        <v>6.3333333333333286</v>
      </c>
      <c r="AV113" s="36"/>
      <c r="AW113" s="36"/>
      <c r="AZ113" s="36"/>
      <c r="BA113" s="36"/>
      <c r="BB113" s="36"/>
    </row>
    <row r="114" spans="1:54" ht="13" x14ac:dyDescent="0.3">
      <c r="A114" s="244">
        <v>9257025</v>
      </c>
      <c r="B114" s="237" t="s">
        <v>209</v>
      </c>
      <c r="C114" s="238">
        <v>4</v>
      </c>
      <c r="D114" s="245">
        <f t="shared" si="20"/>
        <v>258197.02956478385</v>
      </c>
      <c r="E114" s="245">
        <f t="shared" si="21"/>
        <v>348565.98991245835</v>
      </c>
      <c r="F114" s="68">
        <f t="shared" si="34"/>
        <v>606763.01947724214</v>
      </c>
      <c r="G114" s="245">
        <f t="shared" si="22"/>
        <v>73770.579875652533</v>
      </c>
      <c r="H114" s="245">
        <f t="shared" si="23"/>
        <v>177049.39170156608</v>
      </c>
      <c r="I114" s="68">
        <f t="shared" si="35"/>
        <v>250819.97157721862</v>
      </c>
      <c r="J114" s="68">
        <f t="shared" si="36"/>
        <v>857582.99105446076</v>
      </c>
      <c r="K114" s="245">
        <f t="shared" si="24"/>
        <v>2395.4545454545455</v>
      </c>
      <c r="L114" s="245">
        <f t="shared" si="25"/>
        <v>3233.8636363636369</v>
      </c>
      <c r="M114" s="68">
        <f t="shared" si="37"/>
        <v>5629.318181818182</v>
      </c>
      <c r="N114" s="245">
        <f t="shared" si="26"/>
        <v>684.41558441558448</v>
      </c>
      <c r="O114" s="245">
        <f t="shared" si="27"/>
        <v>1642.5974025974024</v>
      </c>
      <c r="P114" s="68">
        <f t="shared" si="38"/>
        <v>2327.0129870129867</v>
      </c>
      <c r="Q114" s="68">
        <f t="shared" si="39"/>
        <v>7956.3311688311687</v>
      </c>
      <c r="R114" s="68">
        <f t="shared" si="28"/>
        <v>865539.32222329197</v>
      </c>
      <c r="S114" s="286">
        <f t="shared" si="40"/>
        <v>77.5</v>
      </c>
      <c r="T114" s="245">
        <f t="shared" si="41"/>
        <v>11168.24931901022</v>
      </c>
      <c r="U114" s="237"/>
      <c r="V114" s="245">
        <f t="shared" si="42"/>
        <v>548333.33333333337</v>
      </c>
      <c r="W114" s="245">
        <f t="shared" si="43"/>
        <v>226666.66666666666</v>
      </c>
      <c r="X114" s="245">
        <f t="shared" si="44"/>
        <v>775000</v>
      </c>
      <c r="Y114" s="245">
        <f>VLOOKUP(A114,'[22]2122 Funding Detail'!$A$4:$Y$21,18,FALSE)</f>
        <v>1365089.6538288677</v>
      </c>
      <c r="Z114" s="245">
        <f t="shared" si="45"/>
        <v>590089.65382886771</v>
      </c>
      <c r="AA114" s="245">
        <f t="shared" si="29"/>
        <v>177661.40115277734</v>
      </c>
      <c r="AB114" s="245">
        <f t="shared" si="30"/>
        <v>239842.89155624944</v>
      </c>
      <c r="AC114" s="245">
        <f t="shared" si="46"/>
        <v>417504.29270902678</v>
      </c>
      <c r="AD114" s="245">
        <f t="shared" si="31"/>
        <v>50760.400329364958</v>
      </c>
      <c r="AE114" s="245">
        <f t="shared" si="32"/>
        <v>121824.96079047589</v>
      </c>
      <c r="AF114" s="245">
        <f t="shared" si="47"/>
        <v>172585.36111984085</v>
      </c>
      <c r="AG114" s="245">
        <f t="shared" si="48"/>
        <v>590089.65382886759</v>
      </c>
      <c r="AH114" s="287"/>
      <c r="AI114" s="1029">
        <f t="shared" si="49"/>
        <v>1365089.6538288675</v>
      </c>
      <c r="AJ114" s="247" t="s">
        <v>206</v>
      </c>
      <c r="AK114" s="297"/>
      <c r="AL114" s="235">
        <f t="shared" si="50"/>
        <v>92098.940863721436</v>
      </c>
      <c r="AM114" s="270">
        <f>SUM('[22]1920 Band Calculations'!R8,'[22]1920 Band Calculations'!R30,'[22]1920 Band Calculations'!R52,'[22]1920 Band Calculations'!R74)</f>
        <v>65180.497965256167</v>
      </c>
      <c r="AN114" s="270">
        <f t="shared" si="51"/>
        <v>26918.44289846527</v>
      </c>
      <c r="AO114" s="1028"/>
      <c r="AP114" s="1030">
        <f>'[22]2021 Funding Detail'!M6-'[22]1920 Funding Detail'!M6</f>
        <v>3.9166666666666572</v>
      </c>
      <c r="AQ114" s="1030">
        <f>'[22]2021 Band Moderations'!R53</f>
        <v>1</v>
      </c>
      <c r="AR114" s="1030">
        <f t="shared" si="33"/>
        <v>2.9166666666666572</v>
      </c>
      <c r="AV114" s="36"/>
      <c r="AW114" s="36"/>
      <c r="AZ114" s="36"/>
      <c r="BA114" s="36"/>
      <c r="BB114" s="36"/>
    </row>
    <row r="115" spans="1:54" ht="13" x14ac:dyDescent="0.3">
      <c r="A115" s="244">
        <v>9257011</v>
      </c>
      <c r="B115" s="237" t="s">
        <v>210</v>
      </c>
      <c r="C115" s="238">
        <v>4</v>
      </c>
      <c r="D115" s="245">
        <f t="shared" si="20"/>
        <v>266918.27122850198</v>
      </c>
      <c r="E115" s="245">
        <f t="shared" si="21"/>
        <v>373685.57971990277</v>
      </c>
      <c r="F115" s="68">
        <f t="shared" si="34"/>
        <v>640603.85094840475</v>
      </c>
      <c r="G115" s="245">
        <f t="shared" si="22"/>
        <v>34165.538717248251</v>
      </c>
      <c r="H115" s="245">
        <f t="shared" si="23"/>
        <v>68331.077434496503</v>
      </c>
      <c r="I115" s="68">
        <f t="shared" si="35"/>
        <v>102496.61615174476</v>
      </c>
      <c r="J115" s="68">
        <f t="shared" si="36"/>
        <v>743100.46710014949</v>
      </c>
      <c r="K115" s="245">
        <f t="shared" si="24"/>
        <v>1035.7704402515724</v>
      </c>
      <c r="L115" s="245">
        <f t="shared" si="25"/>
        <v>1450.0786163522014</v>
      </c>
      <c r="M115" s="68">
        <f t="shared" si="37"/>
        <v>2485.8490566037735</v>
      </c>
      <c r="N115" s="245">
        <f t="shared" si="26"/>
        <v>132.57861635220124</v>
      </c>
      <c r="O115" s="245">
        <f t="shared" si="27"/>
        <v>265.15723270440247</v>
      </c>
      <c r="P115" s="68">
        <f t="shared" si="38"/>
        <v>397.73584905660368</v>
      </c>
      <c r="Q115" s="68">
        <f t="shared" si="39"/>
        <v>2883.5849056603774</v>
      </c>
      <c r="R115" s="68">
        <f t="shared" si="28"/>
        <v>745984.05200580985</v>
      </c>
      <c r="S115" s="286">
        <f t="shared" si="40"/>
        <v>58</v>
      </c>
      <c r="T115" s="245">
        <f t="shared" si="41"/>
        <v>12861.79400010017</v>
      </c>
      <c r="U115" s="237"/>
      <c r="V115" s="245">
        <f t="shared" si="42"/>
        <v>500000</v>
      </c>
      <c r="W115" s="245">
        <f t="shared" si="43"/>
        <v>80000</v>
      </c>
      <c r="X115" s="245">
        <f t="shared" si="44"/>
        <v>580000</v>
      </c>
      <c r="Y115" s="245">
        <f>VLOOKUP(A115,'[22]2122 Funding Detail'!$A$4:$Y$21,18,FALSE)</f>
        <v>1194256.4520058099</v>
      </c>
      <c r="Z115" s="245">
        <f t="shared" si="45"/>
        <v>614256.45200580987</v>
      </c>
      <c r="AA115" s="245">
        <f t="shared" si="29"/>
        <v>220638.09339289152</v>
      </c>
      <c r="AB115" s="245">
        <f t="shared" si="30"/>
        <v>308893.3307500481</v>
      </c>
      <c r="AC115" s="245">
        <f t="shared" si="46"/>
        <v>529531.42414293962</v>
      </c>
      <c r="AD115" s="245">
        <f t="shared" si="31"/>
        <v>28241.675954290113</v>
      </c>
      <c r="AE115" s="245">
        <f t="shared" si="32"/>
        <v>56483.351908580225</v>
      </c>
      <c r="AF115" s="245">
        <f t="shared" si="47"/>
        <v>84725.027862870338</v>
      </c>
      <c r="AG115" s="245">
        <f t="shared" si="48"/>
        <v>614256.45200580999</v>
      </c>
      <c r="AH115" s="287"/>
      <c r="AI115" s="1029">
        <f t="shared" si="49"/>
        <v>1194256.4520058099</v>
      </c>
      <c r="AJ115" s="247" t="s">
        <v>206</v>
      </c>
      <c r="AK115" s="297"/>
      <c r="AL115" s="235">
        <f t="shared" si="50"/>
        <v>150205.91718711381</v>
      </c>
      <c r="AM115" s="270">
        <f>SUM('[22]1920 Band Calculations'!R9,'[22]1920 Band Calculations'!R31,'[22]1920 Band Calculations'!R53,'[22]1920 Band Calculations'!R75)</f>
        <v>120750.20859926101</v>
      </c>
      <c r="AN115" s="270">
        <f t="shared" si="51"/>
        <v>29455.708587852801</v>
      </c>
      <c r="AO115" s="1028"/>
      <c r="AP115" s="1030">
        <f>'[22]2021 Funding Detail'!M7-'[22]1920 Funding Detail'!M7</f>
        <v>-1.1666666666666643</v>
      </c>
      <c r="AQ115" s="1030">
        <f>'[22]2021 Band Moderations'!R54</f>
        <v>0</v>
      </c>
      <c r="AR115" s="1030">
        <f t="shared" si="33"/>
        <v>-1.1666666666666643</v>
      </c>
      <c r="AV115" s="36"/>
      <c r="AW115" s="36"/>
      <c r="AZ115" s="36"/>
      <c r="BA115" s="36"/>
      <c r="BB115" s="36"/>
    </row>
    <row r="116" spans="1:54" ht="13" x14ac:dyDescent="0.3">
      <c r="A116" s="244">
        <v>9257024</v>
      </c>
      <c r="B116" s="237" t="s">
        <v>211</v>
      </c>
      <c r="C116" s="238">
        <v>3</v>
      </c>
      <c r="D116" s="245">
        <f t="shared" si="20"/>
        <v>341858.48517962609</v>
      </c>
      <c r="E116" s="245">
        <f t="shared" si="21"/>
        <v>485439.0489550691</v>
      </c>
      <c r="F116" s="68">
        <f t="shared" si="34"/>
        <v>827297.53413469519</v>
      </c>
      <c r="G116" s="245">
        <f t="shared" si="22"/>
        <v>54697.357628740181</v>
      </c>
      <c r="H116" s="245">
        <f t="shared" si="23"/>
        <v>101580.80702480319</v>
      </c>
      <c r="I116" s="68">
        <f t="shared" si="35"/>
        <v>156278.16465354338</v>
      </c>
      <c r="J116" s="68">
        <f t="shared" si="36"/>
        <v>983575.69878823857</v>
      </c>
      <c r="K116" s="245">
        <f t="shared" si="24"/>
        <v>925.95381526104427</v>
      </c>
      <c r="L116" s="245">
        <f t="shared" si="25"/>
        <v>1314.8544176706828</v>
      </c>
      <c r="M116" s="68">
        <f t="shared" si="37"/>
        <v>2240.8082329317272</v>
      </c>
      <c r="N116" s="245">
        <f t="shared" si="26"/>
        <v>148.15261044176708</v>
      </c>
      <c r="O116" s="245">
        <f t="shared" si="27"/>
        <v>275.14056224899599</v>
      </c>
      <c r="P116" s="68">
        <f t="shared" si="38"/>
        <v>423.29317269076307</v>
      </c>
      <c r="Q116" s="68">
        <f t="shared" si="39"/>
        <v>2664.1014056224903</v>
      </c>
      <c r="R116" s="68">
        <f t="shared" si="28"/>
        <v>986239.80019386113</v>
      </c>
      <c r="S116" s="286">
        <f t="shared" si="40"/>
        <v>83.916666666666686</v>
      </c>
      <c r="T116" s="245">
        <f t="shared" si="41"/>
        <v>11752.609336967558</v>
      </c>
      <c r="U116" s="237"/>
      <c r="V116" s="245">
        <f t="shared" si="42"/>
        <v>705833.33333333337</v>
      </c>
      <c r="W116" s="245">
        <f t="shared" si="43"/>
        <v>133333.33333333331</v>
      </c>
      <c r="X116" s="245">
        <f t="shared" si="44"/>
        <v>839166.66666666674</v>
      </c>
      <c r="Y116" s="245">
        <f>VLOOKUP(A116,'[22]2122 Funding Detail'!$A$4:$Y$21,18,FALSE)</f>
        <v>1487567.2986802158</v>
      </c>
      <c r="Z116" s="245">
        <f t="shared" si="45"/>
        <v>648400.6320135491</v>
      </c>
      <c r="AA116" s="245">
        <f t="shared" si="29"/>
        <v>225362.6824277479</v>
      </c>
      <c r="AB116" s="245">
        <f t="shared" si="30"/>
        <v>320015.00904740195</v>
      </c>
      <c r="AC116" s="245">
        <f t="shared" si="46"/>
        <v>545377.69147514983</v>
      </c>
      <c r="AD116" s="245">
        <f t="shared" si="31"/>
        <v>36058.029188439665</v>
      </c>
      <c r="AE116" s="245">
        <f t="shared" si="32"/>
        <v>66964.911349959366</v>
      </c>
      <c r="AF116" s="245">
        <f t="shared" si="47"/>
        <v>103022.94053839904</v>
      </c>
      <c r="AG116" s="245">
        <f t="shared" si="48"/>
        <v>648400.63201354886</v>
      </c>
      <c r="AH116" s="287"/>
      <c r="AI116" s="1029">
        <f t="shared" si="49"/>
        <v>1487567.2986802156</v>
      </c>
      <c r="AJ116" s="247" t="s">
        <v>206</v>
      </c>
      <c r="AK116" s="297"/>
      <c r="AL116" s="235">
        <f t="shared" si="50"/>
        <v>208159.53485130478</v>
      </c>
      <c r="AM116" s="270">
        <f>SUM('[22]1920 Band Calculations'!R10,'[22]1920 Band Calculations'!R32,'[22]1920 Band Calculations'!R54,'[22]1920 Band Calculations'!R76)</f>
        <v>222610.83826613796</v>
      </c>
      <c r="AN116" s="270">
        <f t="shared" si="51"/>
        <v>-14451.303414833179</v>
      </c>
      <c r="AO116" s="1028"/>
      <c r="AP116" s="1030">
        <f>'[22]2021 Funding Detail'!M8-'[22]1920 Funding Detail'!M8</f>
        <v>1.9999999999999858</v>
      </c>
      <c r="AQ116" s="1030">
        <f>'[22]2021 Band Moderations'!R55</f>
        <v>-2</v>
      </c>
      <c r="AR116" s="1030">
        <f t="shared" si="33"/>
        <v>3.9999999999999858</v>
      </c>
      <c r="AV116" s="36"/>
      <c r="AW116" s="36"/>
      <c r="AZ116" s="36"/>
      <c r="BA116" s="36"/>
      <c r="BB116" s="36"/>
    </row>
    <row r="117" spans="1:54" ht="13" x14ac:dyDescent="0.3">
      <c r="A117" s="244">
        <v>9257031</v>
      </c>
      <c r="B117" s="237" t="s">
        <v>257</v>
      </c>
      <c r="C117" s="238">
        <v>4</v>
      </c>
      <c r="D117" s="245">
        <f t="shared" si="20"/>
        <v>401972.05167783931</v>
      </c>
      <c r="E117" s="245">
        <f t="shared" si="21"/>
        <v>569795.38325333723</v>
      </c>
      <c r="F117" s="68">
        <f t="shared" si="34"/>
        <v>971767.43493117648</v>
      </c>
      <c r="G117" s="245">
        <f t="shared" si="22"/>
        <v>0</v>
      </c>
      <c r="H117" s="245">
        <f t="shared" si="23"/>
        <v>0</v>
      </c>
      <c r="I117" s="68">
        <f t="shared" si="35"/>
        <v>0</v>
      </c>
      <c r="J117" s="68">
        <f t="shared" si="36"/>
        <v>971767.43493117648</v>
      </c>
      <c r="K117" s="245">
        <f t="shared" si="24"/>
        <v>87833.333333333343</v>
      </c>
      <c r="L117" s="245">
        <f t="shared" si="25"/>
        <v>124503.75000000001</v>
      </c>
      <c r="M117" s="68">
        <f t="shared" si="37"/>
        <v>212337.08333333337</v>
      </c>
      <c r="N117" s="245">
        <f t="shared" si="26"/>
        <v>0</v>
      </c>
      <c r="O117" s="245">
        <f t="shared" si="27"/>
        <v>0</v>
      </c>
      <c r="P117" s="68">
        <f t="shared" si="38"/>
        <v>0</v>
      </c>
      <c r="Q117" s="68">
        <f t="shared" si="39"/>
        <v>212337.08333333337</v>
      </c>
      <c r="R117" s="68">
        <f t="shared" si="28"/>
        <v>1184104.5182645097</v>
      </c>
      <c r="S117" s="286">
        <f t="shared" si="40"/>
        <v>80.583333333333343</v>
      </c>
      <c r="T117" s="245">
        <f t="shared" si="41"/>
        <v>14694.161550335177</v>
      </c>
      <c r="U117" s="237"/>
      <c r="V117" s="245">
        <f t="shared" si="42"/>
        <v>805833.33333333337</v>
      </c>
      <c r="W117" s="245">
        <f t="shared" si="43"/>
        <v>0</v>
      </c>
      <c r="X117" s="245">
        <f t="shared" si="44"/>
        <v>805833.33333333337</v>
      </c>
      <c r="Y117" s="245">
        <f>VLOOKUP(A117,'[22]2122 Funding Detail'!$A$4:$Y$21,18,FALSE)</f>
        <v>1668000.205271652</v>
      </c>
      <c r="Z117" s="245">
        <f t="shared" si="45"/>
        <v>862166.8719383186</v>
      </c>
      <c r="AA117" s="245">
        <f t="shared" si="29"/>
        <v>356635.72779247916</v>
      </c>
      <c r="AB117" s="245">
        <f t="shared" si="30"/>
        <v>505531.14414583921</v>
      </c>
      <c r="AC117" s="245">
        <f t="shared" si="46"/>
        <v>862166.87193831836</v>
      </c>
      <c r="AD117" s="245">
        <f t="shared" si="31"/>
        <v>0</v>
      </c>
      <c r="AE117" s="245">
        <f t="shared" si="32"/>
        <v>0</v>
      </c>
      <c r="AF117" s="245">
        <f t="shared" si="47"/>
        <v>0</v>
      </c>
      <c r="AG117" s="245">
        <f t="shared" si="48"/>
        <v>862166.87193831836</v>
      </c>
      <c r="AH117" s="287"/>
      <c r="AI117" s="1029">
        <f t="shared" si="49"/>
        <v>1668000.2052716517</v>
      </c>
      <c r="AJ117" s="247" t="s">
        <v>206</v>
      </c>
      <c r="AK117" s="297"/>
      <c r="AL117" s="235">
        <f t="shared" si="50"/>
        <v>0</v>
      </c>
      <c r="AM117" s="270">
        <f>SUM('[22]1920 Band Calculations'!R11,'[22]1920 Band Calculations'!R33,'[22]1920 Band Calculations'!R55,'[22]1920 Band Calculations'!R77)</f>
        <v>0</v>
      </c>
      <c r="AN117" s="270">
        <f t="shared" si="51"/>
        <v>0</v>
      </c>
      <c r="AO117" s="1028"/>
      <c r="AP117" s="1030">
        <f>'[22]2021 Funding Detail'!M17-'[22]1920 Funding Detail'!M17</f>
        <v>4.1666666666666714</v>
      </c>
      <c r="AQ117" s="1030">
        <f>'[22]2021 Band Moderations'!R56</f>
        <v>0</v>
      </c>
      <c r="AR117" s="1030">
        <f t="shared" si="33"/>
        <v>4.1666666666666714</v>
      </c>
      <c r="AV117" s="36"/>
      <c r="AW117" s="36"/>
      <c r="AZ117" s="36"/>
      <c r="BA117" s="36"/>
      <c r="BB117" s="36"/>
    </row>
    <row r="118" spans="1:54" ht="13" x14ac:dyDescent="0.3">
      <c r="A118" s="244">
        <v>9257033</v>
      </c>
      <c r="B118" s="237" t="s">
        <v>220</v>
      </c>
      <c r="C118" s="238">
        <v>3</v>
      </c>
      <c r="D118" s="245">
        <f t="shared" si="20"/>
        <v>385989.25868627999</v>
      </c>
      <c r="E118" s="245">
        <f t="shared" si="21"/>
        <v>534926.52819957177</v>
      </c>
      <c r="F118" s="68">
        <f t="shared" si="34"/>
        <v>920915.78688585176</v>
      </c>
      <c r="G118" s="245">
        <f t="shared" si="22"/>
        <v>0</v>
      </c>
      <c r="H118" s="245">
        <f t="shared" si="23"/>
        <v>0</v>
      </c>
      <c r="I118" s="68">
        <f t="shared" si="35"/>
        <v>0</v>
      </c>
      <c r="J118" s="68">
        <f t="shared" si="36"/>
        <v>920915.78688585176</v>
      </c>
      <c r="K118" s="245">
        <f t="shared" si="24"/>
        <v>6864.8684210526326</v>
      </c>
      <c r="L118" s="245">
        <f t="shared" si="25"/>
        <v>9513.7368421052652</v>
      </c>
      <c r="M118" s="68">
        <f t="shared" si="37"/>
        <v>16378.605263157897</v>
      </c>
      <c r="N118" s="245">
        <f t="shared" si="26"/>
        <v>0</v>
      </c>
      <c r="O118" s="245">
        <f t="shared" si="27"/>
        <v>0</v>
      </c>
      <c r="P118" s="68">
        <f t="shared" si="38"/>
        <v>0</v>
      </c>
      <c r="Q118" s="68">
        <f t="shared" si="39"/>
        <v>16378.605263157897</v>
      </c>
      <c r="R118" s="68">
        <f t="shared" si="28"/>
        <v>937294.39214900963</v>
      </c>
      <c r="S118" s="286">
        <f t="shared" si="40"/>
        <v>98.416666666666671</v>
      </c>
      <c r="T118" s="245">
        <f t="shared" si="41"/>
        <v>9523.7364147232129</v>
      </c>
      <c r="U118" s="237"/>
      <c r="V118" s="245">
        <f t="shared" si="42"/>
        <v>984166.66666666674</v>
      </c>
      <c r="W118" s="245">
        <f t="shared" si="43"/>
        <v>0</v>
      </c>
      <c r="X118" s="245">
        <f t="shared" si="44"/>
        <v>984166.66666666674</v>
      </c>
      <c r="Y118" s="245">
        <f>VLOOKUP(A118,'[22]2122 Funding Detail'!$A$4:$Y$21,18,FALSE)</f>
        <v>1429288.0421490096</v>
      </c>
      <c r="Z118" s="245">
        <f t="shared" si="45"/>
        <v>445121.3754823429</v>
      </c>
      <c r="AA118" s="245">
        <f t="shared" si="29"/>
        <v>186566.53756457215</v>
      </c>
      <c r="AB118" s="245">
        <f t="shared" si="30"/>
        <v>258554.83791777072</v>
      </c>
      <c r="AC118" s="245">
        <f t="shared" si="46"/>
        <v>445121.3754823429</v>
      </c>
      <c r="AD118" s="245">
        <f t="shared" si="31"/>
        <v>0</v>
      </c>
      <c r="AE118" s="245">
        <f t="shared" si="32"/>
        <v>0</v>
      </c>
      <c r="AF118" s="245">
        <f t="shared" si="47"/>
        <v>0</v>
      </c>
      <c r="AG118" s="245">
        <f t="shared" si="48"/>
        <v>445121.3754823429</v>
      </c>
      <c r="AH118" s="287"/>
      <c r="AI118" s="1029">
        <f t="shared" si="49"/>
        <v>1429288.0421490096</v>
      </c>
      <c r="AJ118" s="247" t="s">
        <v>206</v>
      </c>
      <c r="AK118" s="297"/>
      <c r="AL118" s="235">
        <f t="shared" si="50"/>
        <v>0</v>
      </c>
      <c r="AM118" s="270">
        <f>SUM('[22]1920 Band Calculations'!R12,'[22]1920 Band Calculations'!R34,'[22]1920 Band Calculations'!R56,'[22]1920 Band Calculations'!R78)</f>
        <v>0</v>
      </c>
      <c r="AN118" s="270">
        <f t="shared" si="51"/>
        <v>0</v>
      </c>
      <c r="AO118" s="1028"/>
      <c r="AP118" s="1030">
        <f>'[22]2021 Funding Detail'!M10-'[22]1920 Funding Detail'!M10</f>
        <v>3.3333333333333428</v>
      </c>
      <c r="AQ118" s="1030">
        <f>'[22]2021 Band Moderations'!R57</f>
        <v>0</v>
      </c>
      <c r="AR118" s="1030">
        <f t="shared" si="33"/>
        <v>3.3333333333333428</v>
      </c>
      <c r="AV118" s="36"/>
      <c r="AW118" s="36"/>
      <c r="AZ118" s="36"/>
      <c r="BA118" s="36"/>
      <c r="BB118" s="36"/>
    </row>
    <row r="119" spans="1:54" ht="13" x14ac:dyDescent="0.3">
      <c r="A119" s="244">
        <v>9257008</v>
      </c>
      <c r="B119" s="237" t="s">
        <v>212</v>
      </c>
      <c r="C119" s="238">
        <v>4</v>
      </c>
      <c r="D119" s="245">
        <f t="shared" si="20"/>
        <v>395671.877203841</v>
      </c>
      <c r="E119" s="245">
        <f t="shared" si="21"/>
        <v>559593.08347400383</v>
      </c>
      <c r="F119" s="68">
        <f t="shared" si="34"/>
        <v>955264.96067784482</v>
      </c>
      <c r="G119" s="245">
        <f t="shared" si="22"/>
        <v>0</v>
      </c>
      <c r="H119" s="245">
        <f t="shared" si="23"/>
        <v>0</v>
      </c>
      <c r="I119" s="68">
        <f t="shared" si="35"/>
        <v>0</v>
      </c>
      <c r="J119" s="68">
        <f t="shared" si="36"/>
        <v>955264.96067784482</v>
      </c>
      <c r="K119" s="245">
        <f t="shared" si="24"/>
        <v>8694.6127946127945</v>
      </c>
      <c r="L119" s="245">
        <f t="shared" si="25"/>
        <v>12296.666666666668</v>
      </c>
      <c r="M119" s="68">
        <f t="shared" si="37"/>
        <v>20991.279461279461</v>
      </c>
      <c r="N119" s="245">
        <f t="shared" si="26"/>
        <v>0</v>
      </c>
      <c r="O119" s="245">
        <f t="shared" si="27"/>
        <v>0</v>
      </c>
      <c r="P119" s="68">
        <f t="shared" si="38"/>
        <v>0</v>
      </c>
      <c r="Q119" s="68">
        <f t="shared" si="39"/>
        <v>20991.279461279461</v>
      </c>
      <c r="R119" s="68">
        <f t="shared" si="28"/>
        <v>976256.24013912433</v>
      </c>
      <c r="S119" s="286">
        <f t="shared" si="40"/>
        <v>98.583333333333343</v>
      </c>
      <c r="T119" s="245">
        <f t="shared" si="41"/>
        <v>9902.8528162886651</v>
      </c>
      <c r="U119" s="237"/>
      <c r="V119" s="245">
        <f t="shared" si="42"/>
        <v>985833.33333333349</v>
      </c>
      <c r="W119" s="245">
        <f t="shared" si="43"/>
        <v>0</v>
      </c>
      <c r="X119" s="245">
        <f t="shared" si="44"/>
        <v>985833.33333333349</v>
      </c>
      <c r="Y119" s="245">
        <f>VLOOKUP(A119,'[22]2122 Funding Detail'!$A$4:$Y$21,18,FALSE)</f>
        <v>1460619.4401391244</v>
      </c>
      <c r="Z119" s="245">
        <f t="shared" si="45"/>
        <v>474786.10680579091</v>
      </c>
      <c r="AA119" s="245">
        <f t="shared" si="29"/>
        <v>196656.96731600809</v>
      </c>
      <c r="AB119" s="245">
        <f t="shared" si="30"/>
        <v>278129.13948978286</v>
      </c>
      <c r="AC119" s="245">
        <f t="shared" si="46"/>
        <v>474786.10680579091</v>
      </c>
      <c r="AD119" s="245">
        <f t="shared" si="31"/>
        <v>0</v>
      </c>
      <c r="AE119" s="245">
        <f t="shared" si="32"/>
        <v>0</v>
      </c>
      <c r="AF119" s="245">
        <f t="shared" si="47"/>
        <v>0</v>
      </c>
      <c r="AG119" s="245">
        <f t="shared" si="48"/>
        <v>474786.10680579091</v>
      </c>
      <c r="AH119" s="287"/>
      <c r="AI119" s="1029">
        <f t="shared" si="49"/>
        <v>1460619.4401391244</v>
      </c>
      <c r="AJ119" s="247" t="s">
        <v>206</v>
      </c>
      <c r="AK119" s="297"/>
      <c r="AL119" s="235">
        <f t="shared" si="50"/>
        <v>22779.908282332057</v>
      </c>
      <c r="AM119" s="270">
        <f>SUM('[22]1920 Band Calculations'!R13,'[22]1920 Band Calculations'!R35,'[22]1920 Band Calculations'!R57,'[22]1920 Band Calculations'!R79)</f>
        <v>0</v>
      </c>
      <c r="AN119" s="270">
        <f t="shared" si="51"/>
        <v>22779.908282332057</v>
      </c>
      <c r="AO119" s="1028"/>
      <c r="AP119" s="1030">
        <f>'[22]2021 Funding Detail'!M9-'[22]1920 Funding Detail'!M9</f>
        <v>1.75</v>
      </c>
      <c r="AQ119" s="1030">
        <f>'[22]2021 Band Moderations'!R58</f>
        <v>0</v>
      </c>
      <c r="AR119" s="1030">
        <f t="shared" si="33"/>
        <v>1.75</v>
      </c>
      <c r="AV119" s="36"/>
      <c r="AW119" s="36"/>
      <c r="AZ119" s="36"/>
      <c r="BA119" s="36"/>
      <c r="BB119" s="36"/>
    </row>
    <row r="120" spans="1:54" ht="13" x14ac:dyDescent="0.3">
      <c r="A120" s="244">
        <v>9257034</v>
      </c>
      <c r="B120" s="237" t="s">
        <v>221</v>
      </c>
      <c r="C120" s="238">
        <v>5</v>
      </c>
      <c r="D120" s="245">
        <f t="shared" si="20"/>
        <v>345886.69406695175</v>
      </c>
      <c r="E120" s="245">
        <f t="shared" si="21"/>
        <v>453332.34796860069</v>
      </c>
      <c r="F120" s="68">
        <f t="shared" si="34"/>
        <v>799219.04203555244</v>
      </c>
      <c r="G120" s="245">
        <f t="shared" si="22"/>
        <v>100086.3625385222</v>
      </c>
      <c r="H120" s="245">
        <f t="shared" si="23"/>
        <v>188397.85889604181</v>
      </c>
      <c r="I120" s="68">
        <f t="shared" si="35"/>
        <v>288484.22143456398</v>
      </c>
      <c r="J120" s="68">
        <f t="shared" si="36"/>
        <v>1087703.2634701165</v>
      </c>
      <c r="K120" s="245">
        <f t="shared" si="24"/>
        <v>14594.528619528619</v>
      </c>
      <c r="L120" s="245">
        <f t="shared" si="25"/>
        <v>19128.14814814815</v>
      </c>
      <c r="M120" s="68">
        <f t="shared" si="37"/>
        <v>33722.67676767677</v>
      </c>
      <c r="N120" s="245">
        <f t="shared" si="26"/>
        <v>4223.0976430976425</v>
      </c>
      <c r="O120" s="245">
        <f t="shared" si="27"/>
        <v>7949.3602693602679</v>
      </c>
      <c r="P120" s="68">
        <f t="shared" si="38"/>
        <v>12172.45791245791</v>
      </c>
      <c r="Q120" s="68">
        <f t="shared" si="39"/>
        <v>45895.134680134681</v>
      </c>
      <c r="R120" s="68">
        <f t="shared" si="28"/>
        <v>1133598.3981502512</v>
      </c>
      <c r="S120" s="286">
        <f t="shared" si="40"/>
        <v>123.16666666666666</v>
      </c>
      <c r="T120" s="245">
        <f t="shared" si="41"/>
        <v>9203.7758983782242</v>
      </c>
      <c r="U120" s="237"/>
      <c r="V120" s="245">
        <f t="shared" si="42"/>
        <v>905000</v>
      </c>
      <c r="W120" s="245">
        <f t="shared" si="43"/>
        <v>326666.66666666663</v>
      </c>
      <c r="X120" s="245">
        <f t="shared" si="44"/>
        <v>1231666.6666666665</v>
      </c>
      <c r="Y120" s="245">
        <f>VLOOKUP(A120,'[22]2122 Funding Detail'!$A$4:$Y$21,18,FALSE)</f>
        <v>1719229.6326618223</v>
      </c>
      <c r="Z120" s="245">
        <f t="shared" si="45"/>
        <v>487562.96599515574</v>
      </c>
      <c r="AA120" s="245">
        <f t="shared" si="29"/>
        <v>155043.70366557725</v>
      </c>
      <c r="AB120" s="245">
        <f t="shared" si="30"/>
        <v>203206.21586807573</v>
      </c>
      <c r="AC120" s="245">
        <f t="shared" si="46"/>
        <v>358249.91953365295</v>
      </c>
      <c r="AD120" s="245">
        <f t="shared" si="31"/>
        <v>44863.709996847887</v>
      </c>
      <c r="AE120" s="245">
        <f t="shared" si="32"/>
        <v>84449.336464654843</v>
      </c>
      <c r="AF120" s="245">
        <f t="shared" si="47"/>
        <v>129313.04646150273</v>
      </c>
      <c r="AG120" s="245">
        <f t="shared" si="48"/>
        <v>487562.96599515568</v>
      </c>
      <c r="AH120" s="287"/>
      <c r="AI120" s="1029">
        <f t="shared" si="49"/>
        <v>1719229.6326618223</v>
      </c>
      <c r="AJ120" s="247" t="s">
        <v>206</v>
      </c>
      <c r="AK120" s="297"/>
      <c r="AL120" s="235">
        <f t="shared" si="50"/>
        <v>28460.443314697197</v>
      </c>
      <c r="AM120" s="270">
        <f>SUM('[22]1920 Band Calculations'!R14,'[22]1920 Band Calculations'!R36,'[22]1920 Band Calculations'!R58,'[22]1920 Band Calculations'!R80)</f>
        <v>23434.031478687801</v>
      </c>
      <c r="AN120" s="270">
        <f t="shared" si="51"/>
        <v>5026.4118360093962</v>
      </c>
      <c r="AO120" s="1028"/>
      <c r="AP120" s="1030">
        <f>'[22]2021 Funding Detail'!M23-'[22]1920 Funding Detail'!M23</f>
        <v>7.8333333333333144</v>
      </c>
      <c r="AQ120" s="1030">
        <f>'[22]2021 Band Moderations'!R59</f>
        <v>0</v>
      </c>
      <c r="AR120" s="1030">
        <f t="shared" si="33"/>
        <v>7.8333333333333144</v>
      </c>
      <c r="AV120" s="36"/>
      <c r="AW120" s="36"/>
      <c r="AZ120" s="36"/>
      <c r="BA120" s="36"/>
      <c r="BB120" s="36"/>
    </row>
    <row r="121" spans="1:54" ht="13" x14ac:dyDescent="0.3">
      <c r="A121" s="244">
        <v>9257002</v>
      </c>
      <c r="B121" s="237" t="s">
        <v>213</v>
      </c>
      <c r="C121" s="238">
        <v>5</v>
      </c>
      <c r="D121" s="245">
        <f t="shared" si="20"/>
        <v>549796.39572404581</v>
      </c>
      <c r="E121" s="245">
        <f t="shared" si="21"/>
        <v>774846.38704042183</v>
      </c>
      <c r="F121" s="68">
        <f t="shared" si="34"/>
        <v>1324642.7827644676</v>
      </c>
      <c r="G121" s="245">
        <f t="shared" si="22"/>
        <v>0</v>
      </c>
      <c r="H121" s="245">
        <f t="shared" si="23"/>
        <v>0</v>
      </c>
      <c r="I121" s="68">
        <f t="shared" si="35"/>
        <v>0</v>
      </c>
      <c r="J121" s="68">
        <f t="shared" si="36"/>
        <v>1324642.7827644676</v>
      </c>
      <c r="K121" s="245">
        <f t="shared" si="24"/>
        <v>21023.936170212764</v>
      </c>
      <c r="L121" s="245">
        <f t="shared" si="25"/>
        <v>29629.734042553191</v>
      </c>
      <c r="M121" s="68">
        <f t="shared" si="37"/>
        <v>50653.670212765952</v>
      </c>
      <c r="N121" s="245">
        <f t="shared" si="26"/>
        <v>0</v>
      </c>
      <c r="O121" s="245">
        <f t="shared" si="27"/>
        <v>0</v>
      </c>
      <c r="P121" s="68">
        <f t="shared" si="38"/>
        <v>0</v>
      </c>
      <c r="Q121" s="68">
        <f t="shared" si="39"/>
        <v>50653.670212765952</v>
      </c>
      <c r="R121" s="68">
        <f t="shared" si="28"/>
        <v>1375296.4529772336</v>
      </c>
      <c r="S121" s="286">
        <f t="shared" si="40"/>
        <v>150.58333333333334</v>
      </c>
      <c r="T121" s="245">
        <f t="shared" si="41"/>
        <v>9133.1253103081362</v>
      </c>
      <c r="U121" s="237"/>
      <c r="V121" s="245">
        <f t="shared" si="42"/>
        <v>1505833.3333333335</v>
      </c>
      <c r="W121" s="245">
        <f t="shared" si="43"/>
        <v>0</v>
      </c>
      <c r="X121" s="245">
        <f t="shared" si="44"/>
        <v>1505833.3333333335</v>
      </c>
      <c r="Y121" s="245">
        <f>VLOOKUP(A121,'[22]2122 Funding Detail'!$A$4:$Y$21,18,FALSE)</f>
        <v>1934148.1529772335</v>
      </c>
      <c r="Z121" s="245">
        <f t="shared" si="45"/>
        <v>428314.81964390003</v>
      </c>
      <c r="AA121" s="245">
        <f t="shared" si="29"/>
        <v>177773.16808684281</v>
      </c>
      <c r="AB121" s="245">
        <f t="shared" si="30"/>
        <v>250541.65155705716</v>
      </c>
      <c r="AC121" s="245">
        <f t="shared" si="46"/>
        <v>428314.81964389997</v>
      </c>
      <c r="AD121" s="245">
        <f t="shared" si="31"/>
        <v>0</v>
      </c>
      <c r="AE121" s="245">
        <f t="shared" si="32"/>
        <v>0</v>
      </c>
      <c r="AF121" s="245">
        <f t="shared" si="47"/>
        <v>0</v>
      </c>
      <c r="AG121" s="245">
        <f t="shared" si="48"/>
        <v>428314.81964389997</v>
      </c>
      <c r="AH121" s="287"/>
      <c r="AI121" s="1029">
        <f t="shared" si="49"/>
        <v>1934148.1529772335</v>
      </c>
      <c r="AJ121" s="247" t="s">
        <v>206</v>
      </c>
      <c r="AK121" s="297"/>
      <c r="AL121" s="235">
        <f t="shared" si="50"/>
        <v>24431.012226106413</v>
      </c>
      <c r="AM121" s="270">
        <f>SUM('[22]1920 Band Calculations'!R15,'[22]1920 Band Calculations'!R37,'[22]1920 Band Calculations'!R59,'[22]1920 Band Calculations'!R81)</f>
        <v>22603.948241494982</v>
      </c>
      <c r="AN121" s="270">
        <f t="shared" si="51"/>
        <v>1827.0639846114318</v>
      </c>
      <c r="AO121" s="1028"/>
      <c r="AP121" s="1030">
        <f>'[22]2021 Funding Detail'!M10-'[22]1920 Funding Detail'!M10</f>
        <v>3.3333333333333428</v>
      </c>
      <c r="AQ121" s="1030">
        <f>'[22]2021 Band Moderations'!R60</f>
        <v>1</v>
      </c>
      <c r="AR121" s="1030">
        <f t="shared" si="33"/>
        <v>2.3333333333333428</v>
      </c>
      <c r="AV121" s="36"/>
      <c r="AW121" s="36"/>
      <c r="AZ121" s="36"/>
      <c r="BA121" s="36"/>
      <c r="BB121" s="36"/>
    </row>
    <row r="122" spans="1:54" ht="13" x14ac:dyDescent="0.3">
      <c r="A122" s="244">
        <v>9257009</v>
      </c>
      <c r="B122" s="237" t="s">
        <v>214</v>
      </c>
      <c r="C122" s="238">
        <v>4</v>
      </c>
      <c r="D122" s="245">
        <f t="shared" si="20"/>
        <v>481712.06530762307</v>
      </c>
      <c r="E122" s="245">
        <f t="shared" si="21"/>
        <v>674396.89143067226</v>
      </c>
      <c r="F122" s="68">
        <f t="shared" si="34"/>
        <v>1156108.9567382953</v>
      </c>
      <c r="G122" s="245">
        <f t="shared" si="22"/>
        <v>0</v>
      </c>
      <c r="H122" s="245">
        <f t="shared" si="23"/>
        <v>0</v>
      </c>
      <c r="I122" s="68">
        <f t="shared" si="35"/>
        <v>0</v>
      </c>
      <c r="J122" s="68">
        <f t="shared" si="36"/>
        <v>1156108.9567382953</v>
      </c>
      <c r="K122" s="245">
        <f t="shared" si="24"/>
        <v>11945.333333333336</v>
      </c>
      <c r="L122" s="245">
        <f t="shared" si="25"/>
        <v>16723.466666666671</v>
      </c>
      <c r="M122" s="68">
        <f t="shared" si="37"/>
        <v>28668.800000000007</v>
      </c>
      <c r="N122" s="245">
        <f t="shared" si="26"/>
        <v>0</v>
      </c>
      <c r="O122" s="245">
        <f t="shared" si="27"/>
        <v>0</v>
      </c>
      <c r="P122" s="68">
        <f t="shared" si="38"/>
        <v>0</v>
      </c>
      <c r="Q122" s="68">
        <f t="shared" si="39"/>
        <v>28668.800000000007</v>
      </c>
      <c r="R122" s="68">
        <f t="shared" si="28"/>
        <v>1184777.7567382953</v>
      </c>
      <c r="S122" s="286">
        <f t="shared" si="40"/>
        <v>136</v>
      </c>
      <c r="T122" s="245">
        <f t="shared" si="41"/>
        <v>8711.6011524874648</v>
      </c>
      <c r="U122" s="237"/>
      <c r="V122" s="245">
        <f t="shared" si="42"/>
        <v>1360000</v>
      </c>
      <c r="W122" s="245">
        <f t="shared" si="43"/>
        <v>0</v>
      </c>
      <c r="X122" s="245">
        <f t="shared" si="44"/>
        <v>1360000</v>
      </c>
      <c r="Y122" s="245">
        <f>VLOOKUP(A122,'[22]2122 Funding Detail'!$A$4:$Y$21,18,FALSE)</f>
        <v>1772372.8013331604</v>
      </c>
      <c r="Z122" s="245">
        <f t="shared" si="45"/>
        <v>412372.80133316037</v>
      </c>
      <c r="AA122" s="245">
        <f t="shared" si="29"/>
        <v>171822.00055548345</v>
      </c>
      <c r="AB122" s="245">
        <f t="shared" si="30"/>
        <v>240550.80077767681</v>
      </c>
      <c r="AC122" s="245">
        <f t="shared" si="46"/>
        <v>412372.80133316026</v>
      </c>
      <c r="AD122" s="245">
        <f t="shared" si="31"/>
        <v>0</v>
      </c>
      <c r="AE122" s="245">
        <f t="shared" si="32"/>
        <v>0</v>
      </c>
      <c r="AF122" s="245">
        <f t="shared" si="47"/>
        <v>0</v>
      </c>
      <c r="AG122" s="245">
        <f t="shared" si="48"/>
        <v>412372.80133316026</v>
      </c>
      <c r="AH122" s="287"/>
      <c r="AI122" s="1029">
        <f t="shared" si="49"/>
        <v>1772372.8013331601</v>
      </c>
      <c r="AJ122" s="247" t="s">
        <v>206</v>
      </c>
      <c r="AK122" s="297"/>
      <c r="AL122" s="235">
        <f t="shared" si="50"/>
        <v>0</v>
      </c>
      <c r="AM122" s="270">
        <f>SUM('[22]1920 Band Calculations'!R16,'[22]1920 Band Calculations'!R38,'[22]1920 Band Calculations'!R60,'[22]1920 Band Calculations'!R82)</f>
        <v>0</v>
      </c>
      <c r="AN122" s="270">
        <f t="shared" si="51"/>
        <v>0</v>
      </c>
      <c r="AO122" s="1028"/>
      <c r="AP122" s="1030">
        <f>'[22]2021 Funding Detail'!M11-'[22]1920 Funding Detail'!M11</f>
        <v>1.4166666666666572</v>
      </c>
      <c r="AQ122" s="1030">
        <f>'[22]2021 Band Moderations'!R61</f>
        <v>0</v>
      </c>
      <c r="AR122" s="1030">
        <f t="shared" si="33"/>
        <v>1.4166666666666572</v>
      </c>
      <c r="AV122" s="36"/>
      <c r="AW122" s="36"/>
      <c r="AZ122" s="36"/>
      <c r="BA122" s="36"/>
      <c r="BB122" s="36"/>
    </row>
    <row r="123" spans="1:54" ht="13" x14ac:dyDescent="0.3">
      <c r="A123" s="244">
        <v>9257029</v>
      </c>
      <c r="B123" s="237" t="s">
        <v>890</v>
      </c>
      <c r="C123" s="238">
        <v>3</v>
      </c>
      <c r="D123" s="245">
        <f t="shared" si="20"/>
        <v>351725.54521810939</v>
      </c>
      <c r="E123" s="245">
        <f t="shared" si="21"/>
        <v>548691.85054025066</v>
      </c>
      <c r="F123" s="68">
        <f t="shared" si="34"/>
        <v>900417.39575836004</v>
      </c>
      <c r="G123" s="245">
        <f t="shared" si="22"/>
        <v>0</v>
      </c>
      <c r="H123" s="245">
        <f t="shared" si="23"/>
        <v>0</v>
      </c>
      <c r="I123" s="68">
        <f t="shared" si="35"/>
        <v>0</v>
      </c>
      <c r="J123" s="68">
        <f t="shared" si="36"/>
        <v>900417.39575836004</v>
      </c>
      <c r="K123" s="245">
        <f t="shared" si="24"/>
        <v>76854.166666666672</v>
      </c>
      <c r="L123" s="245">
        <f t="shared" si="25"/>
        <v>119892.50000000001</v>
      </c>
      <c r="M123" s="68">
        <f t="shared" si="37"/>
        <v>196746.66666666669</v>
      </c>
      <c r="N123" s="245">
        <f t="shared" si="26"/>
        <v>0</v>
      </c>
      <c r="O123" s="245">
        <f t="shared" si="27"/>
        <v>0</v>
      </c>
      <c r="P123" s="68">
        <f t="shared" si="38"/>
        <v>0</v>
      </c>
      <c r="Q123" s="68">
        <f t="shared" si="39"/>
        <v>196746.66666666669</v>
      </c>
      <c r="R123" s="68">
        <f t="shared" si="28"/>
        <v>1097164.0624250267</v>
      </c>
      <c r="S123" s="286">
        <f t="shared" si="40"/>
        <v>74.666666666666671</v>
      </c>
      <c r="T123" s="245">
        <f t="shared" si="41"/>
        <v>14694.161550335177</v>
      </c>
      <c r="U123" s="237"/>
      <c r="V123" s="245">
        <f t="shared" si="42"/>
        <v>746666.66666666674</v>
      </c>
      <c r="W123" s="245">
        <f t="shared" si="43"/>
        <v>0</v>
      </c>
      <c r="X123" s="245">
        <f t="shared" si="44"/>
        <v>746666.66666666674</v>
      </c>
      <c r="Y123" s="245">
        <f>VLOOKUP(A123,'[22]2122 Funding Detail'!$A$4:$Y$21,18,FALSE)</f>
        <v>1547456.3787706883</v>
      </c>
      <c r="Z123" s="245">
        <f t="shared" si="45"/>
        <v>800789.71210402157</v>
      </c>
      <c r="AA123" s="245">
        <f t="shared" si="29"/>
        <v>312808.48129063338</v>
      </c>
      <c r="AB123" s="245">
        <f t="shared" si="30"/>
        <v>487981.23081338807</v>
      </c>
      <c r="AC123" s="245">
        <f t="shared" si="46"/>
        <v>800789.71210402146</v>
      </c>
      <c r="AD123" s="245">
        <f t="shared" si="31"/>
        <v>0</v>
      </c>
      <c r="AE123" s="245">
        <f t="shared" si="32"/>
        <v>0</v>
      </c>
      <c r="AF123" s="245">
        <f t="shared" si="47"/>
        <v>0</v>
      </c>
      <c r="AG123" s="245">
        <f t="shared" si="48"/>
        <v>800789.71210402146</v>
      </c>
      <c r="AH123" s="287"/>
      <c r="AI123" s="1029">
        <f t="shared" si="49"/>
        <v>1547456.3787706881</v>
      </c>
      <c r="AJ123" s="247" t="s">
        <v>206</v>
      </c>
      <c r="AK123" s="297"/>
      <c r="AL123" s="235">
        <f t="shared" si="50"/>
        <v>0</v>
      </c>
      <c r="AM123" s="270">
        <f>SUM('[22]1920 Band Calculations'!R17,'[22]1920 Band Calculations'!R39,'[22]1920 Band Calculations'!R61,'[22]1920 Band Calculations'!R83)</f>
        <v>0</v>
      </c>
      <c r="AN123" s="270">
        <f t="shared" si="51"/>
        <v>0</v>
      </c>
      <c r="AO123" s="1028"/>
      <c r="AP123" s="1030">
        <f>'[22]2021 Funding Detail'!M18-'[22]1920 Funding Detail'!M18</f>
        <v>12.416666666666664</v>
      </c>
      <c r="AQ123" s="1030">
        <f>'[22]2021 Band Moderations'!R62</f>
        <v>0</v>
      </c>
      <c r="AR123" s="1030">
        <f t="shared" si="33"/>
        <v>12.416666666666664</v>
      </c>
      <c r="AV123" s="36"/>
      <c r="AW123" s="36"/>
      <c r="AZ123" s="36"/>
      <c r="BA123" s="36"/>
      <c r="BB123" s="36"/>
    </row>
    <row r="124" spans="1:54" ht="13" x14ac:dyDescent="0.3">
      <c r="A124" s="244">
        <v>9257032</v>
      </c>
      <c r="B124" s="237" t="s">
        <v>1043</v>
      </c>
      <c r="C124" s="238">
        <v>4</v>
      </c>
      <c r="D124" s="245">
        <f t="shared" si="20"/>
        <v>412021.35296978528</v>
      </c>
      <c r="E124" s="245">
        <f t="shared" si="21"/>
        <v>731589.13405366754</v>
      </c>
      <c r="F124" s="68">
        <f t="shared" si="34"/>
        <v>1143610.4870234528</v>
      </c>
      <c r="G124" s="245">
        <f t="shared" si="22"/>
        <v>0</v>
      </c>
      <c r="H124" s="245">
        <f t="shared" si="23"/>
        <v>0</v>
      </c>
      <c r="I124" s="68">
        <f t="shared" si="35"/>
        <v>0</v>
      </c>
      <c r="J124" s="68">
        <f t="shared" si="36"/>
        <v>1143610.4870234528</v>
      </c>
      <c r="K124" s="245">
        <f t="shared" si="24"/>
        <v>90029.166666666672</v>
      </c>
      <c r="L124" s="245">
        <f t="shared" si="25"/>
        <v>159856.66666666669</v>
      </c>
      <c r="M124" s="68">
        <f t="shared" si="37"/>
        <v>249885.83333333337</v>
      </c>
      <c r="N124" s="245">
        <f t="shared" si="26"/>
        <v>0</v>
      </c>
      <c r="O124" s="245">
        <f t="shared" si="27"/>
        <v>0</v>
      </c>
      <c r="P124" s="68">
        <f t="shared" si="38"/>
        <v>0</v>
      </c>
      <c r="Q124" s="68">
        <f t="shared" si="39"/>
        <v>249885.83333333337</v>
      </c>
      <c r="R124" s="68">
        <f t="shared" si="28"/>
        <v>1393496.3203567863</v>
      </c>
      <c r="S124" s="286">
        <f t="shared" si="40"/>
        <v>94.833333333333343</v>
      </c>
      <c r="T124" s="245">
        <f t="shared" si="41"/>
        <v>14694.161550335179</v>
      </c>
      <c r="U124" s="237"/>
      <c r="V124" s="245">
        <f t="shared" si="42"/>
        <v>948333.33333333349</v>
      </c>
      <c r="W124" s="245">
        <f t="shared" si="43"/>
        <v>0</v>
      </c>
      <c r="X124" s="245">
        <f t="shared" si="44"/>
        <v>948333.33333333349</v>
      </c>
      <c r="Y124" s="245">
        <f>VLOOKUP(A124,'[22]2122 Funding Detail'!$A$4:$Y$21,18,FALSE)</f>
        <v>1874658.5788347009</v>
      </c>
      <c r="Z124" s="245">
        <f t="shared" si="45"/>
        <v>926325.24550136738</v>
      </c>
      <c r="AA124" s="245">
        <f t="shared" si="29"/>
        <v>333737.56648116041</v>
      </c>
      <c r="AB124" s="245">
        <f t="shared" si="30"/>
        <v>592587.67902020668</v>
      </c>
      <c r="AC124" s="245">
        <f t="shared" si="46"/>
        <v>926325.24550136714</v>
      </c>
      <c r="AD124" s="245">
        <f t="shared" si="31"/>
        <v>0</v>
      </c>
      <c r="AE124" s="245">
        <f t="shared" si="32"/>
        <v>0</v>
      </c>
      <c r="AF124" s="245">
        <f t="shared" si="47"/>
        <v>0</v>
      </c>
      <c r="AG124" s="245">
        <f t="shared" si="48"/>
        <v>926325.24550136714</v>
      </c>
      <c r="AH124" s="287"/>
      <c r="AI124" s="1029">
        <f t="shared" si="49"/>
        <v>1874658.5788347006</v>
      </c>
      <c r="AJ124" s="247" t="s">
        <v>206</v>
      </c>
      <c r="AK124" s="297"/>
      <c r="AL124" s="235">
        <f t="shared" si="50"/>
        <v>0</v>
      </c>
      <c r="AM124" s="270">
        <f>SUM('[22]1920 Band Calculations'!R18,'[22]1920 Band Calculations'!R40,'[22]1920 Band Calculations'!R62,'[22]1920 Band Calculations'!R84)</f>
        <v>0</v>
      </c>
      <c r="AN124" s="270">
        <f t="shared" si="51"/>
        <v>0</v>
      </c>
      <c r="AO124" s="1028"/>
      <c r="AP124" s="1030">
        <f>'[22]2021 Funding Detail'!M19-'[22]1920 Funding Detail'!M19</f>
        <v>6</v>
      </c>
      <c r="AQ124" s="1030">
        <f>'[22]2021 Band Moderations'!R63</f>
        <v>0</v>
      </c>
      <c r="AR124" s="1030">
        <f t="shared" si="33"/>
        <v>6</v>
      </c>
      <c r="AV124" s="36"/>
      <c r="AW124" s="36"/>
      <c r="AZ124" s="36"/>
      <c r="BA124" s="36"/>
      <c r="BB124" s="36"/>
    </row>
    <row r="125" spans="1:54" ht="13" x14ac:dyDescent="0.3">
      <c r="A125" s="244">
        <v>9257030</v>
      </c>
      <c r="B125" s="237" t="s">
        <v>1046</v>
      </c>
      <c r="C125" s="238">
        <v>4</v>
      </c>
      <c r="D125" s="245">
        <f t="shared" si="20"/>
        <v>376848.79844797438</v>
      </c>
      <c r="E125" s="245">
        <f t="shared" si="21"/>
        <v>506484.78511407756</v>
      </c>
      <c r="F125" s="68">
        <f t="shared" si="34"/>
        <v>883333.58356205188</v>
      </c>
      <c r="G125" s="245">
        <f t="shared" si="22"/>
        <v>0</v>
      </c>
      <c r="H125" s="245">
        <f t="shared" si="23"/>
        <v>0</v>
      </c>
      <c r="I125" s="68">
        <f t="shared" si="35"/>
        <v>0</v>
      </c>
      <c r="J125" s="68">
        <f t="shared" si="36"/>
        <v>883333.58356205188</v>
      </c>
      <c r="K125" s="245">
        <f t="shared" si="24"/>
        <v>82343.75</v>
      </c>
      <c r="L125" s="245">
        <f t="shared" si="25"/>
        <v>110670</v>
      </c>
      <c r="M125" s="68">
        <f t="shared" si="37"/>
        <v>193013.75</v>
      </c>
      <c r="N125" s="245">
        <f t="shared" si="26"/>
        <v>0</v>
      </c>
      <c r="O125" s="245">
        <f t="shared" si="27"/>
        <v>0</v>
      </c>
      <c r="P125" s="68">
        <f t="shared" si="38"/>
        <v>0</v>
      </c>
      <c r="Q125" s="68">
        <f t="shared" si="39"/>
        <v>193013.75</v>
      </c>
      <c r="R125" s="68">
        <f t="shared" si="28"/>
        <v>1076347.3335620519</v>
      </c>
      <c r="S125" s="286">
        <f t="shared" si="40"/>
        <v>73.25</v>
      </c>
      <c r="T125" s="245">
        <f t="shared" si="41"/>
        <v>14694.161550335179</v>
      </c>
      <c r="U125" s="237"/>
      <c r="V125" s="245">
        <f t="shared" si="42"/>
        <v>732500</v>
      </c>
      <c r="W125" s="245">
        <f t="shared" si="43"/>
        <v>0</v>
      </c>
      <c r="X125" s="245">
        <f t="shared" si="44"/>
        <v>732500</v>
      </c>
      <c r="Y125" s="245">
        <f>VLOOKUP(A125,'[22]2122 Funding Detail'!$A$4:$Y$21,18,FALSE)</f>
        <v>1553577.088864696</v>
      </c>
      <c r="Z125" s="245">
        <f t="shared" si="45"/>
        <v>821077.08886469598</v>
      </c>
      <c r="AA125" s="245">
        <f t="shared" si="29"/>
        <v>350288.86043715704</v>
      </c>
      <c r="AB125" s="245">
        <f t="shared" si="30"/>
        <v>470788.22842753911</v>
      </c>
      <c r="AC125" s="245">
        <f t="shared" si="46"/>
        <v>821077.08886469621</v>
      </c>
      <c r="AD125" s="245">
        <f t="shared" si="31"/>
        <v>0</v>
      </c>
      <c r="AE125" s="245">
        <f t="shared" si="32"/>
        <v>0</v>
      </c>
      <c r="AF125" s="245">
        <f t="shared" si="47"/>
        <v>0</v>
      </c>
      <c r="AG125" s="245">
        <f t="shared" si="48"/>
        <v>821077.08886469621</v>
      </c>
      <c r="AH125" s="287"/>
      <c r="AI125" s="1029">
        <f t="shared" si="49"/>
        <v>1553577.0888646962</v>
      </c>
      <c r="AJ125" s="247" t="s">
        <v>206</v>
      </c>
      <c r="AK125" s="297"/>
      <c r="AL125" s="235">
        <f t="shared" si="50"/>
        <v>0</v>
      </c>
      <c r="AM125" s="270">
        <f>SUM('[22]1920 Band Calculations'!R19,'[22]1920 Band Calculations'!R41,'[22]1920 Band Calculations'!R63,'[22]1920 Band Calculations'!R85)</f>
        <v>0</v>
      </c>
      <c r="AN125" s="270">
        <f t="shared" si="51"/>
        <v>0</v>
      </c>
      <c r="AO125" s="1028"/>
      <c r="AP125" s="1030">
        <f>'[22]2021 Funding Detail'!M20-'[22]1920 Funding Detail'!M20</f>
        <v>2.25</v>
      </c>
      <c r="AQ125" s="1030">
        <f>'[22]2021 Band Moderations'!R64</f>
        <v>0</v>
      </c>
      <c r="AR125" s="1030">
        <f t="shared" si="33"/>
        <v>2.25</v>
      </c>
      <c r="AV125" s="36"/>
      <c r="AW125" s="36"/>
      <c r="AZ125" s="36"/>
      <c r="BA125" s="36"/>
      <c r="BB125" s="36"/>
    </row>
    <row r="126" spans="1:54" ht="13" x14ac:dyDescent="0.3">
      <c r="A126" s="244">
        <v>9257028</v>
      </c>
      <c r="B126" s="237" t="s">
        <v>215</v>
      </c>
      <c r="C126" s="238">
        <v>5</v>
      </c>
      <c r="D126" s="245">
        <f t="shared" si="20"/>
        <v>451383.42724272283</v>
      </c>
      <c r="E126" s="245">
        <f t="shared" si="21"/>
        <v>812490.16903690109</v>
      </c>
      <c r="F126" s="68">
        <f t="shared" si="34"/>
        <v>1263873.5962796239</v>
      </c>
      <c r="G126" s="245">
        <f t="shared" si="22"/>
        <v>31745.647630257423</v>
      </c>
      <c r="H126" s="245">
        <f t="shared" si="23"/>
        <v>39682.059537821784</v>
      </c>
      <c r="I126" s="68">
        <f t="shared" si="35"/>
        <v>71427.707168079214</v>
      </c>
      <c r="J126" s="68">
        <f t="shared" si="36"/>
        <v>1335301.3034477031</v>
      </c>
      <c r="K126" s="245">
        <f t="shared" si="24"/>
        <v>7913.6963696369639</v>
      </c>
      <c r="L126" s="245">
        <f t="shared" si="25"/>
        <v>14244.653465346533</v>
      </c>
      <c r="M126" s="68">
        <f t="shared" si="37"/>
        <v>22158.349834983499</v>
      </c>
      <c r="N126" s="245">
        <f t="shared" si="26"/>
        <v>556.56765676567647</v>
      </c>
      <c r="O126" s="245">
        <f t="shared" si="27"/>
        <v>695.70957095709559</v>
      </c>
      <c r="P126" s="68">
        <f t="shared" si="38"/>
        <v>1252.2772277227721</v>
      </c>
      <c r="Q126" s="68">
        <f t="shared" si="39"/>
        <v>23410.627062706269</v>
      </c>
      <c r="R126" s="68">
        <f t="shared" si="28"/>
        <v>1358711.9305104094</v>
      </c>
      <c r="S126" s="286">
        <f t="shared" si="40"/>
        <v>112.16666666666667</v>
      </c>
      <c r="T126" s="245">
        <f t="shared" si="41"/>
        <v>12113.330732633664</v>
      </c>
      <c r="U126" s="237"/>
      <c r="V126" s="245">
        <f t="shared" si="42"/>
        <v>1061666.6666666667</v>
      </c>
      <c r="W126" s="245">
        <f t="shared" si="43"/>
        <v>59999.999999999993</v>
      </c>
      <c r="X126" s="245">
        <f t="shared" si="44"/>
        <v>1121666.6666666667</v>
      </c>
      <c r="Y126" s="245">
        <f>VLOOKUP(A126,'[22]2122 Funding Detail'!$A$4:$Y$21,18,FALSE)</f>
        <v>1913075.1305104094</v>
      </c>
      <c r="Z126" s="245">
        <f t="shared" si="45"/>
        <v>791408.46384374262</v>
      </c>
      <c r="AA126" s="245">
        <f t="shared" si="29"/>
        <v>267526.6352517851</v>
      </c>
      <c r="AB126" s="245">
        <f t="shared" si="30"/>
        <v>481547.9434532132</v>
      </c>
      <c r="AC126" s="245">
        <f t="shared" si="46"/>
        <v>749074.57870499836</v>
      </c>
      <c r="AD126" s="245">
        <f t="shared" si="31"/>
        <v>18815.060061664011</v>
      </c>
      <c r="AE126" s="245">
        <f t="shared" si="32"/>
        <v>23518.825077080015</v>
      </c>
      <c r="AF126" s="245">
        <f t="shared" si="47"/>
        <v>42333.885138744023</v>
      </c>
      <c r="AG126" s="245">
        <f t="shared" si="48"/>
        <v>791408.46384374239</v>
      </c>
      <c r="AH126" s="287"/>
      <c r="AI126" s="1029">
        <f t="shared" si="49"/>
        <v>1913075.1305104091</v>
      </c>
      <c r="AJ126" s="247" t="s">
        <v>206</v>
      </c>
      <c r="AK126" s="297"/>
      <c r="AL126" s="235">
        <f t="shared" si="50"/>
        <v>279459.44511597994</v>
      </c>
      <c r="AM126" s="270">
        <f>SUM('[22]1920 Band Calculations'!R20,'[22]1920 Band Calculations'!R42,'[22]1920 Band Calculations'!R64,'[22]1920 Band Calculations'!R86)</f>
        <v>261776.17157900496</v>
      </c>
      <c r="AN126" s="270">
        <f t="shared" si="51"/>
        <v>17683.273536974972</v>
      </c>
      <c r="AO126" s="1028"/>
      <c r="AP126" s="1030">
        <f>'[22]2021 Funding Detail'!M12-'[22]1920 Funding Detail'!M12</f>
        <v>9.9166666666666572</v>
      </c>
      <c r="AQ126" s="1030">
        <f>'[22]2021 Band Moderations'!R65</f>
        <v>0</v>
      </c>
      <c r="AR126" s="1030">
        <f t="shared" si="33"/>
        <v>9.9166666666666572</v>
      </c>
      <c r="AV126" s="36"/>
      <c r="AW126" s="36"/>
      <c r="AZ126" s="36"/>
      <c r="BA126" s="36"/>
      <c r="BB126" s="36"/>
    </row>
    <row r="127" spans="1:54" ht="13" x14ac:dyDescent="0.3">
      <c r="A127" s="244">
        <v>9257021</v>
      </c>
      <c r="B127" s="237" t="s">
        <v>216</v>
      </c>
      <c r="C127" s="238">
        <v>5</v>
      </c>
      <c r="D127" s="245">
        <f t="shared" si="20"/>
        <v>651294.16361984739</v>
      </c>
      <c r="E127" s="245">
        <f t="shared" si="21"/>
        <v>928290.35609913187</v>
      </c>
      <c r="F127" s="68">
        <f t="shared" si="34"/>
        <v>1579584.5197189793</v>
      </c>
      <c r="G127" s="245">
        <f t="shared" si="22"/>
        <v>0</v>
      </c>
      <c r="H127" s="245">
        <f t="shared" si="23"/>
        <v>0</v>
      </c>
      <c r="I127" s="68">
        <f t="shared" si="35"/>
        <v>0</v>
      </c>
      <c r="J127" s="68">
        <f t="shared" si="36"/>
        <v>1579584.5197189793</v>
      </c>
      <c r="K127" s="245">
        <f t="shared" si="24"/>
        <v>14446.976626016261</v>
      </c>
      <c r="L127" s="245">
        <f t="shared" si="25"/>
        <v>20591.293191056913</v>
      </c>
      <c r="M127" s="68">
        <f t="shared" si="37"/>
        <v>35038.269817073175</v>
      </c>
      <c r="N127" s="245">
        <f t="shared" si="26"/>
        <v>0</v>
      </c>
      <c r="O127" s="245">
        <f t="shared" si="27"/>
        <v>0</v>
      </c>
      <c r="P127" s="68">
        <f t="shared" si="38"/>
        <v>0</v>
      </c>
      <c r="Q127" s="68">
        <f t="shared" si="39"/>
        <v>35038.269817073175</v>
      </c>
      <c r="R127" s="68">
        <f t="shared" si="28"/>
        <v>1614622.7895360524</v>
      </c>
      <c r="S127" s="286">
        <f t="shared" si="40"/>
        <v>167.75</v>
      </c>
      <c r="T127" s="245">
        <f t="shared" si="41"/>
        <v>9625.1731119883898</v>
      </c>
      <c r="U127" s="237"/>
      <c r="V127" s="245">
        <f t="shared" si="42"/>
        <v>1677500</v>
      </c>
      <c r="W127" s="245">
        <f t="shared" si="43"/>
        <v>0</v>
      </c>
      <c r="X127" s="245">
        <f t="shared" si="44"/>
        <v>1677500</v>
      </c>
      <c r="Y127" s="245">
        <f>VLOOKUP(A127,'[22]2122 Funding Detail'!$A$4:$Y$21,18,FALSE)</f>
        <v>2238144.7625439442</v>
      </c>
      <c r="Z127" s="245">
        <f t="shared" si="45"/>
        <v>560644.76254394418</v>
      </c>
      <c r="AA127" s="245">
        <f t="shared" si="29"/>
        <v>231165.00393019064</v>
      </c>
      <c r="AB127" s="245">
        <f t="shared" si="30"/>
        <v>329479.7586137536</v>
      </c>
      <c r="AC127" s="245">
        <f t="shared" si="46"/>
        <v>560644.76254394418</v>
      </c>
      <c r="AD127" s="245">
        <f t="shared" si="31"/>
        <v>0</v>
      </c>
      <c r="AE127" s="245">
        <f t="shared" si="32"/>
        <v>0</v>
      </c>
      <c r="AF127" s="245">
        <f t="shared" si="47"/>
        <v>0</v>
      </c>
      <c r="AG127" s="245">
        <f t="shared" si="48"/>
        <v>560644.76254394418</v>
      </c>
      <c r="AH127" s="287"/>
      <c r="AI127" s="1029">
        <f t="shared" si="49"/>
        <v>2238144.7625439442</v>
      </c>
      <c r="AJ127" s="247" t="s">
        <v>206</v>
      </c>
      <c r="AK127" s="297"/>
      <c r="AL127" s="235">
        <f t="shared" si="50"/>
        <v>46798.544232945467</v>
      </c>
      <c r="AM127" s="270">
        <f>SUM('[22]1920 Band Calculations'!R21,'[22]1920 Band Calculations'!R43,'[22]1920 Band Calculations'!R65,'[22]1920 Band Calculations'!R87)</f>
        <v>22107.42859712529</v>
      </c>
      <c r="AN127" s="270">
        <f t="shared" si="51"/>
        <v>24691.115635820177</v>
      </c>
      <c r="AO127" s="1028"/>
      <c r="AP127" s="1030">
        <f>'[22]2021 Funding Detail'!M13-'[22]1920 Funding Detail'!M13</f>
        <v>5.25</v>
      </c>
      <c r="AQ127" s="1030">
        <f>'[22]2021 Band Moderations'!R66</f>
        <v>1</v>
      </c>
      <c r="AR127" s="1030">
        <f t="shared" si="33"/>
        <v>4.25</v>
      </c>
      <c r="AV127" s="36"/>
      <c r="AW127" s="36"/>
      <c r="AZ127" s="36"/>
      <c r="BA127" s="36"/>
      <c r="BB127" s="36"/>
    </row>
    <row r="128" spans="1:54" ht="13" x14ac:dyDescent="0.3">
      <c r="A128" s="244">
        <v>9257015</v>
      </c>
      <c r="B128" s="237" t="s">
        <v>217</v>
      </c>
      <c r="C128" s="238">
        <v>6</v>
      </c>
      <c r="D128" s="245">
        <f t="shared" si="20"/>
        <v>879308.52772979927</v>
      </c>
      <c r="E128" s="245">
        <f t="shared" si="21"/>
        <v>1225536.2605234075</v>
      </c>
      <c r="F128" s="68">
        <f t="shared" si="34"/>
        <v>2104844.7882532068</v>
      </c>
      <c r="G128" s="245">
        <f t="shared" si="22"/>
        <v>25123.100792279969</v>
      </c>
      <c r="H128" s="245">
        <f t="shared" si="23"/>
        <v>18842.325594209979</v>
      </c>
      <c r="I128" s="68">
        <f t="shared" si="35"/>
        <v>43965.426386489948</v>
      </c>
      <c r="J128" s="68">
        <f t="shared" si="36"/>
        <v>2148810.2146396968</v>
      </c>
      <c r="K128" s="245">
        <f t="shared" si="24"/>
        <v>4352.8023598820064</v>
      </c>
      <c r="L128" s="245">
        <f t="shared" si="25"/>
        <v>6066.7182890855456</v>
      </c>
      <c r="M128" s="68">
        <f t="shared" si="37"/>
        <v>10419.520648967551</v>
      </c>
      <c r="N128" s="245">
        <f t="shared" si="26"/>
        <v>124.36578171091446</v>
      </c>
      <c r="O128" s="245">
        <f t="shared" si="27"/>
        <v>93.274336283185846</v>
      </c>
      <c r="P128" s="68">
        <f t="shared" si="38"/>
        <v>217.64011799410031</v>
      </c>
      <c r="Q128" s="68">
        <f t="shared" si="39"/>
        <v>10637.160766961651</v>
      </c>
      <c r="R128" s="68">
        <f t="shared" si="28"/>
        <v>2159447.3754066583</v>
      </c>
      <c r="S128" s="286">
        <f t="shared" si="40"/>
        <v>228.08333333333334</v>
      </c>
      <c r="T128" s="245">
        <f t="shared" si="41"/>
        <v>9467.7999652465824</v>
      </c>
      <c r="U128" s="237"/>
      <c r="V128" s="245">
        <f t="shared" si="42"/>
        <v>2234166.666666667</v>
      </c>
      <c r="W128" s="245">
        <f t="shared" si="43"/>
        <v>46666.666666666664</v>
      </c>
      <c r="X128" s="245">
        <f t="shared" si="44"/>
        <v>2280833.3333333335</v>
      </c>
      <c r="Y128" s="245">
        <f>VLOOKUP(A128,'[22]2122 Funding Detail'!$A$4:$Y$21,18,FALSE)</f>
        <v>2850992.1754066581</v>
      </c>
      <c r="Z128" s="245">
        <f t="shared" si="45"/>
        <v>570158.8420733246</v>
      </c>
      <c r="AA128" s="245">
        <f t="shared" si="29"/>
        <v>233313.0811553247</v>
      </c>
      <c r="AB128" s="245">
        <f t="shared" si="30"/>
        <v>325180.10686023376</v>
      </c>
      <c r="AC128" s="245">
        <f t="shared" si="46"/>
        <v>558493.18801555852</v>
      </c>
      <c r="AD128" s="245">
        <f t="shared" si="31"/>
        <v>6666.0880330092768</v>
      </c>
      <c r="AE128" s="245">
        <f t="shared" si="32"/>
        <v>4999.5660247569576</v>
      </c>
      <c r="AF128" s="245">
        <f t="shared" si="47"/>
        <v>11665.654057766234</v>
      </c>
      <c r="AG128" s="245">
        <f t="shared" si="48"/>
        <v>570158.84207332472</v>
      </c>
      <c r="AH128" s="287"/>
      <c r="AI128" s="1029">
        <f t="shared" si="49"/>
        <v>2850992.1754066581</v>
      </c>
      <c r="AJ128" s="247" t="s">
        <v>206</v>
      </c>
      <c r="AK128" s="297"/>
      <c r="AL128" s="235">
        <f t="shared" si="50"/>
        <v>69261.203568685509</v>
      </c>
      <c r="AM128" s="270">
        <f>SUM('[22]1920 Band Calculations'!R22,'[22]1920 Band Calculations'!R44,'[22]1920 Band Calculations'!R66,'[22]1920 Band Calculations'!R88)</f>
        <v>45215.482530625093</v>
      </c>
      <c r="AN128" s="270">
        <f t="shared" si="51"/>
        <v>24045.721038060416</v>
      </c>
      <c r="AO128" s="1028"/>
      <c r="AP128" s="1030">
        <f>'[22]2021 Funding Detail'!M14-'[22]1920 Funding Detail'!M14</f>
        <v>-4.5833333333333144</v>
      </c>
      <c r="AQ128" s="1030">
        <f>'[22]2021 Band Moderations'!R67</f>
        <v>1</v>
      </c>
      <c r="AR128" s="1030">
        <f t="shared" si="33"/>
        <v>-5.5833333333333144</v>
      </c>
      <c r="AV128" s="36"/>
      <c r="AW128" s="36"/>
      <c r="AZ128" s="36"/>
      <c r="BA128" s="36"/>
      <c r="BB128" s="36"/>
    </row>
    <row r="129" spans="1:54" ht="13" x14ac:dyDescent="0.3">
      <c r="A129" s="244">
        <v>9257016</v>
      </c>
      <c r="B129" s="237" t="s">
        <v>219</v>
      </c>
      <c r="C129" s="238">
        <v>6</v>
      </c>
      <c r="D129" s="245">
        <f t="shared" si="20"/>
        <v>638067.17189250793</v>
      </c>
      <c r="E129" s="245">
        <f t="shared" si="21"/>
        <v>852689.76607453323</v>
      </c>
      <c r="F129" s="68">
        <f t="shared" si="34"/>
        <v>1490756.937967041</v>
      </c>
      <c r="G129" s="245">
        <f t="shared" si="22"/>
        <v>218102.9605741663</v>
      </c>
      <c r="H129" s="245">
        <f t="shared" si="23"/>
        <v>547577.64569684304</v>
      </c>
      <c r="I129" s="68">
        <f t="shared" si="35"/>
        <v>765680.60627100931</v>
      </c>
      <c r="J129" s="68">
        <f>F129+I129</f>
        <v>2256437.5442380505</v>
      </c>
      <c r="K129" s="245">
        <f t="shared" si="24"/>
        <v>750.12939958592131</v>
      </c>
      <c r="L129" s="245">
        <f t="shared" si="25"/>
        <v>1002.4456521739131</v>
      </c>
      <c r="M129" s="68">
        <f t="shared" si="37"/>
        <v>1752.5750517598344</v>
      </c>
      <c r="N129" s="245">
        <f t="shared" si="26"/>
        <v>256.40786749482402</v>
      </c>
      <c r="O129" s="245">
        <f t="shared" si="27"/>
        <v>643.74741200828146</v>
      </c>
      <c r="P129" s="68">
        <f t="shared" si="38"/>
        <v>900.15527950310548</v>
      </c>
      <c r="Q129" s="68">
        <f t="shared" si="39"/>
        <v>2652.7303312629401</v>
      </c>
      <c r="R129" s="68">
        <f t="shared" si="28"/>
        <v>2259090.2745693135</v>
      </c>
      <c r="S129" s="286">
        <f t="shared" si="40"/>
        <v>162.08333333333334</v>
      </c>
      <c r="T129" s="245">
        <f t="shared" si="41"/>
        <v>13937.832028191136</v>
      </c>
      <c r="U129" s="237"/>
      <c r="V129" s="245">
        <f t="shared" si="42"/>
        <v>1070833.3333333335</v>
      </c>
      <c r="W129" s="245">
        <f t="shared" si="43"/>
        <v>550000</v>
      </c>
      <c r="X129" s="245">
        <f t="shared" si="44"/>
        <v>1620833.3333333335</v>
      </c>
      <c r="Y129" s="245">
        <f>VLOOKUP(A129,'[22]2122 Funding Detail'!$A$4:$Y$21,18,FALSE)</f>
        <v>2950635.0745693133</v>
      </c>
      <c r="Z129" s="245">
        <f t="shared" si="45"/>
        <v>1329801.7412359798</v>
      </c>
      <c r="AA129" s="245">
        <f t="shared" si="29"/>
        <v>376036.48209757777</v>
      </c>
      <c r="AB129" s="245">
        <f t="shared" si="30"/>
        <v>502521.4806213085</v>
      </c>
      <c r="AC129" s="245">
        <f t="shared" si="46"/>
        <v>878557.96271888632</v>
      </c>
      <c r="AD129" s="245">
        <f t="shared" si="31"/>
        <v>128536.10660789932</v>
      </c>
      <c r="AE129" s="245">
        <f t="shared" si="32"/>
        <v>322707.67190919403</v>
      </c>
      <c r="AF129" s="245">
        <f t="shared" si="47"/>
        <v>451243.77851709333</v>
      </c>
      <c r="AG129" s="245">
        <f t="shared" si="48"/>
        <v>1329801.7412359796</v>
      </c>
      <c r="AH129" s="287"/>
      <c r="AI129" s="1029">
        <f t="shared" si="49"/>
        <v>2950635.0745693133</v>
      </c>
      <c r="AJ129" s="247" t="s">
        <v>206</v>
      </c>
      <c r="AK129" s="297"/>
      <c r="AL129" s="235">
        <f t="shared" si="50"/>
        <v>783023.98962712591</v>
      </c>
      <c r="AM129" s="270">
        <f>SUM('[22]1920 Band Calculations'!R23,'[22]1920 Band Calculations'!R45,'[22]1920 Band Calculations'!R67,'[22]1920 Band Calculations'!R89)</f>
        <v>794222.80929219606</v>
      </c>
      <c r="AN129" s="270">
        <f t="shared" si="51"/>
        <v>-11198.819665070157</v>
      </c>
      <c r="AO129" s="1028"/>
      <c r="AP129" s="1030">
        <f>'[22]2021 Funding Detail'!M15-'[22]1920 Funding Detail'!M15</f>
        <v>11.916666666666657</v>
      </c>
      <c r="AQ129" s="1030">
        <f>'[22]2021 Band Moderations'!R68</f>
        <v>-1</v>
      </c>
      <c r="AR129" s="1030">
        <f>AP129-AQ129</f>
        <v>12.916666666666657</v>
      </c>
      <c r="AV129" s="36"/>
      <c r="AW129" s="36"/>
      <c r="AZ129" s="36"/>
      <c r="BA129" s="36"/>
      <c r="BB129" s="36"/>
    </row>
    <row r="130" spans="1:54" x14ac:dyDescent="0.25">
      <c r="F130" s="234"/>
      <c r="G130" s="234"/>
      <c r="I130" s="36"/>
      <c r="J130" s="36"/>
      <c r="AL130" s="234"/>
      <c r="AM130" s="270"/>
      <c r="AN130" s="1028"/>
      <c r="AO130" s="1028"/>
      <c r="AP130" s="1028"/>
      <c r="AQ130" s="1028"/>
      <c r="AR130" s="1028"/>
      <c r="AV130" s="36"/>
      <c r="AW130" s="36"/>
      <c r="AZ130" s="36"/>
      <c r="BA130" s="36"/>
      <c r="BB130" s="36"/>
    </row>
    <row r="131" spans="1:54" ht="13" thickBot="1" x14ac:dyDescent="0.3">
      <c r="D131" s="250">
        <f t="shared" ref="D131:P131" si="52">SUM(D112:D129)</f>
        <v>7781199.7576472228</v>
      </c>
      <c r="E131" s="250">
        <f t="shared" si="52"/>
        <v>11497515.547407499</v>
      </c>
      <c r="F131" s="250">
        <f t="shared" si="52"/>
        <v>19278715.30505472</v>
      </c>
      <c r="G131" s="250">
        <f t="shared" si="52"/>
        <v>673506.02639053098</v>
      </c>
      <c r="H131" s="250">
        <f t="shared" si="52"/>
        <v>1456183.2944519073</v>
      </c>
      <c r="I131" s="250">
        <f t="shared" si="52"/>
        <v>2129689.3208424384</v>
      </c>
      <c r="J131" s="250">
        <f>SUM(J112:J129)</f>
        <v>21408404.625897162</v>
      </c>
      <c r="K131" s="250">
        <f t="shared" si="52"/>
        <v>441706.01105951105</v>
      </c>
      <c r="L131" s="250">
        <f t="shared" si="52"/>
        <v>668865.50338418956</v>
      </c>
      <c r="M131" s="250">
        <f t="shared" si="52"/>
        <v>1110571.5144437004</v>
      </c>
      <c r="N131" s="250">
        <f t="shared" si="52"/>
        <v>8138.4329825008317</v>
      </c>
      <c r="O131" s="250">
        <f t="shared" si="52"/>
        <v>16312.169325842169</v>
      </c>
      <c r="P131" s="250">
        <f t="shared" si="52"/>
        <v>24450.602308343001</v>
      </c>
      <c r="Q131" s="250">
        <f>SUM(Q112:Q129)</f>
        <v>1135022.1167520436</v>
      </c>
      <c r="R131" s="250">
        <f>SUM(R112:R129)</f>
        <v>22543426.742649201</v>
      </c>
      <c r="S131" s="1031">
        <f>SUM(S112:S129)</f>
        <v>1988.5</v>
      </c>
      <c r="T131" s="250">
        <f>AVERAGE(T112:T129)</f>
        <v>11786.133205475831</v>
      </c>
      <c r="V131" s="1032">
        <f>SUM(V112:V129)</f>
        <v>18098333.333333332</v>
      </c>
      <c r="W131" s="1032">
        <f t="shared" ref="W131:AI131" si="53">SUM(W112:W129)</f>
        <v>1786666.6666666667</v>
      </c>
      <c r="X131" s="1033">
        <f t="shared" si="53"/>
        <v>19885000</v>
      </c>
      <c r="Y131" s="1033">
        <f t="shared" si="53"/>
        <v>32192766.037028458</v>
      </c>
      <c r="Z131" s="1033">
        <f t="shared" si="53"/>
        <v>12307766.037028458</v>
      </c>
      <c r="AA131" s="1033">
        <f t="shared" si="53"/>
        <v>4397558.5362252891</v>
      </c>
      <c r="AB131" s="1033">
        <f t="shared" si="53"/>
        <v>6604794.1509980485</v>
      </c>
      <c r="AC131" s="1033">
        <f t="shared" si="53"/>
        <v>11002352.687223338</v>
      </c>
      <c r="AD131" s="1033">
        <f t="shared" si="53"/>
        <v>407052.14670938288</v>
      </c>
      <c r="AE131" s="1033">
        <f t="shared" si="53"/>
        <v>898361.20309573715</v>
      </c>
      <c r="AF131" s="1033">
        <f t="shared" si="53"/>
        <v>1305413.3498051199</v>
      </c>
      <c r="AG131" s="1033">
        <f t="shared" si="53"/>
        <v>12307766.037028458</v>
      </c>
      <c r="AH131" s="1034"/>
      <c r="AI131" s="1033">
        <f t="shared" si="53"/>
        <v>32192766.037028458</v>
      </c>
      <c r="AJ131" s="296" t="s">
        <v>206</v>
      </c>
      <c r="AL131" s="235">
        <f>SUM(AL112:AL130)</f>
        <v>2103667.5817540754</v>
      </c>
      <c r="AM131" s="270">
        <f>SUM(AM112:AM130)</f>
        <v>1866352.7961942179</v>
      </c>
      <c r="AN131" s="270">
        <f>SUM(AN112:AN130)</f>
        <v>237314.78555985761</v>
      </c>
      <c r="AO131" s="1028"/>
      <c r="AP131" s="1028"/>
      <c r="AQ131" s="1028"/>
      <c r="AR131" s="1028"/>
      <c r="AV131" s="36"/>
      <c r="AW131" s="36"/>
      <c r="AZ131" s="36"/>
      <c r="BA131" s="36"/>
      <c r="BB131" s="36"/>
    </row>
    <row r="132" spans="1:54" x14ac:dyDescent="0.25">
      <c r="F132" s="234"/>
      <c r="G132" s="234"/>
      <c r="I132" s="36"/>
      <c r="J132" s="36"/>
      <c r="AM132" s="1028"/>
      <c r="AN132" s="1028"/>
      <c r="AO132" s="1028"/>
      <c r="AP132" s="1028"/>
      <c r="AQ132" s="1028"/>
      <c r="AR132" s="1028"/>
    </row>
    <row r="133" spans="1:54" x14ac:dyDescent="0.25">
      <c r="D133" s="381" t="s">
        <v>206</v>
      </c>
      <c r="E133" s="381" t="s">
        <v>206</v>
      </c>
      <c r="F133" s="381" t="s">
        <v>206</v>
      </c>
      <c r="G133" s="381" t="s">
        <v>206</v>
      </c>
      <c r="H133" s="381" t="s">
        <v>206</v>
      </c>
      <c r="I133" s="381" t="s">
        <v>206</v>
      </c>
      <c r="J133" s="381" t="s">
        <v>206</v>
      </c>
      <c r="K133" s="381" t="s">
        <v>206</v>
      </c>
      <c r="L133" s="381" t="s">
        <v>206</v>
      </c>
      <c r="M133" s="381" t="s">
        <v>206</v>
      </c>
      <c r="N133" s="381" t="s">
        <v>206</v>
      </c>
      <c r="O133" s="381" t="s">
        <v>206</v>
      </c>
      <c r="P133" s="381" t="s">
        <v>206</v>
      </c>
      <c r="Q133" s="381" t="s">
        <v>206</v>
      </c>
      <c r="R133" s="381" t="s">
        <v>206</v>
      </c>
      <c r="S133" s="233"/>
      <c r="T133" s="298"/>
      <c r="V133" s="298"/>
      <c r="W133" s="298"/>
      <c r="X133" s="298"/>
      <c r="Y133" s="298"/>
      <c r="Z133" s="298"/>
      <c r="AA133" s="298"/>
      <c r="AB133" s="298"/>
      <c r="AC133" s="298"/>
      <c r="AD133" s="298"/>
      <c r="AE133" s="298"/>
      <c r="AF133" s="298"/>
      <c r="AG133" s="298"/>
      <c r="AH133" s="298"/>
      <c r="AI133" s="298"/>
      <c r="AN133" s="296"/>
    </row>
    <row r="142" spans="1:54" ht="13" x14ac:dyDescent="0.3">
      <c r="A142" s="139" t="s">
        <v>1255</v>
      </c>
    </row>
    <row r="144" spans="1:54" ht="13" x14ac:dyDescent="0.3">
      <c r="A144" s="139" t="s">
        <v>958</v>
      </c>
    </row>
    <row r="145" spans="1:10" x14ac:dyDescent="0.25">
      <c r="A145" s="244">
        <v>9257010</v>
      </c>
      <c r="B145" s="237" t="s">
        <v>205</v>
      </c>
      <c r="C145" s="365">
        <v>5</v>
      </c>
      <c r="D145" s="1024">
        <f>VLOOKUP(A145,'[22]2122 Band Moderations'!$B$5:$S$22,6,(FALSE))</f>
        <v>1.5873015873015872E-2</v>
      </c>
      <c r="E145" s="1024">
        <f>VLOOKUP(A145,'[22]2122 Band Moderations'!$B$5:$S$22,8,(FALSE))</f>
        <v>0.31746031746031744</v>
      </c>
      <c r="F145" s="1024">
        <f>VLOOKUP(A145,'[22]2122 Band Moderations'!$B$5:$S$22,10,(FALSE))</f>
        <v>9.5238095238095233E-2</v>
      </c>
      <c r="G145" s="1024">
        <f>VLOOKUP(A145,'[22]2122 Band Moderations'!$B$5:$S$22,12,(FALSE))</f>
        <v>0.17460317460317459</v>
      </c>
      <c r="H145" s="1024">
        <f>VLOOKUP(A145,'[22]2122 Band Moderations'!$B$5:$S$22,14,(FALSE))</f>
        <v>6.3492063492063489E-2</v>
      </c>
      <c r="I145" s="1024">
        <f>VLOOKUP(A145,'[22]2122 Band Moderations'!$B$5:$S$22,16,(FALSE))</f>
        <v>0.19047619047619047</v>
      </c>
      <c r="J145" s="1024">
        <f>VLOOKUP(A145,'[22]2122 Band Moderations'!$B$5:$S$22,18,(FALSE))</f>
        <v>0.14285714285714285</v>
      </c>
    </row>
    <row r="146" spans="1:10" x14ac:dyDescent="0.25">
      <c r="A146" s="244">
        <v>9257005</v>
      </c>
      <c r="B146" s="237" t="s">
        <v>208</v>
      </c>
      <c r="C146" s="365">
        <v>4</v>
      </c>
      <c r="D146" s="1024">
        <f>VLOOKUP(A146,'[22]2122 Band Moderations'!$B$5:$S$22,6,(FALSE))</f>
        <v>0.05</v>
      </c>
      <c r="E146" s="1024">
        <f>VLOOKUP(A146,'[22]2122 Band Moderations'!$B$5:$S$22,8,(FALSE))</f>
        <v>0.4</v>
      </c>
      <c r="F146" s="1024">
        <f>VLOOKUP(A146,'[22]2122 Band Moderations'!$B$5:$S$22,10,(FALSE))</f>
        <v>6.25E-2</v>
      </c>
      <c r="G146" s="1024">
        <f>VLOOKUP(A146,'[22]2122 Band Moderations'!$B$5:$S$22,12,(FALSE))</f>
        <v>0.15</v>
      </c>
      <c r="H146" s="1024">
        <f>VLOOKUP(A146,'[22]2122 Band Moderations'!$B$5:$S$22,14,(FALSE))</f>
        <v>0.125</v>
      </c>
      <c r="I146" s="1024">
        <f>VLOOKUP(A146,'[22]2122 Band Moderations'!$B$5:$S$22,16,(FALSE))</f>
        <v>0.15</v>
      </c>
      <c r="J146" s="1024">
        <f>VLOOKUP(A146,'[22]2122 Band Moderations'!$B$5:$S$22,18,(FALSE))</f>
        <v>6.25E-2</v>
      </c>
    </row>
    <row r="147" spans="1:10" x14ac:dyDescent="0.25">
      <c r="A147" s="244">
        <v>9257025</v>
      </c>
      <c r="B147" s="237" t="s">
        <v>209</v>
      </c>
      <c r="C147" s="365">
        <v>4</v>
      </c>
      <c r="D147" s="1024">
        <f>VLOOKUP(A147,'[22]2122 Band Moderations'!$B$5:$S$22,6,(FALSE))</f>
        <v>0.15584415584415584</v>
      </c>
      <c r="E147" s="1024">
        <f>VLOOKUP(A147,'[22]2122 Band Moderations'!$B$5:$S$22,8,(FALSE))</f>
        <v>0.40259740259740262</v>
      </c>
      <c r="F147" s="1024">
        <f>VLOOKUP(A147,'[22]2122 Band Moderations'!$B$5:$S$22,10,(FALSE))</f>
        <v>3.896103896103896E-2</v>
      </c>
      <c r="G147" s="1024">
        <f>VLOOKUP(A147,'[22]2122 Band Moderations'!$B$5:$S$22,12,(FALSE))</f>
        <v>0.15584415584415584</v>
      </c>
      <c r="H147" s="1024">
        <f>VLOOKUP(A147,'[22]2122 Band Moderations'!$B$5:$S$22,14,(FALSE))</f>
        <v>5.1948051948051951E-2</v>
      </c>
      <c r="I147" s="1024">
        <f>VLOOKUP(A147,'[22]2122 Band Moderations'!$B$5:$S$22,16,(FALSE))</f>
        <v>0.14285714285714285</v>
      </c>
      <c r="J147" s="1024">
        <f>VLOOKUP(A147,'[22]2122 Band Moderations'!$B$5:$S$22,18,(FALSE))</f>
        <v>5.1948051948051951E-2</v>
      </c>
    </row>
    <row r="148" spans="1:10" x14ac:dyDescent="0.25">
      <c r="A148" s="244">
        <v>9257011</v>
      </c>
      <c r="B148" s="237" t="s">
        <v>210</v>
      </c>
      <c r="C148" s="365" t="s">
        <v>1251</v>
      </c>
      <c r="D148" s="1024">
        <f>VLOOKUP(A148,'[22]2122 Band Moderations'!$B$5:$S$22,6,(FALSE))</f>
        <v>5.6603773584905662E-2</v>
      </c>
      <c r="E148" s="1024">
        <f>VLOOKUP(A148,'[22]2122 Band Moderations'!$B$5:$S$22,8,(FALSE))</f>
        <v>0.35849056603773582</v>
      </c>
      <c r="F148" s="1024">
        <f>VLOOKUP(A148,'[22]2122 Band Moderations'!$B$5:$S$22,10,(FALSE))</f>
        <v>1.8867924528301886E-2</v>
      </c>
      <c r="G148" s="1024">
        <f>VLOOKUP(A148,'[22]2122 Band Moderations'!$B$5:$S$22,12,(FALSE))</f>
        <v>0.16981132075471697</v>
      </c>
      <c r="H148" s="1024">
        <f>VLOOKUP(A148,'[22]2122 Band Moderations'!$B$5:$S$22,14,(FALSE))</f>
        <v>0.13207547169811321</v>
      </c>
      <c r="I148" s="1024">
        <f>VLOOKUP(A148,'[22]2122 Band Moderations'!$B$5:$S$22,16,(FALSE))</f>
        <v>0.15094339622641509</v>
      </c>
      <c r="J148" s="1024">
        <f>VLOOKUP(A148,'[22]2122 Band Moderations'!$B$5:$S$22,18,(FALSE))</f>
        <v>0.11320754716981132</v>
      </c>
    </row>
    <row r="149" spans="1:10" x14ac:dyDescent="0.25">
      <c r="A149" s="244">
        <v>9257024</v>
      </c>
      <c r="B149" s="237" t="s">
        <v>211</v>
      </c>
      <c r="C149" s="365">
        <v>4</v>
      </c>
      <c r="D149" s="1024">
        <f>VLOOKUP(A149,'[22]2122 Band Moderations'!$B$5:$S$22,6,(FALSE))</f>
        <v>8.4337349397590355E-2</v>
      </c>
      <c r="E149" s="1024">
        <f>VLOOKUP(A149,'[22]2122 Band Moderations'!$B$5:$S$22,8,(FALSE))</f>
        <v>0.45783132530120479</v>
      </c>
      <c r="F149" s="1024">
        <f>VLOOKUP(A149,'[22]2122 Band Moderations'!$B$5:$S$22,10,(FALSE))</f>
        <v>1.2048192771084338E-2</v>
      </c>
      <c r="G149" s="1024">
        <f>VLOOKUP(A149,'[22]2122 Band Moderations'!$B$5:$S$22,12,(FALSE))</f>
        <v>0.18072289156626506</v>
      </c>
      <c r="H149" s="1024">
        <f>VLOOKUP(A149,'[22]2122 Band Moderations'!$B$5:$S$22,14,(FALSE))</f>
        <v>8.4337349397590355E-2</v>
      </c>
      <c r="I149" s="1024">
        <f>VLOOKUP(A149,'[22]2122 Band Moderations'!$B$5:$S$22,16,(FALSE))</f>
        <v>7.2289156626506021E-2</v>
      </c>
      <c r="J149" s="1024">
        <f>VLOOKUP(A149,'[22]2122 Band Moderations'!$B$5:$S$22,18,(FALSE))</f>
        <v>0.10843373493975904</v>
      </c>
    </row>
    <row r="150" spans="1:10" x14ac:dyDescent="0.25">
      <c r="A150" s="244">
        <v>9257031</v>
      </c>
      <c r="B150" s="237" t="s">
        <v>257</v>
      </c>
      <c r="C150" s="365">
        <v>5</v>
      </c>
      <c r="D150" s="1024">
        <f>VLOOKUP(A150,'[22]2122 Band Moderations'!$B$5:$S$22,6,(FALSE))</f>
        <v>0</v>
      </c>
      <c r="E150" s="1024">
        <f>VLOOKUP(A150,'[22]2122 Band Moderations'!$B$5:$S$22,8,(FALSE))</f>
        <v>0</v>
      </c>
      <c r="F150" s="1024">
        <f>VLOOKUP(A150,'[22]2122 Band Moderations'!$B$5:$S$22,10,(FALSE))</f>
        <v>1</v>
      </c>
      <c r="G150" s="1024">
        <f>VLOOKUP(A150,'[22]2122 Band Moderations'!$B$5:$S$22,12,(FALSE))</f>
        <v>0</v>
      </c>
      <c r="H150" s="1024">
        <f>VLOOKUP(A150,'[22]2122 Band Moderations'!$B$5:$S$22,14,(FALSE))</f>
        <v>0</v>
      </c>
      <c r="I150" s="1024">
        <f>VLOOKUP(A150,'[22]2122 Band Moderations'!$B$5:$S$22,16,(FALSE))</f>
        <v>0</v>
      </c>
      <c r="J150" s="1024">
        <f>VLOOKUP(A150,'[22]2122 Band Moderations'!$B$5:$S$22,18,(FALSE))</f>
        <v>0</v>
      </c>
    </row>
    <row r="151" spans="1:10" x14ac:dyDescent="0.25">
      <c r="A151" s="244">
        <v>9257033</v>
      </c>
      <c r="B151" s="237" t="s">
        <v>220</v>
      </c>
      <c r="C151" s="365" t="s">
        <v>1178</v>
      </c>
      <c r="D151" s="1024">
        <f>VLOOKUP(A151,'[22]2122 Band Moderations'!$B$5:$S$22,6,(FALSE))</f>
        <v>0.16842105263157894</v>
      </c>
      <c r="E151" s="1024">
        <f>VLOOKUP(A151,'[22]2122 Band Moderations'!$B$5:$S$22,8,(FALSE))</f>
        <v>0.5368421052631579</v>
      </c>
      <c r="F151" s="1024">
        <f>VLOOKUP(A151,'[22]2122 Band Moderations'!$B$5:$S$22,10,(FALSE))</f>
        <v>6.3157894736842107E-2</v>
      </c>
      <c r="G151" s="1024">
        <f>VLOOKUP(A151,'[22]2122 Band Moderations'!$B$5:$S$22,12,(FALSE))</f>
        <v>0.14736842105263157</v>
      </c>
      <c r="H151" s="1024">
        <f>VLOOKUP(A151,'[22]2122 Band Moderations'!$B$5:$S$22,14,(FALSE))</f>
        <v>4.2105263157894736E-2</v>
      </c>
      <c r="I151" s="1024">
        <f>VLOOKUP(A151,'[22]2122 Band Moderations'!$B$5:$S$22,16,(FALSE))</f>
        <v>4.2105263157894736E-2</v>
      </c>
      <c r="J151" s="1024">
        <f>VLOOKUP(A151,'[22]2122 Band Moderations'!$B$5:$S$22,18,(FALSE))</f>
        <v>0</v>
      </c>
    </row>
    <row r="152" spans="1:10" x14ac:dyDescent="0.25">
      <c r="A152" s="244">
        <v>9257008</v>
      </c>
      <c r="B152" s="237" t="s">
        <v>212</v>
      </c>
      <c r="C152" s="365">
        <v>4</v>
      </c>
      <c r="D152" s="1024">
        <f>VLOOKUP(A152,'[22]2122 Band Moderations'!$B$5:$S$22,6,(FALSE))</f>
        <v>0.10101010101010101</v>
      </c>
      <c r="E152" s="1024">
        <f>VLOOKUP(A152,'[22]2122 Band Moderations'!$B$5:$S$22,8,(FALSE))</f>
        <v>0.58585858585858586</v>
      </c>
      <c r="F152" s="1024">
        <f>VLOOKUP(A152,'[22]2122 Band Moderations'!$B$5:$S$22,10,(FALSE))</f>
        <v>8.0808080808080815E-2</v>
      </c>
      <c r="G152" s="1024">
        <f>VLOOKUP(A152,'[22]2122 Band Moderations'!$B$5:$S$22,12,(FALSE))</f>
        <v>9.0909090909090912E-2</v>
      </c>
      <c r="H152" s="1024">
        <f>VLOOKUP(A152,'[22]2122 Band Moderations'!$B$5:$S$22,14,(FALSE))</f>
        <v>1.0101010101010102E-2</v>
      </c>
      <c r="I152" s="1024">
        <f>VLOOKUP(A152,'[22]2122 Band Moderations'!$B$5:$S$22,16,(FALSE))</f>
        <v>0.12121212121212122</v>
      </c>
      <c r="J152" s="1024">
        <f>VLOOKUP(A152,'[22]2122 Band Moderations'!$B$5:$S$22,18,(FALSE))</f>
        <v>1.0101010101010102E-2</v>
      </c>
    </row>
    <row r="153" spans="1:10" x14ac:dyDescent="0.25">
      <c r="A153" s="244">
        <v>9257034</v>
      </c>
      <c r="B153" s="237" t="s">
        <v>221</v>
      </c>
      <c r="C153" s="365" t="s">
        <v>1178</v>
      </c>
      <c r="D153" s="1024">
        <f>VLOOKUP(A153,'[22]2122 Band Moderations'!$B$5:$S$22,6,(FALSE))</f>
        <v>0.42424242424242425</v>
      </c>
      <c r="E153" s="1024">
        <f>VLOOKUP(A153,'[22]2122 Band Moderations'!$B$5:$S$22,8,(FALSE))</f>
        <v>0.29292929292929293</v>
      </c>
      <c r="F153" s="1024">
        <f>VLOOKUP(A153,'[22]2122 Band Moderations'!$B$5:$S$22,10,(FALSE))</f>
        <v>0.14141414141414141</v>
      </c>
      <c r="G153" s="1024">
        <f>VLOOKUP(A153,'[22]2122 Band Moderations'!$B$5:$S$22,12,(FALSE))</f>
        <v>3.0303030303030304E-2</v>
      </c>
      <c r="H153" s="1024">
        <f>VLOOKUP(A153,'[22]2122 Band Moderations'!$B$5:$S$22,14,(FALSE))</f>
        <v>4.0404040404040407E-2</v>
      </c>
      <c r="I153" s="1024">
        <f>VLOOKUP(A153,'[22]2122 Band Moderations'!$B$5:$S$22,16,(FALSE))</f>
        <v>6.0606060606060608E-2</v>
      </c>
      <c r="J153" s="1024">
        <f>VLOOKUP(A153,'[22]2122 Band Moderations'!$B$5:$S$22,18,(FALSE))</f>
        <v>1.0101010101010102E-2</v>
      </c>
    </row>
    <row r="154" spans="1:10" x14ac:dyDescent="0.25">
      <c r="A154" s="244">
        <v>9257002</v>
      </c>
      <c r="B154" s="237" t="s">
        <v>213</v>
      </c>
      <c r="C154" s="365">
        <v>5</v>
      </c>
      <c r="D154" s="1024">
        <f>VLOOKUP(A154,'[22]2122 Band Moderations'!$B$5:$S$22,6,(FALSE))</f>
        <v>0.3546099290780142</v>
      </c>
      <c r="E154" s="1024">
        <f>VLOOKUP(A154,'[22]2122 Band Moderations'!$B$5:$S$22,8,(FALSE))</f>
        <v>0.38297872340425532</v>
      </c>
      <c r="F154" s="1024">
        <f>VLOOKUP(A154,'[22]2122 Band Moderations'!$B$5:$S$22,10,(FALSE))</f>
        <v>0.1276595744680851</v>
      </c>
      <c r="G154" s="1024">
        <f>VLOOKUP(A154,'[22]2122 Band Moderations'!$B$5:$S$22,12,(FALSE))</f>
        <v>2.8368794326241134E-2</v>
      </c>
      <c r="H154" s="1024">
        <f>VLOOKUP(A154,'[22]2122 Band Moderations'!$B$5:$S$22,14,(FALSE))</f>
        <v>2.1276595744680851E-2</v>
      </c>
      <c r="I154" s="1024">
        <f>VLOOKUP(A154,'[22]2122 Band Moderations'!$B$5:$S$22,16,(FALSE))</f>
        <v>7.8014184397163122E-2</v>
      </c>
      <c r="J154" s="1024">
        <f>VLOOKUP(A154,'[22]2122 Band Moderations'!$B$5:$S$22,18,(FALSE))</f>
        <v>7.0921985815602835E-3</v>
      </c>
    </row>
    <row r="155" spans="1:10" x14ac:dyDescent="0.25">
      <c r="A155" s="244">
        <v>9257009</v>
      </c>
      <c r="B155" s="237" t="s">
        <v>214</v>
      </c>
      <c r="C155" s="365" t="s">
        <v>1178</v>
      </c>
      <c r="D155" s="1024">
        <f>VLOOKUP(A155,'[22]2122 Band Moderations'!$B$5:$S$22,6,(FALSE))</f>
        <v>0.23200000000000001</v>
      </c>
      <c r="E155" s="1024">
        <f>VLOOKUP(A155,'[22]2122 Band Moderations'!$B$5:$S$22,8,(FALSE))</f>
        <v>0.57599999999999996</v>
      </c>
      <c r="F155" s="1024">
        <f>VLOOKUP(A155,'[22]2122 Band Moderations'!$B$5:$S$22,10,(FALSE))</f>
        <v>0.08</v>
      </c>
      <c r="G155" s="1024">
        <f>VLOOKUP(A155,'[22]2122 Band Moderations'!$B$5:$S$22,12,(FALSE))</f>
        <v>2.4E-2</v>
      </c>
      <c r="H155" s="1024">
        <f>VLOOKUP(A155,'[22]2122 Band Moderations'!$B$5:$S$22,14,(FALSE))</f>
        <v>8.0000000000000002E-3</v>
      </c>
      <c r="I155" s="1024">
        <f>VLOOKUP(A155,'[22]2122 Band Moderations'!$B$5:$S$22,16,(FALSE))</f>
        <v>0.08</v>
      </c>
      <c r="J155" s="1024">
        <f>VLOOKUP(A155,'[22]2122 Band Moderations'!$B$5:$S$22,18,(FALSE))</f>
        <v>0</v>
      </c>
    </row>
    <row r="156" spans="1:10" x14ac:dyDescent="0.25">
      <c r="A156" s="244">
        <v>9257029</v>
      </c>
      <c r="B156" s="237" t="s">
        <v>890</v>
      </c>
      <c r="C156" s="365" t="s">
        <v>1179</v>
      </c>
      <c r="D156" s="1024">
        <f>VLOOKUP(A156,'[22]2122 Band Moderations'!$B$5:$S$22,6,(FALSE))</f>
        <v>0</v>
      </c>
      <c r="E156" s="1024">
        <f>VLOOKUP(A156,'[22]2122 Band Moderations'!$B$5:$S$22,8,(FALSE))</f>
        <v>0</v>
      </c>
      <c r="F156" s="1024">
        <f>VLOOKUP(A156,'[22]2122 Band Moderations'!$B$5:$S$22,10,(FALSE))</f>
        <v>1</v>
      </c>
      <c r="G156" s="1024">
        <f>VLOOKUP(A156,'[22]2122 Band Moderations'!$B$5:$S$22,12,(FALSE))</f>
        <v>0</v>
      </c>
      <c r="H156" s="1024">
        <f>VLOOKUP(A156,'[22]2122 Band Moderations'!$B$5:$S$22,14,(FALSE))</f>
        <v>0</v>
      </c>
      <c r="I156" s="1024">
        <f>VLOOKUP(A156,'[22]2122 Band Moderations'!$B$5:$S$22,16,(FALSE))</f>
        <v>0</v>
      </c>
      <c r="J156" s="1024">
        <f>VLOOKUP(A156,'[22]2122 Band Moderations'!$B$5:$S$22,18,(FALSE))</f>
        <v>0</v>
      </c>
    </row>
    <row r="157" spans="1:10" x14ac:dyDescent="0.25">
      <c r="A157" s="244">
        <v>9257032</v>
      </c>
      <c r="B157" s="237" t="s">
        <v>1043</v>
      </c>
      <c r="C157" s="365" t="s">
        <v>1179</v>
      </c>
      <c r="D157" s="1024">
        <f>VLOOKUP(A157,'[22]2122 Band Moderations'!$B$5:$S$22,6,(FALSE))</f>
        <v>0</v>
      </c>
      <c r="E157" s="1024">
        <f>VLOOKUP(A157,'[22]2122 Band Moderations'!$B$5:$S$22,8,(FALSE))</f>
        <v>0</v>
      </c>
      <c r="F157" s="1024">
        <f>VLOOKUP(A157,'[22]2122 Band Moderations'!$B$5:$S$22,10,(FALSE))</f>
        <v>1</v>
      </c>
      <c r="G157" s="1024">
        <f>VLOOKUP(A157,'[22]2122 Band Moderations'!$B$5:$S$22,12,(FALSE))</f>
        <v>0</v>
      </c>
      <c r="H157" s="1024">
        <f>VLOOKUP(A157,'[22]2122 Band Moderations'!$B$5:$S$22,14,(FALSE))</f>
        <v>0</v>
      </c>
      <c r="I157" s="1024">
        <f>VLOOKUP(A157,'[22]2122 Band Moderations'!$B$5:$S$22,16,(FALSE))</f>
        <v>0</v>
      </c>
      <c r="J157" s="1024">
        <f>VLOOKUP(A157,'[22]2122 Band Moderations'!$B$5:$S$22,18,(FALSE))</f>
        <v>0</v>
      </c>
    </row>
    <row r="158" spans="1:10" x14ac:dyDescent="0.25">
      <c r="A158" s="244">
        <v>9257030</v>
      </c>
      <c r="B158" s="237" t="s">
        <v>1046</v>
      </c>
      <c r="C158" s="365" t="s">
        <v>1179</v>
      </c>
      <c r="D158" s="1024">
        <f>VLOOKUP(A158,'[22]2122 Band Moderations'!$B$5:$S$22,6,(FALSE))</f>
        <v>0</v>
      </c>
      <c r="E158" s="1024">
        <f>VLOOKUP(A158,'[22]2122 Band Moderations'!$B$5:$S$22,8,(FALSE))</f>
        <v>0</v>
      </c>
      <c r="F158" s="1024">
        <f>VLOOKUP(A158,'[22]2122 Band Moderations'!$B$5:$S$22,10,(FALSE))</f>
        <v>1</v>
      </c>
      <c r="G158" s="1024">
        <f>VLOOKUP(A158,'[22]2122 Band Moderations'!$B$5:$S$22,12,(FALSE))</f>
        <v>0</v>
      </c>
      <c r="H158" s="1024">
        <f>VLOOKUP(A158,'[22]2122 Band Moderations'!$B$5:$S$22,14,(FALSE))</f>
        <v>0</v>
      </c>
      <c r="I158" s="1024">
        <f>VLOOKUP(A158,'[22]2122 Band Moderations'!$B$5:$S$22,16,(FALSE))</f>
        <v>0</v>
      </c>
      <c r="J158" s="1024">
        <f>VLOOKUP(A158,'[22]2122 Band Moderations'!$B$5:$S$22,18,(FALSE))</f>
        <v>0</v>
      </c>
    </row>
    <row r="159" spans="1:10" x14ac:dyDescent="0.25">
      <c r="A159" s="244">
        <v>9257028</v>
      </c>
      <c r="B159" s="237" t="s">
        <v>215</v>
      </c>
      <c r="C159" s="365">
        <v>5</v>
      </c>
      <c r="D159" s="1024">
        <f>VLOOKUP(A159,'[22]2122 Band Moderations'!$B$5:$S$22,6,(FALSE))</f>
        <v>8.9108910891089105E-2</v>
      </c>
      <c r="E159" s="1024">
        <f>VLOOKUP(A159,'[22]2122 Band Moderations'!$B$5:$S$22,8,(FALSE))</f>
        <v>0.40594059405940597</v>
      </c>
      <c r="F159" s="1024">
        <f>VLOOKUP(A159,'[22]2122 Band Moderations'!$B$5:$S$22,10,(FALSE))</f>
        <v>7.9207920792079209E-2</v>
      </c>
      <c r="G159" s="1024">
        <f>VLOOKUP(A159,'[22]2122 Band Moderations'!$B$5:$S$22,12,(FALSE))</f>
        <v>8.9108910891089105E-2</v>
      </c>
      <c r="H159" s="1024">
        <f>VLOOKUP(A159,'[22]2122 Band Moderations'!$B$5:$S$22,14,(FALSE))</f>
        <v>0.12871287128712872</v>
      </c>
      <c r="I159" s="1024">
        <f>VLOOKUP(A159,'[22]2122 Band Moderations'!$B$5:$S$22,16,(FALSE))</f>
        <v>9.9009900990099015E-2</v>
      </c>
      <c r="J159" s="1024">
        <f>VLOOKUP(A159,'[22]2122 Band Moderations'!$B$5:$S$22,18,(FALSE))</f>
        <v>0.10891089108910891</v>
      </c>
    </row>
    <row r="160" spans="1:10" x14ac:dyDescent="0.25">
      <c r="A160" s="244">
        <v>9257021</v>
      </c>
      <c r="B160" s="237" t="s">
        <v>216</v>
      </c>
      <c r="C160" s="365" t="s">
        <v>1180</v>
      </c>
      <c r="D160" s="1024">
        <f>VLOOKUP(A160,'[22]2122 Band Moderations'!$B$5:$S$22,6,(FALSE))</f>
        <v>0.26829268292682928</v>
      </c>
      <c r="E160" s="1024">
        <f>VLOOKUP(A160,'[22]2122 Band Moderations'!$B$5:$S$22,8,(FALSE))</f>
        <v>0.42682926829268292</v>
      </c>
      <c r="F160" s="1024">
        <f>VLOOKUP(A160,'[22]2122 Band Moderations'!$B$5:$S$22,10,(FALSE))</f>
        <v>7.926829268292683E-2</v>
      </c>
      <c r="G160" s="1024">
        <f>VLOOKUP(A160,'[22]2122 Band Moderations'!$B$5:$S$22,12,(FALSE))</f>
        <v>6.7073170731707321E-2</v>
      </c>
      <c r="H160" s="1024">
        <f>VLOOKUP(A160,'[22]2122 Band Moderations'!$B$5:$S$22,14,(FALSE))</f>
        <v>5.4878048780487805E-2</v>
      </c>
      <c r="I160" s="1024">
        <f>VLOOKUP(A160,'[22]2122 Band Moderations'!$B$5:$S$22,16,(FALSE))</f>
        <v>9.1463414634146339E-2</v>
      </c>
      <c r="J160" s="1024">
        <f>VLOOKUP(A160,'[22]2122 Band Moderations'!$B$5:$S$22,18,(FALSE))</f>
        <v>1.2195121951219513E-2</v>
      </c>
    </row>
    <row r="161" spans="1:10" x14ac:dyDescent="0.25">
      <c r="A161" s="244">
        <v>9257015</v>
      </c>
      <c r="B161" s="237" t="s">
        <v>217</v>
      </c>
      <c r="C161" s="365" t="s">
        <v>1181</v>
      </c>
      <c r="D161" s="1024">
        <f>VLOOKUP(A161,'[22]2122 Band Moderations'!$B$5:$S$22,6,(FALSE))</f>
        <v>0.33185840707964603</v>
      </c>
      <c r="E161" s="1024">
        <f>VLOOKUP(A161,'[22]2122 Band Moderations'!$B$5:$S$22,8,(FALSE))</f>
        <v>0.38495575221238937</v>
      </c>
      <c r="F161" s="1024">
        <f>VLOOKUP(A161,'[22]2122 Band Moderations'!$B$5:$S$22,10,(FALSE))</f>
        <v>1.7699115044247787E-2</v>
      </c>
      <c r="G161" s="1024">
        <f>VLOOKUP(A161,'[22]2122 Band Moderations'!$B$5:$S$22,12,(FALSE))</f>
        <v>8.8495575221238937E-2</v>
      </c>
      <c r="H161" s="1024">
        <f>VLOOKUP(A161,'[22]2122 Band Moderations'!$B$5:$S$22,14,(FALSE))</f>
        <v>2.2123893805309734E-2</v>
      </c>
      <c r="I161" s="1024">
        <f>VLOOKUP(A161,'[22]2122 Band Moderations'!$B$5:$S$22,16,(FALSE))</f>
        <v>0.1415929203539823</v>
      </c>
      <c r="J161" s="1024">
        <f>VLOOKUP(A161,'[22]2122 Band Moderations'!$B$5:$S$22,18,(FALSE))</f>
        <v>1.3274336283185841E-2</v>
      </c>
    </row>
    <row r="162" spans="1:10" x14ac:dyDescent="0.25">
      <c r="A162" s="244">
        <v>9257016</v>
      </c>
      <c r="B162" s="237" t="s">
        <v>219</v>
      </c>
      <c r="C162" s="365" t="s">
        <v>1181</v>
      </c>
      <c r="D162" s="1024">
        <f>VLOOKUP(A162,'[22]2122 Band Moderations'!$B$5:$S$22,6,(FALSE))</f>
        <v>0.18012422360248448</v>
      </c>
      <c r="E162" s="1024">
        <f>VLOOKUP(A162,'[22]2122 Band Moderations'!$B$5:$S$22,8,(FALSE))</f>
        <v>0.15527950310559005</v>
      </c>
      <c r="F162" s="1024">
        <f>VLOOKUP(A162,'[22]2122 Band Moderations'!$B$5:$S$22,10,(FALSE))</f>
        <v>6.2111801242236021E-3</v>
      </c>
      <c r="G162" s="1024">
        <f>VLOOKUP(A162,'[22]2122 Band Moderations'!$B$5:$S$22,12,(FALSE))</f>
        <v>0.2236024844720497</v>
      </c>
      <c r="H162" s="1024">
        <f>VLOOKUP(A162,'[22]2122 Band Moderations'!$B$5:$S$22,14,(FALSE))</f>
        <v>0.21118012422360249</v>
      </c>
      <c r="I162" s="1024">
        <f>VLOOKUP(A162,'[22]2122 Band Moderations'!$B$5:$S$22,16,(FALSE))</f>
        <v>1.2422360248447204E-2</v>
      </c>
      <c r="J162" s="1024">
        <f>VLOOKUP(A162,'[22]2122 Band Moderations'!$B$5:$S$22,18,(FALSE))</f>
        <v>0.21118012422360249</v>
      </c>
    </row>
    <row r="163" spans="1:10" x14ac:dyDescent="0.25">
      <c r="D163" s="1114"/>
      <c r="E163" s="1114"/>
      <c r="F163" s="1114"/>
      <c r="G163" s="1114"/>
      <c r="H163" s="1114"/>
      <c r="I163" s="1114"/>
      <c r="J163" s="1114"/>
    </row>
    <row r="164" spans="1:10" ht="13" x14ac:dyDescent="0.3">
      <c r="A164" s="139" t="s">
        <v>959</v>
      </c>
      <c r="I164" s="36"/>
      <c r="J164" s="36"/>
    </row>
    <row r="165" spans="1:10" x14ac:dyDescent="0.25">
      <c r="A165" s="244">
        <v>9257010</v>
      </c>
      <c r="B165" s="237" t="s">
        <v>1164</v>
      </c>
      <c r="C165" s="365">
        <v>5</v>
      </c>
      <c r="D165" s="1024">
        <f>VLOOKUP(A165,'2223 Band Moderations'!$B$5:$S$21,6,(FALSE))</f>
        <v>6.1224489795918366E-2</v>
      </c>
      <c r="E165" s="1024">
        <f>VLOOKUP(A165,'2223 Band Moderations'!$B$5:$S$21,8,(FALSE))</f>
        <v>0.42857142857142855</v>
      </c>
      <c r="F165" s="1024">
        <f>VLOOKUP(A165,'2223 Band Moderations'!$B$5:$S$21,10,(FALSE))</f>
        <v>7.1428571428571425E-2</v>
      </c>
      <c r="G165" s="1024">
        <f>VLOOKUP(A165,'2223 Band Moderations'!$B$5:$S$21,12,(FALSE))</f>
        <v>0.1326530612244898</v>
      </c>
      <c r="H165" s="1024">
        <f>VLOOKUP(A165,'2223 Band Moderations'!$B$5:$S$21,14,(FALSE))</f>
        <v>8.1632653061224483E-2</v>
      </c>
      <c r="I165" s="1024">
        <f>VLOOKUP(A165,'2223 Band Moderations'!$B$5:$S$21,16,(FALSE))</f>
        <v>0.11224489795918367</v>
      </c>
      <c r="J165" s="1024">
        <f>VLOOKUP(A165,'2223 Band Moderations'!$B$5:$S$21,18,(FALSE))</f>
        <v>0.11224489795918367</v>
      </c>
    </row>
    <row r="166" spans="1:10" x14ac:dyDescent="0.25">
      <c r="A166" s="244">
        <v>9257005</v>
      </c>
      <c r="B166" s="237" t="s">
        <v>208</v>
      </c>
      <c r="C166" s="365">
        <v>4</v>
      </c>
      <c r="D166" s="1024">
        <f>VLOOKUP(A166,'2223 Band Moderations'!$B$5:$S$21,6,(FALSE))</f>
        <v>5.8139534883720929E-2</v>
      </c>
      <c r="E166" s="1024">
        <f>VLOOKUP(A166,'2223 Band Moderations'!$B$5:$S$21,8,(FALSE))</f>
        <v>0.38372093023255816</v>
      </c>
      <c r="F166" s="1024">
        <f>VLOOKUP(A166,'2223 Band Moderations'!$B$5:$S$21,10,(FALSE))</f>
        <v>9.3023255813953487E-2</v>
      </c>
      <c r="G166" s="1024">
        <f>VLOOKUP(A166,'2223 Band Moderations'!$B$5:$S$21,12,(FALSE))</f>
        <v>0.13953488372093023</v>
      </c>
      <c r="H166" s="1024">
        <f>VLOOKUP(A166,'2223 Band Moderations'!$B$5:$S$21,14,(FALSE))</f>
        <v>0.11627906976744186</v>
      </c>
      <c r="I166" s="1024">
        <f>VLOOKUP(A166,'2223 Band Moderations'!$B$5:$S$21,16,(FALSE))</f>
        <v>0.15116279069767441</v>
      </c>
      <c r="J166" s="1024">
        <f>VLOOKUP(A166,'2223 Band Moderations'!$B$5:$S$21,18,(FALSE))</f>
        <v>5.8139534883720929E-2</v>
      </c>
    </row>
    <row r="167" spans="1:10" x14ac:dyDescent="0.25">
      <c r="A167" s="244">
        <v>9257025</v>
      </c>
      <c r="B167" s="237" t="s">
        <v>209</v>
      </c>
      <c r="C167" s="365">
        <v>4</v>
      </c>
      <c r="D167" s="1024">
        <f>VLOOKUP(A167,'2223 Band Moderations'!$B$5:$S$21,6,(FALSE))</f>
        <v>0.13924050632911392</v>
      </c>
      <c r="E167" s="1024">
        <f>VLOOKUP(A167,'2223 Band Moderations'!$B$5:$S$21,8,(FALSE))</f>
        <v>0.46835443037974683</v>
      </c>
      <c r="F167" s="1024">
        <f>VLOOKUP(A167,'2223 Band Moderations'!$B$5:$S$21,10,(FALSE))</f>
        <v>3.7974683544303799E-2</v>
      </c>
      <c r="G167" s="1024">
        <f>VLOOKUP(A167,'2223 Band Moderations'!$B$5:$S$21,12,(FALSE))</f>
        <v>0.11392405063291139</v>
      </c>
      <c r="H167" s="1024">
        <f>VLOOKUP(A167,'2223 Band Moderations'!$B$5:$S$21,14,(FALSE))</f>
        <v>3.7974683544303799E-2</v>
      </c>
      <c r="I167" s="1024">
        <f>VLOOKUP(A167,'2223 Band Moderations'!$B$5:$S$21,16,(FALSE))</f>
        <v>0.15189873417721519</v>
      </c>
      <c r="J167" s="1024">
        <f>VLOOKUP(A167,'2223 Band Moderations'!$B$5:$S$21,18,(FALSE))</f>
        <v>5.0632911392405063E-2</v>
      </c>
    </row>
    <row r="168" spans="1:10" x14ac:dyDescent="0.25">
      <c r="A168" s="244">
        <v>9257011</v>
      </c>
      <c r="B168" s="237" t="s">
        <v>210</v>
      </c>
      <c r="C168" s="365" t="s">
        <v>1251</v>
      </c>
      <c r="D168" s="1024" t="e">
        <f>VLOOKUP(A168,'2223 Band Moderations'!$B$5:$S$21,6,(FALSE))</f>
        <v>#N/A</v>
      </c>
      <c r="E168" s="1024" t="e">
        <f>VLOOKUP(A168,'2223 Band Moderations'!$B$5:$S$21,8,(FALSE))</f>
        <v>#N/A</v>
      </c>
      <c r="F168" s="1024" t="e">
        <f>VLOOKUP(A168,'2223 Band Moderations'!$B$5:$S$21,10,(FALSE))</f>
        <v>#N/A</v>
      </c>
      <c r="G168" s="1024" t="e">
        <f>VLOOKUP(A168,'2223 Band Moderations'!$B$5:$S$21,12,(FALSE))</f>
        <v>#N/A</v>
      </c>
      <c r="H168" s="1024" t="e">
        <f>VLOOKUP(A168,'2223 Band Moderations'!$B$5:$S$21,14,(FALSE))</f>
        <v>#N/A</v>
      </c>
      <c r="I168" s="1024" t="e">
        <f>VLOOKUP(A168,'2223 Band Moderations'!$B$5:$S$21,16,(FALSE))</f>
        <v>#N/A</v>
      </c>
      <c r="J168" s="1024" t="e">
        <f>VLOOKUP(A168,'2223 Band Moderations'!$B$5:$S$21,18,(FALSE))</f>
        <v>#N/A</v>
      </c>
    </row>
    <row r="169" spans="1:10" x14ac:dyDescent="0.25">
      <c r="A169" s="244">
        <v>9257024</v>
      </c>
      <c r="B169" s="237" t="s">
        <v>211</v>
      </c>
      <c r="C169" s="365">
        <v>4</v>
      </c>
      <c r="D169" s="1024">
        <f>VLOOKUP(A169,'2223 Band Moderations'!$B$5:$S$21,6,(FALSE))</f>
        <v>7.1428571428571425E-2</v>
      </c>
      <c r="E169" s="1024">
        <f>VLOOKUP(A169,'2223 Band Moderations'!$B$5:$S$21,8,(FALSE))</f>
        <v>0.51190476190476186</v>
      </c>
      <c r="F169" s="1024">
        <f>VLOOKUP(A169,'2223 Band Moderations'!$B$5:$S$21,10,(FALSE))</f>
        <v>2.3809523809523808E-2</v>
      </c>
      <c r="G169" s="1024">
        <f>VLOOKUP(A169,'2223 Band Moderations'!$B$5:$S$21,12,(FALSE))</f>
        <v>0.17857142857142858</v>
      </c>
      <c r="H169" s="1024">
        <f>VLOOKUP(A169,'2223 Band Moderations'!$B$5:$S$21,14,(FALSE))</f>
        <v>8.3333333333333329E-2</v>
      </c>
      <c r="I169" s="1024">
        <f>VLOOKUP(A169,'2223 Band Moderations'!$B$5:$S$21,16,(FALSE))</f>
        <v>7.1428571428571425E-2</v>
      </c>
      <c r="J169" s="1024">
        <f>VLOOKUP(A169,'2223 Band Moderations'!$B$5:$S$21,18,(FALSE))</f>
        <v>5.9523809523809521E-2</v>
      </c>
    </row>
    <row r="170" spans="1:10" x14ac:dyDescent="0.25">
      <c r="A170" s="244">
        <v>9257031</v>
      </c>
      <c r="B170" s="237" t="s">
        <v>257</v>
      </c>
      <c r="C170" s="365">
        <v>5</v>
      </c>
      <c r="D170" s="1024">
        <f>VLOOKUP(A170,'2223 Band Moderations'!$B$5:$S$21,6,(FALSE))</f>
        <v>0</v>
      </c>
      <c r="E170" s="1024">
        <f>VLOOKUP(A170,'2223 Band Moderations'!$B$5:$S$21,8,(FALSE))</f>
        <v>0</v>
      </c>
      <c r="F170" s="1024">
        <f>VLOOKUP(A170,'2223 Band Moderations'!$B$5:$S$21,10,(FALSE))</f>
        <v>1</v>
      </c>
      <c r="G170" s="1024">
        <f>VLOOKUP(A170,'2223 Band Moderations'!$B$5:$S$21,12,(FALSE))</f>
        <v>0</v>
      </c>
      <c r="H170" s="1024">
        <f>VLOOKUP(A170,'2223 Band Moderations'!$B$5:$S$21,14,(FALSE))</f>
        <v>0</v>
      </c>
      <c r="I170" s="1024">
        <f>VLOOKUP(A170,'2223 Band Moderations'!$B$5:$S$21,16,(FALSE))</f>
        <v>0</v>
      </c>
      <c r="J170" s="1024">
        <f>VLOOKUP(A170,'2223 Band Moderations'!$B$5:$S$21,18,(FALSE))</f>
        <v>0</v>
      </c>
    </row>
    <row r="171" spans="1:10" x14ac:dyDescent="0.25">
      <c r="A171" s="244">
        <v>9257033</v>
      </c>
      <c r="B171" s="237" t="s">
        <v>220</v>
      </c>
      <c r="C171" s="365" t="s">
        <v>1178</v>
      </c>
      <c r="D171" s="1024">
        <f>VLOOKUP(A171,'2223 Band Moderations'!$B$5:$S$21,6,(FALSE))</f>
        <v>0.1388888888888889</v>
      </c>
      <c r="E171" s="1024">
        <f>VLOOKUP(A171,'2223 Band Moderations'!$B$5:$S$21,8,(FALSE))</f>
        <v>0.62962962962962965</v>
      </c>
      <c r="F171" s="1024">
        <f>VLOOKUP(A171,'2223 Band Moderations'!$B$5:$S$21,10,(FALSE))</f>
        <v>4.6296296296296294E-2</v>
      </c>
      <c r="G171" s="1024">
        <f>VLOOKUP(A171,'2223 Band Moderations'!$B$5:$S$21,12,(FALSE))</f>
        <v>0.10185185185185185</v>
      </c>
      <c r="H171" s="1024">
        <f>VLOOKUP(A171,'2223 Band Moderations'!$B$5:$S$21,14,(FALSE))</f>
        <v>3.7037037037037035E-2</v>
      </c>
      <c r="I171" s="1024">
        <f>VLOOKUP(A171,'2223 Band Moderations'!$B$5:$S$21,16,(FALSE))</f>
        <v>3.7037037037037035E-2</v>
      </c>
      <c r="J171" s="1024">
        <f>VLOOKUP(A171,'2223 Band Moderations'!$B$5:$S$21,18,(FALSE))</f>
        <v>9.2592592592592587E-3</v>
      </c>
    </row>
    <row r="172" spans="1:10" x14ac:dyDescent="0.25">
      <c r="A172" s="244">
        <v>9257008</v>
      </c>
      <c r="B172" s="237" t="s">
        <v>212</v>
      </c>
      <c r="C172" s="365">
        <v>4</v>
      </c>
      <c r="D172" s="1024">
        <f>VLOOKUP(A172,'2223 Band Moderations'!$B$5:$S$21,6,(FALSE))</f>
        <v>0.11</v>
      </c>
      <c r="E172" s="1024">
        <f>VLOOKUP(A172,'2223 Band Moderations'!$B$5:$S$21,8,(FALSE))</f>
        <v>0.64</v>
      </c>
      <c r="F172" s="1024">
        <f>VLOOKUP(A172,'2223 Band Moderations'!$B$5:$S$21,10,(FALSE))</f>
        <v>7.0000000000000007E-2</v>
      </c>
      <c r="G172" s="1024">
        <f>VLOOKUP(A172,'2223 Band Moderations'!$B$5:$S$21,12,(FALSE))</f>
        <v>0.09</v>
      </c>
      <c r="H172" s="1024">
        <f>VLOOKUP(A172,'2223 Band Moderations'!$B$5:$S$21,14,(FALSE))</f>
        <v>0</v>
      </c>
      <c r="I172" s="1024">
        <f>VLOOKUP(A172,'2223 Band Moderations'!$B$5:$S$21,16,(FALSE))</f>
        <v>0.09</v>
      </c>
      <c r="J172" s="1024">
        <f>VLOOKUP(A172,'2223 Band Moderations'!$B$5:$S$21,18,(FALSE))</f>
        <v>0</v>
      </c>
    </row>
    <row r="173" spans="1:10" x14ac:dyDescent="0.25">
      <c r="A173" s="244">
        <v>9257034</v>
      </c>
      <c r="B173" s="237" t="s">
        <v>221</v>
      </c>
      <c r="C173" s="365" t="s">
        <v>1178</v>
      </c>
      <c r="D173" s="1024">
        <f>VLOOKUP(A173,'2223 Band Moderations'!$B$5:$S$21,6,(FALSE))</f>
        <v>0.44444444444444442</v>
      </c>
      <c r="E173" s="1024">
        <f>VLOOKUP(A173,'2223 Band Moderations'!$B$5:$S$21,8,(FALSE))</f>
        <v>0.32407407407407407</v>
      </c>
      <c r="F173" s="1024">
        <f>VLOOKUP(A173,'2223 Band Moderations'!$B$5:$S$21,10,(FALSE))</f>
        <v>9.2592592592592587E-2</v>
      </c>
      <c r="G173" s="1024">
        <f>VLOOKUP(A173,'2223 Band Moderations'!$B$5:$S$21,12,(FALSE))</f>
        <v>4.6296296296296294E-2</v>
      </c>
      <c r="H173" s="1024">
        <f>VLOOKUP(A173,'2223 Band Moderations'!$B$5:$S$21,14,(FALSE))</f>
        <v>2.7777777777777776E-2</v>
      </c>
      <c r="I173" s="1024">
        <f>VLOOKUP(A173,'2223 Band Moderations'!$B$5:$S$21,16,(FALSE))</f>
        <v>5.5555555555555552E-2</v>
      </c>
      <c r="J173" s="1024">
        <f>VLOOKUP(A173,'2223 Band Moderations'!$B$5:$S$21,18,(FALSE))</f>
        <v>9.2592592592592587E-3</v>
      </c>
    </row>
    <row r="174" spans="1:10" x14ac:dyDescent="0.25">
      <c r="A174" s="244">
        <v>9257002</v>
      </c>
      <c r="B174" s="237" t="s">
        <v>213</v>
      </c>
      <c r="C174" s="365">
        <v>5</v>
      </c>
      <c r="D174" s="1024">
        <f>VLOOKUP(A174,'2223 Band Moderations'!$B$5:$S$21,6,(FALSE))</f>
        <v>0.33557046979865773</v>
      </c>
      <c r="E174" s="1024">
        <f>VLOOKUP(A174,'2223 Band Moderations'!$B$5:$S$21,8,(FALSE))</f>
        <v>0.38926174496644295</v>
      </c>
      <c r="F174" s="1024">
        <f>VLOOKUP(A174,'2223 Band Moderations'!$B$5:$S$21,10,(FALSE))</f>
        <v>0.13422818791946309</v>
      </c>
      <c r="G174" s="1024">
        <f>VLOOKUP(A174,'2223 Band Moderations'!$B$5:$S$21,12,(FALSE))</f>
        <v>3.3557046979865772E-2</v>
      </c>
      <c r="H174" s="1024">
        <f>VLOOKUP(A174,'2223 Band Moderations'!$B$5:$S$21,14,(FALSE))</f>
        <v>2.0134228187919462E-2</v>
      </c>
      <c r="I174" s="1024">
        <f>VLOOKUP(A174,'2223 Band Moderations'!$B$5:$S$21,16,(FALSE))</f>
        <v>7.3825503355704702E-2</v>
      </c>
      <c r="J174" s="1024">
        <f>VLOOKUP(A174,'2223 Band Moderations'!$B$5:$S$21,18,(FALSE))</f>
        <v>1.3422818791946308E-2</v>
      </c>
    </row>
    <row r="175" spans="1:10" x14ac:dyDescent="0.25">
      <c r="A175" s="244">
        <v>9257009</v>
      </c>
      <c r="B175" s="237" t="s">
        <v>214</v>
      </c>
      <c r="C175" s="365" t="s">
        <v>1178</v>
      </c>
      <c r="D175" s="1024">
        <f>VLOOKUP(A175,'2223 Band Moderations'!$B$5:$S$21,6,(FALSE))</f>
        <v>0.16728126399462603</v>
      </c>
      <c r="E175" s="1024">
        <f>VLOOKUP(A175,'2223 Band Moderations'!$B$5:$S$21,8,(FALSE))</f>
        <v>0.5331117367060082</v>
      </c>
      <c r="F175" s="1024">
        <f>VLOOKUP(A175,'2223 Band Moderations'!$B$5:$S$21,10,(FALSE))</f>
        <v>5.951180875576037E-2</v>
      </c>
      <c r="G175" s="1024">
        <f>VLOOKUP(A175,'2223 Band Moderations'!$B$5:$S$21,12,(FALSE))</f>
        <v>7.4766176884850405E-2</v>
      </c>
      <c r="H175" s="1024">
        <f>VLOOKUP(A175,'2223 Band Moderations'!$B$5:$S$21,14,(FALSE))</f>
        <v>3.7220400914435951E-2</v>
      </c>
      <c r="I175" s="1024">
        <f>VLOOKUP(A175,'2223 Band Moderations'!$B$5:$S$21,16,(FALSE))</f>
        <v>8.0393258021177944E-2</v>
      </c>
      <c r="J175" s="1024">
        <f>VLOOKUP(A175,'2223 Band Moderations'!$B$5:$S$21,18,(FALSE))</f>
        <v>4.7715354723141153E-2</v>
      </c>
    </row>
    <row r="176" spans="1:10" x14ac:dyDescent="0.25">
      <c r="A176" s="244">
        <v>9257029</v>
      </c>
      <c r="B176" s="237" t="s">
        <v>890</v>
      </c>
      <c r="C176" s="365" t="s">
        <v>1179</v>
      </c>
      <c r="D176" s="1024">
        <f>VLOOKUP(A176,'2223 Band Moderations'!$B$5:$S$21,6,(FALSE))</f>
        <v>0</v>
      </c>
      <c r="E176" s="1024">
        <f>VLOOKUP(A176,'2223 Band Moderations'!$B$5:$S$21,8,(FALSE))</f>
        <v>0</v>
      </c>
      <c r="F176" s="1024">
        <f>VLOOKUP(A176,'2223 Band Moderations'!$B$5:$S$21,10,(FALSE))</f>
        <v>1</v>
      </c>
      <c r="G176" s="1024">
        <f>VLOOKUP(A176,'2223 Band Moderations'!$B$5:$S$21,12,(FALSE))</f>
        <v>0</v>
      </c>
      <c r="H176" s="1024">
        <f>VLOOKUP(A176,'2223 Band Moderations'!$B$5:$S$21,14,(FALSE))</f>
        <v>0</v>
      </c>
      <c r="I176" s="1024">
        <f>VLOOKUP(A176,'2223 Band Moderations'!$B$5:$S$21,16,(FALSE))</f>
        <v>0</v>
      </c>
      <c r="J176" s="1024">
        <f>VLOOKUP(A176,'2223 Band Moderations'!$B$5:$S$21,18,(FALSE))</f>
        <v>0</v>
      </c>
    </row>
    <row r="177" spans="1:10" x14ac:dyDescent="0.25">
      <c r="A177" s="244">
        <v>9257032</v>
      </c>
      <c r="B177" s="237" t="s">
        <v>1043</v>
      </c>
      <c r="C177" s="365" t="s">
        <v>1179</v>
      </c>
      <c r="D177" s="1024">
        <f>VLOOKUP(A177,'2223 Band Moderations'!$B$5:$S$21,6,(FALSE))</f>
        <v>0</v>
      </c>
      <c r="E177" s="1024">
        <f>VLOOKUP(A177,'2223 Band Moderations'!$B$5:$S$21,8,(FALSE))</f>
        <v>0</v>
      </c>
      <c r="F177" s="1024">
        <f>VLOOKUP(A177,'2223 Band Moderations'!$B$5:$S$21,10,(FALSE))</f>
        <v>1</v>
      </c>
      <c r="G177" s="1024">
        <f>VLOOKUP(A177,'2223 Band Moderations'!$B$5:$S$21,12,(FALSE))</f>
        <v>0</v>
      </c>
      <c r="H177" s="1024">
        <f>VLOOKUP(A177,'2223 Band Moderations'!$B$5:$S$21,14,(FALSE))</f>
        <v>0</v>
      </c>
      <c r="I177" s="1024">
        <f>VLOOKUP(A177,'2223 Band Moderations'!$B$5:$S$21,16,(FALSE))</f>
        <v>0</v>
      </c>
      <c r="J177" s="1024">
        <f>VLOOKUP(A177,'2223 Band Moderations'!$B$5:$S$21,18,(FALSE))</f>
        <v>0</v>
      </c>
    </row>
    <row r="178" spans="1:10" x14ac:dyDescent="0.25">
      <c r="A178" s="244">
        <v>9257030</v>
      </c>
      <c r="B178" s="237" t="s">
        <v>1046</v>
      </c>
      <c r="C178" s="365" t="s">
        <v>1179</v>
      </c>
      <c r="D178" s="1024">
        <f>VLOOKUP(A178,'2223 Band Moderations'!$B$5:$S$21,6,(FALSE))</f>
        <v>0</v>
      </c>
      <c r="E178" s="1024">
        <f>VLOOKUP(A178,'2223 Band Moderations'!$B$5:$S$21,8,(FALSE))</f>
        <v>0</v>
      </c>
      <c r="F178" s="1024">
        <f>VLOOKUP(A178,'2223 Band Moderations'!$B$5:$S$21,10,(FALSE))</f>
        <v>1</v>
      </c>
      <c r="G178" s="1024">
        <f>VLOOKUP(A178,'2223 Band Moderations'!$B$5:$S$21,12,(FALSE))</f>
        <v>0</v>
      </c>
      <c r="H178" s="1024">
        <f>VLOOKUP(A178,'2223 Band Moderations'!$B$5:$S$21,14,(FALSE))</f>
        <v>0</v>
      </c>
      <c r="I178" s="1024">
        <f>VLOOKUP(A178,'2223 Band Moderations'!$B$5:$S$21,16,(FALSE))</f>
        <v>0</v>
      </c>
      <c r="J178" s="1024">
        <f>VLOOKUP(A178,'2223 Band Moderations'!$B$5:$S$21,18,(FALSE))</f>
        <v>0</v>
      </c>
    </row>
    <row r="179" spans="1:10" x14ac:dyDescent="0.25">
      <c r="A179" s="244">
        <v>9257028</v>
      </c>
      <c r="B179" s="237" t="s">
        <v>215</v>
      </c>
      <c r="C179" s="365">
        <v>5</v>
      </c>
      <c r="D179" s="1024">
        <f>VLOOKUP(A179,'2223 Band Moderations'!$B$5:$S$21,6,(FALSE))</f>
        <v>9.2436974789915971E-2</v>
      </c>
      <c r="E179" s="1024">
        <f>VLOOKUP(A179,'2223 Band Moderations'!$B$5:$S$21,8,(FALSE))</f>
        <v>0.44537815126050423</v>
      </c>
      <c r="F179" s="1024">
        <f>VLOOKUP(A179,'2223 Band Moderations'!$B$5:$S$21,10,(FALSE))</f>
        <v>7.5630252100840331E-2</v>
      </c>
      <c r="G179" s="1024">
        <f>VLOOKUP(A179,'2223 Band Moderations'!$B$5:$S$21,12,(FALSE))</f>
        <v>9.2436974789915971E-2</v>
      </c>
      <c r="H179" s="1024">
        <f>VLOOKUP(A179,'2223 Band Moderations'!$B$5:$S$21,14,(FALSE))</f>
        <v>9.2436974789915971E-2</v>
      </c>
      <c r="I179" s="1024">
        <f>VLOOKUP(A179,'2223 Band Moderations'!$B$5:$S$21,16,(FALSE))</f>
        <v>7.5630252100840331E-2</v>
      </c>
      <c r="J179" s="1024">
        <f>VLOOKUP(A179,'2223 Band Moderations'!$B$5:$S$21,18,(FALSE))</f>
        <v>0.12605042016806722</v>
      </c>
    </row>
    <row r="180" spans="1:10" x14ac:dyDescent="0.25">
      <c r="A180" s="244">
        <v>9257021</v>
      </c>
      <c r="B180" s="237" t="s">
        <v>216</v>
      </c>
      <c r="C180" s="365" t="s">
        <v>1180</v>
      </c>
      <c r="D180" s="1024">
        <f>VLOOKUP(A180,'2223 Band Moderations'!$B$5:$S$21,6,(FALSE))</f>
        <v>0.25146198830409355</v>
      </c>
      <c r="E180" s="1024">
        <f>VLOOKUP(A180,'2223 Band Moderations'!$B$5:$S$21,8,(FALSE))</f>
        <v>0.47368421052631576</v>
      </c>
      <c r="F180" s="1024">
        <f>VLOOKUP(A180,'2223 Band Moderations'!$B$5:$S$21,10,(FALSE))</f>
        <v>9.3567251461988299E-2</v>
      </c>
      <c r="G180" s="1024">
        <f>VLOOKUP(A180,'2223 Band Moderations'!$B$5:$S$21,12,(FALSE))</f>
        <v>7.6023391812865493E-2</v>
      </c>
      <c r="H180" s="1024">
        <f>VLOOKUP(A180,'2223 Band Moderations'!$B$5:$S$21,14,(FALSE))</f>
        <v>3.5087719298245612E-2</v>
      </c>
      <c r="I180" s="1024">
        <f>VLOOKUP(A180,'2223 Band Moderations'!$B$5:$S$21,16,(FALSE))</f>
        <v>5.8479532163742687E-2</v>
      </c>
      <c r="J180" s="1024">
        <f>VLOOKUP(A180,'2223 Band Moderations'!$B$5:$S$21,18,(FALSE))</f>
        <v>1.1695906432748537E-2</v>
      </c>
    </row>
    <row r="181" spans="1:10" x14ac:dyDescent="0.25">
      <c r="A181" s="244">
        <v>9257015</v>
      </c>
      <c r="B181" s="237" t="s">
        <v>217</v>
      </c>
      <c r="C181" s="365" t="s">
        <v>1181</v>
      </c>
      <c r="D181" s="1024">
        <f>VLOOKUP(A181,'2223 Band Moderations'!$B$5:$S$21,6,(FALSE))</f>
        <v>0.31555555555555553</v>
      </c>
      <c r="E181" s="1024">
        <f>VLOOKUP(A181,'2223 Band Moderations'!$B$5:$S$21,8,(FALSE))</f>
        <v>0.38666666666666666</v>
      </c>
      <c r="F181" s="1024">
        <f>VLOOKUP(A181,'2223 Band Moderations'!$B$5:$S$21,10,(FALSE))</f>
        <v>1.7777777777777778E-2</v>
      </c>
      <c r="G181" s="1024">
        <f>VLOOKUP(A181,'2223 Band Moderations'!$B$5:$S$21,12,(FALSE))</f>
        <v>9.3333333333333338E-2</v>
      </c>
      <c r="H181" s="1024">
        <f>VLOOKUP(A181,'2223 Band Moderations'!$B$5:$S$21,14,(FALSE))</f>
        <v>1.7777777777777778E-2</v>
      </c>
      <c r="I181" s="1024">
        <f>VLOOKUP(A181,'2223 Band Moderations'!$B$5:$S$21,16,(FALSE))</f>
        <v>0.16</v>
      </c>
      <c r="J181" s="1024">
        <f>VLOOKUP(A181,'2223 Band Moderations'!$B$5:$S$21,18,(FALSE))</f>
        <v>8.8888888888888889E-3</v>
      </c>
    </row>
    <row r="182" spans="1:10" x14ac:dyDescent="0.25">
      <c r="A182" s="244">
        <v>9257016</v>
      </c>
      <c r="B182" s="237" t="s">
        <v>219</v>
      </c>
      <c r="C182" s="365" t="s">
        <v>1181</v>
      </c>
      <c r="D182" s="1024">
        <f>VLOOKUP(A182,'2223 Band Moderations'!$B$5:$S$21,6,(FALSE))</f>
        <v>0.15337423312883436</v>
      </c>
      <c r="E182" s="1024">
        <f>VLOOKUP(A182,'2223 Band Moderations'!$B$5:$S$21,8,(FALSE))</f>
        <v>0.19018404907975461</v>
      </c>
      <c r="F182" s="1024">
        <f>VLOOKUP(A182,'2223 Band Moderations'!$B$5:$S$21,10,(FALSE))</f>
        <v>1.2269938650306749E-2</v>
      </c>
      <c r="G182" s="1024">
        <f>VLOOKUP(A182,'2223 Band Moderations'!$B$5:$S$21,12,(FALSE))</f>
        <v>0.22699386503067484</v>
      </c>
      <c r="H182" s="1024">
        <f>VLOOKUP(A182,'2223 Band Moderations'!$B$5:$S$21,14,(FALSE))</f>
        <v>0.18404907975460122</v>
      </c>
      <c r="I182" s="1024">
        <f>VLOOKUP(A182,'2223 Band Moderations'!$B$5:$S$21,16,(FALSE))</f>
        <v>1.8404907975460124E-2</v>
      </c>
      <c r="J182" s="1024">
        <f>VLOOKUP(A182,'2223 Band Moderations'!$B$5:$S$21,18,(FALSE))</f>
        <v>0.21472392638036811</v>
      </c>
    </row>
    <row r="183" spans="1:10" x14ac:dyDescent="0.25">
      <c r="D183" s="268" t="e">
        <f>SUM(D165:D182)</f>
        <v>#N/A</v>
      </c>
      <c r="E183" s="268" t="e">
        <f>SUM(E165:E182)</f>
        <v>#N/A</v>
      </c>
      <c r="F183" s="268" t="e">
        <f t="shared" ref="F183:J183" si="54">SUM(F165:F182)</f>
        <v>#N/A</v>
      </c>
      <c r="G183" s="268" t="e">
        <f t="shared" si="54"/>
        <v>#N/A</v>
      </c>
      <c r="H183" s="268" t="e">
        <f t="shared" si="54"/>
        <v>#N/A</v>
      </c>
      <c r="I183" s="268" t="e">
        <f t="shared" si="54"/>
        <v>#N/A</v>
      </c>
      <c r="J183" s="268" t="e">
        <f t="shared" si="54"/>
        <v>#N/A</v>
      </c>
    </row>
    <row r="184" spans="1:10" ht="13" x14ac:dyDescent="0.3">
      <c r="D184" s="1115" t="e">
        <f>D183/18</f>
        <v>#N/A</v>
      </c>
      <c r="E184" s="1115" t="e">
        <f>E183/18</f>
        <v>#N/A</v>
      </c>
      <c r="F184" s="1115" t="e">
        <f>F183/18</f>
        <v>#N/A</v>
      </c>
      <c r="G184" s="1115" t="e">
        <f t="shared" ref="G184:J184" si="55">G183/18</f>
        <v>#N/A</v>
      </c>
      <c r="H184" s="1115" t="e">
        <f t="shared" si="55"/>
        <v>#N/A</v>
      </c>
      <c r="I184" s="1115" t="e">
        <f t="shared" si="55"/>
        <v>#N/A</v>
      </c>
      <c r="J184" s="1115" t="e">
        <f t="shared" si="55"/>
        <v>#N/A</v>
      </c>
    </row>
    <row r="185" spans="1:10" x14ac:dyDescent="0.25">
      <c r="D185" s="1114"/>
      <c r="E185" s="1114"/>
      <c r="F185" s="1114"/>
      <c r="G185" s="1114"/>
      <c r="H185" s="1114"/>
      <c r="I185" s="1114"/>
      <c r="J185" s="1114"/>
    </row>
    <row r="187" spans="1:10" ht="13" x14ac:dyDescent="0.3">
      <c r="A187" s="139" t="s">
        <v>3</v>
      </c>
      <c r="D187" s="234" t="s">
        <v>901</v>
      </c>
      <c r="E187" s="234" t="s">
        <v>902</v>
      </c>
      <c r="F187" s="234" t="s">
        <v>903</v>
      </c>
      <c r="G187" s="234" t="s">
        <v>904</v>
      </c>
      <c r="H187" s="234" t="s">
        <v>905</v>
      </c>
      <c r="I187" s="234" t="s">
        <v>906</v>
      </c>
      <c r="J187" s="234" t="s">
        <v>907</v>
      </c>
    </row>
    <row r="188" spans="1:10" x14ac:dyDescent="0.25">
      <c r="B188" s="237" t="s">
        <v>1164</v>
      </c>
      <c r="D188" s="268">
        <f>D165-D145</f>
        <v>4.5351473922902494E-2</v>
      </c>
      <c r="E188" s="268">
        <f t="shared" ref="E188:J188" si="56">E165-E145</f>
        <v>0.1111111111111111</v>
      </c>
      <c r="F188" s="268">
        <f t="shared" si="56"/>
        <v>-2.3809523809523808E-2</v>
      </c>
      <c r="G188" s="268">
        <f t="shared" si="56"/>
        <v>-4.1950113378684789E-2</v>
      </c>
      <c r="H188" s="268">
        <f t="shared" si="56"/>
        <v>1.8140589569160995E-2</v>
      </c>
      <c r="I188" s="268">
        <f t="shared" si="56"/>
        <v>-7.8231292517006792E-2</v>
      </c>
      <c r="J188" s="268">
        <f t="shared" si="56"/>
        <v>-3.0612244897959176E-2</v>
      </c>
    </row>
    <row r="189" spans="1:10" x14ac:dyDescent="0.25">
      <c r="B189" s="237" t="s">
        <v>208</v>
      </c>
      <c r="D189" s="268">
        <f t="shared" ref="D189:J189" si="57">D166-D146</f>
        <v>8.1395348837209267E-3</v>
      </c>
      <c r="E189" s="268">
        <f t="shared" si="57"/>
        <v>-1.6279069767441867E-2</v>
      </c>
      <c r="F189" s="268">
        <f t="shared" si="57"/>
        <v>3.0523255813953487E-2</v>
      </c>
      <c r="G189" s="268">
        <f t="shared" si="57"/>
        <v>-1.0465116279069764E-2</v>
      </c>
      <c r="H189" s="268">
        <f t="shared" si="57"/>
        <v>-8.7209302325581411E-3</v>
      </c>
      <c r="I189" s="268">
        <f t="shared" si="57"/>
        <v>1.1627906976744151E-3</v>
      </c>
      <c r="J189" s="268">
        <f t="shared" si="57"/>
        <v>-4.3604651162790706E-3</v>
      </c>
    </row>
    <row r="190" spans="1:10" x14ac:dyDescent="0.25">
      <c r="B190" s="237" t="s">
        <v>209</v>
      </c>
      <c r="D190" s="268">
        <f t="shared" ref="D190:J190" si="58">D167-D147</f>
        <v>-1.6603649515041924E-2</v>
      </c>
      <c r="E190" s="268">
        <f t="shared" si="58"/>
        <v>6.5757027782344213E-2</v>
      </c>
      <c r="F190" s="268">
        <f t="shared" si="58"/>
        <v>-9.8635541673516153E-4</v>
      </c>
      <c r="G190" s="268">
        <f t="shared" si="58"/>
        <v>-4.1920105211244452E-2</v>
      </c>
      <c r="H190" s="268">
        <f t="shared" si="58"/>
        <v>-1.3973368403748153E-2</v>
      </c>
      <c r="I190" s="268">
        <f t="shared" si="58"/>
        <v>9.0415913200723452E-3</v>
      </c>
      <c r="J190" s="268">
        <f t="shared" si="58"/>
        <v>-1.315140555646889E-3</v>
      </c>
    </row>
    <row r="191" spans="1:10" x14ac:dyDescent="0.25">
      <c r="B191" s="237" t="s">
        <v>210</v>
      </c>
      <c r="D191" s="268" t="e">
        <f t="shared" ref="D191:J191" si="59">D168-D148</f>
        <v>#N/A</v>
      </c>
      <c r="E191" s="268" t="e">
        <f t="shared" si="59"/>
        <v>#N/A</v>
      </c>
      <c r="F191" s="268" t="e">
        <f t="shared" si="59"/>
        <v>#N/A</v>
      </c>
      <c r="G191" s="268" t="e">
        <f t="shared" si="59"/>
        <v>#N/A</v>
      </c>
      <c r="H191" s="268" t="e">
        <f t="shared" si="59"/>
        <v>#N/A</v>
      </c>
      <c r="I191" s="268" t="e">
        <f t="shared" si="59"/>
        <v>#N/A</v>
      </c>
      <c r="J191" s="268" t="e">
        <f t="shared" si="59"/>
        <v>#N/A</v>
      </c>
    </row>
    <row r="192" spans="1:10" x14ac:dyDescent="0.25">
      <c r="B192" s="237" t="s">
        <v>211</v>
      </c>
      <c r="D192" s="268">
        <f t="shared" ref="D192:J192" si="60">D169-D149</f>
        <v>-1.2908777969018931E-2</v>
      </c>
      <c r="E192" s="268">
        <f t="shared" si="60"/>
        <v>5.4073436603557068E-2</v>
      </c>
      <c r="F192" s="268">
        <f t="shared" si="60"/>
        <v>1.176133103843947E-2</v>
      </c>
      <c r="G192" s="268">
        <f t="shared" si="60"/>
        <v>-2.1514629948364838E-3</v>
      </c>
      <c r="H192" s="268">
        <f t="shared" si="60"/>
        <v>-1.0040160642570267E-3</v>
      </c>
      <c r="I192" s="268">
        <f t="shared" si="60"/>
        <v>-8.6058519793459631E-4</v>
      </c>
      <c r="J192" s="268">
        <f t="shared" si="60"/>
        <v>-4.8909925415949518E-2</v>
      </c>
    </row>
    <row r="193" spans="2:10" x14ac:dyDescent="0.25">
      <c r="B193" s="237" t="s">
        <v>257</v>
      </c>
      <c r="D193" s="268">
        <f t="shared" ref="D193:J193" si="61">D170-D150</f>
        <v>0</v>
      </c>
      <c r="E193" s="268">
        <f t="shared" si="61"/>
        <v>0</v>
      </c>
      <c r="F193" s="268">
        <f t="shared" si="61"/>
        <v>0</v>
      </c>
      <c r="G193" s="268">
        <f t="shared" si="61"/>
        <v>0</v>
      </c>
      <c r="H193" s="268">
        <f t="shared" si="61"/>
        <v>0</v>
      </c>
      <c r="I193" s="268">
        <f t="shared" si="61"/>
        <v>0</v>
      </c>
      <c r="J193" s="268">
        <f t="shared" si="61"/>
        <v>0</v>
      </c>
    </row>
    <row r="194" spans="2:10" x14ac:dyDescent="0.25">
      <c r="B194" s="237" t="s">
        <v>220</v>
      </c>
      <c r="D194" s="268">
        <f t="shared" ref="D194:J194" si="62">D171-D151</f>
        <v>-2.9532163742690049E-2</v>
      </c>
      <c r="E194" s="268">
        <f t="shared" si="62"/>
        <v>9.2787524366471752E-2</v>
      </c>
      <c r="F194" s="268">
        <f t="shared" si="62"/>
        <v>-1.6861598440545814E-2</v>
      </c>
      <c r="G194" s="268">
        <f t="shared" si="62"/>
        <v>-4.5516569200779719E-2</v>
      </c>
      <c r="H194" s="268">
        <f t="shared" si="62"/>
        <v>-5.0682261208577009E-3</v>
      </c>
      <c r="I194" s="268">
        <f t="shared" si="62"/>
        <v>-5.0682261208577009E-3</v>
      </c>
      <c r="J194" s="268">
        <f t="shared" si="62"/>
        <v>9.2592592592592587E-3</v>
      </c>
    </row>
    <row r="195" spans="2:10" x14ac:dyDescent="0.25">
      <c r="B195" s="237" t="s">
        <v>212</v>
      </c>
      <c r="D195" s="268">
        <f t="shared" ref="D195:J195" si="63">D172-D152</f>
        <v>8.9898989898989923E-3</v>
      </c>
      <c r="E195" s="268">
        <f t="shared" si="63"/>
        <v>5.4141414141414157E-2</v>
      </c>
      <c r="F195" s="268">
        <f t="shared" si="63"/>
        <v>-1.0808080808080808E-2</v>
      </c>
      <c r="G195" s="268">
        <f t="shared" si="63"/>
        <v>-9.0909090909091494E-4</v>
      </c>
      <c r="H195" s="268">
        <f t="shared" si="63"/>
        <v>-1.0101010101010102E-2</v>
      </c>
      <c r="I195" s="268">
        <f t="shared" si="63"/>
        <v>-3.1212121212121219E-2</v>
      </c>
      <c r="J195" s="268">
        <f t="shared" si="63"/>
        <v>-1.0101010101010102E-2</v>
      </c>
    </row>
    <row r="196" spans="2:10" x14ac:dyDescent="0.25">
      <c r="B196" s="237" t="s">
        <v>221</v>
      </c>
      <c r="D196" s="268">
        <f t="shared" ref="D196:J196" si="64">D173-D153</f>
        <v>2.0202020202020166E-2</v>
      </c>
      <c r="E196" s="268">
        <f t="shared" si="64"/>
        <v>3.1144781144781142E-2</v>
      </c>
      <c r="F196" s="268">
        <f t="shared" si="64"/>
        <v>-4.8821548821548821E-2</v>
      </c>
      <c r="G196" s="268">
        <f t="shared" si="64"/>
        <v>1.599326599326599E-2</v>
      </c>
      <c r="H196" s="268">
        <f t="shared" si="64"/>
        <v>-1.2626262626262631E-2</v>
      </c>
      <c r="I196" s="268">
        <f t="shared" si="64"/>
        <v>-5.0505050505050553E-3</v>
      </c>
      <c r="J196" s="268">
        <f t="shared" si="64"/>
        <v>-8.4175084175084312E-4</v>
      </c>
    </row>
    <row r="197" spans="2:10" x14ac:dyDescent="0.25">
      <c r="B197" s="237" t="s">
        <v>213</v>
      </c>
      <c r="D197" s="268">
        <f t="shared" ref="D197:J197" si="65">D174-D154</f>
        <v>-1.9039459279356463E-2</v>
      </c>
      <c r="E197" s="268">
        <f t="shared" si="65"/>
        <v>6.2830215621876295E-3</v>
      </c>
      <c r="F197" s="268">
        <f t="shared" si="65"/>
        <v>6.5686134513779915E-3</v>
      </c>
      <c r="G197" s="268">
        <f t="shared" si="65"/>
        <v>5.1882526536246379E-3</v>
      </c>
      <c r="H197" s="268">
        <f t="shared" si="65"/>
        <v>-1.1423675567613888E-3</v>
      </c>
      <c r="I197" s="268">
        <f t="shared" si="65"/>
        <v>-4.1886810414584197E-3</v>
      </c>
      <c r="J197" s="268">
        <f t="shared" si="65"/>
        <v>6.3306202103860249E-3</v>
      </c>
    </row>
    <row r="198" spans="2:10" x14ac:dyDescent="0.25">
      <c r="B198" s="237" t="s">
        <v>214</v>
      </c>
      <c r="D198" s="268">
        <f t="shared" ref="D198:J198" si="66">D175-D155</f>
        <v>-6.4718736005373978E-2</v>
      </c>
      <c r="E198" s="268">
        <f t="shared" si="66"/>
        <v>-4.2888263293991757E-2</v>
      </c>
      <c r="F198" s="268">
        <f t="shared" si="66"/>
        <v>-2.0488191244239631E-2</v>
      </c>
      <c r="G198" s="268">
        <f t="shared" si="66"/>
        <v>5.0766176884850404E-2</v>
      </c>
      <c r="H198" s="268">
        <f t="shared" si="66"/>
        <v>2.9220400914435951E-2</v>
      </c>
      <c r="I198" s="268">
        <f t="shared" si="66"/>
        <v>3.9325802117794184E-4</v>
      </c>
      <c r="J198" s="268">
        <f t="shared" si="66"/>
        <v>4.7715354723141153E-2</v>
      </c>
    </row>
    <row r="199" spans="2:10" x14ac:dyDescent="0.25">
      <c r="B199" s="237" t="s">
        <v>890</v>
      </c>
      <c r="D199" s="268">
        <f t="shared" ref="D199:J199" si="67">D176-D156</f>
        <v>0</v>
      </c>
      <c r="E199" s="268">
        <f t="shared" si="67"/>
        <v>0</v>
      </c>
      <c r="F199" s="268">
        <f t="shared" si="67"/>
        <v>0</v>
      </c>
      <c r="G199" s="268">
        <f t="shared" si="67"/>
        <v>0</v>
      </c>
      <c r="H199" s="268">
        <f t="shared" si="67"/>
        <v>0</v>
      </c>
      <c r="I199" s="268">
        <f t="shared" si="67"/>
        <v>0</v>
      </c>
      <c r="J199" s="268">
        <f t="shared" si="67"/>
        <v>0</v>
      </c>
    </row>
    <row r="200" spans="2:10" x14ac:dyDescent="0.25">
      <c r="B200" s="237" t="s">
        <v>1043</v>
      </c>
      <c r="D200" s="268">
        <f t="shared" ref="D200:J200" si="68">D177-D157</f>
        <v>0</v>
      </c>
      <c r="E200" s="268">
        <f t="shared" si="68"/>
        <v>0</v>
      </c>
      <c r="F200" s="268">
        <f t="shared" si="68"/>
        <v>0</v>
      </c>
      <c r="G200" s="268">
        <f t="shared" si="68"/>
        <v>0</v>
      </c>
      <c r="H200" s="268">
        <f t="shared" si="68"/>
        <v>0</v>
      </c>
      <c r="I200" s="268">
        <f t="shared" si="68"/>
        <v>0</v>
      </c>
      <c r="J200" s="268">
        <f t="shared" si="68"/>
        <v>0</v>
      </c>
    </row>
    <row r="201" spans="2:10" x14ac:dyDescent="0.25">
      <c r="B201" s="237" t="s">
        <v>1046</v>
      </c>
      <c r="D201" s="268">
        <f t="shared" ref="D201:J201" si="69">D178-D158</f>
        <v>0</v>
      </c>
      <c r="E201" s="268">
        <f t="shared" si="69"/>
        <v>0</v>
      </c>
      <c r="F201" s="268">
        <f t="shared" si="69"/>
        <v>0</v>
      </c>
      <c r="G201" s="268">
        <f t="shared" si="69"/>
        <v>0</v>
      </c>
      <c r="H201" s="268">
        <f t="shared" si="69"/>
        <v>0</v>
      </c>
      <c r="I201" s="268">
        <f t="shared" si="69"/>
        <v>0</v>
      </c>
      <c r="J201" s="268">
        <f t="shared" si="69"/>
        <v>0</v>
      </c>
    </row>
    <row r="202" spans="2:10" x14ac:dyDescent="0.25">
      <c r="B202" s="237" t="s">
        <v>215</v>
      </c>
      <c r="D202" s="268">
        <f t="shared" ref="D202:J202" si="70">D179-D159</f>
        <v>3.3280638988268663E-3</v>
      </c>
      <c r="E202" s="268">
        <f t="shared" si="70"/>
        <v>3.9437557201098261E-2</v>
      </c>
      <c r="F202" s="268">
        <f t="shared" si="70"/>
        <v>-3.5776686912388778E-3</v>
      </c>
      <c r="G202" s="268">
        <f t="shared" si="70"/>
        <v>3.3280638988268663E-3</v>
      </c>
      <c r="H202" s="268">
        <f t="shared" si="70"/>
        <v>-3.6275896497212745E-2</v>
      </c>
      <c r="I202" s="268">
        <f t="shared" si="70"/>
        <v>-2.3379648889258683E-2</v>
      </c>
      <c r="J202" s="268">
        <f t="shared" si="70"/>
        <v>1.7139529078958313E-2</v>
      </c>
    </row>
    <row r="203" spans="2:10" x14ac:dyDescent="0.25">
      <c r="B203" s="237" t="s">
        <v>216</v>
      </c>
      <c r="D203" s="268">
        <f t="shared" ref="D203:J203" si="71">D180-D160</f>
        <v>-1.6830694622735731E-2</v>
      </c>
      <c r="E203" s="268">
        <f t="shared" si="71"/>
        <v>4.6854942233632846E-2</v>
      </c>
      <c r="F203" s="268">
        <f t="shared" si="71"/>
        <v>1.4298958779061469E-2</v>
      </c>
      <c r="G203" s="268">
        <f t="shared" si="71"/>
        <v>8.9502210811581717E-3</v>
      </c>
      <c r="H203" s="268">
        <f t="shared" si="71"/>
        <v>-1.9790329482242193E-2</v>
      </c>
      <c r="I203" s="268">
        <f t="shared" si="71"/>
        <v>-3.2983882470403653E-2</v>
      </c>
      <c r="J203" s="268">
        <f t="shared" si="71"/>
        <v>-4.9921551847097526E-4</v>
      </c>
    </row>
    <row r="204" spans="2:10" x14ac:dyDescent="0.25">
      <c r="B204" s="237" t="s">
        <v>217</v>
      </c>
      <c r="D204" s="268">
        <f t="shared" ref="D204:J204" si="72">D181-D161</f>
        <v>-1.63028515240905E-2</v>
      </c>
      <c r="E204" s="268">
        <f t="shared" si="72"/>
        <v>1.7109144542772903E-3</v>
      </c>
      <c r="F204" s="268">
        <f t="shared" si="72"/>
        <v>7.8662733529990397E-5</v>
      </c>
      <c r="G204" s="268">
        <f t="shared" si="72"/>
        <v>4.8377581120944008E-3</v>
      </c>
      <c r="H204" s="268">
        <f t="shared" si="72"/>
        <v>-4.3461160275319564E-3</v>
      </c>
      <c r="I204" s="268">
        <f t="shared" si="72"/>
        <v>1.8407079646017704E-2</v>
      </c>
      <c r="J204" s="268">
        <f t="shared" si="72"/>
        <v>-4.3854473942969516E-3</v>
      </c>
    </row>
    <row r="205" spans="2:10" x14ac:dyDescent="0.25">
      <c r="B205" s="237" t="s">
        <v>219</v>
      </c>
      <c r="D205" s="268">
        <f t="shared" ref="D205:J205" si="73">D182-D162</f>
        <v>-2.674999047365012E-2</v>
      </c>
      <c r="E205" s="268">
        <f t="shared" si="73"/>
        <v>3.4904545974164564E-2</v>
      </c>
      <c r="F205" s="268">
        <f t="shared" si="73"/>
        <v>6.0587585260831467E-3</v>
      </c>
      <c r="G205" s="268">
        <f t="shared" si="73"/>
        <v>3.3913805586251455E-3</v>
      </c>
      <c r="H205" s="268">
        <f t="shared" si="73"/>
        <v>-2.7131044469001275E-2</v>
      </c>
      <c r="I205" s="268">
        <f t="shared" si="73"/>
        <v>5.9825477270129199E-3</v>
      </c>
      <c r="J205" s="268">
        <f t="shared" si="73"/>
        <v>3.5438021567656131E-3</v>
      </c>
    </row>
    <row r="206" spans="2:10" ht="13" x14ac:dyDescent="0.3">
      <c r="D206" s="1115" t="e">
        <f>SUM(D188:D205)</f>
        <v>#N/A</v>
      </c>
      <c r="E206" s="1115" t="e">
        <f t="shared" ref="E206:J206" si="74">SUM(E188:E205)</f>
        <v>#N/A</v>
      </c>
      <c r="F206" s="1115" t="e">
        <f t="shared" si="74"/>
        <v>#N/A</v>
      </c>
      <c r="G206" s="1115" t="e">
        <f t="shared" si="74"/>
        <v>#N/A</v>
      </c>
      <c r="H206" s="1115" t="e">
        <f t="shared" si="74"/>
        <v>#N/A</v>
      </c>
      <c r="I206" s="1115" t="e">
        <f t="shared" si="74"/>
        <v>#N/A</v>
      </c>
      <c r="J206" s="1115" t="e">
        <f t="shared" si="74"/>
        <v>#N/A</v>
      </c>
    </row>
  </sheetData>
  <mergeCells count="9">
    <mergeCell ref="D110:F110"/>
    <mergeCell ref="G110:I110"/>
    <mergeCell ref="K110:M110"/>
    <mergeCell ref="N110:P110"/>
    <mergeCell ref="AI110:AI111"/>
    <mergeCell ref="O4:P4"/>
    <mergeCell ref="O26:P26"/>
    <mergeCell ref="O48:P48"/>
    <mergeCell ref="O70:P7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2:AM67"/>
  <sheetViews>
    <sheetView zoomScaleNormal="100" workbookViewId="0">
      <selection sqref="A1:XFD1048576"/>
    </sheetView>
  </sheetViews>
  <sheetFormatPr defaultColWidth="9.1796875" defaultRowHeight="12" customHeight="1" x14ac:dyDescent="0.35"/>
  <cols>
    <col min="1" max="1" width="10.54296875" style="78" bestFit="1" customWidth="1"/>
    <col min="2" max="5" width="9.1796875" style="77"/>
    <col min="6" max="6" width="10.26953125" style="77" customWidth="1"/>
    <col min="7" max="8" width="9.1796875" style="77" customWidth="1"/>
    <col min="9" max="9" width="10.7265625" style="77" customWidth="1"/>
    <col min="10" max="12" width="10.7265625" style="78" customWidth="1"/>
    <col min="13" max="14" width="10.7265625" style="79" customWidth="1"/>
    <col min="15" max="19" width="10.7265625" style="77" customWidth="1"/>
    <col min="20" max="20" width="3.26953125" style="77" customWidth="1"/>
    <col min="21" max="23" width="10.7265625" style="77" customWidth="1"/>
    <col min="24" max="24" width="9.1796875" style="77" customWidth="1"/>
    <col min="25" max="25" width="10.81640625" style="78" customWidth="1"/>
    <col min="26" max="28" width="9.1796875" style="77" customWidth="1"/>
    <col min="29" max="29" width="11.26953125" style="79" customWidth="1"/>
    <col min="30" max="30" width="11.1796875" style="79" customWidth="1"/>
    <col min="31" max="31" width="14.453125" style="79" customWidth="1"/>
    <col min="32" max="32" width="9.1796875" style="79"/>
    <col min="33" max="33" width="8.81640625" style="79" bestFit="1" customWidth="1"/>
    <col min="34" max="36" width="9.1796875" style="79"/>
    <col min="37" max="37" width="10.453125" style="79" customWidth="1"/>
    <col min="38" max="38" width="13.453125" style="79" customWidth="1"/>
    <col min="39" max="16384" width="9.1796875" style="79"/>
  </cols>
  <sheetData>
    <row r="2" spans="1:38" ht="12" customHeight="1" x14ac:dyDescent="0.35">
      <c r="A2" s="293"/>
      <c r="B2" s="76" t="s">
        <v>304</v>
      </c>
      <c r="C2" s="1172"/>
      <c r="D2" s="1172"/>
      <c r="E2" s="1172"/>
      <c r="F2" s="1172"/>
      <c r="G2" s="1172"/>
      <c r="H2" s="1172"/>
      <c r="I2" s="1172"/>
      <c r="J2" s="293"/>
      <c r="K2" s="293"/>
      <c r="L2" s="293"/>
      <c r="O2" s="1172"/>
      <c r="P2" s="1172"/>
      <c r="Q2" s="1172"/>
      <c r="R2" s="1172"/>
      <c r="S2" s="1172"/>
      <c r="T2" s="1172"/>
      <c r="U2" s="1172"/>
      <c r="V2" s="1455" t="s">
        <v>305</v>
      </c>
      <c r="W2" s="1172"/>
      <c r="X2" s="1172"/>
      <c r="Y2" s="293"/>
      <c r="Z2" s="1172"/>
      <c r="AA2" s="1172"/>
      <c r="AB2" s="1172"/>
    </row>
    <row r="3" spans="1:38" ht="12" customHeight="1" x14ac:dyDescent="0.35">
      <c r="A3" s="293"/>
      <c r="B3" s="1172"/>
      <c r="C3" s="1172"/>
      <c r="D3" s="1172"/>
      <c r="E3" s="1172"/>
      <c r="F3" s="1172"/>
      <c r="G3" s="1172"/>
      <c r="H3" s="1172"/>
      <c r="I3" s="1172"/>
      <c r="J3" s="293"/>
      <c r="K3" s="293"/>
      <c r="L3" s="293"/>
      <c r="O3" s="1172"/>
      <c r="P3" s="1172"/>
      <c r="Q3" s="1172"/>
      <c r="R3" s="1172"/>
      <c r="S3" s="1172"/>
      <c r="T3" s="1172"/>
      <c r="U3" s="1172"/>
      <c r="V3" s="1456"/>
      <c r="W3" s="1172"/>
      <c r="X3" s="1174" t="s">
        <v>306</v>
      </c>
      <c r="Y3" s="293"/>
      <c r="Z3" s="1172"/>
      <c r="AA3" s="1172"/>
      <c r="AB3" s="1172"/>
    </row>
    <row r="4" spans="1:38" s="80" customFormat="1" ht="12" customHeight="1" x14ac:dyDescent="0.3">
      <c r="A4" s="293"/>
      <c r="B4" s="1172"/>
      <c r="C4" s="1172"/>
      <c r="D4" s="1172"/>
      <c r="E4" s="1172"/>
      <c r="F4" s="1457" t="s">
        <v>307</v>
      </c>
      <c r="G4" s="1457" t="s">
        <v>308</v>
      </c>
      <c r="H4" s="1457" t="s">
        <v>309</v>
      </c>
      <c r="I4" s="1458" t="s">
        <v>310</v>
      </c>
      <c r="J4" s="1459" t="s">
        <v>311</v>
      </c>
      <c r="K4" s="1459" t="s">
        <v>312</v>
      </c>
      <c r="L4" s="1459" t="s">
        <v>313</v>
      </c>
      <c r="M4" s="1459" t="s">
        <v>314</v>
      </c>
      <c r="N4" s="1459" t="s">
        <v>315</v>
      </c>
      <c r="O4" s="1459" t="s">
        <v>316</v>
      </c>
      <c r="P4" s="1459" t="s">
        <v>317</v>
      </c>
      <c r="Q4" s="1459" t="s">
        <v>318</v>
      </c>
      <c r="R4" s="1459" t="s">
        <v>319</v>
      </c>
      <c r="S4" s="1459" t="s">
        <v>320</v>
      </c>
      <c r="T4" s="1174"/>
      <c r="U4" s="1459" t="s">
        <v>321</v>
      </c>
      <c r="V4" s="1462" t="s">
        <v>322</v>
      </c>
      <c r="W4" s="1174"/>
      <c r="X4" s="1459" t="s">
        <v>323</v>
      </c>
      <c r="Y4" s="1459" t="s">
        <v>324</v>
      </c>
      <c r="Z4" s="1458" t="s">
        <v>325</v>
      </c>
      <c r="AA4" s="1459" t="s">
        <v>326</v>
      </c>
      <c r="AB4" s="1459" t="s">
        <v>327</v>
      </c>
      <c r="AC4" s="1462" t="s">
        <v>328</v>
      </c>
      <c r="AD4" s="1459" t="s">
        <v>329</v>
      </c>
      <c r="AE4" s="1459" t="s">
        <v>330</v>
      </c>
      <c r="AG4" s="1458" t="s">
        <v>331</v>
      </c>
      <c r="AH4" s="1459" t="s">
        <v>332</v>
      </c>
      <c r="AI4" s="1459" t="s">
        <v>333</v>
      </c>
      <c r="AJ4" s="1462" t="s">
        <v>334</v>
      </c>
      <c r="AK4" s="1459" t="s">
        <v>335</v>
      </c>
      <c r="AL4" s="1459" t="s">
        <v>330</v>
      </c>
    </row>
    <row r="5" spans="1:38" s="80" customFormat="1" ht="12" customHeight="1" x14ac:dyDescent="0.3">
      <c r="A5" s="293"/>
      <c r="B5" s="1172"/>
      <c r="C5" s="1172"/>
      <c r="D5" s="1172"/>
      <c r="E5" s="1172"/>
      <c r="F5" s="1457"/>
      <c r="G5" s="1457"/>
      <c r="H5" s="1457"/>
      <c r="I5" s="1458"/>
      <c r="J5" s="1459"/>
      <c r="K5" s="1459"/>
      <c r="L5" s="1459"/>
      <c r="M5" s="1459"/>
      <c r="N5" s="1459"/>
      <c r="O5" s="1459"/>
      <c r="P5" s="1459"/>
      <c r="Q5" s="1459"/>
      <c r="R5" s="1459"/>
      <c r="S5" s="1459"/>
      <c r="T5" s="1174"/>
      <c r="U5" s="1459"/>
      <c r="V5" s="1463"/>
      <c r="W5" s="1174"/>
      <c r="X5" s="1459"/>
      <c r="Y5" s="1459"/>
      <c r="Z5" s="1458"/>
      <c r="AA5" s="1459"/>
      <c r="AB5" s="1459"/>
      <c r="AC5" s="1463"/>
      <c r="AD5" s="1459"/>
      <c r="AE5" s="1459"/>
      <c r="AG5" s="1458"/>
      <c r="AH5" s="1459"/>
      <c r="AI5" s="1459"/>
      <c r="AJ5" s="1463"/>
      <c r="AK5" s="1459"/>
      <c r="AL5" s="1459"/>
    </row>
    <row r="6" spans="1:38" s="80" customFormat="1" ht="12" customHeight="1" x14ac:dyDescent="0.3">
      <c r="A6" s="293"/>
      <c r="B6" s="1465" t="s">
        <v>336</v>
      </c>
      <c r="C6" s="1466"/>
      <c r="D6" s="1466"/>
      <c r="E6" s="1467"/>
      <c r="F6" s="1457"/>
      <c r="G6" s="1457"/>
      <c r="H6" s="1457"/>
      <c r="I6" s="1458"/>
      <c r="J6" s="1459"/>
      <c r="K6" s="1459"/>
      <c r="L6" s="1459"/>
      <c r="M6" s="1459"/>
      <c r="N6" s="1459"/>
      <c r="O6" s="1459"/>
      <c r="P6" s="1459"/>
      <c r="Q6" s="1459"/>
      <c r="R6" s="1459"/>
      <c r="S6" s="1459"/>
      <c r="T6" s="1174"/>
      <c r="U6" s="1459"/>
      <c r="V6" s="1464"/>
      <c r="W6" s="1174"/>
      <c r="X6" s="1459"/>
      <c r="Y6" s="1459"/>
      <c r="Z6" s="1458"/>
      <c r="AA6" s="1459"/>
      <c r="AB6" s="1459"/>
      <c r="AC6" s="1464"/>
      <c r="AD6" s="1459"/>
      <c r="AE6" s="1459"/>
      <c r="AG6" s="1458"/>
      <c r="AH6" s="1459"/>
      <c r="AI6" s="1459"/>
      <c r="AJ6" s="1464"/>
      <c r="AK6" s="1459"/>
      <c r="AL6" s="1459"/>
    </row>
    <row r="7" spans="1:38" ht="12" customHeight="1" x14ac:dyDescent="0.35">
      <c r="A7" s="1175">
        <v>9257010</v>
      </c>
      <c r="B7" s="1460" t="s">
        <v>337</v>
      </c>
      <c r="C7" s="1461"/>
      <c r="D7" s="1461"/>
      <c r="E7" s="1461"/>
      <c r="F7" s="1176">
        <v>35258</v>
      </c>
      <c r="G7" s="1176">
        <v>35258</v>
      </c>
      <c r="H7" s="1176">
        <v>35258</v>
      </c>
      <c r="I7" s="1176">
        <v>35258</v>
      </c>
      <c r="J7" s="1177"/>
      <c r="K7" s="1177"/>
      <c r="L7" s="1177"/>
      <c r="M7" s="1178">
        <v>0</v>
      </c>
      <c r="N7" s="1179"/>
      <c r="O7" s="1177"/>
      <c r="P7" s="86"/>
      <c r="Q7" s="86"/>
      <c r="R7" s="1174"/>
      <c r="S7" s="1174"/>
      <c r="T7" s="1174"/>
      <c r="U7" s="1174"/>
      <c r="V7" s="255">
        <f>(9/12)*51500</f>
        <v>38625</v>
      </c>
      <c r="W7" s="1174"/>
      <c r="X7" s="255">
        <f>(8/12)*864</f>
        <v>576</v>
      </c>
      <c r="Y7" s="89">
        <f>I7+L7+Q7+U7+V7</f>
        <v>73883</v>
      </c>
      <c r="Z7" s="255">
        <f>I7</f>
        <v>35258</v>
      </c>
      <c r="AA7" s="255"/>
      <c r="AB7" s="255"/>
      <c r="AC7" s="255">
        <f>51500*(5/12)</f>
        <v>21458.333333333336</v>
      </c>
      <c r="AD7" s="255"/>
      <c r="AE7" s="255">
        <f>SUM(Z7:AD7)</f>
        <v>56716.333333333336</v>
      </c>
      <c r="AG7" s="255">
        <v>35258</v>
      </c>
      <c r="AH7" s="255"/>
      <c r="AI7" s="255"/>
      <c r="AJ7" s="255">
        <v>0</v>
      </c>
      <c r="AK7" s="255"/>
      <c r="AL7" s="255">
        <f>SUM(AG7:AK7)</f>
        <v>35258</v>
      </c>
    </row>
    <row r="8" spans="1:38" ht="12" customHeight="1" x14ac:dyDescent="0.35">
      <c r="A8" s="1175">
        <v>9257030</v>
      </c>
      <c r="B8" s="1460" t="s">
        <v>338</v>
      </c>
      <c r="C8" s="1461"/>
      <c r="D8" s="1461"/>
      <c r="E8" s="1461"/>
      <c r="F8" s="255"/>
      <c r="G8" s="255"/>
      <c r="H8" s="255"/>
      <c r="I8" s="255"/>
      <c r="J8" s="1177"/>
      <c r="K8" s="1177"/>
      <c r="L8" s="1177"/>
      <c r="M8" s="1178">
        <v>0</v>
      </c>
      <c r="N8" s="1179"/>
      <c r="O8" s="1177"/>
      <c r="P8" s="1177"/>
      <c r="Q8" s="1177"/>
      <c r="R8" s="1174"/>
      <c r="S8" s="1174"/>
      <c r="T8" s="1174"/>
      <c r="U8" s="1174"/>
      <c r="V8" s="255"/>
      <c r="W8" s="1174"/>
      <c r="X8" s="255"/>
      <c r="Y8" s="89">
        <f t="shared" ref="Y8:Y25" si="0">I8+L8+Q8+U8+V8</f>
        <v>0</v>
      </c>
      <c r="Z8" s="255"/>
      <c r="AA8" s="255"/>
      <c r="AB8" s="255"/>
      <c r="AC8" s="158"/>
      <c r="AD8" s="255"/>
      <c r="AE8" s="255">
        <f t="shared" ref="AE8:AE26" si="1">SUM(Z8:AD8)</f>
        <v>0</v>
      </c>
      <c r="AG8" s="255"/>
      <c r="AH8" s="255"/>
      <c r="AI8" s="255"/>
      <c r="AJ8" s="158"/>
      <c r="AK8" s="255"/>
      <c r="AL8" s="255">
        <f t="shared" ref="AL8:AL26" si="2">SUM(AG8:AK8)</f>
        <v>0</v>
      </c>
    </row>
    <row r="9" spans="1:38" ht="12" customHeight="1" x14ac:dyDescent="0.35">
      <c r="A9" s="1175">
        <v>9257031</v>
      </c>
      <c r="B9" s="1460" t="s">
        <v>339</v>
      </c>
      <c r="C9" s="1461"/>
      <c r="D9" s="1461"/>
      <c r="E9" s="1461"/>
      <c r="F9" s="255"/>
      <c r="G9" s="255"/>
      <c r="H9" s="255"/>
      <c r="I9" s="255"/>
      <c r="J9" s="1177"/>
      <c r="K9" s="1177"/>
      <c r="L9" s="1177"/>
      <c r="M9" s="1178">
        <v>0</v>
      </c>
      <c r="N9" s="1179"/>
      <c r="O9" s="1177"/>
      <c r="P9" s="1177"/>
      <c r="Q9" s="1177"/>
      <c r="R9" s="1174"/>
      <c r="S9" s="1174"/>
      <c r="T9" s="1174"/>
      <c r="U9" s="1174"/>
      <c r="V9" s="255"/>
      <c r="W9" s="1174"/>
      <c r="X9" s="255"/>
      <c r="Y9" s="89">
        <f t="shared" si="0"/>
        <v>0</v>
      </c>
      <c r="Z9" s="255"/>
      <c r="AA9" s="255"/>
      <c r="AB9" s="255"/>
      <c r="AC9" s="158"/>
      <c r="AD9" s="255"/>
      <c r="AE9" s="255">
        <f t="shared" si="1"/>
        <v>0</v>
      </c>
      <c r="AG9" s="255"/>
      <c r="AH9" s="255"/>
      <c r="AI9" s="255"/>
      <c r="AJ9" s="158"/>
      <c r="AK9" s="255"/>
      <c r="AL9" s="255">
        <f t="shared" si="2"/>
        <v>0</v>
      </c>
    </row>
    <row r="10" spans="1:38" ht="12" customHeight="1" x14ac:dyDescent="0.35">
      <c r="A10" s="1175">
        <v>9257008</v>
      </c>
      <c r="B10" s="1460" t="s">
        <v>340</v>
      </c>
      <c r="C10" s="1461"/>
      <c r="D10" s="1461"/>
      <c r="E10" s="1461"/>
      <c r="F10" s="255"/>
      <c r="G10" s="255"/>
      <c r="H10" s="255"/>
      <c r="I10" s="255"/>
      <c r="J10" s="255"/>
      <c r="K10" s="255"/>
      <c r="L10" s="255"/>
      <c r="M10" s="1180">
        <v>4</v>
      </c>
      <c r="N10" s="1176">
        <v>44916</v>
      </c>
      <c r="O10" s="255">
        <v>51500</v>
      </c>
      <c r="P10" s="255">
        <v>51500</v>
      </c>
      <c r="Q10" s="255">
        <v>51500</v>
      </c>
      <c r="R10" s="1174"/>
      <c r="S10" s="1174"/>
      <c r="T10" s="1174"/>
      <c r="U10" s="1174"/>
      <c r="V10" s="255"/>
      <c r="W10" s="1174"/>
      <c r="X10" s="255"/>
      <c r="Y10" s="89">
        <f t="shared" si="0"/>
        <v>51500</v>
      </c>
      <c r="Z10" s="255"/>
      <c r="AA10" s="255"/>
      <c r="AB10" s="255">
        <f>Q10*(5/12)</f>
        <v>21458.333333333336</v>
      </c>
      <c r="AC10" s="255">
        <f>51500*(5/12)</f>
        <v>21458.333333333336</v>
      </c>
      <c r="AD10" s="255"/>
      <c r="AE10" s="255">
        <f t="shared" si="1"/>
        <v>42916.666666666672</v>
      </c>
      <c r="AG10" s="255"/>
      <c r="AH10" s="255"/>
      <c r="AI10" s="255">
        <v>617500</v>
      </c>
      <c r="AJ10" s="255">
        <v>0</v>
      </c>
      <c r="AK10" s="255"/>
      <c r="AL10" s="255">
        <f t="shared" si="2"/>
        <v>617500</v>
      </c>
    </row>
    <row r="11" spans="1:38" ht="12" customHeight="1" x14ac:dyDescent="0.35">
      <c r="A11" s="1175">
        <v>9257002</v>
      </c>
      <c r="B11" s="1460" t="s">
        <v>341</v>
      </c>
      <c r="C11" s="1461"/>
      <c r="D11" s="1461"/>
      <c r="E11" s="1461"/>
      <c r="F11" s="255"/>
      <c r="G11" s="255"/>
      <c r="H11" s="255"/>
      <c r="I11" s="255"/>
      <c r="J11" s="255">
        <v>60000</v>
      </c>
      <c r="K11" s="255">
        <v>60000</v>
      </c>
      <c r="L11" s="255">
        <v>60000</v>
      </c>
      <c r="M11" s="1178">
        <v>0</v>
      </c>
      <c r="N11" s="1176"/>
      <c r="O11" s="255"/>
      <c r="P11" s="255"/>
      <c r="Q11" s="255"/>
      <c r="R11" s="1174"/>
      <c r="S11" s="1174"/>
      <c r="T11" s="1174"/>
      <c r="U11" s="1174"/>
      <c r="V11" s="255"/>
      <c r="W11" s="1174"/>
      <c r="X11" s="255"/>
      <c r="Y11" s="89">
        <f t="shared" si="0"/>
        <v>60000</v>
      </c>
      <c r="Z11" s="255"/>
      <c r="AA11" s="255"/>
      <c r="AB11" s="255"/>
      <c r="AC11" s="158"/>
      <c r="AD11" s="255"/>
      <c r="AE11" s="255">
        <f t="shared" si="1"/>
        <v>0</v>
      </c>
      <c r="AG11" s="255"/>
      <c r="AH11" s="255"/>
      <c r="AI11" s="255"/>
      <c r="AJ11" s="158"/>
      <c r="AK11" s="255"/>
      <c r="AL11" s="255">
        <f t="shared" si="2"/>
        <v>0</v>
      </c>
    </row>
    <row r="12" spans="1:38" ht="12" customHeight="1" x14ac:dyDescent="0.35">
      <c r="A12" s="1175">
        <v>9257005</v>
      </c>
      <c r="B12" s="1460" t="s">
        <v>342</v>
      </c>
      <c r="C12" s="1461"/>
      <c r="D12" s="1461"/>
      <c r="E12" s="1461"/>
      <c r="F12" s="1176">
        <v>35258</v>
      </c>
      <c r="G12" s="1176">
        <v>35258</v>
      </c>
      <c r="H12" s="1176">
        <v>35258</v>
      </c>
      <c r="I12" s="1176">
        <v>35258</v>
      </c>
      <c r="J12" s="255"/>
      <c r="K12" s="255"/>
      <c r="L12" s="255"/>
      <c r="M12" s="1178">
        <v>0</v>
      </c>
      <c r="N12" s="1176"/>
      <c r="O12" s="255"/>
      <c r="P12" s="255"/>
      <c r="Q12" s="255"/>
      <c r="R12" s="1174"/>
      <c r="S12" s="1174"/>
      <c r="T12" s="1174"/>
      <c r="U12" s="1174"/>
      <c r="V12" s="255"/>
      <c r="W12" s="1174"/>
      <c r="X12" s="255">
        <f>(8/12)*2591</f>
        <v>1727.3333333333333</v>
      </c>
      <c r="Y12" s="89">
        <f t="shared" si="0"/>
        <v>35258</v>
      </c>
      <c r="Z12" s="255">
        <f>I12</f>
        <v>35258</v>
      </c>
      <c r="AA12" s="255"/>
      <c r="AB12" s="255"/>
      <c r="AC12" s="158"/>
      <c r="AD12" s="255"/>
      <c r="AE12" s="255">
        <f t="shared" si="1"/>
        <v>35258</v>
      </c>
      <c r="AG12" s="255">
        <v>35258</v>
      </c>
      <c r="AH12" s="255"/>
      <c r="AI12" s="255"/>
      <c r="AJ12" s="158"/>
      <c r="AK12" s="255"/>
      <c r="AL12" s="255">
        <f t="shared" si="2"/>
        <v>35258</v>
      </c>
    </row>
    <row r="13" spans="1:38" ht="12" customHeight="1" x14ac:dyDescent="0.35">
      <c r="A13" s="1175">
        <v>9257034</v>
      </c>
      <c r="B13" s="1460" t="s">
        <v>343</v>
      </c>
      <c r="C13" s="1461"/>
      <c r="D13" s="1461"/>
      <c r="E13" s="1461"/>
      <c r="F13" s="255"/>
      <c r="G13" s="255"/>
      <c r="H13" s="255"/>
      <c r="I13" s="255"/>
      <c r="J13" s="255"/>
      <c r="K13" s="255"/>
      <c r="L13" s="255"/>
      <c r="M13" s="1178">
        <v>0</v>
      </c>
      <c r="N13" s="1176"/>
      <c r="O13" s="255"/>
      <c r="P13" s="255"/>
      <c r="Q13" s="255"/>
      <c r="R13" s="1174"/>
      <c r="S13" s="1174"/>
      <c r="T13" s="1174"/>
      <c r="U13" s="1174"/>
      <c r="V13" s="255"/>
      <c r="W13" s="1174"/>
      <c r="X13" s="255">
        <f>(8/12)*3455</f>
        <v>2303.333333333333</v>
      </c>
      <c r="Y13" s="89">
        <f t="shared" si="0"/>
        <v>0</v>
      </c>
      <c r="Z13" s="255"/>
      <c r="AA13" s="255"/>
      <c r="AB13" s="255"/>
      <c r="AC13" s="158"/>
      <c r="AD13" s="255"/>
      <c r="AE13" s="255">
        <f t="shared" si="1"/>
        <v>0</v>
      </c>
      <c r="AG13" s="255"/>
      <c r="AH13" s="255"/>
      <c r="AI13" s="255"/>
      <c r="AJ13" s="158"/>
      <c r="AK13" s="255"/>
      <c r="AL13" s="255">
        <f t="shared" si="2"/>
        <v>0</v>
      </c>
    </row>
    <row r="14" spans="1:38" ht="12" customHeight="1" x14ac:dyDescent="0.35">
      <c r="A14" s="1175">
        <v>9257021</v>
      </c>
      <c r="B14" s="1460" t="s">
        <v>344</v>
      </c>
      <c r="C14" s="1461"/>
      <c r="D14" s="1461"/>
      <c r="E14" s="1461"/>
      <c r="F14" s="255"/>
      <c r="G14" s="255"/>
      <c r="H14" s="255">
        <v>35258</v>
      </c>
      <c r="I14" s="1176">
        <v>35258</v>
      </c>
      <c r="J14" s="255"/>
      <c r="K14" s="255"/>
      <c r="L14" s="255"/>
      <c r="M14" s="1178">
        <v>0</v>
      </c>
      <c r="N14" s="1176"/>
      <c r="O14" s="255"/>
      <c r="P14" s="255"/>
      <c r="Q14" s="255"/>
      <c r="R14" s="255">
        <v>274420</v>
      </c>
      <c r="S14" s="255">
        <f>R14*(3/12)</f>
        <v>68605</v>
      </c>
      <c r="T14" s="1174" t="s">
        <v>345</v>
      </c>
      <c r="U14" s="1174"/>
      <c r="V14" s="255"/>
      <c r="W14" s="1174"/>
      <c r="X14" s="255"/>
      <c r="Y14" s="89">
        <f t="shared" si="0"/>
        <v>35258</v>
      </c>
      <c r="Z14" s="255">
        <f>I14</f>
        <v>35258</v>
      </c>
      <c r="AA14" s="255"/>
      <c r="AB14" s="255"/>
      <c r="AC14" s="158"/>
      <c r="AD14" s="255"/>
      <c r="AE14" s="255">
        <f t="shared" si="1"/>
        <v>35258</v>
      </c>
      <c r="AG14" s="255">
        <v>35258</v>
      </c>
      <c r="AH14" s="255"/>
      <c r="AI14" s="255"/>
      <c r="AJ14" s="158"/>
      <c r="AK14" s="255"/>
      <c r="AL14" s="255">
        <f t="shared" si="2"/>
        <v>35258</v>
      </c>
    </row>
    <row r="15" spans="1:38" s="77" customFormat="1" ht="12" customHeight="1" x14ac:dyDescent="0.3">
      <c r="A15" s="1175">
        <v>9257033</v>
      </c>
      <c r="B15" s="1460" t="s">
        <v>346</v>
      </c>
      <c r="C15" s="1461"/>
      <c r="D15" s="1461"/>
      <c r="E15" s="1461"/>
      <c r="F15" s="1176">
        <v>35258</v>
      </c>
      <c r="G15" s="1176">
        <v>35258</v>
      </c>
      <c r="H15" s="1176">
        <v>35258</v>
      </c>
      <c r="I15" s="1176">
        <v>35258</v>
      </c>
      <c r="J15" s="255"/>
      <c r="K15" s="255"/>
      <c r="L15" s="255"/>
      <c r="M15" s="1178">
        <v>0</v>
      </c>
      <c r="N15" s="1176"/>
      <c r="O15" s="255"/>
      <c r="P15" s="86"/>
      <c r="Q15" s="86"/>
      <c r="R15" s="1174"/>
      <c r="S15" s="1174"/>
      <c r="T15" s="1174"/>
      <c r="U15" s="1174"/>
      <c r="V15" s="255">
        <f>(9/12)*51500</f>
        <v>38625</v>
      </c>
      <c r="W15" s="1174"/>
      <c r="X15" s="255"/>
      <c r="Y15" s="89">
        <f t="shared" si="0"/>
        <v>73883</v>
      </c>
      <c r="Z15" s="255">
        <f>I15</f>
        <v>35258</v>
      </c>
      <c r="AA15" s="255"/>
      <c r="AB15" s="255"/>
      <c r="AC15" s="255">
        <f>51500*(5/12)</f>
        <v>21458.333333333336</v>
      </c>
      <c r="AD15" s="255"/>
      <c r="AE15" s="255">
        <f t="shared" si="1"/>
        <v>56716.333333333336</v>
      </c>
      <c r="AF15" s="1172"/>
      <c r="AG15" s="255">
        <v>35258</v>
      </c>
      <c r="AH15" s="255"/>
      <c r="AI15" s="255"/>
      <c r="AJ15" s="255">
        <v>0</v>
      </c>
      <c r="AK15" s="255"/>
      <c r="AL15" s="255">
        <f t="shared" si="2"/>
        <v>35258</v>
      </c>
    </row>
    <row r="16" spans="1:38" s="77" customFormat="1" ht="12" customHeight="1" x14ac:dyDescent="0.3">
      <c r="A16" s="1175">
        <v>9257017</v>
      </c>
      <c r="B16" s="1460" t="s">
        <v>347</v>
      </c>
      <c r="C16" s="1461"/>
      <c r="D16" s="1461"/>
      <c r="E16" s="1461"/>
      <c r="F16" s="1176">
        <v>55122</v>
      </c>
      <c r="G16" s="1176">
        <v>35258</v>
      </c>
      <c r="H16" s="1176">
        <v>14690.833333333334</v>
      </c>
      <c r="I16" s="1176"/>
      <c r="J16" s="255"/>
      <c r="K16" s="255"/>
      <c r="L16" s="255"/>
      <c r="M16" s="1178">
        <v>0</v>
      </c>
      <c r="N16" s="1176"/>
      <c r="O16" s="255"/>
      <c r="P16" s="255"/>
      <c r="Q16" s="255"/>
      <c r="R16" s="1174"/>
      <c r="S16" s="1174"/>
      <c r="T16" s="1174"/>
      <c r="U16" s="1174"/>
      <c r="V16" s="255"/>
      <c r="W16" s="1174"/>
      <c r="X16" s="255"/>
      <c r="Y16" s="89">
        <f t="shared" si="0"/>
        <v>0</v>
      </c>
      <c r="Z16" s="255"/>
      <c r="AA16" s="255"/>
      <c r="AB16" s="255"/>
      <c r="AC16" s="255"/>
      <c r="AD16" s="255"/>
      <c r="AE16" s="255">
        <f t="shared" si="1"/>
        <v>0</v>
      </c>
      <c r="AF16" s="1172"/>
      <c r="AG16" s="255"/>
      <c r="AH16" s="255"/>
      <c r="AI16" s="255"/>
      <c r="AJ16" s="255"/>
      <c r="AK16" s="255"/>
      <c r="AL16" s="255">
        <f t="shared" si="2"/>
        <v>0</v>
      </c>
    </row>
    <row r="17" spans="1:38" ht="12" customHeight="1" x14ac:dyDescent="0.35">
      <c r="A17" s="1175">
        <v>9257015</v>
      </c>
      <c r="B17" s="1460" t="s">
        <v>348</v>
      </c>
      <c r="C17" s="1461"/>
      <c r="D17" s="1461"/>
      <c r="E17" s="1461"/>
      <c r="F17" s="255"/>
      <c r="G17" s="255"/>
      <c r="H17" s="255">
        <f>(7/12)*35258</f>
        <v>20567.166666666668</v>
      </c>
      <c r="I17" s="255">
        <v>35258</v>
      </c>
      <c r="J17" s="255"/>
      <c r="K17" s="255"/>
      <c r="L17" s="255"/>
      <c r="M17" s="1180">
        <v>6</v>
      </c>
      <c r="N17" s="1176">
        <v>67374</v>
      </c>
      <c r="O17" s="255">
        <v>67374</v>
      </c>
      <c r="P17" s="255">
        <v>51500</v>
      </c>
      <c r="Q17" s="255">
        <v>51500</v>
      </c>
      <c r="R17" s="1174"/>
      <c r="S17" s="1174"/>
      <c r="T17" s="1174" t="s">
        <v>9</v>
      </c>
      <c r="U17" s="1174"/>
      <c r="V17" s="255"/>
      <c r="W17" s="1174"/>
      <c r="X17" s="255">
        <f>(8/12)*2015</f>
        <v>1343.3333333333333</v>
      </c>
      <c r="Y17" s="89">
        <f t="shared" si="0"/>
        <v>86758</v>
      </c>
      <c r="Z17" s="255">
        <f>I17</f>
        <v>35258</v>
      </c>
      <c r="AA17" s="255"/>
      <c r="AB17" s="255">
        <f>Q17*(5/12)</f>
        <v>21458.333333333336</v>
      </c>
      <c r="AC17" s="158"/>
      <c r="AD17" s="255"/>
      <c r="AE17" s="255">
        <f t="shared" si="1"/>
        <v>56716.333333333336</v>
      </c>
      <c r="AG17" s="255">
        <v>35258</v>
      </c>
      <c r="AH17" s="255"/>
      <c r="AI17" s="255">
        <v>0</v>
      </c>
      <c r="AJ17" s="158"/>
      <c r="AK17" s="255"/>
      <c r="AL17" s="255">
        <f t="shared" si="2"/>
        <v>35258</v>
      </c>
    </row>
    <row r="18" spans="1:38" ht="12" customHeight="1" x14ac:dyDescent="0.35">
      <c r="A18" s="1175">
        <v>9257016</v>
      </c>
      <c r="B18" s="1460" t="s">
        <v>349</v>
      </c>
      <c r="C18" s="1461"/>
      <c r="D18" s="1461"/>
      <c r="E18" s="1461"/>
      <c r="F18" s="255"/>
      <c r="G18" s="255"/>
      <c r="H18" s="255"/>
      <c r="I18" s="255"/>
      <c r="J18" s="255">
        <v>60000</v>
      </c>
      <c r="K18" s="255">
        <v>60000</v>
      </c>
      <c r="L18" s="255">
        <v>60000</v>
      </c>
      <c r="M18" s="1180">
        <v>8.5</v>
      </c>
      <c r="N18" s="1176">
        <v>88935.5</v>
      </c>
      <c r="O18" s="255">
        <v>88936</v>
      </c>
      <c r="P18" s="255">
        <v>88936</v>
      </c>
      <c r="Q18" s="255">
        <v>88936</v>
      </c>
      <c r="R18" s="255">
        <v>582568</v>
      </c>
      <c r="S18" s="255">
        <v>582568</v>
      </c>
      <c r="T18" s="1174"/>
      <c r="U18" s="255">
        <v>582568</v>
      </c>
      <c r="V18" s="255"/>
      <c r="W18" s="1174"/>
      <c r="X18" s="255">
        <f>(8/12)*5470</f>
        <v>3646.6666666666665</v>
      </c>
      <c r="Y18" s="89">
        <f t="shared" si="0"/>
        <v>731504</v>
      </c>
      <c r="Z18" s="255"/>
      <c r="AA18" s="255">
        <f>L18*(5/12)</f>
        <v>25000</v>
      </c>
      <c r="AB18" s="255">
        <f>Q18*(5/12)</f>
        <v>37056.666666666672</v>
      </c>
      <c r="AC18" s="158"/>
      <c r="AD18" s="255">
        <f>U18</f>
        <v>582568</v>
      </c>
      <c r="AE18" s="255">
        <f t="shared" si="1"/>
        <v>644624.66666666663</v>
      </c>
      <c r="AG18" s="255"/>
      <c r="AH18" s="255">
        <v>0</v>
      </c>
      <c r="AI18" s="255">
        <v>140436</v>
      </c>
      <c r="AJ18" s="158"/>
      <c r="AK18" s="255">
        <v>582568</v>
      </c>
      <c r="AL18" s="255">
        <f t="shared" si="2"/>
        <v>723004</v>
      </c>
    </row>
    <row r="19" spans="1:38" ht="12" customHeight="1" x14ac:dyDescent="0.35">
      <c r="A19" s="1175">
        <v>9257032</v>
      </c>
      <c r="B19" s="1468" t="s">
        <v>350</v>
      </c>
      <c r="C19" s="1469"/>
      <c r="D19" s="1469"/>
      <c r="E19" s="1470"/>
      <c r="F19" s="255"/>
      <c r="G19" s="255"/>
      <c r="H19" s="255"/>
      <c r="I19" s="255"/>
      <c r="J19" s="255">
        <v>60000</v>
      </c>
      <c r="K19" s="255">
        <v>60000</v>
      </c>
      <c r="L19" s="255">
        <v>60000</v>
      </c>
      <c r="M19" s="1178">
        <v>0</v>
      </c>
      <c r="N19" s="1176"/>
      <c r="O19" s="255"/>
      <c r="P19" s="255"/>
      <c r="Q19" s="255"/>
      <c r="R19" s="1174"/>
      <c r="S19" s="1174"/>
      <c r="T19" s="1174"/>
      <c r="U19" s="1174"/>
      <c r="V19" s="255"/>
      <c r="W19" s="1174"/>
      <c r="X19" s="255"/>
      <c r="Y19" s="89">
        <f t="shared" si="0"/>
        <v>60000</v>
      </c>
      <c r="Z19" s="255"/>
      <c r="AA19" s="255">
        <f>L19*(5/12)</f>
        <v>25000</v>
      </c>
      <c r="AB19" s="255"/>
      <c r="AC19" s="158"/>
      <c r="AD19" s="255"/>
      <c r="AE19" s="255">
        <f t="shared" si="1"/>
        <v>25000</v>
      </c>
      <c r="AG19" s="255"/>
      <c r="AH19" s="255">
        <v>0</v>
      </c>
      <c r="AI19" s="255"/>
      <c r="AJ19" s="158"/>
      <c r="AK19" s="255"/>
      <c r="AL19" s="255">
        <f t="shared" si="2"/>
        <v>0</v>
      </c>
    </row>
    <row r="20" spans="1:38" ht="12" customHeight="1" x14ac:dyDescent="0.35">
      <c r="A20" s="1175">
        <v>9257025</v>
      </c>
      <c r="B20" s="1460" t="s">
        <v>351</v>
      </c>
      <c r="C20" s="1461"/>
      <c r="D20" s="1461"/>
      <c r="E20" s="1461"/>
      <c r="F20" s="1176">
        <v>35258</v>
      </c>
      <c r="G20" s="1176">
        <v>35258</v>
      </c>
      <c r="H20" s="1176">
        <v>35258</v>
      </c>
      <c r="I20" s="1176">
        <v>35258</v>
      </c>
      <c r="J20" s="255"/>
      <c r="K20" s="255"/>
      <c r="L20" s="255"/>
      <c r="M20" s="1178">
        <v>0</v>
      </c>
      <c r="N20" s="1176"/>
      <c r="O20" s="255"/>
      <c r="P20" s="86"/>
      <c r="Q20" s="86"/>
      <c r="R20" s="255">
        <v>327644</v>
      </c>
      <c r="S20" s="255">
        <v>327644</v>
      </c>
      <c r="T20" s="1174"/>
      <c r="U20" s="255">
        <v>327644</v>
      </c>
      <c r="V20" s="255">
        <f>(9/12)*51500</f>
        <v>38625</v>
      </c>
      <c r="W20" s="1174"/>
      <c r="X20" s="255">
        <f>(8/12)*1727</f>
        <v>1151.3333333333333</v>
      </c>
      <c r="Y20" s="89">
        <f t="shared" si="0"/>
        <v>401527</v>
      </c>
      <c r="Z20" s="255">
        <f>I20</f>
        <v>35258</v>
      </c>
      <c r="AA20" s="255"/>
      <c r="AB20" s="255"/>
      <c r="AC20" s="255">
        <f>51500*(5/12)</f>
        <v>21458.333333333336</v>
      </c>
      <c r="AD20" s="255">
        <f>U20</f>
        <v>327644</v>
      </c>
      <c r="AE20" s="255">
        <f t="shared" si="1"/>
        <v>384360.33333333331</v>
      </c>
      <c r="AG20" s="255">
        <v>35258</v>
      </c>
      <c r="AH20" s="255"/>
      <c r="AI20" s="255"/>
      <c r="AJ20" s="255">
        <v>0</v>
      </c>
      <c r="AK20" s="255">
        <f>327644+209307</f>
        <v>536951</v>
      </c>
      <c r="AL20" s="255">
        <f t="shared" si="2"/>
        <v>572209</v>
      </c>
    </row>
    <row r="21" spans="1:38" ht="12" customHeight="1" x14ac:dyDescent="0.35">
      <c r="A21" s="1175">
        <v>9257011</v>
      </c>
      <c r="B21" s="1460" t="s">
        <v>352</v>
      </c>
      <c r="C21" s="1461"/>
      <c r="D21" s="1461"/>
      <c r="E21" s="1461"/>
      <c r="F21" s="1176">
        <v>35258</v>
      </c>
      <c r="G21" s="1176">
        <v>35258</v>
      </c>
      <c r="H21" s="1176">
        <v>35258</v>
      </c>
      <c r="I21" s="1176">
        <v>35258</v>
      </c>
      <c r="J21" s="255"/>
      <c r="K21" s="255"/>
      <c r="L21" s="255"/>
      <c r="M21" s="1178">
        <v>0</v>
      </c>
      <c r="N21" s="1176"/>
      <c r="O21" s="255"/>
      <c r="P21" s="255"/>
      <c r="Q21" s="255"/>
      <c r="R21" s="1174"/>
      <c r="S21" s="1174"/>
      <c r="T21" s="1174"/>
      <c r="U21" s="1174"/>
      <c r="V21" s="255">
        <f>((9/12)*51500)/2</f>
        <v>19312.5</v>
      </c>
      <c r="W21" s="1174"/>
      <c r="X21" s="255">
        <f>(8/12)*500</f>
        <v>333.33333333333331</v>
      </c>
      <c r="Y21" s="89">
        <f t="shared" si="0"/>
        <v>54570.5</v>
      </c>
      <c r="Z21" s="255">
        <f>I21</f>
        <v>35258</v>
      </c>
      <c r="AA21" s="255"/>
      <c r="AB21" s="255"/>
      <c r="AC21" s="255">
        <f>(51500)*(5/12)</f>
        <v>21458.333333333336</v>
      </c>
      <c r="AD21" s="255"/>
      <c r="AE21" s="255">
        <f t="shared" si="1"/>
        <v>56716.333333333336</v>
      </c>
      <c r="AG21" s="255">
        <v>35258</v>
      </c>
      <c r="AH21" s="255"/>
      <c r="AI21" s="255"/>
      <c r="AJ21" s="255">
        <v>0</v>
      </c>
      <c r="AK21" s="255"/>
      <c r="AL21" s="255">
        <f t="shared" si="2"/>
        <v>35258</v>
      </c>
    </row>
    <row r="22" spans="1:38" ht="12" customHeight="1" x14ac:dyDescent="0.35">
      <c r="A22" s="1175">
        <v>9257009</v>
      </c>
      <c r="B22" s="1460" t="s">
        <v>353</v>
      </c>
      <c r="C22" s="1461"/>
      <c r="D22" s="1461"/>
      <c r="E22" s="1461"/>
      <c r="F22" s="255"/>
      <c r="G22" s="255"/>
      <c r="H22" s="255"/>
      <c r="I22" s="255"/>
      <c r="J22" s="255"/>
      <c r="K22" s="255"/>
      <c r="L22" s="255"/>
      <c r="M22" s="1178">
        <v>0</v>
      </c>
      <c r="N22" s="1176"/>
      <c r="O22" s="255"/>
      <c r="P22" s="86"/>
      <c r="Q22" s="86"/>
      <c r="R22" s="1174"/>
      <c r="S22" s="1174"/>
      <c r="T22" s="1174"/>
      <c r="U22" s="1174"/>
      <c r="V22" s="255">
        <f>((9/12)*51500)/2</f>
        <v>19312.5</v>
      </c>
      <c r="W22" s="1174"/>
      <c r="X22" s="255"/>
      <c r="Y22" s="89">
        <f t="shared" si="0"/>
        <v>19312.5</v>
      </c>
      <c r="Z22" s="255"/>
      <c r="AA22" s="255"/>
      <c r="AB22" s="255"/>
      <c r="AC22" s="255">
        <f>(51500)*(5/12)</f>
        <v>21458.333333333336</v>
      </c>
      <c r="AD22" s="255"/>
      <c r="AE22" s="255">
        <f t="shared" si="1"/>
        <v>21458.333333333336</v>
      </c>
      <c r="AG22" s="255"/>
      <c r="AH22" s="255"/>
      <c r="AI22" s="255"/>
      <c r="AJ22" s="255">
        <v>0</v>
      </c>
      <c r="AK22" s="255"/>
      <c r="AL22" s="255">
        <f t="shared" si="2"/>
        <v>0</v>
      </c>
    </row>
    <row r="23" spans="1:38" ht="12" customHeight="1" x14ac:dyDescent="0.35">
      <c r="A23" s="1175">
        <v>9257024</v>
      </c>
      <c r="B23" s="1460" t="s">
        <v>354</v>
      </c>
      <c r="C23" s="1461"/>
      <c r="D23" s="1461"/>
      <c r="E23" s="1461"/>
      <c r="F23" s="1176">
        <v>35258</v>
      </c>
      <c r="G23" s="1176">
        <v>35258</v>
      </c>
      <c r="H23" s="1176">
        <v>35258</v>
      </c>
      <c r="I23" s="1176">
        <v>35258</v>
      </c>
      <c r="J23" s="255">
        <v>60000</v>
      </c>
      <c r="K23" s="255">
        <v>60000</v>
      </c>
      <c r="L23" s="255">
        <v>60000</v>
      </c>
      <c r="M23" s="1178">
        <v>0</v>
      </c>
      <c r="N23" s="1176"/>
      <c r="O23" s="255"/>
      <c r="P23" s="255"/>
      <c r="Q23" s="255"/>
      <c r="R23" s="1174"/>
      <c r="S23" s="1174"/>
      <c r="T23" s="1174"/>
      <c r="U23" s="1174"/>
      <c r="V23" s="255"/>
      <c r="W23" s="1174"/>
      <c r="X23" s="255">
        <f>(8/12)*1152</f>
        <v>768</v>
      </c>
      <c r="Y23" s="89">
        <f t="shared" si="0"/>
        <v>95258</v>
      </c>
      <c r="Z23" s="255">
        <f>I23</f>
        <v>35258</v>
      </c>
      <c r="AA23" s="255">
        <f>L23*(5/12)</f>
        <v>25000</v>
      </c>
      <c r="AB23" s="255"/>
      <c r="AC23" s="158"/>
      <c r="AD23" s="255"/>
      <c r="AE23" s="255">
        <f t="shared" si="1"/>
        <v>60258</v>
      </c>
      <c r="AG23" s="255">
        <v>35258</v>
      </c>
      <c r="AH23" s="255">
        <v>0</v>
      </c>
      <c r="AI23" s="255"/>
      <c r="AJ23" s="158"/>
      <c r="AK23" s="255"/>
      <c r="AL23" s="255">
        <f t="shared" si="2"/>
        <v>35258</v>
      </c>
    </row>
    <row r="24" spans="1:38" ht="12" customHeight="1" x14ac:dyDescent="0.35">
      <c r="A24" s="1175">
        <v>9257028</v>
      </c>
      <c r="B24" s="1460" t="s">
        <v>355</v>
      </c>
      <c r="C24" s="1461"/>
      <c r="D24" s="1461"/>
      <c r="E24" s="1461"/>
      <c r="F24" s="1176">
        <v>35258</v>
      </c>
      <c r="G24" s="1176">
        <v>35258</v>
      </c>
      <c r="H24" s="1176">
        <v>35258</v>
      </c>
      <c r="I24" s="1176">
        <v>35258</v>
      </c>
      <c r="J24" s="255">
        <v>60000</v>
      </c>
      <c r="K24" s="255">
        <v>60000</v>
      </c>
      <c r="L24" s="255">
        <v>60000</v>
      </c>
      <c r="M24" s="1178">
        <v>0</v>
      </c>
      <c r="N24" s="1176"/>
      <c r="O24" s="255"/>
      <c r="P24" s="255"/>
      <c r="Q24" s="255"/>
      <c r="R24" s="1174"/>
      <c r="S24" s="1174"/>
      <c r="T24" s="1174"/>
      <c r="U24" s="1174"/>
      <c r="V24" s="255"/>
      <c r="W24" s="1174"/>
      <c r="X24" s="255">
        <f>(8/12)*2015</f>
        <v>1343.3333333333333</v>
      </c>
      <c r="Y24" s="89">
        <f t="shared" si="0"/>
        <v>95258</v>
      </c>
      <c r="Z24" s="255">
        <f>I24</f>
        <v>35258</v>
      </c>
      <c r="AA24" s="255"/>
      <c r="AB24" s="255"/>
      <c r="AC24" s="158"/>
      <c r="AD24" s="255"/>
      <c r="AE24" s="255">
        <f t="shared" si="1"/>
        <v>35258</v>
      </c>
      <c r="AG24" s="255">
        <v>35258</v>
      </c>
      <c r="AH24" s="255"/>
      <c r="AI24" s="255"/>
      <c r="AJ24" s="158"/>
      <c r="AK24" s="255"/>
      <c r="AL24" s="255">
        <f t="shared" si="2"/>
        <v>35258</v>
      </c>
    </row>
    <row r="25" spans="1:38" ht="12" customHeight="1" x14ac:dyDescent="0.35">
      <c r="A25" s="1175">
        <v>9257029</v>
      </c>
      <c r="B25" s="1471" t="s">
        <v>356</v>
      </c>
      <c r="C25" s="1472"/>
      <c r="D25" s="1472"/>
      <c r="E25" s="1473"/>
      <c r="F25" s="1176"/>
      <c r="G25" s="1176"/>
      <c r="H25" s="1176"/>
      <c r="I25" s="1176"/>
      <c r="J25" s="255">
        <v>60000</v>
      </c>
      <c r="K25" s="255">
        <v>60000</v>
      </c>
      <c r="L25" s="255">
        <v>60000</v>
      </c>
      <c r="M25" s="1178">
        <v>0</v>
      </c>
      <c r="N25" s="1176"/>
      <c r="O25" s="255"/>
      <c r="P25" s="255"/>
      <c r="Q25" s="255"/>
      <c r="R25" s="1174"/>
      <c r="S25" s="1174"/>
      <c r="T25" s="1174"/>
      <c r="U25" s="1174"/>
      <c r="V25" s="255"/>
      <c r="W25" s="1174"/>
      <c r="X25" s="255"/>
      <c r="Y25" s="89">
        <f t="shared" si="0"/>
        <v>60000</v>
      </c>
      <c r="Z25" s="255"/>
      <c r="AA25" s="255">
        <f>L25*(5/12)</f>
        <v>25000</v>
      </c>
      <c r="AB25" s="255"/>
      <c r="AC25" s="158"/>
      <c r="AD25" s="255"/>
      <c r="AE25" s="255">
        <f t="shared" si="1"/>
        <v>25000</v>
      </c>
      <c r="AG25" s="255"/>
      <c r="AH25" s="255">
        <v>0</v>
      </c>
      <c r="AI25" s="255"/>
      <c r="AJ25" s="158"/>
      <c r="AK25" s="255"/>
      <c r="AL25" s="255">
        <f t="shared" si="2"/>
        <v>0</v>
      </c>
    </row>
    <row r="26" spans="1:38" ht="12" customHeight="1" x14ac:dyDescent="0.35">
      <c r="A26" s="293"/>
      <c r="B26" s="1474" t="s">
        <v>357</v>
      </c>
      <c r="C26" s="1474"/>
      <c r="D26" s="1474"/>
      <c r="E26" s="1474"/>
      <c r="F26" s="81">
        <v>301928</v>
      </c>
      <c r="G26" s="81">
        <v>282064</v>
      </c>
      <c r="H26" s="81">
        <v>317322</v>
      </c>
      <c r="I26" s="81">
        <v>317322</v>
      </c>
      <c r="J26" s="81">
        <v>360000</v>
      </c>
      <c r="K26" s="81">
        <v>360000</v>
      </c>
      <c r="L26" s="81">
        <v>360000</v>
      </c>
      <c r="M26" s="82">
        <v>18.5</v>
      </c>
      <c r="N26" s="81">
        <v>201225.5</v>
      </c>
      <c r="O26" s="81">
        <v>207810</v>
      </c>
      <c r="P26" s="81">
        <v>191936</v>
      </c>
      <c r="Q26" s="81">
        <v>191936</v>
      </c>
      <c r="R26" s="81">
        <v>1184632</v>
      </c>
      <c r="S26" s="81">
        <v>978817</v>
      </c>
      <c r="T26" s="81">
        <v>0</v>
      </c>
      <c r="U26" s="81">
        <v>910212</v>
      </c>
      <c r="V26" s="81">
        <v>154500</v>
      </c>
      <c r="W26" s="1174"/>
      <c r="X26" s="89">
        <f>SUM(X7:X25)</f>
        <v>13192.666666666668</v>
      </c>
      <c r="Y26" s="89">
        <f>I26+L26+Q26+U26+V26</f>
        <v>1933970</v>
      </c>
      <c r="Z26" s="255">
        <f>SUM(Z7:Z25)</f>
        <v>317322</v>
      </c>
      <c r="AA26" s="255">
        <f>SUM(AA7:AA25)</f>
        <v>100000</v>
      </c>
      <c r="AB26" s="255">
        <f>SUM(AB7:AB25)</f>
        <v>79973.333333333343</v>
      </c>
      <c r="AC26" s="255">
        <f>SUM(AC7:AC25)</f>
        <v>128750.00000000003</v>
      </c>
      <c r="AD26" s="255">
        <f>SUM(AD7:AD25)</f>
        <v>910212</v>
      </c>
      <c r="AE26" s="255">
        <f t="shared" si="1"/>
        <v>1536257.3333333335</v>
      </c>
      <c r="AG26" s="255">
        <f>SUM(AG7:AG25)</f>
        <v>317322</v>
      </c>
      <c r="AH26" s="255">
        <f>SUM(AH7:AH25)</f>
        <v>0</v>
      </c>
      <c r="AI26" s="255">
        <f>SUM(AI7:AI25)</f>
        <v>757936</v>
      </c>
      <c r="AJ26" s="255">
        <f>SUM(AJ7:AJ25)</f>
        <v>0</v>
      </c>
      <c r="AK26" s="255">
        <f>SUM(AK7:AK25)</f>
        <v>1119519</v>
      </c>
      <c r="AL26" s="255">
        <f t="shared" si="2"/>
        <v>2194777</v>
      </c>
    </row>
    <row r="27" spans="1:38" ht="15" customHeight="1" x14ac:dyDescent="0.35">
      <c r="A27" s="293"/>
      <c r="B27" s="1172"/>
      <c r="C27" s="1172"/>
      <c r="D27" s="1172"/>
      <c r="E27" s="1172"/>
      <c r="F27" s="1172"/>
      <c r="G27" s="1172"/>
      <c r="H27" s="1172"/>
      <c r="I27" s="1172"/>
      <c r="J27" s="293"/>
      <c r="K27" s="293"/>
      <c r="L27" s="293"/>
      <c r="O27" s="1172"/>
      <c r="P27" s="1172"/>
      <c r="Q27" s="1172"/>
      <c r="R27" s="1172"/>
      <c r="S27" s="1172"/>
      <c r="T27" s="1172"/>
      <c r="U27" s="1172"/>
      <c r="V27" s="1172"/>
      <c r="W27" s="1172"/>
      <c r="X27" s="1172"/>
      <c r="Y27" s="293"/>
      <c r="Z27" s="1172"/>
      <c r="AA27" s="1172"/>
      <c r="AB27" s="1172"/>
    </row>
    <row r="28" spans="1:38" ht="15" hidden="1" customHeight="1" x14ac:dyDescent="0.35">
      <c r="A28" s="293"/>
      <c r="B28" s="83" t="s">
        <v>358</v>
      </c>
      <c r="C28" s="1172"/>
      <c r="D28" s="1172"/>
      <c r="E28" s="1172"/>
      <c r="F28" s="1172"/>
      <c r="G28" s="1172"/>
      <c r="H28" s="1172"/>
      <c r="I28" s="1172"/>
      <c r="J28" s="293"/>
      <c r="K28" s="293"/>
      <c r="L28" s="293"/>
      <c r="O28" s="1172"/>
      <c r="P28" s="1172"/>
      <c r="Q28" s="1172"/>
      <c r="R28" s="1172"/>
      <c r="S28" s="1172"/>
      <c r="T28" s="1172"/>
      <c r="U28" s="1172"/>
      <c r="V28" s="1172"/>
      <c r="W28" s="1172"/>
      <c r="X28" s="1172"/>
      <c r="Y28" s="293"/>
      <c r="Z28" s="1172"/>
      <c r="AA28" s="1172"/>
      <c r="AB28" s="1172"/>
    </row>
    <row r="29" spans="1:38" ht="15" hidden="1" customHeight="1" x14ac:dyDescent="0.35">
      <c r="A29" s="293"/>
      <c r="B29" s="84" t="s">
        <v>359</v>
      </c>
      <c r="C29" s="1172"/>
      <c r="D29" s="1172"/>
      <c r="E29" s="1172"/>
      <c r="F29" s="1172"/>
      <c r="G29" s="1172"/>
      <c r="H29" s="1172"/>
      <c r="I29" s="1172"/>
      <c r="J29" s="293"/>
      <c r="K29" s="293"/>
      <c r="L29" s="293"/>
      <c r="O29" s="1172"/>
      <c r="P29" s="1172"/>
      <c r="Q29" s="1172"/>
      <c r="R29" s="1172"/>
      <c r="S29" s="1172"/>
      <c r="T29" s="1172"/>
      <c r="U29" s="1172"/>
      <c r="V29" s="1172"/>
      <c r="W29" s="1172"/>
      <c r="X29" s="1172"/>
      <c r="Y29" s="293"/>
      <c r="Z29" s="1172"/>
      <c r="AA29" s="1172"/>
      <c r="AB29" s="1172"/>
    </row>
    <row r="30" spans="1:38" ht="15" hidden="1" customHeight="1" x14ac:dyDescent="0.35">
      <c r="A30" s="293"/>
      <c r="B30" s="1477" t="s">
        <v>360</v>
      </c>
      <c r="C30" s="1477"/>
      <c r="D30" s="1477"/>
      <c r="E30" s="1477"/>
      <c r="F30" s="1477"/>
      <c r="G30" s="1477"/>
      <c r="H30" s="1477"/>
      <c r="I30" s="1477"/>
      <c r="J30" s="1477"/>
      <c r="K30" s="1477"/>
      <c r="L30" s="1477"/>
      <c r="M30" s="1477"/>
      <c r="N30" s="1477"/>
      <c r="O30" s="1477"/>
      <c r="P30" s="1477"/>
      <c r="Q30" s="1477"/>
      <c r="R30" s="1477"/>
      <c r="S30" s="1477"/>
      <c r="T30" s="1477"/>
      <c r="U30" s="1477"/>
      <c r="V30" s="1477"/>
      <c r="W30" s="1172"/>
      <c r="X30" s="1172"/>
      <c r="Y30" s="293"/>
      <c r="Z30" s="1172"/>
      <c r="AA30" s="1172"/>
      <c r="AB30" s="1172"/>
    </row>
    <row r="31" spans="1:38" ht="15" hidden="1" customHeight="1" x14ac:dyDescent="0.35">
      <c r="A31" s="293"/>
      <c r="B31" s="1477"/>
      <c r="C31" s="1477"/>
      <c r="D31" s="1477"/>
      <c r="E31" s="1477"/>
      <c r="F31" s="1477"/>
      <c r="G31" s="1477"/>
      <c r="H31" s="1477"/>
      <c r="I31" s="1477"/>
      <c r="J31" s="1477"/>
      <c r="K31" s="1477"/>
      <c r="L31" s="1477"/>
      <c r="M31" s="1477"/>
      <c r="N31" s="1477"/>
      <c r="O31" s="1477"/>
      <c r="P31" s="1477"/>
      <c r="Q31" s="1477"/>
      <c r="R31" s="1477"/>
      <c r="S31" s="1477"/>
      <c r="T31" s="1477"/>
      <c r="U31" s="1477"/>
      <c r="V31" s="1477"/>
      <c r="W31" s="1172"/>
      <c r="X31" s="1172"/>
      <c r="Y31" s="293"/>
      <c r="Z31" s="1172"/>
      <c r="AA31" s="1172"/>
      <c r="AB31" s="1172"/>
    </row>
    <row r="32" spans="1:38" ht="15" hidden="1" customHeight="1" x14ac:dyDescent="0.35">
      <c r="A32" s="293"/>
      <c r="B32" s="1477"/>
      <c r="C32" s="1477"/>
      <c r="D32" s="1477"/>
      <c r="E32" s="1477"/>
      <c r="F32" s="1477"/>
      <c r="G32" s="1477"/>
      <c r="H32" s="1477"/>
      <c r="I32" s="1477"/>
      <c r="J32" s="1477"/>
      <c r="K32" s="1477"/>
      <c r="L32" s="1477"/>
      <c r="M32" s="1477"/>
      <c r="N32" s="1477"/>
      <c r="O32" s="1477"/>
      <c r="P32" s="1477"/>
      <c r="Q32" s="1477"/>
      <c r="R32" s="1477"/>
      <c r="S32" s="1477"/>
      <c r="T32" s="1477"/>
      <c r="U32" s="1477"/>
      <c r="V32" s="1477"/>
      <c r="W32" s="1172"/>
      <c r="X32" s="1172"/>
      <c r="Y32" s="293"/>
      <c r="Z32" s="1172"/>
      <c r="AA32" s="1172"/>
      <c r="AB32" s="1172"/>
    </row>
    <row r="33" spans="1:28" ht="18.75" hidden="1" customHeight="1" x14ac:dyDescent="0.35">
      <c r="A33" s="293"/>
      <c r="B33" s="1477"/>
      <c r="C33" s="1477"/>
      <c r="D33" s="1477"/>
      <c r="E33" s="1477"/>
      <c r="F33" s="1477"/>
      <c r="G33" s="1477"/>
      <c r="H33" s="1477"/>
      <c r="I33" s="1477"/>
      <c r="J33" s="1477"/>
      <c r="K33" s="1477"/>
      <c r="L33" s="1477"/>
      <c r="M33" s="1477"/>
      <c r="N33" s="1477"/>
      <c r="O33" s="1477"/>
      <c r="P33" s="1477"/>
      <c r="Q33" s="1477"/>
      <c r="R33" s="1477"/>
      <c r="S33" s="1477"/>
      <c r="T33" s="1477"/>
      <c r="U33" s="1477"/>
      <c r="V33" s="1477"/>
      <c r="W33" s="1172"/>
      <c r="X33" s="1172"/>
      <c r="Y33" s="293"/>
      <c r="Z33" s="1172"/>
      <c r="AA33" s="1172"/>
      <c r="AB33" s="1172"/>
    </row>
    <row r="34" spans="1:28" ht="15" hidden="1" customHeight="1" x14ac:dyDescent="0.35">
      <c r="A34" s="293"/>
      <c r="B34" s="1181"/>
      <c r="C34" s="1181"/>
      <c r="D34" s="1181"/>
      <c r="E34" s="1181"/>
      <c r="F34" s="1181"/>
      <c r="G34" s="1181"/>
      <c r="H34" s="1181"/>
      <c r="I34" s="1181"/>
      <c r="J34" s="1173"/>
      <c r="K34" s="1173"/>
      <c r="L34" s="1173"/>
      <c r="M34" s="1181"/>
      <c r="N34" s="1181"/>
      <c r="O34" s="1172"/>
      <c r="P34" s="1172"/>
      <c r="Q34" s="1172"/>
      <c r="R34" s="1172"/>
      <c r="S34" s="1172"/>
      <c r="T34" s="1172"/>
      <c r="U34" s="1172"/>
      <c r="V34" s="1172"/>
      <c r="W34" s="1172"/>
      <c r="X34" s="1172"/>
      <c r="Y34" s="293"/>
      <c r="Z34" s="1172"/>
      <c r="AA34" s="1172"/>
      <c r="AB34" s="1172"/>
    </row>
    <row r="35" spans="1:28" ht="15" hidden="1" customHeight="1" x14ac:dyDescent="0.35">
      <c r="A35" s="293"/>
      <c r="B35" s="84" t="s">
        <v>361</v>
      </c>
      <c r="C35" s="1172"/>
      <c r="D35" s="1172"/>
      <c r="E35" s="1172"/>
      <c r="F35" s="1172"/>
      <c r="G35" s="1172"/>
      <c r="H35" s="1172"/>
      <c r="I35" s="1172"/>
      <c r="J35" s="293"/>
      <c r="K35" s="293"/>
      <c r="L35" s="293"/>
      <c r="O35" s="1172"/>
      <c r="P35" s="1172"/>
      <c r="Q35" s="1172"/>
      <c r="R35" s="1172"/>
      <c r="S35" s="1172"/>
      <c r="T35" s="1172"/>
      <c r="U35" s="1172"/>
      <c r="V35" s="1172"/>
      <c r="W35" s="1172"/>
      <c r="X35" s="1172"/>
      <c r="Y35" s="293"/>
      <c r="Z35" s="1172"/>
      <c r="AA35" s="1172"/>
      <c r="AB35" s="1172"/>
    </row>
    <row r="36" spans="1:28" ht="15" hidden="1" customHeight="1" x14ac:dyDescent="0.35">
      <c r="A36" s="293"/>
      <c r="B36" s="1477" t="s">
        <v>362</v>
      </c>
      <c r="C36" s="1477"/>
      <c r="D36" s="1477"/>
      <c r="E36" s="1477"/>
      <c r="F36" s="1477"/>
      <c r="G36" s="1477"/>
      <c r="H36" s="1477"/>
      <c r="I36" s="1477"/>
      <c r="J36" s="1477"/>
      <c r="K36" s="1477"/>
      <c r="L36" s="1477"/>
      <c r="M36" s="1477"/>
      <c r="N36" s="1477"/>
      <c r="O36" s="1477"/>
      <c r="P36" s="1477"/>
      <c r="Q36" s="1477"/>
      <c r="R36" s="1477"/>
      <c r="S36" s="1477"/>
      <c r="T36" s="1477"/>
      <c r="U36" s="1477"/>
      <c r="V36" s="1477"/>
      <c r="W36" s="1172"/>
      <c r="X36" s="1172"/>
      <c r="Y36" s="293"/>
      <c r="Z36" s="1172"/>
      <c r="AA36" s="1172"/>
      <c r="AB36" s="1172"/>
    </row>
    <row r="37" spans="1:28" ht="15" hidden="1" customHeight="1" x14ac:dyDescent="0.35">
      <c r="A37" s="293"/>
      <c r="B37" s="1477"/>
      <c r="C37" s="1477"/>
      <c r="D37" s="1477"/>
      <c r="E37" s="1477"/>
      <c r="F37" s="1477"/>
      <c r="G37" s="1477"/>
      <c r="H37" s="1477"/>
      <c r="I37" s="1477"/>
      <c r="J37" s="1477"/>
      <c r="K37" s="1477"/>
      <c r="L37" s="1477"/>
      <c r="M37" s="1477"/>
      <c r="N37" s="1477"/>
      <c r="O37" s="1477"/>
      <c r="P37" s="1477"/>
      <c r="Q37" s="1477"/>
      <c r="R37" s="1477"/>
      <c r="S37" s="1477"/>
      <c r="T37" s="1477"/>
      <c r="U37" s="1477"/>
      <c r="V37" s="1477"/>
      <c r="W37" s="1172"/>
      <c r="X37" s="1172"/>
      <c r="Y37" s="293"/>
      <c r="Z37" s="1172"/>
      <c r="AA37" s="1172"/>
      <c r="AB37" s="1172"/>
    </row>
    <row r="38" spans="1:28" ht="23.25" hidden="1" customHeight="1" x14ac:dyDescent="0.35">
      <c r="A38" s="293"/>
      <c r="B38" s="1477"/>
      <c r="C38" s="1477"/>
      <c r="D38" s="1477"/>
      <c r="E38" s="1477"/>
      <c r="F38" s="1477"/>
      <c r="G38" s="1477"/>
      <c r="H38" s="1477"/>
      <c r="I38" s="1477"/>
      <c r="J38" s="1477"/>
      <c r="K38" s="1477"/>
      <c r="L38" s="1477"/>
      <c r="M38" s="1477"/>
      <c r="N38" s="1477"/>
      <c r="O38" s="1477"/>
      <c r="P38" s="1477"/>
      <c r="Q38" s="1477"/>
      <c r="R38" s="1477"/>
      <c r="S38" s="1477"/>
      <c r="T38" s="1477"/>
      <c r="U38" s="1477"/>
      <c r="V38" s="1477"/>
      <c r="W38" s="1172"/>
      <c r="X38" s="1172"/>
      <c r="Y38" s="293"/>
      <c r="Z38" s="1172"/>
      <c r="AA38" s="1172"/>
      <c r="AB38" s="1172"/>
    </row>
    <row r="39" spans="1:28" ht="15.5" hidden="1" x14ac:dyDescent="0.35">
      <c r="A39" s="293"/>
      <c r="B39" s="1182"/>
      <c r="C39" s="1182"/>
      <c r="D39" s="1182"/>
      <c r="E39" s="1182"/>
      <c r="F39" s="1182"/>
      <c r="G39" s="1182"/>
      <c r="H39" s="1182"/>
      <c r="I39" s="1182"/>
      <c r="J39" s="1182"/>
      <c r="K39" s="1182"/>
      <c r="L39" s="1182"/>
      <c r="M39" s="1182"/>
      <c r="N39" s="1182"/>
      <c r="O39" s="1172"/>
      <c r="P39" s="1172"/>
      <c r="Q39" s="1172"/>
      <c r="R39" s="1172"/>
      <c r="S39" s="1172"/>
      <c r="T39" s="1172"/>
      <c r="U39" s="1172"/>
      <c r="V39" s="1172"/>
      <c r="W39" s="1172"/>
      <c r="X39" s="1172"/>
      <c r="Y39" s="293"/>
      <c r="Z39" s="1172"/>
      <c r="AA39" s="1172"/>
      <c r="AB39" s="1172"/>
    </row>
    <row r="40" spans="1:28" ht="15.5" hidden="1" x14ac:dyDescent="0.35">
      <c r="A40" s="293"/>
      <c r="B40" s="85" t="s">
        <v>363</v>
      </c>
      <c r="C40" s="1182"/>
      <c r="D40" s="1182"/>
      <c r="E40" s="1182"/>
      <c r="F40" s="1182"/>
      <c r="G40" s="1182"/>
      <c r="H40" s="1182"/>
      <c r="I40" s="1182"/>
      <c r="J40" s="1182"/>
      <c r="K40" s="1182"/>
      <c r="L40" s="1182"/>
      <c r="M40" s="1182"/>
      <c r="N40" s="1182"/>
      <c r="O40" s="1172"/>
      <c r="P40" s="1172"/>
      <c r="Q40" s="1172"/>
      <c r="R40" s="1172"/>
      <c r="S40" s="1172"/>
      <c r="T40" s="1172"/>
      <c r="U40" s="1172"/>
      <c r="V40" s="1172"/>
      <c r="W40" s="1172"/>
      <c r="X40" s="1172"/>
      <c r="Y40" s="293"/>
      <c r="Z40" s="1172"/>
      <c r="AA40" s="1172"/>
      <c r="AB40" s="1172"/>
    </row>
    <row r="41" spans="1:28" ht="15.75" hidden="1" customHeight="1" x14ac:dyDescent="0.35">
      <c r="A41" s="293"/>
      <c r="B41" s="1477" t="s">
        <v>364</v>
      </c>
      <c r="C41" s="1477"/>
      <c r="D41" s="1477"/>
      <c r="E41" s="1477"/>
      <c r="F41" s="1477"/>
      <c r="G41" s="1477"/>
      <c r="H41" s="1477"/>
      <c r="I41" s="1477"/>
      <c r="J41" s="1477"/>
      <c r="K41" s="1477"/>
      <c r="L41" s="1477"/>
      <c r="M41" s="1477"/>
      <c r="N41" s="1477"/>
      <c r="O41" s="1477"/>
      <c r="P41" s="1477"/>
      <c r="Q41" s="1477"/>
      <c r="R41" s="1477"/>
      <c r="S41" s="1477"/>
      <c r="T41" s="1477"/>
      <c r="U41" s="1477"/>
      <c r="V41" s="1477"/>
      <c r="W41" s="1172"/>
      <c r="X41" s="1172"/>
      <c r="Y41" s="293"/>
      <c r="Z41" s="1172"/>
      <c r="AA41" s="1172"/>
      <c r="AB41" s="1172"/>
    </row>
    <row r="42" spans="1:28" ht="15.5" hidden="1" x14ac:dyDescent="0.35">
      <c r="A42" s="293"/>
      <c r="B42" s="1477"/>
      <c r="C42" s="1477"/>
      <c r="D42" s="1477"/>
      <c r="E42" s="1477"/>
      <c r="F42" s="1477"/>
      <c r="G42" s="1477"/>
      <c r="H42" s="1477"/>
      <c r="I42" s="1477"/>
      <c r="J42" s="1477"/>
      <c r="K42" s="1477"/>
      <c r="L42" s="1477"/>
      <c r="M42" s="1477"/>
      <c r="N42" s="1477"/>
      <c r="O42" s="1477"/>
      <c r="P42" s="1477"/>
      <c r="Q42" s="1477"/>
      <c r="R42" s="1477"/>
      <c r="S42" s="1477"/>
      <c r="T42" s="1477"/>
      <c r="U42" s="1477"/>
      <c r="V42" s="1477"/>
      <c r="W42" s="1172"/>
      <c r="X42" s="1172"/>
      <c r="Y42" s="293"/>
      <c r="Z42" s="1172"/>
      <c r="AA42" s="1172"/>
      <c r="AB42" s="1172"/>
    </row>
    <row r="43" spans="1:28" ht="15.5" hidden="1" x14ac:dyDescent="0.35">
      <c r="A43" s="293"/>
      <c r="B43" s="1477"/>
      <c r="C43" s="1477"/>
      <c r="D43" s="1477"/>
      <c r="E43" s="1477"/>
      <c r="F43" s="1477"/>
      <c r="G43" s="1477"/>
      <c r="H43" s="1477"/>
      <c r="I43" s="1477"/>
      <c r="J43" s="1477"/>
      <c r="K43" s="1477"/>
      <c r="L43" s="1477"/>
      <c r="M43" s="1477"/>
      <c r="N43" s="1477"/>
      <c r="O43" s="1477"/>
      <c r="P43" s="1477"/>
      <c r="Q43" s="1477"/>
      <c r="R43" s="1477"/>
      <c r="S43" s="1477"/>
      <c r="T43" s="1477"/>
      <c r="U43" s="1477"/>
      <c r="V43" s="1477"/>
      <c r="W43" s="1172"/>
      <c r="X43" s="1172"/>
      <c r="Y43" s="293"/>
      <c r="Z43" s="1172"/>
      <c r="AA43" s="1172"/>
      <c r="AB43" s="1172"/>
    </row>
    <row r="44" spans="1:28" ht="15.5" hidden="1" x14ac:dyDescent="0.35">
      <c r="A44" s="293"/>
      <c r="B44" s="1477"/>
      <c r="C44" s="1477"/>
      <c r="D44" s="1477"/>
      <c r="E44" s="1477"/>
      <c r="F44" s="1477"/>
      <c r="G44" s="1477"/>
      <c r="H44" s="1477"/>
      <c r="I44" s="1477"/>
      <c r="J44" s="1477"/>
      <c r="K44" s="1477"/>
      <c r="L44" s="1477"/>
      <c r="M44" s="1477"/>
      <c r="N44" s="1477"/>
      <c r="O44" s="1477"/>
      <c r="P44" s="1477"/>
      <c r="Q44" s="1477"/>
      <c r="R44" s="1477"/>
      <c r="S44" s="1477"/>
      <c r="T44" s="1477"/>
      <c r="U44" s="1477"/>
      <c r="V44" s="1477"/>
      <c r="W44" s="1172"/>
      <c r="X44" s="1172"/>
      <c r="Y44" s="293"/>
      <c r="Z44" s="1172"/>
      <c r="AA44" s="1172"/>
      <c r="AB44" s="1172"/>
    </row>
    <row r="45" spans="1:28" ht="15" hidden="1" customHeight="1" x14ac:dyDescent="0.35">
      <c r="A45" s="293"/>
      <c r="B45" s="1182"/>
      <c r="C45" s="1182"/>
      <c r="D45" s="1182"/>
      <c r="E45" s="1182"/>
      <c r="F45" s="1182"/>
      <c r="G45" s="1182"/>
      <c r="H45" s="1182"/>
      <c r="I45" s="1182"/>
      <c r="J45" s="1182"/>
      <c r="K45" s="1182"/>
      <c r="L45" s="1182"/>
      <c r="M45" s="1182"/>
      <c r="N45" s="1182"/>
      <c r="O45" s="1172"/>
      <c r="P45" s="1172"/>
      <c r="Q45" s="1172"/>
      <c r="R45" s="1172"/>
      <c r="S45" s="1172"/>
      <c r="T45" s="1172"/>
      <c r="U45" s="1172"/>
      <c r="V45" s="1172"/>
      <c r="W45" s="1172"/>
      <c r="X45" s="1172"/>
      <c r="Y45" s="293"/>
      <c r="Z45" s="1172"/>
      <c r="AA45" s="1172"/>
      <c r="AB45" s="1172"/>
    </row>
    <row r="46" spans="1:28" ht="15" hidden="1" customHeight="1" x14ac:dyDescent="0.35">
      <c r="A46" s="293"/>
      <c r="B46" s="1477" t="s">
        <v>365</v>
      </c>
      <c r="C46" s="1477"/>
      <c r="D46" s="1477"/>
      <c r="E46" s="1477"/>
      <c r="F46" s="1477"/>
      <c r="G46" s="1477"/>
      <c r="H46" s="1477"/>
      <c r="I46" s="1477"/>
      <c r="J46" s="1477"/>
      <c r="K46" s="1477"/>
      <c r="L46" s="1477"/>
      <c r="M46" s="1477"/>
      <c r="N46" s="1477"/>
      <c r="O46" s="1477"/>
      <c r="P46" s="1477"/>
      <c r="Q46" s="1477"/>
      <c r="R46" s="1477"/>
      <c r="S46" s="1477"/>
      <c r="T46" s="1477"/>
      <c r="U46" s="1477"/>
      <c r="V46" s="1477"/>
      <c r="W46" s="1172"/>
      <c r="X46" s="1172"/>
      <c r="Y46" s="293"/>
      <c r="Z46" s="1172"/>
      <c r="AA46" s="1172"/>
      <c r="AB46" s="1172"/>
    </row>
    <row r="47" spans="1:28" ht="15.5" hidden="1" x14ac:dyDescent="0.35">
      <c r="A47" s="293"/>
      <c r="B47" s="1477"/>
      <c r="C47" s="1477"/>
      <c r="D47" s="1477"/>
      <c r="E47" s="1477"/>
      <c r="F47" s="1477"/>
      <c r="G47" s="1477"/>
      <c r="H47" s="1477"/>
      <c r="I47" s="1477"/>
      <c r="J47" s="1477"/>
      <c r="K47" s="1477"/>
      <c r="L47" s="1477"/>
      <c r="M47" s="1477"/>
      <c r="N47" s="1477"/>
      <c r="O47" s="1477"/>
      <c r="P47" s="1477"/>
      <c r="Q47" s="1477"/>
      <c r="R47" s="1477"/>
      <c r="S47" s="1477"/>
      <c r="T47" s="1477"/>
      <c r="U47" s="1477"/>
      <c r="V47" s="1477"/>
      <c r="W47" s="1172"/>
      <c r="X47" s="1172"/>
      <c r="Y47" s="293"/>
      <c r="Z47" s="1172"/>
      <c r="AA47" s="1172"/>
      <c r="AB47" s="1172"/>
    </row>
    <row r="48" spans="1:28" ht="15" hidden="1" customHeight="1" x14ac:dyDescent="0.35">
      <c r="A48" s="293"/>
      <c r="B48" s="1477" t="s">
        <v>366</v>
      </c>
      <c r="C48" s="1477"/>
      <c r="D48" s="1477"/>
      <c r="E48" s="1477"/>
      <c r="F48" s="1477"/>
      <c r="G48" s="1477"/>
      <c r="H48" s="1477"/>
      <c r="I48" s="1477"/>
      <c r="J48" s="1477"/>
      <c r="K48" s="1477"/>
      <c r="L48" s="1477"/>
      <c r="M48" s="1477"/>
      <c r="N48" s="1477"/>
      <c r="O48" s="1477"/>
      <c r="P48" s="1477"/>
      <c r="Q48" s="1477"/>
      <c r="R48" s="1477"/>
      <c r="S48" s="1477"/>
      <c r="T48" s="1477"/>
      <c r="U48" s="1477"/>
      <c r="V48" s="1477"/>
      <c r="W48" s="1172"/>
      <c r="X48" s="1172"/>
      <c r="Y48" s="293"/>
      <c r="Z48" s="1172"/>
      <c r="AA48" s="1172"/>
      <c r="AB48" s="1172"/>
    </row>
    <row r="49" spans="1:39" ht="37.5" hidden="1" customHeight="1" x14ac:dyDescent="0.35">
      <c r="A49" s="293"/>
      <c r="B49" s="1477"/>
      <c r="C49" s="1477"/>
      <c r="D49" s="1477"/>
      <c r="E49" s="1477"/>
      <c r="F49" s="1477"/>
      <c r="G49" s="1477"/>
      <c r="H49" s="1477"/>
      <c r="I49" s="1477"/>
      <c r="J49" s="1477"/>
      <c r="K49" s="1477"/>
      <c r="L49" s="1477"/>
      <c r="M49" s="1477"/>
      <c r="N49" s="1477"/>
      <c r="O49" s="1477"/>
      <c r="P49" s="1477"/>
      <c r="Q49" s="1477"/>
      <c r="R49" s="1477"/>
      <c r="S49" s="1477"/>
      <c r="T49" s="1477"/>
      <c r="U49" s="1477"/>
      <c r="V49" s="1477"/>
      <c r="W49" s="1172"/>
      <c r="X49" s="1172"/>
      <c r="Y49" s="293"/>
      <c r="Z49" s="1172"/>
      <c r="AA49" s="1172"/>
      <c r="AB49" s="1172"/>
    </row>
    <row r="50" spans="1:39" ht="15" hidden="1" customHeight="1" x14ac:dyDescent="0.35">
      <c r="A50" s="293"/>
      <c r="B50" s="1172"/>
      <c r="C50" s="1172"/>
      <c r="D50" s="1172"/>
      <c r="E50" s="1172"/>
      <c r="F50" s="1172"/>
      <c r="G50" s="1172"/>
      <c r="H50" s="1172"/>
      <c r="I50" s="1172"/>
      <c r="J50" s="293"/>
      <c r="K50" s="293"/>
      <c r="L50" s="293"/>
      <c r="O50" s="1172"/>
      <c r="P50" s="1172"/>
      <c r="Q50" s="1172"/>
      <c r="R50" s="1172"/>
      <c r="S50" s="1172"/>
      <c r="T50" s="1172"/>
      <c r="U50" s="1172"/>
      <c r="V50" s="1172"/>
      <c r="W50" s="1172"/>
      <c r="X50" s="1172"/>
      <c r="Y50" s="293"/>
      <c r="Z50" s="1172"/>
      <c r="AA50" s="1172"/>
      <c r="AB50" s="1172"/>
    </row>
    <row r="51" spans="1:39" ht="15" hidden="1" customHeight="1" x14ac:dyDescent="0.35">
      <c r="A51" s="293"/>
      <c r="B51" s="84" t="s">
        <v>11</v>
      </c>
      <c r="C51" s="1172"/>
      <c r="D51" s="1172"/>
      <c r="E51" s="1172"/>
      <c r="F51" s="88" t="s">
        <v>367</v>
      </c>
      <c r="G51" s="88" t="s">
        <v>368</v>
      </c>
      <c r="H51" s="1172"/>
      <c r="I51" s="1172"/>
      <c r="J51" s="293"/>
      <c r="K51" s="293"/>
      <c r="L51" s="293"/>
      <c r="O51" s="1172"/>
      <c r="P51" s="1172"/>
      <c r="Q51" s="1172"/>
      <c r="R51" s="1172"/>
      <c r="S51" s="1172"/>
      <c r="T51" s="1172"/>
      <c r="U51" s="1172"/>
      <c r="V51" s="1172"/>
      <c r="W51" s="1172"/>
      <c r="X51" s="1172"/>
      <c r="Y51" s="293"/>
      <c r="Z51" s="1172"/>
      <c r="AA51" s="1172"/>
      <c r="AB51" s="1172"/>
    </row>
    <row r="52" spans="1:39" ht="15" hidden="1" customHeight="1" x14ac:dyDescent="0.35">
      <c r="A52" s="293">
        <v>9257021</v>
      </c>
      <c r="B52" s="1460" t="s">
        <v>344</v>
      </c>
      <c r="C52" s="1461"/>
      <c r="D52" s="1461"/>
      <c r="E52" s="1476"/>
      <c r="F52" s="255">
        <v>274420</v>
      </c>
      <c r="G52" s="255">
        <f>F52*(3/12)</f>
        <v>68605</v>
      </c>
      <c r="H52" s="1172"/>
      <c r="I52" s="1172"/>
      <c r="J52" s="293" t="s">
        <v>369</v>
      </c>
      <c r="K52" s="293"/>
      <c r="L52" s="293"/>
      <c r="O52" s="1172"/>
      <c r="P52" s="1172"/>
      <c r="Q52" s="1172"/>
      <c r="R52" s="1172"/>
      <c r="S52" s="1172"/>
      <c r="T52" s="1172"/>
      <c r="U52" s="1172"/>
      <c r="V52" s="1172"/>
      <c r="W52" s="1172"/>
      <c r="X52" s="1172"/>
      <c r="Y52" s="293"/>
      <c r="Z52" s="1172"/>
      <c r="AA52" s="1172"/>
      <c r="AB52" s="1172"/>
    </row>
    <row r="53" spans="1:39" ht="15" hidden="1" customHeight="1" x14ac:dyDescent="0.35">
      <c r="A53" s="293">
        <v>9257016</v>
      </c>
      <c r="B53" s="1460" t="s">
        <v>349</v>
      </c>
      <c r="C53" s="1461"/>
      <c r="D53" s="1461"/>
      <c r="E53" s="1476"/>
      <c r="F53" s="255">
        <v>582568</v>
      </c>
      <c r="G53" s="255">
        <f>F53</f>
        <v>582568</v>
      </c>
      <c r="H53" s="1172"/>
      <c r="I53" s="1172"/>
      <c r="J53" s="293"/>
      <c r="K53" s="293"/>
      <c r="L53" s="293"/>
      <c r="O53" s="1172"/>
      <c r="P53" s="1172"/>
      <c r="Q53" s="1172"/>
      <c r="R53" s="1172"/>
      <c r="S53" s="1172"/>
      <c r="T53" s="1172"/>
      <c r="U53" s="1172"/>
      <c r="V53" s="1172"/>
      <c r="W53" s="1172"/>
      <c r="X53" s="1172"/>
      <c r="Y53" s="293"/>
      <c r="Z53" s="1172"/>
      <c r="AA53" s="1172"/>
      <c r="AB53" s="1172"/>
    </row>
    <row r="54" spans="1:39" ht="15" hidden="1" customHeight="1" x14ac:dyDescent="0.35">
      <c r="A54" s="293">
        <v>9257025</v>
      </c>
      <c r="B54" s="1460" t="s">
        <v>351</v>
      </c>
      <c r="C54" s="1461"/>
      <c r="D54" s="1461"/>
      <c r="E54" s="1476"/>
      <c r="F54" s="255">
        <v>327644</v>
      </c>
      <c r="G54" s="255">
        <f>F54</f>
        <v>327644</v>
      </c>
      <c r="H54" s="1172"/>
      <c r="I54" s="1172"/>
      <c r="J54" s="293"/>
      <c r="K54" s="293"/>
      <c r="L54" s="293"/>
      <c r="O54" s="1172"/>
      <c r="P54" s="1172"/>
      <c r="Q54" s="1172"/>
      <c r="R54" s="1172"/>
      <c r="S54" s="1172"/>
      <c r="T54" s="1172"/>
      <c r="U54" s="1172"/>
      <c r="V54" s="1172"/>
      <c r="W54" s="1172"/>
      <c r="X54" s="1172"/>
      <c r="Y54" s="293"/>
      <c r="Z54" s="1172"/>
      <c r="AA54" s="1172"/>
      <c r="AB54" s="1172"/>
    </row>
    <row r="55" spans="1:39" ht="15" hidden="1" customHeight="1" x14ac:dyDescent="0.35">
      <c r="A55" s="293"/>
      <c r="B55" s="1172"/>
      <c r="C55" s="1172"/>
      <c r="D55" s="1172"/>
      <c r="E55" s="1172"/>
      <c r="F55" s="87">
        <f>SUM(F52:F54)</f>
        <v>1184632</v>
      </c>
      <c r="G55" s="89">
        <f>SUM(G52:G54)</f>
        <v>978817</v>
      </c>
      <c r="H55" s="1172" t="s">
        <v>370</v>
      </c>
      <c r="I55" s="1172"/>
      <c r="J55" s="293"/>
      <c r="K55" s="293"/>
      <c r="L55" s="293"/>
      <c r="O55" s="1172"/>
      <c r="P55" s="1172"/>
      <c r="Q55" s="1172"/>
      <c r="R55" s="1172"/>
      <c r="S55" s="1172"/>
      <c r="T55" s="1172"/>
      <c r="U55" s="1172"/>
      <c r="V55" s="1172"/>
      <c r="W55" s="1172"/>
      <c r="X55" s="1172"/>
      <c r="Y55" s="293"/>
      <c r="Z55" s="1172"/>
      <c r="AA55" s="1172"/>
      <c r="AB55" s="1172"/>
    </row>
    <row r="56" spans="1:39" ht="15" hidden="1" customHeight="1" x14ac:dyDescent="0.35">
      <c r="A56" s="293"/>
      <c r="B56" s="1172"/>
      <c r="C56" s="1172"/>
      <c r="D56" s="1172"/>
      <c r="E56" s="1172"/>
      <c r="F56" s="1183"/>
      <c r="G56" s="1183"/>
      <c r="H56" s="1172"/>
      <c r="I56" s="1172"/>
      <c r="J56" s="293"/>
      <c r="K56" s="293"/>
      <c r="L56" s="293"/>
      <c r="O56" s="1172"/>
      <c r="P56" s="1172"/>
      <c r="Q56" s="1172"/>
      <c r="R56" s="1172"/>
      <c r="S56" s="1172"/>
      <c r="T56" s="1172"/>
      <c r="U56" s="1172"/>
      <c r="V56" s="1172"/>
      <c r="W56" s="1172"/>
      <c r="X56" s="1172"/>
      <c r="Y56" s="293"/>
      <c r="Z56" s="1172"/>
      <c r="AA56" s="1172"/>
      <c r="AB56" s="1172"/>
    </row>
    <row r="57" spans="1:39" ht="15" hidden="1" customHeight="1" x14ac:dyDescent="0.35">
      <c r="A57" s="293"/>
      <c r="B57" s="1172" t="s">
        <v>371</v>
      </c>
      <c r="C57" s="1172"/>
      <c r="D57" s="1172"/>
      <c r="E57" s="1172"/>
      <c r="F57" s="1172"/>
      <c r="G57" s="1172"/>
      <c r="H57" s="1172"/>
      <c r="I57" s="1172"/>
      <c r="J57" s="293"/>
      <c r="K57" s="293"/>
      <c r="L57" s="293"/>
      <c r="O57" s="1172"/>
      <c r="P57" s="1172"/>
      <c r="Q57" s="1172"/>
      <c r="R57" s="1172"/>
      <c r="S57" s="1172"/>
      <c r="T57" s="1172"/>
      <c r="U57" s="1172"/>
      <c r="V57" s="1172"/>
      <c r="W57" s="1172"/>
      <c r="X57" s="1172"/>
      <c r="Y57" s="293"/>
      <c r="Z57" s="1172"/>
      <c r="AA57" s="1172"/>
      <c r="AB57" s="1172"/>
    </row>
    <row r="58" spans="1:39" ht="15" hidden="1" customHeight="1" x14ac:dyDescent="0.35">
      <c r="A58" s="293"/>
      <c r="B58" s="1172"/>
      <c r="C58" s="1172"/>
      <c r="D58" s="1172"/>
      <c r="E58" s="1172"/>
      <c r="F58" s="1172"/>
      <c r="G58" s="1172"/>
      <c r="H58" s="1172"/>
      <c r="I58" s="1172"/>
      <c r="J58" s="293"/>
      <c r="K58" s="293"/>
      <c r="L58" s="293"/>
      <c r="O58" s="1172"/>
      <c r="P58" s="1172"/>
      <c r="Q58" s="1172"/>
      <c r="R58" s="1172"/>
      <c r="S58" s="1172"/>
      <c r="T58" s="1172"/>
      <c r="U58" s="1172"/>
      <c r="V58" s="1172"/>
      <c r="W58" s="1172"/>
      <c r="X58" s="1172"/>
      <c r="Y58" s="293"/>
      <c r="Z58" s="1172"/>
      <c r="AA58" s="1172"/>
      <c r="AB58" s="1172"/>
    </row>
    <row r="59" spans="1:39" ht="15" customHeight="1" x14ac:dyDescent="0.35">
      <c r="A59" s="293"/>
      <c r="B59" s="1172"/>
      <c r="C59" s="1172"/>
      <c r="D59" s="1172"/>
      <c r="E59" s="1172"/>
      <c r="F59" s="1172"/>
      <c r="G59" s="1172"/>
      <c r="H59" s="1172"/>
      <c r="I59" s="1172"/>
      <c r="J59" s="293"/>
      <c r="K59" s="293"/>
      <c r="L59" s="293"/>
      <c r="O59" s="1172"/>
      <c r="P59" s="1172"/>
      <c r="Q59" s="1172"/>
      <c r="R59" s="1172"/>
      <c r="S59" s="1172"/>
      <c r="T59" s="1172"/>
      <c r="U59" s="1172"/>
      <c r="V59" s="1172"/>
      <c r="W59" s="1172"/>
      <c r="X59" s="1172"/>
      <c r="Y59" s="293"/>
      <c r="Z59" s="293" t="s">
        <v>207</v>
      </c>
      <c r="AA59" s="1184">
        <f>L26-AA26</f>
        <v>260000</v>
      </c>
      <c r="AB59" s="1184">
        <f>Q26-AB26</f>
        <v>111962.66666666666</v>
      </c>
      <c r="AC59" s="1184">
        <f>206000-AC26</f>
        <v>77249.999999999971</v>
      </c>
      <c r="AD59" s="1184" t="s">
        <v>207</v>
      </c>
      <c r="AE59" s="1183"/>
      <c r="AG59" s="292" t="s">
        <v>207</v>
      </c>
      <c r="AH59" s="292" t="s">
        <v>207</v>
      </c>
      <c r="AI59" s="292" t="s">
        <v>207</v>
      </c>
      <c r="AJ59" s="292" t="s">
        <v>207</v>
      </c>
      <c r="AK59" s="292" t="s">
        <v>207</v>
      </c>
      <c r="AL59" s="292" t="s">
        <v>207</v>
      </c>
      <c r="AM59" s="293"/>
    </row>
    <row r="60" spans="1:39" ht="15" customHeight="1" x14ac:dyDescent="0.35">
      <c r="A60" s="293"/>
      <c r="B60" s="1172"/>
      <c r="C60" s="1172"/>
      <c r="D60" s="1172"/>
      <c r="E60" s="1172"/>
      <c r="F60" s="1172"/>
      <c r="G60" s="1172"/>
      <c r="H60" s="1172"/>
      <c r="I60" s="1172"/>
      <c r="J60" s="293"/>
      <c r="K60" s="293"/>
      <c r="L60" s="293"/>
      <c r="O60" s="1172"/>
      <c r="P60" s="1172"/>
      <c r="Q60" s="1172"/>
      <c r="R60" s="1172"/>
      <c r="S60" s="1172"/>
      <c r="T60" s="1172"/>
      <c r="U60" s="1172"/>
      <c r="V60" s="1172"/>
      <c r="W60" s="1172"/>
      <c r="X60" s="1172"/>
      <c r="Y60" s="293"/>
      <c r="Z60" s="1172"/>
      <c r="AA60" s="1172"/>
      <c r="AB60" s="1172"/>
      <c r="AC60" s="1184"/>
      <c r="AD60" s="1183"/>
      <c r="AE60" s="1183"/>
      <c r="AG60" s="293"/>
      <c r="AH60" s="293"/>
      <c r="AI60" s="293"/>
      <c r="AJ60" s="293"/>
      <c r="AK60" s="293"/>
      <c r="AL60" s="293"/>
      <c r="AM60" s="293"/>
    </row>
    <row r="61" spans="1:39" ht="15" customHeight="1" x14ac:dyDescent="0.35">
      <c r="A61" s="293"/>
      <c r="B61" s="1172"/>
      <c r="C61" s="1172"/>
      <c r="D61" s="1172"/>
      <c r="E61" s="1172"/>
      <c r="F61" s="1172"/>
      <c r="G61" s="1172"/>
      <c r="H61" s="1172"/>
      <c r="I61" s="1172"/>
      <c r="J61" s="293"/>
      <c r="K61" s="293"/>
      <c r="L61" s="293"/>
      <c r="O61" s="1172"/>
      <c r="P61" s="1172"/>
      <c r="Q61" s="1172"/>
      <c r="R61" s="1172"/>
      <c r="S61" s="1172"/>
      <c r="T61" s="1172"/>
      <c r="U61" s="1172"/>
      <c r="V61" s="1172"/>
      <c r="W61" s="1172"/>
      <c r="X61" s="1172"/>
      <c r="Y61" s="293"/>
      <c r="Z61" s="1172"/>
      <c r="AA61" s="293" t="s">
        <v>207</v>
      </c>
      <c r="AB61" s="293" t="s">
        <v>207</v>
      </c>
      <c r="AC61" s="293" t="s">
        <v>207</v>
      </c>
      <c r="AD61" s="1183"/>
      <c r="AE61" s="1183"/>
      <c r="AG61" s="293"/>
      <c r="AH61" s="292" t="s">
        <v>372</v>
      </c>
      <c r="AI61" s="294">
        <f>SUM(AA64:AC64)</f>
        <v>757936</v>
      </c>
      <c r="AJ61" s="292"/>
      <c r="AK61" s="292" t="s">
        <v>3</v>
      </c>
      <c r="AL61" s="294">
        <f>AL26-AE64</f>
        <v>209307</v>
      </c>
      <c r="AM61" s="293"/>
    </row>
    <row r="62" spans="1:39" ht="15" customHeight="1" x14ac:dyDescent="0.35">
      <c r="A62" s="293"/>
      <c r="B62" s="1172"/>
      <c r="C62" s="1172"/>
      <c r="D62" s="1172"/>
      <c r="E62" s="1172"/>
      <c r="F62" s="1172"/>
      <c r="G62" s="1172"/>
      <c r="H62" s="1172"/>
      <c r="I62" s="1172"/>
      <c r="J62" s="293"/>
      <c r="K62" s="293"/>
      <c r="L62" s="293"/>
      <c r="O62" s="1172"/>
      <c r="P62" s="1172"/>
      <c r="Q62" s="1172"/>
      <c r="R62" s="1172"/>
      <c r="S62" s="1172"/>
      <c r="T62" s="1172"/>
      <c r="U62" s="1172"/>
      <c r="V62" s="1172"/>
      <c r="W62" s="1172"/>
      <c r="X62" s="1172"/>
      <c r="Y62" s="293"/>
      <c r="Z62" s="1172"/>
      <c r="AA62" s="1183">
        <f>((L18+L19+L23+L24+L25)*(7/12))+L11</f>
        <v>235000</v>
      </c>
      <c r="AB62" s="1184">
        <f>Q26*(7/12)</f>
        <v>111962.66666666667</v>
      </c>
      <c r="AC62" s="1184">
        <f>(7/12)*206000</f>
        <v>120166.66666666667</v>
      </c>
      <c r="AD62" s="1183"/>
      <c r="AE62" s="1183"/>
      <c r="AG62" s="293"/>
      <c r="AH62" s="292"/>
      <c r="AI62" s="292" t="s">
        <v>207</v>
      </c>
      <c r="AJ62" s="292"/>
      <c r="AK62" s="1475" t="s">
        <v>373</v>
      </c>
      <c r="AL62" s="1475"/>
      <c r="AM62" s="293"/>
    </row>
    <row r="63" spans="1:39" ht="15" customHeight="1" x14ac:dyDescent="0.35">
      <c r="A63" s="293"/>
      <c r="B63" s="1172"/>
      <c r="C63" s="1172"/>
      <c r="D63" s="1172"/>
      <c r="E63" s="1172"/>
      <c r="F63" s="1172"/>
      <c r="G63" s="1172"/>
      <c r="H63" s="1172"/>
      <c r="I63" s="1172"/>
      <c r="J63" s="293"/>
      <c r="K63" s="293"/>
      <c r="L63" s="293"/>
      <c r="O63" s="1172"/>
      <c r="P63" s="1172"/>
      <c r="Q63" s="1172"/>
      <c r="R63" s="1172"/>
      <c r="S63" s="1172"/>
      <c r="T63" s="1172"/>
      <c r="U63" s="1172"/>
      <c r="V63" s="1172"/>
      <c r="W63" s="1172"/>
      <c r="X63" s="1172"/>
      <c r="Y63" s="293"/>
      <c r="Z63" s="1172"/>
      <c r="AA63" s="1172"/>
      <c r="AB63" s="1172"/>
      <c r="AC63" s="1183"/>
      <c r="AD63" s="1183"/>
      <c r="AE63" s="1183"/>
      <c r="AG63" s="293"/>
      <c r="AH63" s="292"/>
      <c r="AI63" s="292"/>
      <c r="AJ63" s="292"/>
      <c r="AK63" s="1475"/>
      <c r="AL63" s="1475"/>
      <c r="AM63" s="293"/>
    </row>
    <row r="64" spans="1:39" ht="12" customHeight="1" x14ac:dyDescent="0.35">
      <c r="A64" s="293"/>
      <c r="B64" s="1172"/>
      <c r="C64" s="1172"/>
      <c r="D64" s="1172"/>
      <c r="E64" s="1172"/>
      <c r="F64" s="1172"/>
      <c r="G64" s="1172"/>
      <c r="H64" s="1172"/>
      <c r="I64" s="1172"/>
      <c r="J64" s="293"/>
      <c r="K64" s="293"/>
      <c r="L64" s="293"/>
      <c r="O64" s="1172"/>
      <c r="P64" s="1172"/>
      <c r="Q64" s="1172"/>
      <c r="R64" s="1172"/>
      <c r="S64" s="1172"/>
      <c r="T64" s="1172"/>
      <c r="U64" s="1172"/>
      <c r="V64" s="1172"/>
      <c r="W64" s="1172"/>
      <c r="X64" s="1172"/>
      <c r="Y64" s="293"/>
      <c r="Z64" s="1183">
        <f>I26</f>
        <v>317322</v>
      </c>
      <c r="AA64" s="1183">
        <f>L26</f>
        <v>360000</v>
      </c>
      <c r="AB64" s="1183">
        <f>Q26</f>
        <v>191936</v>
      </c>
      <c r="AC64" s="1184">
        <f>206000</f>
        <v>206000</v>
      </c>
      <c r="AD64" s="1184">
        <f>U26</f>
        <v>910212</v>
      </c>
      <c r="AE64" s="1184">
        <f>SUM(Z64:AD64)</f>
        <v>1985470</v>
      </c>
      <c r="AG64" s="293"/>
      <c r="AH64" s="292"/>
      <c r="AI64" s="292"/>
      <c r="AJ64" s="292"/>
      <c r="AK64" s="1475"/>
      <c r="AL64" s="1475"/>
      <c r="AM64" s="293"/>
    </row>
    <row r="65" spans="2:38" s="79" customFormat="1" ht="12" customHeight="1" x14ac:dyDescent="0.35">
      <c r="B65" s="159"/>
      <c r="C65" s="1172"/>
      <c r="D65" s="1172"/>
      <c r="E65" s="1172"/>
      <c r="F65" s="1172"/>
      <c r="G65" s="1172"/>
      <c r="H65" s="1172"/>
      <c r="I65" s="1172"/>
      <c r="J65" s="293"/>
      <c r="K65" s="293"/>
      <c r="L65" s="293"/>
      <c r="O65" s="1172"/>
      <c r="P65" s="1172"/>
      <c r="Q65" s="1172"/>
      <c r="R65" s="1172"/>
      <c r="S65" s="1172"/>
      <c r="T65" s="1172"/>
      <c r="U65" s="1172"/>
      <c r="V65" s="1172"/>
      <c r="W65" s="1172"/>
      <c r="X65" s="1172"/>
      <c r="Y65" s="293"/>
      <c r="Z65" s="1172"/>
      <c r="AA65" s="1172"/>
      <c r="AB65" s="1172"/>
      <c r="AC65" s="1184"/>
      <c r="AD65" s="1184"/>
      <c r="AE65" s="1184"/>
    </row>
    <row r="66" spans="2:38" s="79" customFormat="1" ht="12" customHeight="1" x14ac:dyDescent="0.35">
      <c r="B66" s="1172"/>
      <c r="C66" s="1172"/>
      <c r="D66" s="1172"/>
      <c r="E66" s="1185" t="s">
        <v>374</v>
      </c>
      <c r="F66" s="1172"/>
      <c r="G66" s="1172"/>
      <c r="H66" s="1172"/>
      <c r="I66" s="1172"/>
      <c r="J66" s="293"/>
      <c r="K66" s="293"/>
      <c r="L66" s="293"/>
      <c r="O66" s="1172"/>
      <c r="P66" s="1172"/>
      <c r="Q66" s="1172"/>
      <c r="R66" s="1172"/>
      <c r="S66" s="1172"/>
      <c r="T66" s="1172"/>
      <c r="U66" s="1172"/>
      <c r="V66" s="1172"/>
      <c r="W66" s="1172"/>
      <c r="X66" s="1172"/>
      <c r="Y66" s="293"/>
      <c r="Z66" s="1183">
        <f>Z26</f>
        <v>317322</v>
      </c>
      <c r="AA66" s="1172"/>
      <c r="AB66" s="1172"/>
      <c r="AC66" s="1184"/>
      <c r="AD66" s="1184">
        <f>AD26</f>
        <v>910212</v>
      </c>
      <c r="AE66" s="1184"/>
      <c r="AL66" s="292" t="s">
        <v>375</v>
      </c>
    </row>
    <row r="67" spans="2:38" s="79" customFormat="1" ht="12" customHeight="1" x14ac:dyDescent="0.35">
      <c r="B67" s="1172"/>
      <c r="C67" s="1172"/>
      <c r="D67" s="1172"/>
      <c r="E67" s="1172"/>
      <c r="F67" s="1172"/>
      <c r="G67" s="1172"/>
      <c r="H67" s="1172"/>
      <c r="I67" s="1172"/>
      <c r="J67" s="293"/>
      <c r="K67" s="293"/>
      <c r="L67" s="293"/>
      <c r="O67" s="1172"/>
      <c r="P67" s="1172"/>
      <c r="Q67" s="1172"/>
      <c r="R67" s="1172"/>
      <c r="S67" s="1172"/>
      <c r="T67" s="1172"/>
      <c r="U67" s="1172"/>
      <c r="V67" s="1172"/>
      <c r="W67" s="1172"/>
      <c r="X67" s="1172"/>
      <c r="Y67" s="293"/>
      <c r="Z67" s="1172"/>
      <c r="AA67" s="1172"/>
      <c r="AB67" s="1172"/>
      <c r="AL67" s="292" t="s">
        <v>376</v>
      </c>
    </row>
  </sheetData>
  <mergeCells count="61">
    <mergeCell ref="AK62:AL64"/>
    <mergeCell ref="AK4:AK6"/>
    <mergeCell ref="AL4:AL6"/>
    <mergeCell ref="B53:E53"/>
    <mergeCell ref="B54:E54"/>
    <mergeCell ref="AG4:AG6"/>
    <mergeCell ref="AH4:AH6"/>
    <mergeCell ref="AI4:AI6"/>
    <mergeCell ref="AJ4:AJ6"/>
    <mergeCell ref="B30:V33"/>
    <mergeCell ref="B36:V38"/>
    <mergeCell ref="B41:V44"/>
    <mergeCell ref="B46:V47"/>
    <mergeCell ref="B48:V49"/>
    <mergeCell ref="B52:E52"/>
    <mergeCell ref="B21:E21"/>
    <mergeCell ref="B22:E22"/>
    <mergeCell ref="B23:E23"/>
    <mergeCell ref="B24:E24"/>
    <mergeCell ref="B25:E25"/>
    <mergeCell ref="B26:E26"/>
    <mergeCell ref="B20:E20"/>
    <mergeCell ref="B9:E9"/>
    <mergeCell ref="B10:E10"/>
    <mergeCell ref="B11:E11"/>
    <mergeCell ref="B12:E12"/>
    <mergeCell ref="B13:E13"/>
    <mergeCell ref="B14:E14"/>
    <mergeCell ref="B15:E15"/>
    <mergeCell ref="B16:E16"/>
    <mergeCell ref="B17:E17"/>
    <mergeCell ref="B18:E18"/>
    <mergeCell ref="B19:E19"/>
    <mergeCell ref="AC4:AC6"/>
    <mergeCell ref="AD4:AD6"/>
    <mergeCell ref="AE4:AE6"/>
    <mergeCell ref="B6:E6"/>
    <mergeCell ref="B7:E7"/>
    <mergeCell ref="AA4:AA6"/>
    <mergeCell ref="AB4:AB6"/>
    <mergeCell ref="B8:E8"/>
    <mergeCell ref="V4:V6"/>
    <mergeCell ref="X4:X6"/>
    <mergeCell ref="Y4:Y6"/>
    <mergeCell ref="Z4:Z6"/>
    <mergeCell ref="O4:O6"/>
    <mergeCell ref="P4:P6"/>
    <mergeCell ref="Q4:Q6"/>
    <mergeCell ref="R4:R6"/>
    <mergeCell ref="S4:S6"/>
    <mergeCell ref="U4:U6"/>
    <mergeCell ref="V2:V3"/>
    <mergeCell ref="F4:F6"/>
    <mergeCell ref="G4:G6"/>
    <mergeCell ref="H4:H6"/>
    <mergeCell ref="I4:I6"/>
    <mergeCell ref="J4:J6"/>
    <mergeCell ref="K4:K6"/>
    <mergeCell ref="L4:L6"/>
    <mergeCell ref="M4:M6"/>
    <mergeCell ref="N4:N6"/>
  </mergeCell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92D050"/>
  </sheetPr>
  <dimension ref="A1:AY42"/>
  <sheetViews>
    <sheetView workbookViewId="0">
      <pane xSplit="2" topLeftCell="N1" activePane="topRight" state="frozen"/>
      <selection pane="topRight" activeCell="W11" sqref="W11"/>
    </sheetView>
  </sheetViews>
  <sheetFormatPr defaultColWidth="10.26953125" defaultRowHeight="12.5" x14ac:dyDescent="0.25"/>
  <cols>
    <col min="1" max="1" width="10.26953125" style="29"/>
    <col min="2" max="2" width="31.54296875" style="29" customWidth="1"/>
    <col min="3" max="3" width="26.54296875" style="29" customWidth="1"/>
    <col min="4" max="7" width="15.7265625" style="30" customWidth="1"/>
    <col min="8" max="10" width="15.7265625" style="29" customWidth="1"/>
    <col min="11" max="11" width="15.7265625" style="30" customWidth="1"/>
    <col min="12" max="12" width="17.26953125" style="29" customWidth="1"/>
    <col min="13" max="13" width="10.26953125" style="30" customWidth="1"/>
    <col min="14" max="14" width="13.81640625" style="29" customWidth="1"/>
    <col min="15" max="15" width="13" style="30" customWidth="1"/>
    <col min="16" max="16" width="12.1796875" style="30" customWidth="1"/>
    <col min="17" max="17" width="11.26953125" style="29" customWidth="1"/>
    <col min="18" max="23" width="10.26953125" style="29" customWidth="1"/>
    <col min="24" max="25" width="11.1796875" style="29" customWidth="1"/>
    <col min="26" max="26" width="10.26953125" style="29" customWidth="1"/>
    <col min="27" max="27" width="10.26953125" style="31" customWidth="1"/>
    <col min="28" max="28" width="11.81640625" style="30" customWidth="1"/>
    <col min="29" max="29" width="10.26953125" style="30" customWidth="1"/>
    <col min="30" max="31" width="10.26953125" style="29" customWidth="1"/>
    <col min="32" max="32" width="9.81640625" style="30" bestFit="1" customWidth="1"/>
    <col min="33" max="33" width="10.26953125" style="30" customWidth="1"/>
    <col min="34" max="40" width="10.81640625" style="30" customWidth="1"/>
    <col min="41" max="42" width="10.26953125" style="29" customWidth="1"/>
    <col min="43" max="43" width="11" style="29" customWidth="1"/>
    <col min="44" max="46" width="10.26953125" style="29"/>
    <col min="47" max="49" width="14.453125" style="29" bestFit="1" customWidth="1"/>
    <col min="50" max="16384" width="10.26953125" style="29"/>
  </cols>
  <sheetData>
    <row r="1" spans="1:51" ht="17.5" x14ac:dyDescent="0.35">
      <c r="A1" s="36"/>
      <c r="B1" s="33" t="s">
        <v>1256</v>
      </c>
      <c r="C1" s="36"/>
      <c r="D1" s="234"/>
      <c r="E1" s="234"/>
      <c r="F1" s="234"/>
      <c r="G1" s="234"/>
      <c r="H1" s="36"/>
      <c r="I1" s="36"/>
      <c r="J1" s="36"/>
      <c r="K1" s="234"/>
      <c r="L1" s="36"/>
      <c r="M1" s="234"/>
      <c r="N1" s="36"/>
      <c r="O1" s="234"/>
      <c r="P1" s="234"/>
      <c r="Q1" s="36"/>
      <c r="R1" s="36"/>
      <c r="S1" s="36"/>
      <c r="T1" s="268">
        <v>0</v>
      </c>
      <c r="U1" s="36"/>
      <c r="V1" s="36"/>
      <c r="W1" s="36"/>
      <c r="X1" s="36"/>
      <c r="Y1" s="36"/>
      <c r="Z1" s="36"/>
      <c r="AA1" s="235"/>
      <c r="AB1" s="234"/>
      <c r="AC1" s="234"/>
      <c r="AD1" s="36"/>
      <c r="AE1" s="36"/>
      <c r="AF1" s="234"/>
      <c r="AG1" s="234"/>
      <c r="AH1" s="234"/>
      <c r="AI1" s="234"/>
      <c r="AJ1" s="234"/>
      <c r="AK1" s="234"/>
      <c r="AL1" s="234"/>
      <c r="AM1" s="234"/>
      <c r="AN1" s="234"/>
      <c r="AO1" s="36"/>
      <c r="AP1" s="36"/>
      <c r="AQ1" s="94" t="s">
        <v>180</v>
      </c>
      <c r="AR1" s="94"/>
      <c r="AS1" s="94"/>
      <c r="AT1" s="36"/>
      <c r="AU1" s="36"/>
      <c r="AV1" s="36"/>
      <c r="AW1" s="36"/>
      <c r="AX1" s="36"/>
      <c r="AY1" s="36"/>
    </row>
    <row r="2" spans="1:51" ht="12.65" customHeight="1" x14ac:dyDescent="0.25">
      <c r="A2" s="36"/>
      <c r="B2" s="36"/>
      <c r="C2" s="36"/>
      <c r="D2" s="234"/>
      <c r="E2" s="234"/>
      <c r="F2" s="234"/>
      <c r="G2" s="234"/>
      <c r="H2" s="36"/>
      <c r="I2" s="36"/>
      <c r="J2" s="36"/>
      <c r="K2" s="234"/>
      <c r="L2" s="36"/>
      <c r="M2" s="234"/>
      <c r="N2" s="36"/>
      <c r="O2" s="234"/>
      <c r="P2" s="234"/>
      <c r="Q2" s="36"/>
      <c r="R2" s="1242"/>
      <c r="S2" s="1242"/>
      <c r="T2" s="1510" t="s">
        <v>181</v>
      </c>
      <c r="U2" s="36"/>
      <c r="V2" s="36"/>
      <c r="W2" s="36"/>
      <c r="X2" s="36"/>
      <c r="Y2" s="36"/>
      <c r="Z2" s="36"/>
      <c r="AA2" s="235"/>
      <c r="AB2" s="234"/>
      <c r="AC2" s="234"/>
      <c r="AD2" s="36"/>
      <c r="AE2" s="36"/>
      <c r="AF2" s="234"/>
      <c r="AG2" s="234"/>
      <c r="AH2" s="234"/>
      <c r="AI2" s="234"/>
      <c r="AJ2" s="234"/>
      <c r="AK2" s="234"/>
      <c r="AL2" s="234"/>
      <c r="AM2" s="234"/>
      <c r="AN2" s="234"/>
      <c r="AO2" s="234"/>
      <c r="AP2" s="234"/>
      <c r="AQ2" s="234"/>
      <c r="AR2" s="234"/>
      <c r="AS2" s="1441" t="s">
        <v>181</v>
      </c>
      <c r="AT2" s="36"/>
      <c r="AU2" s="36"/>
      <c r="AV2" s="36"/>
      <c r="AW2" s="36"/>
      <c r="AX2" s="36"/>
      <c r="AY2" s="36"/>
    </row>
    <row r="3" spans="1:51" ht="39" customHeight="1" x14ac:dyDescent="0.25">
      <c r="A3" s="236" t="s">
        <v>182</v>
      </c>
      <c r="B3" s="237" t="s">
        <v>183</v>
      </c>
      <c r="C3" s="238" t="s">
        <v>184</v>
      </c>
      <c r="D3" s="240" t="s">
        <v>797</v>
      </c>
      <c r="E3" s="240" t="s">
        <v>59</v>
      </c>
      <c r="F3" s="238" t="s">
        <v>147</v>
      </c>
      <c r="G3" s="238" t="s">
        <v>185</v>
      </c>
      <c r="H3" s="241" t="s">
        <v>186</v>
      </c>
      <c r="I3" s="241" t="s">
        <v>104</v>
      </c>
      <c r="J3" s="241" t="s">
        <v>187</v>
      </c>
      <c r="K3" s="238" t="s">
        <v>189</v>
      </c>
      <c r="L3" s="241" t="s">
        <v>190</v>
      </c>
      <c r="M3" s="241" t="s">
        <v>1257</v>
      </c>
      <c r="N3" s="36"/>
      <c r="O3" s="243" t="s">
        <v>1258</v>
      </c>
      <c r="P3" s="243" t="s">
        <v>800</v>
      </c>
      <c r="Q3" s="241" t="s">
        <v>888</v>
      </c>
      <c r="R3" s="321" t="s">
        <v>203</v>
      </c>
      <c r="S3" s="321" t="s">
        <v>204</v>
      </c>
      <c r="T3" s="1510"/>
      <c r="U3" s="322" t="s">
        <v>19</v>
      </c>
      <c r="V3" s="322"/>
      <c r="W3" s="321" t="s">
        <v>697</v>
      </c>
      <c r="X3" s="321" t="s">
        <v>698</v>
      </c>
      <c r="Y3" s="321" t="s">
        <v>699</v>
      </c>
      <c r="Z3" s="321" t="s">
        <v>700</v>
      </c>
      <c r="AA3" s="241" t="s">
        <v>192</v>
      </c>
      <c r="AB3" s="242" t="s">
        <v>193</v>
      </c>
      <c r="AC3" s="242" t="s">
        <v>194</v>
      </c>
      <c r="AD3" s="242" t="s">
        <v>195</v>
      </c>
      <c r="AE3" s="242" t="s">
        <v>196</v>
      </c>
      <c r="AF3" s="241" t="s">
        <v>197</v>
      </c>
      <c r="AG3" s="1243" t="s">
        <v>198</v>
      </c>
      <c r="AH3" s="324" t="s">
        <v>199</v>
      </c>
      <c r="AI3" s="326" t="s">
        <v>701</v>
      </c>
      <c r="AJ3" s="326" t="s">
        <v>3</v>
      </c>
      <c r="AK3" s="325" t="s">
        <v>296</v>
      </c>
      <c r="AL3" s="325" t="s">
        <v>702</v>
      </c>
      <c r="AM3" s="325" t="s">
        <v>703</v>
      </c>
      <c r="AN3" s="325" t="s">
        <v>704</v>
      </c>
      <c r="AO3" s="243"/>
      <c r="AP3" s="243"/>
      <c r="AQ3" s="320" t="s">
        <v>203</v>
      </c>
      <c r="AR3" s="320" t="s">
        <v>204</v>
      </c>
      <c r="AS3" s="1441"/>
      <c r="AT3" s="36"/>
      <c r="AU3" s="243" t="s">
        <v>801</v>
      </c>
      <c r="AV3" s="243" t="s">
        <v>802</v>
      </c>
      <c r="AW3" s="272" t="s">
        <v>803</v>
      </c>
      <c r="AX3" s="36"/>
      <c r="AY3" s="243" t="s">
        <v>889</v>
      </c>
    </row>
    <row r="4" spans="1:51" ht="13" x14ac:dyDescent="0.3">
      <c r="A4" s="244">
        <v>9257010</v>
      </c>
      <c r="B4" s="237" t="s">
        <v>804</v>
      </c>
      <c r="C4" s="1038" t="s">
        <v>758</v>
      </c>
      <c r="D4" s="245">
        <v>340000</v>
      </c>
      <c r="E4" s="245">
        <v>105000</v>
      </c>
      <c r="F4" s="245"/>
      <c r="G4" s="245"/>
      <c r="H4" s="248">
        <f>VLOOKUP(A4,'2021 Band Calculations'!$A$112:$T$129,10,FALSE)</f>
        <v>766348.93047857203</v>
      </c>
      <c r="I4" s="248">
        <f>VLOOKUP(A4,'2021 Band Calculations'!$A$112:$T$129,17,FALSE)</f>
        <v>10347.864583333334</v>
      </c>
      <c r="J4" s="245">
        <f>VLOOKUP(A4,'2021 FSM Calculation'!$A$4:$D$21,4,FALSE)</f>
        <v>7181.6</v>
      </c>
      <c r="K4" s="245">
        <f t="shared" ref="K4:K15" si="0">SUM(D4:J4)</f>
        <v>1228878.3950619053</v>
      </c>
      <c r="L4" s="248">
        <f t="shared" ref="L4:L13" si="1">K4-F4</f>
        <v>1228878.3950619053</v>
      </c>
      <c r="M4" s="1036">
        <f>VLOOKUP(A4,'2021 Band Calculations'!$A$112:$T$129,19,FALSE)</f>
        <v>62.833333333333329</v>
      </c>
      <c r="N4" s="36"/>
      <c r="O4" s="253">
        <f>M4-(M4*'2021 Band Calculations'!J6)</f>
        <v>53.997395833333329</v>
      </c>
      <c r="P4" s="235">
        <f>'2021 Band Calculations'!AL112</f>
        <v>198921.25863127731</v>
      </c>
      <c r="Q4" s="235">
        <f>(H4+I4-P4)/O4</f>
        <v>10700.062984777487</v>
      </c>
      <c r="R4" s="1026">
        <f>L4-D4-E4-P4</f>
        <v>584957.1364306279</v>
      </c>
      <c r="S4" s="1026">
        <f>R4/O4</f>
        <v>10833.061991288214</v>
      </c>
      <c r="T4" s="1026">
        <f>VLOOKUP(A4,'1920 Funding Detail'!$A$4:$BB$23,43,(FALSE))</f>
        <v>11382.677297146334</v>
      </c>
      <c r="U4" s="235">
        <f>S4-T4</f>
        <v>-549.61530585812034</v>
      </c>
      <c r="V4" s="253">
        <f>IF(O4&gt;'1920 Funding Detail'!O4,'1920 Funding Detail'!O4,('2021 Funding Detail'!O4))</f>
        <v>52.043055555555561</v>
      </c>
      <c r="W4" s="1026">
        <f>'202021 MFG Protection'!L8</f>
        <v>17712.140584556619</v>
      </c>
      <c r="X4" s="1026">
        <f t="shared" ref="X4:X15" si="2">L4+W4</f>
        <v>1246590.5356464619</v>
      </c>
      <c r="Y4" s="235">
        <f t="shared" ref="Y4:Y15" si="3">M4*10000</f>
        <v>628333.33333333326</v>
      </c>
      <c r="Z4" s="235">
        <f>IF(Y4&gt;X4,(Y4-X4),(0))</f>
        <v>0</v>
      </c>
      <c r="AA4" s="242">
        <f t="shared" ref="AA4:AA15" si="4">L4/M4</f>
        <v>19557.746340507776</v>
      </c>
      <c r="AB4" s="242">
        <f t="shared" ref="AB4:AB15" si="5">M4*10000</f>
        <v>628333.33333333326</v>
      </c>
      <c r="AC4" s="242">
        <f t="shared" ref="AC4:AC15" si="6">AA4-10000</f>
        <v>9557.746340507776</v>
      </c>
      <c r="AD4" s="245">
        <f>VLOOKUP(A4,'1920 Funding Detail'!$A$4:$AK$23,25,FALSE)</f>
        <v>0</v>
      </c>
      <c r="AE4" s="245">
        <f>IF(AC4&gt;AD4,(AC4),(AD4))</f>
        <v>9557.746340507776</v>
      </c>
      <c r="AF4" s="245">
        <f>10000+AE4</f>
        <v>19557.746340507776</v>
      </c>
      <c r="AG4" s="1029">
        <f t="shared" ref="AG4:AG15" si="7">W4+Z4</f>
        <v>17712.140584556619</v>
      </c>
      <c r="AH4" s="346">
        <f t="shared" ref="AH4:AH15" si="8">L4+AG4</f>
        <v>1246590.5356464619</v>
      </c>
      <c r="AI4" s="275">
        <f>VLOOKUP(A4,'1920 Funding Detail'!$A$4:$AJ$23,30,(FALSE))</f>
        <v>9921.7875701747071</v>
      </c>
      <c r="AJ4" s="235">
        <f>AH4-AI4</f>
        <v>1236668.7480762871</v>
      </c>
      <c r="AK4" s="42">
        <f>M4*10000</f>
        <v>628333.33333333326</v>
      </c>
      <c r="AL4" s="42">
        <f>AH4-AK4</f>
        <v>618257.20231312863</v>
      </c>
      <c r="AM4" s="42">
        <f t="shared" ref="AM4:AM15" si="9">AL4/M4</f>
        <v>9839.6371720922343</v>
      </c>
      <c r="AN4" s="327">
        <f t="shared" ref="AN4:AN15" si="10">AH4/M4</f>
        <v>19839.637172092233</v>
      </c>
      <c r="AO4" s="235"/>
      <c r="AP4" s="235"/>
      <c r="AQ4" s="1251">
        <f>SUM(AH4-'2223 Funding Detail'!D4-'2223 Funding Detail'!E4-P4)</f>
        <v>460009.27701518458</v>
      </c>
      <c r="AR4" s="1026">
        <f>AQ4/O4</f>
        <v>8519.1011513783887</v>
      </c>
      <c r="AS4" s="1026">
        <f>AR4*98.5%</f>
        <v>8391.3146341077136</v>
      </c>
      <c r="AT4" s="36"/>
      <c r="AU4" s="387">
        <f>(S4-T4)/T4</f>
        <v>-4.8285240063505118E-2</v>
      </c>
      <c r="AV4" s="387">
        <f>'202021 MFG Protection'!N5/'2021 Funding Detail'!T4</f>
        <v>3.1073962326926285E-2</v>
      </c>
      <c r="AW4" s="387">
        <f>IF(AU4&lt;0,(AU4+AV4),(AU4))</f>
        <v>-1.7211277736578833E-2</v>
      </c>
      <c r="AX4" s="1037"/>
      <c r="AY4" s="247"/>
    </row>
    <row r="5" spans="1:51" ht="13" x14ac:dyDescent="0.3">
      <c r="A5" s="244">
        <v>9257005</v>
      </c>
      <c r="B5" s="237" t="s">
        <v>805</v>
      </c>
      <c r="C5" s="1040" t="s">
        <v>758</v>
      </c>
      <c r="D5" s="245">
        <v>340000</v>
      </c>
      <c r="E5" s="245">
        <v>105000</v>
      </c>
      <c r="F5" s="245"/>
      <c r="G5" s="245"/>
      <c r="H5" s="248">
        <f>VLOOKUP(A5,'2021 Band Calculations'!$A$112:$T$129,10,FALSE)</f>
        <v>869562.19164385577</v>
      </c>
      <c r="I5" s="248">
        <f>VLOOKUP(A5,'2021 Band Calculations'!$A$112:$T$129,17,FALSE)</f>
        <v>13449.479166666666</v>
      </c>
      <c r="J5" s="245">
        <f>VLOOKUP(A5,'2021 FSM Calculation'!$A$4:$D$21,4,FALSE)</f>
        <v>7181.6</v>
      </c>
      <c r="K5" s="245">
        <f t="shared" si="0"/>
        <v>1335193.2708105226</v>
      </c>
      <c r="L5" s="248">
        <f t="shared" si="1"/>
        <v>1335193.2708105226</v>
      </c>
      <c r="M5" s="1036">
        <f>VLOOKUP(A5,'2021 Band Calculations'!$A$112:$T$129,19,FALSE)</f>
        <v>77.583333333333329</v>
      </c>
      <c r="N5" s="36"/>
      <c r="O5" s="253">
        <f>M5-(M5*'2021 Band Calculations'!J7)</f>
        <v>73.5</v>
      </c>
      <c r="P5" s="235">
        <f>'2021 Band Calculations'!AL113</f>
        <v>91927.065586160563</v>
      </c>
      <c r="Q5" s="235">
        <f t="shared" ref="Q5:Q15" si="11">(H5+I5-P5)/O5</f>
        <v>10763.055853392678</v>
      </c>
      <c r="R5" s="1026">
        <f t="shared" ref="R5:R15" si="12">L5-D5-E5-P5</f>
        <v>798266.20522436209</v>
      </c>
      <c r="S5" s="1026">
        <f t="shared" ref="S5:S23" si="13">R5/O5</f>
        <v>10860.764696930097</v>
      </c>
      <c r="T5" s="1026">
        <f>VLOOKUP(A5,'1920 Funding Detail'!$A$4:$BB$23,43,(FALSE))</f>
        <v>11628.385009411222</v>
      </c>
      <c r="U5" s="235">
        <f t="shared" ref="U5:U23" si="14">S5-T5</f>
        <v>-767.62031248112544</v>
      </c>
      <c r="V5" s="253">
        <f>IF(O5&gt;'1920 Funding Detail'!O5,'1920 Funding Detail'!O5,('2021 Funding Detail'!O5))</f>
        <v>67.310810810810807</v>
      </c>
      <c r="W5" s="1026">
        <f>'202021 MFG Protection'!L15</f>
        <v>7039.2933593112066</v>
      </c>
      <c r="X5" s="1026">
        <f t="shared" si="2"/>
        <v>1342232.5641698339</v>
      </c>
      <c r="Y5" s="235">
        <f t="shared" si="3"/>
        <v>775833.33333333326</v>
      </c>
      <c r="Z5" s="235">
        <f t="shared" ref="Z5:Z23" si="15">IF(Y5&gt;X5,(Y5-X5),(0))</f>
        <v>0</v>
      </c>
      <c r="AA5" s="242">
        <f t="shared" si="4"/>
        <v>17209.79511248794</v>
      </c>
      <c r="AB5" s="242">
        <f t="shared" si="5"/>
        <v>775833.33333333326</v>
      </c>
      <c r="AC5" s="242">
        <f t="shared" si="6"/>
        <v>7209.7951124879401</v>
      </c>
      <c r="AD5" s="245">
        <f>VLOOKUP(A5,'1920 Funding Detail'!$A$4:$AK$23,25,FALSE)</f>
        <v>0</v>
      </c>
      <c r="AE5" s="245">
        <f>IF(AC5&gt;AD5,(AC5),(AD5))</f>
        <v>7209.7951124879401</v>
      </c>
      <c r="AF5" s="245">
        <f t="shared" ref="AF5:AF23" si="16">10000+AE5</f>
        <v>17209.79511248794</v>
      </c>
      <c r="AG5" s="1029">
        <f t="shared" si="7"/>
        <v>7039.2933593112066</v>
      </c>
      <c r="AH5" s="346">
        <f t="shared" si="8"/>
        <v>1342232.5641698339</v>
      </c>
      <c r="AI5" s="275">
        <f>VLOOKUP(A5,'1920 Funding Detail'!$A$4:$AJ$23,30,(FALSE))</f>
        <v>8466.0189598644647</v>
      </c>
      <c r="AJ5" s="235">
        <f>AH5-AI5</f>
        <v>1333766.5452099694</v>
      </c>
      <c r="AK5" s="42">
        <f t="shared" ref="AK5:AK15" si="17">M5*10000</f>
        <v>775833.33333333326</v>
      </c>
      <c r="AL5" s="42">
        <f t="shared" ref="AL5:AL15" si="18">AH5-AK5</f>
        <v>566399.23083650065</v>
      </c>
      <c r="AM5" s="42">
        <f t="shared" si="9"/>
        <v>7300.5271428979677</v>
      </c>
      <c r="AN5" s="327">
        <f t="shared" si="10"/>
        <v>17300.527142897969</v>
      </c>
      <c r="AO5" s="235"/>
      <c r="AP5" s="235"/>
      <c r="AQ5" s="1251">
        <f>SUM(AH5-'2223 Funding Detail'!D5-'2223 Funding Detail'!E5-P5)</f>
        <v>705915.49858367338</v>
      </c>
      <c r="AR5" s="1026">
        <f t="shared" ref="AR5:AR23" si="19">AQ5/O5</f>
        <v>9604.2924977370531</v>
      </c>
      <c r="AS5" s="1026">
        <f t="shared" ref="AS5:AS23" si="20">AR5*98.5%</f>
        <v>9460.2281102709967</v>
      </c>
      <c r="AT5" s="36"/>
      <c r="AU5" s="387">
        <f t="shared" ref="AU5:AU15" si="21">(S5-T5)/T5</f>
        <v>-6.601263304060416E-2</v>
      </c>
      <c r="AV5" s="387">
        <f>'202021 MFG Protection'!N12/'2021 Funding Detail'!T5</f>
        <v>1.1227086502185211E-2</v>
      </c>
      <c r="AW5" s="387">
        <f t="shared" ref="AW5:AW23" si="22">IF(AU5&lt;0,(AU5+AV5),(AU5))</f>
        <v>-5.4785546538418953E-2</v>
      </c>
      <c r="AX5" s="1037"/>
      <c r="AY5" s="36"/>
    </row>
    <row r="6" spans="1:51" ht="13" x14ac:dyDescent="0.3">
      <c r="A6" s="244">
        <v>9257025</v>
      </c>
      <c r="B6" s="237" t="s">
        <v>806</v>
      </c>
      <c r="C6" s="1038" t="s">
        <v>758</v>
      </c>
      <c r="D6" s="245">
        <v>340000</v>
      </c>
      <c r="E6" s="245">
        <v>105000</v>
      </c>
      <c r="F6" s="245"/>
      <c r="G6" s="245"/>
      <c r="H6" s="248">
        <f>VLOOKUP(A6,'2021 Band Calculations'!$A$112:$T$129,10,FALSE)</f>
        <v>793705.17090371286</v>
      </c>
      <c r="I6" s="248">
        <f>VLOOKUP(A6,'2021 Band Calculations'!$A$112:$T$129,17,FALSE)</f>
        <v>13412.387387387389</v>
      </c>
      <c r="J6" s="245">
        <f>VLOOKUP(A6,'2021 FSM Calculation'!$A$4:$D$21,4,FALSE)</f>
        <v>10323.550000000001</v>
      </c>
      <c r="K6" s="245">
        <f t="shared" si="0"/>
        <v>1262441.1082911005</v>
      </c>
      <c r="L6" s="248">
        <f t="shared" si="1"/>
        <v>1262441.1082911005</v>
      </c>
      <c r="M6" s="1036">
        <f>VLOOKUP(A6,'2021 Band Calculations'!$A$112:$T$129,19,FALSE)</f>
        <v>75.333333333333343</v>
      </c>
      <c r="N6" s="36"/>
      <c r="O6" s="253">
        <f>M6-(M6*'2021 Band Calculations'!J8)</f>
        <v>71.261261261261268</v>
      </c>
      <c r="P6" s="235">
        <f>'2021 Band Calculations'!AL114</f>
        <v>91673.543618189928</v>
      </c>
      <c r="Q6" s="235">
        <f t="shared" si="11"/>
        <v>10039.73269642137</v>
      </c>
      <c r="R6" s="1026">
        <f t="shared" si="12"/>
        <v>725767.56467291061</v>
      </c>
      <c r="S6" s="1026">
        <f t="shared" si="13"/>
        <v>10184.60172929116</v>
      </c>
      <c r="T6" s="1026">
        <f>VLOOKUP(A6,'1920 Funding Detail'!$A$4:$BB$23,43,(FALSE))</f>
        <v>10507.537783550195</v>
      </c>
      <c r="U6" s="235">
        <f t="shared" si="14"/>
        <v>-322.93605425903479</v>
      </c>
      <c r="V6" s="253">
        <f>IF(O6&gt;'1920 Funding Detail'!O6,'1920 Funding Detail'!O6,('2021 Funding Detail'!O6))</f>
        <v>68.521396396396412</v>
      </c>
      <c r="W6" s="1026">
        <f>'202021 MFG Protection'!L22</f>
        <v>29257.252566625339</v>
      </c>
      <c r="X6" s="1026">
        <f t="shared" si="2"/>
        <v>1291698.3608577258</v>
      </c>
      <c r="Y6" s="235">
        <f t="shared" si="3"/>
        <v>753333.33333333337</v>
      </c>
      <c r="Z6" s="235">
        <f t="shared" si="15"/>
        <v>0</v>
      </c>
      <c r="AA6" s="242">
        <f t="shared" si="4"/>
        <v>16758.067809173899</v>
      </c>
      <c r="AB6" s="242">
        <f t="shared" si="5"/>
        <v>753333.33333333337</v>
      </c>
      <c r="AC6" s="242">
        <f t="shared" si="6"/>
        <v>6758.0678091738991</v>
      </c>
      <c r="AD6" s="245">
        <f>VLOOKUP(A6,'1920 Funding Detail'!$A$4:$AK$23,25,FALSE)</f>
        <v>0</v>
      </c>
      <c r="AE6" s="245">
        <f t="shared" ref="AE6:AE23" si="23">IF(AC6&gt;AD6,(AC6),(AD6))</f>
        <v>6758.0678091738991</v>
      </c>
      <c r="AF6" s="245">
        <f t="shared" si="16"/>
        <v>16758.067809173899</v>
      </c>
      <c r="AG6" s="1029">
        <f t="shared" si="7"/>
        <v>29257.252566625339</v>
      </c>
      <c r="AH6" s="346">
        <f t="shared" si="8"/>
        <v>1291698.3608577258</v>
      </c>
      <c r="AI6" s="275">
        <f>VLOOKUP(A6,'1920 Funding Detail'!$A$4:$AJ$23,30,(FALSE))</f>
        <v>6749.6281271963526</v>
      </c>
      <c r="AJ6" s="235">
        <f t="shared" ref="AJ6:AJ23" si="24">AH6-AI6</f>
        <v>1284948.7327305295</v>
      </c>
      <c r="AK6" s="42">
        <f t="shared" si="17"/>
        <v>753333.33333333337</v>
      </c>
      <c r="AL6" s="42">
        <f t="shared" si="18"/>
        <v>538365.02752439247</v>
      </c>
      <c r="AM6" s="42">
        <f t="shared" si="9"/>
        <v>7146.4384184653854</v>
      </c>
      <c r="AN6" s="327">
        <f t="shared" si="10"/>
        <v>17146.438418465386</v>
      </c>
      <c r="AO6" s="235"/>
      <c r="AP6" s="235"/>
      <c r="AQ6" s="1251">
        <f>SUM(AH6-'2223 Funding Detail'!D6-'2223 Funding Detail'!E6-P6)</f>
        <v>698904.81723953597</v>
      </c>
      <c r="AR6" s="1026">
        <f t="shared" si="19"/>
        <v>9807.6402924890626</v>
      </c>
      <c r="AS6" s="1026">
        <f t="shared" si="20"/>
        <v>9660.5256881017267</v>
      </c>
      <c r="AT6" s="36"/>
      <c r="AU6" s="387">
        <f t="shared" si="21"/>
        <v>-3.0733751418395946E-2</v>
      </c>
      <c r="AV6" s="387">
        <f>'202021 MFG Protection'!N19/'2021 Funding Detail'!T6</f>
        <v>4.7179816423200203E-2</v>
      </c>
      <c r="AW6" s="387">
        <f t="shared" si="22"/>
        <v>1.6446065004804257E-2</v>
      </c>
      <c r="AX6" s="1037"/>
      <c r="AY6" s="36"/>
    </row>
    <row r="7" spans="1:51" ht="13" x14ac:dyDescent="0.3">
      <c r="A7" s="244">
        <v>9257011</v>
      </c>
      <c r="B7" s="237" t="s">
        <v>210</v>
      </c>
      <c r="C7" s="1038" t="s">
        <v>758</v>
      </c>
      <c r="D7" s="245">
        <v>340000</v>
      </c>
      <c r="E7" s="245">
        <v>105000</v>
      </c>
      <c r="F7" s="245"/>
      <c r="G7" s="245"/>
      <c r="H7" s="248">
        <f>VLOOKUP(A7,'2021 Band Calculations'!$A$112:$T$129,10,FALSE)</f>
        <v>697819.18281502777</v>
      </c>
      <c r="I7" s="248">
        <f>VLOOKUP(A7,'2021 Band Calculations'!$A$112:$T$129,17,FALSE)</f>
        <v>5750.59748427673</v>
      </c>
      <c r="J7" s="245">
        <f>VLOOKUP(A7,'2021 FSM Calculation'!$A$4:$D$21,4,FALSE)</f>
        <v>11221.25</v>
      </c>
      <c r="K7" s="245">
        <f t="shared" si="0"/>
        <v>1159791.0302993045</v>
      </c>
      <c r="L7" s="248">
        <f t="shared" si="1"/>
        <v>1159791.0302993045</v>
      </c>
      <c r="M7" s="1036">
        <f>VLOOKUP(A7,'2021 Band Calculations'!$A$112:$T$129,19,FALSE)</f>
        <v>57.833333333333336</v>
      </c>
      <c r="N7" s="36"/>
      <c r="O7" s="253">
        <f>M7-(M7*'2021 Band Calculations'!J9)</f>
        <v>52.377358490566039</v>
      </c>
      <c r="P7" s="235">
        <f>'2021 Band Calculations'!AL115</f>
        <v>122829.00176510481</v>
      </c>
      <c r="Q7" s="235">
        <f t="shared" si="11"/>
        <v>11087.630137720671</v>
      </c>
      <c r="R7" s="1026">
        <f t="shared" si="12"/>
        <v>591962.02853419969</v>
      </c>
      <c r="S7" s="1026">
        <f t="shared" si="13"/>
        <v>11301.868700400786</v>
      </c>
      <c r="T7" s="1026">
        <f>VLOOKUP(A7,'1920 Funding Detail'!$A$4:$BB$23,43,(FALSE))</f>
        <v>11468.296847869398</v>
      </c>
      <c r="U7" s="235">
        <f t="shared" si="14"/>
        <v>-166.42814746861222</v>
      </c>
      <c r="V7" s="253">
        <f>IF(O7&gt;'1920 Funding Detail'!O7,'1920 Funding Detail'!O7,('2021 Funding Detail'!O7))</f>
        <v>52.377358490566039</v>
      </c>
      <c r="W7" s="1026">
        <f>'202021 MFG Protection'!L29</f>
        <v>0</v>
      </c>
      <c r="X7" s="1026">
        <f t="shared" si="2"/>
        <v>1159791.0302993045</v>
      </c>
      <c r="Y7" s="235">
        <f t="shared" si="3"/>
        <v>578333.33333333337</v>
      </c>
      <c r="Z7" s="235">
        <f t="shared" si="15"/>
        <v>0</v>
      </c>
      <c r="AA7" s="242">
        <f t="shared" si="4"/>
        <v>20054.023578662323</v>
      </c>
      <c r="AB7" s="242">
        <f t="shared" si="5"/>
        <v>578333.33333333337</v>
      </c>
      <c r="AC7" s="242">
        <f t="shared" si="6"/>
        <v>10054.023578662323</v>
      </c>
      <c r="AD7" s="245">
        <f>VLOOKUP(A7,'1920 Funding Detail'!$A$4:$AK$23,25,FALSE)</f>
        <v>0</v>
      </c>
      <c r="AE7" s="245">
        <f t="shared" si="23"/>
        <v>10054.023578662323</v>
      </c>
      <c r="AF7" s="245">
        <f t="shared" si="16"/>
        <v>20054.023578662323</v>
      </c>
      <c r="AG7" s="1029">
        <f t="shared" si="7"/>
        <v>0</v>
      </c>
      <c r="AH7" s="346">
        <f t="shared" si="8"/>
        <v>1159791.0302993045</v>
      </c>
      <c r="AI7" s="275">
        <f>VLOOKUP(A7,'1920 Funding Detail'!$A$4:$AJ$23,30,(FALSE))</f>
        <v>10014.71099358215</v>
      </c>
      <c r="AJ7" s="235">
        <f t="shared" si="24"/>
        <v>1149776.3193057224</v>
      </c>
      <c r="AK7" s="42">
        <f t="shared" si="17"/>
        <v>578333.33333333337</v>
      </c>
      <c r="AL7" s="42">
        <f t="shared" si="18"/>
        <v>581457.69696597115</v>
      </c>
      <c r="AM7" s="42">
        <f t="shared" si="9"/>
        <v>10054.023578662325</v>
      </c>
      <c r="AN7" s="327">
        <f t="shared" si="10"/>
        <v>20054.023578662323</v>
      </c>
      <c r="AO7" s="235"/>
      <c r="AP7" s="235"/>
      <c r="AQ7" s="1251" t="e">
        <f>SUM(AH7-'2223 Funding Detail'!#REF!-'2223 Funding Detail'!#REF!-P7)</f>
        <v>#REF!</v>
      </c>
      <c r="AR7" s="1026" t="e">
        <f t="shared" si="19"/>
        <v>#REF!</v>
      </c>
      <c r="AS7" s="1026" t="e">
        <f t="shared" si="20"/>
        <v>#REF!</v>
      </c>
      <c r="AT7" s="36"/>
      <c r="AU7" s="387">
        <f t="shared" si="21"/>
        <v>-1.4512019498303408E-2</v>
      </c>
      <c r="AV7" s="387">
        <f>'202021 MFG Protection'!N26/'2021 Funding Detail'!T7</f>
        <v>0</v>
      </c>
      <c r="AW7" s="387">
        <f t="shared" si="22"/>
        <v>-1.4512019498303408E-2</v>
      </c>
      <c r="AX7" s="1037"/>
      <c r="AY7" s="36"/>
    </row>
    <row r="8" spans="1:51" ht="13" x14ac:dyDescent="0.3">
      <c r="A8" s="244">
        <v>9257024</v>
      </c>
      <c r="B8" s="237" t="s">
        <v>807</v>
      </c>
      <c r="C8" s="1038" t="s">
        <v>758</v>
      </c>
      <c r="D8" s="245">
        <v>340000</v>
      </c>
      <c r="E8" s="245">
        <v>105000</v>
      </c>
      <c r="F8" s="245"/>
      <c r="G8" s="245"/>
      <c r="H8" s="248">
        <f>VLOOKUP(A8,'2021 Band Calculations'!$A$112:$T$129,10,FALSE)</f>
        <v>898400.3997032356</v>
      </c>
      <c r="I8" s="248">
        <f>VLOOKUP(A8,'2021 Band Calculations'!$A$112:$T$129,17,FALSE)</f>
        <v>5275.2911646586344</v>
      </c>
      <c r="J8" s="245">
        <f>VLOOKUP(A8,'2021 FSM Calculation'!$A$4:$D$21,4,FALSE)</f>
        <v>12118.95</v>
      </c>
      <c r="K8" s="245">
        <f t="shared" si="0"/>
        <v>1360794.6408678943</v>
      </c>
      <c r="L8" s="248">
        <f t="shared" si="1"/>
        <v>1360794.6408678943</v>
      </c>
      <c r="M8" s="1036">
        <f>VLOOKUP(A8,'2021 Band Calculations'!$A$112:$T$129,19,FALSE)</f>
        <v>83.083333333333329</v>
      </c>
      <c r="N8" s="36"/>
      <c r="O8" s="253">
        <f>M8-(M8*'2021 Band Calculations'!J10)</f>
        <v>75.075301204819269</v>
      </c>
      <c r="P8" s="235">
        <f>'2021 Band Calculations'!AL116</f>
        <v>180282.8313536309</v>
      </c>
      <c r="Q8" s="235">
        <f t="shared" si="11"/>
        <v>9635.5638659472606</v>
      </c>
      <c r="R8" s="1026">
        <f t="shared" si="12"/>
        <v>735511.80951426341</v>
      </c>
      <c r="S8" s="1026">
        <f t="shared" si="13"/>
        <v>9796.9877937306119</v>
      </c>
      <c r="T8" s="1026">
        <f>VLOOKUP(A8,'1920 Funding Detail'!$A$4:$BB$23,43,(FALSE))</f>
        <v>10327.200186912147</v>
      </c>
      <c r="U8" s="235">
        <f t="shared" si="14"/>
        <v>-530.21239318153494</v>
      </c>
      <c r="V8" s="253">
        <f>IF(O8&gt;'1920 Funding Detail'!O8,'1920 Funding Detail'!O8,('2021 Funding Detail'!O8))</f>
        <v>71.195121951219519</v>
      </c>
      <c r="W8" s="1026">
        <f>'202021 MFG Protection'!L36</f>
        <v>32788.737014962913</v>
      </c>
      <c r="X8" s="1026">
        <f t="shared" si="2"/>
        <v>1393583.3778828571</v>
      </c>
      <c r="Y8" s="235">
        <f t="shared" si="3"/>
        <v>830833.33333333326</v>
      </c>
      <c r="Z8" s="235">
        <f t="shared" si="15"/>
        <v>0</v>
      </c>
      <c r="AA8" s="242">
        <f t="shared" si="4"/>
        <v>16378.671705531326</v>
      </c>
      <c r="AB8" s="242">
        <f t="shared" si="5"/>
        <v>830833.33333333326</v>
      </c>
      <c r="AC8" s="242">
        <f t="shared" si="6"/>
        <v>6378.6717055313256</v>
      </c>
      <c r="AD8" s="245">
        <f>VLOOKUP(A8,'1920 Funding Detail'!$A$4:$AK$23,25,FALSE)</f>
        <v>0</v>
      </c>
      <c r="AE8" s="245">
        <f t="shared" si="23"/>
        <v>6378.6717055313256</v>
      </c>
      <c r="AF8" s="245">
        <f t="shared" si="16"/>
        <v>16378.671705531326</v>
      </c>
      <c r="AG8" s="1029">
        <f t="shared" si="7"/>
        <v>32788.737014962913</v>
      </c>
      <c r="AH8" s="346">
        <f t="shared" si="8"/>
        <v>1393583.3778828571</v>
      </c>
      <c r="AI8" s="275">
        <f>VLOOKUP(A8,'1920 Funding Detail'!$A$4:$AJ$23,30,(FALSE))</f>
        <v>6891.9845437226613</v>
      </c>
      <c r="AJ8" s="235">
        <f t="shared" si="24"/>
        <v>1386691.3933391345</v>
      </c>
      <c r="AK8" s="42">
        <f t="shared" si="17"/>
        <v>830833.33333333326</v>
      </c>
      <c r="AL8" s="42">
        <f t="shared" si="18"/>
        <v>562750.04454952385</v>
      </c>
      <c r="AM8" s="42">
        <f t="shared" si="9"/>
        <v>6773.3204960825342</v>
      </c>
      <c r="AN8" s="327">
        <f t="shared" si="10"/>
        <v>16773.320496082535</v>
      </c>
      <c r="AO8" s="235"/>
      <c r="AP8" s="235"/>
      <c r="AQ8" s="1251">
        <f>SUM(AH8-'2223 Funding Detail'!D7-'2223 Funding Detail'!E7-P8)</f>
        <v>712180.54652922624</v>
      </c>
      <c r="AR8" s="1026">
        <f t="shared" si="19"/>
        <v>9486.2163068286118</v>
      </c>
      <c r="AS8" s="1026">
        <f t="shared" si="20"/>
        <v>9343.9230622261821</v>
      </c>
      <c r="AT8" s="36"/>
      <c r="AU8" s="387">
        <f t="shared" si="21"/>
        <v>-5.1341349405958352E-2</v>
      </c>
      <c r="AV8" s="387">
        <f>'202021 MFG Protection'!N33/'2021 Funding Detail'!T8</f>
        <v>4.5153171962793309E-2</v>
      </c>
      <c r="AW8" s="387">
        <f t="shared" si="22"/>
        <v>-6.1881774431650424E-3</v>
      </c>
      <c r="AX8" s="1037"/>
      <c r="AY8" s="36"/>
    </row>
    <row r="9" spans="1:51" ht="13" x14ac:dyDescent="0.3">
      <c r="A9" s="244">
        <v>9257008</v>
      </c>
      <c r="B9" s="237" t="s">
        <v>340</v>
      </c>
      <c r="C9" s="1038" t="s">
        <v>758</v>
      </c>
      <c r="D9" s="245">
        <v>340000</v>
      </c>
      <c r="E9" s="245">
        <v>105000</v>
      </c>
      <c r="F9" s="245"/>
      <c r="G9" s="245"/>
      <c r="H9" s="248">
        <f>VLOOKUP(A9,'2021 Band Calculations'!$A$112:$T$129,10,FALSE)</f>
        <v>901299.16236721608</v>
      </c>
      <c r="I9" s="248">
        <f>VLOOKUP(A9,'2021 Band Calculations'!$A$112:$T$129,17,FALSE)</f>
        <v>21025.670103092787</v>
      </c>
      <c r="J9" s="245">
        <f>VLOOKUP(A9,'2021 FSM Calculation'!$A$4:$D$21,4,FALSE)</f>
        <v>14812.050000000001</v>
      </c>
      <c r="K9" s="245">
        <f t="shared" si="0"/>
        <v>1382136.8824703088</v>
      </c>
      <c r="L9" s="248">
        <f t="shared" si="1"/>
        <v>1382136.8824703088</v>
      </c>
      <c r="M9" s="1036">
        <f>VLOOKUP(A9,'2021 Band Calculations'!$A$112:$T$129,19,FALSE)</f>
        <v>96.75</v>
      </c>
      <c r="N9" s="36"/>
      <c r="O9" s="253">
        <f>M9-(M9*'2021 Band Calculations'!J13)</f>
        <v>96.75</v>
      </c>
      <c r="P9" s="235">
        <f>'2021 Band Calculations'!AL119</f>
        <v>0</v>
      </c>
      <c r="Q9" s="235">
        <f t="shared" si="11"/>
        <v>9533.0732038274818</v>
      </c>
      <c r="R9" s="1026">
        <f t="shared" si="12"/>
        <v>937136.8824703088</v>
      </c>
      <c r="S9" s="1026">
        <f t="shared" si="13"/>
        <v>9686.169327858488</v>
      </c>
      <c r="T9" s="1026">
        <f>VLOOKUP(A9,'1920 Funding Detail'!$A$4:$BB$23,43,(FALSE))</f>
        <v>9572.3028929142383</v>
      </c>
      <c r="U9" s="235">
        <f t="shared" si="14"/>
        <v>113.8664349442497</v>
      </c>
      <c r="V9" s="253">
        <f>IF(O9&gt;'1920 Funding Detail'!O9,'1920 Funding Detail'!O9,('2021 Funding Detail'!O9))</f>
        <v>95</v>
      </c>
      <c r="W9" s="1026">
        <f>IF(U9&lt;0,((U9*V9)*-1),(0))</f>
        <v>0</v>
      </c>
      <c r="X9" s="1026">
        <f t="shared" si="2"/>
        <v>1382136.8824703088</v>
      </c>
      <c r="Y9" s="235">
        <f t="shared" si="3"/>
        <v>967500</v>
      </c>
      <c r="Z9" s="235">
        <f t="shared" si="15"/>
        <v>0</v>
      </c>
      <c r="AA9" s="242">
        <f t="shared" si="4"/>
        <v>14285.652531992855</v>
      </c>
      <c r="AB9" s="242">
        <f t="shared" si="5"/>
        <v>967500</v>
      </c>
      <c r="AC9" s="242">
        <f t="shared" si="6"/>
        <v>4285.6525319928551</v>
      </c>
      <c r="AD9" s="245">
        <f>VLOOKUP(A9,'1920 Funding Detail'!$A$4:$AK$23,25,FALSE)</f>
        <v>0</v>
      </c>
      <c r="AE9" s="245">
        <f t="shared" si="23"/>
        <v>4285.6525319928551</v>
      </c>
      <c r="AF9" s="245">
        <f t="shared" si="16"/>
        <v>14285.652531992855</v>
      </c>
      <c r="AG9" s="1029">
        <f t="shared" si="7"/>
        <v>0</v>
      </c>
      <c r="AH9" s="346">
        <f t="shared" si="8"/>
        <v>1382136.8824703088</v>
      </c>
      <c r="AI9" s="275">
        <f>VLOOKUP(A9,'1920 Funding Detail'!$A$4:$AJ$23,30,(FALSE))</f>
        <v>4256.5134192300266</v>
      </c>
      <c r="AJ9" s="235">
        <f t="shared" si="24"/>
        <v>1377880.3690510788</v>
      </c>
      <c r="AK9" s="42">
        <f t="shared" si="17"/>
        <v>967500</v>
      </c>
      <c r="AL9" s="42">
        <f t="shared" si="18"/>
        <v>414636.8824703088</v>
      </c>
      <c r="AM9" s="42">
        <f t="shared" si="9"/>
        <v>4285.652531992856</v>
      </c>
      <c r="AN9" s="327">
        <f t="shared" si="10"/>
        <v>14285.652531992855</v>
      </c>
      <c r="AO9" s="235"/>
      <c r="AP9" s="235"/>
      <c r="AQ9" s="1251">
        <f>SUM(AH9-'2223 Funding Detail'!D10-'2223 Funding Detail'!E10-P9)</f>
        <v>881016.8824703088</v>
      </c>
      <c r="AR9" s="1026">
        <f t="shared" si="19"/>
        <v>9106.1176482719256</v>
      </c>
      <c r="AS9" s="1026">
        <f t="shared" si="20"/>
        <v>8969.5258835478471</v>
      </c>
      <c r="AT9" s="36"/>
      <c r="AU9" s="387">
        <f t="shared" si="21"/>
        <v>1.1895406593175997E-2</v>
      </c>
      <c r="AV9" s="387">
        <f>'202021 MFG Protection'!N54/'2021 Funding Detail'!T9</f>
        <v>0</v>
      </c>
      <c r="AW9" s="387">
        <f t="shared" si="22"/>
        <v>1.1895406593175997E-2</v>
      </c>
      <c r="AX9" s="1037"/>
      <c r="AY9" s="36"/>
    </row>
    <row r="10" spans="1:51" ht="13" x14ac:dyDescent="0.3">
      <c r="A10" s="244">
        <v>9257002</v>
      </c>
      <c r="B10" s="237" t="s">
        <v>808</v>
      </c>
      <c r="C10" s="1038" t="s">
        <v>760</v>
      </c>
      <c r="D10" s="245">
        <v>385000</v>
      </c>
      <c r="E10" s="245">
        <v>115000</v>
      </c>
      <c r="F10" s="245"/>
      <c r="G10" s="245"/>
      <c r="H10" s="248">
        <f>VLOOKUP(A10,'2021 Band Calculations'!$A$112:$T$129,10,FALSE)</f>
        <v>1243151.9879120709</v>
      </c>
      <c r="I10" s="248">
        <f>VLOOKUP(A10,'2021 Band Calculations'!$A$112:$T$129,17,FALSE)</f>
        <v>60385.416666666672</v>
      </c>
      <c r="J10" s="245">
        <f>VLOOKUP(A10,'2021 FSM Calculation'!$A$4:$D$21,4,FALSE)</f>
        <v>15709.75</v>
      </c>
      <c r="K10" s="245">
        <f t="shared" si="0"/>
        <v>1819247.1545787377</v>
      </c>
      <c r="L10" s="248">
        <f t="shared" si="1"/>
        <v>1819247.1545787377</v>
      </c>
      <c r="M10" s="1036">
        <f>VLOOKUP(A10,'2021 Band Calculations'!$A$112:$T$129,19,FALSE)</f>
        <v>147.91666666666669</v>
      </c>
      <c r="N10" s="36"/>
      <c r="O10" s="253">
        <f>M10-(M10*'2021 Band Calculations'!J15)</f>
        <v>145.83333333333334</v>
      </c>
      <c r="P10" s="235">
        <f>'2021 Band Calculations'!AL121</f>
        <v>46901.564074571717</v>
      </c>
      <c r="Q10" s="235">
        <f t="shared" si="11"/>
        <v>8616.9314777428517</v>
      </c>
      <c r="R10" s="1026">
        <f t="shared" si="12"/>
        <v>1272345.590504166</v>
      </c>
      <c r="S10" s="1026">
        <f t="shared" si="13"/>
        <v>8724.6554777428519</v>
      </c>
      <c r="T10" s="1026">
        <f>VLOOKUP(A10,'1920 Funding Detail'!$A$4:$BB$23,43,(FALSE))</f>
        <v>9171.7488210335523</v>
      </c>
      <c r="U10" s="235">
        <f t="shared" si="14"/>
        <v>-447.09334329070043</v>
      </c>
      <c r="V10" s="253">
        <f>IF(O10&gt;'1920 Funding Detail'!O10,'1920 Funding Detail'!O10,('2021 Funding Detail'!O10))</f>
        <v>143.57928240740742</v>
      </c>
      <c r="W10" s="1026">
        <f>'202021 MFG Protection'!L71</f>
        <v>0</v>
      </c>
      <c r="X10" s="1026">
        <f t="shared" si="2"/>
        <v>1819247.1545787377</v>
      </c>
      <c r="Y10" s="235">
        <f t="shared" si="3"/>
        <v>1479166.6666666667</v>
      </c>
      <c r="Z10" s="235">
        <f t="shared" si="15"/>
        <v>0</v>
      </c>
      <c r="AA10" s="242">
        <f t="shared" si="4"/>
        <v>12299.135692926675</v>
      </c>
      <c r="AB10" s="242">
        <f t="shared" si="5"/>
        <v>1479166.6666666667</v>
      </c>
      <c r="AC10" s="242">
        <f t="shared" si="6"/>
        <v>2299.1356929266749</v>
      </c>
      <c r="AD10" s="245">
        <f>VLOOKUP(A10,'1920 Funding Detail'!$A$4:$AK$23,25,FALSE)</f>
        <v>0</v>
      </c>
      <c r="AE10" s="245">
        <f t="shared" si="23"/>
        <v>2299.1356929266749</v>
      </c>
      <c r="AF10" s="245">
        <f t="shared" si="16"/>
        <v>12299.135692926675</v>
      </c>
      <c r="AG10" s="1029">
        <f t="shared" si="7"/>
        <v>0</v>
      </c>
      <c r="AH10" s="346">
        <f t="shared" si="8"/>
        <v>1819247.1545787377</v>
      </c>
      <c r="AI10" s="275">
        <f>VLOOKUP(A10,'1920 Funding Detail'!$A$4:$AJ$23,30,(FALSE))</f>
        <v>2722.6079242868764</v>
      </c>
      <c r="AJ10" s="235">
        <f t="shared" si="24"/>
        <v>1816524.5466544507</v>
      </c>
      <c r="AK10" s="42">
        <f t="shared" si="17"/>
        <v>1479166.6666666667</v>
      </c>
      <c r="AL10" s="42">
        <f t="shared" si="18"/>
        <v>340080.48791207094</v>
      </c>
      <c r="AM10" s="42">
        <f t="shared" si="9"/>
        <v>2299.1356929266763</v>
      </c>
      <c r="AN10" s="327">
        <f t="shared" si="10"/>
        <v>12299.135692926675</v>
      </c>
      <c r="AO10" s="235"/>
      <c r="AP10" s="235"/>
      <c r="AQ10" s="1251">
        <f>SUM(AH10-'2223 Funding Detail'!D12-'2223 Funding Detail'!E12-P10)</f>
        <v>1184685.590504166</v>
      </c>
      <c r="AR10" s="1026">
        <f t="shared" si="19"/>
        <v>8123.558334885709</v>
      </c>
      <c r="AS10" s="1026">
        <f t="shared" si="20"/>
        <v>8001.7049598624235</v>
      </c>
      <c r="AT10" s="36"/>
      <c r="AU10" s="387">
        <f t="shared" si="21"/>
        <v>-4.8746793225015302E-2</v>
      </c>
      <c r="AV10" s="387">
        <f>'202021 MFG Protection'!N68/'2021 Funding Detail'!T10</f>
        <v>0</v>
      </c>
      <c r="AW10" s="387">
        <f t="shared" si="22"/>
        <v>-4.8746793225015302E-2</v>
      </c>
      <c r="AX10" s="1037"/>
      <c r="AY10" s="36"/>
    </row>
    <row r="11" spans="1:51" ht="13" x14ac:dyDescent="0.3">
      <c r="A11" s="244">
        <v>9257009</v>
      </c>
      <c r="B11" s="237" t="s">
        <v>546</v>
      </c>
      <c r="C11" s="1038" t="s">
        <v>760</v>
      </c>
      <c r="D11" s="245">
        <v>385000</v>
      </c>
      <c r="E11" s="245">
        <v>115000</v>
      </c>
      <c r="F11" s="245"/>
      <c r="G11" s="245"/>
      <c r="H11" s="248">
        <f>VLOOKUP(A11,'2021 Band Calculations'!$A$112:$T$129,10,FALSE)</f>
        <v>1124142.8964747144</v>
      </c>
      <c r="I11" s="248">
        <f>VLOOKUP(A11,'2021 Band Calculations'!$A$112:$T$129,17,FALSE)</f>
        <v>30464.208656330753</v>
      </c>
      <c r="J11" s="245">
        <f>VLOOKUP(A11,'2021 FSM Calculation'!$A$4:$D$21,4,FALSE)</f>
        <v>12118.95</v>
      </c>
      <c r="K11" s="245">
        <f t="shared" si="0"/>
        <v>1666726.0551310452</v>
      </c>
      <c r="L11" s="248">
        <f t="shared" si="1"/>
        <v>1666726.0551310452</v>
      </c>
      <c r="M11" s="1036">
        <f>VLOOKUP(A11,'2021 Band Calculations'!$A$112:$T$129,19,FALSE)</f>
        <v>135.58333333333334</v>
      </c>
      <c r="N11" s="36"/>
      <c r="O11" s="253">
        <f>M11-(M11*'2021 Band Calculations'!J16)</f>
        <v>135.58333333333334</v>
      </c>
      <c r="P11" s="235">
        <f>'2021 Band Calculations'!AL122</f>
        <v>0</v>
      </c>
      <c r="Q11" s="235">
        <f t="shared" si="11"/>
        <v>8515.8483476168058</v>
      </c>
      <c r="R11" s="1026">
        <f t="shared" si="12"/>
        <v>1166726.0551310452</v>
      </c>
      <c r="S11" s="1026">
        <f t="shared" si="13"/>
        <v>8605.2321214336462</v>
      </c>
      <c r="T11" s="1026">
        <f>VLOOKUP(A11,'1920 Funding Detail'!$A$4:$BB$23,43,(FALSE))</f>
        <v>9704.7517502975679</v>
      </c>
      <c r="U11" s="235">
        <f t="shared" si="14"/>
        <v>-1099.5196288639218</v>
      </c>
      <c r="V11" s="253">
        <f>IF(O11&gt;'1920 Funding Detail'!O11,'1920 Funding Detail'!O11,('2021 Funding Detail'!O11))</f>
        <v>134.16666666666669</v>
      </c>
      <c r="W11" s="1026">
        <f>'202021 MFG Protection'!L78</f>
        <v>77363.354881829611</v>
      </c>
      <c r="X11" s="1026">
        <f t="shared" si="2"/>
        <v>1744089.4100128748</v>
      </c>
      <c r="Y11" s="235">
        <f t="shared" si="3"/>
        <v>1355833.3333333335</v>
      </c>
      <c r="Z11" s="235">
        <f t="shared" si="15"/>
        <v>0</v>
      </c>
      <c r="AA11" s="242">
        <f t="shared" si="4"/>
        <v>12293.001021249256</v>
      </c>
      <c r="AB11" s="242">
        <f t="shared" si="5"/>
        <v>1355833.3333333335</v>
      </c>
      <c r="AC11" s="242">
        <f t="shared" si="6"/>
        <v>2293.0010212492562</v>
      </c>
      <c r="AD11" s="245">
        <f>VLOOKUP(A11,'1920 Funding Detail'!$A$4:$AK$23,25,FALSE)</f>
        <v>0</v>
      </c>
      <c r="AE11" s="245">
        <f t="shared" si="23"/>
        <v>2293.0010212492562</v>
      </c>
      <c r="AF11" s="245">
        <f t="shared" si="16"/>
        <v>12293.001021249256</v>
      </c>
      <c r="AG11" s="1029">
        <f t="shared" si="7"/>
        <v>77363.354881829611</v>
      </c>
      <c r="AH11" s="346">
        <f t="shared" si="8"/>
        <v>1744089.4100128748</v>
      </c>
      <c r="AI11" s="275">
        <f>VLOOKUP(A11,'1920 Funding Detail'!$A$4:$AJ$23,30,(FALSE))</f>
        <v>2811.2670107508184</v>
      </c>
      <c r="AJ11" s="235">
        <f>AH11-AI11</f>
        <v>1741278.143002124</v>
      </c>
      <c r="AK11" s="42">
        <f t="shared" si="17"/>
        <v>1355833.3333333335</v>
      </c>
      <c r="AL11" s="42">
        <f t="shared" si="18"/>
        <v>388256.07667954126</v>
      </c>
      <c r="AM11" s="42">
        <f t="shared" si="9"/>
        <v>2863.5973694864751</v>
      </c>
      <c r="AN11" s="327">
        <f t="shared" si="10"/>
        <v>12863.597369486475</v>
      </c>
      <c r="AO11" s="235"/>
      <c r="AP11" s="235"/>
      <c r="AQ11" s="1251">
        <f>SUM(AH11-'2223 Funding Detail'!D13-'2223 Funding Detail'!E13-P11)</f>
        <v>1049189.4100128748</v>
      </c>
      <c r="AR11" s="1026">
        <f t="shared" si="19"/>
        <v>7738.3361525227392</v>
      </c>
      <c r="AS11" s="1026">
        <f t="shared" si="20"/>
        <v>7622.2611102348983</v>
      </c>
      <c r="AT11" s="36"/>
      <c r="AU11" s="387">
        <f t="shared" si="21"/>
        <v>-0.11329703810612242</v>
      </c>
      <c r="AV11" s="387">
        <f>'202021 MFG Protection'!N75/'2021 Funding Detail'!T11</f>
        <v>6.3906097758955463E-2</v>
      </c>
      <c r="AW11" s="387">
        <f t="shared" si="22"/>
        <v>-4.9390940347166956E-2</v>
      </c>
      <c r="AX11" s="1037"/>
      <c r="AY11" s="36"/>
    </row>
    <row r="12" spans="1:51" ht="13" x14ac:dyDescent="0.3">
      <c r="A12" s="244">
        <v>9257028</v>
      </c>
      <c r="B12" s="237" t="s">
        <v>215</v>
      </c>
      <c r="C12" s="1040" t="s">
        <v>760</v>
      </c>
      <c r="D12" s="245">
        <v>385000</v>
      </c>
      <c r="E12" s="245">
        <v>115000</v>
      </c>
      <c r="F12" s="245"/>
      <c r="G12" s="245"/>
      <c r="H12" s="248">
        <f>VLOOKUP(A12,'2021 Band Calculations'!$A$112:$T$129,10,FALSE)</f>
        <v>1094030.7896330541</v>
      </c>
      <c r="I12" s="248">
        <f>VLOOKUP(A12,'2021 Band Calculations'!$A$112:$T$129,17,FALSE)</f>
        <v>10345.842105263158</v>
      </c>
      <c r="J12" s="245">
        <f>VLOOKUP(A12,'2021 FSM Calculation'!$A$4:$D$21,4,FALSE)</f>
        <v>9425.85</v>
      </c>
      <c r="K12" s="245">
        <f t="shared" si="0"/>
        <v>1613802.4817383173</v>
      </c>
      <c r="L12" s="248">
        <f t="shared" si="1"/>
        <v>1613802.4817383173</v>
      </c>
      <c r="M12" s="1036">
        <f>VLOOKUP(A12,'2021 Band Calculations'!$A$112:$T$129,19,FALSE)</f>
        <v>93.25</v>
      </c>
      <c r="N12" s="36"/>
      <c r="O12" s="253">
        <f>M12-(M12*'2021 Band Calculations'!J20)</f>
        <v>81.471052631578942</v>
      </c>
      <c r="P12" s="235">
        <f>'2021 Band Calculations'!AL126</f>
        <v>265176.50627088384</v>
      </c>
      <c r="Q12" s="235">
        <f t="shared" si="11"/>
        <v>10300.592644388536</v>
      </c>
      <c r="R12" s="1026">
        <f t="shared" si="12"/>
        <v>848625.97546743345</v>
      </c>
      <c r="S12" s="1026">
        <f t="shared" si="13"/>
        <v>10416.288338693908</v>
      </c>
      <c r="T12" s="1026">
        <f>VLOOKUP(A12,'1920 Funding Detail'!$A$4:$BB$23,43,(FALSE))</f>
        <v>10909.667485178938</v>
      </c>
      <c r="U12" s="235">
        <f t="shared" si="14"/>
        <v>-493.3791464850292</v>
      </c>
      <c r="V12" s="253">
        <f>IF(O12&gt;'1920 Funding Detail'!O12,'1920 Funding Detail'!O12,('2021 Funding Detail'!O12))</f>
        <v>71.705426356589157</v>
      </c>
      <c r="W12" s="1026">
        <f>'202021 MFG Protection'!L106</f>
        <v>0</v>
      </c>
      <c r="X12" s="1026">
        <f t="shared" si="2"/>
        <v>1613802.4817383173</v>
      </c>
      <c r="Y12" s="235">
        <f t="shared" si="3"/>
        <v>932500</v>
      </c>
      <c r="Z12" s="235">
        <f t="shared" si="15"/>
        <v>0</v>
      </c>
      <c r="AA12" s="242">
        <f t="shared" si="4"/>
        <v>17306.192833654877</v>
      </c>
      <c r="AB12" s="242">
        <f t="shared" si="5"/>
        <v>932500</v>
      </c>
      <c r="AC12" s="242">
        <f t="shared" si="6"/>
        <v>7306.1928336548772</v>
      </c>
      <c r="AD12" s="245">
        <f>VLOOKUP(A12,'1920 Funding Detail'!$A$4:$AK$23,25,FALSE)</f>
        <v>0</v>
      </c>
      <c r="AE12" s="245">
        <f t="shared" si="23"/>
        <v>7306.1928336548772</v>
      </c>
      <c r="AF12" s="245">
        <f t="shared" si="16"/>
        <v>17306.192833654877</v>
      </c>
      <c r="AG12" s="1029">
        <f t="shared" si="7"/>
        <v>0</v>
      </c>
      <c r="AH12" s="346">
        <f t="shared" si="8"/>
        <v>1613802.4817383173</v>
      </c>
      <c r="AI12" s="275">
        <f>VLOOKUP(A12,'1920 Funding Detail'!$A$4:$AJ$23,30,(FALSE))</f>
        <v>8528.702360148538</v>
      </c>
      <c r="AJ12" s="235">
        <f t="shared" si="24"/>
        <v>1605273.7793781688</v>
      </c>
      <c r="AK12" s="42">
        <f t="shared" si="17"/>
        <v>932500</v>
      </c>
      <c r="AL12" s="42">
        <f t="shared" si="18"/>
        <v>681302.48173831729</v>
      </c>
      <c r="AM12" s="42">
        <f t="shared" si="9"/>
        <v>7306.1928336548772</v>
      </c>
      <c r="AN12" s="327">
        <f t="shared" si="10"/>
        <v>17306.192833654877</v>
      </c>
      <c r="AO12" s="235"/>
      <c r="AP12" s="235"/>
      <c r="AQ12" s="1251">
        <f>SUM(AH12-'2223 Funding Detail'!D17-'2223 Funding Detail'!E17-P12)</f>
        <v>707345.97546743345</v>
      </c>
      <c r="AR12" s="1026">
        <f t="shared" si="19"/>
        <v>8682.1754797514368</v>
      </c>
      <c r="AS12" s="1026">
        <f t="shared" si="20"/>
        <v>8551.9428475551649</v>
      </c>
      <c r="AT12" s="36"/>
      <c r="AU12" s="387">
        <f t="shared" si="21"/>
        <v>-4.5224031544068358E-2</v>
      </c>
      <c r="AV12" s="387">
        <f>SUM('202021 MFG Protection'!N103/'2021 Funding Detail'!T12)</f>
        <v>0</v>
      </c>
      <c r="AW12" s="387">
        <f t="shared" si="22"/>
        <v>-4.5224031544068358E-2</v>
      </c>
      <c r="AX12" s="1037"/>
      <c r="AY12" s="36"/>
    </row>
    <row r="13" spans="1:51" ht="13" x14ac:dyDescent="0.3">
      <c r="A13" s="244">
        <v>9257021</v>
      </c>
      <c r="B13" s="237" t="s">
        <v>809</v>
      </c>
      <c r="C13" s="1038" t="s">
        <v>761</v>
      </c>
      <c r="D13" s="245">
        <v>407500</v>
      </c>
      <c r="E13" s="245">
        <v>120000</v>
      </c>
      <c r="F13" s="245"/>
      <c r="G13" s="245"/>
      <c r="H13" s="248">
        <f>VLOOKUP(A13,'2021 Band Calculations'!$A$112:$T$129,10,FALSE)</f>
        <v>1480789.4660544591</v>
      </c>
      <c r="I13" s="248">
        <f>VLOOKUP(A13,'2021 Band Calculations'!$A$112:$T$129,17,FALSE)</f>
        <v>42504.867075664632</v>
      </c>
      <c r="J13" s="245">
        <f>VLOOKUP(A13,'2021 FSM Calculation'!$A$4:$D$21,4,FALSE)</f>
        <v>29175.25</v>
      </c>
      <c r="K13" s="245">
        <f t="shared" si="0"/>
        <v>2079969.5831301238</v>
      </c>
      <c r="L13" s="248">
        <f t="shared" si="1"/>
        <v>2079969.5831301238</v>
      </c>
      <c r="M13" s="1036">
        <f>VLOOKUP(A13,'2021 Band Calculations'!$A$112:$T$129,19,FALSE)</f>
        <v>164.33333333333334</v>
      </c>
      <c r="N13" s="36"/>
      <c r="O13" s="253">
        <f>M13-(M13*'2021 Band Calculations'!J21)</f>
        <v>162.31697341513294</v>
      </c>
      <c r="P13" s="235">
        <f>'2021 Band Calculations'!AL127</f>
        <v>45393.808272419847</v>
      </c>
      <c r="Q13" s="235">
        <f t="shared" si="11"/>
        <v>9105.027612102569</v>
      </c>
      <c r="R13" s="1026">
        <f t="shared" si="12"/>
        <v>1507075.7748577041</v>
      </c>
      <c r="S13" s="1026">
        <f t="shared" si="13"/>
        <v>9284.7700591563535</v>
      </c>
      <c r="T13" s="1026">
        <f>VLOOKUP(A13,'1920 Funding Detail'!$A$4:$BB$23,43,(FALSE))</f>
        <v>9644.3828677192832</v>
      </c>
      <c r="U13" s="235">
        <f t="shared" si="14"/>
        <v>-359.61280856292979</v>
      </c>
      <c r="V13" s="253">
        <f>IF(O13&gt;'1920 Funding Detail'!O13,'1920 Funding Detail'!O13,('2021 Funding Detail'!O13))</f>
        <v>158.10133744855969</v>
      </c>
      <c r="W13" s="1026">
        <f>'202021 MFG Protection'!L113</f>
        <v>29747.944095442574</v>
      </c>
      <c r="X13" s="1026">
        <f t="shared" si="2"/>
        <v>2109717.5272255666</v>
      </c>
      <c r="Y13" s="235">
        <f t="shared" si="3"/>
        <v>1643333.3333333335</v>
      </c>
      <c r="Z13" s="235">
        <f t="shared" si="15"/>
        <v>0</v>
      </c>
      <c r="AA13" s="242">
        <f t="shared" si="4"/>
        <v>12657.015718844566</v>
      </c>
      <c r="AB13" s="242">
        <f t="shared" si="5"/>
        <v>1643333.3333333335</v>
      </c>
      <c r="AC13" s="242">
        <f t="shared" si="6"/>
        <v>2657.0157188445664</v>
      </c>
      <c r="AD13" s="245">
        <f>VLOOKUP(A13,'1920 Funding Detail'!$A$4:$AK$23,25,FALSE)</f>
        <v>0</v>
      </c>
      <c r="AE13" s="245">
        <f t="shared" si="23"/>
        <v>2657.0157188445664</v>
      </c>
      <c r="AF13" s="245">
        <f t="shared" si="16"/>
        <v>12657.015718844566</v>
      </c>
      <c r="AG13" s="1029">
        <f t="shared" si="7"/>
        <v>29747.944095442574</v>
      </c>
      <c r="AH13" s="346">
        <f t="shared" si="8"/>
        <v>2109717.5272255666</v>
      </c>
      <c r="AI13" s="275">
        <f>VLOOKUP(A13,'1920 Funding Detail'!$A$4:$AJ$23,30,(FALSE))</f>
        <v>2846.4521450475222</v>
      </c>
      <c r="AJ13" s="235">
        <f t="shared" si="24"/>
        <v>2106871.0750805191</v>
      </c>
      <c r="AK13" s="42">
        <f t="shared" si="17"/>
        <v>1643333.3333333335</v>
      </c>
      <c r="AL13" s="42">
        <f t="shared" si="18"/>
        <v>466384.19389223307</v>
      </c>
      <c r="AM13" s="42">
        <f t="shared" si="9"/>
        <v>2838.0376910277873</v>
      </c>
      <c r="AN13" s="327">
        <f t="shared" si="10"/>
        <v>12838.037691027788</v>
      </c>
      <c r="AO13" s="235"/>
      <c r="AP13" s="235"/>
      <c r="AQ13" s="1251">
        <f>SUM(AH13-'2223 Funding Detail'!D18-'2223 Funding Detail'!E18-P13)</f>
        <v>1423043.7189531466</v>
      </c>
      <c r="AR13" s="1026">
        <f t="shared" si="19"/>
        <v>8767.0666167095696</v>
      </c>
      <c r="AS13" s="1026">
        <f t="shared" si="20"/>
        <v>8635.5606174589266</v>
      </c>
      <c r="AT13" s="36"/>
      <c r="AU13" s="387">
        <f t="shared" si="21"/>
        <v>-3.7287280429999306E-2</v>
      </c>
      <c r="AV13" s="387">
        <f>'202021 MFG Protection'!N110/'2021 Funding Detail'!T13</f>
        <v>2.0160699854038597E-2</v>
      </c>
      <c r="AW13" s="387">
        <f t="shared" si="22"/>
        <v>-1.7126580575960709E-2</v>
      </c>
      <c r="AX13" s="1037"/>
      <c r="AY13" s="36"/>
    </row>
    <row r="14" spans="1:51" ht="12.75" customHeight="1" x14ac:dyDescent="0.3">
      <c r="A14" s="244">
        <v>9257015</v>
      </c>
      <c r="B14" s="237" t="s">
        <v>217</v>
      </c>
      <c r="C14" s="1038" t="s">
        <v>763</v>
      </c>
      <c r="D14" s="245">
        <v>452500</v>
      </c>
      <c r="E14" s="245">
        <v>130000</v>
      </c>
      <c r="F14" s="245"/>
      <c r="G14" s="245">
        <v>0</v>
      </c>
      <c r="H14" s="248">
        <f>VLOOKUP(A14,'2021 Band Calculations'!$A$112:$T$129,10,FALSE)</f>
        <v>2020340.8670849968</v>
      </c>
      <c r="I14" s="248">
        <f>VLOOKUP(A14,'2021 Band Calculations'!$A$112:$T$129,17,FALSE)</f>
        <v>15906.540948275862</v>
      </c>
      <c r="J14" s="245">
        <f>VLOOKUP(A14,'2021 FSM Calculation'!$A$4:$D$21,4,FALSE)</f>
        <v>35908</v>
      </c>
      <c r="K14" s="245">
        <f t="shared" si="0"/>
        <v>2654655.4080332727</v>
      </c>
      <c r="L14" s="248">
        <f>K14-F14-G14</f>
        <v>2654655.4080332727</v>
      </c>
      <c r="M14" s="1036">
        <f>VLOOKUP(A14,'2021 Band Calculations'!$A$112:$T$129,19,FALSE)</f>
        <v>233.41666666666671</v>
      </c>
      <c r="N14" s="36"/>
      <c r="O14" s="253">
        <f>M14-(M14*'2021 Band Calculations'!J22)</f>
        <v>230.39834770114948</v>
      </c>
      <c r="P14" s="235">
        <f>'2021 Band Calculations'!AL128</f>
        <v>67950.662572176923</v>
      </c>
      <c r="Q14" s="235">
        <f t="shared" si="11"/>
        <v>8543.0158900886763</v>
      </c>
      <c r="R14" s="1026">
        <f t="shared" si="12"/>
        <v>2004204.7454610958</v>
      </c>
      <c r="S14" s="1026">
        <f t="shared" si="13"/>
        <v>8698.8677022144147</v>
      </c>
      <c r="T14" s="1026">
        <f>VLOOKUP(A14,'1920 Funding Detail'!$A$4:$BB$23,43,(FALSE))</f>
        <v>8717.9681318862295</v>
      </c>
      <c r="U14" s="235">
        <f t="shared" si="14"/>
        <v>-19.100429671814709</v>
      </c>
      <c r="V14" s="253">
        <f>IF(O14&gt;'1920 Funding Detail'!O14,'1920 Funding Detail'!O14,('2021 Funding Detail'!O14))</f>
        <v>230.39834770114948</v>
      </c>
      <c r="W14" s="1026">
        <f>'202021 MFG Protection'!L120</f>
        <v>0</v>
      </c>
      <c r="X14" s="1026">
        <f t="shared" si="2"/>
        <v>2654655.4080332727</v>
      </c>
      <c r="Y14" s="235">
        <f t="shared" si="3"/>
        <v>2334166.666666667</v>
      </c>
      <c r="Z14" s="235">
        <f t="shared" si="15"/>
        <v>0</v>
      </c>
      <c r="AA14" s="242">
        <f t="shared" si="4"/>
        <v>11373.0328084253</v>
      </c>
      <c r="AB14" s="242">
        <f t="shared" si="5"/>
        <v>2334166.666666667</v>
      </c>
      <c r="AC14" s="242">
        <f t="shared" si="6"/>
        <v>1373.0328084252997</v>
      </c>
      <c r="AD14" s="245">
        <f>VLOOKUP(A14,'1920 Funding Detail'!$A$4:$AK$23,25,FALSE)</f>
        <v>0</v>
      </c>
      <c r="AE14" s="245">
        <f t="shared" si="23"/>
        <v>1373.0328084252997</v>
      </c>
      <c r="AF14" s="245">
        <f t="shared" si="16"/>
        <v>11373.0328084253</v>
      </c>
      <c r="AG14" s="1029">
        <f t="shared" si="7"/>
        <v>0</v>
      </c>
      <c r="AH14" s="346">
        <f t="shared" si="8"/>
        <v>2654655.4080332727</v>
      </c>
      <c r="AI14" s="275">
        <f>VLOOKUP(A14,'1920 Funding Detail'!$A$4:$AJ$23,30,(FALSE))</f>
        <v>1281.8587911951745</v>
      </c>
      <c r="AJ14" s="235">
        <f t="shared" si="24"/>
        <v>2653373.5492420774</v>
      </c>
      <c r="AK14" s="42">
        <f t="shared" si="17"/>
        <v>2334166.666666667</v>
      </c>
      <c r="AL14" s="42">
        <f t="shared" si="18"/>
        <v>320488.74136660574</v>
      </c>
      <c r="AM14" s="42">
        <f t="shared" si="9"/>
        <v>1373.032808425301</v>
      </c>
      <c r="AN14" s="327">
        <f t="shared" si="10"/>
        <v>11373.0328084253</v>
      </c>
      <c r="AO14" s="235"/>
      <c r="AP14" s="235"/>
      <c r="AQ14" s="1251">
        <f>SUM(AH14-'2223 Funding Detail'!D19-'2223 Funding Detail'!E19-P14)</f>
        <v>1840064.7454610958</v>
      </c>
      <c r="AR14" s="1026">
        <f t="shared" si="19"/>
        <v>7986.449398707713</v>
      </c>
      <c r="AS14" s="1026">
        <f t="shared" si="20"/>
        <v>7866.652657727097</v>
      </c>
      <c r="AT14" s="36"/>
      <c r="AU14" s="387">
        <f t="shared" si="21"/>
        <v>-2.1909267598667075E-3</v>
      </c>
      <c r="AV14" s="387">
        <f>'202021 MFG Protection'!N117/'2021 Funding Detail'!T14</f>
        <v>0</v>
      </c>
      <c r="AW14" s="387">
        <f t="shared" si="22"/>
        <v>-2.1909267598667075E-3</v>
      </c>
      <c r="AX14" s="1037"/>
      <c r="AY14" s="36"/>
    </row>
    <row r="15" spans="1:51" ht="13" x14ac:dyDescent="0.3">
      <c r="A15" s="244">
        <v>9257016</v>
      </c>
      <c r="B15" s="237" t="s">
        <v>219</v>
      </c>
      <c r="C15" s="1040" t="s">
        <v>763</v>
      </c>
      <c r="D15" s="245">
        <v>452500</v>
      </c>
      <c r="E15" s="245">
        <v>130000</v>
      </c>
      <c r="F15" s="245"/>
      <c r="G15" s="245"/>
      <c r="H15" s="248">
        <f>VLOOKUP(A15,'2021 Band Calculations'!$A$112:$T$129,10,FALSE)</f>
        <v>1961468.3847430935</v>
      </c>
      <c r="I15" s="248">
        <f>VLOOKUP(A15,'2021 Band Calculations'!$A$112:$T$129,17,FALSE)</f>
        <v>2582.9934210526317</v>
      </c>
      <c r="J15" s="245">
        <f>VLOOKUP(A15,'2021 FSM Calculation'!$A$4:$D$21,4,FALSE)</f>
        <v>19749.400000000001</v>
      </c>
      <c r="K15" s="245">
        <f t="shared" si="0"/>
        <v>2566300.778164146</v>
      </c>
      <c r="L15" s="248">
        <f>K15-F15</f>
        <v>2566300.778164146</v>
      </c>
      <c r="M15" s="1036">
        <f>VLOOKUP(A15,'2021 Band Calculations'!$A$112:$T$129,19,FALSE)</f>
        <v>149</v>
      </c>
      <c r="N15" s="36"/>
      <c r="O15" s="253">
        <f>M15-(M15*'2021 Band Calculations'!J23)</f>
        <v>115.67105263157895</v>
      </c>
      <c r="P15" s="235">
        <f>'2021 Band Calculations'!AL129</f>
        <v>750326.28505825368</v>
      </c>
      <c r="Q15" s="235">
        <f t="shared" si="11"/>
        <v>10492.902636338053</v>
      </c>
      <c r="R15" s="1026">
        <f t="shared" si="12"/>
        <v>1233474.4931058923</v>
      </c>
      <c r="S15" s="1026">
        <f t="shared" si="13"/>
        <v>10663.64025435648</v>
      </c>
      <c r="T15" s="1026">
        <f>VLOOKUP(A15,'1920 Funding Detail'!$A$4:$BB$23,43,(FALSE))</f>
        <v>10877.61404959277</v>
      </c>
      <c r="U15" s="235">
        <f t="shared" si="14"/>
        <v>-213.97379523629024</v>
      </c>
      <c r="V15" s="253">
        <f>IF(O15&gt;'1920 Funding Detail'!O15,'1920 Funding Detail'!O15,('2021 Funding Detail'!O15))</f>
        <v>101.8045343137255</v>
      </c>
      <c r="W15" s="1026">
        <f>'202021 MFG Protection'!L127</f>
        <v>0</v>
      </c>
      <c r="X15" s="1026">
        <f t="shared" si="2"/>
        <v>2566300.778164146</v>
      </c>
      <c r="Y15" s="235">
        <f t="shared" si="3"/>
        <v>1490000</v>
      </c>
      <c r="Z15" s="235">
        <f t="shared" si="15"/>
        <v>0</v>
      </c>
      <c r="AA15" s="242">
        <f t="shared" si="4"/>
        <v>17223.495155464068</v>
      </c>
      <c r="AB15" s="242">
        <f t="shared" si="5"/>
        <v>1490000</v>
      </c>
      <c r="AC15" s="242">
        <f t="shared" si="6"/>
        <v>7223.4951554640684</v>
      </c>
      <c r="AD15" s="245">
        <f>VLOOKUP(A15,'1920 Funding Detail'!$A$4:$AK$23,25,FALSE)</f>
        <v>0</v>
      </c>
      <c r="AE15" s="245">
        <f t="shared" si="23"/>
        <v>7223.4951554640684</v>
      </c>
      <c r="AF15" s="245">
        <f t="shared" si="16"/>
        <v>17223.495155464068</v>
      </c>
      <c r="AG15" s="1029">
        <f t="shared" si="7"/>
        <v>0</v>
      </c>
      <c r="AH15" s="346">
        <f t="shared" si="8"/>
        <v>2566300.778164146</v>
      </c>
      <c r="AI15" s="275">
        <f>VLOOKUP(A15,'1920 Funding Detail'!$A$4:$AJ$23,30,(FALSE))</f>
        <v>8121.1908235046249</v>
      </c>
      <c r="AJ15" s="235">
        <f t="shared" si="24"/>
        <v>2558179.5873406413</v>
      </c>
      <c r="AK15" s="42">
        <f t="shared" si="17"/>
        <v>1490000</v>
      </c>
      <c r="AL15" s="42">
        <f t="shared" si="18"/>
        <v>1076300.778164146</v>
      </c>
      <c r="AM15" s="42">
        <f t="shared" si="9"/>
        <v>7223.4951554640675</v>
      </c>
      <c r="AN15" s="327">
        <f t="shared" si="10"/>
        <v>17223.495155464068</v>
      </c>
      <c r="AO15" s="235"/>
      <c r="AP15" s="235"/>
      <c r="AQ15" s="1251">
        <f>SUM(AH15-'2223 Funding Detail'!D20-'2223 Funding Detail'!E20-P15)</f>
        <v>1069334.4931058923</v>
      </c>
      <c r="AR15" s="1026">
        <f t="shared" si="19"/>
        <v>9244.616252536438</v>
      </c>
      <c r="AS15" s="1026">
        <f t="shared" si="20"/>
        <v>9105.9470087483915</v>
      </c>
      <c r="AT15" s="36"/>
      <c r="AU15" s="387">
        <f t="shared" si="21"/>
        <v>-1.9671022915572267E-2</v>
      </c>
      <c r="AV15" s="387">
        <f>'202021 MFG Protection'!N124/'2021 Funding Detail'!T15</f>
        <v>0</v>
      </c>
      <c r="AW15" s="387">
        <f t="shared" si="22"/>
        <v>-1.9671022915572267E-2</v>
      </c>
      <c r="AX15" s="1037"/>
      <c r="AY15" s="36"/>
    </row>
    <row r="16" spans="1:51" ht="13" x14ac:dyDescent="0.3">
      <c r="A16" s="244"/>
      <c r="B16" s="237"/>
      <c r="C16" s="244"/>
      <c r="D16" s="245"/>
      <c r="E16" s="245"/>
      <c r="F16" s="245"/>
      <c r="G16" s="245"/>
      <c r="H16" s="248"/>
      <c r="I16" s="248"/>
      <c r="J16" s="245"/>
      <c r="K16" s="245"/>
      <c r="L16" s="248"/>
      <c r="M16" s="1036"/>
      <c r="N16" s="36"/>
      <c r="O16" s="234"/>
      <c r="P16" s="235"/>
      <c r="Q16" s="235"/>
      <c r="R16" s="235"/>
      <c r="S16" s="235"/>
      <c r="T16" s="235"/>
      <c r="U16" s="235"/>
      <c r="V16" s="253"/>
      <c r="W16" s="1026"/>
      <c r="X16" s="235"/>
      <c r="Y16" s="235"/>
      <c r="Z16" s="235"/>
      <c r="AA16" s="242"/>
      <c r="AB16" s="242"/>
      <c r="AC16" s="242"/>
      <c r="AD16" s="245"/>
      <c r="AE16" s="245"/>
      <c r="AF16" s="245"/>
      <c r="AG16" s="245"/>
      <c r="AH16" s="68"/>
      <c r="AI16" s="275"/>
      <c r="AJ16" s="235"/>
      <c r="AK16" s="42"/>
      <c r="AL16" s="42"/>
      <c r="AM16" s="42"/>
      <c r="AN16" s="327"/>
      <c r="AO16" s="235"/>
      <c r="AP16" s="234"/>
      <c r="AQ16" s="1251"/>
      <c r="AR16" s="1026"/>
      <c r="AS16" s="1026"/>
      <c r="AT16" s="36"/>
      <c r="AU16" s="387"/>
      <c r="AV16" s="387"/>
      <c r="AW16" s="387"/>
      <c r="AX16" s="1037"/>
      <c r="AY16" s="36"/>
    </row>
    <row r="17" spans="1:51" ht="13" x14ac:dyDescent="0.3">
      <c r="A17" s="244">
        <v>9257031</v>
      </c>
      <c r="B17" s="32" t="s">
        <v>557</v>
      </c>
      <c r="C17" s="1038" t="s">
        <v>810</v>
      </c>
      <c r="D17" s="245">
        <v>332500</v>
      </c>
      <c r="E17" s="245">
        <v>80000</v>
      </c>
      <c r="F17" s="245">
        <v>186476</v>
      </c>
      <c r="G17" s="245"/>
      <c r="H17" s="248">
        <f>VLOOKUP(A17,'2021 Band Calculations'!$A$112:$T$129,10,FALSE)</f>
        <v>877607.54304729425</v>
      </c>
      <c r="I17" s="248">
        <f>VLOOKUP(A17,'2021 Band Calculations'!$A$112:$T$129,17,FALSE)</f>
        <v>205310.41666666669</v>
      </c>
      <c r="J17" s="245">
        <f>VLOOKUP(A17,'2021 FSM Calculation'!$A$4:$D$21,4,FALSE)</f>
        <v>13914.35</v>
      </c>
      <c r="K17" s="245">
        <f>SUM(D17:J17)</f>
        <v>1695808.3097139611</v>
      </c>
      <c r="L17" s="248">
        <f>K17-F17</f>
        <v>1509332.3097139611</v>
      </c>
      <c r="M17" s="1036">
        <f>VLOOKUP(A17,'2021 Band Calculations'!$A$112:$T$129,19,FALSE)</f>
        <v>77.916666666666671</v>
      </c>
      <c r="N17" s="36"/>
      <c r="O17" s="253">
        <f>M17-(M17*'2021 Band Calculations'!J11)</f>
        <v>77.916666666666671</v>
      </c>
      <c r="P17" s="235">
        <f>'2021 Band Calculations'!AL117</f>
        <v>0</v>
      </c>
      <c r="Q17" s="235">
        <f>(H17+I17-P17)/O17</f>
        <v>13898.412317184526</v>
      </c>
      <c r="R17" s="1026">
        <f>L17-D17-E17-P17</f>
        <v>1096832.3097139611</v>
      </c>
      <c r="S17" s="1026">
        <f t="shared" si="13"/>
        <v>14076.992210232655</v>
      </c>
      <c r="T17" s="1026">
        <f>VLOOKUP(A17,'1920 Funding Detail'!$A$4:$BB$23,43,(FALSE))</f>
        <v>14527.623652186257</v>
      </c>
      <c r="U17" s="235">
        <f t="shared" si="14"/>
        <v>-450.63144195360292</v>
      </c>
      <c r="V17" s="253">
        <f>IF(O17&gt;'1920 Funding Detail'!O17,'1920 Funding Detail'!O17,('2021 Funding Detail'!O17))</f>
        <v>73.75</v>
      </c>
      <c r="W17" s="1026">
        <f>'202021 MFG Protection'!L43</f>
        <v>33387.685956377958</v>
      </c>
      <c r="X17" s="1026">
        <f>L17+W17</f>
        <v>1542719.9956703391</v>
      </c>
      <c r="Y17" s="235">
        <f>M17*10000</f>
        <v>779166.66666666674</v>
      </c>
      <c r="Z17" s="235">
        <f t="shared" si="15"/>
        <v>0</v>
      </c>
      <c r="AA17" s="1263">
        <f>L17/M17</f>
        <v>19371.109857291478</v>
      </c>
      <c r="AB17" s="242">
        <f>M17*10000</f>
        <v>779166.66666666674</v>
      </c>
      <c r="AC17" s="242">
        <f>AA17-10000</f>
        <v>9371.109857291478</v>
      </c>
      <c r="AD17" s="245">
        <f>VLOOKUP(A17,'1920 Funding Detail'!$A$4:$AK$23,25,FALSE)</f>
        <v>0</v>
      </c>
      <c r="AE17" s="245">
        <f t="shared" si="23"/>
        <v>9371.109857291478</v>
      </c>
      <c r="AF17" s="245">
        <f t="shared" si="16"/>
        <v>19371.109857291478</v>
      </c>
      <c r="AG17" s="1029">
        <f>W17+Z17</f>
        <v>33387.685956377958</v>
      </c>
      <c r="AH17" s="346">
        <f>L17+AG17</f>
        <v>1542719.9956703391</v>
      </c>
      <c r="AI17" s="275">
        <f>VLOOKUP(A17,'1920 Funding Detail'!$A$4:$AJ$23,30,(FALSE))</f>
        <v>9668.1296053201149</v>
      </c>
      <c r="AJ17" s="235">
        <f>AH17-AI17</f>
        <v>1533051.866065019</v>
      </c>
      <c r="AK17" s="42">
        <f>M17*10000</f>
        <v>779166.66666666674</v>
      </c>
      <c r="AL17" s="42">
        <f>AH17-AK17</f>
        <v>763553.32900367235</v>
      </c>
      <c r="AM17" s="42">
        <f>AL17/M17</f>
        <v>9799.6149176941908</v>
      </c>
      <c r="AN17" s="327">
        <f>AH17/M17</f>
        <v>19799.614917694191</v>
      </c>
      <c r="AO17" s="235"/>
      <c r="AP17" s="235"/>
      <c r="AQ17" s="1251">
        <f>SUM(AH17-'2223 Funding Detail'!D8-'2223 Funding Detail'!E8-P17)</f>
        <v>1052619.9956703391</v>
      </c>
      <c r="AR17" s="1026">
        <f t="shared" si="19"/>
        <v>13509.561441758362</v>
      </c>
      <c r="AS17" s="1026">
        <f t="shared" si="20"/>
        <v>13306.918020131987</v>
      </c>
      <c r="AT17" s="36"/>
      <c r="AU17" s="387">
        <f>(S17-T17)/T17</f>
        <v>-3.1018936939888827E-2</v>
      </c>
      <c r="AV17" s="387">
        <f>'202021 MFG Protection'!N40/'2021 Funding Detail'!T17</f>
        <v>3.1162315096252089E-2</v>
      </c>
      <c r="AW17" s="387">
        <f t="shared" si="22"/>
        <v>1.4337815636326218E-4</v>
      </c>
      <c r="AX17" s="1037"/>
      <c r="AY17" s="36"/>
    </row>
    <row r="18" spans="1:51" ht="13" x14ac:dyDescent="0.3">
      <c r="A18" s="244">
        <v>9257029</v>
      </c>
      <c r="B18" s="32" t="s">
        <v>890</v>
      </c>
      <c r="C18" s="1040" t="s">
        <v>810</v>
      </c>
      <c r="D18" s="245">
        <v>332500</v>
      </c>
      <c r="E18" s="245">
        <v>80000</v>
      </c>
      <c r="F18" s="245">
        <v>263773</v>
      </c>
      <c r="G18" s="245"/>
      <c r="H18" s="248">
        <f>VLOOKUP(A18,'2021 Band Calculations'!$A$112:$T$129,10,FALSE)</f>
        <v>779052.6852719296</v>
      </c>
      <c r="I18" s="248">
        <f>VLOOKUP(A18,'2021 Band Calculations'!$A$112:$T$129,17,FALSE)</f>
        <v>182254.16666666669</v>
      </c>
      <c r="J18" s="245">
        <f>VLOOKUP(A18,'2021 FSM Calculation'!$A$4:$D$21,4,FALSE)</f>
        <v>8528.15</v>
      </c>
      <c r="K18" s="245">
        <f>SUM(D18:J18)</f>
        <v>1646108.0019385961</v>
      </c>
      <c r="L18" s="248">
        <f>K18-F18</f>
        <v>1382335.0019385961</v>
      </c>
      <c r="M18" s="1036">
        <f>VLOOKUP(A18,'2021 Band Calculations'!$A$112:$T$129,19,FALSE)</f>
        <v>69.166666666666671</v>
      </c>
      <c r="N18" s="36"/>
      <c r="O18" s="253">
        <f>M18-(M18*'2021 Band Calculations'!J17)</f>
        <v>69.166666666666671</v>
      </c>
      <c r="P18" s="235">
        <f>'2021 Band Calculations'!AL123</f>
        <v>0</v>
      </c>
      <c r="Q18" s="235">
        <f>(H18+I18-P18)/O18</f>
        <v>13898.412317184522</v>
      </c>
      <c r="R18" s="1026">
        <f>L18-D18-E18-P18</f>
        <v>969835.00193859614</v>
      </c>
      <c r="S18" s="1026">
        <f t="shared" si="13"/>
        <v>14021.710871401388</v>
      </c>
      <c r="T18" s="1026">
        <f>VLOOKUP(A18,'1920 Funding Detail'!$A$4:$BB$23,43,(FALSE))</f>
        <v>14239.174624864454</v>
      </c>
      <c r="U18" s="235">
        <f t="shared" si="14"/>
        <v>-217.46375346306559</v>
      </c>
      <c r="V18" s="253">
        <f>IF(O18&gt;'1920 Funding Detail'!O18,'1920 Funding Detail'!O18,('2021 Funding Detail'!O18))</f>
        <v>56.750000000000007</v>
      </c>
      <c r="W18" s="1026">
        <f>'202021 MFG Protection'!L85</f>
        <v>16963.560960835996</v>
      </c>
      <c r="X18" s="1026">
        <f>L18+W18</f>
        <v>1399298.5628994321</v>
      </c>
      <c r="Y18" s="235">
        <f>M18*10000</f>
        <v>691666.66666666674</v>
      </c>
      <c r="Z18" s="235">
        <f t="shared" si="15"/>
        <v>0</v>
      </c>
      <c r="AA18" s="242">
        <f>L18/M18</f>
        <v>19985.566293088137</v>
      </c>
      <c r="AB18" s="242">
        <f>M18*10000</f>
        <v>691666.66666666674</v>
      </c>
      <c r="AC18" s="242">
        <f>AA18-10000</f>
        <v>9985.5662930881372</v>
      </c>
      <c r="AD18" s="245">
        <f>VLOOKUP(A18,'1920 Funding Detail'!$A$4:$AK$23,25,FALSE)</f>
        <v>0</v>
      </c>
      <c r="AE18" s="245">
        <f t="shared" si="23"/>
        <v>9985.5662930881372</v>
      </c>
      <c r="AF18" s="245">
        <f t="shared" si="16"/>
        <v>19985.566293088137</v>
      </c>
      <c r="AG18" s="1029">
        <f>W18+Z18</f>
        <v>16963.560960835996</v>
      </c>
      <c r="AH18" s="346">
        <f>L18+AG18</f>
        <v>1399298.5628994321</v>
      </c>
      <c r="AI18" s="275">
        <f>VLOOKUP(A18,'1920 Funding Detail'!$A$4:$AJ$23,30,(FALSE))</f>
        <v>11208.979718065581</v>
      </c>
      <c r="AJ18" s="235">
        <f t="shared" si="24"/>
        <v>1388089.5831813666</v>
      </c>
      <c r="AK18" s="42">
        <f>M18*10000</f>
        <v>691666.66666666674</v>
      </c>
      <c r="AL18" s="42">
        <f>AH18-AK18</f>
        <v>707631.8962327654</v>
      </c>
      <c r="AM18" s="42">
        <f>AL18/M18</f>
        <v>10230.822596136366</v>
      </c>
      <c r="AN18" s="327">
        <f>AH18/M18</f>
        <v>20230.822596136368</v>
      </c>
      <c r="AO18" s="235"/>
      <c r="AP18" s="235"/>
      <c r="AQ18" s="1251">
        <f>SUM(AH18-'2223 Funding Detail'!D14-'2223 Funding Detail'!E14-P18)</f>
        <v>927473.56289943215</v>
      </c>
      <c r="AR18" s="1026">
        <f t="shared" si="19"/>
        <v>13409.256331076127</v>
      </c>
      <c r="AS18" s="1026">
        <f t="shared" si="20"/>
        <v>13208.117486109984</v>
      </c>
      <c r="AT18" s="36"/>
      <c r="AU18" s="387">
        <f>(S18-T18)/T18</f>
        <v>-1.5272216205799617E-2</v>
      </c>
      <c r="AV18" s="387">
        <f>'202021 MFG Protection'!N82/'2021 Funding Detail'!T18</f>
        <v>2.0992605374559766E-2</v>
      </c>
      <c r="AW18" s="387">
        <f t="shared" si="22"/>
        <v>5.7203891687601493E-3</v>
      </c>
      <c r="AX18" s="1037"/>
      <c r="AY18" s="235">
        <v>0</v>
      </c>
    </row>
    <row r="19" spans="1:51" ht="13" x14ac:dyDescent="0.3">
      <c r="A19" s="244">
        <v>9257032</v>
      </c>
      <c r="B19" s="32" t="s">
        <v>813</v>
      </c>
      <c r="C19" s="1038" t="s">
        <v>810</v>
      </c>
      <c r="D19" s="245">
        <v>332500</v>
      </c>
      <c r="E19" s="245">
        <v>80000</v>
      </c>
      <c r="F19" s="245">
        <v>234145</v>
      </c>
      <c r="G19" s="245">
        <v>160701</v>
      </c>
      <c r="H19" s="248">
        <f>VLOOKUP(A19,'2021 Band Calculations'!$A$112:$T$129,10,FALSE)</f>
        <v>871975.83688870189</v>
      </c>
      <c r="I19" s="248">
        <f>VLOOKUP(A19,'2021 Band Calculations'!$A$112:$T$129,17,FALSE)</f>
        <v>203992.91666666669</v>
      </c>
      <c r="J19" s="245">
        <f>VLOOKUP(A19,'2021 FSM Calculation'!$A$4:$D$21,4,FALSE)</f>
        <v>16158.6</v>
      </c>
      <c r="K19" s="245">
        <f>SUM(D19:J19)</f>
        <v>1899473.3535553687</v>
      </c>
      <c r="L19" s="248">
        <f>K19-F19-G19</f>
        <v>1504627.3535553687</v>
      </c>
      <c r="M19" s="1036">
        <f>VLOOKUP(A19,'2021 Band Calculations'!$A$112:$T$129,19,FALSE)</f>
        <v>77.416666666666671</v>
      </c>
      <c r="N19" s="36"/>
      <c r="O19" s="253">
        <f>M19-(M19*'2021 Band Calculations'!J18)</f>
        <v>77.416666666666671</v>
      </c>
      <c r="P19" s="235">
        <f>'2021 Band Calculations'!AL124</f>
        <v>0</v>
      </c>
      <c r="Q19" s="235">
        <f>(H19+I19-P19)/O19</f>
        <v>13898.412317184524</v>
      </c>
      <c r="R19" s="1026">
        <f>L19-D19-E19-P19</f>
        <v>1092127.3535553687</v>
      </c>
      <c r="S19" s="1026">
        <f t="shared" si="13"/>
        <v>14107.13481449346</v>
      </c>
      <c r="T19" s="1026">
        <f>VLOOKUP(A19,'1920 Funding Detail'!$A$4:$BB$23,43,(FALSE))</f>
        <v>14617.884840609953</v>
      </c>
      <c r="U19" s="235">
        <f t="shared" si="14"/>
        <v>-510.75002611649325</v>
      </c>
      <c r="V19" s="253">
        <f>IF(O19&gt;'1920 Funding Detail'!O19,'1920 Funding Detail'!O19,('2021 Funding Detail'!O19))</f>
        <v>71.416666666666671</v>
      </c>
      <c r="W19" s="1026">
        <f>SUM('202021 MFG Protection'!L92)</f>
        <v>41956.479381299068</v>
      </c>
      <c r="X19" s="1026">
        <f>L19+W19</f>
        <v>1546583.8329366678</v>
      </c>
      <c r="Y19" s="235">
        <f>M19*10000</f>
        <v>774166.66666666674</v>
      </c>
      <c r="Z19" s="235">
        <f t="shared" si="15"/>
        <v>0</v>
      </c>
      <c r="AA19" s="242">
        <f>L19/M19</f>
        <v>19435.44482525772</v>
      </c>
      <c r="AB19" s="242">
        <f>M19*10000</f>
        <v>774166.66666666674</v>
      </c>
      <c r="AC19" s="242">
        <f>AA19-10000</f>
        <v>9435.4448252577204</v>
      </c>
      <c r="AD19" s="245">
        <f>VLOOKUP(A19,'1920 Funding Detail'!$A$4:$AK$23,25,FALSE)</f>
        <v>0</v>
      </c>
      <c r="AE19" s="245">
        <f t="shared" si="23"/>
        <v>9435.4448252577204</v>
      </c>
      <c r="AF19" s="245">
        <f t="shared" si="16"/>
        <v>19435.44482525772</v>
      </c>
      <c r="AG19" s="1029">
        <f>W19+Z19</f>
        <v>41956.479381299068</v>
      </c>
      <c r="AH19" s="346">
        <f>L19+AG19</f>
        <v>1546583.8329366678</v>
      </c>
      <c r="AI19" s="275">
        <f>VLOOKUP(A19,'1920 Funding Detail'!$A$4:$AJ$23,30,(FALSE))</f>
        <v>9806.3588749441551</v>
      </c>
      <c r="AJ19" s="235">
        <f t="shared" si="24"/>
        <v>1536777.4740617238</v>
      </c>
      <c r="AK19" s="42">
        <f>M19*10000</f>
        <v>774166.66666666674</v>
      </c>
      <c r="AL19" s="42">
        <f>AH19-AK19</f>
        <v>772417.16627000109</v>
      </c>
      <c r="AM19" s="42">
        <f>AL19/M19</f>
        <v>9977.4015018729951</v>
      </c>
      <c r="AN19" s="327">
        <f>AH19/M19</f>
        <v>19977.401501872995</v>
      </c>
      <c r="AO19" s="235"/>
      <c r="AP19" s="235"/>
      <c r="AQ19" s="1251">
        <f>SUM(AH19-'2223 Funding Detail'!D15-'2223 Funding Detail'!E15-P19)</f>
        <v>1074758.8329366678</v>
      </c>
      <c r="AR19" s="1026">
        <f t="shared" si="19"/>
        <v>13882.783633197001</v>
      </c>
      <c r="AS19" s="1026">
        <f t="shared" si="20"/>
        <v>13674.541878699047</v>
      </c>
      <c r="AT19" s="36"/>
      <c r="AU19" s="387">
        <f>(S19-T19)/T19</f>
        <v>-3.4940077287897241E-2</v>
      </c>
      <c r="AV19" s="387">
        <f>'202021 MFG Protection'!N89/'2021 Funding Detail'!T19</f>
        <v>4.0189715031623635E-2</v>
      </c>
      <c r="AW19" s="387">
        <f t="shared" si="22"/>
        <v>5.2496377437263944E-3</v>
      </c>
      <c r="AX19" s="1037"/>
      <c r="AY19" s="235">
        <v>0</v>
      </c>
    </row>
    <row r="20" spans="1:51" ht="13" x14ac:dyDescent="0.3">
      <c r="A20" s="244">
        <v>9257030</v>
      </c>
      <c r="B20" s="32" t="s">
        <v>815</v>
      </c>
      <c r="C20" s="1038" t="s">
        <v>810</v>
      </c>
      <c r="D20" s="245">
        <v>332500</v>
      </c>
      <c r="E20" s="245">
        <v>80000</v>
      </c>
      <c r="F20" s="245">
        <v>287504</v>
      </c>
      <c r="G20" s="245"/>
      <c r="H20" s="248">
        <f>VLOOKUP(A20,'2021 Band Calculations'!$A$112:$T$129,10,FALSE)</f>
        <v>840062.83532334573</v>
      </c>
      <c r="I20" s="248">
        <f>VLOOKUP(A20,'2021 Band Calculations'!$A$112:$T$129,17,FALSE)</f>
        <v>196527.08333333337</v>
      </c>
      <c r="J20" s="245">
        <f>VLOOKUP(A20,'2021 FSM Calculation'!$A$4:$D$21,4,FALSE)</f>
        <v>8977</v>
      </c>
      <c r="K20" s="245">
        <f>SUM(D20:J20)</f>
        <v>1745570.9186566793</v>
      </c>
      <c r="L20" s="248">
        <f>K20-F20</f>
        <v>1458066.9186566793</v>
      </c>
      <c r="M20" s="1036">
        <f>VLOOKUP(A20,'2021 Band Calculations'!$A$112:$T$129,19,FALSE)</f>
        <v>74.583333333333343</v>
      </c>
      <c r="N20" s="36"/>
      <c r="O20" s="253">
        <f>M20-(M20*'2021 Band Calculations'!J19)</f>
        <v>74.583333333333343</v>
      </c>
      <c r="P20" s="235">
        <f>'2021 Band Calculations'!AL125</f>
        <v>0</v>
      </c>
      <c r="Q20" s="235">
        <f>(H20+I20-P20)/O20</f>
        <v>13898.412317184522</v>
      </c>
      <c r="R20" s="1026">
        <f>L20-D20-E20-P20</f>
        <v>1045566.9186566793</v>
      </c>
      <c r="S20" s="1026">
        <f t="shared" si="13"/>
        <v>14018.774328357709</v>
      </c>
      <c r="T20" s="1026">
        <f>VLOOKUP(A20,'1920 Funding Detail'!$A$4:$BB$23,43,(FALSE))</f>
        <v>14668.774640558368</v>
      </c>
      <c r="U20" s="235">
        <f t="shared" si="14"/>
        <v>-650.0003122006583</v>
      </c>
      <c r="V20" s="253">
        <f>IF(O20&gt;'1920 Funding Detail'!O20,'1920 Funding Detail'!O20,('2021 Funding Detail'!O20))</f>
        <v>72.333333333333343</v>
      </c>
      <c r="W20" s="1026">
        <f>'202021 MFG Protection'!L99</f>
        <v>48541.274724041381</v>
      </c>
      <c r="X20" s="1026">
        <f>L20+W20</f>
        <v>1506608.1933807207</v>
      </c>
      <c r="Y20" s="235">
        <f>M20*10000</f>
        <v>745833.33333333337</v>
      </c>
      <c r="Z20" s="235">
        <f t="shared" si="15"/>
        <v>0</v>
      </c>
      <c r="AA20" s="242">
        <f>L20/M20</f>
        <v>19549.500585340949</v>
      </c>
      <c r="AB20" s="242">
        <f>M20*10000</f>
        <v>745833.33333333337</v>
      </c>
      <c r="AC20" s="242">
        <f>AA20-10000</f>
        <v>9549.5005853409493</v>
      </c>
      <c r="AD20" s="245">
        <f>VLOOKUP(A20,'1920 Funding Detail'!$A$4:$AK$23,25,FALSE)</f>
        <v>0</v>
      </c>
      <c r="AE20" s="245">
        <f t="shared" si="23"/>
        <v>9549.5005853409493</v>
      </c>
      <c r="AF20" s="245">
        <f t="shared" si="16"/>
        <v>19549.500585340949</v>
      </c>
      <c r="AG20" s="1029">
        <f>W20+Z20</f>
        <v>48541.274724041381</v>
      </c>
      <c r="AH20" s="346">
        <f>L20+AG20</f>
        <v>1506608.1933807207</v>
      </c>
      <c r="AI20" s="275">
        <f>VLOOKUP(A20,'1920 Funding Detail'!$A$4:$AJ$23,30,(FALSE))</f>
        <v>9700.4620867697777</v>
      </c>
      <c r="AJ20" s="235">
        <f t="shared" si="24"/>
        <v>1496907.7312939509</v>
      </c>
      <c r="AK20" s="42">
        <f>M20*10000</f>
        <v>745833.33333333337</v>
      </c>
      <c r="AL20" s="42">
        <f>AH20-AK20</f>
        <v>760774.86004738731</v>
      </c>
      <c r="AM20" s="42">
        <f>AL20/M20</f>
        <v>10200.333319071113</v>
      </c>
      <c r="AN20" s="327">
        <f>AH20/M20</f>
        <v>20200.333319071113</v>
      </c>
      <c r="AO20" s="235"/>
      <c r="AP20" s="235"/>
      <c r="AQ20" s="1251">
        <f>SUM(AH20-'2223 Funding Detail'!D16-'2223 Funding Detail'!E16-P20)</f>
        <v>1034783.1933807207</v>
      </c>
      <c r="AR20" s="1026">
        <f t="shared" si="19"/>
        <v>13874.188067674466</v>
      </c>
      <c r="AS20" s="1026">
        <f t="shared" si="20"/>
        <v>13666.075246659349</v>
      </c>
      <c r="AT20" s="36"/>
      <c r="AU20" s="387">
        <f>(S20-T20)/T20</f>
        <v>-4.43118343643676E-2</v>
      </c>
      <c r="AV20" s="387">
        <f>'202021 MFG Protection'!N96/'2021 Funding Detail'!T20</f>
        <v>4.5748710931288204E-2</v>
      </c>
      <c r="AW20" s="387">
        <f t="shared" si="22"/>
        <v>1.4368765669206043E-3</v>
      </c>
      <c r="AX20" s="1037"/>
      <c r="AY20" s="36"/>
    </row>
    <row r="21" spans="1:51" ht="13" x14ac:dyDescent="0.3">
      <c r="A21" s="244"/>
      <c r="B21" s="32"/>
      <c r="C21" s="244"/>
      <c r="D21" s="245"/>
      <c r="E21" s="245"/>
      <c r="F21" s="245"/>
      <c r="G21" s="245"/>
      <c r="H21" s="248"/>
      <c r="I21" s="248"/>
      <c r="J21" s="245"/>
      <c r="K21" s="245"/>
      <c r="L21" s="248"/>
      <c r="M21" s="1036"/>
      <c r="N21" s="36"/>
      <c r="O21" s="234"/>
      <c r="P21" s="235"/>
      <c r="Q21" s="235"/>
      <c r="R21" s="235"/>
      <c r="S21" s="235"/>
      <c r="T21" s="235"/>
      <c r="U21" s="235"/>
      <c r="V21" s="253"/>
      <c r="W21" s="1026"/>
      <c r="X21" s="235"/>
      <c r="Y21" s="235"/>
      <c r="Z21" s="235"/>
      <c r="AA21" s="242"/>
      <c r="AB21" s="242"/>
      <c r="AC21" s="242"/>
      <c r="AD21" s="245"/>
      <c r="AE21" s="245"/>
      <c r="AF21" s="245"/>
      <c r="AG21" s="245"/>
      <c r="AH21" s="68"/>
      <c r="AI21" s="275"/>
      <c r="AJ21" s="235"/>
      <c r="AK21" s="42"/>
      <c r="AL21" s="42"/>
      <c r="AM21" s="42"/>
      <c r="AN21" s="327"/>
      <c r="AO21" s="235"/>
      <c r="AP21" s="234"/>
      <c r="AQ21" s="1251"/>
      <c r="AR21" s="1026"/>
      <c r="AS21" s="1026"/>
      <c r="AT21" s="36"/>
      <c r="AU21" s="387"/>
      <c r="AV21" s="387"/>
      <c r="AW21" s="387"/>
      <c r="AX21" s="1037"/>
      <c r="AY21" s="36"/>
    </row>
    <row r="22" spans="1:51" ht="13" x14ac:dyDescent="0.3">
      <c r="A22" s="244">
        <v>9257033</v>
      </c>
      <c r="B22" s="237" t="s">
        <v>816</v>
      </c>
      <c r="C22" s="1040" t="s">
        <v>758</v>
      </c>
      <c r="D22" s="245">
        <v>340000</v>
      </c>
      <c r="E22" s="245">
        <v>105000</v>
      </c>
      <c r="F22" s="245"/>
      <c r="G22" s="245"/>
      <c r="H22" s="248">
        <f>VLOOKUP(A22,'2021 Band Calculations'!$A$112:$T$129,10,FALSE)</f>
        <v>866078.96842602338</v>
      </c>
      <c r="I22" s="248">
        <f>VLOOKUP(A22,'2021 Band Calculations'!$A$112:$T$129,17,FALSE)</f>
        <v>31841.894736842107</v>
      </c>
      <c r="J22" s="245">
        <f>VLOOKUP(A22,'2021 FSM Calculation'!$A$4:$D$21,4,FALSE)</f>
        <v>20647.100000000002</v>
      </c>
      <c r="K22" s="245">
        <f>SUM(D22:J22)</f>
        <v>1363567.9631628655</v>
      </c>
      <c r="L22" s="248">
        <f>K22-F22</f>
        <v>1363567.9631628655</v>
      </c>
      <c r="M22" s="1036">
        <f>VLOOKUP(A22,'2021 Band Calculations'!$A$112:$T$129,19,FALSE)</f>
        <v>95.666666666666686</v>
      </c>
      <c r="N22" s="36"/>
      <c r="O22" s="253">
        <f>M22-(M22*'2021 Band Calculations'!J12)</f>
        <v>95.666666666666686</v>
      </c>
      <c r="P22" s="235">
        <f>'2021 Band Calculations'!AL118</f>
        <v>0</v>
      </c>
      <c r="Q22" s="235">
        <f>(H22+I22-P22)/O22</f>
        <v>9385.9323675560845</v>
      </c>
      <c r="R22" s="1026">
        <f>L22-D22-E22-P22</f>
        <v>918567.96316286549</v>
      </c>
      <c r="S22" s="1026">
        <f t="shared" si="13"/>
        <v>9601.7557125038184</v>
      </c>
      <c r="T22" s="1026">
        <f>VLOOKUP(A22,'1920 Funding Detail'!$A$4:$BB$23,43,(FALSE))</f>
        <v>10529.73723942477</v>
      </c>
      <c r="U22" s="235">
        <f t="shared" si="14"/>
        <v>-927.98152692095209</v>
      </c>
      <c r="V22" s="253">
        <f>IF(O22&gt;'1920 Funding Detail'!O22,'1920 Funding Detail'!O22,('2021 Funding Detail'!O22))</f>
        <v>91.833333333333343</v>
      </c>
      <c r="W22" s="1026">
        <f>'202021 MFG Protection'!L50</f>
        <v>0</v>
      </c>
      <c r="X22" s="1026">
        <f>L22+W22</f>
        <v>1363567.9631628655</v>
      </c>
      <c r="Y22" s="235">
        <f>M22*10000</f>
        <v>956666.66666666686</v>
      </c>
      <c r="Z22" s="235">
        <f t="shared" si="15"/>
        <v>0</v>
      </c>
      <c r="AA22" s="242">
        <f>L22/M22</f>
        <v>14253.323656754688</v>
      </c>
      <c r="AB22" s="242">
        <f>M22*10000</f>
        <v>956666.66666666686</v>
      </c>
      <c r="AC22" s="242">
        <f>AA22-10000</f>
        <v>4253.3236567546883</v>
      </c>
      <c r="AD22" s="245">
        <f>VLOOKUP(A22,'1920 Funding Detail'!$A$4:$AK$23,25,FALSE)</f>
        <v>0</v>
      </c>
      <c r="AE22" s="245">
        <f t="shared" si="23"/>
        <v>4253.3236567546883</v>
      </c>
      <c r="AF22" s="245">
        <f t="shared" si="16"/>
        <v>14253.323656754688</v>
      </c>
      <c r="AG22" s="1029">
        <f>W22+Z22</f>
        <v>0</v>
      </c>
      <c r="AH22" s="346">
        <f>L22+AG22</f>
        <v>1363567.9631628655</v>
      </c>
      <c r="AI22" s="275">
        <f>VLOOKUP(A22,'1920 Funding Detail'!$A$4:$AJ$23,30,(FALSE))</f>
        <v>5375.4722666480011</v>
      </c>
      <c r="AJ22" s="235">
        <f t="shared" si="24"/>
        <v>1358192.4908962175</v>
      </c>
      <c r="AK22" s="42">
        <f>M22*10000</f>
        <v>956666.66666666686</v>
      </c>
      <c r="AL22" s="42">
        <f>AH22-AK22</f>
        <v>406901.29649619863</v>
      </c>
      <c r="AM22" s="42">
        <f>AL22/M22</f>
        <v>4253.3236567546883</v>
      </c>
      <c r="AN22" s="327">
        <f>AH22/M22</f>
        <v>14253.323656754688</v>
      </c>
      <c r="AO22" s="235"/>
      <c r="AP22" s="235"/>
      <c r="AQ22" s="1251">
        <f>SUM(AH22-'2223 Funding Detail'!D9-'2223 Funding Detail'!E9-P22)</f>
        <v>862447.96316286549</v>
      </c>
      <c r="AR22" s="1026">
        <f t="shared" si="19"/>
        <v>9015.135503444586</v>
      </c>
      <c r="AS22" s="1026">
        <f t="shared" si="20"/>
        <v>8879.9084708929167</v>
      </c>
      <c r="AT22" s="36"/>
      <c r="AU22" s="387">
        <f>(S22-T22)/T22</f>
        <v>-8.8129599611133966E-2</v>
      </c>
      <c r="AV22" s="387">
        <f>'202021 MFG Protection'!N47/'2021 Funding Detail'!T22</f>
        <v>0</v>
      </c>
      <c r="AW22" s="387">
        <f t="shared" si="22"/>
        <v>-8.8129599611133966E-2</v>
      </c>
      <c r="AX22" s="1037"/>
      <c r="AY22" s="36"/>
    </row>
    <row r="23" spans="1:51" ht="13" x14ac:dyDescent="0.3">
      <c r="A23" s="244">
        <v>9257034</v>
      </c>
      <c r="B23" s="237" t="s">
        <v>817</v>
      </c>
      <c r="C23" s="1038" t="s">
        <v>759</v>
      </c>
      <c r="D23" s="245">
        <v>362500</v>
      </c>
      <c r="E23" s="245">
        <v>110000</v>
      </c>
      <c r="F23" s="245"/>
      <c r="G23" s="245"/>
      <c r="H23" s="248">
        <f>VLOOKUP(A23,'2021 Band Calculations'!$A$112:$T$129,10,FALSE)</f>
        <v>1033481.2215414048</v>
      </c>
      <c r="I23" s="248">
        <f>VLOOKUP(A23,'2021 Band Calculations'!$A$112:$T$129,17,FALSE)</f>
        <v>51130.684250764534</v>
      </c>
      <c r="J23" s="245">
        <f>VLOOKUP(A23,'2021 FSM Calculation'!$A$4:$D$21,4,FALSE)</f>
        <v>20647.100000000002</v>
      </c>
      <c r="K23" s="245">
        <f>SUM(D23:J23)</f>
        <v>1577759.0057921694</v>
      </c>
      <c r="L23" s="248">
        <f>K23-F23</f>
        <v>1577759.0057921694</v>
      </c>
      <c r="M23" s="1036">
        <f>VLOOKUP(A23,'2021 Band Calculations'!$A$112:$T$129,19,FALSE)</f>
        <v>124.41666666666666</v>
      </c>
      <c r="N23" s="36"/>
      <c r="O23" s="253">
        <f>M23-(M23*'2021 Band Calculations'!J14)</f>
        <v>123.27522935779815</v>
      </c>
      <c r="P23" s="235">
        <f>'2021 Band Calculations'!AL120</f>
        <v>25696.893637921319</v>
      </c>
      <c r="Q23" s="235">
        <f>(H23+I23-P23)/O23</f>
        <v>8589.844185816255</v>
      </c>
      <c r="R23" s="1026">
        <f>L23-D23-E23-P23</f>
        <v>1079562.1121542479</v>
      </c>
      <c r="S23" s="1026">
        <f t="shared" si="13"/>
        <v>8757.3320104795002</v>
      </c>
      <c r="T23" s="1026">
        <f>VLOOKUP(A23,'1920 Funding Detail'!$A$4:$BB$23,43,(FALSE))</f>
        <v>9396.4808673523366</v>
      </c>
      <c r="U23" s="235">
        <f t="shared" si="14"/>
        <v>-639.1488568728364</v>
      </c>
      <c r="V23" s="253">
        <f>IF(O23&gt;'1920 Funding Detail'!O23,'1920 Funding Detail'!O23,('2021 Funding Detail'!O23))</f>
        <v>115.54241071428572</v>
      </c>
      <c r="W23" s="1026">
        <f>'202021 MFG Protection'!L64</f>
        <v>73835.549941176447</v>
      </c>
      <c r="X23" s="1026">
        <f>L23+W23</f>
        <v>1651594.5557333459</v>
      </c>
      <c r="Y23" s="235">
        <f>M23*10000</f>
        <v>1244166.6666666665</v>
      </c>
      <c r="Z23" s="235">
        <f t="shared" si="15"/>
        <v>0</v>
      </c>
      <c r="AA23" s="242">
        <f>L23/M23</f>
        <v>12681.251218691248</v>
      </c>
      <c r="AB23" s="242">
        <f>M23*10000</f>
        <v>1244166.6666666665</v>
      </c>
      <c r="AC23" s="242">
        <f>AA23-10000</f>
        <v>2681.2512186912481</v>
      </c>
      <c r="AD23" s="245">
        <f>VLOOKUP(A23,'1920 Funding Detail'!$A$4:$AK$23,25,FALSE)</f>
        <v>0</v>
      </c>
      <c r="AE23" s="245">
        <f t="shared" si="23"/>
        <v>2681.2512186912481</v>
      </c>
      <c r="AF23" s="245">
        <f t="shared" si="16"/>
        <v>12681.251218691248</v>
      </c>
      <c r="AG23" s="1029">
        <f>W23+Z23</f>
        <v>73835.549941176447</v>
      </c>
      <c r="AH23" s="346">
        <f>L23+AG23</f>
        <v>1651594.5557333459</v>
      </c>
      <c r="AI23" s="275">
        <f>VLOOKUP(A23,'1920 Funding Detail'!$A$4:$AJ$23,30,(FALSE))</f>
        <v>2925.3100658510721</v>
      </c>
      <c r="AJ23" s="235">
        <f t="shared" si="24"/>
        <v>1648669.2456674948</v>
      </c>
      <c r="AK23" s="42">
        <f>M23*10000</f>
        <v>1244166.6666666665</v>
      </c>
      <c r="AL23" s="42">
        <f>AH23-AK23</f>
        <v>407427.8890666794</v>
      </c>
      <c r="AM23" s="42">
        <f>AL23/M23</f>
        <v>3274.7050695245503</v>
      </c>
      <c r="AN23" s="327">
        <f>AH23/M23</f>
        <v>13274.705069524549</v>
      </c>
      <c r="AO23" s="235"/>
      <c r="AP23" s="235"/>
      <c r="AQ23" s="1251">
        <f>SUM(AH23-'2223 Funding Detail'!D11-'2223 Funding Detail'!E11-P23)</f>
        <v>1081507.6620954245</v>
      </c>
      <c r="AR23" s="1026">
        <f t="shared" si="19"/>
        <v>8773.1141749200924</v>
      </c>
      <c r="AS23" s="1026">
        <f t="shared" si="20"/>
        <v>8641.5174622962913</v>
      </c>
      <c r="AT23" s="36"/>
      <c r="AU23" s="387">
        <f>(S23-T23)/T23</f>
        <v>-6.8020024293725889E-2</v>
      </c>
      <c r="AV23" s="387">
        <f>'202021 MFG Protection'!N61/'2021 Funding Detail'!T23</f>
        <v>6.8850417727758809E-2</v>
      </c>
      <c r="AW23" s="387">
        <f t="shared" si="22"/>
        <v>8.3039343403291943E-4</v>
      </c>
      <c r="AX23" s="1037"/>
      <c r="AY23" s="36"/>
    </row>
    <row r="24" spans="1:51" x14ac:dyDescent="0.25">
      <c r="A24" s="249"/>
      <c r="B24" s="36"/>
      <c r="C24" s="234"/>
      <c r="D24" s="235"/>
      <c r="E24" s="235"/>
      <c r="F24" s="235"/>
      <c r="G24" s="235"/>
      <c r="H24" s="235"/>
      <c r="I24" s="235"/>
      <c r="J24" s="235"/>
      <c r="K24" s="234"/>
      <c r="L24" s="36"/>
      <c r="M24" s="234"/>
      <c r="N24" s="36"/>
      <c r="O24" s="234"/>
      <c r="P24" s="234"/>
      <c r="Q24" s="36"/>
      <c r="R24" s="36"/>
      <c r="S24" s="36"/>
      <c r="T24" s="36"/>
      <c r="U24" s="36"/>
      <c r="V24" s="36"/>
      <c r="W24" s="36"/>
      <c r="X24" s="36"/>
      <c r="Y24" s="36"/>
      <c r="Z24" s="36"/>
      <c r="AA24" s="235"/>
      <c r="AB24" s="234"/>
      <c r="AC24" s="234"/>
      <c r="AD24" s="36"/>
      <c r="AE24" s="36"/>
      <c r="AF24" s="234"/>
      <c r="AG24" s="234"/>
      <c r="AH24" s="234"/>
      <c r="AI24" s="234"/>
      <c r="AJ24" s="234"/>
      <c r="AK24" s="234"/>
      <c r="AL24" s="234"/>
      <c r="AM24" s="234"/>
      <c r="AN24" s="234"/>
      <c r="AO24" s="36"/>
      <c r="AP24" s="36"/>
      <c r="AQ24" s="36"/>
      <c r="AR24" s="36"/>
      <c r="AS24" s="36"/>
      <c r="AT24" s="36"/>
      <c r="AU24" s="36"/>
      <c r="AV24" s="36"/>
      <c r="AW24" s="36"/>
      <c r="AX24" s="36"/>
      <c r="AY24" s="36"/>
    </row>
    <row r="25" spans="1:51" ht="13.5" customHeight="1" thickBot="1" x14ac:dyDescent="0.3">
      <c r="A25" s="249"/>
      <c r="B25" s="36"/>
      <c r="C25" s="36"/>
      <c r="D25" s="250">
        <f t="shared" ref="D25:K25" si="25">SUM(D4:D23)</f>
        <v>6540000</v>
      </c>
      <c r="E25" s="250">
        <f t="shared" si="25"/>
        <v>1890000</v>
      </c>
      <c r="F25" s="250">
        <f t="shared" si="25"/>
        <v>971898</v>
      </c>
      <c r="G25" s="250">
        <f t="shared" si="25"/>
        <v>160701</v>
      </c>
      <c r="H25" s="250">
        <f t="shared" si="25"/>
        <v>19119318.520312712</v>
      </c>
      <c r="I25" s="250">
        <f t="shared" si="25"/>
        <v>1102508.3210836095</v>
      </c>
      <c r="J25" s="250">
        <f t="shared" si="25"/>
        <v>273798.5</v>
      </c>
      <c r="K25" s="250">
        <f t="shared" si="25"/>
        <v>30058224.341396321</v>
      </c>
      <c r="L25" s="250">
        <f>SUM(L4:L23)</f>
        <v>28925625.341396321</v>
      </c>
      <c r="M25" s="251">
        <f>SUM(M4:M23)</f>
        <v>1896.0833333333337</v>
      </c>
      <c r="N25" s="36"/>
      <c r="O25" s="234"/>
      <c r="P25" s="234"/>
      <c r="Q25" s="36"/>
      <c r="R25" s="36"/>
      <c r="S25" s="36"/>
      <c r="T25" s="36"/>
      <c r="U25" s="36"/>
      <c r="V25" s="36"/>
      <c r="W25" s="250">
        <f>SUM(W4:W23)</f>
        <v>408593.27346645913</v>
      </c>
      <c r="X25" s="250">
        <f>SUM(X4:X23)</f>
        <v>29334218.614862774</v>
      </c>
      <c r="Y25" s="235"/>
      <c r="Z25" s="36"/>
      <c r="AA25" s="235"/>
      <c r="AB25" s="235"/>
      <c r="AC25" s="249"/>
      <c r="AD25" s="36"/>
      <c r="AE25" s="36"/>
      <c r="AF25" s="234"/>
      <c r="AG25" s="250">
        <f>SUM(AG4:AG23)</f>
        <v>408593.27346645913</v>
      </c>
      <c r="AH25" s="250">
        <f>SUM(AH4:AH23)</f>
        <v>29334218.614862774</v>
      </c>
      <c r="AI25" s="235"/>
      <c r="AJ25" s="235"/>
      <c r="AK25" s="250">
        <f>SUM(AK4:AK23)</f>
        <v>18960833.333333336</v>
      </c>
      <c r="AL25" s="250">
        <f>SUM(AL4:AL23)</f>
        <v>10373385.281529445</v>
      </c>
      <c r="AM25" s="235"/>
      <c r="AN25" s="235"/>
      <c r="AO25" s="36"/>
      <c r="AP25" s="36"/>
      <c r="AQ25" s="36"/>
      <c r="AR25" s="36"/>
      <c r="AS25" s="36"/>
      <c r="AT25" s="36"/>
      <c r="AU25" s="36"/>
      <c r="AV25" s="36"/>
      <c r="AW25" s="36"/>
      <c r="AX25" s="36"/>
      <c r="AY25" s="36"/>
    </row>
    <row r="26" spans="1:51" x14ac:dyDescent="0.25">
      <c r="A26" s="249"/>
      <c r="B26" s="36"/>
      <c r="C26" s="36"/>
      <c r="D26" s="234"/>
      <c r="E26" s="234"/>
      <c r="F26" s="234"/>
      <c r="G26" s="234"/>
      <c r="H26" s="36"/>
      <c r="I26" s="36"/>
      <c r="J26" s="36"/>
      <c r="K26" s="234"/>
      <c r="L26" s="252"/>
      <c r="M26" s="252"/>
      <c r="N26" s="36"/>
      <c r="O26" s="234"/>
      <c r="P26" s="234"/>
      <c r="Q26" s="36"/>
      <c r="R26" s="36"/>
      <c r="S26" s="36"/>
      <c r="T26" s="36"/>
      <c r="U26" s="36"/>
      <c r="V26" s="36"/>
      <c r="W26" s="36"/>
      <c r="X26" s="36"/>
      <c r="Y26" s="36"/>
      <c r="Z26" s="36"/>
      <c r="AA26" s="235"/>
      <c r="AB26" s="235"/>
      <c r="AC26" s="249"/>
      <c r="AD26" s="36"/>
      <c r="AE26" s="36"/>
      <c r="AF26" s="234"/>
      <c r="AG26" s="234"/>
      <c r="AH26" s="234"/>
      <c r="AI26" s="234"/>
      <c r="AJ26" s="234"/>
      <c r="AK26" s="234"/>
      <c r="AL26" s="234"/>
      <c r="AM26" s="234"/>
      <c r="AN26" s="234"/>
      <c r="AO26" s="36"/>
      <c r="AP26" s="36"/>
      <c r="AQ26" s="36"/>
      <c r="AR26" s="36"/>
      <c r="AS26" s="36"/>
      <c r="AT26" s="36"/>
      <c r="AU26" s="36"/>
      <c r="AV26" s="36"/>
      <c r="AW26" s="36"/>
      <c r="AX26" s="36"/>
      <c r="AY26" s="249" t="s">
        <v>891</v>
      </c>
    </row>
    <row r="27" spans="1:51" x14ac:dyDescent="0.25">
      <c r="A27" s="36"/>
      <c r="B27" s="234"/>
      <c r="C27" s="234"/>
      <c r="D27" s="235"/>
      <c r="E27" s="235"/>
      <c r="F27" s="235"/>
      <c r="G27" s="235"/>
      <c r="H27" s="235"/>
      <c r="I27" s="235"/>
      <c r="J27" s="235"/>
      <c r="K27" s="235"/>
      <c r="L27" s="235"/>
      <c r="M27" s="253"/>
      <c r="N27" s="36"/>
      <c r="O27" s="234"/>
      <c r="P27" s="234"/>
      <c r="Q27" s="36"/>
      <c r="R27" s="36"/>
      <c r="S27" s="36"/>
      <c r="T27" s="36"/>
      <c r="U27" s="36"/>
      <c r="V27" s="36"/>
      <c r="W27" s="36"/>
      <c r="X27" s="36"/>
      <c r="Y27" s="36"/>
      <c r="Z27" s="36"/>
      <c r="AA27" s="235"/>
      <c r="AB27" s="234"/>
      <c r="AC27" s="234"/>
      <c r="AD27" s="234"/>
      <c r="AE27" s="234"/>
      <c r="AF27" s="234"/>
      <c r="AG27" s="456" t="s">
        <v>1259</v>
      </c>
      <c r="AH27" s="235">
        <f>SUM('1920 Funding Detail'!AG25)</f>
        <v>28779099.21874008</v>
      </c>
      <c r="AI27" s="234"/>
      <c r="AJ27" s="234"/>
      <c r="AK27" s="234"/>
      <c r="AL27" s="235"/>
      <c r="AM27" s="234"/>
      <c r="AN27" s="234"/>
      <c r="AO27" s="36"/>
      <c r="AP27" s="36"/>
      <c r="AQ27" s="36"/>
      <c r="AR27" s="36"/>
      <c r="AS27" s="36"/>
      <c r="AT27" s="36"/>
      <c r="AU27" s="36"/>
      <c r="AV27" s="36"/>
      <c r="AW27" s="36"/>
      <c r="AX27" s="36"/>
      <c r="AY27" s="36"/>
    </row>
    <row r="28" spans="1:51" x14ac:dyDescent="0.25">
      <c r="A28" s="36"/>
      <c r="B28" s="234"/>
      <c r="C28" s="36"/>
      <c r="D28" s="235"/>
      <c r="E28" s="234"/>
      <c r="F28" s="234"/>
      <c r="G28" s="234"/>
      <c r="H28" s="36"/>
      <c r="I28" s="36"/>
      <c r="J28" s="36"/>
      <c r="K28" s="234"/>
      <c r="L28" s="36"/>
      <c r="M28" s="253"/>
      <c r="N28" s="36"/>
      <c r="O28" s="234"/>
      <c r="P28" s="234"/>
      <c r="Q28" s="36"/>
      <c r="R28" s="36"/>
      <c r="S28" s="36"/>
      <c r="T28" s="36"/>
      <c r="U28" s="36"/>
      <c r="V28" s="36"/>
      <c r="W28" s="36"/>
      <c r="X28" s="36"/>
      <c r="Y28" s="36"/>
      <c r="Z28" s="36"/>
      <c r="AA28" s="235"/>
      <c r="AB28" s="234"/>
      <c r="AC28" s="234"/>
      <c r="AD28" s="234"/>
      <c r="AE28" s="36"/>
      <c r="AF28" s="234"/>
      <c r="AG28" s="234"/>
      <c r="AH28" s="235"/>
      <c r="AI28" s="235"/>
      <c r="AJ28" s="234"/>
      <c r="AK28" s="235"/>
      <c r="AL28" s="234"/>
      <c r="AM28" s="234"/>
      <c r="AN28" s="234"/>
      <c r="AO28" s="36"/>
      <c r="AP28" s="36"/>
      <c r="AQ28" s="36"/>
      <c r="AR28" s="36"/>
      <c r="AS28" s="36"/>
      <c r="AT28" s="36"/>
      <c r="AU28" s="36"/>
      <c r="AV28" s="36"/>
      <c r="AW28" s="36"/>
      <c r="AX28" s="36"/>
      <c r="AY28" s="36"/>
    </row>
    <row r="29" spans="1:51" x14ac:dyDescent="0.25">
      <c r="A29" s="36"/>
      <c r="B29" s="234"/>
      <c r="C29" s="36"/>
      <c r="D29" s="235"/>
      <c r="E29" s="234"/>
      <c r="F29" s="234"/>
      <c r="G29" s="234"/>
      <c r="H29" s="36"/>
      <c r="I29" s="36"/>
      <c r="J29" s="36"/>
      <c r="K29" s="234"/>
      <c r="L29" s="36"/>
      <c r="M29" s="253"/>
      <c r="N29" s="36"/>
      <c r="O29" s="234"/>
      <c r="P29" s="234"/>
      <c r="Q29" s="36"/>
      <c r="R29" s="36"/>
      <c r="S29" s="36"/>
      <c r="T29" s="36"/>
      <c r="U29" s="36"/>
      <c r="V29" s="36"/>
      <c r="W29" s="36"/>
      <c r="X29" s="36"/>
      <c r="Y29" s="36"/>
      <c r="Z29" s="36"/>
      <c r="AA29" s="235"/>
      <c r="AB29" s="234"/>
      <c r="AC29" s="234"/>
      <c r="AD29" s="234"/>
      <c r="AE29" s="36"/>
      <c r="AF29" s="234"/>
      <c r="AG29" s="234" t="s">
        <v>974</v>
      </c>
      <c r="AH29" s="235">
        <f>AH25-AH27</f>
        <v>555119.39612269402</v>
      </c>
      <c r="AI29" s="235"/>
      <c r="AJ29" s="235"/>
      <c r="AK29" s="235"/>
      <c r="AL29" s="234"/>
      <c r="AM29" s="234"/>
      <c r="AN29" s="234"/>
      <c r="AO29" s="36"/>
      <c r="AP29" s="36"/>
      <c r="AQ29" s="36"/>
      <c r="AR29" s="36"/>
      <c r="AS29" s="36"/>
      <c r="AT29" s="36"/>
      <c r="AU29" s="36"/>
      <c r="AV29" s="36"/>
      <c r="AW29" s="36"/>
      <c r="AX29" s="36"/>
      <c r="AY29" s="36"/>
    </row>
    <row r="30" spans="1:51" x14ac:dyDescent="0.25">
      <c r="A30" s="36"/>
      <c r="B30" s="249"/>
      <c r="C30" s="36"/>
      <c r="D30" s="235"/>
      <c r="E30" s="235"/>
      <c r="F30" s="235"/>
      <c r="G30" s="235"/>
      <c r="H30" s="235"/>
      <c r="I30" s="235"/>
      <c r="J30" s="235"/>
      <c r="K30" s="235"/>
      <c r="L30" s="234"/>
      <c r="M30" s="234"/>
      <c r="N30" s="36"/>
      <c r="O30" s="234"/>
      <c r="P30" s="234"/>
      <c r="Q30" s="36"/>
      <c r="R30" s="36"/>
      <c r="S30" s="36"/>
      <c r="T30" s="36"/>
      <c r="U30" s="36"/>
      <c r="V30" s="36"/>
      <c r="W30" s="36"/>
      <c r="X30" s="36"/>
      <c r="Y30" s="36"/>
      <c r="Z30" s="36"/>
      <c r="AA30" s="235"/>
      <c r="AB30" s="234"/>
      <c r="AC30" s="234"/>
      <c r="AD30" s="36"/>
      <c r="AE30" s="36"/>
      <c r="AF30" s="234"/>
      <c r="AG30" s="235"/>
      <c r="AH30" s="235"/>
      <c r="AI30" s="405"/>
      <c r="AJ30" s="235"/>
      <c r="AK30" s="235"/>
      <c r="AL30" s="235"/>
      <c r="AM30" s="235"/>
      <c r="AN30" s="235"/>
      <c r="AO30" s="36"/>
      <c r="AP30" s="36"/>
      <c r="AQ30" s="36"/>
      <c r="AR30" s="36"/>
      <c r="AS30" s="36"/>
      <c r="AT30" s="36"/>
      <c r="AU30" s="36"/>
      <c r="AV30" s="36"/>
      <c r="AW30" s="36"/>
      <c r="AX30" s="36"/>
      <c r="AY30" s="36"/>
    </row>
    <row r="31" spans="1:51" x14ac:dyDescent="0.25">
      <c r="A31" s="36"/>
      <c r="B31" s="234"/>
      <c r="C31" s="36"/>
      <c r="D31" s="1439"/>
      <c r="E31" s="1439"/>
      <c r="F31" s="234"/>
      <c r="G31" s="234"/>
      <c r="H31" s="36"/>
      <c r="I31" s="243"/>
      <c r="J31" s="36"/>
      <c r="K31" s="234"/>
      <c r="L31" s="36"/>
      <c r="M31" s="234"/>
      <c r="N31" s="36"/>
      <c r="O31" s="234"/>
      <c r="P31" s="234"/>
      <c r="Q31" s="36"/>
      <c r="R31" s="36"/>
      <c r="S31" s="36"/>
      <c r="T31" s="36"/>
      <c r="U31" s="36"/>
      <c r="V31" s="36"/>
      <c r="W31" s="36"/>
      <c r="X31" s="36"/>
      <c r="Y31" s="36"/>
      <c r="Z31" s="36"/>
      <c r="AA31" s="235"/>
      <c r="AB31" s="234"/>
      <c r="AC31" s="234"/>
      <c r="AD31" s="36"/>
      <c r="AE31" s="36"/>
      <c r="AF31" s="234"/>
      <c r="AG31" s="234"/>
      <c r="AH31" s="235">
        <v>29334218.614862774</v>
      </c>
      <c r="AI31" s="235"/>
      <c r="AJ31" s="234"/>
      <c r="AK31" s="234"/>
      <c r="AL31" s="234"/>
      <c r="AM31" s="234"/>
      <c r="AN31" s="234"/>
      <c r="AO31" s="36"/>
      <c r="AP31" s="36"/>
      <c r="AQ31" s="36"/>
      <c r="AR31" s="36"/>
      <c r="AS31" s="36"/>
      <c r="AT31" s="36"/>
      <c r="AU31" s="36"/>
      <c r="AV31" s="36"/>
      <c r="AW31" s="36"/>
      <c r="AX31" s="36"/>
      <c r="AY31" s="36"/>
    </row>
    <row r="32" spans="1:51" x14ac:dyDescent="0.25">
      <c r="A32" s="36"/>
      <c r="B32" s="234"/>
      <c r="C32" s="36"/>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298"/>
      <c r="AF32" s="298"/>
      <c r="AG32" s="298"/>
      <c r="AH32" s="235"/>
      <c r="AI32" s="235"/>
      <c r="AJ32" s="298"/>
      <c r="AK32" s="297"/>
      <c r="AL32" s="298"/>
      <c r="AM32" s="298"/>
      <c r="AN32" s="298"/>
      <c r="AO32" s="36"/>
      <c r="AP32" s="36"/>
      <c r="AQ32" s="36"/>
      <c r="AR32" s="36"/>
      <c r="AS32" s="36"/>
      <c r="AT32" s="36"/>
      <c r="AU32" s="36"/>
      <c r="AV32" s="36"/>
      <c r="AW32" s="36"/>
      <c r="AX32" s="36"/>
      <c r="AY32" s="36"/>
    </row>
    <row r="33" spans="2:40" x14ac:dyDescent="0.25">
      <c r="B33" s="36"/>
      <c r="C33" s="36"/>
      <c r="D33" s="234"/>
      <c r="E33" s="234"/>
      <c r="F33" s="234"/>
      <c r="G33" s="234"/>
      <c r="H33" s="36"/>
      <c r="I33" s="36"/>
      <c r="J33" s="36"/>
      <c r="K33" s="234"/>
      <c r="L33" s="36"/>
      <c r="M33" s="234"/>
      <c r="N33" s="36"/>
      <c r="O33" s="234"/>
      <c r="P33" s="234"/>
      <c r="Q33" s="36"/>
      <c r="R33" s="36"/>
      <c r="S33" s="36"/>
      <c r="T33" s="36"/>
      <c r="U33" s="36"/>
      <c r="V33" s="36"/>
      <c r="W33" s="36"/>
      <c r="X33" s="36"/>
      <c r="Y33" s="36"/>
      <c r="Z33" s="36"/>
      <c r="AA33" s="235"/>
      <c r="AB33" s="234"/>
      <c r="AC33" s="234"/>
      <c r="AD33" s="36"/>
      <c r="AE33" s="36"/>
      <c r="AF33" s="234"/>
      <c r="AG33" s="234"/>
      <c r="AH33" s="235"/>
      <c r="AI33" s="235"/>
      <c r="AJ33" s="234"/>
      <c r="AK33" s="234"/>
      <c r="AL33" s="234"/>
      <c r="AM33" s="234"/>
      <c r="AN33" s="234"/>
    </row>
    <row r="34" spans="2:40" x14ac:dyDescent="0.25">
      <c r="B34" s="36"/>
      <c r="C34" s="36"/>
      <c r="D34" s="234"/>
      <c r="E34" s="234"/>
      <c r="F34" s="234"/>
      <c r="G34" s="234"/>
      <c r="H34" s="36"/>
      <c r="I34" s="36"/>
      <c r="J34" s="36"/>
      <c r="K34" s="234"/>
      <c r="L34" s="36"/>
      <c r="M34" s="234"/>
      <c r="N34" s="36"/>
      <c r="O34" s="234"/>
      <c r="P34" s="234"/>
      <c r="Q34" s="36"/>
      <c r="R34" s="36"/>
      <c r="S34" s="36"/>
      <c r="T34" s="36"/>
      <c r="U34" s="36"/>
      <c r="V34" s="36"/>
      <c r="W34" s="36"/>
      <c r="X34" s="36"/>
      <c r="Y34" s="36"/>
      <c r="Z34" s="36"/>
      <c r="AA34" s="235"/>
      <c r="AB34" s="234"/>
      <c r="AC34" s="234"/>
      <c r="AD34" s="36"/>
      <c r="AE34" s="36"/>
      <c r="AF34" s="234"/>
      <c r="AG34" s="234"/>
      <c r="AH34" s="235"/>
      <c r="AI34" s="235"/>
      <c r="AJ34" s="234"/>
      <c r="AK34" s="234"/>
      <c r="AL34" s="234"/>
      <c r="AM34" s="234"/>
      <c r="AN34" s="234"/>
    </row>
    <row r="35" spans="2:40" x14ac:dyDescent="0.25">
      <c r="B35" s="36"/>
      <c r="C35" s="36"/>
      <c r="D35" s="234"/>
      <c r="E35" s="234"/>
      <c r="F35" s="234"/>
      <c r="G35" s="234"/>
      <c r="H35" s="36"/>
      <c r="I35" s="36"/>
      <c r="J35" s="36"/>
      <c r="K35" s="234"/>
      <c r="L35" s="36"/>
      <c r="M35" s="234"/>
      <c r="N35" s="36"/>
      <c r="O35" s="234"/>
      <c r="P35" s="234"/>
      <c r="Q35" s="36"/>
      <c r="R35" s="36"/>
      <c r="S35" s="36"/>
      <c r="T35" s="36"/>
      <c r="U35" s="36"/>
      <c r="V35" s="36"/>
      <c r="W35" s="36"/>
      <c r="X35" s="36"/>
      <c r="Y35" s="36"/>
      <c r="Z35" s="36"/>
      <c r="AA35" s="235"/>
      <c r="AB35" s="234"/>
      <c r="AC35" s="234"/>
      <c r="AD35" s="36"/>
      <c r="AE35" s="36"/>
      <c r="AF35" s="234"/>
      <c r="AG35" s="234"/>
      <c r="AH35" s="235"/>
      <c r="AI35" s="235"/>
      <c r="AJ35" s="234"/>
      <c r="AK35" s="234"/>
      <c r="AL35" s="234"/>
      <c r="AM35" s="234"/>
      <c r="AN35" s="234"/>
    </row>
    <row r="36" spans="2:40" x14ac:dyDescent="0.25">
      <c r="B36" s="36"/>
      <c r="C36" s="36"/>
      <c r="D36" s="234"/>
      <c r="E36" s="234"/>
      <c r="F36" s="234"/>
      <c r="G36" s="234"/>
      <c r="H36" s="297"/>
      <c r="I36" s="296"/>
      <c r="J36" s="36"/>
      <c r="K36" s="234"/>
      <c r="L36" s="36"/>
      <c r="M36" s="234"/>
      <c r="N36" s="36"/>
      <c r="O36" s="234"/>
      <c r="P36" s="234"/>
      <c r="Q36" s="36"/>
      <c r="R36" s="36"/>
      <c r="S36" s="36"/>
      <c r="T36" s="36"/>
      <c r="U36" s="36"/>
      <c r="V36" s="36"/>
      <c r="W36" s="36"/>
      <c r="X36" s="36"/>
      <c r="Y36" s="36"/>
      <c r="Z36" s="36"/>
      <c r="AA36" s="235"/>
      <c r="AB36" s="234"/>
      <c r="AC36" s="234"/>
      <c r="AD36" s="36"/>
      <c r="AE36" s="36"/>
      <c r="AF36" s="234"/>
      <c r="AG36" s="234"/>
      <c r="AH36" s="235"/>
      <c r="AI36" s="235"/>
      <c r="AJ36" s="234"/>
      <c r="AK36" s="234"/>
      <c r="AL36" s="234"/>
      <c r="AM36" s="234"/>
      <c r="AN36" s="234"/>
    </row>
    <row r="37" spans="2:40" x14ac:dyDescent="0.25">
      <c r="B37" s="36"/>
      <c r="C37" s="36"/>
      <c r="D37" s="234"/>
      <c r="E37" s="234"/>
      <c r="F37" s="234"/>
      <c r="G37" s="234"/>
      <c r="H37" s="296"/>
      <c r="I37" s="296"/>
      <c r="J37" s="36"/>
      <c r="K37" s="234"/>
      <c r="L37" s="36"/>
      <c r="M37" s="234"/>
      <c r="N37" s="36"/>
      <c r="O37" s="234"/>
      <c r="P37" s="234"/>
      <c r="Q37" s="36"/>
      <c r="R37" s="36"/>
      <c r="S37" s="36"/>
      <c r="T37" s="36"/>
      <c r="U37" s="36"/>
      <c r="V37" s="36"/>
      <c r="W37" s="36"/>
      <c r="X37" s="36"/>
      <c r="Y37" s="36"/>
      <c r="Z37" s="36"/>
      <c r="AA37" s="235"/>
      <c r="AB37" s="234"/>
      <c r="AC37" s="234"/>
      <c r="AD37" s="36"/>
      <c r="AE37" s="36"/>
      <c r="AF37" s="234"/>
      <c r="AG37" s="234"/>
      <c r="AH37" s="234"/>
      <c r="AI37" s="234"/>
      <c r="AJ37" s="234"/>
      <c r="AK37" s="234"/>
      <c r="AL37" s="234"/>
      <c r="AM37" s="234"/>
      <c r="AN37" s="234"/>
    </row>
    <row r="38" spans="2:40" x14ac:dyDescent="0.25">
      <c r="B38" s="36"/>
      <c r="C38" s="36"/>
      <c r="D38" s="234"/>
      <c r="E38" s="234"/>
      <c r="F38" s="234"/>
      <c r="G38" s="234"/>
      <c r="H38" s="305"/>
      <c r="I38" s="296"/>
      <c r="J38" s="36"/>
      <c r="K38" s="234"/>
      <c r="L38" s="36"/>
      <c r="M38" s="234"/>
      <c r="N38" s="36"/>
      <c r="O38" s="234"/>
      <c r="P38" s="234"/>
      <c r="Q38" s="36"/>
      <c r="R38" s="36"/>
      <c r="S38" s="36"/>
      <c r="T38" s="36"/>
      <c r="U38" s="36"/>
      <c r="V38" s="36"/>
      <c r="W38" s="36"/>
      <c r="X38" s="36"/>
      <c r="Y38" s="36"/>
      <c r="Z38" s="36"/>
      <c r="AA38" s="235"/>
      <c r="AB38" s="234"/>
      <c r="AC38" s="234"/>
      <c r="AD38" s="36"/>
      <c r="AE38" s="36"/>
      <c r="AF38" s="234"/>
      <c r="AG38" s="234"/>
      <c r="AH38" s="234"/>
      <c r="AI38" s="234"/>
      <c r="AJ38" s="234"/>
      <c r="AK38" s="234"/>
      <c r="AL38" s="234"/>
      <c r="AM38" s="234"/>
      <c r="AN38" s="234"/>
    </row>
    <row r="39" spans="2:40" x14ac:dyDescent="0.25">
      <c r="B39" s="36"/>
      <c r="C39" s="36"/>
      <c r="D39" s="234"/>
      <c r="E39" s="234"/>
      <c r="F39" s="234"/>
      <c r="G39" s="234"/>
      <c r="H39" s="296"/>
      <c r="I39" s="296"/>
      <c r="J39" s="36"/>
      <c r="K39" s="234"/>
      <c r="L39" s="36"/>
      <c r="M39" s="234"/>
      <c r="N39" s="36"/>
      <c r="O39" s="234"/>
      <c r="P39" s="234"/>
      <c r="Q39" s="36"/>
      <c r="R39" s="36"/>
      <c r="S39" s="36"/>
      <c r="T39" s="36"/>
      <c r="U39" s="36"/>
      <c r="V39" s="36"/>
      <c r="W39" s="36"/>
      <c r="X39" s="36"/>
      <c r="Y39" s="36"/>
      <c r="Z39" s="36"/>
      <c r="AA39" s="36"/>
      <c r="AB39" s="36"/>
      <c r="AC39" s="36"/>
      <c r="AD39" s="36"/>
      <c r="AE39" s="36"/>
      <c r="AF39" s="36"/>
      <c r="AG39" s="36"/>
      <c r="AH39" s="36"/>
      <c r="AI39" s="36"/>
      <c r="AJ39" s="36"/>
      <c r="AK39" s="36"/>
      <c r="AL39" s="36"/>
      <c r="AM39" s="36"/>
      <c r="AN39" s="36"/>
    </row>
    <row r="40" spans="2:40" x14ac:dyDescent="0.25">
      <c r="B40" s="36"/>
      <c r="C40" s="36"/>
      <c r="D40" s="234"/>
      <c r="E40" s="234"/>
      <c r="F40" s="234"/>
      <c r="G40" s="234"/>
      <c r="H40" s="297"/>
      <c r="I40" s="296"/>
      <c r="J40" s="36"/>
      <c r="K40" s="234"/>
      <c r="L40" s="36"/>
      <c r="M40" s="234"/>
      <c r="N40" s="36"/>
      <c r="O40" s="234"/>
      <c r="P40" s="234"/>
      <c r="Q40" s="36"/>
      <c r="R40" s="36"/>
      <c r="S40" s="36"/>
      <c r="T40" s="36"/>
      <c r="U40" s="36"/>
      <c r="V40" s="36"/>
      <c r="W40" s="36"/>
      <c r="X40" s="36"/>
      <c r="Y40" s="36"/>
      <c r="Z40" s="36"/>
      <c r="AA40" s="36"/>
      <c r="AB40" s="36"/>
      <c r="AC40" s="36"/>
      <c r="AD40" s="36"/>
      <c r="AE40" s="36"/>
      <c r="AF40" s="36"/>
      <c r="AG40" s="36"/>
      <c r="AH40" s="36"/>
      <c r="AI40" s="36"/>
      <c r="AJ40" s="36"/>
      <c r="AK40" s="36"/>
      <c r="AL40" s="36"/>
      <c r="AM40" s="36"/>
      <c r="AN40" s="36"/>
    </row>
    <row r="41" spans="2:40" x14ac:dyDescent="0.25">
      <c r="B41" s="36"/>
      <c r="C41" s="36"/>
      <c r="D41" s="234"/>
      <c r="E41" s="234"/>
      <c r="F41" s="234"/>
      <c r="G41" s="234"/>
      <c r="H41" s="296"/>
      <c r="I41" s="296"/>
      <c r="J41" s="36"/>
      <c r="K41" s="234"/>
      <c r="L41" s="36"/>
      <c r="M41" s="234"/>
      <c r="N41" s="36"/>
      <c r="O41" s="234"/>
      <c r="P41" s="234"/>
      <c r="Q41" s="36"/>
      <c r="R41" s="36"/>
      <c r="S41" s="36"/>
      <c r="T41" s="36"/>
      <c r="U41" s="36"/>
      <c r="V41" s="36"/>
      <c r="W41" s="36"/>
      <c r="X41" s="36"/>
      <c r="Y41" s="36"/>
      <c r="Z41" s="36"/>
      <c r="AA41" s="36"/>
      <c r="AB41" s="36"/>
      <c r="AC41" s="36"/>
      <c r="AD41" s="36"/>
      <c r="AE41" s="36"/>
      <c r="AF41" s="36"/>
      <c r="AG41" s="36"/>
      <c r="AH41" s="36"/>
      <c r="AI41" s="36"/>
      <c r="AJ41" s="36"/>
      <c r="AK41" s="36"/>
      <c r="AL41" s="36"/>
      <c r="AM41" s="36"/>
      <c r="AN41" s="36"/>
    </row>
    <row r="42" spans="2:40" x14ac:dyDescent="0.25">
      <c r="B42" s="36"/>
      <c r="C42" s="36"/>
      <c r="D42" s="234"/>
      <c r="E42" s="234"/>
      <c r="F42" s="234"/>
      <c r="G42" s="234"/>
      <c r="H42" s="36"/>
      <c r="I42" s="36"/>
      <c r="J42" s="36"/>
      <c r="K42" s="234"/>
      <c r="L42" s="36"/>
      <c r="M42" s="234"/>
      <c r="N42" s="36"/>
      <c r="O42" s="234"/>
      <c r="P42" s="234"/>
      <c r="Q42" s="36"/>
      <c r="R42" s="36"/>
      <c r="S42" s="36"/>
      <c r="T42" s="36"/>
      <c r="U42" s="36"/>
      <c r="V42" s="36"/>
      <c r="W42" s="36"/>
      <c r="X42" s="36"/>
      <c r="Y42" s="36"/>
      <c r="Z42" s="36"/>
      <c r="AA42" s="36"/>
      <c r="AB42" s="36"/>
      <c r="AC42" s="36"/>
      <c r="AD42" s="36"/>
      <c r="AE42" s="36"/>
      <c r="AF42" s="36"/>
      <c r="AG42" s="36"/>
      <c r="AH42" s="36"/>
      <c r="AI42" s="36"/>
      <c r="AJ42" s="36"/>
      <c r="AK42" s="36"/>
      <c r="AL42" s="36"/>
      <c r="AM42" s="36"/>
      <c r="AN42" s="36"/>
    </row>
  </sheetData>
  <mergeCells count="3">
    <mergeCell ref="T2:T3"/>
    <mergeCell ref="D31:E31"/>
    <mergeCell ref="AS2:AS3"/>
  </mergeCells>
  <pageMargins left="0.7" right="0.7" top="0.75" bottom="0.75" header="0.3" footer="0.3"/>
  <pageSetup paperSize="9" orientation="portrait" r:id="rId1"/>
  <ignoredErrors>
    <ignoredError sqref="W10" formula="1"/>
  </ignoredError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92D050"/>
  </sheetPr>
  <dimension ref="A3:Y131"/>
  <sheetViews>
    <sheetView zoomScaleNormal="100" workbookViewId="0">
      <selection activeCell="F39" sqref="F39"/>
    </sheetView>
  </sheetViews>
  <sheetFormatPr defaultRowHeight="12.5" x14ac:dyDescent="0.25"/>
  <cols>
    <col min="2" max="2" width="25.54296875" bestFit="1" customWidth="1"/>
    <col min="4" max="4" width="14.453125" bestFit="1" customWidth="1"/>
    <col min="5" max="5" width="9.1796875" style="2"/>
    <col min="6" max="6" width="10.54296875" style="2" customWidth="1"/>
    <col min="7" max="7" width="10.54296875" style="2" bestFit="1" customWidth="1"/>
    <col min="8" max="12" width="9.54296875" style="2" bestFit="1" customWidth="1"/>
    <col min="13" max="18" width="9.1796875" style="2"/>
  </cols>
  <sheetData>
    <row r="3" spans="1:18" x14ac:dyDescent="0.25">
      <c r="E3" s="2" t="s">
        <v>128</v>
      </c>
      <c r="F3" s="2" t="s">
        <v>735</v>
      </c>
      <c r="G3" s="2" t="s">
        <v>736</v>
      </c>
      <c r="H3" s="2" t="s">
        <v>737</v>
      </c>
      <c r="I3" s="2" t="s">
        <v>738</v>
      </c>
      <c r="J3" s="2" t="s">
        <v>739</v>
      </c>
      <c r="K3" s="2" t="s">
        <v>741</v>
      </c>
      <c r="L3" s="316" t="s">
        <v>743</v>
      </c>
      <c r="R3"/>
    </row>
    <row r="4" spans="1:18" x14ac:dyDescent="0.25">
      <c r="A4" s="244">
        <v>9257010</v>
      </c>
      <c r="B4" s="237" t="s">
        <v>205</v>
      </c>
      <c r="C4" t="s">
        <v>879</v>
      </c>
      <c r="D4" t="str">
        <f>CONCATENATE(A4,C4)</f>
        <v>92570102019/20</v>
      </c>
      <c r="E4" s="122">
        <f>VLOOKUP(A4,'1920 Funding Detail'!$A$4:$M$23,13,(FALSE))</f>
        <v>58.916666666666671</v>
      </c>
      <c r="F4" s="460">
        <f>$E$4*'1920 Band Calculations'!D6</f>
        <v>2.9458333333333337</v>
      </c>
      <c r="G4" s="460">
        <f>$E$4*'1920 Band Calculations'!E6</f>
        <v>20.620833333333334</v>
      </c>
      <c r="H4" s="460">
        <f>$E$4*'1920 Band Calculations'!F6</f>
        <v>3.927777777777778</v>
      </c>
      <c r="I4" s="460">
        <f>$E$4*'1920 Band Calculations'!G6</f>
        <v>8.8375000000000004</v>
      </c>
      <c r="J4" s="460">
        <f>$E$4*'1920 Band Calculations'!H6</f>
        <v>2.9458333333333337</v>
      </c>
      <c r="K4" s="460">
        <f>$E$4*'1920 Band Calculations'!I6</f>
        <v>12.765277777777779</v>
      </c>
      <c r="L4" s="460">
        <f>$E$4*'1920 Band Calculations'!J6</f>
        <v>6.8736111111111118</v>
      </c>
      <c r="N4" s="16">
        <f>VLOOKUP(A4,'1920 Funding Detail'!$A$4:$U$23,21,(FALSE))*-1</f>
        <v>353.70488551108429</v>
      </c>
      <c r="O4" s="16">
        <f>VLOOKUP(A4,'1920 Funding Detail'!$A$4:$V$23,22,(FALSE))</f>
        <v>18407.883006924778</v>
      </c>
      <c r="P4" s="16"/>
      <c r="R4"/>
    </row>
    <row r="5" spans="1:18" x14ac:dyDescent="0.25">
      <c r="A5" s="244">
        <v>9257010</v>
      </c>
      <c r="B5" s="237" t="s">
        <v>205</v>
      </c>
      <c r="C5" t="s">
        <v>947</v>
      </c>
      <c r="D5" t="str">
        <f>CONCATENATE(A5,C5)</f>
        <v>92570102020/21</v>
      </c>
      <c r="E5" s="122">
        <f>VLOOKUP(A5,'2021 Funding Detail'!$A$4:$M$23,13,(FALSE))</f>
        <v>62.833333333333329</v>
      </c>
      <c r="F5" s="460">
        <f>$E$5*'2021 Band Calculations'!D6</f>
        <v>3.927083333333333</v>
      </c>
      <c r="G5" s="460">
        <f>$E$5*'2021 Band Calculations'!E6</f>
        <v>21.598958333333332</v>
      </c>
      <c r="H5" s="460">
        <f>$E$5*'2021 Band Calculations'!F6</f>
        <v>3.927083333333333</v>
      </c>
      <c r="I5" s="460">
        <f>$E$5*'2021 Band Calculations'!G6</f>
        <v>10.799479166666666</v>
      </c>
      <c r="J5" s="460">
        <f>$E$5*'2021 Band Calculations'!H6</f>
        <v>2.9453125</v>
      </c>
      <c r="K5" s="460">
        <f>$E$5*'2021 Band Calculations'!I6</f>
        <v>10.799479166666666</v>
      </c>
      <c r="L5" s="460">
        <f>$E$5*'2021 Band Calculations'!J6</f>
        <v>8.8359375</v>
      </c>
      <c r="N5" s="16">
        <f>IF(N4&gt;0,(N4),(0))</f>
        <v>353.70488551108429</v>
      </c>
      <c r="O5" s="16"/>
      <c r="P5" s="16"/>
      <c r="R5"/>
    </row>
    <row r="6" spans="1:18" x14ac:dyDescent="0.25">
      <c r="A6" s="244"/>
      <c r="B6" s="237"/>
      <c r="F6" s="461">
        <f t="shared" ref="F6:K6" si="0">F5-F4</f>
        <v>0.98124999999999929</v>
      </c>
      <c r="G6" s="461">
        <f t="shared" si="0"/>
        <v>0.97812499999999858</v>
      </c>
      <c r="H6" s="461">
        <f t="shared" si="0"/>
        <v>-6.9444444444499709E-4</v>
      </c>
      <c r="I6" s="461">
        <f t="shared" si="0"/>
        <v>1.9619791666666657</v>
      </c>
      <c r="J6" s="461">
        <f t="shared" si="0"/>
        <v>-5.2083333333374782E-4</v>
      </c>
      <c r="K6" s="461">
        <f t="shared" si="0"/>
        <v>-1.9657986111111132</v>
      </c>
      <c r="N6" s="16"/>
      <c r="O6" s="16"/>
      <c r="P6" s="16"/>
      <c r="R6"/>
    </row>
    <row r="7" spans="1:18" x14ac:dyDescent="0.25">
      <c r="A7" s="244"/>
      <c r="B7" s="237"/>
      <c r="F7" s="16">
        <f>F4*$N$5</f>
        <v>1041.9556419014027</v>
      </c>
      <c r="G7" s="16">
        <f t="shared" ref="G7:K7" si="1">G4*$N$5</f>
        <v>7293.6894933098174</v>
      </c>
      <c r="H7" s="16">
        <f t="shared" si="1"/>
        <v>1389.2741892018701</v>
      </c>
      <c r="I7" s="16">
        <f t="shared" si="1"/>
        <v>3125.8669257042075</v>
      </c>
      <c r="J7" s="16">
        <f t="shared" si="1"/>
        <v>1041.9556419014027</v>
      </c>
      <c r="K7" s="16">
        <f t="shared" si="1"/>
        <v>4515.1411149060777</v>
      </c>
      <c r="L7" s="16">
        <f>SUM(F7:K7)</f>
        <v>18407.883006924778</v>
      </c>
      <c r="N7" s="16"/>
      <c r="O7" s="16">
        <f>SUM(F7:K7)</f>
        <v>18407.883006924778</v>
      </c>
      <c r="P7" s="16">
        <f>O4-O7</f>
        <v>0</v>
      </c>
      <c r="Q7" s="2" t="s">
        <v>976</v>
      </c>
      <c r="R7"/>
    </row>
    <row r="8" spans="1:18" ht="13" thickBot="1" x14ac:dyDescent="0.3">
      <c r="A8" s="244"/>
      <c r="B8" s="237"/>
      <c r="F8" s="16">
        <f t="shared" ref="F8:K8" si="2">IF(F6&lt;0,(F5*$N$5),IF(F6&gt;0,(F4*$N$5),(0)))</f>
        <v>1041.9556419014027</v>
      </c>
      <c r="G8" s="16">
        <f t="shared" si="2"/>
        <v>7293.6894933098174</v>
      </c>
      <c r="H8" s="16">
        <f t="shared" si="2"/>
        <v>1389.0285608091538</v>
      </c>
      <c r="I8" s="16">
        <f t="shared" si="2"/>
        <v>3125.8669257042075</v>
      </c>
      <c r="J8" s="16">
        <f t="shared" si="2"/>
        <v>1041.7714206068654</v>
      </c>
      <c r="K8" s="16">
        <f t="shared" si="2"/>
        <v>3819.8285422251729</v>
      </c>
      <c r="L8" s="397">
        <f>SUM(F8:K8)</f>
        <v>17712.140584556619</v>
      </c>
      <c r="M8" s="16">
        <f>L8-L7</f>
        <v>-695.74242236815917</v>
      </c>
      <c r="R8"/>
    </row>
    <row r="9" spans="1:18" ht="13.5" thickBot="1" x14ac:dyDescent="0.35">
      <c r="A9" s="244"/>
      <c r="B9" s="237"/>
      <c r="C9" s="184" t="s">
        <v>947</v>
      </c>
      <c r="D9" s="184" t="s">
        <v>1070</v>
      </c>
      <c r="E9" s="801">
        <f>SUM(F9:K9)</f>
        <v>50.076041666666661</v>
      </c>
      <c r="F9" s="799">
        <f t="shared" ref="F9:K9" si="3">IF(F8&gt;0,(F8/$N$5),(0))</f>
        <v>2.9458333333333342</v>
      </c>
      <c r="G9" s="799">
        <f t="shared" si="3"/>
        <v>20.620833333333334</v>
      </c>
      <c r="H9" s="799">
        <f t="shared" si="3"/>
        <v>3.927083333333333</v>
      </c>
      <c r="I9" s="799">
        <f t="shared" si="3"/>
        <v>8.8375000000000004</v>
      </c>
      <c r="J9" s="799">
        <f t="shared" si="3"/>
        <v>2.9453125</v>
      </c>
      <c r="K9" s="799">
        <f t="shared" si="3"/>
        <v>10.799479166666666</v>
      </c>
      <c r="L9" s="5">
        <v>0</v>
      </c>
      <c r="M9" s="802">
        <f>IF(L8&gt;0,(L8/E9),(0))</f>
        <v>353.70488551108429</v>
      </c>
      <c r="R9"/>
    </row>
    <row r="10" spans="1:18" x14ac:dyDescent="0.25">
      <c r="A10" s="1260"/>
      <c r="B10" s="1261"/>
      <c r="C10" s="466"/>
      <c r="D10" s="466"/>
      <c r="E10" s="467"/>
      <c r="F10" s="468"/>
      <c r="G10" s="468"/>
      <c r="H10" s="468"/>
      <c r="I10" s="468"/>
      <c r="J10" s="468"/>
      <c r="K10" s="468"/>
      <c r="L10" s="467"/>
      <c r="M10" s="467"/>
      <c r="N10" s="467"/>
      <c r="O10" s="467"/>
      <c r="P10" s="467"/>
      <c r="Q10" s="467"/>
      <c r="R10"/>
    </row>
    <row r="11" spans="1:18" x14ac:dyDescent="0.25">
      <c r="A11" s="244">
        <v>9257005</v>
      </c>
      <c r="B11" s="237" t="s">
        <v>208</v>
      </c>
      <c r="C11" t="s">
        <v>879</v>
      </c>
      <c r="D11" t="str">
        <f>CONCATENATE(A11,C11)</f>
        <v>92570052019/20</v>
      </c>
      <c r="E11" s="122">
        <f>VLOOKUP(A11,'1920 Funding Detail'!$A$4:$M$23,13,(FALSE))</f>
        <v>73.25</v>
      </c>
      <c r="F11" s="269">
        <f>$E$11*'1920 Band Calculations'!D7</f>
        <v>7.9189189189189193</v>
      </c>
      <c r="G11" s="269">
        <f>$E$11*'1920 Band Calculations'!E7</f>
        <v>16.827702702702705</v>
      </c>
      <c r="H11" s="269">
        <f>$E$11*'1920 Band Calculations'!F7</f>
        <v>8.9087837837837842</v>
      </c>
      <c r="I11" s="269">
        <f>$E$11*'1920 Band Calculations'!G7</f>
        <v>10.888513513513514</v>
      </c>
      <c r="J11" s="269">
        <f>$E$11*'1920 Band Calculations'!H7</f>
        <v>9.8986486486486491</v>
      </c>
      <c r="K11" s="269">
        <f>$E$11*'1920 Band Calculations'!I7</f>
        <v>12.868243243243244</v>
      </c>
      <c r="L11" s="269">
        <f>$E$11*'1920 Band Calculations'!J7</f>
        <v>5.9391891891891895</v>
      </c>
      <c r="N11" s="16">
        <f>VLOOKUP(A11,'1920 Funding Detail'!$A$4:$U$23,21,(FALSE))*-1</f>
        <v>130.55288438137359</v>
      </c>
      <c r="O11" s="16">
        <f>VLOOKUP(A11,'1920 Funding Detail'!$A$4:$V$23,22,(FALSE))</f>
        <v>8787.6205014002953</v>
      </c>
      <c r="P11" s="16"/>
      <c r="R11"/>
    </row>
    <row r="12" spans="1:18" x14ac:dyDescent="0.25">
      <c r="A12" s="244">
        <v>9257005</v>
      </c>
      <c r="B12" s="237" t="s">
        <v>208</v>
      </c>
      <c r="C12" t="s">
        <v>947</v>
      </c>
      <c r="D12" t="str">
        <f>CONCATENATE(A12,C12)</f>
        <v>92570052020/21</v>
      </c>
      <c r="E12" s="122">
        <f>VLOOKUP(A12,'2021 Funding Detail'!$A$4:$M$23,13,(FALSE))</f>
        <v>77.583333333333329</v>
      </c>
      <c r="F12" s="460">
        <f>$E$12*'2021 Band Calculations'!D6</f>
        <v>4.848958333333333</v>
      </c>
      <c r="G12" s="460">
        <f>$E$12*'2021 Band Calculations'!E6</f>
        <v>26.669270833333332</v>
      </c>
      <c r="H12" s="460">
        <f>$E$12*'2021 Band Calculations'!F6</f>
        <v>4.848958333333333</v>
      </c>
      <c r="I12" s="460">
        <f>$E$12*'2021 Band Calculations'!G6</f>
        <v>13.334635416666666</v>
      </c>
      <c r="J12" s="460">
        <f>$E$12*'2021 Band Calculations'!H6</f>
        <v>3.63671875</v>
      </c>
      <c r="K12" s="460">
        <f>$E$12*'2021 Band Calculations'!I6</f>
        <v>13.334635416666666</v>
      </c>
      <c r="L12" s="460">
        <f>$E$12*'2021 Band Calculations'!J6</f>
        <v>10.91015625</v>
      </c>
      <c r="N12" s="16">
        <f>IF(N11&gt;0,(N11),(0))</f>
        <v>130.55288438137359</v>
      </c>
      <c r="O12" s="16"/>
      <c r="P12" s="16"/>
      <c r="R12"/>
    </row>
    <row r="13" spans="1:18" x14ac:dyDescent="0.25">
      <c r="A13" s="244"/>
      <c r="B13" s="237"/>
      <c r="E13" s="122"/>
      <c r="F13" s="461">
        <f t="shared" ref="F13:K13" si="4">F12-F11</f>
        <v>-3.0699605855855863</v>
      </c>
      <c r="G13" s="461">
        <f t="shared" si="4"/>
        <v>9.8415681306306269</v>
      </c>
      <c r="H13" s="461">
        <f t="shared" si="4"/>
        <v>-4.0598254504504512</v>
      </c>
      <c r="I13" s="461">
        <f t="shared" si="4"/>
        <v>2.446121903153152</v>
      </c>
      <c r="J13" s="461">
        <f t="shared" si="4"/>
        <v>-6.2619298986486491</v>
      </c>
      <c r="K13" s="461">
        <f t="shared" si="4"/>
        <v>0.46639217342342221</v>
      </c>
      <c r="L13" s="460"/>
      <c r="N13" s="16"/>
      <c r="O13" s="16"/>
      <c r="P13" s="16"/>
      <c r="R13"/>
    </row>
    <row r="14" spans="1:18" x14ac:dyDescent="0.25">
      <c r="A14" s="244"/>
      <c r="B14" s="237"/>
      <c r="F14" s="16">
        <f t="shared" ref="F14:K14" si="5">F11*$N$12</f>
        <v>1033.8377060470937</v>
      </c>
      <c r="G14" s="16">
        <f t="shared" si="5"/>
        <v>2196.9051253500743</v>
      </c>
      <c r="H14" s="16">
        <f t="shared" si="5"/>
        <v>1163.0674193029804</v>
      </c>
      <c r="I14" s="16">
        <f t="shared" si="5"/>
        <v>1421.5268458147536</v>
      </c>
      <c r="J14" s="16">
        <f t="shared" si="5"/>
        <v>1292.2971325588669</v>
      </c>
      <c r="K14" s="16">
        <f t="shared" si="5"/>
        <v>1679.9862723265271</v>
      </c>
      <c r="L14" s="16">
        <f>SUM(F14:K14)</f>
        <v>8787.6205014002953</v>
      </c>
      <c r="N14" s="16"/>
      <c r="O14" s="16">
        <f>SUM(F14:K14)</f>
        <v>8787.6205014002953</v>
      </c>
      <c r="P14" s="16">
        <f>O11-O14</f>
        <v>0</v>
      </c>
      <c r="Q14" s="2" t="s">
        <v>976</v>
      </c>
      <c r="R14"/>
    </row>
    <row r="15" spans="1:18" ht="13" thickBot="1" x14ac:dyDescent="0.3">
      <c r="A15" s="244"/>
      <c r="B15" s="237"/>
      <c r="F15" s="16">
        <f t="shared" ref="F15:K15" si="6">IF(F13&lt;0,(F12*$N$11),IF(F13&gt;0,(F11*$N$11),(0)))</f>
        <v>633.04549666176456</v>
      </c>
      <c r="G15" s="16">
        <f>IF(G13&lt;0,(G12*$N$11),IF(G13&gt;0,(G11*$N$11),(0)))</f>
        <v>2196.9051253500743</v>
      </c>
      <c r="H15" s="16">
        <f t="shared" si="6"/>
        <v>633.04549666176456</v>
      </c>
      <c r="I15" s="16">
        <f t="shared" si="6"/>
        <v>1421.5268458147536</v>
      </c>
      <c r="J15" s="16">
        <f t="shared" si="6"/>
        <v>474.78412249632345</v>
      </c>
      <c r="K15" s="16">
        <f t="shared" si="6"/>
        <v>1679.9862723265271</v>
      </c>
      <c r="L15" s="397">
        <f>SUM(F15:K15)</f>
        <v>7039.2933593112066</v>
      </c>
      <c r="M15" s="16">
        <f>L15-L14</f>
        <v>-1748.3271420890887</v>
      </c>
      <c r="N15" s="16"/>
      <c r="O15" s="16"/>
      <c r="R15"/>
    </row>
    <row r="16" spans="1:18" ht="13.5" thickBot="1" x14ac:dyDescent="0.35">
      <c r="A16" s="244"/>
      <c r="B16" s="237"/>
      <c r="C16" s="184" t="s">
        <v>947</v>
      </c>
      <c r="D16" s="184" t="s">
        <v>1070</v>
      </c>
      <c r="E16" s="801">
        <f>SUM(F16:K16)</f>
        <v>53.919094876126124</v>
      </c>
      <c r="F16" s="799">
        <f t="shared" ref="F16:K16" si="7">IF(F15&gt;0,(F15/$N$12),(0))</f>
        <v>4.848958333333333</v>
      </c>
      <c r="G16" s="799">
        <f t="shared" si="7"/>
        <v>16.827702702702705</v>
      </c>
      <c r="H16" s="799">
        <f t="shared" si="7"/>
        <v>4.848958333333333</v>
      </c>
      <c r="I16" s="799">
        <f t="shared" si="7"/>
        <v>10.888513513513514</v>
      </c>
      <c r="J16" s="799">
        <f t="shared" si="7"/>
        <v>3.63671875</v>
      </c>
      <c r="K16" s="799">
        <f t="shared" si="7"/>
        <v>12.868243243243244</v>
      </c>
      <c r="L16" s="5">
        <v>0</v>
      </c>
      <c r="M16" s="802">
        <f>IF(L15&gt;0,(L15/E16),(0))</f>
        <v>130.55288438137359</v>
      </c>
      <c r="N16" s="16"/>
      <c r="O16" s="16"/>
      <c r="R16"/>
    </row>
    <row r="17" spans="1:18" x14ac:dyDescent="0.25">
      <c r="A17" s="1262"/>
      <c r="B17" s="829"/>
      <c r="C17" s="463"/>
      <c r="D17" s="463"/>
      <c r="E17" s="464"/>
      <c r="F17" s="464"/>
      <c r="G17" s="464"/>
      <c r="H17" s="464"/>
      <c r="I17" s="464"/>
      <c r="J17" s="464"/>
      <c r="K17" s="464"/>
      <c r="L17" s="464"/>
      <c r="M17" s="464"/>
      <c r="N17" s="464"/>
      <c r="O17" s="464"/>
      <c r="P17" s="464"/>
      <c r="Q17" s="464"/>
      <c r="R17"/>
    </row>
    <row r="18" spans="1:18" x14ac:dyDescent="0.25">
      <c r="A18" s="244">
        <v>9257025</v>
      </c>
      <c r="B18" s="237" t="s">
        <v>209</v>
      </c>
      <c r="C18" t="s">
        <v>879</v>
      </c>
      <c r="D18" t="str">
        <f>CONCATENATE(A18,C18)</f>
        <v>92570252019/20</v>
      </c>
      <c r="E18" s="122">
        <f>VLOOKUP(A18,'1920 Funding Detail'!$A$4:$M$23,13,(FALSE))</f>
        <v>71.416666666666686</v>
      </c>
      <c r="F18" s="460">
        <f>$E$18*'1920 Band Calculations'!D8</f>
        <v>16.406531531531538</v>
      </c>
      <c r="G18" s="460">
        <f>$E$18*'1920 Band Calculations'!E8</f>
        <v>21.231981981981988</v>
      </c>
      <c r="H18" s="460">
        <f>$E$18*'1920 Band Calculations'!F8</f>
        <v>8.6858108108108141</v>
      </c>
      <c r="I18" s="460">
        <f>$E$18*'1920 Band Calculations'!G8</f>
        <v>8.6858108108108141</v>
      </c>
      <c r="J18" s="460">
        <f>$E$18*'1920 Band Calculations'!H8</f>
        <v>5.7905405405405421</v>
      </c>
      <c r="K18" s="460">
        <f>$E$18*'1920 Band Calculations'!I8</f>
        <v>7.7207207207207231</v>
      </c>
      <c r="L18" s="460">
        <f>$E$18*'1920 Band Calculations'!J8</f>
        <v>2.8952702702702711</v>
      </c>
      <c r="N18" s="16">
        <f>VLOOKUP(A18,'1920 Funding Detail'!$A$4:$U$23,21,(FALSE))*-1</f>
        <v>495.74370368773816</v>
      </c>
      <c r="O18" s="16">
        <f>VLOOKUP(A18,'1920 Funding Detail'!$A$4:$V$23,22,(FALSE))</f>
        <v>33969.050831405191</v>
      </c>
      <c r="P18" s="16"/>
      <c r="R18"/>
    </row>
    <row r="19" spans="1:18" x14ac:dyDescent="0.25">
      <c r="A19" s="244">
        <v>9257025</v>
      </c>
      <c r="B19" s="237" t="s">
        <v>209</v>
      </c>
      <c r="C19" t="s">
        <v>947</v>
      </c>
      <c r="D19" t="str">
        <f>CONCATENATE(A19,C19)</f>
        <v>92570252020/21</v>
      </c>
      <c r="E19" s="122">
        <f>VLOOKUP(A19,'2021 Funding Detail'!$A$4:$M$23,13,(FALSE))</f>
        <v>75.333333333333343</v>
      </c>
      <c r="F19" s="460">
        <f>$E$19*'2021 Band Calculations'!D8</f>
        <v>12.216216216216218</v>
      </c>
      <c r="G19" s="460">
        <f>$E$19*'2021 Band Calculations'!E8</f>
        <v>26.468468468468473</v>
      </c>
      <c r="H19" s="460">
        <f>$E$19*'2021 Band Calculations'!F8</f>
        <v>5.0900900900900909</v>
      </c>
      <c r="I19" s="460">
        <f>$E$19*'2021 Band Calculations'!G8</f>
        <v>13.234234234234236</v>
      </c>
      <c r="J19" s="460">
        <f>$E$19*'2021 Band Calculations'!H8</f>
        <v>4.0720720720720731</v>
      </c>
      <c r="K19" s="460">
        <f>$E$19*'2021 Band Calculations'!I8</f>
        <v>10.180180180180182</v>
      </c>
      <c r="L19" s="460">
        <f>$E$19*'2021 Band Calculations'!J8</f>
        <v>4.0720720720720731</v>
      </c>
      <c r="N19" s="16">
        <f>IF(N18&gt;0,(N18),(0))</f>
        <v>495.74370368773816</v>
      </c>
      <c r="O19" s="16"/>
      <c r="P19" s="16"/>
    </row>
    <row r="20" spans="1:18" x14ac:dyDescent="0.25">
      <c r="A20" s="244"/>
      <c r="B20" s="237"/>
      <c r="E20" s="122"/>
      <c r="F20" s="461">
        <f t="shared" ref="F20:K20" si="8">F19-F18</f>
        <v>-4.1903153153153205</v>
      </c>
      <c r="G20" s="461">
        <f t="shared" si="8"/>
        <v>5.2364864864864842</v>
      </c>
      <c r="H20" s="461">
        <f t="shared" si="8"/>
        <v>-3.5957207207207231</v>
      </c>
      <c r="I20" s="461">
        <f t="shared" si="8"/>
        <v>4.5484234234234222</v>
      </c>
      <c r="J20" s="461">
        <f t="shared" si="8"/>
        <v>-1.718468468468469</v>
      </c>
      <c r="K20" s="461">
        <f t="shared" si="8"/>
        <v>2.4594594594594588</v>
      </c>
      <c r="L20" s="460"/>
      <c r="N20" s="16"/>
      <c r="O20" s="16"/>
      <c r="P20" s="16"/>
    </row>
    <row r="21" spans="1:18" x14ac:dyDescent="0.25">
      <c r="A21" s="244"/>
      <c r="B21" s="237"/>
      <c r="E21" s="122"/>
      <c r="F21" s="16">
        <f t="shared" ref="F21:K21" si="9">F18*$N$19</f>
        <v>8133.4347061111039</v>
      </c>
      <c r="G21" s="16">
        <f t="shared" si="9"/>
        <v>10525.621384379074</v>
      </c>
      <c r="H21" s="16">
        <f t="shared" si="9"/>
        <v>4305.9360208823491</v>
      </c>
      <c r="I21" s="16">
        <f t="shared" si="9"/>
        <v>4305.9360208823491</v>
      </c>
      <c r="J21" s="16">
        <f t="shared" si="9"/>
        <v>2870.6240139215656</v>
      </c>
      <c r="K21" s="16">
        <f t="shared" si="9"/>
        <v>3827.4986852287543</v>
      </c>
      <c r="L21" s="16">
        <f>SUM(F21:K21)</f>
        <v>33969.050831405199</v>
      </c>
      <c r="N21" s="16"/>
      <c r="O21" s="16">
        <f>SUM(F21:K21)</f>
        <v>33969.050831405199</v>
      </c>
      <c r="P21" s="16">
        <f>O18-O21</f>
        <v>0</v>
      </c>
      <c r="Q21" s="2" t="s">
        <v>976</v>
      </c>
    </row>
    <row r="22" spans="1:18" ht="13" thickBot="1" x14ac:dyDescent="0.3">
      <c r="A22" s="244"/>
      <c r="B22" s="237"/>
      <c r="E22" s="122"/>
      <c r="F22" s="16">
        <f t="shared" ref="F22:K22" si="10">IF(F20&lt;0,(F19*$N$19),IF(F20&gt;0,(F18*$N$19),(0)))</f>
        <v>6056.1122720772346</v>
      </c>
      <c r="G22" s="16">
        <f t="shared" si="10"/>
        <v>10525.621384379074</v>
      </c>
      <c r="H22" s="16">
        <f t="shared" si="10"/>
        <v>2523.3801133655147</v>
      </c>
      <c r="I22" s="16">
        <f t="shared" si="10"/>
        <v>4305.9360208823491</v>
      </c>
      <c r="J22" s="16">
        <f t="shared" si="10"/>
        <v>2018.7040906924117</v>
      </c>
      <c r="K22" s="16">
        <f t="shared" si="10"/>
        <v>3827.4986852287543</v>
      </c>
      <c r="L22" s="397">
        <f>SUM(F22:K22)</f>
        <v>29257.252566625339</v>
      </c>
      <c r="M22" s="16">
        <f>L22-L21</f>
        <v>-4711.7982647798599</v>
      </c>
      <c r="N22" s="16"/>
      <c r="O22" s="16"/>
    </row>
    <row r="23" spans="1:18" ht="13.5" thickBot="1" x14ac:dyDescent="0.35">
      <c r="A23" s="244"/>
      <c r="B23" s="237"/>
      <c r="C23" s="184" t="s">
        <v>947</v>
      </c>
      <c r="D23" s="184" t="s">
        <v>1070</v>
      </c>
      <c r="E23" s="801">
        <f>SUM(F23:K23)</f>
        <v>59.016891891891909</v>
      </c>
      <c r="F23" s="799">
        <f t="shared" ref="F23:K23" si="11">IF(F22&gt;0,(F22/$N$19),(0))</f>
        <v>12.216216216216218</v>
      </c>
      <c r="G23" s="799">
        <f t="shared" si="11"/>
        <v>21.231981981981988</v>
      </c>
      <c r="H23" s="799">
        <f t="shared" si="11"/>
        <v>5.0900900900900918</v>
      </c>
      <c r="I23" s="799">
        <f t="shared" si="11"/>
        <v>8.6858108108108141</v>
      </c>
      <c r="J23" s="799">
        <f t="shared" si="11"/>
        <v>4.0720720720720731</v>
      </c>
      <c r="K23" s="799">
        <f t="shared" si="11"/>
        <v>7.7207207207207231</v>
      </c>
      <c r="L23" s="5">
        <v>0</v>
      </c>
      <c r="M23" s="802">
        <f>IF(L22&gt;0,(L22/E23),(0))</f>
        <v>495.74370368773816</v>
      </c>
      <c r="N23" s="16"/>
      <c r="O23" s="16"/>
    </row>
    <row r="24" spans="1:18" x14ac:dyDescent="0.25">
      <c r="A24" s="1262"/>
      <c r="B24" s="829"/>
      <c r="C24" s="463"/>
      <c r="D24" s="463"/>
      <c r="E24" s="464"/>
      <c r="F24" s="464"/>
      <c r="G24" s="464"/>
      <c r="H24" s="464"/>
      <c r="I24" s="464"/>
      <c r="J24" s="464"/>
      <c r="K24" s="464"/>
      <c r="L24" s="464"/>
      <c r="M24" s="464"/>
      <c r="N24" s="464"/>
      <c r="O24" s="464"/>
      <c r="P24" s="464"/>
      <c r="Q24" s="464"/>
    </row>
    <row r="25" spans="1:18" x14ac:dyDescent="0.25">
      <c r="A25" s="244">
        <v>9257011</v>
      </c>
      <c r="B25" s="237" t="s">
        <v>210</v>
      </c>
      <c r="C25" t="s">
        <v>879</v>
      </c>
      <c r="D25" t="str">
        <f>CONCATENATE(A25,C25)</f>
        <v>92570112019/20</v>
      </c>
      <c r="E25" s="122">
        <f>VLOOKUP(A25,'1920 Funding Detail'!$A$4:$M$23,13,(FALSE))</f>
        <v>59</v>
      </c>
      <c r="F25" s="460">
        <f>$E$25*'1920 Band Calculations'!D9</f>
        <v>4.290909090909091</v>
      </c>
      <c r="G25" s="460">
        <f>$E$25*'1920 Band Calculations'!E9</f>
        <v>16.09090909090909</v>
      </c>
      <c r="H25" s="460">
        <f>$E$25*'1920 Band Calculations'!F9</f>
        <v>2.1454545454545455</v>
      </c>
      <c r="I25" s="460">
        <f>$E$25*'1920 Band Calculations'!G9</f>
        <v>13.945454545454545</v>
      </c>
      <c r="J25" s="460">
        <f>$E$25*'1920 Band Calculations'!H9</f>
        <v>8.581818181818182</v>
      </c>
      <c r="K25" s="460">
        <f>$E$25*'1920 Band Calculations'!I9</f>
        <v>8.581818181818182</v>
      </c>
      <c r="L25" s="460">
        <f>$E$25*'1920 Band Calculations'!J9</f>
        <v>5.3636363636363642</v>
      </c>
      <c r="N25" s="16">
        <f>VLOOKUP(A25,'1920 Funding Detail'!$A$4:$U$23,21,(FALSE))*-1</f>
        <v>-1218.8814552167642</v>
      </c>
      <c r="O25" s="16">
        <f>VLOOKUP(A25,'1920 Funding Detail'!$A$4:$V$23,22,(FALSE))</f>
        <v>0</v>
      </c>
      <c r="P25" s="16"/>
    </row>
    <row r="26" spans="1:18" x14ac:dyDescent="0.25">
      <c r="A26" s="244">
        <v>9257011</v>
      </c>
      <c r="B26" s="237" t="s">
        <v>210</v>
      </c>
      <c r="C26" t="s">
        <v>947</v>
      </c>
      <c r="D26" t="str">
        <f>CONCATENATE(A26,C26)</f>
        <v>92570112020/21</v>
      </c>
      <c r="E26" s="122">
        <f>VLOOKUP(A26,'2021 Funding Detail'!$A$4:$M$23,13,(FALSE))</f>
        <v>57.833333333333336</v>
      </c>
      <c r="F26" s="460">
        <f>$E$26*'2021 Band Calculations'!D9</f>
        <v>3.2735849056603774</v>
      </c>
      <c r="G26" s="460">
        <f>$E$26*'2021 Band Calculations'!E9</f>
        <v>18.550314465408803</v>
      </c>
      <c r="H26" s="460">
        <f>$E$26*'2021 Band Calculations'!F9</f>
        <v>2.1823899371069184</v>
      </c>
      <c r="I26" s="460">
        <f>$E$26*'2021 Band Calculations'!G9</f>
        <v>9.8207547169811313</v>
      </c>
      <c r="J26" s="460">
        <f>$E$26*'2021 Band Calculations'!H9</f>
        <v>9.8207547169811313</v>
      </c>
      <c r="K26" s="460">
        <f>$E$26*'2021 Band Calculations'!I9</f>
        <v>8.7295597484276737</v>
      </c>
      <c r="L26" s="460">
        <f>$E$26*'2021 Band Calculations'!J9</f>
        <v>5.4559748427672963</v>
      </c>
      <c r="N26" s="16">
        <f>IF(N25&gt;0,(N25),(0))</f>
        <v>0</v>
      </c>
      <c r="O26" s="16"/>
      <c r="P26" s="16"/>
    </row>
    <row r="27" spans="1:18" x14ac:dyDescent="0.25">
      <c r="A27" s="244"/>
      <c r="B27" s="237"/>
      <c r="F27" s="461">
        <f t="shared" ref="F27:K27" si="12">F26-F25</f>
        <v>-1.0173241852487136</v>
      </c>
      <c r="G27" s="461">
        <f t="shared" si="12"/>
        <v>2.4594053744997133</v>
      </c>
      <c r="H27" s="461">
        <f t="shared" si="12"/>
        <v>3.6935391652372918E-2</v>
      </c>
      <c r="I27" s="461">
        <f t="shared" si="12"/>
        <v>-4.124699828473414</v>
      </c>
      <c r="J27" s="461">
        <f t="shared" si="12"/>
        <v>1.2389365351629493</v>
      </c>
      <c r="K27" s="461">
        <f t="shared" si="12"/>
        <v>0.14774156660949167</v>
      </c>
      <c r="L27" s="460"/>
      <c r="N27" s="16"/>
      <c r="O27" s="16"/>
      <c r="P27" s="16"/>
    </row>
    <row r="28" spans="1:18" x14ac:dyDescent="0.25">
      <c r="A28" s="803"/>
      <c r="B28" s="803"/>
      <c r="F28" s="462">
        <f t="shared" ref="F28:K28" si="13">F25*$N$26</f>
        <v>0</v>
      </c>
      <c r="G28" s="462">
        <f t="shared" si="13"/>
        <v>0</v>
      </c>
      <c r="H28" s="462">
        <f t="shared" si="13"/>
        <v>0</v>
      </c>
      <c r="I28" s="462">
        <f t="shared" si="13"/>
        <v>0</v>
      </c>
      <c r="J28" s="462">
        <f t="shared" si="13"/>
        <v>0</v>
      </c>
      <c r="K28" s="462">
        <f t="shared" si="13"/>
        <v>0</v>
      </c>
      <c r="L28" s="16">
        <f>SUM(F28:K28)</f>
        <v>0</v>
      </c>
      <c r="N28" s="16"/>
      <c r="O28" s="16">
        <f>SUM(F28:K28)</f>
        <v>0</v>
      </c>
      <c r="P28" s="16">
        <f>O25-O28</f>
        <v>0</v>
      </c>
      <c r="Q28" s="2" t="s">
        <v>976</v>
      </c>
    </row>
    <row r="29" spans="1:18" ht="13" thickBot="1" x14ac:dyDescent="0.3">
      <c r="A29" s="803"/>
      <c r="B29" s="803"/>
      <c r="F29" s="16">
        <f t="shared" ref="F29:K29" si="14">IF(F27&lt;0,(F26*$N$26),IF(F27&gt;0,(F25*$N$26),(0)))</f>
        <v>0</v>
      </c>
      <c r="G29" s="16">
        <f t="shared" si="14"/>
        <v>0</v>
      </c>
      <c r="H29" s="16">
        <f t="shared" si="14"/>
        <v>0</v>
      </c>
      <c r="I29" s="16">
        <f t="shared" si="14"/>
        <v>0</v>
      </c>
      <c r="J29" s="16">
        <f t="shared" si="14"/>
        <v>0</v>
      </c>
      <c r="K29" s="16">
        <f t="shared" si="14"/>
        <v>0</v>
      </c>
      <c r="L29" s="397">
        <f>SUM(F29:K29)</f>
        <v>0</v>
      </c>
      <c r="M29" s="16">
        <f>L29-L28</f>
        <v>0</v>
      </c>
    </row>
    <row r="30" spans="1:18" ht="13.5" thickBot="1" x14ac:dyDescent="0.35">
      <c r="C30" s="184" t="s">
        <v>947</v>
      </c>
      <c r="D30" s="184" t="s">
        <v>1070</v>
      </c>
      <c r="E30" s="801">
        <f>SUM(F30:K30)</f>
        <v>0</v>
      </c>
      <c r="F30" s="799">
        <f t="shared" ref="F30:K30" si="15">IF(F29&gt;0,(F29/$N$26),(0))</f>
        <v>0</v>
      </c>
      <c r="G30" s="799">
        <f>IF(G29&gt;0,(G29/$N$26),(0))</f>
        <v>0</v>
      </c>
      <c r="H30" s="799">
        <f t="shared" si="15"/>
        <v>0</v>
      </c>
      <c r="I30" s="799">
        <f t="shared" si="15"/>
        <v>0</v>
      </c>
      <c r="J30" s="799">
        <f t="shared" si="15"/>
        <v>0</v>
      </c>
      <c r="K30" s="799">
        <f t="shared" si="15"/>
        <v>0</v>
      </c>
      <c r="L30" s="5">
        <v>0</v>
      </c>
      <c r="M30" s="802">
        <f>IF(L29&gt;0,(L29/E30),(0))</f>
        <v>0</v>
      </c>
    </row>
    <row r="31" spans="1:18" x14ac:dyDescent="0.25">
      <c r="A31" s="463"/>
      <c r="B31" s="463"/>
      <c r="C31" s="463"/>
      <c r="D31" s="463"/>
      <c r="E31" s="464"/>
      <c r="F31" s="465"/>
      <c r="G31" s="465"/>
      <c r="H31" s="465"/>
      <c r="I31" s="465"/>
      <c r="J31" s="465"/>
      <c r="K31" s="465"/>
      <c r="L31" s="465"/>
      <c r="M31" s="465"/>
      <c r="N31" s="464"/>
      <c r="O31" s="464"/>
      <c r="P31" s="464"/>
      <c r="Q31" s="464"/>
    </row>
    <row r="32" spans="1:18" x14ac:dyDescent="0.25">
      <c r="A32" s="244">
        <v>9257024</v>
      </c>
      <c r="B32" s="237" t="s">
        <v>211</v>
      </c>
      <c r="C32" t="s">
        <v>879</v>
      </c>
      <c r="D32" t="str">
        <f>CONCATENATE(A32,C32)</f>
        <v>92570242019/20</v>
      </c>
      <c r="E32" s="122">
        <f>VLOOKUP(A32,'1920 Funding Detail'!$A$4:$M$23,13,(FALSE))</f>
        <v>81.083333333333343</v>
      </c>
      <c r="F32" s="460">
        <f>$E$32*'1920 Band Calculations'!D10</f>
        <v>8.8993902439024399</v>
      </c>
      <c r="G32" s="460">
        <f>$E$32*'1920 Band Calculations'!E10</f>
        <v>33.619918699186996</v>
      </c>
      <c r="H32" s="460">
        <f>$E$32*'1920 Band Calculations'!F10</f>
        <v>1.9776422764227646</v>
      </c>
      <c r="I32" s="460">
        <f>$E$32*'1920 Band Calculations'!G10</f>
        <v>10.877032520325205</v>
      </c>
      <c r="J32" s="460">
        <f>$E$32*'1920 Band Calculations'!H10</f>
        <v>9.8882113821138216</v>
      </c>
      <c r="K32" s="460">
        <f>$E$32*'1920 Band Calculations'!I10</f>
        <v>5.9329268292682933</v>
      </c>
      <c r="L32" s="460">
        <f>$E$32*'1920 Band Calculations'!J10</f>
        <v>9.8882113821138216</v>
      </c>
      <c r="N32" s="16">
        <f>VLOOKUP(A32,'1920 Funding Detail'!$A$4:$U$23,21,(FALSE))*-1</f>
        <v>466.30584593383537</v>
      </c>
      <c r="O32" s="16">
        <f>VLOOKUP(A32,'1920 Funding Detail'!$A$4:$V$23,22,(FALSE))</f>
        <v>33198.701567825992</v>
      </c>
    </row>
    <row r="33" spans="1:17" x14ac:dyDescent="0.25">
      <c r="A33" s="244">
        <v>9257024</v>
      </c>
      <c r="B33" s="237" t="s">
        <v>211</v>
      </c>
      <c r="C33" t="s">
        <v>947</v>
      </c>
      <c r="D33" t="str">
        <f>CONCATENATE(A33,C33)</f>
        <v>92570242020/21</v>
      </c>
      <c r="E33" s="122">
        <f>VLOOKUP(A33,'2021 Funding Detail'!$A$4:$M$23,13,(FALSE))</f>
        <v>83.083333333333329</v>
      </c>
      <c r="F33" s="469">
        <f>$E$33*'2021 Band Calculations'!D10</f>
        <v>9.009036144578312</v>
      </c>
      <c r="G33" s="469">
        <f>$E$33*'2021 Band Calculations'!E10</f>
        <v>36.036144578313248</v>
      </c>
      <c r="H33" s="469">
        <f>$E$33*'2021 Band Calculations'!F10</f>
        <v>2.0020080321285141</v>
      </c>
      <c r="I33" s="469">
        <f>$E$33*'2021 Band Calculations'!G10</f>
        <v>13.01305220883534</v>
      </c>
      <c r="J33" s="469">
        <f>$E$33*'2021 Band Calculations'!H10</f>
        <v>9.009036144578312</v>
      </c>
      <c r="K33" s="469">
        <f>$E$33*'2021 Band Calculations'!I10</f>
        <v>6.0060240963855414</v>
      </c>
      <c r="L33" s="460">
        <f>$E$33*'2021 Band Calculations'!J10</f>
        <v>8.0080321285140563</v>
      </c>
      <c r="N33" s="16">
        <f>IF(N32&gt;0,(N32),(0))</f>
        <v>466.30584593383537</v>
      </c>
    </row>
    <row r="34" spans="1:17" x14ac:dyDescent="0.25">
      <c r="A34" s="244"/>
      <c r="B34" s="237"/>
      <c r="F34" s="461">
        <f t="shared" ref="F34:K34" si="16">F33-F32</f>
        <v>0.1096459006758721</v>
      </c>
      <c r="G34" s="461">
        <f t="shared" si="16"/>
        <v>2.4162258791262516</v>
      </c>
      <c r="H34" s="461">
        <f t="shared" si="16"/>
        <v>2.4365755705749503E-2</v>
      </c>
      <c r="I34" s="461">
        <f t="shared" si="16"/>
        <v>2.1360196885101352</v>
      </c>
      <c r="J34" s="461">
        <f t="shared" si="16"/>
        <v>-0.87917523753550952</v>
      </c>
      <c r="K34" s="461">
        <f t="shared" si="16"/>
        <v>7.3097267117248066E-2</v>
      </c>
    </row>
    <row r="35" spans="1:17" x14ac:dyDescent="0.25">
      <c r="A35" s="244"/>
      <c r="B35" s="237"/>
      <c r="F35" s="16">
        <f t="shared" ref="F35:K35" si="17">F32*$N$33</f>
        <v>4149.837695978249</v>
      </c>
      <c r="G35" s="16">
        <f t="shared" si="17"/>
        <v>15677.164629251163</v>
      </c>
      <c r="H35" s="16">
        <f t="shared" si="17"/>
        <v>922.18615466183314</v>
      </c>
      <c r="I35" s="16">
        <f t="shared" si="17"/>
        <v>5072.0238506400819</v>
      </c>
      <c r="J35" s="16">
        <f t="shared" si="17"/>
        <v>4610.9307733091646</v>
      </c>
      <c r="K35" s="16">
        <f t="shared" si="17"/>
        <v>2766.5584639854992</v>
      </c>
      <c r="L35" s="16">
        <f>SUM(F35:K35)</f>
        <v>33198.701567825992</v>
      </c>
      <c r="O35" s="16">
        <f>SUM(F35:K35)</f>
        <v>33198.701567825992</v>
      </c>
      <c r="P35" s="16">
        <f>O32-O35</f>
        <v>0</v>
      </c>
      <c r="Q35" s="2" t="s">
        <v>976</v>
      </c>
    </row>
    <row r="36" spans="1:17" ht="13" thickBot="1" x14ac:dyDescent="0.3">
      <c r="A36" s="244"/>
      <c r="B36" s="237"/>
      <c r="F36" s="16">
        <f t="shared" ref="F36:K36" si="18">IF(F34&lt;0,(F33*$N$33),IF(F34&gt;0,(F32*$N$33),(0)))</f>
        <v>4149.837695978249</v>
      </c>
      <c r="G36" s="16">
        <f t="shared" si="18"/>
        <v>15677.164629251163</v>
      </c>
      <c r="H36" s="16">
        <f t="shared" si="18"/>
        <v>922.18615466183314</v>
      </c>
      <c r="I36" s="16">
        <f t="shared" si="18"/>
        <v>5072.0238506400819</v>
      </c>
      <c r="J36" s="16">
        <f t="shared" si="18"/>
        <v>4200.9662204460883</v>
      </c>
      <c r="K36" s="16">
        <f t="shared" si="18"/>
        <v>2766.5584639854992</v>
      </c>
      <c r="L36" s="397">
        <f>SUM(F36:K36)</f>
        <v>32788.737014962913</v>
      </c>
      <c r="M36" s="16">
        <f>L36-L35</f>
        <v>-409.96455286307901</v>
      </c>
    </row>
    <row r="37" spans="1:17" ht="13.5" thickBot="1" x14ac:dyDescent="0.35">
      <c r="A37" s="249"/>
      <c r="B37" s="36"/>
      <c r="C37" s="184" t="s">
        <v>947</v>
      </c>
      <c r="D37" s="184" t="s">
        <v>1070</v>
      </c>
      <c r="E37" s="801">
        <f>SUM(F37:K37)</f>
        <v>70.315946713684014</v>
      </c>
      <c r="F37" s="799">
        <f t="shared" ref="F37:K37" si="19">IF(F36&gt;0,(F36/$N$33),(0))</f>
        <v>8.8993902439024399</v>
      </c>
      <c r="G37" s="799">
        <f t="shared" si="19"/>
        <v>33.619918699186996</v>
      </c>
      <c r="H37" s="799">
        <f t="shared" si="19"/>
        <v>1.9776422764227646</v>
      </c>
      <c r="I37" s="799">
        <f t="shared" si="19"/>
        <v>10.877032520325205</v>
      </c>
      <c r="J37" s="799">
        <f t="shared" si="19"/>
        <v>9.009036144578312</v>
      </c>
      <c r="K37" s="799">
        <f t="shared" si="19"/>
        <v>5.9329268292682933</v>
      </c>
      <c r="L37" s="5">
        <v>0</v>
      </c>
      <c r="M37" s="802">
        <f>IF(L36&gt;0,(L36/E37),(0))</f>
        <v>466.30584593383537</v>
      </c>
    </row>
    <row r="38" spans="1:17" x14ac:dyDescent="0.25">
      <c r="A38" s="463"/>
      <c r="B38" s="463"/>
      <c r="C38" s="463"/>
      <c r="D38" s="463"/>
      <c r="E38" s="464"/>
      <c r="F38" s="465"/>
      <c r="G38" s="465"/>
      <c r="H38" s="465"/>
      <c r="I38" s="465"/>
      <c r="J38" s="465"/>
      <c r="K38" s="465"/>
      <c r="L38" s="465"/>
      <c r="M38" s="465"/>
      <c r="N38" s="464"/>
      <c r="O38" s="464"/>
      <c r="P38" s="464"/>
      <c r="Q38" s="464"/>
    </row>
    <row r="39" spans="1:17" x14ac:dyDescent="0.25">
      <c r="A39" s="244">
        <v>9257031</v>
      </c>
      <c r="B39" s="237" t="s">
        <v>257</v>
      </c>
      <c r="C39" t="s">
        <v>879</v>
      </c>
      <c r="D39" t="str">
        <f>CONCATENATE(A39,C39)</f>
        <v>92570312019/20</v>
      </c>
      <c r="E39" s="122">
        <f>VLOOKUP(A39,'1920 Funding Detail'!$A$4:$M$23,13,(FALSE))</f>
        <v>73.75</v>
      </c>
      <c r="F39" s="460">
        <f>$E$39*'1920 Band Calculations'!D11</f>
        <v>0</v>
      </c>
      <c r="G39" s="460">
        <f>$E$39*'1920 Band Calculations'!E11</f>
        <v>0</v>
      </c>
      <c r="H39" s="460">
        <f>$E$39*'1920 Band Calculations'!F11</f>
        <v>73.75</v>
      </c>
      <c r="I39" s="460">
        <f>$E$39*'1920 Band Calculations'!G11</f>
        <v>0</v>
      </c>
      <c r="J39" s="460">
        <f>$E$39*'1920 Band Calculations'!H11</f>
        <v>0</v>
      </c>
      <c r="K39" s="460">
        <f>$E$39*'1920 Band Calculations'!I11</f>
        <v>0</v>
      </c>
      <c r="L39" s="460">
        <f>$E$39*'1920 Band Calculations'!J11</f>
        <v>0</v>
      </c>
      <c r="N39" s="16">
        <f>VLOOKUP(A39,'1920 Funding Detail'!$A$4:$U$23,21,(FALSE))*-1</f>
        <v>452.71438584919269</v>
      </c>
      <c r="O39" s="16">
        <f>VLOOKUP(A39,'1920 Funding Detail'!$A$4:$V$23,22,(FALSE))</f>
        <v>33387.685956377958</v>
      </c>
    </row>
    <row r="40" spans="1:17" x14ac:dyDescent="0.25">
      <c r="A40" s="244">
        <v>9257031</v>
      </c>
      <c r="B40" s="237" t="s">
        <v>257</v>
      </c>
      <c r="C40" t="s">
        <v>947</v>
      </c>
      <c r="D40" t="str">
        <f>CONCATENATE(A40,C40)</f>
        <v>92570312020/21</v>
      </c>
      <c r="E40" s="122">
        <f>VLOOKUP(A40,'2021 Funding Detail'!$A$4:$M$23,13,(FALSE))</f>
        <v>77.916666666666671</v>
      </c>
      <c r="F40" s="460">
        <f>$E$40*'2021 Band Calculations'!D33</f>
        <v>0</v>
      </c>
      <c r="G40" s="460">
        <f>$E$40*'2021 Band Calculations'!E33</f>
        <v>0</v>
      </c>
      <c r="H40" s="460">
        <f>$E$40*'2021 Band Calculations'!F33</f>
        <v>77.916666666666671</v>
      </c>
      <c r="I40" s="460">
        <f>$E$40*'2021 Band Calculations'!G33</f>
        <v>0</v>
      </c>
      <c r="J40" s="460">
        <f>$E$40*'2021 Band Calculations'!H33</f>
        <v>0</v>
      </c>
      <c r="K40" s="460">
        <f>$E$40*'2021 Band Calculations'!I33</f>
        <v>0</v>
      </c>
      <c r="L40" s="460">
        <f>$E$40*'2021 Band Calculations'!J33</f>
        <v>0</v>
      </c>
      <c r="N40" s="16">
        <f>IF(N39&gt;0,(N39),(0))</f>
        <v>452.71438584919269</v>
      </c>
    </row>
    <row r="41" spans="1:17" x14ac:dyDescent="0.25">
      <c r="A41" s="244"/>
      <c r="B41" s="237"/>
      <c r="F41" s="461">
        <f t="shared" ref="F41:K41" si="20">F40-F39</f>
        <v>0</v>
      </c>
      <c r="G41" s="461">
        <f t="shared" si="20"/>
        <v>0</v>
      </c>
      <c r="H41" s="461">
        <f t="shared" si="20"/>
        <v>4.1666666666666714</v>
      </c>
      <c r="I41" s="461">
        <f t="shared" si="20"/>
        <v>0</v>
      </c>
      <c r="J41" s="461">
        <f t="shared" si="20"/>
        <v>0</v>
      </c>
      <c r="K41" s="461">
        <f t="shared" si="20"/>
        <v>0</v>
      </c>
    </row>
    <row r="42" spans="1:17" x14ac:dyDescent="0.25">
      <c r="A42" s="244"/>
      <c r="B42" s="237"/>
      <c r="F42" s="16">
        <f t="shared" ref="F42:K42" si="21">F39*$N$40</f>
        <v>0</v>
      </c>
      <c r="G42" s="16">
        <f t="shared" si="21"/>
        <v>0</v>
      </c>
      <c r="H42" s="16">
        <f t="shared" si="21"/>
        <v>33387.685956377958</v>
      </c>
      <c r="I42" s="16">
        <f t="shared" si="21"/>
        <v>0</v>
      </c>
      <c r="J42" s="16">
        <f t="shared" si="21"/>
        <v>0</v>
      </c>
      <c r="K42" s="16">
        <f t="shared" si="21"/>
        <v>0</v>
      </c>
      <c r="L42" s="16">
        <f>SUM(F42:K42)</f>
        <v>33387.685956377958</v>
      </c>
      <c r="O42" s="16">
        <f>SUM(F42:K42)</f>
        <v>33387.685956377958</v>
      </c>
      <c r="P42" s="16">
        <f>O39-O42</f>
        <v>0</v>
      </c>
      <c r="Q42" s="2" t="s">
        <v>976</v>
      </c>
    </row>
    <row r="43" spans="1:17" ht="13" thickBot="1" x14ac:dyDescent="0.3">
      <c r="A43" s="244"/>
      <c r="B43" s="237"/>
      <c r="F43" s="16">
        <f t="shared" ref="F43:K43" si="22">IF(F41&lt;0,(F40*$N$40),IF(F41&gt;0,(F39*$N$40),(0)))</f>
        <v>0</v>
      </c>
      <c r="G43" s="16">
        <f t="shared" si="22"/>
        <v>0</v>
      </c>
      <c r="H43" s="16">
        <f t="shared" si="22"/>
        <v>33387.685956377958</v>
      </c>
      <c r="I43" s="16">
        <f t="shared" si="22"/>
        <v>0</v>
      </c>
      <c r="J43" s="16">
        <f t="shared" si="22"/>
        <v>0</v>
      </c>
      <c r="K43" s="16">
        <f t="shared" si="22"/>
        <v>0</v>
      </c>
      <c r="L43" s="397">
        <f>SUM(F43:K43)</f>
        <v>33387.685956377958</v>
      </c>
      <c r="M43" s="16">
        <f>L43-L42</f>
        <v>0</v>
      </c>
    </row>
    <row r="44" spans="1:17" ht="13.5" thickBot="1" x14ac:dyDescent="0.35">
      <c r="A44" s="249"/>
      <c r="B44" s="36"/>
      <c r="C44" s="184" t="s">
        <v>947</v>
      </c>
      <c r="D44" s="184" t="s">
        <v>1070</v>
      </c>
      <c r="E44" s="801">
        <f>SUM(F44:K44)</f>
        <v>73.75</v>
      </c>
      <c r="F44" s="799">
        <f t="shared" ref="F44:K44" si="23">IF(F43&gt;0,(F43/$N$40),(0))</f>
        <v>0</v>
      </c>
      <c r="G44" s="799">
        <f t="shared" si="23"/>
        <v>0</v>
      </c>
      <c r="H44" s="799">
        <f t="shared" si="23"/>
        <v>73.75</v>
      </c>
      <c r="I44" s="799">
        <f t="shared" si="23"/>
        <v>0</v>
      </c>
      <c r="J44" s="799">
        <f t="shared" si="23"/>
        <v>0</v>
      </c>
      <c r="K44" s="799">
        <f t="shared" si="23"/>
        <v>0</v>
      </c>
      <c r="L44" s="5">
        <v>0</v>
      </c>
      <c r="M44" s="802">
        <f>IF(L43&gt;0,(L43/E44),(0))</f>
        <v>452.71438584919264</v>
      </c>
    </row>
    <row r="45" spans="1:17" x14ac:dyDescent="0.25">
      <c r="A45" s="463"/>
      <c r="B45" s="463"/>
      <c r="C45" s="463"/>
      <c r="D45" s="463"/>
      <c r="E45" s="464"/>
      <c r="F45" s="465"/>
      <c r="G45" s="465"/>
      <c r="H45" s="465"/>
      <c r="I45" s="465"/>
      <c r="J45" s="465"/>
      <c r="K45" s="465"/>
      <c r="L45" s="465"/>
      <c r="M45" s="465"/>
      <c r="N45" s="464"/>
      <c r="O45" s="464"/>
      <c r="P45" s="464"/>
      <c r="Q45" s="464"/>
    </row>
    <row r="46" spans="1:17" x14ac:dyDescent="0.25">
      <c r="A46" s="244">
        <v>9257033</v>
      </c>
      <c r="B46" s="237" t="s">
        <v>220</v>
      </c>
      <c r="C46" t="s">
        <v>879</v>
      </c>
      <c r="D46" t="str">
        <f>CONCATENATE(A46,C46)</f>
        <v>92570332019/20</v>
      </c>
      <c r="E46" s="122">
        <f>VLOOKUP(A46,'1920 Funding Detail'!$A$4:$M$23,13,(FALSE))</f>
        <v>91.833333333333343</v>
      </c>
      <c r="F46" s="460">
        <f>$E$46*'1920 Band Calculations'!D12</f>
        <v>18.784090909090914</v>
      </c>
      <c r="G46" s="460">
        <f>$E$46*'1920 Band Calculations'!E12</f>
        <v>26.089015151515156</v>
      </c>
      <c r="H46" s="460">
        <f>$E$46*'1920 Band Calculations'!F12</f>
        <v>17.740530303030305</v>
      </c>
      <c r="I46" s="460">
        <f>$E$46*'1920 Band Calculations'!G12</f>
        <v>15.653409090909092</v>
      </c>
      <c r="J46" s="460">
        <f>$E$46*'1920 Band Calculations'!H12</f>
        <v>7.3049242424242431</v>
      </c>
      <c r="K46" s="460">
        <f>$E$46*'1920 Band Calculations'!I12</f>
        <v>6.2613636363636367</v>
      </c>
      <c r="L46" s="460">
        <f>$E$46*'1920 Band Calculations'!J12</f>
        <v>0</v>
      </c>
      <c r="N46" s="16">
        <f>VLOOKUP(A46,'1920 Funding Detail'!$A$4:$U$23,21,(FALSE))*-1</f>
        <v>-280.10359679189787</v>
      </c>
      <c r="O46" s="16">
        <f>VLOOKUP(A46,'1920 Funding Detail'!$A$4:$V$23,22,(FALSE))</f>
        <v>0</v>
      </c>
    </row>
    <row r="47" spans="1:17" x14ac:dyDescent="0.25">
      <c r="A47" s="244">
        <v>9257033</v>
      </c>
      <c r="B47" s="237" t="s">
        <v>220</v>
      </c>
      <c r="C47" t="s">
        <v>947</v>
      </c>
      <c r="D47" t="str">
        <f>CONCATENATE(A47,C47)</f>
        <v>92570332020/21</v>
      </c>
      <c r="E47" s="122">
        <f>VLOOKUP(A47,'2021 Funding Detail'!$A$4:$M$23,13,(FALSE))</f>
        <v>95.666666666666686</v>
      </c>
      <c r="F47" s="460">
        <f>$E$47*'2021 Band Calculations'!D12</f>
        <v>17.11929824561404</v>
      </c>
      <c r="G47" s="460">
        <f>$E$47*'2021 Band Calculations'!E12</f>
        <v>42.294736842105273</v>
      </c>
      <c r="H47" s="460">
        <f>$E$47*'2021 Band Calculations'!F12</f>
        <v>12.084210526315792</v>
      </c>
      <c r="I47" s="460">
        <f>$E$47*'2021 Band Calculations'!G12</f>
        <v>15.10526315789474</v>
      </c>
      <c r="J47" s="460">
        <f>$E$47*'2021 Band Calculations'!H12</f>
        <v>4.0280701754385975</v>
      </c>
      <c r="K47" s="460">
        <f>$E$47*'2021 Band Calculations'!I12</f>
        <v>5.0350877192982466</v>
      </c>
      <c r="L47" s="460">
        <f>$E$47*'2021 Band Calculations'!J12</f>
        <v>0</v>
      </c>
      <c r="N47" s="16">
        <f>IF(N46&gt;0,(N46),(0))</f>
        <v>0</v>
      </c>
    </row>
    <row r="48" spans="1:17" x14ac:dyDescent="0.25">
      <c r="A48" s="244"/>
      <c r="B48" s="237"/>
      <c r="F48" s="461">
        <f t="shared" ref="F48:K48" si="24">F47-F46</f>
        <v>-1.6647926634768737</v>
      </c>
      <c r="G48" s="461">
        <f t="shared" si="24"/>
        <v>16.205721690590117</v>
      </c>
      <c r="H48" s="461">
        <f t="shared" si="24"/>
        <v>-5.656319776714513</v>
      </c>
      <c r="I48" s="461">
        <f t="shared" si="24"/>
        <v>-0.54814593301435188</v>
      </c>
      <c r="J48" s="461">
        <f t="shared" si="24"/>
        <v>-3.2768540669856456</v>
      </c>
      <c r="K48" s="461">
        <f t="shared" si="24"/>
        <v>-1.2262759170653901</v>
      </c>
    </row>
    <row r="49" spans="1:17" x14ac:dyDescent="0.25">
      <c r="A49" s="244"/>
      <c r="B49" s="237"/>
      <c r="F49" s="16">
        <f t="shared" ref="F49:K49" si="25">F46*$N$47</f>
        <v>0</v>
      </c>
      <c r="G49" s="16">
        <f t="shared" si="25"/>
        <v>0</v>
      </c>
      <c r="H49" s="16">
        <f t="shared" si="25"/>
        <v>0</v>
      </c>
      <c r="I49" s="16">
        <f t="shared" si="25"/>
        <v>0</v>
      </c>
      <c r="J49" s="16">
        <f t="shared" si="25"/>
        <v>0</v>
      </c>
      <c r="K49" s="16">
        <f t="shared" si="25"/>
        <v>0</v>
      </c>
      <c r="L49" s="16">
        <f>SUM(F49:K49)</f>
        <v>0</v>
      </c>
      <c r="O49" s="16">
        <f>SUM(F49:K49)</f>
        <v>0</v>
      </c>
      <c r="P49" s="16">
        <f>O46-O49</f>
        <v>0</v>
      </c>
      <c r="Q49" s="2" t="s">
        <v>976</v>
      </c>
    </row>
    <row r="50" spans="1:17" ht="13" thickBot="1" x14ac:dyDescent="0.3">
      <c r="A50" s="244"/>
      <c r="B50" s="237"/>
      <c r="F50" s="16">
        <f t="shared" ref="F50:K50" si="26">IF(F48&lt;0,(F47*$N$47),IF(F48&gt;0,(F46*$N$47),(0)))</f>
        <v>0</v>
      </c>
      <c r="G50" s="16">
        <f t="shared" si="26"/>
        <v>0</v>
      </c>
      <c r="H50" s="16">
        <f t="shared" si="26"/>
        <v>0</v>
      </c>
      <c r="I50" s="16">
        <f t="shared" si="26"/>
        <v>0</v>
      </c>
      <c r="J50" s="16">
        <f t="shared" si="26"/>
        <v>0</v>
      </c>
      <c r="K50" s="16">
        <f t="shared" si="26"/>
        <v>0</v>
      </c>
      <c r="L50" s="397">
        <f>SUM(F50:K50)</f>
        <v>0</v>
      </c>
      <c r="M50" s="16">
        <f>L50-L49</f>
        <v>0</v>
      </c>
    </row>
    <row r="51" spans="1:17" ht="13.5" thickBot="1" x14ac:dyDescent="0.35">
      <c r="A51" s="249"/>
      <c r="B51" s="36"/>
      <c r="C51" s="184" t="s">
        <v>947</v>
      </c>
      <c r="D51" s="184" t="s">
        <v>1070</v>
      </c>
      <c r="E51" s="801">
        <f>SUM(F51:K51)</f>
        <v>0</v>
      </c>
      <c r="F51" s="799">
        <f t="shared" ref="F51:K51" si="27">IF(F50&gt;0,(F50/$N$47),(0))</f>
        <v>0</v>
      </c>
      <c r="G51" s="799">
        <f t="shared" si="27"/>
        <v>0</v>
      </c>
      <c r="H51" s="799">
        <f t="shared" si="27"/>
        <v>0</v>
      </c>
      <c r="I51" s="799">
        <f t="shared" si="27"/>
        <v>0</v>
      </c>
      <c r="J51" s="799">
        <f t="shared" si="27"/>
        <v>0</v>
      </c>
      <c r="K51" s="799">
        <f t="shared" si="27"/>
        <v>0</v>
      </c>
      <c r="L51" s="5">
        <v>0</v>
      </c>
      <c r="M51" s="802">
        <f>IF(L50&gt;0,(L50/E51),(0))</f>
        <v>0</v>
      </c>
    </row>
    <row r="52" spans="1:17" x14ac:dyDescent="0.25">
      <c r="A52" s="463"/>
      <c r="B52" s="463"/>
      <c r="C52" s="463"/>
      <c r="D52" s="463"/>
      <c r="E52" s="464"/>
      <c r="F52" s="465"/>
      <c r="G52" s="465"/>
      <c r="H52" s="465"/>
      <c r="I52" s="465"/>
      <c r="J52" s="465"/>
      <c r="K52" s="465"/>
      <c r="L52" s="465"/>
      <c r="M52" s="465"/>
      <c r="N52" s="464"/>
      <c r="O52" s="464"/>
      <c r="P52" s="464"/>
      <c r="Q52" s="464"/>
    </row>
    <row r="53" spans="1:17" x14ac:dyDescent="0.25">
      <c r="A53" s="244">
        <v>9257008</v>
      </c>
      <c r="B53" s="237" t="s">
        <v>212</v>
      </c>
      <c r="C53" t="s">
        <v>879</v>
      </c>
      <c r="D53" t="str">
        <f>CONCATENATE(A53,C53)</f>
        <v>92570082019/20</v>
      </c>
      <c r="E53" s="122">
        <f>VLOOKUP(A53,'1920 Funding Detail'!$A$4:$M$23,13,(FALSE))</f>
        <v>95</v>
      </c>
      <c r="F53" s="2">
        <f>$E$53*'1920 Band Calculations'!D13</f>
        <v>6</v>
      </c>
      <c r="G53" s="2">
        <f>$E$53*'1920 Band Calculations'!E13</f>
        <v>55</v>
      </c>
      <c r="H53" s="2">
        <f>$E$53*'1920 Band Calculations'!F13</f>
        <v>10</v>
      </c>
      <c r="I53" s="2">
        <f>$E$53*'1920 Band Calculations'!G13</f>
        <v>5</v>
      </c>
      <c r="J53" s="2">
        <f>$E$53*'1920 Band Calculations'!H13</f>
        <v>1</v>
      </c>
      <c r="K53" s="2">
        <f>$E$53*'1920 Band Calculations'!I13</f>
        <v>18</v>
      </c>
      <c r="L53" s="2">
        <f>$E$53*'1920 Band Calculations'!J13</f>
        <v>0</v>
      </c>
      <c r="N53" s="16">
        <f>VLOOKUP(A53,'1920 Funding Detail'!$A$4:$U$23,21,(FALSE))*-1</f>
        <v>-74.125537404355782</v>
      </c>
      <c r="O53" s="16">
        <f>VLOOKUP(A53,'1920 Funding Detail'!$A$4:$V$23,22,(FALSE))</f>
        <v>0</v>
      </c>
    </row>
    <row r="54" spans="1:17" x14ac:dyDescent="0.25">
      <c r="A54" s="244">
        <v>9257008</v>
      </c>
      <c r="B54" s="237" t="s">
        <v>212</v>
      </c>
      <c r="C54" t="s">
        <v>947</v>
      </c>
      <c r="D54" t="str">
        <f>CONCATENATE(A54,C54)</f>
        <v>92570082020/21</v>
      </c>
      <c r="E54" s="122">
        <f>VLOOKUP(A54,'2021 Funding Detail'!$A$4:$M$23,13,(FALSE))</f>
        <v>96.75</v>
      </c>
      <c r="F54" s="460">
        <f>$E$54*'2021 Band Calculations'!D13</f>
        <v>9.9742268041237114</v>
      </c>
      <c r="G54" s="460">
        <f>$E$54*'2021 Band Calculations'!E13</f>
        <v>50.868556701030933</v>
      </c>
      <c r="H54" s="460">
        <f>$E$54*'2021 Band Calculations'!F13</f>
        <v>7.9793814432989691</v>
      </c>
      <c r="I54" s="460">
        <f>$E$54*'2021 Band Calculations'!G13</f>
        <v>8.9768041237113412</v>
      </c>
      <c r="J54" s="460">
        <f>$E$54*'2021 Band Calculations'!H13</f>
        <v>0.99742268041237114</v>
      </c>
      <c r="K54" s="460">
        <f>$E$54*'2021 Band Calculations'!I13</f>
        <v>17.953608247422682</v>
      </c>
      <c r="L54" s="460">
        <f>$E$54*'2021 Band Calculations'!J13</f>
        <v>0</v>
      </c>
      <c r="N54" s="16">
        <f>IF(N53&gt;0,(N53),(0))</f>
        <v>0</v>
      </c>
    </row>
    <row r="55" spans="1:17" x14ac:dyDescent="0.25">
      <c r="A55" s="244"/>
      <c r="B55" s="237"/>
      <c r="F55" s="461">
        <f t="shared" ref="F55:K55" si="28">F54-F53</f>
        <v>3.9742268041237114</v>
      </c>
      <c r="G55" s="461">
        <f t="shared" si="28"/>
        <v>-4.1314432989690673</v>
      </c>
      <c r="H55" s="461">
        <f t="shared" si="28"/>
        <v>-2.0206185567010309</v>
      </c>
      <c r="I55" s="461">
        <f t="shared" si="28"/>
        <v>3.9768041237113412</v>
      </c>
      <c r="J55" s="461">
        <f t="shared" si="28"/>
        <v>-2.5773195876288568E-3</v>
      </c>
      <c r="K55" s="461">
        <f t="shared" si="28"/>
        <v>-4.6391752577317646E-2</v>
      </c>
    </row>
    <row r="56" spans="1:17" x14ac:dyDescent="0.25">
      <c r="A56" s="244"/>
      <c r="B56" s="237"/>
      <c r="F56" s="16">
        <f t="shared" ref="F56:K56" si="29">F53*$N$54</f>
        <v>0</v>
      </c>
      <c r="G56" s="16">
        <f t="shared" si="29"/>
        <v>0</v>
      </c>
      <c r="H56" s="16">
        <f t="shared" si="29"/>
        <v>0</v>
      </c>
      <c r="I56" s="16">
        <f t="shared" si="29"/>
        <v>0</v>
      </c>
      <c r="J56" s="16">
        <f t="shared" si="29"/>
        <v>0</v>
      </c>
      <c r="K56" s="16">
        <f t="shared" si="29"/>
        <v>0</v>
      </c>
      <c r="L56" s="16">
        <f>SUM(F56:K56)</f>
        <v>0</v>
      </c>
      <c r="O56" s="16">
        <f>SUM(F56:K56)</f>
        <v>0</v>
      </c>
      <c r="P56" s="16">
        <f>O53-O56</f>
        <v>0</v>
      </c>
      <c r="Q56" s="2" t="s">
        <v>976</v>
      </c>
    </row>
    <row r="57" spans="1:17" ht="13" thickBot="1" x14ac:dyDescent="0.3">
      <c r="A57" s="244"/>
      <c r="B57" s="237"/>
      <c r="F57" s="16">
        <f t="shared" ref="F57:K57" si="30">IF(F55&lt;0,(F54*$N$54),IF(F55&gt;0,(F53*$N$54),(0)))</f>
        <v>0</v>
      </c>
      <c r="G57" s="16">
        <f t="shared" si="30"/>
        <v>0</v>
      </c>
      <c r="H57" s="16">
        <f t="shared" si="30"/>
        <v>0</v>
      </c>
      <c r="I57" s="16">
        <f t="shared" si="30"/>
        <v>0</v>
      </c>
      <c r="J57" s="16">
        <f t="shared" si="30"/>
        <v>0</v>
      </c>
      <c r="K57" s="16">
        <f t="shared" si="30"/>
        <v>0</v>
      </c>
      <c r="L57" s="397">
        <f>SUM(F57:K57)</f>
        <v>0</v>
      </c>
      <c r="M57" s="16">
        <f>L57-L56</f>
        <v>0</v>
      </c>
    </row>
    <row r="58" spans="1:17" ht="13.5" thickBot="1" x14ac:dyDescent="0.35">
      <c r="A58" s="249"/>
      <c r="B58" s="36"/>
      <c r="C58" s="184" t="s">
        <v>947</v>
      </c>
      <c r="D58" s="184" t="s">
        <v>1070</v>
      </c>
      <c r="E58" s="801">
        <f>SUM(F58:K58)</f>
        <v>0</v>
      </c>
      <c r="F58" s="799">
        <f t="shared" ref="F58:K58" si="31">IF(F57&gt;0,(F57/$N$54),(0))</f>
        <v>0</v>
      </c>
      <c r="G58" s="799">
        <f t="shared" si="31"/>
        <v>0</v>
      </c>
      <c r="H58" s="799">
        <f t="shared" si="31"/>
        <v>0</v>
      </c>
      <c r="I58" s="799">
        <f t="shared" si="31"/>
        <v>0</v>
      </c>
      <c r="J58" s="799">
        <f t="shared" si="31"/>
        <v>0</v>
      </c>
      <c r="K58" s="799">
        <f t="shared" si="31"/>
        <v>0</v>
      </c>
      <c r="L58" s="5">
        <v>0</v>
      </c>
      <c r="M58" s="802">
        <f>IF(L57&gt;0,(L57/E58),(0))</f>
        <v>0</v>
      </c>
    </row>
    <row r="59" spans="1:17" x14ac:dyDescent="0.25">
      <c r="A59" s="463"/>
      <c r="B59" s="463"/>
      <c r="C59" s="463"/>
      <c r="D59" s="463"/>
      <c r="E59" s="464"/>
      <c r="F59" s="465"/>
      <c r="G59" s="465"/>
      <c r="H59" s="465"/>
      <c r="I59" s="465"/>
      <c r="J59" s="465"/>
      <c r="K59" s="465"/>
      <c r="L59" s="465"/>
      <c r="M59" s="465"/>
      <c r="N59" s="464"/>
      <c r="O59" s="464"/>
      <c r="P59" s="464"/>
      <c r="Q59" s="464"/>
    </row>
    <row r="60" spans="1:17" x14ac:dyDescent="0.25">
      <c r="A60" s="244">
        <v>9257034</v>
      </c>
      <c r="B60" s="237" t="s">
        <v>221</v>
      </c>
      <c r="C60" t="s">
        <v>879</v>
      </c>
      <c r="D60" t="str">
        <f>CONCATENATE(A60,C60)</f>
        <v>92570342019/20</v>
      </c>
      <c r="E60" s="122">
        <f>VLOOKUP(A60,'1920 Funding Detail'!$A$4:$M$23,13,(FALSE))</f>
        <v>116.58333333333334</v>
      </c>
      <c r="F60" s="460">
        <f>$E$60*'1920 Band Calculations'!D14</f>
        <v>48.923363095238102</v>
      </c>
      <c r="G60" s="460">
        <f>$E$60*'1920 Band Calculations'!E14</f>
        <v>31.227678571428573</v>
      </c>
      <c r="H60" s="460">
        <f>$E$60*'1920 Band Calculations'!F14</f>
        <v>20.818452380952383</v>
      </c>
      <c r="I60" s="460">
        <f>$E$60*'1920 Band Calculations'!G14</f>
        <v>5.2046130952380958</v>
      </c>
      <c r="J60" s="460">
        <f>$E$60*'1920 Band Calculations'!H14</f>
        <v>4.1636904761904763</v>
      </c>
      <c r="K60" s="460">
        <f>$E$60*'1920 Band Calculations'!I14</f>
        <v>5.2046130952380958</v>
      </c>
      <c r="L60" s="460">
        <f>$E$60*'1920 Band Calculations'!J14</f>
        <v>1.0409226190476191</v>
      </c>
      <c r="N60" s="16">
        <f>VLOOKUP(A60,'1920 Funding Detail'!$A$4:$U$23,21,(FALSE))*-1</f>
        <v>646.95163288810181</v>
      </c>
      <c r="O60" s="16">
        <f>VLOOKUP(A60,'1920 Funding Detail'!$A$4:$V$23,22,(FALSE))</f>
        <v>74750.351279434864</v>
      </c>
    </row>
    <row r="61" spans="1:17" x14ac:dyDescent="0.25">
      <c r="A61" s="244">
        <v>9257034</v>
      </c>
      <c r="B61" s="237" t="s">
        <v>221</v>
      </c>
      <c r="C61" t="s">
        <v>947</v>
      </c>
      <c r="D61" t="str">
        <f>CONCATENATE(A61,C61)</f>
        <v>92570342020/21</v>
      </c>
      <c r="E61" s="122">
        <f>VLOOKUP(A61,'2021 Funding Detail'!$A$4:$M$23,13,(FALSE))</f>
        <v>124.41666666666666</v>
      </c>
      <c r="F61" s="460">
        <f>$E$61*'2021 Band Calculations'!D14</f>
        <v>52.506116207951067</v>
      </c>
      <c r="G61" s="460">
        <f>$E$61*'2021 Band Calculations'!E14</f>
        <v>33.101681957186543</v>
      </c>
      <c r="H61" s="460">
        <f>$E$61*'2021 Band Calculations'!F14</f>
        <v>19.404434250764524</v>
      </c>
      <c r="I61" s="460">
        <f>$E$61*'2021 Band Calculations'!G14</f>
        <v>5.7071865443425072</v>
      </c>
      <c r="J61" s="460">
        <f>$E$61*'2021 Band Calculations'!H14</f>
        <v>5.7071865443425072</v>
      </c>
      <c r="K61" s="460">
        <f>$E$61*'2021 Band Calculations'!I14</f>
        <v>6.8486238532110093</v>
      </c>
      <c r="L61" s="460">
        <f>$E$61*'2021 Band Calculations'!J14</f>
        <v>1.1414373088685015</v>
      </c>
      <c r="N61" s="16">
        <f>IF(N60&gt;0,(N60),(0))</f>
        <v>646.95163288810181</v>
      </c>
    </row>
    <row r="62" spans="1:17" x14ac:dyDescent="0.25">
      <c r="A62" s="244"/>
      <c r="B62" s="237"/>
      <c r="F62" s="461">
        <f t="shared" ref="F62:K62" si="32">F61-F60</f>
        <v>3.5827531127129646</v>
      </c>
      <c r="G62" s="461">
        <f t="shared" si="32"/>
        <v>1.8740033857579697</v>
      </c>
      <c r="H62" s="461">
        <f t="shared" si="32"/>
        <v>-1.4140181301878592</v>
      </c>
      <c r="I62" s="461">
        <f t="shared" si="32"/>
        <v>0.50257344910441137</v>
      </c>
      <c r="J62" s="461">
        <f t="shared" si="32"/>
        <v>1.5434960681520309</v>
      </c>
      <c r="K62" s="461">
        <f t="shared" si="32"/>
        <v>1.6440107579729135</v>
      </c>
    </row>
    <row r="63" spans="1:17" x14ac:dyDescent="0.25">
      <c r="A63" s="244"/>
      <c r="B63" s="237"/>
      <c r="F63" s="16">
        <f t="shared" ref="F63:K63" si="33">F60*$N$61</f>
        <v>31651.049640841789</v>
      </c>
      <c r="G63" s="16">
        <f t="shared" si="33"/>
        <v>20202.7976430905</v>
      </c>
      <c r="H63" s="16">
        <f t="shared" si="33"/>
        <v>13468.531762060335</v>
      </c>
      <c r="I63" s="16">
        <f t="shared" si="33"/>
        <v>3367.1329405150836</v>
      </c>
      <c r="J63" s="16">
        <f t="shared" si="33"/>
        <v>2693.7063524120667</v>
      </c>
      <c r="K63" s="16">
        <f t="shared" si="33"/>
        <v>3367.1329405150836</v>
      </c>
      <c r="L63" s="16">
        <f>SUM(F63:K63)</f>
        <v>74750.351279434864</v>
      </c>
      <c r="O63" s="16">
        <f>SUM(F63:K63)</f>
        <v>74750.351279434864</v>
      </c>
      <c r="P63" s="16">
        <f>O60-O63</f>
        <v>0</v>
      </c>
      <c r="Q63" s="2" t="s">
        <v>976</v>
      </c>
    </row>
    <row r="64" spans="1:17" ht="13" thickBot="1" x14ac:dyDescent="0.3">
      <c r="A64" s="244"/>
      <c r="B64" s="237"/>
      <c r="F64" s="16">
        <f t="shared" ref="F64:K64" si="34">IF(F62&lt;0,(F61*$N$61),IF(F62&gt;0,(F60*$N$61),(0)))</f>
        <v>31651.049640841789</v>
      </c>
      <c r="G64" s="16">
        <f t="shared" si="34"/>
        <v>20202.7976430905</v>
      </c>
      <c r="H64" s="16">
        <f t="shared" si="34"/>
        <v>12553.730423801919</v>
      </c>
      <c r="I64" s="16">
        <f t="shared" si="34"/>
        <v>3367.1329405150836</v>
      </c>
      <c r="J64" s="16">
        <f t="shared" si="34"/>
        <v>2693.7063524120667</v>
      </c>
      <c r="K64" s="16">
        <f t="shared" si="34"/>
        <v>3367.1329405150836</v>
      </c>
      <c r="L64" s="397">
        <f>SUM(F64:K64)</f>
        <v>73835.549941176447</v>
      </c>
      <c r="M64" s="16">
        <f>L64-L63</f>
        <v>-914.80133825841767</v>
      </c>
    </row>
    <row r="65" spans="1:25" ht="13.5" thickBot="1" x14ac:dyDescent="0.35">
      <c r="A65" s="249"/>
      <c r="B65" s="36"/>
      <c r="C65" s="184" t="s">
        <v>947</v>
      </c>
      <c r="D65" s="184" t="s">
        <v>1070</v>
      </c>
      <c r="E65" s="801">
        <f>SUM(F65:K65)</f>
        <v>114.12839258409788</v>
      </c>
      <c r="F65" s="799">
        <f t="shared" ref="F65:K65" si="35">IF(F64&gt;0,(F64/$N$61),(0))</f>
        <v>48.923363095238102</v>
      </c>
      <c r="G65" s="799">
        <f t="shared" si="35"/>
        <v>31.227678571428569</v>
      </c>
      <c r="H65" s="799">
        <f t="shared" si="35"/>
        <v>19.404434250764524</v>
      </c>
      <c r="I65" s="799">
        <f t="shared" si="35"/>
        <v>5.2046130952380958</v>
      </c>
      <c r="J65" s="799">
        <f t="shared" si="35"/>
        <v>4.1636904761904763</v>
      </c>
      <c r="K65" s="799">
        <f t="shared" si="35"/>
        <v>5.2046130952380958</v>
      </c>
      <c r="L65" s="5">
        <v>0</v>
      </c>
      <c r="M65" s="802">
        <f>IF(L64&gt;0,(L64/E65),(0))</f>
        <v>646.9516328881017</v>
      </c>
    </row>
    <row r="66" spans="1:25" x14ac:dyDescent="0.25">
      <c r="A66" s="463"/>
      <c r="B66" s="463"/>
      <c r="C66" s="463"/>
      <c r="D66" s="463"/>
      <c r="E66" s="464"/>
      <c r="F66" s="465"/>
      <c r="G66" s="465"/>
      <c r="H66" s="465"/>
      <c r="I66" s="465"/>
      <c r="J66" s="465"/>
      <c r="K66" s="465"/>
      <c r="L66" s="465"/>
      <c r="M66" s="465"/>
      <c r="N66" s="464"/>
      <c r="O66" s="464"/>
      <c r="P66" s="464"/>
      <c r="Q66" s="464"/>
    </row>
    <row r="67" spans="1:25" x14ac:dyDescent="0.25">
      <c r="A67" s="244">
        <v>9257002</v>
      </c>
      <c r="B67" s="237" t="s">
        <v>213</v>
      </c>
      <c r="C67" t="s">
        <v>879</v>
      </c>
      <c r="D67" t="str">
        <f>CONCATENATE(A67,C67)</f>
        <v>92570022019/20</v>
      </c>
      <c r="E67" s="122">
        <f>VLOOKUP(A67,'1920 Funding Detail'!$A$4:$M$23,13,(FALSE))</f>
        <v>144.58333333333334</v>
      </c>
      <c r="F67" s="460">
        <f>$E$67*'1920 Band Calculations'!D15</f>
        <v>67.271412037037038</v>
      </c>
      <c r="G67" s="460">
        <f>$E$67*'1920 Band Calculations'!E15</f>
        <v>24.097222222222221</v>
      </c>
      <c r="H67" s="460">
        <f>$E$67*'1920 Band Calculations'!F15</f>
        <v>27.109375</v>
      </c>
      <c r="I67" s="460">
        <f>$E$67*'1920 Band Calculations'!G15</f>
        <v>2.0081018518518521</v>
      </c>
      <c r="J67" s="460">
        <f>$E$67*'1920 Band Calculations'!H15</f>
        <v>7.0283564814814818</v>
      </c>
      <c r="K67" s="460">
        <f>$E$67*'1920 Band Calculations'!I15</f>
        <v>16.064814814814817</v>
      </c>
      <c r="L67" s="460">
        <f>$E$67*'1920 Band Calculations'!J15</f>
        <v>1.004050925925926</v>
      </c>
      <c r="N67" s="16">
        <f>VLOOKUP(A67,'1920 Funding Detail'!$A$4:$U$23,21,(FALSE))*-1</f>
        <v>-323.78150158713288</v>
      </c>
      <c r="O67" s="16">
        <f>VLOOKUP(A67,'1920 Funding Detail'!$A$4:$V$23,22,(FALSE))</f>
        <v>0</v>
      </c>
    </row>
    <row r="68" spans="1:25" x14ac:dyDescent="0.25">
      <c r="A68" s="244">
        <v>9257002</v>
      </c>
      <c r="B68" s="237" t="s">
        <v>213</v>
      </c>
      <c r="C68" t="s">
        <v>947</v>
      </c>
      <c r="D68" t="str">
        <f>CONCATENATE(A68,C68)</f>
        <v>92570022020/21</v>
      </c>
      <c r="E68" s="122">
        <f>VLOOKUP(A68,'2021 Funding Detail'!$A$4:$M$23,13,(FALSE))</f>
        <v>147.91666666666669</v>
      </c>
      <c r="F68" s="460">
        <f>$E$68*'2021 Band Calculations'!D15</f>
        <v>63.541666666666671</v>
      </c>
      <c r="G68" s="460">
        <f>$E$68*'2021 Band Calculations'!E15</f>
        <v>37.500000000000007</v>
      </c>
      <c r="H68" s="460">
        <f>$E$68*'2021 Band Calculations'!F15</f>
        <v>22.916666666666668</v>
      </c>
      <c r="I68" s="460">
        <f>$E$68*'2021 Band Calculations'!G15</f>
        <v>3.1250000000000004</v>
      </c>
      <c r="J68" s="460">
        <f>$E$68*'2021 Band Calculations'!H15</f>
        <v>6.2500000000000009</v>
      </c>
      <c r="K68" s="460">
        <f>$E$68*'2021 Band Calculations'!I15</f>
        <v>12.500000000000002</v>
      </c>
      <c r="L68" s="460">
        <f>$E$68*'2021 Band Calculations'!J15</f>
        <v>2.0833333333333335</v>
      </c>
      <c r="N68" s="16">
        <f>IF(N67&gt;0,(N67),(0))</f>
        <v>0</v>
      </c>
    </row>
    <row r="69" spans="1:25" x14ac:dyDescent="0.25">
      <c r="A69" s="244"/>
      <c r="B69" s="237"/>
      <c r="F69" s="461">
        <f t="shared" ref="F69:K69" si="36">F68-F67</f>
        <v>-3.7297453703703667</v>
      </c>
      <c r="G69" s="461">
        <f t="shared" si="36"/>
        <v>13.402777777777786</v>
      </c>
      <c r="H69" s="461">
        <f t="shared" si="36"/>
        <v>-4.1927083333333321</v>
      </c>
      <c r="I69" s="461">
        <f t="shared" si="36"/>
        <v>1.1168981481481484</v>
      </c>
      <c r="J69" s="461">
        <f t="shared" si="36"/>
        <v>-0.77835648148148096</v>
      </c>
      <c r="K69" s="461">
        <f t="shared" si="36"/>
        <v>-3.5648148148148149</v>
      </c>
    </row>
    <row r="70" spans="1:25" x14ac:dyDescent="0.25">
      <c r="A70" s="244"/>
      <c r="B70" s="237"/>
      <c r="F70" s="16">
        <f t="shared" ref="F70:K70" si="37">F67*$N$68</f>
        <v>0</v>
      </c>
      <c r="G70" s="16">
        <f t="shared" si="37"/>
        <v>0</v>
      </c>
      <c r="H70" s="16">
        <f t="shared" si="37"/>
        <v>0</v>
      </c>
      <c r="I70" s="16">
        <f t="shared" si="37"/>
        <v>0</v>
      </c>
      <c r="J70" s="16">
        <f t="shared" si="37"/>
        <v>0</v>
      </c>
      <c r="K70" s="16">
        <f t="shared" si="37"/>
        <v>0</v>
      </c>
      <c r="L70" s="16">
        <f>SUM(F70:K70)</f>
        <v>0</v>
      </c>
      <c r="O70" s="16">
        <f>SUM(F70:K70)</f>
        <v>0</v>
      </c>
      <c r="P70" s="16">
        <f>O67-O70</f>
        <v>0</v>
      </c>
      <c r="Q70" s="2" t="s">
        <v>976</v>
      </c>
    </row>
    <row r="71" spans="1:25" ht="13" thickBot="1" x14ac:dyDescent="0.3">
      <c r="A71" s="244"/>
      <c r="B71" s="237"/>
      <c r="F71" s="16">
        <f t="shared" ref="F71:K71" si="38">IF(F69&lt;0,(F68*$N$68),IF(F69&gt;0,(F67*$N$68),(0)))</f>
        <v>0</v>
      </c>
      <c r="G71" s="16">
        <f t="shared" si="38"/>
        <v>0</v>
      </c>
      <c r="H71" s="16">
        <f t="shared" si="38"/>
        <v>0</v>
      </c>
      <c r="I71" s="16">
        <f t="shared" si="38"/>
        <v>0</v>
      </c>
      <c r="J71" s="16">
        <f t="shared" si="38"/>
        <v>0</v>
      </c>
      <c r="K71" s="16">
        <f t="shared" si="38"/>
        <v>0</v>
      </c>
      <c r="L71" s="397">
        <f>SUM(F71:K71)</f>
        <v>0</v>
      </c>
      <c r="M71" s="16">
        <f>L71-L70</f>
        <v>0</v>
      </c>
    </row>
    <row r="72" spans="1:25" ht="13.5" thickBot="1" x14ac:dyDescent="0.35">
      <c r="A72" s="249"/>
      <c r="B72" s="36"/>
      <c r="C72" s="184" t="s">
        <v>947</v>
      </c>
      <c r="D72" s="184" t="s">
        <v>1070</v>
      </c>
      <c r="E72" s="801">
        <f>SUM(F72:K72)</f>
        <v>0</v>
      </c>
      <c r="F72" s="799">
        <f t="shared" ref="F72:K72" si="39">IF(F71&gt;0,(F71/$N$68),(0))</f>
        <v>0</v>
      </c>
      <c r="G72" s="799">
        <f t="shared" si="39"/>
        <v>0</v>
      </c>
      <c r="H72" s="799">
        <f t="shared" si="39"/>
        <v>0</v>
      </c>
      <c r="I72" s="799">
        <f t="shared" si="39"/>
        <v>0</v>
      </c>
      <c r="J72" s="799">
        <f t="shared" si="39"/>
        <v>0</v>
      </c>
      <c r="K72" s="799">
        <f t="shared" si="39"/>
        <v>0</v>
      </c>
      <c r="L72" s="5">
        <v>0</v>
      </c>
      <c r="M72" s="802">
        <f>IF(L71&gt;0,(L71/E72),(0))</f>
        <v>0</v>
      </c>
    </row>
    <row r="73" spans="1:25" x14ac:dyDescent="0.25">
      <c r="A73" s="463"/>
      <c r="B73" s="463"/>
      <c r="C73" s="463"/>
      <c r="D73" s="463"/>
      <c r="E73" s="464"/>
      <c r="F73" s="465"/>
      <c r="G73" s="465"/>
      <c r="H73" s="465"/>
      <c r="I73" s="465"/>
      <c r="J73" s="465"/>
      <c r="K73" s="465"/>
      <c r="L73" s="465"/>
      <c r="M73" s="465"/>
      <c r="N73" s="464"/>
      <c r="O73" s="464"/>
      <c r="P73" s="464"/>
      <c r="Q73" s="464"/>
    </row>
    <row r="74" spans="1:25" x14ac:dyDescent="0.25">
      <c r="A74" s="244">
        <v>9257009</v>
      </c>
      <c r="B74" s="237" t="s">
        <v>214</v>
      </c>
      <c r="C74" t="s">
        <v>879</v>
      </c>
      <c r="D74" t="str">
        <f>CONCATENATE(A74,C74)</f>
        <v>92570092019/20</v>
      </c>
      <c r="E74" s="122">
        <f>VLOOKUP(A74,'1920 Funding Detail'!$A$4:$M$23,13,(FALSE))</f>
        <v>134.16666666666669</v>
      </c>
      <c r="F74" s="460">
        <f>$E$74*'1920 Band Calculations'!D16</f>
        <v>24.029850746268657</v>
      </c>
      <c r="G74" s="460">
        <f>$E$74*'1920 Band Calculations'!E16</f>
        <v>68.084577114427873</v>
      </c>
      <c r="H74" s="460">
        <f>$E$74*'1920 Band Calculations'!F16</f>
        <v>16.019900497512438</v>
      </c>
      <c r="I74" s="460">
        <f>$E$74*'1920 Band Calculations'!G16</f>
        <v>2.0024875621890548</v>
      </c>
      <c r="J74" s="460">
        <f>$E$74*'1920 Band Calculations'!H16</f>
        <v>5.0062189054726369</v>
      </c>
      <c r="K74" s="460">
        <f>$E$74*'1920 Band Calculations'!I16</f>
        <v>19.023631840796021</v>
      </c>
      <c r="L74" s="460">
        <f>$E$74*'1920 Band Calculations'!J16</f>
        <v>0</v>
      </c>
      <c r="N74" s="16">
        <f>VLOOKUP(A74,'1920 Funding Detail'!$A$4:$U$23,21,(FALSE))*-1</f>
        <v>620.19281408091047</v>
      </c>
      <c r="O74" s="16">
        <f>VLOOKUP(A74,'1920 Funding Detail'!$A$4:$V$23,22,(FALSE))</f>
        <v>83209.202555855503</v>
      </c>
      <c r="S74" s="460"/>
      <c r="T74" s="460"/>
      <c r="U74" s="460"/>
      <c r="V74" s="460"/>
      <c r="W74" s="460"/>
      <c r="X74" s="460"/>
      <c r="Y74" s="460"/>
    </row>
    <row r="75" spans="1:25" x14ac:dyDescent="0.25">
      <c r="A75" s="244">
        <v>9257009</v>
      </c>
      <c r="B75" s="237" t="s">
        <v>214</v>
      </c>
      <c r="C75" t="s">
        <v>947</v>
      </c>
      <c r="D75" t="str">
        <f>CONCATENATE(A75,C75)</f>
        <v>92570092020/21</v>
      </c>
      <c r="E75" s="122">
        <f>VLOOKUP(A75,'2021 Funding Detail'!$A$4:$M$23,13,(FALSE))</f>
        <v>135.58333333333334</v>
      </c>
      <c r="F75" s="460">
        <f>$E$75*'2021 Band Calculations'!D16</f>
        <v>23.122739018087856</v>
      </c>
      <c r="G75" s="460">
        <f>$E$75*'2021 Band Calculations'!E16</f>
        <v>78.827519379844972</v>
      </c>
      <c r="H75" s="460">
        <f>$E$75*'2021 Band Calculations'!F16</f>
        <v>11.561369509043928</v>
      </c>
      <c r="I75" s="460">
        <f>$E$75*'2021 Band Calculations'!G16</f>
        <v>2.1020671834625326</v>
      </c>
      <c r="J75" s="460">
        <f>$E$75*'2021 Band Calculations'!H16</f>
        <v>4.2041343669250653</v>
      </c>
      <c r="K75" s="460">
        <f>$E$75*'2021 Band Calculations'!I16</f>
        <v>15.765503875968992</v>
      </c>
      <c r="L75" s="460">
        <f>$E$75*'2021 Band Calculations'!J16</f>
        <v>0</v>
      </c>
      <c r="N75" s="16">
        <f>IF(N74&gt;0,(N74),(0))</f>
        <v>620.19281408091047</v>
      </c>
      <c r="S75" s="460"/>
      <c r="T75" s="460"/>
      <c r="U75" s="460"/>
      <c r="V75" s="460"/>
      <c r="W75" s="460"/>
      <c r="X75" s="460"/>
      <c r="Y75" s="460"/>
    </row>
    <row r="76" spans="1:25" x14ac:dyDescent="0.25">
      <c r="A76" s="244"/>
      <c r="B76" s="237"/>
      <c r="F76" s="461">
        <f t="shared" ref="F76:K76" si="40">F75-F74</f>
        <v>-0.90711172818080144</v>
      </c>
      <c r="G76" s="461">
        <f t="shared" si="40"/>
        <v>10.742942265417099</v>
      </c>
      <c r="H76" s="461">
        <f t="shared" si="40"/>
        <v>-4.4585309884685103</v>
      </c>
      <c r="I76" s="461">
        <f t="shared" si="40"/>
        <v>9.9579621273477859E-2</v>
      </c>
      <c r="J76" s="461">
        <f t="shared" si="40"/>
        <v>-0.80208453854757167</v>
      </c>
      <c r="K76" s="461">
        <f t="shared" si="40"/>
        <v>-3.2581279648270289</v>
      </c>
      <c r="S76" s="460"/>
      <c r="T76" s="460"/>
      <c r="U76" s="460"/>
      <c r="V76" s="460"/>
      <c r="W76" s="460"/>
      <c r="X76" s="460"/>
      <c r="Y76" s="460"/>
    </row>
    <row r="77" spans="1:25" x14ac:dyDescent="0.25">
      <c r="A77" s="244"/>
      <c r="B77" s="237"/>
      <c r="F77" s="16">
        <f t="shared" ref="F77:K77" si="41">F74*$N$75</f>
        <v>14903.140756272625</v>
      </c>
      <c r="G77" s="16">
        <f t="shared" si="41"/>
        <v>42225.565476105774</v>
      </c>
      <c r="H77" s="16">
        <f t="shared" si="41"/>
        <v>9935.4271708484175</v>
      </c>
      <c r="I77" s="16">
        <f t="shared" si="41"/>
        <v>1241.9283963560522</v>
      </c>
      <c r="J77" s="16">
        <f t="shared" si="41"/>
        <v>3104.8209908901304</v>
      </c>
      <c r="K77" s="16">
        <f t="shared" si="41"/>
        <v>11798.319765382495</v>
      </c>
      <c r="L77" s="16">
        <f>SUM(F77:K77)</f>
        <v>83209.202555855503</v>
      </c>
      <c r="O77" s="16">
        <f>SUM(F77:K77)</f>
        <v>83209.202555855503</v>
      </c>
      <c r="P77" s="16">
        <f>O74-O77</f>
        <v>0</v>
      </c>
      <c r="Q77" s="2" t="s">
        <v>976</v>
      </c>
    </row>
    <row r="78" spans="1:25" ht="13" thickBot="1" x14ac:dyDescent="0.3">
      <c r="A78" s="244"/>
      <c r="B78" s="237"/>
      <c r="F78" s="16">
        <f t="shared" ref="F78:K78" si="42">IF(F76&lt;0,(F75*$N$75),IF(F76&gt;0,(F74*$N$75),(0)))</f>
        <v>14340.556580886376</v>
      </c>
      <c r="G78" s="16">
        <f t="shared" si="42"/>
        <v>42225.565476105774</v>
      </c>
      <c r="H78" s="16">
        <f t="shared" si="42"/>
        <v>7170.2782904431879</v>
      </c>
      <c r="I78" s="16">
        <f t="shared" si="42"/>
        <v>1241.9283963560522</v>
      </c>
      <c r="J78" s="16">
        <f t="shared" si="42"/>
        <v>2607.3739237975233</v>
      </c>
      <c r="K78" s="16">
        <f t="shared" si="42"/>
        <v>9777.6522142407102</v>
      </c>
      <c r="L78" s="397">
        <f>SUM(F78:K78)</f>
        <v>77363.354881829611</v>
      </c>
      <c r="M78" s="16">
        <f>L78-L77</f>
        <v>-5845.847674025892</v>
      </c>
    </row>
    <row r="79" spans="1:25" ht="13.5" thickBot="1" x14ac:dyDescent="0.35">
      <c r="A79" s="249">
        <v>9257009</v>
      </c>
      <c r="B79" s="36"/>
      <c r="C79" s="184" t="s">
        <v>947</v>
      </c>
      <c r="D79" s="184" t="s">
        <v>1070</v>
      </c>
      <c r="E79" s="801">
        <f>SUM(F79:K79)</f>
        <v>124.74081144664277</v>
      </c>
      <c r="F79" s="799">
        <f t="shared" ref="F79:K79" si="43">IF(F78&gt;0,(F78/$N$75),(0))</f>
        <v>23.122739018087856</v>
      </c>
      <c r="G79" s="799">
        <f t="shared" si="43"/>
        <v>68.084577114427873</v>
      </c>
      <c r="H79" s="799">
        <f t="shared" si="43"/>
        <v>11.561369509043928</v>
      </c>
      <c r="I79" s="799">
        <f t="shared" si="43"/>
        <v>2.0024875621890548</v>
      </c>
      <c r="J79" s="799">
        <f t="shared" si="43"/>
        <v>4.2041343669250653</v>
      </c>
      <c r="K79" s="799">
        <f t="shared" si="43"/>
        <v>15.765503875968992</v>
      </c>
      <c r="L79" s="5">
        <v>0</v>
      </c>
      <c r="M79" s="802">
        <f>IF(L78&gt;0,(L78/E79),(0))</f>
        <v>620.19281408091035</v>
      </c>
    </row>
    <row r="80" spans="1:25" x14ac:dyDescent="0.25">
      <c r="A80" s="463"/>
      <c r="B80" s="463"/>
      <c r="C80" s="463"/>
      <c r="D80" s="463"/>
      <c r="E80" s="464"/>
      <c r="F80" s="465"/>
      <c r="G80" s="465"/>
      <c r="H80" s="465"/>
      <c r="I80" s="465"/>
      <c r="J80" s="465"/>
      <c r="K80" s="465"/>
      <c r="L80" s="465"/>
      <c r="M80" s="465"/>
      <c r="N80" s="464"/>
      <c r="O80" s="464"/>
      <c r="P80" s="464"/>
      <c r="Q80" s="464"/>
    </row>
    <row r="81" spans="1:17" x14ac:dyDescent="0.25">
      <c r="A81" s="244">
        <v>9257029</v>
      </c>
      <c r="B81" s="237" t="s">
        <v>890</v>
      </c>
      <c r="C81" t="s">
        <v>879</v>
      </c>
      <c r="D81" t="str">
        <f>CONCATENATE(A81,C81)</f>
        <v>92570292019/20</v>
      </c>
      <c r="E81" s="122">
        <f>VLOOKUP(A81,'1920 Funding Detail'!$A$4:$M$23,13,(FALSE))</f>
        <v>56.750000000000007</v>
      </c>
      <c r="F81" s="460">
        <f>$E$81*'1920 Band Calculations'!D17</f>
        <v>0</v>
      </c>
      <c r="G81" s="460">
        <f>$E$81*'1920 Band Calculations'!E17</f>
        <v>0</v>
      </c>
      <c r="H81" s="460">
        <f>$E$81*'1920 Band Calculations'!F17</f>
        <v>56.750000000000007</v>
      </c>
      <c r="I81" s="460">
        <f>$E$81*'1920 Band Calculations'!G17</f>
        <v>0</v>
      </c>
      <c r="J81" s="460">
        <f>$E$81*'1920 Band Calculations'!H17</f>
        <v>0</v>
      </c>
      <c r="K81" s="460">
        <f>$E$81*'1920 Band Calculations'!I17</f>
        <v>0</v>
      </c>
      <c r="L81" s="460">
        <f>$E$81*'1920 Band Calculations'!J17</f>
        <v>0</v>
      </c>
      <c r="N81" s="16">
        <f>VLOOKUP(A81,'1920 Funding Detail'!$A$4:$U$23,21,(FALSE))*-1</f>
        <v>298.91737375922457</v>
      </c>
      <c r="O81" s="16">
        <f>VLOOKUP(A81,'1920 Funding Detail'!$A$4:$V$23,22,(FALSE))</f>
        <v>16963.560960835996</v>
      </c>
    </row>
    <row r="82" spans="1:17" x14ac:dyDescent="0.25">
      <c r="A82" s="244">
        <v>9257029</v>
      </c>
      <c r="B82" s="237" t="s">
        <v>890</v>
      </c>
      <c r="C82" t="s">
        <v>947</v>
      </c>
      <c r="D82" t="str">
        <f>CONCATENATE(A82,C82)</f>
        <v>92570292020/21</v>
      </c>
      <c r="E82" s="122">
        <f>VLOOKUP(A82,'2021 Funding Detail'!$A$4:$M$23,13,(FALSE))</f>
        <v>69.166666666666671</v>
      </c>
      <c r="F82" s="460">
        <f>$E$82*'2021 Band Calculations'!D17</f>
        <v>0</v>
      </c>
      <c r="G82" s="460">
        <f>$E$82*'2021 Band Calculations'!E17</f>
        <v>0</v>
      </c>
      <c r="H82" s="460">
        <f>$E$82*'2021 Band Calculations'!F17</f>
        <v>69.166666666666671</v>
      </c>
      <c r="I82" s="460">
        <f>$E$82*'2021 Band Calculations'!G17</f>
        <v>0</v>
      </c>
      <c r="J82" s="460">
        <f>$E$82*'2021 Band Calculations'!H17</f>
        <v>0</v>
      </c>
      <c r="K82" s="460">
        <f>$E$82*'2021 Band Calculations'!I17</f>
        <v>0</v>
      </c>
      <c r="L82" s="460">
        <f>$E$82*'2021 Band Calculations'!J17</f>
        <v>0</v>
      </c>
      <c r="N82" s="16">
        <f>IF(N81&gt;0,(N81),(0))</f>
        <v>298.91737375922457</v>
      </c>
    </row>
    <row r="83" spans="1:17" x14ac:dyDescent="0.25">
      <c r="A83" s="244"/>
      <c r="B83" s="237"/>
      <c r="F83" s="461">
        <f t="shared" ref="F83:K83" si="44">F82-F81</f>
        <v>0</v>
      </c>
      <c r="G83" s="461">
        <f t="shared" si="44"/>
        <v>0</v>
      </c>
      <c r="H83" s="461">
        <f t="shared" si="44"/>
        <v>12.416666666666664</v>
      </c>
      <c r="I83" s="461">
        <f t="shared" si="44"/>
        <v>0</v>
      </c>
      <c r="J83" s="461">
        <f t="shared" si="44"/>
        <v>0</v>
      </c>
      <c r="K83" s="461">
        <f t="shared" si="44"/>
        <v>0</v>
      </c>
    </row>
    <row r="84" spans="1:17" x14ac:dyDescent="0.25">
      <c r="A84" s="244"/>
      <c r="B84" s="237"/>
      <c r="F84" s="16">
        <f t="shared" ref="F84:K84" si="45">F81*$N$82</f>
        <v>0</v>
      </c>
      <c r="G84" s="16">
        <f t="shared" si="45"/>
        <v>0</v>
      </c>
      <c r="H84" s="16">
        <f t="shared" si="45"/>
        <v>16963.560960835996</v>
      </c>
      <c r="I84" s="16">
        <f t="shared" si="45"/>
        <v>0</v>
      </c>
      <c r="J84" s="16">
        <f t="shared" si="45"/>
        <v>0</v>
      </c>
      <c r="K84" s="16">
        <f t="shared" si="45"/>
        <v>0</v>
      </c>
      <c r="L84" s="16">
        <f>SUM(F84:K84)</f>
        <v>16963.560960835996</v>
      </c>
      <c r="O84" s="16">
        <f>SUM(F84:K84)</f>
        <v>16963.560960835996</v>
      </c>
      <c r="P84" s="16">
        <f>O81-O84</f>
        <v>0</v>
      </c>
      <c r="Q84" s="2" t="s">
        <v>976</v>
      </c>
    </row>
    <row r="85" spans="1:17" ht="13" thickBot="1" x14ac:dyDescent="0.3">
      <c r="A85" s="244"/>
      <c r="B85" s="237"/>
      <c r="F85" s="16">
        <f t="shared" ref="F85:K85" si="46">IF(F83&lt;0,(F82*$N$82),IF(F83&gt;0,(F81*$N$82),(0)))</f>
        <v>0</v>
      </c>
      <c r="G85" s="16">
        <f t="shared" si="46"/>
        <v>0</v>
      </c>
      <c r="H85" s="16">
        <f t="shared" si="46"/>
        <v>16963.560960835996</v>
      </c>
      <c r="I85" s="16">
        <f t="shared" si="46"/>
        <v>0</v>
      </c>
      <c r="J85" s="16">
        <f t="shared" si="46"/>
        <v>0</v>
      </c>
      <c r="K85" s="16">
        <f t="shared" si="46"/>
        <v>0</v>
      </c>
      <c r="L85" s="397">
        <f>SUM(F85:K85)</f>
        <v>16963.560960835996</v>
      </c>
      <c r="M85" s="16">
        <f>L85-L84</f>
        <v>0</v>
      </c>
    </row>
    <row r="86" spans="1:17" ht="13.5" thickBot="1" x14ac:dyDescent="0.35">
      <c r="A86" s="249"/>
      <c r="B86" s="36"/>
      <c r="C86" s="184" t="s">
        <v>947</v>
      </c>
      <c r="D86" s="184" t="s">
        <v>1070</v>
      </c>
      <c r="E86" s="801">
        <f>SUM(F86:K86)</f>
        <v>56.75</v>
      </c>
      <c r="F86" s="799">
        <f t="shared" ref="F86:K86" si="47">IF(F85&gt;0,(F85/$N$82),(0))</f>
        <v>0</v>
      </c>
      <c r="G86" s="799">
        <f t="shared" si="47"/>
        <v>0</v>
      </c>
      <c r="H86" s="799">
        <f t="shared" si="47"/>
        <v>56.75</v>
      </c>
      <c r="I86" s="799">
        <f t="shared" si="47"/>
        <v>0</v>
      </c>
      <c r="J86" s="799">
        <f t="shared" si="47"/>
        <v>0</v>
      </c>
      <c r="K86" s="799">
        <f t="shared" si="47"/>
        <v>0</v>
      </c>
      <c r="L86" s="5">
        <v>0</v>
      </c>
      <c r="M86" s="802">
        <f>IF(L85&gt;0,(L85/E86),(0))</f>
        <v>298.91737375922457</v>
      </c>
    </row>
    <row r="87" spans="1:17" x14ac:dyDescent="0.25">
      <c r="A87" s="463"/>
      <c r="B87" s="463"/>
      <c r="C87" s="463"/>
      <c r="D87" s="463"/>
      <c r="E87" s="464"/>
      <c r="F87" s="465"/>
      <c r="G87" s="465"/>
      <c r="H87" s="465"/>
      <c r="I87" s="465"/>
      <c r="J87" s="465"/>
      <c r="K87" s="465"/>
      <c r="L87" s="465"/>
      <c r="M87" s="465"/>
      <c r="N87" s="464"/>
      <c r="O87" s="464"/>
      <c r="P87" s="464"/>
      <c r="Q87" s="464"/>
    </row>
    <row r="88" spans="1:17" x14ac:dyDescent="0.25">
      <c r="A88" s="244">
        <v>9257032</v>
      </c>
      <c r="B88" s="237" t="s">
        <v>1043</v>
      </c>
      <c r="C88" t="s">
        <v>879</v>
      </c>
      <c r="D88" t="str">
        <f>CONCATENATE(A88,C88)</f>
        <v>92570322019/20</v>
      </c>
      <c r="E88" s="122">
        <f>VLOOKUP(A88,'1920 Funding Detail'!$A$4:$M$23,13,(FALSE))</f>
        <v>71.416666666666671</v>
      </c>
      <c r="F88" s="460">
        <f>$E$88*'1920 Band Calculations'!D18</f>
        <v>0</v>
      </c>
      <c r="G88" s="460">
        <f>$E$88*'1920 Band Calculations'!E18</f>
        <v>0</v>
      </c>
      <c r="H88" s="460">
        <f>$E$88*'1920 Band Calculations'!F18</f>
        <v>71.416666666666671</v>
      </c>
      <c r="I88" s="460">
        <f>$E$88*'1920 Band Calculations'!G18</f>
        <v>0</v>
      </c>
      <c r="J88" s="460">
        <f>$E$88*'1920 Band Calculations'!H18</f>
        <v>0</v>
      </c>
      <c r="K88" s="460">
        <f>$E$88*'1920 Band Calculations'!I18</f>
        <v>0</v>
      </c>
      <c r="L88" s="460">
        <f>$E$88*'1920 Band Calculations'!J18</f>
        <v>0</v>
      </c>
      <c r="N88" s="16">
        <f>VLOOKUP(A88,'1920 Funding Detail'!$A$4:$U$23,21,(FALSE))*-1</f>
        <v>587.48862610920514</v>
      </c>
      <c r="O88" s="16">
        <f>VLOOKUP(A88,'1920 Funding Detail'!$A$4:$V$23,22,(FALSE))</f>
        <v>41956.479381299068</v>
      </c>
    </row>
    <row r="89" spans="1:17" x14ac:dyDescent="0.25">
      <c r="A89" s="244">
        <v>9257032</v>
      </c>
      <c r="B89" s="237" t="s">
        <v>1043</v>
      </c>
      <c r="C89" t="s">
        <v>947</v>
      </c>
      <c r="D89" t="str">
        <f>CONCATENATE(A89,C89)</f>
        <v>92570322020/21</v>
      </c>
      <c r="E89" s="122">
        <f>VLOOKUP(A89,'2021 Funding Detail'!$A$4:$M$23,13,(FALSE))</f>
        <v>77.416666666666671</v>
      </c>
      <c r="F89" s="460">
        <f>$E$89*'2021 Band Calculations'!D18</f>
        <v>0</v>
      </c>
      <c r="G89" s="460">
        <f>$E$89*'2021 Band Calculations'!E18</f>
        <v>0</v>
      </c>
      <c r="H89" s="460">
        <f>$E$89*'2021 Band Calculations'!F18</f>
        <v>77.416666666666671</v>
      </c>
      <c r="I89" s="460">
        <f>$E$89*'2021 Band Calculations'!G18</f>
        <v>0</v>
      </c>
      <c r="J89" s="460">
        <f>$E$89*'2021 Band Calculations'!H18</f>
        <v>0</v>
      </c>
      <c r="K89" s="460">
        <f>$E$89*'2021 Band Calculations'!I18</f>
        <v>0</v>
      </c>
      <c r="L89" s="460">
        <f>$E$89*'2021 Band Calculations'!J18</f>
        <v>0</v>
      </c>
      <c r="N89" s="16">
        <f>IF(N88&gt;0,(N88),(0))</f>
        <v>587.48862610920514</v>
      </c>
    </row>
    <row r="90" spans="1:17" x14ac:dyDescent="0.25">
      <c r="A90" s="244"/>
      <c r="B90" s="237"/>
      <c r="F90" s="461">
        <f t="shared" ref="F90:K90" si="48">F89-F88</f>
        <v>0</v>
      </c>
      <c r="G90" s="461">
        <f t="shared" si="48"/>
        <v>0</v>
      </c>
      <c r="H90" s="461">
        <f t="shared" si="48"/>
        <v>6</v>
      </c>
      <c r="I90" s="461">
        <f t="shared" si="48"/>
        <v>0</v>
      </c>
      <c r="J90" s="461">
        <f t="shared" si="48"/>
        <v>0</v>
      </c>
      <c r="K90" s="461">
        <f t="shared" si="48"/>
        <v>0</v>
      </c>
    </row>
    <row r="91" spans="1:17" x14ac:dyDescent="0.25">
      <c r="A91" s="244"/>
      <c r="B91" s="237"/>
      <c r="F91" s="16">
        <f t="shared" ref="F91:K91" si="49">F88*$N$89</f>
        <v>0</v>
      </c>
      <c r="G91" s="16">
        <f t="shared" si="49"/>
        <v>0</v>
      </c>
      <c r="H91" s="16">
        <f t="shared" si="49"/>
        <v>41956.479381299068</v>
      </c>
      <c r="I91" s="16">
        <f t="shared" si="49"/>
        <v>0</v>
      </c>
      <c r="J91" s="16">
        <f t="shared" si="49"/>
        <v>0</v>
      </c>
      <c r="K91" s="16">
        <f t="shared" si="49"/>
        <v>0</v>
      </c>
      <c r="L91" s="16">
        <f>SUM(F91:K91)</f>
        <v>41956.479381299068</v>
      </c>
      <c r="O91" s="16">
        <f>SUM(F91:K91)</f>
        <v>41956.479381299068</v>
      </c>
      <c r="P91" s="16">
        <f>O88-O91</f>
        <v>0</v>
      </c>
      <c r="Q91" s="2" t="s">
        <v>976</v>
      </c>
    </row>
    <row r="92" spans="1:17" ht="13" thickBot="1" x14ac:dyDescent="0.3">
      <c r="A92" s="244"/>
      <c r="B92" s="237"/>
      <c r="F92" s="16">
        <f t="shared" ref="F92:K92" si="50">IF(F90&lt;0,(F89*$N$89),IF(F90&gt;0,(F88*$N$89),(0)))</f>
        <v>0</v>
      </c>
      <c r="G92" s="16">
        <f t="shared" si="50"/>
        <v>0</v>
      </c>
      <c r="H92" s="16">
        <f t="shared" si="50"/>
        <v>41956.479381299068</v>
      </c>
      <c r="I92" s="16">
        <f t="shared" si="50"/>
        <v>0</v>
      </c>
      <c r="J92" s="16">
        <f t="shared" si="50"/>
        <v>0</v>
      </c>
      <c r="K92" s="16">
        <f t="shared" si="50"/>
        <v>0</v>
      </c>
      <c r="L92" s="397">
        <f>SUM(F92:K92)</f>
        <v>41956.479381299068</v>
      </c>
      <c r="M92" s="16">
        <f>L92-L91</f>
        <v>0</v>
      </c>
    </row>
    <row r="93" spans="1:17" ht="13.5" thickBot="1" x14ac:dyDescent="0.35">
      <c r="A93" s="249"/>
      <c r="B93" s="36"/>
      <c r="C93" s="184" t="s">
        <v>947</v>
      </c>
      <c r="D93" s="184" t="s">
        <v>1070</v>
      </c>
      <c r="E93" s="801">
        <f>SUM(F93:K93)</f>
        <v>71.416666666666671</v>
      </c>
      <c r="F93" s="799">
        <f t="shared" ref="F93:K93" si="51">IF(F92&gt;0,(F92/$N$89),(0))</f>
        <v>0</v>
      </c>
      <c r="G93" s="799">
        <f t="shared" si="51"/>
        <v>0</v>
      </c>
      <c r="H93" s="799">
        <f t="shared" si="51"/>
        <v>71.416666666666671</v>
      </c>
      <c r="I93" s="799">
        <f t="shared" si="51"/>
        <v>0</v>
      </c>
      <c r="J93" s="799">
        <f t="shared" si="51"/>
        <v>0</v>
      </c>
      <c r="K93" s="799">
        <f t="shared" si="51"/>
        <v>0</v>
      </c>
      <c r="L93" s="5">
        <v>0</v>
      </c>
      <c r="M93" s="802">
        <f>IF(L92&gt;0,(L92/E93),(0))</f>
        <v>587.48862610920514</v>
      </c>
    </row>
    <row r="94" spans="1:17" x14ac:dyDescent="0.25">
      <c r="A94" s="463"/>
      <c r="B94" s="463"/>
      <c r="C94" s="463"/>
      <c r="D94" s="463"/>
      <c r="E94" s="464"/>
      <c r="F94" s="465"/>
      <c r="G94" s="465"/>
      <c r="H94" s="465"/>
      <c r="I94" s="465"/>
      <c r="J94" s="465"/>
      <c r="K94" s="465"/>
      <c r="L94" s="465"/>
      <c r="M94" s="465"/>
      <c r="N94" s="464"/>
      <c r="O94" s="464"/>
      <c r="P94" s="464"/>
      <c r="Q94" s="464"/>
    </row>
    <row r="95" spans="1:17" x14ac:dyDescent="0.25">
      <c r="A95" s="244">
        <v>9257030</v>
      </c>
      <c r="B95" s="237" t="s">
        <v>1046</v>
      </c>
      <c r="C95" t="s">
        <v>879</v>
      </c>
      <c r="D95" t="str">
        <f>CONCATENATE(A95,C95)</f>
        <v>92570302019/20</v>
      </c>
      <c r="E95" s="122">
        <f>VLOOKUP(A95,'1920 Funding Detail'!$A$4:$M$23,13,(FALSE))</f>
        <v>72.333333333333343</v>
      </c>
      <c r="F95" s="460">
        <f>$E$95*'1920 Band Calculations'!D19</f>
        <v>0</v>
      </c>
      <c r="G95" s="460">
        <f>$E$95*'1920 Band Calculations'!E19</f>
        <v>0</v>
      </c>
      <c r="H95" s="460">
        <f>$E$95*'1920 Band Calculations'!F19</f>
        <v>72.333333333333343</v>
      </c>
      <c r="I95" s="460">
        <f>$E$95*'1920 Band Calculations'!G19</f>
        <v>0</v>
      </c>
      <c r="J95" s="460">
        <f>$E$95*'1920 Band Calculations'!H19</f>
        <v>0</v>
      </c>
      <c r="K95" s="460">
        <f>$E$95*'1920 Band Calculations'!I19</f>
        <v>0</v>
      </c>
      <c r="L95" s="460">
        <f>$E$95*'1920 Band Calculations'!J19</f>
        <v>0</v>
      </c>
      <c r="N95" s="16">
        <f>VLOOKUP(A95,'1920 Funding Detail'!$A$4:$U$23,21,(FALSE))*-1</f>
        <v>671.07753074711582</v>
      </c>
      <c r="O95" s="16">
        <f>VLOOKUP(A95,'1920 Funding Detail'!$A$4:$V$23,22,(FALSE))</f>
        <v>48541.274724041381</v>
      </c>
    </row>
    <row r="96" spans="1:17" x14ac:dyDescent="0.25">
      <c r="A96" s="244">
        <v>9257030</v>
      </c>
      <c r="B96" s="237" t="s">
        <v>1046</v>
      </c>
      <c r="C96" t="s">
        <v>947</v>
      </c>
      <c r="D96" t="str">
        <f>CONCATENATE(A96,C96)</f>
        <v>92570302020/21</v>
      </c>
      <c r="E96" s="122">
        <f>VLOOKUP(A96,'2021 Funding Detail'!$A$4:$M$23,13,(FALSE))</f>
        <v>74.583333333333343</v>
      </c>
      <c r="F96" s="460">
        <f>$E$96*'2021 Band Calculations'!D19</f>
        <v>0</v>
      </c>
      <c r="G96" s="460">
        <f>$E$96*'2021 Band Calculations'!E19</f>
        <v>0</v>
      </c>
      <c r="H96" s="460">
        <f>$E$96*'2021 Band Calculations'!F19</f>
        <v>74.583333333333343</v>
      </c>
      <c r="I96" s="460">
        <f>$E$96*'2021 Band Calculations'!G19</f>
        <v>0</v>
      </c>
      <c r="J96" s="460">
        <f>$E$96*'2021 Band Calculations'!H19</f>
        <v>0</v>
      </c>
      <c r="K96" s="460">
        <f>$E$96*'2021 Band Calculations'!I19</f>
        <v>0</v>
      </c>
      <c r="L96" s="460">
        <f>$E$96*'2021 Band Calculations'!J19</f>
        <v>0</v>
      </c>
      <c r="N96" s="16">
        <f>IF(N95&gt;0,(N95),(0))</f>
        <v>671.07753074711582</v>
      </c>
    </row>
    <row r="97" spans="1:17" x14ac:dyDescent="0.25">
      <c r="A97" s="244"/>
      <c r="B97" s="237"/>
      <c r="F97" s="461">
        <f t="shared" ref="F97:K97" si="52">F96-F95</f>
        <v>0</v>
      </c>
      <c r="G97" s="461">
        <f t="shared" si="52"/>
        <v>0</v>
      </c>
      <c r="H97" s="461">
        <f t="shared" si="52"/>
        <v>2.25</v>
      </c>
      <c r="I97" s="461">
        <f t="shared" si="52"/>
        <v>0</v>
      </c>
      <c r="J97" s="461">
        <f t="shared" si="52"/>
        <v>0</v>
      </c>
      <c r="K97" s="461">
        <f t="shared" si="52"/>
        <v>0</v>
      </c>
    </row>
    <row r="98" spans="1:17" x14ac:dyDescent="0.25">
      <c r="A98" s="244"/>
      <c r="B98" s="237"/>
      <c r="F98" s="16">
        <f t="shared" ref="F98:K98" si="53">F95*$N$96</f>
        <v>0</v>
      </c>
      <c r="G98" s="16">
        <f t="shared" si="53"/>
        <v>0</v>
      </c>
      <c r="H98" s="16">
        <f t="shared" si="53"/>
        <v>48541.274724041381</v>
      </c>
      <c r="I98" s="16">
        <f t="shared" si="53"/>
        <v>0</v>
      </c>
      <c r="J98" s="16">
        <f t="shared" si="53"/>
        <v>0</v>
      </c>
      <c r="K98" s="16">
        <f t="shared" si="53"/>
        <v>0</v>
      </c>
      <c r="L98" s="16">
        <f>SUM(F98:K98)</f>
        <v>48541.274724041381</v>
      </c>
      <c r="O98" s="16">
        <f>SUM(F98:K98)</f>
        <v>48541.274724041381</v>
      </c>
      <c r="P98" s="16">
        <f>O95-O98</f>
        <v>0</v>
      </c>
      <c r="Q98" s="2" t="s">
        <v>976</v>
      </c>
    </row>
    <row r="99" spans="1:17" ht="13" thickBot="1" x14ac:dyDescent="0.3">
      <c r="A99" s="244"/>
      <c r="B99" s="237"/>
      <c r="F99" s="16">
        <f t="shared" ref="F99:K99" si="54">IF(F97&lt;0,(F96*$N$96),IF(F97&gt;0,(F95*$N$96),(0)))</f>
        <v>0</v>
      </c>
      <c r="G99" s="16">
        <f t="shared" si="54"/>
        <v>0</v>
      </c>
      <c r="H99" s="16">
        <f t="shared" si="54"/>
        <v>48541.274724041381</v>
      </c>
      <c r="I99" s="16">
        <f t="shared" si="54"/>
        <v>0</v>
      </c>
      <c r="J99" s="16">
        <f t="shared" si="54"/>
        <v>0</v>
      </c>
      <c r="K99" s="16">
        <f t="shared" si="54"/>
        <v>0</v>
      </c>
      <c r="L99" s="397">
        <f>SUM(F99:K99)</f>
        <v>48541.274724041381</v>
      </c>
      <c r="M99" s="16">
        <f>L99-L98</f>
        <v>0</v>
      </c>
    </row>
    <row r="100" spans="1:17" ht="13.5" thickBot="1" x14ac:dyDescent="0.35">
      <c r="A100" s="249"/>
      <c r="B100" s="36"/>
      <c r="C100" s="184" t="s">
        <v>947</v>
      </c>
      <c r="D100" s="184" t="s">
        <v>1070</v>
      </c>
      <c r="E100" s="801">
        <f>SUM(F100:K100)</f>
        <v>72.333333333333343</v>
      </c>
      <c r="F100" s="799">
        <f t="shared" ref="F100:K100" si="55">IF(F99&gt;0,(F99/$N$96),(0))</f>
        <v>0</v>
      </c>
      <c r="G100" s="799">
        <f t="shared" si="55"/>
        <v>0</v>
      </c>
      <c r="H100" s="799">
        <f t="shared" si="55"/>
        <v>72.333333333333343</v>
      </c>
      <c r="I100" s="799">
        <f t="shared" si="55"/>
        <v>0</v>
      </c>
      <c r="J100" s="799">
        <f t="shared" si="55"/>
        <v>0</v>
      </c>
      <c r="K100" s="799">
        <f t="shared" si="55"/>
        <v>0</v>
      </c>
      <c r="L100" s="5">
        <v>0</v>
      </c>
      <c r="M100" s="802">
        <f>IF(L99&gt;0,(L99/E100),(0))</f>
        <v>671.07753074711582</v>
      </c>
    </row>
    <row r="101" spans="1:17" x14ac:dyDescent="0.25">
      <c r="A101" s="463"/>
      <c r="B101" s="463"/>
      <c r="C101" s="463"/>
      <c r="D101" s="463"/>
      <c r="E101" s="464"/>
      <c r="F101" s="465"/>
      <c r="G101" s="465"/>
      <c r="H101" s="465"/>
      <c r="I101" s="465"/>
      <c r="J101" s="465"/>
      <c r="K101" s="465"/>
      <c r="L101" s="465"/>
      <c r="M101" s="465"/>
      <c r="N101" s="464"/>
      <c r="O101" s="464"/>
      <c r="P101" s="464"/>
      <c r="Q101" s="464"/>
    </row>
    <row r="102" spans="1:17" x14ac:dyDescent="0.25">
      <c r="A102" s="244">
        <v>9257028</v>
      </c>
      <c r="B102" s="237" t="s">
        <v>215</v>
      </c>
      <c r="C102" t="s">
        <v>879</v>
      </c>
      <c r="D102" t="str">
        <f>CONCATENATE(A102,C102)</f>
        <v>92570282019/20</v>
      </c>
      <c r="E102" s="122">
        <f>VLOOKUP(A102,'1920 Funding Detail'!$A$4:$M$23,13,(FALSE))</f>
        <v>83.333333333333343</v>
      </c>
      <c r="F102" s="460">
        <f>$E$102*'1920 Band Calculations'!D20</f>
        <v>5.8139534883720936</v>
      </c>
      <c r="G102" s="460">
        <f>$E$102*'1920 Band Calculations'!E20</f>
        <v>23.255813953488374</v>
      </c>
      <c r="H102" s="460">
        <f>$E$102*'1920 Band Calculations'!F20</f>
        <v>2.9069767441860468</v>
      </c>
      <c r="I102" s="460">
        <f>$E$102*'1920 Band Calculations'!G20</f>
        <v>10.658914728682172</v>
      </c>
      <c r="J102" s="460">
        <f>$E$102*'1920 Band Calculations'!H20</f>
        <v>15.503875968992249</v>
      </c>
      <c r="K102" s="460">
        <f>$E$102*'1920 Band Calculations'!I20</f>
        <v>13.56589147286822</v>
      </c>
      <c r="L102" s="460">
        <f>$E$102*'1920 Band Calculations'!J20</f>
        <v>11.627906976744187</v>
      </c>
      <c r="N102" s="16">
        <f>VLOOKUP(A102,'1920 Funding Detail'!$A$4:$U$23,21,(FALSE))*-1</f>
        <v>-262.82852311932766</v>
      </c>
      <c r="O102" s="16">
        <f>VLOOKUP(A102,'1920 Funding Detail'!$A$4:$V$23,22,(FALSE))</f>
        <v>0</v>
      </c>
    </row>
    <row r="103" spans="1:17" x14ac:dyDescent="0.25">
      <c r="A103" s="244">
        <v>9257028</v>
      </c>
      <c r="B103" s="237" t="s">
        <v>215</v>
      </c>
      <c r="C103" t="s">
        <v>947</v>
      </c>
      <c r="D103" t="str">
        <f>CONCATENATE(A103,C103)</f>
        <v>92570282020/21</v>
      </c>
      <c r="E103" s="122">
        <f>VLOOKUP(A103,'2021 Funding Detail'!$A$4:$M$23,13,(FALSE))</f>
        <v>93.25</v>
      </c>
      <c r="F103" s="460">
        <f>$E$103*'2021 Band Calculations'!D20</f>
        <v>8.8342105263157897</v>
      </c>
      <c r="G103" s="460">
        <f>$E$103*'2021 Band Calculations'!E20</f>
        <v>33.373684210526314</v>
      </c>
      <c r="H103" s="460">
        <f>$E$103*'2021 Band Calculations'!F20</f>
        <v>3.926315789473684</v>
      </c>
      <c r="I103" s="460">
        <f>$E$103*'2021 Band Calculations'!G20</f>
        <v>8.8342105263157897</v>
      </c>
      <c r="J103" s="460">
        <f>$E$103*'2021 Band Calculations'!H20</f>
        <v>13.742105263157894</v>
      </c>
      <c r="K103" s="460">
        <f>$E$103*'2021 Band Calculations'!I20</f>
        <v>12.760526315789475</v>
      </c>
      <c r="L103" s="460">
        <f>$E$103*'2021 Band Calculations'!J20</f>
        <v>11.778947368421052</v>
      </c>
      <c r="N103" s="16">
        <f>IF(N102&gt;0,(N102),(0))</f>
        <v>0</v>
      </c>
    </row>
    <row r="104" spans="1:17" x14ac:dyDescent="0.25">
      <c r="A104" s="244"/>
      <c r="B104" s="237"/>
      <c r="F104" s="461">
        <f t="shared" ref="F104:K104" si="56">F103-F102</f>
        <v>3.0202570379436962</v>
      </c>
      <c r="G104" s="461">
        <f t="shared" si="56"/>
        <v>10.117870257037939</v>
      </c>
      <c r="H104" s="461">
        <f t="shared" si="56"/>
        <v>1.0193390452876372</v>
      </c>
      <c r="I104" s="461">
        <f t="shared" si="56"/>
        <v>-1.824704202366382</v>
      </c>
      <c r="J104" s="461">
        <f t="shared" si="56"/>
        <v>-1.7617707058343548</v>
      </c>
      <c r="K104" s="461">
        <f t="shared" si="56"/>
        <v>-0.80536515707874479</v>
      </c>
    </row>
    <row r="105" spans="1:17" x14ac:dyDescent="0.25">
      <c r="A105" s="244"/>
      <c r="B105" s="237"/>
      <c r="F105" s="16">
        <f t="shared" ref="F105:K105" si="57">F102*$N$103</f>
        <v>0</v>
      </c>
      <c r="G105" s="16">
        <f t="shared" si="57"/>
        <v>0</v>
      </c>
      <c r="H105" s="16">
        <f t="shared" si="57"/>
        <v>0</v>
      </c>
      <c r="I105" s="16">
        <f t="shared" si="57"/>
        <v>0</v>
      </c>
      <c r="J105" s="16">
        <f t="shared" si="57"/>
        <v>0</v>
      </c>
      <c r="K105" s="16">
        <f t="shared" si="57"/>
        <v>0</v>
      </c>
      <c r="L105" s="16">
        <f>SUM(F105:K105)</f>
        <v>0</v>
      </c>
      <c r="O105" s="16">
        <f>SUM(F105:K105)</f>
        <v>0</v>
      </c>
      <c r="P105" s="16">
        <f>O102-O105</f>
        <v>0</v>
      </c>
      <c r="Q105" s="2" t="s">
        <v>976</v>
      </c>
    </row>
    <row r="106" spans="1:17" ht="13" thickBot="1" x14ac:dyDescent="0.3">
      <c r="A106" s="244"/>
      <c r="B106" s="237"/>
      <c r="F106" s="16">
        <f t="shared" ref="F106:K106" si="58">IF(F104&lt;0,(F103*$N$103),IF(F104&gt;0,(F102*$N$103),(0)))</f>
        <v>0</v>
      </c>
      <c r="G106" s="16">
        <f t="shared" si="58"/>
        <v>0</v>
      </c>
      <c r="H106" s="16">
        <f t="shared" si="58"/>
        <v>0</v>
      </c>
      <c r="I106" s="16">
        <f t="shared" si="58"/>
        <v>0</v>
      </c>
      <c r="J106" s="16">
        <f t="shared" si="58"/>
        <v>0</v>
      </c>
      <c r="K106" s="16">
        <f t="shared" si="58"/>
        <v>0</v>
      </c>
      <c r="L106" s="397">
        <f>SUM(F106:K106)</f>
        <v>0</v>
      </c>
      <c r="M106" s="16">
        <f>L106-L105</f>
        <v>0</v>
      </c>
    </row>
    <row r="107" spans="1:17" ht="13.5" thickBot="1" x14ac:dyDescent="0.35">
      <c r="A107" s="249"/>
      <c r="B107" s="36"/>
      <c r="C107" s="184" t="s">
        <v>947</v>
      </c>
      <c r="D107" s="184" t="s">
        <v>1070</v>
      </c>
      <c r="E107" s="801">
        <f>SUM(F107:K107)</f>
        <v>0</v>
      </c>
      <c r="F107" s="799">
        <f t="shared" ref="F107:K107" si="59">IF(F106&gt;0,(F106/$N$103),(0))</f>
        <v>0</v>
      </c>
      <c r="G107" s="799">
        <f t="shared" si="59"/>
        <v>0</v>
      </c>
      <c r="H107" s="799">
        <f t="shared" si="59"/>
        <v>0</v>
      </c>
      <c r="I107" s="799">
        <f t="shared" si="59"/>
        <v>0</v>
      </c>
      <c r="J107" s="799">
        <f t="shared" si="59"/>
        <v>0</v>
      </c>
      <c r="K107" s="799">
        <f t="shared" si="59"/>
        <v>0</v>
      </c>
      <c r="L107" s="5">
        <v>0</v>
      </c>
      <c r="M107" s="802">
        <f>IF(L106&gt;0,(L106/E107),(0))</f>
        <v>0</v>
      </c>
    </row>
    <row r="108" spans="1:17" x14ac:dyDescent="0.25">
      <c r="A108" s="463"/>
      <c r="B108" s="463"/>
      <c r="C108" s="463"/>
      <c r="D108" s="463"/>
      <c r="E108" s="464"/>
      <c r="F108" s="465"/>
      <c r="G108" s="465"/>
      <c r="H108" s="465"/>
      <c r="I108" s="465"/>
      <c r="J108" s="465"/>
      <c r="K108" s="465"/>
      <c r="L108" s="465"/>
      <c r="M108" s="465"/>
      <c r="N108" s="464"/>
      <c r="O108" s="464"/>
      <c r="P108" s="464"/>
      <c r="Q108" s="464"/>
    </row>
    <row r="109" spans="1:17" x14ac:dyDescent="0.25">
      <c r="A109" s="244">
        <v>9257021</v>
      </c>
      <c r="B109" s="237" t="s">
        <v>216</v>
      </c>
      <c r="C109" t="s">
        <v>879</v>
      </c>
      <c r="D109" t="str">
        <f>CONCATENATE(A109,C109)</f>
        <v>92570212019/20</v>
      </c>
      <c r="E109" s="122">
        <f>VLOOKUP(A109,'1920 Funding Detail'!$A$4:$M$23,13,(FALSE))</f>
        <v>159.08333333333334</v>
      </c>
      <c r="F109" s="460">
        <f>$E$109*'1920 Band Calculations'!D21</f>
        <v>44.189814814814817</v>
      </c>
      <c r="G109" s="460">
        <f>$E$109*'1920 Band Calculations'!E21</f>
        <v>55.973765432098773</v>
      </c>
      <c r="H109" s="460">
        <f>$E$109*'1920 Band Calculations'!F21</f>
        <v>15.7119341563786</v>
      </c>
      <c r="I109" s="460">
        <f>$E$109*'1920 Band Calculations'!G21</f>
        <v>6.8739711934156382</v>
      </c>
      <c r="J109" s="460">
        <f>$E$109*'1920 Band Calculations'!H21</f>
        <v>11.783950617283951</v>
      </c>
      <c r="K109" s="460">
        <f>$E$109*'1920 Band Calculations'!I21</f>
        <v>23.567901234567902</v>
      </c>
      <c r="L109" s="460">
        <f>$E$109*'1920 Band Calculations'!J21</f>
        <v>0.98199588477366251</v>
      </c>
      <c r="N109" s="16">
        <f>VLOOKUP(A109,'1920 Funding Detail'!$A$4:$U$23,21,(FALSE))*-1</f>
        <v>194.43750827352051</v>
      </c>
      <c r="O109" s="16">
        <f>VLOOKUP(A109,'1920 Funding Detail'!$A$4:$V$23,22,(FALSE))</f>
        <v>30740.830108208982</v>
      </c>
    </row>
    <row r="110" spans="1:17" x14ac:dyDescent="0.25">
      <c r="A110" s="244">
        <v>9257021</v>
      </c>
      <c r="B110" s="237" t="s">
        <v>216</v>
      </c>
      <c r="C110" t="s">
        <v>947</v>
      </c>
      <c r="D110" t="str">
        <f>CONCATENATE(A110,C110)</f>
        <v>92570212020/21</v>
      </c>
      <c r="E110" s="122">
        <f>VLOOKUP(A110,'2021 Funding Detail'!$A$4:$M$23,13,(FALSE))</f>
        <v>164.33333333333334</v>
      </c>
      <c r="F110" s="460">
        <f>$E$110*'2021 Band Calculations'!D21</f>
        <v>47.384458077709617</v>
      </c>
      <c r="G110" s="460">
        <f>$E$110*'2021 Band Calculations'!E21</f>
        <v>58.474437627811866</v>
      </c>
      <c r="H110" s="460">
        <f>$E$110*'2021 Band Calculations'!F21</f>
        <v>16.130879345603272</v>
      </c>
      <c r="I110" s="460">
        <f>$E$110*'2021 Band Calculations'!G21</f>
        <v>10.081799591002046</v>
      </c>
      <c r="J110" s="460">
        <f>$E$110*'2021 Band Calculations'!H21</f>
        <v>10.081799591002046</v>
      </c>
      <c r="K110" s="460">
        <f>$E$110*'2021 Band Calculations'!I21</f>
        <v>20.163599182004091</v>
      </c>
      <c r="L110" s="460">
        <f>$E$110*'2021 Band Calculations'!J21</f>
        <v>2.0163599182004091</v>
      </c>
      <c r="N110" s="16">
        <f>IF(N109&gt;0,(N109),(0))</f>
        <v>194.43750827352051</v>
      </c>
    </row>
    <row r="111" spans="1:17" x14ac:dyDescent="0.25">
      <c r="A111" s="244"/>
      <c r="B111" s="237"/>
      <c r="F111" s="461">
        <f t="shared" ref="F111:K111" si="60">F110-F109</f>
        <v>3.1946432628948003</v>
      </c>
      <c r="G111" s="461">
        <f t="shared" si="60"/>
        <v>2.5006721957130935</v>
      </c>
      <c r="H111" s="461">
        <f t="shared" si="60"/>
        <v>0.41894518922467228</v>
      </c>
      <c r="I111" s="461">
        <f t="shared" si="60"/>
        <v>3.2078283975864075</v>
      </c>
      <c r="J111" s="461">
        <f t="shared" si="60"/>
        <v>-1.7021510262819053</v>
      </c>
      <c r="K111" s="461">
        <f t="shared" si="60"/>
        <v>-3.4043020525638106</v>
      </c>
    </row>
    <row r="112" spans="1:17" x14ac:dyDescent="0.25">
      <c r="A112" s="244"/>
      <c r="B112" s="237"/>
      <c r="F112" s="16">
        <f t="shared" ref="F112:K112" si="61">F109*$N$110</f>
        <v>8592.1574836608943</v>
      </c>
      <c r="G112" s="16">
        <f t="shared" si="61"/>
        <v>10883.399479303802</v>
      </c>
      <c r="H112" s="16">
        <f t="shared" si="61"/>
        <v>3054.9893275238737</v>
      </c>
      <c r="I112" s="16">
        <f t="shared" si="61"/>
        <v>1336.5578307916949</v>
      </c>
      <c r="J112" s="16">
        <f t="shared" si="61"/>
        <v>2291.2419956429053</v>
      </c>
      <c r="K112" s="16">
        <f t="shared" si="61"/>
        <v>4582.4839912858106</v>
      </c>
      <c r="L112" s="16">
        <f>SUM(F112:K112)</f>
        <v>30740.830108208982</v>
      </c>
      <c r="O112" s="16">
        <f>SUM(F112:K112)</f>
        <v>30740.830108208982</v>
      </c>
      <c r="P112" s="16">
        <f>O109-O112</f>
        <v>0</v>
      </c>
      <c r="Q112" s="2" t="s">
        <v>976</v>
      </c>
    </row>
    <row r="113" spans="1:17" ht="13" thickBot="1" x14ac:dyDescent="0.3">
      <c r="A113" s="244"/>
      <c r="B113" s="237"/>
      <c r="F113" s="16">
        <f t="shared" ref="F113:K113" si="62">IF(F111&lt;0,(F110*$N$110),IF(F111&gt;0,(F109*$N$110),(0)))</f>
        <v>8592.1574836608943</v>
      </c>
      <c r="G113" s="16">
        <f t="shared" si="62"/>
        <v>10883.399479303802</v>
      </c>
      <c r="H113" s="16">
        <f t="shared" si="62"/>
        <v>3054.9893275238737</v>
      </c>
      <c r="I113" s="16">
        <f t="shared" si="62"/>
        <v>1336.5578307916949</v>
      </c>
      <c r="J113" s="16">
        <f t="shared" si="62"/>
        <v>1960.279991387436</v>
      </c>
      <c r="K113" s="16">
        <f t="shared" si="62"/>
        <v>3920.559982774872</v>
      </c>
      <c r="L113" s="397">
        <f>SUM(F113:K113)</f>
        <v>29747.944095442574</v>
      </c>
      <c r="M113" s="16">
        <f>L113-L112</f>
        <v>-992.88601276640838</v>
      </c>
    </row>
    <row r="114" spans="1:17" ht="13.5" thickBot="1" x14ac:dyDescent="0.35">
      <c r="A114" s="249"/>
      <c r="B114" s="36"/>
      <c r="C114" s="184" t="s">
        <v>947</v>
      </c>
      <c r="D114" s="184" t="s">
        <v>1070</v>
      </c>
      <c r="E114" s="801">
        <f>SUM(F114:K114)</f>
        <v>152.99488436971399</v>
      </c>
      <c r="F114" s="799">
        <f t="shared" ref="F114:K114" si="63">IF(F113&gt;0,(F113/$N$110),(0))</f>
        <v>44.18981481481481</v>
      </c>
      <c r="G114" s="799">
        <f t="shared" si="63"/>
        <v>55.973765432098773</v>
      </c>
      <c r="H114" s="799">
        <f t="shared" si="63"/>
        <v>15.711934156378602</v>
      </c>
      <c r="I114" s="799">
        <f t="shared" si="63"/>
        <v>6.8739711934156382</v>
      </c>
      <c r="J114" s="799">
        <f t="shared" si="63"/>
        <v>10.081799591002046</v>
      </c>
      <c r="K114" s="799">
        <f t="shared" si="63"/>
        <v>20.163599182004091</v>
      </c>
      <c r="L114" s="5">
        <v>0</v>
      </c>
      <c r="M114" s="802">
        <f>IF(L113&gt;0,(L113/E114),(0))</f>
        <v>194.43750827352048</v>
      </c>
    </row>
    <row r="115" spans="1:17" x14ac:dyDescent="0.25">
      <c r="A115" s="463"/>
      <c r="B115" s="463"/>
      <c r="C115" s="463"/>
      <c r="D115" s="463"/>
      <c r="E115" s="464"/>
      <c r="F115" s="465"/>
      <c r="G115" s="465"/>
      <c r="H115" s="465"/>
      <c r="I115" s="465"/>
      <c r="J115" s="465"/>
      <c r="K115" s="465"/>
      <c r="L115" s="465"/>
      <c r="M115" s="465"/>
      <c r="N115" s="464"/>
      <c r="O115" s="464"/>
      <c r="P115" s="464"/>
      <c r="Q115" s="464"/>
    </row>
    <row r="116" spans="1:17" x14ac:dyDescent="0.25">
      <c r="A116" s="244">
        <v>9257015</v>
      </c>
      <c r="B116" s="237" t="s">
        <v>217</v>
      </c>
      <c r="C116" t="s">
        <v>879</v>
      </c>
      <c r="D116" t="str">
        <f>CONCATENATE(A116,C116)</f>
        <v>92570152019/20</v>
      </c>
      <c r="E116" s="122">
        <f>VLOOKUP(A116,'1920 Funding Detail'!$A$4:$M$23,13,(FALSE))</f>
        <v>238.00000000000003</v>
      </c>
      <c r="F116" s="460">
        <f>$E$116*'1920 Band Calculations'!D22</f>
        <v>102.43037974683546</v>
      </c>
      <c r="G116" s="460">
        <f>$E$116*'1920 Band Calculations'!E22</f>
        <v>64.270042194092824</v>
      </c>
      <c r="H116" s="460">
        <f>$E$116*'1920 Band Calculations'!F22</f>
        <v>7.0295358649789037</v>
      </c>
      <c r="I116" s="460">
        <f>$E$116*'1920 Band Calculations'!G22</f>
        <v>15.063291139240508</v>
      </c>
      <c r="J116" s="460">
        <f>$E$116*'1920 Band Calculations'!H22</f>
        <v>14.059071729957807</v>
      </c>
      <c r="K116" s="460">
        <f>$E$116*'1920 Band Calculations'!I22</f>
        <v>33.139240506329116</v>
      </c>
      <c r="L116" s="460">
        <f>$E$116*'1920 Band Calculations'!J22</f>
        <v>2.0084388185654007</v>
      </c>
      <c r="N116" s="16">
        <f>VLOOKUP(A116,'1920 Funding Detail'!$A$4:$U$23,21,(FALSE))*-1</f>
        <v>-133.4314770990095</v>
      </c>
      <c r="O116" s="16">
        <f>VLOOKUP(A116,'1920 Funding Detail'!$A$4:$V$23,22,(FALSE))</f>
        <v>0</v>
      </c>
    </row>
    <row r="117" spans="1:17" x14ac:dyDescent="0.25">
      <c r="A117" s="244">
        <v>9257015</v>
      </c>
      <c r="B117" s="237" t="s">
        <v>217</v>
      </c>
      <c r="C117" t="s">
        <v>947</v>
      </c>
      <c r="D117" t="str">
        <f>CONCATENATE(A117,C117)</f>
        <v>92570152020/21</v>
      </c>
      <c r="E117" s="122">
        <f>VLOOKUP(A117,'2021 Funding Detail'!$A$4:$M$23,13,(FALSE))</f>
        <v>233.41666666666671</v>
      </c>
      <c r="F117" s="460">
        <f>$E$117*'2021 Band Calculations'!D22</f>
        <v>88.537356321839098</v>
      </c>
      <c r="G117" s="460">
        <f>$E$117*'2021 Band Calculations'!E22</f>
        <v>77.470186781609215</v>
      </c>
      <c r="H117" s="460">
        <f>$E$117*'2021 Band Calculations'!F22</f>
        <v>6.036637931034484</v>
      </c>
      <c r="I117" s="460">
        <f>$E$117*'2021 Band Calculations'!G22</f>
        <v>15.091594827586212</v>
      </c>
      <c r="J117" s="460">
        <f>$E$117*'2021 Band Calculations'!H22</f>
        <v>9.054956896551726</v>
      </c>
      <c r="K117" s="460">
        <f>$E$117*'2021 Band Calculations'!I22</f>
        <v>34.207614942528743</v>
      </c>
      <c r="L117" s="460">
        <f>$E$117*'2021 Band Calculations'!J22</f>
        <v>3.018318965517242</v>
      </c>
      <c r="N117" s="16">
        <f>IF(N116&gt;0,(N116),(0))</f>
        <v>0</v>
      </c>
    </row>
    <row r="118" spans="1:17" x14ac:dyDescent="0.25">
      <c r="A118" s="244"/>
      <c r="B118" s="237"/>
      <c r="F118" s="461">
        <f t="shared" ref="F118:K118" si="64">F117-F116</f>
        <v>-13.893023424996358</v>
      </c>
      <c r="G118" s="461">
        <f t="shared" si="64"/>
        <v>13.200144587516391</v>
      </c>
      <c r="H118" s="461">
        <f t="shared" si="64"/>
        <v>-0.99289793394441972</v>
      </c>
      <c r="I118" s="461">
        <f t="shared" si="64"/>
        <v>2.8303688345703293E-2</v>
      </c>
      <c r="J118" s="461">
        <f t="shared" si="64"/>
        <v>-5.0041148334060814</v>
      </c>
      <c r="K118" s="461">
        <f t="shared" si="64"/>
        <v>1.0683744361996261</v>
      </c>
      <c r="L118" s="460"/>
    </row>
    <row r="119" spans="1:17" x14ac:dyDescent="0.25">
      <c r="A119" s="244"/>
      <c r="B119" s="237"/>
      <c r="F119" s="16">
        <f t="shared" ref="F119:K119" si="65">F116*$N$117</f>
        <v>0</v>
      </c>
      <c r="G119" s="16">
        <f t="shared" si="65"/>
        <v>0</v>
      </c>
      <c r="H119" s="16">
        <f t="shared" si="65"/>
        <v>0</v>
      </c>
      <c r="I119" s="16">
        <f t="shared" si="65"/>
        <v>0</v>
      </c>
      <c r="J119" s="16">
        <f t="shared" si="65"/>
        <v>0</v>
      </c>
      <c r="K119" s="16">
        <f t="shared" si="65"/>
        <v>0</v>
      </c>
      <c r="L119" s="16">
        <f>SUM(F119:K119)</f>
        <v>0</v>
      </c>
      <c r="O119" s="16">
        <f>SUM(F119:K119)</f>
        <v>0</v>
      </c>
      <c r="P119" s="16">
        <f>O116-O119</f>
        <v>0</v>
      </c>
      <c r="Q119" s="2" t="s">
        <v>976</v>
      </c>
    </row>
    <row r="120" spans="1:17" ht="13" thickBot="1" x14ac:dyDescent="0.3">
      <c r="A120" s="244"/>
      <c r="B120" s="237"/>
      <c r="F120" s="16">
        <f t="shared" ref="F120:K120" si="66">IF(F118&lt;0,(F117*$N$117),IF(F118&gt;0,(F116*$N$117),(0)))</f>
        <v>0</v>
      </c>
      <c r="G120" s="16">
        <f t="shared" si="66"/>
        <v>0</v>
      </c>
      <c r="H120" s="16">
        <f t="shared" si="66"/>
        <v>0</v>
      </c>
      <c r="I120" s="16">
        <f t="shared" si="66"/>
        <v>0</v>
      </c>
      <c r="J120" s="16">
        <f t="shared" si="66"/>
        <v>0</v>
      </c>
      <c r="K120" s="16">
        <f t="shared" si="66"/>
        <v>0</v>
      </c>
      <c r="L120" s="397">
        <f>SUM(F120:K120)</f>
        <v>0</v>
      </c>
      <c r="M120" s="16">
        <f>L120-L119</f>
        <v>0</v>
      </c>
    </row>
    <row r="121" spans="1:17" ht="13.5" thickBot="1" x14ac:dyDescent="0.35">
      <c r="A121" s="249"/>
      <c r="B121" s="36"/>
      <c r="C121" s="184" t="s">
        <v>947</v>
      </c>
      <c r="D121" s="184" t="s">
        <v>1070</v>
      </c>
      <c r="E121" s="801">
        <f>SUM(F121:K121)</f>
        <v>0</v>
      </c>
      <c r="F121" s="799">
        <f t="shared" ref="F121:K121" si="67">IF(F120&gt;0,(F120/$N$117),(0))</f>
        <v>0</v>
      </c>
      <c r="G121" s="799">
        <f t="shared" si="67"/>
        <v>0</v>
      </c>
      <c r="H121" s="799">
        <f t="shared" si="67"/>
        <v>0</v>
      </c>
      <c r="I121" s="799">
        <f t="shared" si="67"/>
        <v>0</v>
      </c>
      <c r="J121" s="799">
        <f t="shared" si="67"/>
        <v>0</v>
      </c>
      <c r="K121" s="799">
        <f t="shared" si="67"/>
        <v>0</v>
      </c>
      <c r="L121" s="5">
        <v>0</v>
      </c>
      <c r="M121" s="802">
        <f>IF(L120&gt;0,(L120/E121),(0))</f>
        <v>0</v>
      </c>
    </row>
    <row r="122" spans="1:17" x14ac:dyDescent="0.25">
      <c r="A122" s="463"/>
      <c r="B122" s="463"/>
      <c r="C122" s="463"/>
      <c r="D122" s="463"/>
      <c r="E122" s="464"/>
      <c r="F122" s="465"/>
      <c r="G122" s="465"/>
      <c r="H122" s="465"/>
      <c r="I122" s="465"/>
      <c r="J122" s="465"/>
      <c r="K122" s="465"/>
      <c r="L122" s="465"/>
      <c r="M122" s="465"/>
      <c r="N122" s="464"/>
      <c r="O122" s="464"/>
      <c r="P122" s="464"/>
      <c r="Q122" s="464"/>
    </row>
    <row r="123" spans="1:17" x14ac:dyDescent="0.25">
      <c r="A123" s="244">
        <v>9257016</v>
      </c>
      <c r="B123" s="237" t="s">
        <v>219</v>
      </c>
      <c r="C123" t="s">
        <v>879</v>
      </c>
      <c r="D123" t="str">
        <f>CONCATENATE(A123,C123)</f>
        <v>92570162019/20</v>
      </c>
      <c r="E123" s="122">
        <f>VLOOKUP(A123,'1920 Funding Detail'!$A$4:$M$23,13,(FALSE))</f>
        <v>137.08333333333334</v>
      </c>
      <c r="F123" s="460">
        <f>$E$123*'1920 Band Calculations'!D23</f>
        <v>23.183210784313729</v>
      </c>
      <c r="G123" s="460">
        <f>$E$123*'1920 Band Calculations'!E23</f>
        <v>16.127450980392158</v>
      </c>
      <c r="H123" s="460">
        <f>$E$123*'1920 Band Calculations'!F23</f>
        <v>1.0079656862745099</v>
      </c>
      <c r="I123" s="460">
        <f>$E$123*'1920 Band Calculations'!G23</f>
        <v>28.223039215686274</v>
      </c>
      <c r="J123" s="460">
        <f>$E$123*'1920 Band Calculations'!H23</f>
        <v>32.254901960784316</v>
      </c>
      <c r="K123" s="460">
        <f>$E$123*'1920 Band Calculations'!I23</f>
        <v>1.0079656862745099</v>
      </c>
      <c r="L123" s="460">
        <f>$E$123*'1920 Band Calculations'!J23</f>
        <v>35.278799019607845</v>
      </c>
      <c r="N123" s="16">
        <f>VLOOKUP(A123,'1920 Funding Detail'!$A$4:$U$23,21,(FALSE))*-1</f>
        <v>-445.82028854968303</v>
      </c>
      <c r="O123" s="16">
        <f>VLOOKUP(A123,'1920 Funding Detail'!$A$4:$V$23,22,(FALSE))</f>
        <v>0</v>
      </c>
    </row>
    <row r="124" spans="1:17" x14ac:dyDescent="0.25">
      <c r="A124" s="244">
        <v>9257016</v>
      </c>
      <c r="B124" s="237" t="s">
        <v>219</v>
      </c>
      <c r="C124" t="s">
        <v>947</v>
      </c>
      <c r="D124" t="str">
        <f>CONCATENATE(A124,C124)</f>
        <v>92570162020/21</v>
      </c>
      <c r="E124" s="122">
        <f>VLOOKUP(A124,'2021 Funding Detail'!$A$4:$M$23,13,(FALSE))</f>
        <v>149</v>
      </c>
      <c r="F124" s="460">
        <f>$E$124*'2021 Band Calculations'!D23</f>
        <v>31.368421052631579</v>
      </c>
      <c r="G124" s="460">
        <f>$E$124*'2021 Band Calculations'!E23</f>
        <v>20.585526315789476</v>
      </c>
      <c r="H124" s="460">
        <f>$E$124*'2021 Band Calculations'!F23</f>
        <v>0.98026315789473684</v>
      </c>
      <c r="I124" s="460">
        <f>$E$124*'2021 Band Calculations'!G23</f>
        <v>32.348684210526315</v>
      </c>
      <c r="J124" s="460">
        <f>$E$124*'2021 Band Calculations'!H23</f>
        <v>29.407894736842106</v>
      </c>
      <c r="K124" s="460">
        <f>$E$124*'2021 Band Calculations'!I23</f>
        <v>0.98026315789473684</v>
      </c>
      <c r="L124" s="460">
        <f>$E$124*'2021 Band Calculations'!J23</f>
        <v>33.328947368421055</v>
      </c>
      <c r="N124" s="16">
        <f>IF(N123&gt;0,(N123),(0))</f>
        <v>0</v>
      </c>
    </row>
    <row r="125" spans="1:17" x14ac:dyDescent="0.25">
      <c r="F125" s="461">
        <f t="shared" ref="F125:K125" si="68">F124-F123</f>
        <v>8.1852102683178494</v>
      </c>
      <c r="G125" s="461">
        <f t="shared" si="68"/>
        <v>4.4580753353973179</v>
      </c>
      <c r="H125" s="461">
        <f t="shared" si="68"/>
        <v>-2.770252837977305E-2</v>
      </c>
      <c r="I125" s="461">
        <f t="shared" si="68"/>
        <v>4.1256449948400409</v>
      </c>
      <c r="J125" s="461">
        <f t="shared" si="68"/>
        <v>-2.8470072239422102</v>
      </c>
      <c r="K125" s="461">
        <f t="shared" si="68"/>
        <v>-2.770252837977305E-2</v>
      </c>
    </row>
    <row r="126" spans="1:17" x14ac:dyDescent="0.25">
      <c r="F126" s="16">
        <f t="shared" ref="F126:K126" si="69">F123*$N$124</f>
        <v>0</v>
      </c>
      <c r="G126" s="16">
        <f t="shared" si="69"/>
        <v>0</v>
      </c>
      <c r="H126" s="16">
        <f t="shared" si="69"/>
        <v>0</v>
      </c>
      <c r="I126" s="16">
        <f t="shared" si="69"/>
        <v>0</v>
      </c>
      <c r="J126" s="16">
        <f t="shared" si="69"/>
        <v>0</v>
      </c>
      <c r="K126" s="16">
        <f t="shared" si="69"/>
        <v>0</v>
      </c>
      <c r="L126" s="16">
        <f>SUM(F126:K126)</f>
        <v>0</v>
      </c>
      <c r="O126" s="16">
        <f>SUM(F126:K126)</f>
        <v>0</v>
      </c>
      <c r="P126" s="16">
        <f>O123-O126</f>
        <v>0</v>
      </c>
      <c r="Q126" s="2" t="s">
        <v>976</v>
      </c>
    </row>
    <row r="127" spans="1:17" ht="13" thickBot="1" x14ac:dyDescent="0.3">
      <c r="F127" s="16">
        <f t="shared" ref="F127:K127" si="70">IF(F125&lt;0,(F124*$N$124),IF(F125&gt;0,(F123*$N$124),(0)))</f>
        <v>0</v>
      </c>
      <c r="G127" s="16">
        <f t="shared" si="70"/>
        <v>0</v>
      </c>
      <c r="H127" s="16">
        <f t="shared" si="70"/>
        <v>0</v>
      </c>
      <c r="I127" s="16">
        <f t="shared" si="70"/>
        <v>0</v>
      </c>
      <c r="J127" s="16">
        <f t="shared" si="70"/>
        <v>0</v>
      </c>
      <c r="K127" s="16">
        <f t="shared" si="70"/>
        <v>0</v>
      </c>
      <c r="L127" s="397">
        <f>SUM(F127:K127)</f>
        <v>0</v>
      </c>
      <c r="M127" s="16">
        <f>L127-L126</f>
        <v>0</v>
      </c>
    </row>
    <row r="128" spans="1:17" ht="13.5" thickBot="1" x14ac:dyDescent="0.35">
      <c r="C128" s="184" t="s">
        <v>947</v>
      </c>
      <c r="D128" s="184" t="s">
        <v>1070</v>
      </c>
      <c r="E128" s="801">
        <f>SUM(F128:K128)</f>
        <v>0</v>
      </c>
      <c r="F128" s="799">
        <f t="shared" ref="F128:K128" si="71">IF(F127&gt;0,(F127/$N$123),(0))</f>
        <v>0</v>
      </c>
      <c r="G128" s="799">
        <f t="shared" si="71"/>
        <v>0</v>
      </c>
      <c r="H128" s="799">
        <f t="shared" si="71"/>
        <v>0</v>
      </c>
      <c r="I128" s="799">
        <f t="shared" si="71"/>
        <v>0</v>
      </c>
      <c r="J128" s="799">
        <f t="shared" si="71"/>
        <v>0</v>
      </c>
      <c r="K128" s="799">
        <f t="shared" si="71"/>
        <v>0</v>
      </c>
      <c r="L128" s="5">
        <v>0</v>
      </c>
      <c r="M128" s="802">
        <f>IF(L127&gt;0,(L127/E128),(0))</f>
        <v>0</v>
      </c>
    </row>
    <row r="129" spans="1:18" x14ac:dyDescent="0.25">
      <c r="A129" s="463"/>
      <c r="B129" s="463"/>
      <c r="C129" s="463"/>
      <c r="D129" s="463"/>
      <c r="E129" s="464"/>
      <c r="F129" s="465"/>
      <c r="G129" s="465"/>
      <c r="H129" s="465"/>
      <c r="I129" s="465"/>
      <c r="J129" s="465"/>
      <c r="K129" s="465"/>
      <c r="L129" s="465"/>
      <c r="M129" s="465"/>
      <c r="N129" s="464"/>
      <c r="O129" s="464"/>
      <c r="P129" s="464"/>
      <c r="Q129" s="464"/>
    </row>
    <row r="131" spans="1:18" x14ac:dyDescent="0.25">
      <c r="E131"/>
      <c r="F131"/>
      <c r="G131"/>
      <c r="H131"/>
      <c r="I131"/>
      <c r="J131"/>
      <c r="K131"/>
      <c r="L131" s="397">
        <f>L8+L15+L22+L29+L36+L43+L50+L57+L64+L71+L78+L85+L92+L99+L106+L113+L120+L127</f>
        <v>408593.27346645918</v>
      </c>
      <c r="M131"/>
      <c r="N131"/>
      <c r="O131"/>
      <c r="P131"/>
      <c r="Q131"/>
      <c r="R131"/>
    </row>
  </sheetData>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C000"/>
  </sheetPr>
  <dimension ref="A1:S103"/>
  <sheetViews>
    <sheetView zoomScale="85" zoomScaleNormal="85" workbookViewId="0">
      <selection activeCell="E52" sqref="E52"/>
    </sheetView>
  </sheetViews>
  <sheetFormatPr defaultRowHeight="12.5" x14ac:dyDescent="0.25"/>
  <cols>
    <col min="1" max="1" width="14" customWidth="1"/>
    <col min="2" max="2" width="27.453125" bestFit="1" customWidth="1"/>
    <col min="3" max="3" width="28.7265625" customWidth="1"/>
    <col min="4" max="4" width="10.1796875" bestFit="1" customWidth="1"/>
    <col min="5" max="5" width="10.1796875" customWidth="1"/>
    <col min="8" max="8" width="11.7265625" customWidth="1"/>
    <col min="9" max="9" width="10.26953125" bestFit="1" customWidth="1"/>
    <col min="11" max="11" width="10.26953125" bestFit="1" customWidth="1"/>
    <col min="12" max="12" width="10.453125" customWidth="1"/>
    <col min="13" max="13" width="10.26953125" bestFit="1" customWidth="1"/>
    <col min="16" max="16" width="11.7265625" customWidth="1"/>
    <col min="17" max="17" width="23.453125" customWidth="1"/>
    <col min="18" max="18" width="11.26953125" customWidth="1"/>
  </cols>
  <sheetData>
    <row r="1" spans="1:18" ht="13" thickBot="1" x14ac:dyDescent="0.3"/>
    <row r="2" spans="1:18" x14ac:dyDescent="0.25">
      <c r="A2" s="388" t="s">
        <v>1260</v>
      </c>
      <c r="B2" s="389"/>
      <c r="C2" s="390" t="s">
        <v>1246</v>
      </c>
    </row>
    <row r="3" spans="1:18" ht="13" x14ac:dyDescent="0.3">
      <c r="A3" s="391" t="s">
        <v>1261</v>
      </c>
      <c r="B3" s="16"/>
      <c r="C3" s="392"/>
      <c r="P3" s="249"/>
      <c r="Q3" s="63"/>
      <c r="R3" s="16"/>
    </row>
    <row r="4" spans="1:18" x14ac:dyDescent="0.25">
      <c r="A4" s="391" t="s">
        <v>1262</v>
      </c>
      <c r="B4" s="16"/>
      <c r="C4" s="393" t="s">
        <v>62</v>
      </c>
      <c r="O4" s="16"/>
      <c r="P4" s="249"/>
      <c r="Q4" s="36"/>
      <c r="R4" s="16"/>
    </row>
    <row r="5" spans="1:18" ht="13" x14ac:dyDescent="0.3">
      <c r="A5" s="391" t="s">
        <v>1263</v>
      </c>
      <c r="B5" s="16"/>
      <c r="C5" s="392"/>
      <c r="O5" s="16"/>
      <c r="P5" s="249"/>
      <c r="Q5" s="63"/>
      <c r="R5" s="16"/>
    </row>
    <row r="6" spans="1:18" x14ac:dyDescent="0.25">
      <c r="A6" s="391" t="s">
        <v>1264</v>
      </c>
      <c r="B6" s="394"/>
      <c r="C6" s="393" t="s">
        <v>65</v>
      </c>
      <c r="O6" s="16"/>
      <c r="P6" s="249"/>
      <c r="Q6" s="36"/>
      <c r="R6" s="16"/>
    </row>
    <row r="7" spans="1:18" x14ac:dyDescent="0.25">
      <c r="A7" s="391" t="s">
        <v>1265</v>
      </c>
      <c r="B7" s="395"/>
      <c r="C7" s="392"/>
      <c r="O7" s="16"/>
      <c r="P7" s="249"/>
      <c r="Q7" s="36"/>
      <c r="R7" s="16"/>
    </row>
    <row r="8" spans="1:18" ht="13" x14ac:dyDescent="0.3">
      <c r="A8" s="391" t="s">
        <v>1266</v>
      </c>
      <c r="B8" s="396"/>
      <c r="C8" s="393" t="s">
        <v>68</v>
      </c>
      <c r="F8" s="289" t="s">
        <v>1267</v>
      </c>
      <c r="O8" s="16"/>
      <c r="P8" s="249"/>
      <c r="Q8" s="63"/>
      <c r="R8" s="16"/>
    </row>
    <row r="9" spans="1:18" ht="13" x14ac:dyDescent="0.3">
      <c r="A9" s="391" t="s">
        <v>1268</v>
      </c>
      <c r="B9" s="16"/>
      <c r="C9" s="392"/>
      <c r="O9" s="16"/>
      <c r="P9" s="249"/>
      <c r="Q9" s="63"/>
      <c r="R9" s="16"/>
    </row>
    <row r="10" spans="1:18" x14ac:dyDescent="0.25">
      <c r="A10" s="391" t="s">
        <v>1269</v>
      </c>
      <c r="B10" s="397"/>
      <c r="C10" s="393" t="s">
        <v>71</v>
      </c>
      <c r="O10" s="16"/>
      <c r="P10" s="249"/>
      <c r="Q10" s="36"/>
      <c r="R10" s="16"/>
    </row>
    <row r="11" spans="1:18" x14ac:dyDescent="0.25">
      <c r="A11" s="391" t="s">
        <v>1270</v>
      </c>
      <c r="B11" s="16"/>
      <c r="C11" s="392"/>
      <c r="O11" s="16"/>
      <c r="P11" s="249"/>
      <c r="Q11" s="36"/>
      <c r="R11" s="16"/>
    </row>
    <row r="12" spans="1:18" ht="13" thickBot="1" x14ac:dyDescent="0.3">
      <c r="A12" s="399" t="s">
        <v>1271</v>
      </c>
      <c r="B12" s="398"/>
      <c r="C12" s="393" t="s">
        <v>1247</v>
      </c>
      <c r="O12" s="16"/>
      <c r="P12" s="249"/>
      <c r="Q12" s="36"/>
      <c r="R12" s="16"/>
    </row>
    <row r="13" spans="1:18" ht="13" thickBot="1" x14ac:dyDescent="0.3">
      <c r="A13" s="399" t="s">
        <v>1272</v>
      </c>
      <c r="B13" s="400"/>
      <c r="C13" s="401"/>
      <c r="P13" s="249"/>
      <c r="Q13" s="36"/>
      <c r="R13" s="16"/>
    </row>
    <row r="14" spans="1:18" x14ac:dyDescent="0.25">
      <c r="P14" s="249"/>
      <c r="Q14" s="36"/>
      <c r="R14" s="16"/>
    </row>
    <row r="15" spans="1:18" x14ac:dyDescent="0.25">
      <c r="P15" s="249"/>
      <c r="Q15" s="36"/>
      <c r="R15" s="16"/>
    </row>
    <row r="16" spans="1:18" x14ac:dyDescent="0.25">
      <c r="P16" s="249"/>
      <c r="Q16" s="36"/>
      <c r="R16" s="16"/>
    </row>
    <row r="17" spans="1:18" x14ac:dyDescent="0.25">
      <c r="A17" s="238">
        <v>9257029</v>
      </c>
      <c r="B17" s="244" t="s">
        <v>259</v>
      </c>
      <c r="C17" s="2">
        <v>3</v>
      </c>
      <c r="D17" s="16"/>
      <c r="E17" s="16"/>
      <c r="F17" s="16"/>
      <c r="G17" s="16"/>
      <c r="H17" s="16"/>
      <c r="P17" s="249"/>
      <c r="Q17" s="36"/>
      <c r="R17" s="16"/>
    </row>
    <row r="18" spans="1:18" x14ac:dyDescent="0.25">
      <c r="A18" s="238">
        <v>9257011</v>
      </c>
      <c r="B18" s="244" t="s">
        <v>210</v>
      </c>
      <c r="C18" s="2">
        <v>4</v>
      </c>
      <c r="D18" s="16"/>
      <c r="E18" s="16"/>
      <c r="F18" s="16"/>
      <c r="G18" s="16"/>
      <c r="H18" s="16"/>
      <c r="P18" s="249"/>
      <c r="Q18" s="36"/>
      <c r="R18" s="16"/>
    </row>
    <row r="19" spans="1:18" x14ac:dyDescent="0.25">
      <c r="A19" s="238">
        <v>9257010</v>
      </c>
      <c r="B19" s="244" t="s">
        <v>205</v>
      </c>
      <c r="C19" s="2">
        <v>4</v>
      </c>
      <c r="D19" s="16"/>
      <c r="E19" s="16"/>
      <c r="F19" s="16"/>
      <c r="G19" s="16"/>
      <c r="H19" s="16"/>
      <c r="P19" s="249"/>
      <c r="Q19" s="36"/>
      <c r="R19" s="16"/>
    </row>
    <row r="20" spans="1:18" x14ac:dyDescent="0.25">
      <c r="A20" s="238">
        <v>9257033</v>
      </c>
      <c r="B20" s="244" t="s">
        <v>220</v>
      </c>
      <c r="C20" s="2">
        <v>3</v>
      </c>
      <c r="D20" s="16"/>
      <c r="E20" s="411" t="s">
        <v>1273</v>
      </c>
      <c r="F20" s="16"/>
      <c r="G20" s="16"/>
      <c r="H20" s="16"/>
      <c r="P20" s="249"/>
      <c r="Q20" s="36"/>
      <c r="R20" s="16"/>
    </row>
    <row r="21" spans="1:18" x14ac:dyDescent="0.25">
      <c r="A21" s="238">
        <v>9257025</v>
      </c>
      <c r="B21" s="244" t="s">
        <v>209</v>
      </c>
      <c r="C21" s="2">
        <v>4</v>
      </c>
      <c r="D21" s="16"/>
      <c r="E21" s="16"/>
      <c r="F21" s="16"/>
      <c r="G21" s="16"/>
      <c r="H21" s="16"/>
    </row>
    <row r="22" spans="1:18" x14ac:dyDescent="0.25">
      <c r="A22" s="238">
        <v>9257032</v>
      </c>
      <c r="B22" s="244" t="s">
        <v>261</v>
      </c>
      <c r="C22" s="2">
        <v>4</v>
      </c>
      <c r="D22" s="16"/>
      <c r="E22" s="16"/>
      <c r="F22" s="16"/>
      <c r="G22" s="16"/>
      <c r="H22" s="16"/>
    </row>
    <row r="23" spans="1:18" x14ac:dyDescent="0.25">
      <c r="A23" s="238">
        <v>9257024</v>
      </c>
      <c r="B23" s="244" t="s">
        <v>211</v>
      </c>
      <c r="C23" s="2">
        <v>3</v>
      </c>
      <c r="D23" s="16"/>
      <c r="E23" s="16"/>
      <c r="F23" s="16"/>
      <c r="G23" s="16"/>
      <c r="H23" s="16"/>
      <c r="P23" s="249"/>
      <c r="Q23" s="36"/>
      <c r="R23" s="16"/>
    </row>
    <row r="24" spans="1:18" x14ac:dyDescent="0.25">
      <c r="A24" s="238">
        <v>9257030</v>
      </c>
      <c r="B24" s="244" t="s">
        <v>262</v>
      </c>
      <c r="C24" s="2">
        <v>4</v>
      </c>
      <c r="D24" s="16"/>
      <c r="E24" s="16"/>
      <c r="F24" s="16"/>
      <c r="G24" s="16"/>
      <c r="H24" s="16"/>
      <c r="P24" s="249"/>
      <c r="Q24" s="36"/>
      <c r="R24" s="16"/>
    </row>
    <row r="25" spans="1:18" x14ac:dyDescent="0.25">
      <c r="A25" s="238">
        <v>9257008</v>
      </c>
      <c r="B25" s="244" t="s">
        <v>212</v>
      </c>
      <c r="C25" s="2">
        <v>4</v>
      </c>
      <c r="D25" s="16"/>
      <c r="E25" s="16"/>
      <c r="F25" s="16"/>
      <c r="G25" s="16"/>
      <c r="H25" s="16"/>
      <c r="P25" s="249"/>
      <c r="Q25" s="36"/>
      <c r="R25" s="16"/>
    </row>
    <row r="26" spans="1:18" x14ac:dyDescent="0.25">
      <c r="A26" s="238">
        <v>9257031</v>
      </c>
      <c r="B26" s="244" t="s">
        <v>257</v>
      </c>
      <c r="C26" s="2">
        <v>4</v>
      </c>
      <c r="D26" s="16"/>
      <c r="E26" s="16"/>
      <c r="F26" s="16"/>
      <c r="G26" s="16"/>
      <c r="H26" s="16"/>
      <c r="P26" s="249"/>
      <c r="Q26" s="36"/>
      <c r="R26" s="16"/>
    </row>
    <row r="27" spans="1:18" x14ac:dyDescent="0.25">
      <c r="A27" s="238">
        <v>9257005</v>
      </c>
      <c r="B27" s="244" t="s">
        <v>208</v>
      </c>
      <c r="C27" s="2">
        <v>4</v>
      </c>
      <c r="D27" s="16"/>
      <c r="E27" s="16"/>
      <c r="F27" s="16"/>
      <c r="G27" s="16"/>
      <c r="H27" s="16"/>
      <c r="P27" s="249"/>
      <c r="Q27" s="36"/>
      <c r="R27" s="16"/>
    </row>
    <row r="28" spans="1:18" x14ac:dyDescent="0.25">
      <c r="A28" s="238">
        <v>9257009</v>
      </c>
      <c r="B28" s="244" t="s">
        <v>214</v>
      </c>
      <c r="C28" s="2">
        <v>4</v>
      </c>
      <c r="D28" s="16"/>
      <c r="E28" s="16"/>
      <c r="F28" s="16"/>
      <c r="G28" s="16"/>
      <c r="H28" s="16"/>
      <c r="P28" s="249"/>
      <c r="Q28" s="36"/>
      <c r="R28" s="16"/>
    </row>
    <row r="29" spans="1:18" x14ac:dyDescent="0.25">
      <c r="A29" s="238">
        <v>9257028</v>
      </c>
      <c r="B29" s="244" t="s">
        <v>215</v>
      </c>
      <c r="C29" s="2">
        <v>5</v>
      </c>
      <c r="D29" s="16"/>
      <c r="E29" s="16"/>
      <c r="F29" s="16"/>
      <c r="G29" s="16"/>
      <c r="H29" s="16"/>
      <c r="P29" s="249"/>
      <c r="Q29" s="36"/>
      <c r="R29" s="16"/>
    </row>
    <row r="30" spans="1:18" x14ac:dyDescent="0.25">
      <c r="A30" s="238">
        <v>9257034</v>
      </c>
      <c r="B30" s="244" t="s">
        <v>221</v>
      </c>
      <c r="C30" s="2">
        <v>5</v>
      </c>
      <c r="D30" s="16"/>
      <c r="E30" s="16"/>
      <c r="F30" s="16"/>
      <c r="G30" s="16"/>
      <c r="H30" s="16"/>
      <c r="P30" s="249"/>
      <c r="Q30" s="36"/>
      <c r="R30" s="16"/>
    </row>
    <row r="31" spans="1:18" x14ac:dyDescent="0.25">
      <c r="A31" s="238">
        <v>9257002</v>
      </c>
      <c r="B31" s="244" t="s">
        <v>213</v>
      </c>
      <c r="C31" s="2">
        <v>5</v>
      </c>
      <c r="D31" s="16"/>
      <c r="E31" s="16"/>
      <c r="F31" s="16"/>
      <c r="G31" s="16"/>
      <c r="H31" s="16"/>
      <c r="P31" s="249"/>
      <c r="Q31" s="36"/>
      <c r="R31" s="16"/>
    </row>
    <row r="32" spans="1:18" x14ac:dyDescent="0.25">
      <c r="A32" s="238">
        <v>9257021</v>
      </c>
      <c r="B32" s="244" t="s">
        <v>216</v>
      </c>
      <c r="C32" s="2">
        <v>5</v>
      </c>
      <c r="D32" s="16"/>
      <c r="E32" s="16"/>
      <c r="F32" s="16"/>
      <c r="G32" s="16"/>
      <c r="H32" s="16"/>
      <c r="P32" s="249"/>
      <c r="Q32" s="36"/>
      <c r="R32" s="16"/>
    </row>
    <row r="33" spans="1:18" x14ac:dyDescent="0.25">
      <c r="A33" s="238">
        <v>9257016</v>
      </c>
      <c r="B33" s="244" t="s">
        <v>219</v>
      </c>
      <c r="C33" s="2">
        <v>6</v>
      </c>
      <c r="D33" s="16"/>
      <c r="E33" s="16"/>
      <c r="F33" s="16"/>
      <c r="G33" s="16"/>
      <c r="H33" s="16"/>
      <c r="P33" s="249"/>
      <c r="Q33" s="36"/>
      <c r="R33" s="16"/>
    </row>
    <row r="34" spans="1:18" x14ac:dyDescent="0.25">
      <c r="A34" s="238">
        <v>9257015</v>
      </c>
      <c r="B34" s="244" t="s">
        <v>217</v>
      </c>
      <c r="C34" s="2">
        <v>6</v>
      </c>
      <c r="D34" s="16"/>
      <c r="E34" s="16"/>
      <c r="F34" s="16"/>
      <c r="G34" s="16"/>
      <c r="H34" s="16"/>
      <c r="P34" s="249"/>
      <c r="Q34" s="36"/>
      <c r="R34" s="16"/>
    </row>
    <row r="35" spans="1:18" x14ac:dyDescent="0.25">
      <c r="P35" s="249"/>
      <c r="Q35" s="36"/>
      <c r="R35" s="16"/>
    </row>
    <row r="36" spans="1:18" ht="13" x14ac:dyDescent="0.3">
      <c r="P36" s="249"/>
      <c r="Q36" s="63"/>
      <c r="R36" s="16"/>
    </row>
    <row r="37" spans="1:18" ht="13" x14ac:dyDescent="0.3">
      <c r="P37" s="249"/>
      <c r="Q37" s="63"/>
      <c r="R37" s="16"/>
    </row>
    <row r="38" spans="1:18" ht="13" x14ac:dyDescent="0.3">
      <c r="A38" s="289" t="s">
        <v>1274</v>
      </c>
      <c r="B38" s="289" t="s">
        <v>821</v>
      </c>
      <c r="P38" s="249"/>
      <c r="Q38" s="63"/>
      <c r="R38" s="16"/>
    </row>
    <row r="39" spans="1:18" ht="13" x14ac:dyDescent="0.3">
      <c r="A39" s="289" t="s">
        <v>1275</v>
      </c>
      <c r="B39" s="289" t="s">
        <v>821</v>
      </c>
      <c r="P39" s="249"/>
      <c r="Q39" s="63"/>
      <c r="R39" s="16"/>
    </row>
    <row r="40" spans="1:18" ht="13" x14ac:dyDescent="0.3">
      <c r="P40" s="249"/>
      <c r="Q40" s="63"/>
      <c r="R40" s="16"/>
    </row>
    <row r="41" spans="1:18" x14ac:dyDescent="0.25">
      <c r="B41" s="1" t="s">
        <v>1276</v>
      </c>
      <c r="P41" s="249"/>
      <c r="Q41" s="36"/>
      <c r="R41" s="16"/>
    </row>
    <row r="42" spans="1:18" x14ac:dyDescent="0.25">
      <c r="P42" s="249"/>
      <c r="Q42" s="36"/>
    </row>
    <row r="43" spans="1:18" x14ac:dyDescent="0.25">
      <c r="C43" s="2"/>
      <c r="D43" s="316" t="s">
        <v>1277</v>
      </c>
      <c r="E43" s="316" t="s">
        <v>1278</v>
      </c>
    </row>
    <row r="44" spans="1:18" x14ac:dyDescent="0.25">
      <c r="C44" s="2"/>
      <c r="D44" s="316"/>
      <c r="E44" s="316"/>
    </row>
    <row r="45" spans="1:18" x14ac:dyDescent="0.25">
      <c r="B45" s="403" t="s">
        <v>1279</v>
      </c>
      <c r="C45" s="2"/>
      <c r="D45" s="316" t="s">
        <v>1277</v>
      </c>
      <c r="E45" s="316" t="s">
        <v>1280</v>
      </c>
      <c r="F45" s="316" t="s">
        <v>357</v>
      </c>
      <c r="H45" s="316" t="s">
        <v>3</v>
      </c>
      <c r="I45" s="2"/>
      <c r="J45" s="2"/>
      <c r="K45" s="316" t="s">
        <v>1281</v>
      </c>
      <c r="L45" s="289" t="s">
        <v>1282</v>
      </c>
    </row>
    <row r="46" spans="1:18" x14ac:dyDescent="0.25">
      <c r="A46">
        <v>600</v>
      </c>
      <c r="B46" s="230">
        <v>600000</v>
      </c>
      <c r="C46" s="133" t="s">
        <v>756</v>
      </c>
      <c r="D46" s="398">
        <v>305000</v>
      </c>
      <c r="E46" s="16">
        <v>100000</v>
      </c>
      <c r="F46" s="16">
        <f>SUM(D46:E46)</f>
        <v>405000</v>
      </c>
      <c r="H46" s="2"/>
      <c r="I46" s="2"/>
      <c r="J46" s="2"/>
      <c r="K46" s="16">
        <v>600000</v>
      </c>
      <c r="L46" s="230">
        <v>600000</v>
      </c>
      <c r="P46" s="1" t="s">
        <v>858</v>
      </c>
    </row>
    <row r="47" spans="1:18" ht="13" x14ac:dyDescent="0.3">
      <c r="A47">
        <v>100</v>
      </c>
      <c r="B47" s="230">
        <v>700000</v>
      </c>
      <c r="C47" s="133" t="s">
        <v>757</v>
      </c>
      <c r="D47" s="315">
        <f>((D48-D46)/2)+D46</f>
        <v>332500</v>
      </c>
      <c r="E47" s="315">
        <f>((E48-E46)/2)+E46</f>
        <v>105000</v>
      </c>
      <c r="F47" s="16">
        <f>SUM(D47:E47)</f>
        <v>437500</v>
      </c>
      <c r="G47" s="72"/>
      <c r="H47" s="16">
        <f>F47-F46</f>
        <v>32500</v>
      </c>
      <c r="I47" s="2"/>
      <c r="J47" s="2"/>
      <c r="K47" s="16">
        <v>700000</v>
      </c>
      <c r="L47" s="230">
        <v>700000</v>
      </c>
      <c r="M47" s="230">
        <f>L47-L46</f>
        <v>100000</v>
      </c>
      <c r="P47" s="2"/>
    </row>
    <row r="48" spans="1:18" x14ac:dyDescent="0.25">
      <c r="A48">
        <v>250</v>
      </c>
      <c r="B48" s="230">
        <v>950000</v>
      </c>
      <c r="C48" s="133" t="s">
        <v>758</v>
      </c>
      <c r="D48" s="398">
        <v>360000</v>
      </c>
      <c r="E48" s="16">
        <v>110000</v>
      </c>
      <c r="F48" s="16">
        <f t="shared" ref="F48:F56" si="0">SUM(D48:E48)</f>
        <v>470000</v>
      </c>
      <c r="H48" s="16">
        <f t="shared" ref="H48:H56" si="1">F48-F47</f>
        <v>32500</v>
      </c>
      <c r="I48" s="2"/>
      <c r="J48" s="2"/>
      <c r="K48" s="16">
        <v>950000</v>
      </c>
      <c r="L48" s="230">
        <v>950000</v>
      </c>
      <c r="M48" s="230">
        <f t="shared" ref="M48:M56" si="2">L48-L47</f>
        <v>250000</v>
      </c>
      <c r="P48" s="16">
        <f>60*'1819 Band Calculations'!G104</f>
        <v>1350765.0453476657</v>
      </c>
      <c r="Q48" s="289" t="s">
        <v>1283</v>
      </c>
    </row>
    <row r="49" spans="1:18" x14ac:dyDescent="0.25">
      <c r="A49">
        <v>150</v>
      </c>
      <c r="B49" s="230">
        <v>1100000</v>
      </c>
      <c r="C49" s="133" t="s">
        <v>759</v>
      </c>
      <c r="D49" s="315">
        <f>((D50-D48)/2)+D48</f>
        <v>390000</v>
      </c>
      <c r="E49" s="315">
        <f>((E50-E48)/2)+E48</f>
        <v>115000</v>
      </c>
      <c r="F49" s="16">
        <f t="shared" si="0"/>
        <v>505000</v>
      </c>
      <c r="H49" s="16">
        <f t="shared" si="1"/>
        <v>35000</v>
      </c>
      <c r="I49" s="2"/>
      <c r="J49" s="2"/>
      <c r="K49" s="16">
        <v>1050000</v>
      </c>
      <c r="L49" s="230">
        <v>1050000</v>
      </c>
      <c r="M49" s="230">
        <f t="shared" si="2"/>
        <v>100000</v>
      </c>
      <c r="P49" s="16">
        <f>F47</f>
        <v>437500</v>
      </c>
      <c r="Q49" s="289" t="s">
        <v>1284</v>
      </c>
    </row>
    <row r="50" spans="1:18" x14ac:dyDescent="0.25">
      <c r="A50">
        <v>300</v>
      </c>
      <c r="B50" s="230">
        <v>1400000</v>
      </c>
      <c r="C50" s="133" t="s">
        <v>760</v>
      </c>
      <c r="D50" s="398">
        <v>420000</v>
      </c>
      <c r="E50" s="16">
        <v>120000</v>
      </c>
      <c r="F50" s="16">
        <f t="shared" si="0"/>
        <v>540000</v>
      </c>
      <c r="H50" s="16">
        <f t="shared" si="1"/>
        <v>35000</v>
      </c>
      <c r="I50" s="2"/>
      <c r="J50" s="2"/>
      <c r="K50" s="16">
        <v>1300000</v>
      </c>
      <c r="L50" s="230">
        <v>1350000</v>
      </c>
      <c r="M50" s="230">
        <f t="shared" si="2"/>
        <v>300000</v>
      </c>
      <c r="P50" s="408">
        <f>SUM(P48:P49)</f>
        <v>1788265.0453476657</v>
      </c>
      <c r="Q50" s="289" t="s">
        <v>1285</v>
      </c>
    </row>
    <row r="51" spans="1:18" x14ac:dyDescent="0.25">
      <c r="A51">
        <v>200</v>
      </c>
      <c r="B51" s="230">
        <v>1600000</v>
      </c>
      <c r="C51" s="133" t="s">
        <v>761</v>
      </c>
      <c r="D51" s="315">
        <f>((D52-D50)/2)+D50</f>
        <v>455000</v>
      </c>
      <c r="E51" s="315">
        <f>((E52-E50)/2)+E50</f>
        <v>130000</v>
      </c>
      <c r="F51" s="16">
        <f t="shared" si="0"/>
        <v>585000</v>
      </c>
      <c r="H51" s="16">
        <f t="shared" si="1"/>
        <v>45000</v>
      </c>
      <c r="I51" s="2"/>
      <c r="J51" s="2"/>
      <c r="K51" s="16">
        <v>1400000</v>
      </c>
      <c r="L51" s="230">
        <v>1450000</v>
      </c>
      <c r="M51" s="230">
        <f t="shared" si="2"/>
        <v>100000</v>
      </c>
      <c r="P51" s="16">
        <f>P50*4</f>
        <v>7153060.1813906627</v>
      </c>
      <c r="Q51" s="289" t="s">
        <v>1286</v>
      </c>
    </row>
    <row r="52" spans="1:18" x14ac:dyDescent="0.25">
      <c r="A52">
        <v>350</v>
      </c>
      <c r="B52" s="230">
        <v>1950000</v>
      </c>
      <c r="C52" s="133" t="s">
        <v>762</v>
      </c>
      <c r="D52" s="398">
        <v>490000</v>
      </c>
      <c r="E52" s="16">
        <v>140000</v>
      </c>
      <c r="F52" s="16">
        <f t="shared" si="0"/>
        <v>630000</v>
      </c>
      <c r="H52" s="16">
        <f t="shared" si="1"/>
        <v>45000</v>
      </c>
      <c r="I52" s="2"/>
      <c r="J52" s="2"/>
      <c r="K52" s="16">
        <v>1650000</v>
      </c>
      <c r="L52" s="230">
        <v>1800000</v>
      </c>
      <c r="M52" s="230">
        <f t="shared" si="2"/>
        <v>350000</v>
      </c>
      <c r="P52" s="16"/>
    </row>
    <row r="53" spans="1:18" x14ac:dyDescent="0.25">
      <c r="A53">
        <v>250</v>
      </c>
      <c r="B53" s="230">
        <v>2200000</v>
      </c>
      <c r="C53" s="133" t="s">
        <v>763</v>
      </c>
      <c r="D53" s="315">
        <f>((D54-D52)/2)+D52</f>
        <v>525000</v>
      </c>
      <c r="E53" s="315">
        <f>((E54-E52)/2)+E52</f>
        <v>145000</v>
      </c>
      <c r="F53" s="16">
        <f t="shared" si="0"/>
        <v>670000</v>
      </c>
      <c r="H53" s="16">
        <f t="shared" si="1"/>
        <v>40000</v>
      </c>
      <c r="I53" s="2"/>
      <c r="J53" s="2"/>
      <c r="K53" s="16">
        <v>1750000</v>
      </c>
      <c r="L53" s="230">
        <v>1900000</v>
      </c>
      <c r="M53" s="230">
        <f t="shared" si="2"/>
        <v>100000</v>
      </c>
      <c r="P53" s="16">
        <f>20500*252</f>
        <v>5166000</v>
      </c>
      <c r="Q53" s="289" t="s">
        <v>1287</v>
      </c>
    </row>
    <row r="54" spans="1:18" x14ac:dyDescent="0.25">
      <c r="A54">
        <v>400</v>
      </c>
      <c r="B54" s="230">
        <v>2600000</v>
      </c>
      <c r="C54" s="133" t="s">
        <v>764</v>
      </c>
      <c r="D54" s="398">
        <v>560000</v>
      </c>
      <c r="E54" s="16">
        <v>150000</v>
      </c>
      <c r="F54" s="16">
        <f t="shared" si="0"/>
        <v>710000</v>
      </c>
      <c r="H54" s="16">
        <f t="shared" si="1"/>
        <v>40000</v>
      </c>
      <c r="I54" s="2"/>
      <c r="J54" s="2"/>
      <c r="K54" s="16">
        <v>2000000</v>
      </c>
      <c r="L54" s="230">
        <v>2300000</v>
      </c>
      <c r="M54" s="230">
        <f t="shared" si="2"/>
        <v>400000</v>
      </c>
      <c r="P54" s="16"/>
    </row>
    <row r="55" spans="1:18" x14ac:dyDescent="0.25">
      <c r="A55">
        <v>300</v>
      </c>
      <c r="B55" s="230">
        <v>2900000</v>
      </c>
      <c r="C55" s="133" t="s">
        <v>1149</v>
      </c>
      <c r="D55" s="844">
        <f>((D56-D54)/2)+D54</f>
        <v>630000</v>
      </c>
      <c r="E55" s="315">
        <f>((E56-E54)/2)+E54</f>
        <v>155000</v>
      </c>
      <c r="F55" s="16">
        <f t="shared" si="0"/>
        <v>785000</v>
      </c>
      <c r="H55" s="16">
        <f t="shared" si="1"/>
        <v>75000</v>
      </c>
      <c r="I55" s="2"/>
      <c r="J55" s="2"/>
      <c r="K55" s="16">
        <v>2100000</v>
      </c>
      <c r="L55" s="230">
        <v>2400000</v>
      </c>
      <c r="M55" s="230">
        <f t="shared" si="2"/>
        <v>100000</v>
      </c>
      <c r="P55" s="290">
        <f>P51-P53</f>
        <v>1987060.1813906627</v>
      </c>
      <c r="Q55" s="182" t="s">
        <v>1288</v>
      </c>
    </row>
    <row r="56" spans="1:18" x14ac:dyDescent="0.25">
      <c r="A56">
        <v>450</v>
      </c>
      <c r="B56" s="230">
        <v>3350000</v>
      </c>
      <c r="C56" s="133" t="s">
        <v>1150</v>
      </c>
      <c r="D56" s="396">
        <v>700000</v>
      </c>
      <c r="E56" s="16">
        <v>160000</v>
      </c>
      <c r="F56" s="16">
        <f t="shared" si="0"/>
        <v>860000</v>
      </c>
      <c r="H56" s="16">
        <f t="shared" si="1"/>
        <v>75000</v>
      </c>
      <c r="I56" s="2"/>
      <c r="J56" s="2"/>
      <c r="K56" s="16">
        <v>2350000</v>
      </c>
      <c r="L56" s="230">
        <v>2950000</v>
      </c>
      <c r="M56" s="230">
        <f t="shared" si="2"/>
        <v>550000</v>
      </c>
      <c r="P56" s="16"/>
    </row>
    <row r="57" spans="1:18" ht="13.5" thickBot="1" x14ac:dyDescent="0.35">
      <c r="A57" s="407">
        <f>SUM(A46:A56)</f>
        <v>3350</v>
      </c>
      <c r="P57" s="16">
        <f>('1819 Band Calculations'!G104+'1819 Band Calculations'!G106)*60</f>
        <v>1508865.0453476657</v>
      </c>
      <c r="Q57" s="289" t="s">
        <v>1283</v>
      </c>
      <c r="R57" s="409" t="s">
        <v>1289</v>
      </c>
    </row>
    <row r="58" spans="1:18" x14ac:dyDescent="0.25">
      <c r="P58" s="16">
        <f>F48</f>
        <v>470000</v>
      </c>
      <c r="Q58" s="289" t="s">
        <v>1284</v>
      </c>
    </row>
    <row r="59" spans="1:18" x14ac:dyDescent="0.25">
      <c r="P59" s="408">
        <f>SUM(P57:P58)</f>
        <v>1978865.0453476657</v>
      </c>
      <c r="Q59" s="289" t="s">
        <v>1285</v>
      </c>
    </row>
    <row r="60" spans="1:18" x14ac:dyDescent="0.25">
      <c r="A60" s="1" t="s">
        <v>1240</v>
      </c>
      <c r="P60" s="16">
        <f>P59*4</f>
        <v>7915460.1813906627</v>
      </c>
      <c r="Q60" s="289" t="s">
        <v>1286</v>
      </c>
    </row>
    <row r="61" spans="1:18" x14ac:dyDescent="0.25">
      <c r="A61">
        <v>600</v>
      </c>
      <c r="B61" s="230">
        <v>600000</v>
      </c>
      <c r="C61" s="410" t="s">
        <v>812</v>
      </c>
      <c r="D61" s="398">
        <v>270000</v>
      </c>
      <c r="E61" s="16">
        <v>85000</v>
      </c>
      <c r="F61" s="16">
        <f t="shared" ref="F61:F66" si="3">SUM(D61:E61)</f>
        <v>355000</v>
      </c>
      <c r="H61" s="2"/>
      <c r="P61" s="16"/>
    </row>
    <row r="62" spans="1:18" ht="13" x14ac:dyDescent="0.3">
      <c r="A62">
        <v>100</v>
      </c>
      <c r="B62" s="230">
        <v>700000</v>
      </c>
      <c r="C62" s="410" t="s">
        <v>1290</v>
      </c>
      <c r="D62" s="315">
        <f>((D63-D61)/2)+D61</f>
        <v>310000</v>
      </c>
      <c r="E62" s="16">
        <v>85000</v>
      </c>
      <c r="F62" s="16">
        <f t="shared" si="3"/>
        <v>395000</v>
      </c>
      <c r="G62" s="72"/>
      <c r="H62" s="16">
        <f>F62-F61</f>
        <v>40000</v>
      </c>
      <c r="P62" s="290">
        <f>P60-P53</f>
        <v>2749460.1813906627</v>
      </c>
      <c r="Q62" s="182" t="s">
        <v>1288</v>
      </c>
      <c r="R62" s="409" t="s">
        <v>1291</v>
      </c>
    </row>
    <row r="63" spans="1:18" x14ac:dyDescent="0.25">
      <c r="A63">
        <v>250</v>
      </c>
      <c r="B63" s="230">
        <v>950000</v>
      </c>
      <c r="C63" s="410" t="s">
        <v>814</v>
      </c>
      <c r="D63" s="398">
        <v>350000</v>
      </c>
      <c r="E63" s="16">
        <v>85000</v>
      </c>
      <c r="F63" s="16">
        <f t="shared" si="3"/>
        <v>435000</v>
      </c>
      <c r="H63" s="16">
        <f>F63-F62</f>
        <v>40000</v>
      </c>
      <c r="P63" s="16"/>
    </row>
    <row r="64" spans="1:18" x14ac:dyDescent="0.25">
      <c r="A64">
        <v>150</v>
      </c>
      <c r="B64" s="230">
        <v>1100000</v>
      </c>
      <c r="C64" s="410" t="s">
        <v>810</v>
      </c>
      <c r="D64" s="315">
        <f>((D65-D63)/2)+D63</f>
        <v>360000</v>
      </c>
      <c r="E64" s="16">
        <v>85000</v>
      </c>
      <c r="F64" s="16">
        <f t="shared" si="3"/>
        <v>445000</v>
      </c>
      <c r="H64" s="16">
        <f>F64-F63</f>
        <v>10000</v>
      </c>
      <c r="P64" s="16">
        <f>252*'1819 Band Calculations'!G104</f>
        <v>5673213.1904601958</v>
      </c>
    </row>
    <row r="65" spans="1:19" x14ac:dyDescent="0.25">
      <c r="A65">
        <v>300</v>
      </c>
      <c r="B65" s="230">
        <v>1400000</v>
      </c>
      <c r="C65" s="410" t="s">
        <v>1292</v>
      </c>
      <c r="D65" s="398">
        <v>370000</v>
      </c>
      <c r="E65" s="16">
        <v>85000</v>
      </c>
      <c r="F65" s="16">
        <f t="shared" si="3"/>
        <v>455000</v>
      </c>
      <c r="H65" s="16">
        <f>F65-F64</f>
        <v>10000</v>
      </c>
      <c r="P65" s="16">
        <f>F55</f>
        <v>785000</v>
      </c>
    </row>
    <row r="66" spans="1:19" x14ac:dyDescent="0.25">
      <c r="A66">
        <v>200</v>
      </c>
      <c r="B66" s="230">
        <v>1600000</v>
      </c>
      <c r="C66" s="410" t="s">
        <v>1293</v>
      </c>
      <c r="D66" s="844">
        <v>380000</v>
      </c>
      <c r="E66" s="16">
        <v>85000</v>
      </c>
      <c r="F66" s="16">
        <f t="shared" si="3"/>
        <v>465000</v>
      </c>
      <c r="H66" s="16">
        <f>F66-F65</f>
        <v>10000</v>
      </c>
      <c r="P66" s="408">
        <f>SUM(P64:P65)</f>
        <v>6458213.1904601958</v>
      </c>
    </row>
    <row r="67" spans="1:19" x14ac:dyDescent="0.25">
      <c r="B67" s="230"/>
      <c r="C67" s="2"/>
      <c r="D67" s="16"/>
      <c r="E67" s="16"/>
      <c r="F67" s="16"/>
      <c r="H67" s="16"/>
      <c r="P67" s="16"/>
    </row>
    <row r="68" spans="1:19" x14ac:dyDescent="0.25">
      <c r="B68" s="230"/>
      <c r="C68" s="2"/>
      <c r="D68" s="315"/>
      <c r="E68" s="315"/>
      <c r="F68" s="16"/>
      <c r="H68" s="16"/>
      <c r="P68" s="290">
        <f>P66-P53</f>
        <v>1292213.1904601958</v>
      </c>
      <c r="Q68" s="182" t="s">
        <v>1294</v>
      </c>
    </row>
    <row r="69" spans="1:19" x14ac:dyDescent="0.25">
      <c r="B69" s="230"/>
      <c r="C69" s="2"/>
      <c r="D69" s="16"/>
      <c r="E69" s="16"/>
      <c r="F69" s="16"/>
      <c r="H69" s="16"/>
      <c r="P69" s="16"/>
    </row>
    <row r="70" spans="1:19" ht="13" x14ac:dyDescent="0.3">
      <c r="B70" s="230">
        <v>100000</v>
      </c>
      <c r="C70" s="2">
        <v>110000</v>
      </c>
      <c r="D70" s="315">
        <v>120000</v>
      </c>
      <c r="E70" s="315">
        <v>130000</v>
      </c>
      <c r="F70" s="16">
        <v>140000</v>
      </c>
      <c r="G70">
        <v>150000</v>
      </c>
      <c r="H70" s="16"/>
      <c r="I70" s="404"/>
      <c r="P70" s="16"/>
    </row>
    <row r="71" spans="1:19" x14ac:dyDescent="0.25">
      <c r="B71" s="230"/>
      <c r="C71" s="2"/>
      <c r="D71" s="16"/>
      <c r="E71" s="16"/>
      <c r="F71" s="16"/>
      <c r="H71" s="16"/>
      <c r="I71" s="2"/>
    </row>
    <row r="72" spans="1:19" ht="13" thickBot="1" x14ac:dyDescent="0.3">
      <c r="A72" s="43"/>
      <c r="B72" s="43"/>
      <c r="C72" s="43"/>
      <c r="D72" s="43"/>
      <c r="E72" s="43"/>
      <c r="F72" s="43"/>
      <c r="G72" s="43"/>
      <c r="H72" s="43"/>
      <c r="I72" s="412"/>
      <c r="J72" s="43"/>
      <c r="K72" s="43"/>
      <c r="L72" s="43"/>
      <c r="M72" s="43"/>
      <c r="N72" s="43"/>
      <c r="O72" s="43"/>
      <c r="P72" s="43"/>
      <c r="Q72" s="43"/>
      <c r="R72" s="43"/>
      <c r="S72" s="43"/>
    </row>
    <row r="73" spans="1:19" x14ac:dyDescent="0.25">
      <c r="I73" s="2"/>
    </row>
    <row r="74" spans="1:19" x14ac:dyDescent="0.25">
      <c r="A74" s="1" t="s">
        <v>1295</v>
      </c>
      <c r="I74" s="2"/>
    </row>
    <row r="75" spans="1:19" x14ac:dyDescent="0.25">
      <c r="C75" s="316" t="s">
        <v>892</v>
      </c>
      <c r="D75" s="2"/>
      <c r="E75" s="316" t="s">
        <v>819</v>
      </c>
      <c r="F75" s="2"/>
    </row>
    <row r="76" spans="1:19" ht="13" x14ac:dyDescent="0.3">
      <c r="A76" s="244">
        <v>9257029</v>
      </c>
      <c r="B76" s="32" t="s">
        <v>149</v>
      </c>
      <c r="C76" s="16">
        <f>VLOOKUP(A76,$O$84:$R$103,4,(FALSE))</f>
        <v>581416.9152688859</v>
      </c>
      <c r="D76" s="2">
        <v>3</v>
      </c>
      <c r="E76" s="16">
        <f>VLOOKUP(A76,$O$84:$Q$103,3,(FALSE))</f>
        <v>603422.73477109475</v>
      </c>
      <c r="F76" s="2">
        <v>3.5</v>
      </c>
    </row>
    <row r="77" spans="1:19" x14ac:dyDescent="0.25">
      <c r="A77" s="244">
        <v>9257011</v>
      </c>
      <c r="B77" s="237" t="s">
        <v>210</v>
      </c>
      <c r="C77" s="16">
        <f t="shared" ref="C77:C93" si="4">VLOOKUP(A77,$O$84:$R$103,4,(FALSE))</f>
        <v>682103.85476892302</v>
      </c>
      <c r="D77" s="2">
        <v>3.5</v>
      </c>
      <c r="E77" s="16">
        <f t="shared" ref="E77:E93" si="5">VLOOKUP(A77,$O$84:$Q$103,3,(FALSE))</f>
        <v>639534.23828842421</v>
      </c>
      <c r="F77" s="2">
        <v>3.5</v>
      </c>
    </row>
    <row r="78" spans="1:19" x14ac:dyDescent="0.25">
      <c r="A78" s="244">
        <v>9257010</v>
      </c>
      <c r="B78" s="237" t="s">
        <v>205</v>
      </c>
      <c r="C78" s="16">
        <f t="shared" si="4"/>
        <v>726587.04228393221</v>
      </c>
      <c r="D78" s="2">
        <v>4</v>
      </c>
      <c r="E78" s="16">
        <f t="shared" si="5"/>
        <v>653063.35348139156</v>
      </c>
      <c r="F78" s="2">
        <v>3.5</v>
      </c>
      <c r="L78" s="315"/>
      <c r="M78" s="315"/>
      <c r="N78" s="315"/>
      <c r="O78" s="315"/>
      <c r="P78" s="315"/>
      <c r="Q78" s="289"/>
    </row>
    <row r="79" spans="1:19" ht="13" x14ac:dyDescent="0.3">
      <c r="A79" s="244">
        <v>9257032</v>
      </c>
      <c r="B79" s="32" t="s">
        <v>150</v>
      </c>
      <c r="C79" s="16">
        <f t="shared" si="4"/>
        <v>850119.55340112012</v>
      </c>
      <c r="D79" s="2">
        <v>3.5</v>
      </c>
      <c r="E79" s="16">
        <f t="shared" si="5"/>
        <v>833904.73903107154</v>
      </c>
      <c r="F79" s="2">
        <v>3.5</v>
      </c>
      <c r="L79" s="289"/>
      <c r="M79" s="289"/>
      <c r="N79" s="289"/>
      <c r="O79" s="289"/>
      <c r="P79" s="289"/>
      <c r="Q79" s="289"/>
    </row>
    <row r="80" spans="1:19" x14ac:dyDescent="0.25">
      <c r="A80" s="244">
        <v>9257025</v>
      </c>
      <c r="B80" s="237" t="s">
        <v>209</v>
      </c>
      <c r="C80" s="16">
        <f t="shared" si="4"/>
        <v>757407.11642919737</v>
      </c>
      <c r="D80" s="2">
        <v>4</v>
      </c>
      <c r="E80" s="16">
        <f t="shared" si="5"/>
        <v>719250.58663427574</v>
      </c>
      <c r="F80" s="2">
        <v>3.5</v>
      </c>
    </row>
    <row r="81" spans="1:18" x14ac:dyDescent="0.25">
      <c r="A81" s="244">
        <v>9257033</v>
      </c>
      <c r="B81" s="237" t="s">
        <v>220</v>
      </c>
      <c r="C81" s="16">
        <f t="shared" si="4"/>
        <v>901096.48328941432</v>
      </c>
      <c r="D81" s="2">
        <v>4</v>
      </c>
      <c r="E81" s="16">
        <f t="shared" si="5"/>
        <v>736956.2316865098</v>
      </c>
      <c r="F81" s="2">
        <v>3.5</v>
      </c>
    </row>
    <row r="82" spans="1:18" x14ac:dyDescent="0.25">
      <c r="A82" s="244">
        <v>9257024</v>
      </c>
      <c r="B82" s="237" t="s">
        <v>211</v>
      </c>
      <c r="C82" s="16">
        <f t="shared" si="4"/>
        <v>878743.7336704795</v>
      </c>
      <c r="D82" s="2">
        <v>4</v>
      </c>
      <c r="E82" s="16">
        <f t="shared" si="5"/>
        <v>754467.05864135828</v>
      </c>
      <c r="F82" s="2">
        <v>4</v>
      </c>
    </row>
    <row r="83" spans="1:18" ht="13" x14ac:dyDescent="0.3">
      <c r="A83" s="244">
        <v>9257030</v>
      </c>
      <c r="B83" s="32" t="s">
        <v>152</v>
      </c>
      <c r="C83" s="16">
        <f t="shared" si="4"/>
        <v>972888.86220291676</v>
      </c>
      <c r="D83" s="2">
        <v>4</v>
      </c>
      <c r="E83" s="16">
        <f t="shared" si="5"/>
        <v>943933.83654211555</v>
      </c>
      <c r="F83" s="2">
        <v>4</v>
      </c>
      <c r="Q83" s="316" t="s">
        <v>819</v>
      </c>
      <c r="R83" s="316" t="s">
        <v>892</v>
      </c>
    </row>
    <row r="84" spans="1:18" ht="13" x14ac:dyDescent="0.3">
      <c r="A84" s="244">
        <v>9257031</v>
      </c>
      <c r="B84" s="32" t="s">
        <v>148</v>
      </c>
      <c r="C84" s="16">
        <f t="shared" si="4"/>
        <v>989103.67657296546</v>
      </c>
      <c r="D84" s="2">
        <v>4</v>
      </c>
      <c r="E84" s="16">
        <f t="shared" si="5"/>
        <v>961306.85193859623</v>
      </c>
      <c r="F84" s="2">
        <v>4</v>
      </c>
      <c r="L84" s="238">
        <v>9257010</v>
      </c>
      <c r="M84" s="16">
        <v>709118.96272024023</v>
      </c>
      <c r="N84" s="16"/>
      <c r="O84" s="238">
        <v>9257010</v>
      </c>
      <c r="P84" s="16">
        <v>637362.87720688258</v>
      </c>
      <c r="Q84" s="16">
        <v>653063.35348139156</v>
      </c>
      <c r="R84" s="16">
        <v>726587.04228393221</v>
      </c>
    </row>
    <row r="85" spans="1:18" x14ac:dyDescent="0.25">
      <c r="A85" s="244">
        <v>9257008</v>
      </c>
      <c r="B85" s="237" t="s">
        <v>212</v>
      </c>
      <c r="C85" s="16">
        <f t="shared" si="4"/>
        <v>867278.07928279345</v>
      </c>
      <c r="D85" s="2">
        <v>4</v>
      </c>
      <c r="E85" s="16">
        <f t="shared" si="5"/>
        <v>840054.10369992536</v>
      </c>
      <c r="F85" s="2">
        <v>4</v>
      </c>
      <c r="L85" s="238">
        <v>9257005</v>
      </c>
      <c r="M85" s="16">
        <v>849621.58188459184</v>
      </c>
      <c r="N85" s="16"/>
      <c r="O85" s="238">
        <v>9257005</v>
      </c>
      <c r="P85" s="16">
        <v>895601.1027865815</v>
      </c>
      <c r="Q85" s="16">
        <v>937691.95577488269</v>
      </c>
      <c r="R85" s="16">
        <v>889551.52054536866</v>
      </c>
    </row>
    <row r="86" spans="1:18" x14ac:dyDescent="0.25">
      <c r="A86" s="244">
        <v>9257009</v>
      </c>
      <c r="B86" s="237" t="s">
        <v>214</v>
      </c>
      <c r="C86" s="16">
        <f t="shared" si="4"/>
        <v>944480.87797612452</v>
      </c>
      <c r="D86" s="2">
        <v>4.5</v>
      </c>
      <c r="E86" s="16">
        <f t="shared" si="5"/>
        <v>924704.31136875646</v>
      </c>
      <c r="F86" s="2">
        <v>4</v>
      </c>
      <c r="H86" s="289" t="s">
        <v>1296</v>
      </c>
      <c r="L86" s="238">
        <v>9257025</v>
      </c>
      <c r="M86" s="16">
        <v>716347.44280782714</v>
      </c>
      <c r="N86" s="16"/>
      <c r="O86" s="238">
        <v>9257025</v>
      </c>
      <c r="P86" s="16">
        <v>680259.41042456124</v>
      </c>
      <c r="Q86" s="16">
        <v>719250.58663427574</v>
      </c>
      <c r="R86" s="16">
        <v>757407.11642919737</v>
      </c>
    </row>
    <row r="87" spans="1:18" x14ac:dyDescent="0.25">
      <c r="A87" s="244">
        <v>9257005</v>
      </c>
      <c r="B87" s="237" t="s">
        <v>208</v>
      </c>
      <c r="C87" s="16">
        <f t="shared" si="4"/>
        <v>889551.52054536866</v>
      </c>
      <c r="D87" s="2">
        <v>4</v>
      </c>
      <c r="E87" s="16">
        <f t="shared" si="5"/>
        <v>937691.95577488269</v>
      </c>
      <c r="F87" s="2">
        <v>4</v>
      </c>
      <c r="H87" s="315">
        <v>188370</v>
      </c>
      <c r="I87" s="16">
        <f>E87+H87</f>
        <v>1126061.9557748828</v>
      </c>
      <c r="J87" s="2">
        <v>5</v>
      </c>
      <c r="L87" s="238">
        <v>9257011</v>
      </c>
      <c r="M87" s="16">
        <v>660746.5151957355</v>
      </c>
      <c r="N87" s="16"/>
      <c r="O87" s="238">
        <v>9257011</v>
      </c>
      <c r="P87" s="16">
        <v>619509.79508918023</v>
      </c>
      <c r="Q87" s="16">
        <v>639534.23828842421</v>
      </c>
      <c r="R87" s="16">
        <v>682103.85476892302</v>
      </c>
    </row>
    <row r="88" spans="1:18" x14ac:dyDescent="0.25">
      <c r="A88" s="244">
        <v>9257028</v>
      </c>
      <c r="B88" s="237" t="s">
        <v>215</v>
      </c>
      <c r="C88" s="16">
        <f t="shared" si="4"/>
        <v>1039306.0084437662</v>
      </c>
      <c r="D88" s="2">
        <v>4.5</v>
      </c>
      <c r="E88" s="16">
        <f t="shared" si="5"/>
        <v>983570.35499410029</v>
      </c>
      <c r="F88" s="2">
        <v>4.5</v>
      </c>
      <c r="L88" s="238">
        <v>9257024</v>
      </c>
      <c r="M88" s="16">
        <v>849147.17444463656</v>
      </c>
      <c r="N88" s="16"/>
      <c r="O88" s="238">
        <v>9257024</v>
      </c>
      <c r="P88" s="16">
        <v>729056.20433943742</v>
      </c>
      <c r="Q88" s="16">
        <v>754467.05864135828</v>
      </c>
      <c r="R88" s="16">
        <v>878743.7336704795</v>
      </c>
    </row>
    <row r="89" spans="1:18" x14ac:dyDescent="0.25">
      <c r="A89" s="244">
        <v>9257034</v>
      </c>
      <c r="B89" s="237" t="s">
        <v>221</v>
      </c>
      <c r="C89" s="16">
        <f t="shared" si="4"/>
        <v>1083854.947967215</v>
      </c>
      <c r="D89" s="2">
        <v>4.5</v>
      </c>
      <c r="E89" s="16">
        <f t="shared" si="5"/>
        <v>1137250.7431979529</v>
      </c>
      <c r="F89" s="2">
        <v>4.5</v>
      </c>
      <c r="L89" s="238">
        <v>9257008</v>
      </c>
      <c r="M89" s="16">
        <v>826501.5903191804</v>
      </c>
      <c r="N89" s="16"/>
      <c r="O89" s="238">
        <v>9257008</v>
      </c>
      <c r="P89" s="16">
        <v>800557.59421050642</v>
      </c>
      <c r="Q89" s="16">
        <v>840054.10369992536</v>
      </c>
      <c r="R89" s="16">
        <v>867278.07928279345</v>
      </c>
    </row>
    <row r="90" spans="1:18" x14ac:dyDescent="0.25">
      <c r="A90" s="244">
        <v>9257002</v>
      </c>
      <c r="B90" s="237" t="s">
        <v>213</v>
      </c>
      <c r="C90" s="16">
        <f t="shared" si="4"/>
        <v>1257019.3371475358</v>
      </c>
      <c r="D90" s="2">
        <v>5</v>
      </c>
      <c r="E90" s="16">
        <f t="shared" si="5"/>
        <v>1184583.4149254134</v>
      </c>
      <c r="F90" s="2">
        <v>5</v>
      </c>
      <c r="L90" s="238">
        <v>9257002</v>
      </c>
      <c r="M90" s="16">
        <v>1172340.7669869612</v>
      </c>
      <c r="N90" s="16"/>
      <c r="O90" s="238">
        <v>9257002</v>
      </c>
      <c r="P90" s="16">
        <v>1104784.459692602</v>
      </c>
      <c r="Q90" s="16">
        <v>1184583.4149254134</v>
      </c>
      <c r="R90" s="16">
        <v>1257019.3371475358</v>
      </c>
    </row>
    <row r="91" spans="1:18" x14ac:dyDescent="0.25">
      <c r="A91" s="244">
        <v>9257021</v>
      </c>
      <c r="B91" s="237" t="s">
        <v>216</v>
      </c>
      <c r="C91" s="16">
        <f t="shared" si="4"/>
        <v>1489872.6774959087</v>
      </c>
      <c r="D91" s="2">
        <v>5.5</v>
      </c>
      <c r="E91" s="16">
        <f t="shared" si="5"/>
        <v>1503533.8617016419</v>
      </c>
      <c r="F91" s="2">
        <v>6</v>
      </c>
      <c r="L91" s="238">
        <v>9257009</v>
      </c>
      <c r="M91" s="16">
        <v>902898.55986347911</v>
      </c>
      <c r="N91" s="16"/>
      <c r="O91" s="238">
        <v>9257009</v>
      </c>
      <c r="P91" s="16">
        <v>883992.68900339352</v>
      </c>
      <c r="Q91" s="16">
        <v>924704.31136875646</v>
      </c>
      <c r="R91" s="16">
        <v>944480.87797612452</v>
      </c>
    </row>
    <row r="92" spans="1:18" x14ac:dyDescent="0.25">
      <c r="A92" s="244">
        <v>9257016</v>
      </c>
      <c r="B92" s="237" t="s">
        <v>219</v>
      </c>
      <c r="C92" s="16">
        <f t="shared" si="4"/>
        <v>1943937.3602233136</v>
      </c>
      <c r="D92" s="2">
        <v>6</v>
      </c>
      <c r="E92" s="16">
        <f t="shared" si="5"/>
        <v>2023513.7433903497</v>
      </c>
      <c r="F92" s="2">
        <v>6.5</v>
      </c>
      <c r="L92" s="238">
        <v>9257028</v>
      </c>
      <c r="M92" s="16">
        <v>1008463.5165552463</v>
      </c>
      <c r="N92" s="16"/>
      <c r="O92" s="238">
        <v>9257028</v>
      </c>
      <c r="P92" s="16">
        <v>954381.8768661638</v>
      </c>
      <c r="Q92" s="16">
        <v>983570.35499410029</v>
      </c>
      <c r="R92" s="16">
        <v>1039306.0084437662</v>
      </c>
    </row>
    <row r="93" spans="1:18" x14ac:dyDescent="0.25">
      <c r="A93" s="244">
        <v>9257015</v>
      </c>
      <c r="B93" s="237" t="s">
        <v>217</v>
      </c>
      <c r="C93" s="16">
        <f t="shared" si="4"/>
        <v>2175711.2592479717</v>
      </c>
      <c r="D93" s="2">
        <v>6.5</v>
      </c>
      <c r="E93" s="16">
        <f t="shared" si="5"/>
        <v>2363573.8780183787</v>
      </c>
      <c r="F93" s="2">
        <v>7</v>
      </c>
      <c r="L93" s="238">
        <v>9257021</v>
      </c>
      <c r="M93" s="16">
        <v>1418720.4265163103</v>
      </c>
      <c r="N93" s="16"/>
      <c r="O93" s="238">
        <v>9257021</v>
      </c>
      <c r="P93" s="16">
        <v>1431729.1898662441</v>
      </c>
      <c r="Q93" s="16">
        <v>1503533.8617016419</v>
      </c>
      <c r="R93" s="16">
        <v>1489872.6774959087</v>
      </c>
    </row>
    <row r="94" spans="1:18" x14ac:dyDescent="0.25">
      <c r="L94" s="238">
        <v>9257015</v>
      </c>
      <c r="M94" s="16">
        <v>2123363.4869011724</v>
      </c>
      <c r="N94" s="16"/>
      <c r="O94" s="238">
        <v>9257015</v>
      </c>
      <c r="P94" s="16">
        <v>2306706.1172962538</v>
      </c>
      <c r="Q94" s="16">
        <v>2363573.8780183787</v>
      </c>
      <c r="R94" s="16">
        <v>2175711.2592479717</v>
      </c>
    </row>
    <row r="95" spans="1:18" x14ac:dyDescent="0.25">
      <c r="L95" s="238">
        <v>9257016</v>
      </c>
      <c r="M95" s="16">
        <v>1889322.8756522837</v>
      </c>
      <c r="N95" s="16"/>
      <c r="O95" s="238">
        <v>9257016</v>
      </c>
      <c r="P95" s="16">
        <v>1966663.5781643654</v>
      </c>
      <c r="Q95" s="16">
        <v>2023513.7433903497</v>
      </c>
      <c r="R95" s="16">
        <v>1943937.3602233136</v>
      </c>
    </row>
    <row r="96" spans="1:18" x14ac:dyDescent="0.25">
      <c r="L96" s="238"/>
      <c r="M96" s="16"/>
      <c r="N96" s="16"/>
      <c r="O96" s="238"/>
      <c r="P96" s="16"/>
      <c r="Q96" s="16"/>
      <c r="R96" s="16"/>
    </row>
    <row r="97" spans="12:18" x14ac:dyDescent="0.25">
      <c r="L97" s="238">
        <v>9257031</v>
      </c>
      <c r="M97" s="16">
        <v>801579.50990629871</v>
      </c>
      <c r="N97" s="16"/>
      <c r="O97" s="238">
        <v>9257031</v>
      </c>
      <c r="P97" s="16">
        <v>779052.6852719296</v>
      </c>
      <c r="Q97" s="16">
        <v>961306.85193859623</v>
      </c>
      <c r="R97" s="16">
        <v>989103.67657296546</v>
      </c>
    </row>
    <row r="98" spans="12:18" x14ac:dyDescent="0.25">
      <c r="L98" s="238">
        <v>9257029</v>
      </c>
      <c r="M98" s="16">
        <v>471186.08193555265</v>
      </c>
      <c r="N98" s="16"/>
      <c r="O98" s="238">
        <v>9257029</v>
      </c>
      <c r="P98" s="16">
        <v>489019.81810442812</v>
      </c>
      <c r="Q98" s="16">
        <v>603422.73477109475</v>
      </c>
      <c r="R98" s="16">
        <v>581416.9152688859</v>
      </c>
    </row>
    <row r="99" spans="12:18" x14ac:dyDescent="0.25">
      <c r="L99" s="238">
        <v>9257032</v>
      </c>
      <c r="M99" s="16">
        <v>688945.3867344535</v>
      </c>
      <c r="N99" s="16"/>
      <c r="O99" s="238">
        <v>9257032</v>
      </c>
      <c r="P99" s="16">
        <v>675804.73903107154</v>
      </c>
      <c r="Q99" s="16">
        <v>833904.73903107154</v>
      </c>
      <c r="R99" s="16">
        <v>850119.55340112012</v>
      </c>
    </row>
    <row r="100" spans="12:18" x14ac:dyDescent="0.25">
      <c r="L100" s="238">
        <v>9257030</v>
      </c>
      <c r="M100" s="16">
        <v>788438.86220291676</v>
      </c>
      <c r="N100" s="16"/>
      <c r="O100" s="238">
        <v>9257030</v>
      </c>
      <c r="P100" s="16">
        <v>764973.41987544904</v>
      </c>
      <c r="Q100" s="16">
        <v>943933.83654211555</v>
      </c>
      <c r="R100" s="16">
        <v>972888.86220291676</v>
      </c>
    </row>
    <row r="101" spans="12:18" x14ac:dyDescent="0.25">
      <c r="L101" s="238"/>
      <c r="M101" s="16"/>
      <c r="N101" s="16"/>
      <c r="O101" s="238"/>
      <c r="P101" s="16"/>
      <c r="Q101" s="16"/>
      <c r="R101" s="16"/>
    </row>
    <row r="102" spans="12:18" x14ac:dyDescent="0.25">
      <c r="L102" s="238">
        <v>9257033</v>
      </c>
      <c r="M102" s="16">
        <v>834608.52674067696</v>
      </c>
      <c r="N102" s="16"/>
      <c r="O102" s="238">
        <v>9257033</v>
      </c>
      <c r="P102" s="16">
        <v>682579.46424888074</v>
      </c>
      <c r="Q102" s="16">
        <v>736956.2316865098</v>
      </c>
      <c r="R102" s="16">
        <v>901096.48328941432</v>
      </c>
    </row>
    <row r="103" spans="12:18" x14ac:dyDescent="0.25">
      <c r="L103" s="238">
        <v>9257034</v>
      </c>
      <c r="M103" s="16">
        <v>999212.12772013131</v>
      </c>
      <c r="N103" s="16"/>
      <c r="O103" s="238">
        <v>9257034</v>
      </c>
      <c r="P103" s="16">
        <v>1048438.0193063436</v>
      </c>
      <c r="Q103" s="16">
        <v>1137250.7431979529</v>
      </c>
      <c r="R103" s="16">
        <v>1083854.947967215</v>
      </c>
    </row>
  </sheetData>
  <sortState xmlns:xlrd2="http://schemas.microsoft.com/office/spreadsheetml/2017/richdata2" ref="A62:E79">
    <sortCondition ref="E62:E79"/>
  </sortState>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1DB5A-2E92-4A25-A4CE-F7C6E555E9F3}">
  <sheetPr>
    <tabColor rgb="FFFFFF00"/>
  </sheetPr>
  <dimension ref="A1:T103"/>
  <sheetViews>
    <sheetView topLeftCell="A19" workbookViewId="0">
      <selection activeCell="D46" sqref="D46"/>
    </sheetView>
  </sheetViews>
  <sheetFormatPr defaultRowHeight="12.5" x14ac:dyDescent="0.25"/>
  <cols>
    <col min="1" max="1" width="14" customWidth="1"/>
    <col min="2" max="2" width="27.453125" bestFit="1" customWidth="1"/>
    <col min="3" max="3" width="28.7265625" customWidth="1"/>
    <col min="4" max="4" width="10.1796875" bestFit="1" customWidth="1"/>
    <col min="5" max="5" width="10.1796875" customWidth="1"/>
    <col min="8" max="8" width="11.7265625" customWidth="1"/>
    <col min="9" max="9" width="10.26953125" bestFit="1" customWidth="1"/>
    <col min="10" max="10" width="18.26953125" bestFit="1" customWidth="1"/>
    <col min="12" max="12" width="10.26953125" bestFit="1" customWidth="1"/>
    <col min="13" max="13" width="10.453125" customWidth="1"/>
    <col min="14" max="14" width="10.26953125" bestFit="1" customWidth="1"/>
    <col min="17" max="17" width="11.7265625" customWidth="1"/>
    <col min="18" max="18" width="23.453125" customWidth="1"/>
    <col min="19" max="19" width="11.26953125" customWidth="1"/>
  </cols>
  <sheetData>
    <row r="1" spans="1:19" ht="13" thickBot="1" x14ac:dyDescent="0.3"/>
    <row r="2" spans="1:19" x14ac:dyDescent="0.25">
      <c r="A2" s="388" t="s">
        <v>1260</v>
      </c>
      <c r="B2" s="389"/>
      <c r="C2" s="390" t="s">
        <v>1246</v>
      </c>
    </row>
    <row r="3" spans="1:19" ht="13" x14ac:dyDescent="0.3">
      <c r="A3" s="391" t="s">
        <v>1261</v>
      </c>
      <c r="B3" s="16"/>
      <c r="C3" s="392"/>
      <c r="Q3" s="249"/>
      <c r="R3" s="63"/>
      <c r="S3" s="16"/>
    </row>
    <row r="4" spans="1:19" x14ac:dyDescent="0.25">
      <c r="A4" s="391" t="s">
        <v>1262</v>
      </c>
      <c r="B4" s="16"/>
      <c r="C4" s="393" t="s">
        <v>62</v>
      </c>
      <c r="P4" s="16"/>
      <c r="Q4" s="249"/>
      <c r="R4" s="36"/>
      <c r="S4" s="16"/>
    </row>
    <row r="5" spans="1:19" ht="13" x14ac:dyDescent="0.3">
      <c r="A5" s="391" t="s">
        <v>1263</v>
      </c>
      <c r="B5" s="16"/>
      <c r="C5" s="392"/>
      <c r="P5" s="16"/>
      <c r="Q5" s="249"/>
      <c r="R5" s="63"/>
      <c r="S5" s="16"/>
    </row>
    <row r="6" spans="1:19" x14ac:dyDescent="0.25">
      <c r="A6" s="391" t="s">
        <v>1264</v>
      </c>
      <c r="B6" s="394"/>
      <c r="C6" s="393" t="s">
        <v>65</v>
      </c>
      <c r="P6" s="16"/>
      <c r="Q6" s="249"/>
      <c r="R6" s="36"/>
      <c r="S6" s="16"/>
    </row>
    <row r="7" spans="1:19" x14ac:dyDescent="0.25">
      <c r="A7" s="391" t="s">
        <v>1265</v>
      </c>
      <c r="B7" s="395"/>
      <c r="C7" s="392"/>
      <c r="P7" s="16"/>
      <c r="Q7" s="249"/>
      <c r="R7" s="36"/>
      <c r="S7" s="16"/>
    </row>
    <row r="8" spans="1:19" ht="13" x14ac:dyDescent="0.3">
      <c r="A8" s="391" t="s">
        <v>1266</v>
      </c>
      <c r="B8" s="396"/>
      <c r="C8" s="393" t="s">
        <v>68</v>
      </c>
      <c r="F8" s="289" t="s">
        <v>1267</v>
      </c>
      <c r="P8" s="16"/>
      <c r="Q8" s="249"/>
      <c r="R8" s="63"/>
      <c r="S8" s="16"/>
    </row>
    <row r="9" spans="1:19" ht="13" x14ac:dyDescent="0.3">
      <c r="A9" s="391" t="s">
        <v>1268</v>
      </c>
      <c r="B9" s="16"/>
      <c r="C9" s="392"/>
      <c r="P9" s="16"/>
      <c r="Q9" s="249"/>
      <c r="R9" s="63"/>
      <c r="S9" s="16"/>
    </row>
    <row r="10" spans="1:19" x14ac:dyDescent="0.25">
      <c r="A10" s="391" t="s">
        <v>1269</v>
      </c>
      <c r="B10" s="397"/>
      <c r="C10" s="393" t="s">
        <v>71</v>
      </c>
      <c r="P10" s="16"/>
      <c r="Q10" s="249"/>
      <c r="R10" s="36"/>
      <c r="S10" s="16"/>
    </row>
    <row r="11" spans="1:19" x14ac:dyDescent="0.25">
      <c r="A11" s="391" t="s">
        <v>1270</v>
      </c>
      <c r="B11" s="16"/>
      <c r="C11" s="392"/>
      <c r="P11" s="16"/>
      <c r="Q11" s="249"/>
      <c r="R11" s="36"/>
      <c r="S11" s="16"/>
    </row>
    <row r="12" spans="1:19" ht="13" thickBot="1" x14ac:dyDescent="0.3">
      <c r="A12" s="399" t="s">
        <v>1271</v>
      </c>
      <c r="B12" s="398"/>
      <c r="C12" s="393" t="s">
        <v>1247</v>
      </c>
      <c r="P12" s="16"/>
      <c r="Q12" s="249"/>
      <c r="R12" s="36"/>
      <c r="S12" s="16"/>
    </row>
    <row r="13" spans="1:19" ht="13" thickBot="1" x14ac:dyDescent="0.3">
      <c r="A13" s="399" t="s">
        <v>1272</v>
      </c>
      <c r="B13" s="400"/>
      <c r="C13" s="401"/>
      <c r="Q13" s="249"/>
      <c r="R13" s="36"/>
      <c r="S13" s="16"/>
    </row>
    <row r="14" spans="1:19" x14ac:dyDescent="0.25">
      <c r="Q14" s="249"/>
      <c r="R14" s="36"/>
      <c r="S14" s="16"/>
    </row>
    <row r="15" spans="1:19" x14ac:dyDescent="0.25">
      <c r="Q15" s="249"/>
      <c r="R15" s="36"/>
      <c r="S15" s="16"/>
    </row>
    <row r="16" spans="1:19" x14ac:dyDescent="0.25">
      <c r="Q16" s="249"/>
      <c r="R16" s="36"/>
      <c r="S16" s="16"/>
    </row>
    <row r="17" spans="1:19" x14ac:dyDescent="0.25">
      <c r="A17" s="238">
        <v>9257029</v>
      </c>
      <c r="B17" s="244" t="s">
        <v>259</v>
      </c>
      <c r="C17" s="2">
        <v>3</v>
      </c>
      <c r="D17" s="16"/>
      <c r="E17" s="16"/>
      <c r="F17" s="16"/>
      <c r="G17" s="16"/>
      <c r="H17" s="16"/>
      <c r="Q17" s="249"/>
      <c r="R17" s="36"/>
      <c r="S17" s="16"/>
    </row>
    <row r="18" spans="1:19" x14ac:dyDescent="0.25">
      <c r="A18" s="238">
        <v>9257011</v>
      </c>
      <c r="B18" s="244" t="s">
        <v>210</v>
      </c>
      <c r="C18" s="2">
        <v>4</v>
      </c>
      <c r="D18" s="16"/>
      <c r="E18" s="16"/>
      <c r="F18" s="16"/>
      <c r="G18" s="16"/>
      <c r="H18" s="16"/>
      <c r="Q18" s="249"/>
      <c r="R18" s="36"/>
      <c r="S18" s="16"/>
    </row>
    <row r="19" spans="1:19" x14ac:dyDescent="0.25">
      <c r="A19" s="238">
        <v>9257010</v>
      </c>
      <c r="B19" s="244" t="s">
        <v>205</v>
      </c>
      <c r="C19" s="2">
        <v>4</v>
      </c>
      <c r="D19" s="16"/>
      <c r="E19" s="16"/>
      <c r="F19" s="16"/>
      <c r="G19" s="16"/>
      <c r="H19" s="16"/>
      <c r="Q19" s="249"/>
      <c r="R19" s="36"/>
      <c r="S19" s="16"/>
    </row>
    <row r="20" spans="1:19" x14ac:dyDescent="0.25">
      <c r="A20" s="238">
        <v>9257033</v>
      </c>
      <c r="B20" s="244" t="s">
        <v>220</v>
      </c>
      <c r="C20" s="2">
        <v>3</v>
      </c>
      <c r="D20" s="16"/>
      <c r="E20" s="411" t="s">
        <v>1273</v>
      </c>
      <c r="F20" s="16"/>
      <c r="G20" s="16"/>
      <c r="H20" s="16"/>
      <c r="Q20" s="249"/>
      <c r="R20" s="36"/>
      <c r="S20" s="16"/>
    </row>
    <row r="21" spans="1:19" x14ac:dyDescent="0.25">
      <c r="A21" s="238">
        <v>9257025</v>
      </c>
      <c r="B21" s="244" t="s">
        <v>209</v>
      </c>
      <c r="C21" s="2">
        <v>4</v>
      </c>
      <c r="D21" s="16"/>
      <c r="E21" s="16"/>
      <c r="F21" s="16"/>
      <c r="G21" s="16"/>
      <c r="H21" s="16"/>
    </row>
    <row r="22" spans="1:19" x14ac:dyDescent="0.25">
      <c r="A22" s="238">
        <v>9257032</v>
      </c>
      <c r="B22" s="244" t="s">
        <v>261</v>
      </c>
      <c r="C22" s="2">
        <v>4</v>
      </c>
      <c r="D22" s="16"/>
      <c r="E22" s="16"/>
      <c r="F22" s="16"/>
      <c r="G22" s="16"/>
      <c r="H22" s="16"/>
    </row>
    <row r="23" spans="1:19" x14ac:dyDescent="0.25">
      <c r="A23" s="238">
        <v>9257024</v>
      </c>
      <c r="B23" s="244" t="s">
        <v>211</v>
      </c>
      <c r="C23" s="2">
        <v>3</v>
      </c>
      <c r="D23" s="16"/>
      <c r="E23" s="16"/>
      <c r="F23" s="16"/>
      <c r="G23" s="16"/>
      <c r="H23" s="16"/>
      <c r="Q23" s="249"/>
      <c r="R23" s="36"/>
      <c r="S23" s="16"/>
    </row>
    <row r="24" spans="1:19" x14ac:dyDescent="0.25">
      <c r="A24" s="238">
        <v>9257030</v>
      </c>
      <c r="B24" s="244" t="s">
        <v>262</v>
      </c>
      <c r="C24" s="2">
        <v>4</v>
      </c>
      <c r="D24" s="16"/>
      <c r="E24" s="16"/>
      <c r="F24" s="16"/>
      <c r="G24" s="16"/>
      <c r="H24" s="16"/>
      <c r="Q24" s="249"/>
      <c r="R24" s="36"/>
      <c r="S24" s="16"/>
    </row>
    <row r="25" spans="1:19" x14ac:dyDescent="0.25">
      <c r="A25" s="238">
        <v>9257008</v>
      </c>
      <c r="B25" s="244" t="s">
        <v>212</v>
      </c>
      <c r="C25" s="2">
        <v>4</v>
      </c>
      <c r="D25" s="16"/>
      <c r="E25" s="16"/>
      <c r="F25" s="16"/>
      <c r="G25" s="16"/>
      <c r="H25" s="16"/>
      <c r="Q25" s="249"/>
      <c r="R25" s="36"/>
      <c r="S25" s="16"/>
    </row>
    <row r="26" spans="1:19" x14ac:dyDescent="0.25">
      <c r="A26" s="238">
        <v>9257031</v>
      </c>
      <c r="B26" s="244" t="s">
        <v>257</v>
      </c>
      <c r="C26" s="2">
        <v>4</v>
      </c>
      <c r="D26" s="16"/>
      <c r="E26" s="16"/>
      <c r="F26" s="16"/>
      <c r="G26" s="16"/>
      <c r="H26" s="16"/>
      <c r="Q26" s="249"/>
      <c r="R26" s="36"/>
      <c r="S26" s="16"/>
    </row>
    <row r="27" spans="1:19" x14ac:dyDescent="0.25">
      <c r="A27" s="238">
        <v>9257005</v>
      </c>
      <c r="B27" s="244" t="s">
        <v>208</v>
      </c>
      <c r="C27" s="2">
        <v>4</v>
      </c>
      <c r="D27" s="16"/>
      <c r="E27" s="16"/>
      <c r="F27" s="16"/>
      <c r="G27" s="16"/>
      <c r="H27" s="16"/>
      <c r="Q27" s="249"/>
      <c r="R27" s="36"/>
      <c r="S27" s="16"/>
    </row>
    <row r="28" spans="1:19" x14ac:dyDescent="0.25">
      <c r="A28" s="238">
        <v>9257009</v>
      </c>
      <c r="B28" s="244" t="s">
        <v>214</v>
      </c>
      <c r="C28" s="2">
        <v>4</v>
      </c>
      <c r="D28" s="16"/>
      <c r="E28" s="16"/>
      <c r="F28" s="16"/>
      <c r="G28" s="16"/>
      <c r="H28" s="16"/>
      <c r="Q28" s="249"/>
      <c r="R28" s="36"/>
      <c r="S28" s="16"/>
    </row>
    <row r="29" spans="1:19" x14ac:dyDescent="0.25">
      <c r="A29" s="238">
        <v>9257028</v>
      </c>
      <c r="B29" s="244" t="s">
        <v>215</v>
      </c>
      <c r="C29" s="2">
        <v>5</v>
      </c>
      <c r="D29" s="16"/>
      <c r="E29" s="16"/>
      <c r="F29" s="16"/>
      <c r="G29" s="16"/>
      <c r="H29" s="16"/>
      <c r="Q29" s="249"/>
      <c r="R29" s="36"/>
      <c r="S29" s="16"/>
    </row>
    <row r="30" spans="1:19" x14ac:dyDescent="0.25">
      <c r="A30" s="238">
        <v>9257034</v>
      </c>
      <c r="B30" s="244" t="s">
        <v>221</v>
      </c>
      <c r="C30" s="2">
        <v>5</v>
      </c>
      <c r="D30" s="16"/>
      <c r="E30" s="16"/>
      <c r="F30" s="16"/>
      <c r="G30" s="16"/>
      <c r="H30" s="16"/>
      <c r="Q30" s="249"/>
      <c r="R30" s="36"/>
      <c r="S30" s="16"/>
    </row>
    <row r="31" spans="1:19" x14ac:dyDescent="0.25">
      <c r="A31" s="238">
        <v>9257002</v>
      </c>
      <c r="B31" s="244" t="s">
        <v>213</v>
      </c>
      <c r="C31" s="2">
        <v>5</v>
      </c>
      <c r="D31" s="16"/>
      <c r="E31" s="16"/>
      <c r="F31" s="16"/>
      <c r="G31" s="16"/>
      <c r="H31" s="16"/>
      <c r="Q31" s="249"/>
      <c r="R31" s="36"/>
      <c r="S31" s="16"/>
    </row>
    <row r="32" spans="1:19" x14ac:dyDescent="0.25">
      <c r="A32" s="238">
        <v>9257021</v>
      </c>
      <c r="B32" s="244" t="s">
        <v>216</v>
      </c>
      <c r="C32" s="2">
        <v>5</v>
      </c>
      <c r="D32" s="16"/>
      <c r="E32" s="16"/>
      <c r="F32" s="16"/>
      <c r="G32" s="16"/>
      <c r="H32" s="16"/>
      <c r="Q32" s="249"/>
      <c r="R32" s="36"/>
      <c r="S32" s="16"/>
    </row>
    <row r="33" spans="1:19" x14ac:dyDescent="0.25">
      <c r="A33" s="238">
        <v>9257016</v>
      </c>
      <c r="B33" s="244" t="s">
        <v>219</v>
      </c>
      <c r="C33" s="2">
        <v>6</v>
      </c>
      <c r="D33" s="16"/>
      <c r="E33" s="16"/>
      <c r="F33" s="16"/>
      <c r="G33" s="16"/>
      <c r="H33" s="16"/>
      <c r="Q33" s="249"/>
      <c r="R33" s="36"/>
      <c r="S33" s="16"/>
    </row>
    <row r="34" spans="1:19" x14ac:dyDescent="0.25">
      <c r="A34" s="238">
        <v>9257015</v>
      </c>
      <c r="B34" s="244" t="s">
        <v>217</v>
      </c>
      <c r="C34" s="2">
        <v>6</v>
      </c>
      <c r="D34" s="16"/>
      <c r="E34" s="16"/>
      <c r="F34" s="16"/>
      <c r="G34" s="16"/>
      <c r="H34" s="16"/>
      <c r="Q34" s="249"/>
      <c r="R34" s="36"/>
      <c r="S34" s="16"/>
    </row>
    <row r="35" spans="1:19" x14ac:dyDescent="0.25">
      <c r="Q35" s="249"/>
      <c r="R35" s="36"/>
      <c r="S35" s="16"/>
    </row>
    <row r="36" spans="1:19" ht="13" x14ac:dyDescent="0.3">
      <c r="Q36" s="249"/>
      <c r="R36" s="63"/>
      <c r="S36" s="16"/>
    </row>
    <row r="37" spans="1:19" ht="13" x14ac:dyDescent="0.3">
      <c r="Q37" s="249"/>
      <c r="R37" s="63"/>
      <c r="S37" s="16"/>
    </row>
    <row r="38" spans="1:19" ht="13" x14ac:dyDescent="0.3">
      <c r="A38" s="289" t="s">
        <v>1274</v>
      </c>
      <c r="B38" s="289" t="s">
        <v>821</v>
      </c>
      <c r="Q38" s="249"/>
      <c r="R38" s="63"/>
      <c r="S38" s="16"/>
    </row>
    <row r="39" spans="1:19" ht="13" x14ac:dyDescent="0.3">
      <c r="A39" s="289" t="s">
        <v>1275</v>
      </c>
      <c r="B39" s="289" t="s">
        <v>821</v>
      </c>
      <c r="Q39" s="249"/>
      <c r="R39" s="63"/>
      <c r="S39" s="16"/>
    </row>
    <row r="40" spans="1:19" ht="13" x14ac:dyDescent="0.3">
      <c r="Q40" s="249"/>
      <c r="R40" s="63"/>
      <c r="S40" s="16"/>
    </row>
    <row r="41" spans="1:19" x14ac:dyDescent="0.25">
      <c r="B41" s="1" t="s">
        <v>1276</v>
      </c>
      <c r="Q41" s="249"/>
      <c r="R41" s="36"/>
      <c r="S41" s="16"/>
    </row>
    <row r="42" spans="1:19" x14ac:dyDescent="0.25">
      <c r="Q42" s="249"/>
      <c r="R42" s="36"/>
    </row>
    <row r="43" spans="1:19" x14ac:dyDescent="0.25">
      <c r="C43" s="2"/>
      <c r="D43" s="316" t="s">
        <v>1277</v>
      </c>
      <c r="E43" s="316" t="s">
        <v>1278</v>
      </c>
      <c r="J43" s="1064" t="s">
        <v>1297</v>
      </c>
    </row>
    <row r="44" spans="1:19" x14ac:dyDescent="0.25">
      <c r="C44" s="2"/>
      <c r="D44" s="316"/>
      <c r="E44" s="316"/>
    </row>
    <row r="45" spans="1:19" x14ac:dyDescent="0.25">
      <c r="B45" s="403" t="s">
        <v>1279</v>
      </c>
      <c r="C45" s="2"/>
      <c r="D45" s="316" t="s">
        <v>1277</v>
      </c>
      <c r="E45" s="316" t="s">
        <v>1280</v>
      </c>
      <c r="F45" s="316" t="s">
        <v>357</v>
      </c>
      <c r="H45" s="316" t="s">
        <v>3</v>
      </c>
      <c r="I45" s="2"/>
      <c r="J45" s="2"/>
      <c r="K45" s="2"/>
      <c r="L45" s="316" t="s">
        <v>1281</v>
      </c>
      <c r="M45" s="289" t="s">
        <v>1282</v>
      </c>
    </row>
    <row r="46" spans="1:19" x14ac:dyDescent="0.25">
      <c r="A46">
        <v>600</v>
      </c>
      <c r="B46" s="230">
        <v>600000</v>
      </c>
      <c r="C46" s="133" t="s">
        <v>756</v>
      </c>
      <c r="D46" s="398">
        <v>310000</v>
      </c>
      <c r="E46" s="16">
        <f>100000*1.02</f>
        <v>102000</v>
      </c>
      <c r="F46" s="16">
        <f>SUM(D46:E46)</f>
        <v>412000</v>
      </c>
      <c r="H46" s="2"/>
      <c r="I46" s="2"/>
      <c r="J46" s="397">
        <f>B46+(B46*2%)</f>
        <v>612000</v>
      </c>
      <c r="K46" s="2"/>
      <c r="L46" s="16">
        <v>600000</v>
      </c>
      <c r="M46" s="230">
        <v>600000</v>
      </c>
      <c r="Q46" s="1" t="s">
        <v>858</v>
      </c>
    </row>
    <row r="47" spans="1:19" ht="13" x14ac:dyDescent="0.3">
      <c r="A47">
        <v>100</v>
      </c>
      <c r="B47" s="230">
        <v>700000</v>
      </c>
      <c r="C47" s="133" t="s">
        <v>757</v>
      </c>
      <c r="D47" s="315">
        <f>((D48-D46)/2)+D46</f>
        <v>345000</v>
      </c>
      <c r="E47" s="315">
        <f>((E48-E46)/2)+E46</f>
        <v>107100</v>
      </c>
      <c r="F47" s="16">
        <f>SUM(D47:E47)</f>
        <v>452100</v>
      </c>
      <c r="G47" s="72"/>
      <c r="H47" s="16">
        <f>F47-F46</f>
        <v>40100</v>
      </c>
      <c r="I47" s="2"/>
      <c r="J47" s="397">
        <f>B47+(B47*2%)</f>
        <v>714000</v>
      </c>
      <c r="K47" s="2"/>
      <c r="L47" s="16">
        <v>700000</v>
      </c>
      <c r="M47" s="230">
        <v>700000</v>
      </c>
      <c r="N47" s="230">
        <f>M47-M46</f>
        <v>100000</v>
      </c>
      <c r="Q47" s="2"/>
    </row>
    <row r="48" spans="1:19" x14ac:dyDescent="0.25">
      <c r="A48">
        <v>250</v>
      </c>
      <c r="B48" s="230">
        <v>950000</v>
      </c>
      <c r="C48" s="133" t="s">
        <v>758</v>
      </c>
      <c r="D48" s="398">
        <v>380000</v>
      </c>
      <c r="E48" s="16">
        <f>110000*1.02</f>
        <v>112200</v>
      </c>
      <c r="F48" s="16">
        <f t="shared" ref="F48:F56" si="0">SUM(D48:E48)</f>
        <v>492200</v>
      </c>
      <c r="H48" s="16">
        <f t="shared" ref="H48:H56" si="1">F48-F47</f>
        <v>40100</v>
      </c>
      <c r="I48" s="2"/>
      <c r="J48" s="397">
        <f t="shared" ref="J48:J56" si="2">B48+(B48*2%)</f>
        <v>969000</v>
      </c>
      <c r="K48" s="2"/>
      <c r="L48" s="16">
        <v>950000</v>
      </c>
      <c r="M48" s="230">
        <v>950000</v>
      </c>
      <c r="N48" s="230">
        <f t="shared" ref="N48:N56" si="3">M48-M47</f>
        <v>250000</v>
      </c>
      <c r="Q48" s="16">
        <f>60*'1819 Band Calculations'!G104</f>
        <v>1350765.0453476657</v>
      </c>
      <c r="R48" s="289" t="s">
        <v>1283</v>
      </c>
    </row>
    <row r="49" spans="1:19" x14ac:dyDescent="0.25">
      <c r="A49">
        <v>150</v>
      </c>
      <c r="B49" s="230">
        <v>1100000</v>
      </c>
      <c r="C49" s="133" t="s">
        <v>759</v>
      </c>
      <c r="D49" s="315">
        <f>((D50-D48)/2)+D48</f>
        <v>417500</v>
      </c>
      <c r="E49" s="315">
        <f>((E50-E48)/2)+E48</f>
        <v>118600</v>
      </c>
      <c r="F49" s="16">
        <f t="shared" si="0"/>
        <v>536100</v>
      </c>
      <c r="H49" s="16">
        <f t="shared" si="1"/>
        <v>43900</v>
      </c>
      <c r="I49" s="2"/>
      <c r="J49" s="397">
        <f t="shared" si="2"/>
        <v>1122000</v>
      </c>
      <c r="K49" s="2"/>
      <c r="L49" s="16">
        <v>1050000</v>
      </c>
      <c r="M49" s="230">
        <v>1050000</v>
      </c>
      <c r="N49" s="230">
        <f t="shared" si="3"/>
        <v>100000</v>
      </c>
      <c r="Q49" s="16">
        <f>F47</f>
        <v>452100</v>
      </c>
      <c r="R49" s="289" t="s">
        <v>1284</v>
      </c>
    </row>
    <row r="50" spans="1:19" x14ac:dyDescent="0.25">
      <c r="A50">
        <v>300</v>
      </c>
      <c r="B50" s="230">
        <v>1400000</v>
      </c>
      <c r="C50" s="133" t="s">
        <v>760</v>
      </c>
      <c r="D50" s="398">
        <v>455000</v>
      </c>
      <c r="E50" s="16">
        <v>125000</v>
      </c>
      <c r="F50" s="16">
        <f t="shared" si="0"/>
        <v>580000</v>
      </c>
      <c r="H50" s="16">
        <f t="shared" si="1"/>
        <v>43900</v>
      </c>
      <c r="I50" s="2"/>
      <c r="J50" s="397">
        <f t="shared" si="2"/>
        <v>1428000</v>
      </c>
      <c r="K50" s="2"/>
      <c r="L50" s="16">
        <v>1300000</v>
      </c>
      <c r="M50" s="230">
        <v>1350000</v>
      </c>
      <c r="N50" s="230">
        <f t="shared" si="3"/>
        <v>300000</v>
      </c>
      <c r="Q50" s="408">
        <f>SUM(Q48:Q49)</f>
        <v>1802865.0453476657</v>
      </c>
      <c r="R50" s="289" t="s">
        <v>1285</v>
      </c>
    </row>
    <row r="51" spans="1:19" x14ac:dyDescent="0.25">
      <c r="A51">
        <v>200</v>
      </c>
      <c r="B51" s="230">
        <v>1600000</v>
      </c>
      <c r="C51" s="133" t="s">
        <v>761</v>
      </c>
      <c r="D51" s="315">
        <f>((D52-D50)/2)+D50</f>
        <v>497500</v>
      </c>
      <c r="E51" s="315">
        <f>((E52-E50)/2)+E50</f>
        <v>135000</v>
      </c>
      <c r="F51" s="16">
        <f t="shared" si="0"/>
        <v>632500</v>
      </c>
      <c r="H51" s="16">
        <f t="shared" si="1"/>
        <v>52500</v>
      </c>
      <c r="I51" s="2"/>
      <c r="J51" s="397">
        <f t="shared" si="2"/>
        <v>1632000</v>
      </c>
      <c r="K51" s="2"/>
      <c r="L51" s="16">
        <v>1400000</v>
      </c>
      <c r="M51" s="230">
        <v>1450000</v>
      </c>
      <c r="N51" s="230">
        <f t="shared" si="3"/>
        <v>100000</v>
      </c>
      <c r="Q51" s="16">
        <f>Q50*4</f>
        <v>7211460.1813906627</v>
      </c>
      <c r="R51" s="289" t="s">
        <v>1286</v>
      </c>
    </row>
    <row r="52" spans="1:19" x14ac:dyDescent="0.25">
      <c r="A52">
        <v>350</v>
      </c>
      <c r="B52" s="230">
        <v>1950000</v>
      </c>
      <c r="C52" s="133" t="s">
        <v>762</v>
      </c>
      <c r="D52" s="398">
        <v>540000</v>
      </c>
      <c r="E52" s="16">
        <v>145000</v>
      </c>
      <c r="F52" s="16">
        <f t="shared" si="0"/>
        <v>685000</v>
      </c>
      <c r="H52" s="16">
        <f t="shared" si="1"/>
        <v>52500</v>
      </c>
      <c r="I52" s="2"/>
      <c r="J52" s="397">
        <f t="shared" si="2"/>
        <v>1989000</v>
      </c>
      <c r="K52" s="2"/>
      <c r="L52" s="16">
        <v>1650000</v>
      </c>
      <c r="M52" s="230">
        <v>1800000</v>
      </c>
      <c r="N52" s="230">
        <f t="shared" si="3"/>
        <v>350000</v>
      </c>
      <c r="Q52" s="16"/>
    </row>
    <row r="53" spans="1:19" x14ac:dyDescent="0.25">
      <c r="A53">
        <v>250</v>
      </c>
      <c r="B53" s="230">
        <v>2200000</v>
      </c>
      <c r="C53" s="133" t="s">
        <v>763</v>
      </c>
      <c r="D53" s="315">
        <f>((D54-D52)/2)+D52</f>
        <v>582500</v>
      </c>
      <c r="E53" s="315">
        <f>((E54-E52)/2)+E52</f>
        <v>150000</v>
      </c>
      <c r="F53" s="16">
        <f t="shared" si="0"/>
        <v>732500</v>
      </c>
      <c r="H53" s="16">
        <f t="shared" si="1"/>
        <v>47500</v>
      </c>
      <c r="I53" s="2"/>
      <c r="J53" s="397">
        <f t="shared" si="2"/>
        <v>2244000</v>
      </c>
      <c r="K53" s="2"/>
      <c r="L53" s="16">
        <v>1750000</v>
      </c>
      <c r="M53" s="230">
        <v>1900000</v>
      </c>
      <c r="N53" s="230">
        <f t="shared" si="3"/>
        <v>100000</v>
      </c>
      <c r="Q53" s="16">
        <f>20500*252</f>
        <v>5166000</v>
      </c>
      <c r="R53" s="289" t="s">
        <v>1287</v>
      </c>
    </row>
    <row r="54" spans="1:19" x14ac:dyDescent="0.25">
      <c r="A54">
        <v>400</v>
      </c>
      <c r="B54" s="230">
        <v>2600000</v>
      </c>
      <c r="C54" s="133" t="s">
        <v>764</v>
      </c>
      <c r="D54" s="398">
        <v>625000</v>
      </c>
      <c r="E54" s="16">
        <v>155000</v>
      </c>
      <c r="F54" s="16">
        <f t="shared" si="0"/>
        <v>780000</v>
      </c>
      <c r="H54" s="16">
        <f t="shared" si="1"/>
        <v>47500</v>
      </c>
      <c r="I54" s="2"/>
      <c r="J54" s="397">
        <f t="shared" si="2"/>
        <v>2652000</v>
      </c>
      <c r="K54" s="2"/>
      <c r="L54" s="16">
        <v>2000000</v>
      </c>
      <c r="M54" s="230">
        <v>2300000</v>
      </c>
      <c r="N54" s="230">
        <f t="shared" si="3"/>
        <v>400000</v>
      </c>
      <c r="Q54" s="16"/>
    </row>
    <row r="55" spans="1:19" x14ac:dyDescent="0.25">
      <c r="A55">
        <v>300</v>
      </c>
      <c r="B55" s="230">
        <v>2900000</v>
      </c>
      <c r="C55" s="133" t="s">
        <v>1149</v>
      </c>
      <c r="D55" s="844">
        <f>((D56-D54)/2)+D54</f>
        <v>662500</v>
      </c>
      <c r="E55" s="315">
        <f>((E56-E54)/2)+E54</f>
        <v>162500</v>
      </c>
      <c r="F55" s="16">
        <f t="shared" si="0"/>
        <v>825000</v>
      </c>
      <c r="H55" s="16">
        <f t="shared" si="1"/>
        <v>45000</v>
      </c>
      <c r="I55" s="2"/>
      <c r="J55" s="397">
        <f t="shared" si="2"/>
        <v>2958000</v>
      </c>
      <c r="K55" s="2"/>
      <c r="L55" s="16">
        <v>2100000</v>
      </c>
      <c r="M55" s="230">
        <v>2400000</v>
      </c>
      <c r="N55" s="230">
        <f t="shared" si="3"/>
        <v>100000</v>
      </c>
      <c r="Q55" s="290">
        <f>Q51-Q53</f>
        <v>2045460.1813906627</v>
      </c>
      <c r="R55" s="182" t="s">
        <v>1288</v>
      </c>
    </row>
    <row r="56" spans="1:19" x14ac:dyDescent="0.25">
      <c r="A56">
        <v>450</v>
      </c>
      <c r="B56" s="230">
        <v>3350000</v>
      </c>
      <c r="C56" s="133" t="s">
        <v>1150</v>
      </c>
      <c r="D56" s="396">
        <v>700000</v>
      </c>
      <c r="E56" s="16">
        <v>170000</v>
      </c>
      <c r="F56" s="16">
        <f t="shared" si="0"/>
        <v>870000</v>
      </c>
      <c r="H56" s="16">
        <f t="shared" si="1"/>
        <v>45000</v>
      </c>
      <c r="I56" s="2"/>
      <c r="J56" s="397">
        <f t="shared" si="2"/>
        <v>3417000</v>
      </c>
      <c r="K56" s="2"/>
      <c r="L56" s="16">
        <v>2350000</v>
      </c>
      <c r="M56" s="230">
        <v>2950000</v>
      </c>
      <c r="N56" s="230">
        <f t="shared" si="3"/>
        <v>550000</v>
      </c>
      <c r="Q56" s="16"/>
    </row>
    <row r="57" spans="1:19" ht="13.5" thickBot="1" x14ac:dyDescent="0.35">
      <c r="A57" s="407">
        <f>SUM(A46:A56)</f>
        <v>3350</v>
      </c>
      <c r="Q57" s="16">
        <f>('1819 Band Calculations'!G104+'1819 Band Calculations'!G106)*60</f>
        <v>1508865.0453476657</v>
      </c>
      <c r="R57" s="289" t="s">
        <v>1283</v>
      </c>
      <c r="S57" s="409" t="s">
        <v>1289</v>
      </c>
    </row>
    <row r="58" spans="1:19" x14ac:dyDescent="0.25">
      <c r="Q58" s="16">
        <f>F48</f>
        <v>492200</v>
      </c>
      <c r="R58" s="289" t="s">
        <v>1284</v>
      </c>
    </row>
    <row r="59" spans="1:19" x14ac:dyDescent="0.25">
      <c r="Q59" s="408">
        <f>SUM(Q57:Q58)</f>
        <v>2001065.0453476657</v>
      </c>
      <c r="R59" s="289" t="s">
        <v>1285</v>
      </c>
    </row>
    <row r="60" spans="1:19" x14ac:dyDescent="0.25">
      <c r="A60" s="1" t="s">
        <v>1240</v>
      </c>
      <c r="Q60" s="16">
        <f>Q59*4</f>
        <v>8004260.1813906627</v>
      </c>
      <c r="R60" s="289" t="s">
        <v>1286</v>
      </c>
    </row>
    <row r="61" spans="1:19" x14ac:dyDescent="0.25">
      <c r="A61">
        <v>600</v>
      </c>
      <c r="B61" s="230">
        <v>600000</v>
      </c>
      <c r="C61" s="410" t="s">
        <v>812</v>
      </c>
      <c r="D61" s="398">
        <f>270000*1.02</f>
        <v>275400</v>
      </c>
      <c r="E61" s="16">
        <f t="shared" ref="E61:E66" si="4">85000*1.02</f>
        <v>86700</v>
      </c>
      <c r="F61" s="16">
        <f t="shared" ref="F61:F66" si="5">SUM(D61:E61)</f>
        <v>362100</v>
      </c>
      <c r="H61" s="2"/>
      <c r="J61" s="397">
        <f t="shared" ref="J61:J66" si="6">B61+(B61*2%)</f>
        <v>612000</v>
      </c>
      <c r="Q61" s="16"/>
    </row>
    <row r="62" spans="1:19" ht="13" x14ac:dyDescent="0.3">
      <c r="A62">
        <v>100</v>
      </c>
      <c r="B62" s="230">
        <v>700000</v>
      </c>
      <c r="C62" s="410" t="s">
        <v>1290</v>
      </c>
      <c r="D62" s="315">
        <f>((D63-D61)/2)+D61</f>
        <v>316200</v>
      </c>
      <c r="E62" s="16">
        <f t="shared" si="4"/>
        <v>86700</v>
      </c>
      <c r="F62" s="16">
        <f t="shared" si="5"/>
        <v>402900</v>
      </c>
      <c r="G62" s="72"/>
      <c r="H62" s="16">
        <f>F62-F61</f>
        <v>40800</v>
      </c>
      <c r="J62" s="397">
        <f t="shared" si="6"/>
        <v>714000</v>
      </c>
      <c r="Q62" s="290">
        <f>Q60-Q53</f>
        <v>2838260.1813906627</v>
      </c>
      <c r="R62" s="182" t="s">
        <v>1288</v>
      </c>
      <c r="S62" s="409" t="s">
        <v>1291</v>
      </c>
    </row>
    <row r="63" spans="1:19" x14ac:dyDescent="0.25">
      <c r="A63">
        <v>250</v>
      </c>
      <c r="B63" s="230">
        <v>950000</v>
      </c>
      <c r="C63" s="410" t="s">
        <v>814</v>
      </c>
      <c r="D63" s="398">
        <f>350000*1.02</f>
        <v>357000</v>
      </c>
      <c r="E63" s="16">
        <f t="shared" si="4"/>
        <v>86700</v>
      </c>
      <c r="F63" s="16">
        <f t="shared" si="5"/>
        <v>443700</v>
      </c>
      <c r="H63" s="16">
        <f>F63-F62</f>
        <v>40800</v>
      </c>
      <c r="J63" s="397">
        <f t="shared" si="6"/>
        <v>969000</v>
      </c>
      <c r="Q63" s="16"/>
    </row>
    <row r="64" spans="1:19" x14ac:dyDescent="0.25">
      <c r="A64">
        <v>150</v>
      </c>
      <c r="B64" s="230">
        <v>1100000</v>
      </c>
      <c r="C64" s="410" t="s">
        <v>810</v>
      </c>
      <c r="D64" s="315">
        <f>((D65-D63)/2)+D63</f>
        <v>367200</v>
      </c>
      <c r="E64" s="16">
        <f t="shared" si="4"/>
        <v>86700</v>
      </c>
      <c r="F64" s="16">
        <f t="shared" si="5"/>
        <v>453900</v>
      </c>
      <c r="H64" s="16">
        <f>F64-F63</f>
        <v>10200</v>
      </c>
      <c r="J64" s="397">
        <f t="shared" si="6"/>
        <v>1122000</v>
      </c>
      <c r="Q64" s="16">
        <f>252*'1819 Band Calculations'!G104</f>
        <v>5673213.1904601958</v>
      </c>
    </row>
    <row r="65" spans="1:20" x14ac:dyDescent="0.25">
      <c r="A65">
        <v>300</v>
      </c>
      <c r="B65" s="230">
        <v>1400000</v>
      </c>
      <c r="C65" s="410" t="s">
        <v>1292</v>
      </c>
      <c r="D65" s="398">
        <f>370000*1.02</f>
        <v>377400</v>
      </c>
      <c r="E65" s="16">
        <f t="shared" si="4"/>
        <v>86700</v>
      </c>
      <c r="F65" s="16">
        <f t="shared" si="5"/>
        <v>464100</v>
      </c>
      <c r="H65" s="16">
        <f>F65-F64</f>
        <v>10200</v>
      </c>
      <c r="J65" s="397">
        <f t="shared" si="6"/>
        <v>1428000</v>
      </c>
      <c r="Q65" s="16">
        <f>F55</f>
        <v>825000</v>
      </c>
    </row>
    <row r="66" spans="1:20" x14ac:dyDescent="0.25">
      <c r="A66">
        <v>200</v>
      </c>
      <c r="B66" s="230">
        <v>1600000</v>
      </c>
      <c r="C66" s="410" t="s">
        <v>1293</v>
      </c>
      <c r="D66" s="844">
        <v>380000</v>
      </c>
      <c r="E66" s="16">
        <f t="shared" si="4"/>
        <v>86700</v>
      </c>
      <c r="F66" s="16">
        <f t="shared" si="5"/>
        <v>466700</v>
      </c>
      <c r="H66" s="16">
        <f>F66-F65</f>
        <v>2600</v>
      </c>
      <c r="J66" s="397">
        <f t="shared" si="6"/>
        <v>1632000</v>
      </c>
      <c r="Q66" s="408">
        <f>SUM(Q64:Q65)</f>
        <v>6498213.1904601958</v>
      </c>
    </row>
    <row r="67" spans="1:20" x14ac:dyDescent="0.25">
      <c r="B67" s="230"/>
      <c r="C67" s="2"/>
      <c r="D67" s="16"/>
      <c r="E67" s="16"/>
      <c r="F67" s="16"/>
      <c r="H67" s="16"/>
      <c r="Q67" s="16"/>
    </row>
    <row r="68" spans="1:20" x14ac:dyDescent="0.25">
      <c r="B68" s="230"/>
      <c r="C68" s="2"/>
      <c r="D68" s="315"/>
      <c r="E68" s="315"/>
      <c r="F68" s="16"/>
      <c r="H68" s="16"/>
      <c r="Q68" s="290">
        <f>Q66-Q53</f>
        <v>1332213.1904601958</v>
      </c>
      <c r="R68" s="182" t="s">
        <v>1294</v>
      </c>
    </row>
    <row r="69" spans="1:20" x14ac:dyDescent="0.25">
      <c r="B69" s="230"/>
      <c r="C69" s="2"/>
      <c r="D69" s="16"/>
      <c r="E69" s="16"/>
      <c r="F69" s="16"/>
      <c r="H69" s="16"/>
      <c r="Q69" s="16"/>
    </row>
    <row r="70" spans="1:20" ht="13" x14ac:dyDescent="0.3">
      <c r="B70" s="230">
        <v>100000</v>
      </c>
      <c r="C70" s="2">
        <v>110000</v>
      </c>
      <c r="D70" s="315">
        <v>120000</v>
      </c>
      <c r="E70" s="315">
        <v>130000</v>
      </c>
      <c r="F70" s="16">
        <v>140000</v>
      </c>
      <c r="G70">
        <v>150000</v>
      </c>
      <c r="H70" s="16"/>
      <c r="I70" s="404"/>
      <c r="Q70" s="16"/>
    </row>
    <row r="71" spans="1:20" x14ac:dyDescent="0.25">
      <c r="B71" s="230"/>
      <c r="C71" s="2"/>
      <c r="D71" s="16"/>
      <c r="E71" s="16"/>
      <c r="F71" s="16"/>
      <c r="H71" s="16"/>
      <c r="I71" s="2"/>
    </row>
    <row r="72" spans="1:20" ht="13" thickBot="1" x14ac:dyDescent="0.3">
      <c r="A72" s="43"/>
      <c r="B72" s="43"/>
      <c r="C72" s="43"/>
      <c r="D72" s="43"/>
      <c r="E72" s="43"/>
      <c r="F72" s="43"/>
      <c r="G72" s="43"/>
      <c r="H72" s="43"/>
      <c r="I72" s="412"/>
      <c r="J72" s="43"/>
      <c r="K72" s="43"/>
      <c r="L72" s="43"/>
      <c r="M72" s="43"/>
      <c r="N72" s="43"/>
      <c r="O72" s="43"/>
      <c r="P72" s="43"/>
      <c r="Q72" s="43"/>
      <c r="R72" s="43"/>
      <c r="S72" s="43"/>
      <c r="T72" s="43"/>
    </row>
    <row r="73" spans="1:20" x14ac:dyDescent="0.25">
      <c r="I73" s="2"/>
    </row>
    <row r="74" spans="1:20" x14ac:dyDescent="0.25">
      <c r="A74" s="1" t="s">
        <v>1295</v>
      </c>
      <c r="I74" s="2"/>
    </row>
    <row r="75" spans="1:20" x14ac:dyDescent="0.25">
      <c r="C75" s="316" t="s">
        <v>892</v>
      </c>
      <c r="D75" s="2"/>
      <c r="E75" s="316" t="s">
        <v>819</v>
      </c>
      <c r="F75" s="2"/>
    </row>
    <row r="76" spans="1:20" ht="13" x14ac:dyDescent="0.3">
      <c r="A76" s="244">
        <v>9257029</v>
      </c>
      <c r="B76" s="32" t="s">
        <v>149</v>
      </c>
      <c r="C76" s="16">
        <f>VLOOKUP(A76,$P$84:$S$103,4,(FALSE))</f>
        <v>581416.9152688859</v>
      </c>
      <c r="D76" s="2">
        <v>3</v>
      </c>
      <c r="E76" s="16">
        <f>VLOOKUP(A76,$P$84:$R$103,3,(FALSE))</f>
        <v>603422.73477109475</v>
      </c>
      <c r="F76" s="2">
        <v>3.5</v>
      </c>
    </row>
    <row r="77" spans="1:20" x14ac:dyDescent="0.25">
      <c r="A77" s="244">
        <v>9257011</v>
      </c>
      <c r="B77" s="237" t="s">
        <v>210</v>
      </c>
      <c r="C77" s="16">
        <f t="shared" ref="C77:C93" si="7">VLOOKUP(A77,$P$84:$S$103,4,(FALSE))</f>
        <v>682103.85476892302</v>
      </c>
      <c r="D77" s="2">
        <v>3.5</v>
      </c>
      <c r="E77" s="16">
        <f t="shared" ref="E77:E93" si="8">VLOOKUP(A77,$P$84:$R$103,3,(FALSE))</f>
        <v>639534.23828842421</v>
      </c>
      <c r="F77" s="2">
        <v>3.5</v>
      </c>
    </row>
    <row r="78" spans="1:20" x14ac:dyDescent="0.25">
      <c r="A78" s="244">
        <v>9257010</v>
      </c>
      <c r="B78" s="237" t="s">
        <v>205</v>
      </c>
      <c r="C78" s="16">
        <f t="shared" si="7"/>
        <v>726587.04228393221</v>
      </c>
      <c r="D78" s="2">
        <v>4</v>
      </c>
      <c r="E78" s="16">
        <f t="shared" si="8"/>
        <v>653063.35348139156</v>
      </c>
      <c r="F78" s="2">
        <v>3.5</v>
      </c>
      <c r="M78" s="315"/>
      <c r="N78" s="315"/>
      <c r="O78" s="315"/>
      <c r="P78" s="315"/>
      <c r="Q78" s="315"/>
      <c r="R78" s="289"/>
    </row>
    <row r="79" spans="1:20" ht="13" x14ac:dyDescent="0.3">
      <c r="A79" s="244">
        <v>9257032</v>
      </c>
      <c r="B79" s="32" t="s">
        <v>150</v>
      </c>
      <c r="C79" s="16">
        <f t="shared" si="7"/>
        <v>850119.55340112012</v>
      </c>
      <c r="D79" s="2">
        <v>3.5</v>
      </c>
      <c r="E79" s="16">
        <f t="shared" si="8"/>
        <v>833904.73903107154</v>
      </c>
      <c r="F79" s="2">
        <v>3.5</v>
      </c>
      <c r="M79" s="289"/>
      <c r="N79" s="289"/>
      <c r="O79" s="289"/>
      <c r="P79" s="289"/>
      <c r="Q79" s="289"/>
      <c r="R79" s="289"/>
    </row>
    <row r="80" spans="1:20" x14ac:dyDescent="0.25">
      <c r="A80" s="244">
        <v>9257025</v>
      </c>
      <c r="B80" s="237" t="s">
        <v>209</v>
      </c>
      <c r="C80" s="16">
        <f t="shared" si="7"/>
        <v>757407.11642919737</v>
      </c>
      <c r="D80" s="2">
        <v>4</v>
      </c>
      <c r="E80" s="16">
        <f t="shared" si="8"/>
        <v>719250.58663427574</v>
      </c>
      <c r="F80" s="2">
        <v>3.5</v>
      </c>
    </row>
    <row r="81" spans="1:19" x14ac:dyDescent="0.25">
      <c r="A81" s="244">
        <v>9257033</v>
      </c>
      <c r="B81" s="237" t="s">
        <v>220</v>
      </c>
      <c r="C81" s="16">
        <f t="shared" si="7"/>
        <v>901096.48328941432</v>
      </c>
      <c r="D81" s="2">
        <v>4</v>
      </c>
      <c r="E81" s="16">
        <f t="shared" si="8"/>
        <v>736956.2316865098</v>
      </c>
      <c r="F81" s="2">
        <v>3.5</v>
      </c>
    </row>
    <row r="82" spans="1:19" x14ac:dyDescent="0.25">
      <c r="A82" s="244">
        <v>9257024</v>
      </c>
      <c r="B82" s="237" t="s">
        <v>211</v>
      </c>
      <c r="C82" s="16">
        <f t="shared" si="7"/>
        <v>878743.7336704795</v>
      </c>
      <c r="D82" s="2">
        <v>4</v>
      </c>
      <c r="E82" s="16">
        <f t="shared" si="8"/>
        <v>754467.05864135828</v>
      </c>
      <c r="F82" s="2">
        <v>4</v>
      </c>
    </row>
    <row r="83" spans="1:19" ht="13" x14ac:dyDescent="0.3">
      <c r="A83" s="244">
        <v>9257030</v>
      </c>
      <c r="B83" s="32" t="s">
        <v>152</v>
      </c>
      <c r="C83" s="16">
        <f t="shared" si="7"/>
        <v>972888.86220291676</v>
      </c>
      <c r="D83" s="2">
        <v>4</v>
      </c>
      <c r="E83" s="16">
        <f t="shared" si="8"/>
        <v>943933.83654211555</v>
      </c>
      <c r="F83" s="2">
        <v>4</v>
      </c>
      <c r="R83" s="316" t="s">
        <v>819</v>
      </c>
      <c r="S83" s="316" t="s">
        <v>892</v>
      </c>
    </row>
    <row r="84" spans="1:19" ht="13" x14ac:dyDescent="0.3">
      <c r="A84" s="244">
        <v>9257031</v>
      </c>
      <c r="B84" s="32" t="s">
        <v>148</v>
      </c>
      <c r="C84" s="16">
        <f t="shared" si="7"/>
        <v>989103.67657296546</v>
      </c>
      <c r="D84" s="2">
        <v>4</v>
      </c>
      <c r="E84" s="16">
        <f t="shared" si="8"/>
        <v>961306.85193859623</v>
      </c>
      <c r="F84" s="2">
        <v>4</v>
      </c>
      <c r="M84" s="238">
        <v>9257010</v>
      </c>
      <c r="N84" s="16">
        <v>709118.96272024023</v>
      </c>
      <c r="O84" s="16"/>
      <c r="P84" s="238">
        <v>9257010</v>
      </c>
      <c r="Q84" s="16">
        <v>637362.87720688258</v>
      </c>
      <c r="R84" s="16">
        <v>653063.35348139156</v>
      </c>
      <c r="S84" s="16">
        <v>726587.04228393221</v>
      </c>
    </row>
    <row r="85" spans="1:19" x14ac:dyDescent="0.25">
      <c r="A85" s="244">
        <v>9257008</v>
      </c>
      <c r="B85" s="237" t="s">
        <v>212</v>
      </c>
      <c r="C85" s="16">
        <f t="shared" si="7"/>
        <v>867278.07928279345</v>
      </c>
      <c r="D85" s="2">
        <v>4</v>
      </c>
      <c r="E85" s="16">
        <f t="shared" si="8"/>
        <v>840054.10369992536</v>
      </c>
      <c r="F85" s="2">
        <v>4</v>
      </c>
      <c r="M85" s="238">
        <v>9257005</v>
      </c>
      <c r="N85" s="16">
        <v>849621.58188459184</v>
      </c>
      <c r="O85" s="16"/>
      <c r="P85" s="238">
        <v>9257005</v>
      </c>
      <c r="Q85" s="16">
        <v>895601.1027865815</v>
      </c>
      <c r="R85" s="16">
        <v>937691.95577488269</v>
      </c>
      <c r="S85" s="16">
        <v>889551.52054536866</v>
      </c>
    </row>
    <row r="86" spans="1:19" x14ac:dyDescent="0.25">
      <c r="A86" s="244">
        <v>9257009</v>
      </c>
      <c r="B86" s="237" t="s">
        <v>214</v>
      </c>
      <c r="C86" s="16">
        <f t="shared" si="7"/>
        <v>944480.87797612452</v>
      </c>
      <c r="D86" s="2">
        <v>4.5</v>
      </c>
      <c r="E86" s="16">
        <f t="shared" si="8"/>
        <v>924704.31136875646</v>
      </c>
      <c r="F86" s="2">
        <v>4</v>
      </c>
      <c r="H86" s="289" t="s">
        <v>1296</v>
      </c>
      <c r="M86" s="238">
        <v>9257025</v>
      </c>
      <c r="N86" s="16">
        <v>716347.44280782714</v>
      </c>
      <c r="O86" s="16"/>
      <c r="P86" s="238">
        <v>9257025</v>
      </c>
      <c r="Q86" s="16">
        <v>680259.41042456124</v>
      </c>
      <c r="R86" s="16">
        <v>719250.58663427574</v>
      </c>
      <c r="S86" s="16">
        <v>757407.11642919737</v>
      </c>
    </row>
    <row r="87" spans="1:19" x14ac:dyDescent="0.25">
      <c r="A87" s="244">
        <v>9257005</v>
      </c>
      <c r="B87" s="237" t="s">
        <v>208</v>
      </c>
      <c r="C87" s="16">
        <f t="shared" si="7"/>
        <v>889551.52054536866</v>
      </c>
      <c r="D87" s="2">
        <v>4</v>
      </c>
      <c r="E87" s="16">
        <f t="shared" si="8"/>
        <v>937691.95577488269</v>
      </c>
      <c r="F87" s="2">
        <v>4</v>
      </c>
      <c r="H87" s="315">
        <v>188370</v>
      </c>
      <c r="I87" s="16">
        <f>E87+H87</f>
        <v>1126061.9557748828</v>
      </c>
      <c r="J87" s="2">
        <v>5</v>
      </c>
      <c r="K87" s="2"/>
      <c r="M87" s="238">
        <v>9257011</v>
      </c>
      <c r="N87" s="16">
        <v>660746.5151957355</v>
      </c>
      <c r="O87" s="16"/>
      <c r="P87" s="238">
        <v>9257011</v>
      </c>
      <c r="Q87" s="16">
        <v>619509.79508918023</v>
      </c>
      <c r="R87" s="16">
        <v>639534.23828842421</v>
      </c>
      <c r="S87" s="16">
        <v>682103.85476892302</v>
      </c>
    </row>
    <row r="88" spans="1:19" x14ac:dyDescent="0.25">
      <c r="A88" s="244">
        <v>9257028</v>
      </c>
      <c r="B88" s="237" t="s">
        <v>215</v>
      </c>
      <c r="C88" s="16">
        <f t="shared" si="7"/>
        <v>1039306.0084437662</v>
      </c>
      <c r="D88" s="2">
        <v>4.5</v>
      </c>
      <c r="E88" s="16">
        <f t="shared" si="8"/>
        <v>983570.35499410029</v>
      </c>
      <c r="F88" s="2">
        <v>4.5</v>
      </c>
      <c r="M88" s="238">
        <v>9257024</v>
      </c>
      <c r="N88" s="16">
        <v>849147.17444463656</v>
      </c>
      <c r="O88" s="16"/>
      <c r="P88" s="238">
        <v>9257024</v>
      </c>
      <c r="Q88" s="16">
        <v>729056.20433943742</v>
      </c>
      <c r="R88" s="16">
        <v>754467.05864135828</v>
      </c>
      <c r="S88" s="16">
        <v>878743.7336704795</v>
      </c>
    </row>
    <row r="89" spans="1:19" x14ac:dyDescent="0.25">
      <c r="A89" s="244">
        <v>9257034</v>
      </c>
      <c r="B89" s="237" t="s">
        <v>221</v>
      </c>
      <c r="C89" s="16">
        <f t="shared" si="7"/>
        <v>1083854.947967215</v>
      </c>
      <c r="D89" s="2">
        <v>4.5</v>
      </c>
      <c r="E89" s="16">
        <f t="shared" si="8"/>
        <v>1137250.7431979529</v>
      </c>
      <c r="F89" s="2">
        <v>4.5</v>
      </c>
      <c r="M89" s="238">
        <v>9257008</v>
      </c>
      <c r="N89" s="16">
        <v>826501.5903191804</v>
      </c>
      <c r="O89" s="16"/>
      <c r="P89" s="238">
        <v>9257008</v>
      </c>
      <c r="Q89" s="16">
        <v>800557.59421050642</v>
      </c>
      <c r="R89" s="16">
        <v>840054.10369992536</v>
      </c>
      <c r="S89" s="16">
        <v>867278.07928279345</v>
      </c>
    </row>
    <row r="90" spans="1:19" x14ac:dyDescent="0.25">
      <c r="A90" s="244">
        <v>9257002</v>
      </c>
      <c r="B90" s="237" t="s">
        <v>213</v>
      </c>
      <c r="C90" s="16">
        <f t="shared" si="7"/>
        <v>1257019.3371475358</v>
      </c>
      <c r="D90" s="2">
        <v>5</v>
      </c>
      <c r="E90" s="16">
        <f t="shared" si="8"/>
        <v>1184583.4149254134</v>
      </c>
      <c r="F90" s="2">
        <v>5</v>
      </c>
      <c r="M90" s="238">
        <v>9257002</v>
      </c>
      <c r="N90" s="16">
        <v>1172340.7669869612</v>
      </c>
      <c r="O90" s="16"/>
      <c r="P90" s="238">
        <v>9257002</v>
      </c>
      <c r="Q90" s="16">
        <v>1104784.459692602</v>
      </c>
      <c r="R90" s="16">
        <v>1184583.4149254134</v>
      </c>
      <c r="S90" s="16">
        <v>1257019.3371475358</v>
      </c>
    </row>
    <row r="91" spans="1:19" x14ac:dyDescent="0.25">
      <c r="A91" s="244">
        <v>9257021</v>
      </c>
      <c r="B91" s="237" t="s">
        <v>216</v>
      </c>
      <c r="C91" s="16">
        <f t="shared" si="7"/>
        <v>1489872.6774959087</v>
      </c>
      <c r="D91" s="2">
        <v>5.5</v>
      </c>
      <c r="E91" s="16">
        <f t="shared" si="8"/>
        <v>1503533.8617016419</v>
      </c>
      <c r="F91" s="2">
        <v>6</v>
      </c>
      <c r="M91" s="238">
        <v>9257009</v>
      </c>
      <c r="N91" s="16">
        <v>902898.55986347911</v>
      </c>
      <c r="O91" s="16"/>
      <c r="P91" s="238">
        <v>9257009</v>
      </c>
      <c r="Q91" s="16">
        <v>883992.68900339352</v>
      </c>
      <c r="R91" s="16">
        <v>924704.31136875646</v>
      </c>
      <c r="S91" s="16">
        <v>944480.87797612452</v>
      </c>
    </row>
    <row r="92" spans="1:19" x14ac:dyDescent="0.25">
      <c r="A92" s="244">
        <v>9257016</v>
      </c>
      <c r="B92" s="237" t="s">
        <v>219</v>
      </c>
      <c r="C92" s="16">
        <f t="shared" si="7"/>
        <v>1943937.3602233136</v>
      </c>
      <c r="D92" s="2">
        <v>6</v>
      </c>
      <c r="E92" s="16">
        <f t="shared" si="8"/>
        <v>2023513.7433903497</v>
      </c>
      <c r="F92" s="2">
        <v>6.5</v>
      </c>
      <c r="M92" s="238">
        <v>9257028</v>
      </c>
      <c r="N92" s="16">
        <v>1008463.5165552463</v>
      </c>
      <c r="O92" s="16"/>
      <c r="P92" s="238">
        <v>9257028</v>
      </c>
      <c r="Q92" s="16">
        <v>954381.8768661638</v>
      </c>
      <c r="R92" s="16">
        <v>983570.35499410029</v>
      </c>
      <c r="S92" s="16">
        <v>1039306.0084437662</v>
      </c>
    </row>
    <row r="93" spans="1:19" x14ac:dyDescent="0.25">
      <c r="A93" s="244">
        <v>9257015</v>
      </c>
      <c r="B93" s="237" t="s">
        <v>217</v>
      </c>
      <c r="C93" s="16">
        <f t="shared" si="7"/>
        <v>2175711.2592479717</v>
      </c>
      <c r="D93" s="2">
        <v>6.5</v>
      </c>
      <c r="E93" s="16">
        <f t="shared" si="8"/>
        <v>2363573.8780183787</v>
      </c>
      <c r="F93" s="2">
        <v>7</v>
      </c>
      <c r="M93" s="238">
        <v>9257021</v>
      </c>
      <c r="N93" s="16">
        <v>1418720.4265163103</v>
      </c>
      <c r="O93" s="16"/>
      <c r="P93" s="238">
        <v>9257021</v>
      </c>
      <c r="Q93" s="16">
        <v>1431729.1898662441</v>
      </c>
      <c r="R93" s="16">
        <v>1503533.8617016419</v>
      </c>
      <c r="S93" s="16">
        <v>1489872.6774959087</v>
      </c>
    </row>
    <row r="94" spans="1:19" x14ac:dyDescent="0.25">
      <c r="M94" s="238">
        <v>9257015</v>
      </c>
      <c r="N94" s="16">
        <v>2123363.4869011724</v>
      </c>
      <c r="O94" s="16"/>
      <c r="P94" s="238">
        <v>9257015</v>
      </c>
      <c r="Q94" s="16">
        <v>2306706.1172962538</v>
      </c>
      <c r="R94" s="16">
        <v>2363573.8780183787</v>
      </c>
      <c r="S94" s="16">
        <v>2175711.2592479717</v>
      </c>
    </row>
    <row r="95" spans="1:19" x14ac:dyDescent="0.25">
      <c r="M95" s="238">
        <v>9257016</v>
      </c>
      <c r="N95" s="16">
        <v>1889322.8756522837</v>
      </c>
      <c r="O95" s="16"/>
      <c r="P95" s="238">
        <v>9257016</v>
      </c>
      <c r="Q95" s="16">
        <v>1966663.5781643654</v>
      </c>
      <c r="R95" s="16">
        <v>2023513.7433903497</v>
      </c>
      <c r="S95" s="16">
        <v>1943937.3602233136</v>
      </c>
    </row>
    <row r="96" spans="1:19" x14ac:dyDescent="0.25">
      <c r="M96" s="238"/>
      <c r="N96" s="16"/>
      <c r="O96" s="16"/>
      <c r="P96" s="238"/>
      <c r="Q96" s="16"/>
      <c r="R96" s="16"/>
      <c r="S96" s="16"/>
    </row>
    <row r="97" spans="13:19" x14ac:dyDescent="0.25">
      <c r="M97" s="238">
        <v>9257031</v>
      </c>
      <c r="N97" s="16">
        <v>801579.50990629871</v>
      </c>
      <c r="O97" s="16"/>
      <c r="P97" s="238">
        <v>9257031</v>
      </c>
      <c r="Q97" s="16">
        <v>779052.6852719296</v>
      </c>
      <c r="R97" s="16">
        <v>961306.85193859623</v>
      </c>
      <c r="S97" s="16">
        <v>989103.67657296546</v>
      </c>
    </row>
    <row r="98" spans="13:19" x14ac:dyDescent="0.25">
      <c r="M98" s="238">
        <v>9257029</v>
      </c>
      <c r="N98" s="16">
        <v>471186.08193555265</v>
      </c>
      <c r="O98" s="16"/>
      <c r="P98" s="238">
        <v>9257029</v>
      </c>
      <c r="Q98" s="16">
        <v>489019.81810442812</v>
      </c>
      <c r="R98" s="16">
        <v>603422.73477109475</v>
      </c>
      <c r="S98" s="16">
        <v>581416.9152688859</v>
      </c>
    </row>
    <row r="99" spans="13:19" x14ac:dyDescent="0.25">
      <c r="M99" s="238">
        <v>9257032</v>
      </c>
      <c r="N99" s="16">
        <v>688945.3867344535</v>
      </c>
      <c r="O99" s="16"/>
      <c r="P99" s="238">
        <v>9257032</v>
      </c>
      <c r="Q99" s="16">
        <v>675804.73903107154</v>
      </c>
      <c r="R99" s="16">
        <v>833904.73903107154</v>
      </c>
      <c r="S99" s="16">
        <v>850119.55340112012</v>
      </c>
    </row>
    <row r="100" spans="13:19" x14ac:dyDescent="0.25">
      <c r="M100" s="238">
        <v>9257030</v>
      </c>
      <c r="N100" s="16">
        <v>788438.86220291676</v>
      </c>
      <c r="O100" s="16"/>
      <c r="P100" s="238">
        <v>9257030</v>
      </c>
      <c r="Q100" s="16">
        <v>764973.41987544904</v>
      </c>
      <c r="R100" s="16">
        <v>943933.83654211555</v>
      </c>
      <c r="S100" s="16">
        <v>972888.86220291676</v>
      </c>
    </row>
    <row r="101" spans="13:19" x14ac:dyDescent="0.25">
      <c r="M101" s="238"/>
      <c r="N101" s="16"/>
      <c r="O101" s="16"/>
      <c r="P101" s="238"/>
      <c r="Q101" s="16"/>
      <c r="R101" s="16"/>
      <c r="S101" s="16"/>
    </row>
    <row r="102" spans="13:19" x14ac:dyDescent="0.25">
      <c r="M102" s="238">
        <v>9257033</v>
      </c>
      <c r="N102" s="16">
        <v>834608.52674067696</v>
      </c>
      <c r="O102" s="16"/>
      <c r="P102" s="238">
        <v>9257033</v>
      </c>
      <c r="Q102" s="16">
        <v>682579.46424888074</v>
      </c>
      <c r="R102" s="16">
        <v>736956.2316865098</v>
      </c>
      <c r="S102" s="16">
        <v>901096.48328941432</v>
      </c>
    </row>
    <row r="103" spans="13:19" x14ac:dyDescent="0.25">
      <c r="M103" s="238">
        <v>9257034</v>
      </c>
      <c r="N103" s="16">
        <v>999212.12772013131</v>
      </c>
      <c r="O103" s="16"/>
      <c r="P103" s="238">
        <v>9257034</v>
      </c>
      <c r="Q103" s="16">
        <v>1048438.0193063436</v>
      </c>
      <c r="R103" s="16">
        <v>1137250.7431979529</v>
      </c>
      <c r="S103" s="16">
        <v>1083854.947967215</v>
      </c>
    </row>
  </sheetData>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C000"/>
  </sheetPr>
  <dimension ref="A2:W33"/>
  <sheetViews>
    <sheetView workbookViewId="0">
      <selection activeCell="C5" sqref="C5"/>
    </sheetView>
  </sheetViews>
  <sheetFormatPr defaultRowHeight="12.5" x14ac:dyDescent="0.25"/>
  <cols>
    <col min="2" max="2" width="39.453125" bestFit="1" customWidth="1"/>
    <col min="3" max="3" width="23.1796875" bestFit="1" customWidth="1"/>
    <col min="4" max="4" width="14.7265625" customWidth="1"/>
  </cols>
  <sheetData>
    <row r="2" spans="1:23" ht="13" thickBot="1" x14ac:dyDescent="0.3"/>
    <row r="3" spans="1:23" ht="80.5" x14ac:dyDescent="0.25">
      <c r="A3" s="141" t="s">
        <v>540</v>
      </c>
      <c r="B3" s="142" t="s">
        <v>541</v>
      </c>
      <c r="C3" s="143" t="s">
        <v>1298</v>
      </c>
      <c r="D3" s="143" t="s">
        <v>543</v>
      </c>
      <c r="F3" s="867"/>
      <c r="G3" s="1546" t="s">
        <v>580</v>
      </c>
      <c r="H3" s="1546"/>
      <c r="I3" s="1546"/>
      <c r="J3" s="1546"/>
      <c r="K3" s="1546"/>
      <c r="L3" s="1546"/>
      <c r="M3" s="1546"/>
      <c r="N3" s="1546" t="s">
        <v>1299</v>
      </c>
      <c r="O3" s="1546"/>
      <c r="P3" s="867" t="s">
        <v>1300</v>
      </c>
      <c r="Q3" s="867" t="s">
        <v>1301</v>
      </c>
      <c r="R3" s="868" t="s">
        <v>1302</v>
      </c>
      <c r="S3" s="867" t="s">
        <v>1303</v>
      </c>
      <c r="T3" s="869"/>
      <c r="U3" s="867" t="s">
        <v>1304</v>
      </c>
      <c r="V3" s="867" t="s">
        <v>1305</v>
      </c>
      <c r="W3" s="867" t="s">
        <v>1306</v>
      </c>
    </row>
    <row r="4" spans="1:23" x14ac:dyDescent="0.25">
      <c r="A4" s="156">
        <v>9257002</v>
      </c>
      <c r="B4" s="144" t="s">
        <v>544</v>
      </c>
      <c r="C4" s="445">
        <f>R4</f>
        <v>42</v>
      </c>
      <c r="D4" s="146">
        <f>($C$24*$C$25)*C4</f>
        <v>18851.7</v>
      </c>
      <c r="F4" s="870">
        <v>9257002</v>
      </c>
      <c r="G4" s="1545" t="s">
        <v>1307</v>
      </c>
      <c r="H4" s="1545"/>
      <c r="I4" s="1545"/>
      <c r="J4" s="1545"/>
      <c r="K4" s="1545"/>
      <c r="L4" s="1545"/>
      <c r="M4" s="1545"/>
      <c r="N4" s="1545" t="s">
        <v>1308</v>
      </c>
      <c r="O4" s="1545"/>
      <c r="P4" s="871">
        <v>151</v>
      </c>
      <c r="Q4" s="871">
        <v>61</v>
      </c>
      <c r="R4" s="872">
        <v>42</v>
      </c>
      <c r="S4" s="873">
        <v>0.40397350993377501</v>
      </c>
      <c r="T4" s="874"/>
      <c r="U4" s="871">
        <v>151</v>
      </c>
      <c r="V4" s="871">
        <v>61</v>
      </c>
      <c r="W4" s="873">
        <v>0.40397350993377501</v>
      </c>
    </row>
    <row r="5" spans="1:23" x14ac:dyDescent="0.25">
      <c r="A5" s="156">
        <v>9257005</v>
      </c>
      <c r="B5" s="144" t="s">
        <v>545</v>
      </c>
      <c r="C5" s="445">
        <f t="shared" ref="C5:C20" si="0">R5</f>
        <v>23</v>
      </c>
      <c r="D5" s="146">
        <f t="shared" ref="D5:D21" si="1">($C$24*$C$25)*C5</f>
        <v>10323.550000000001</v>
      </c>
      <c r="F5" s="870">
        <v>9257005</v>
      </c>
      <c r="G5" s="1545" t="s">
        <v>805</v>
      </c>
      <c r="H5" s="1545"/>
      <c r="I5" s="1545"/>
      <c r="J5" s="1545"/>
      <c r="K5" s="1545"/>
      <c r="L5" s="1545"/>
      <c r="M5" s="1545"/>
      <c r="N5" s="1545" t="s">
        <v>1308</v>
      </c>
      <c r="O5" s="1545"/>
      <c r="P5" s="875">
        <v>86</v>
      </c>
      <c r="Q5" s="875">
        <v>32</v>
      </c>
      <c r="R5" s="872">
        <v>23</v>
      </c>
      <c r="S5" s="873">
        <v>0.372093023255814</v>
      </c>
      <c r="T5" s="874"/>
      <c r="U5" s="875">
        <v>57</v>
      </c>
      <c r="V5" s="875">
        <v>20</v>
      </c>
      <c r="W5" s="873">
        <v>0.35087719298245601</v>
      </c>
    </row>
    <row r="6" spans="1:23" x14ac:dyDescent="0.25">
      <c r="A6" s="156">
        <v>9257008</v>
      </c>
      <c r="B6" s="144" t="s">
        <v>340</v>
      </c>
      <c r="C6" s="445">
        <f t="shared" si="0"/>
        <v>32</v>
      </c>
      <c r="D6" s="146">
        <f t="shared" si="1"/>
        <v>14363.2</v>
      </c>
      <c r="F6" s="870">
        <v>9257008</v>
      </c>
      <c r="G6" s="1545" t="s">
        <v>1309</v>
      </c>
      <c r="H6" s="1545"/>
      <c r="I6" s="1545"/>
      <c r="J6" s="1545"/>
      <c r="K6" s="1545"/>
      <c r="L6" s="1545"/>
      <c r="M6" s="1545"/>
      <c r="N6" s="1545" t="s">
        <v>1308</v>
      </c>
      <c r="O6" s="1545"/>
      <c r="P6" s="871">
        <v>99</v>
      </c>
      <c r="Q6" s="871">
        <v>41</v>
      </c>
      <c r="R6" s="872">
        <v>32</v>
      </c>
      <c r="S6" s="873">
        <v>0.41414141414141398</v>
      </c>
      <c r="T6" s="874"/>
      <c r="U6" s="871">
        <v>99</v>
      </c>
      <c r="V6" s="871">
        <v>41</v>
      </c>
      <c r="W6" s="873">
        <v>0.41414141414141398</v>
      </c>
    </row>
    <row r="7" spans="1:23" x14ac:dyDescent="0.25">
      <c r="A7" s="156">
        <v>9257009</v>
      </c>
      <c r="B7" s="144" t="s">
        <v>546</v>
      </c>
      <c r="C7" s="445">
        <f t="shared" si="0"/>
        <v>50</v>
      </c>
      <c r="D7" s="146">
        <f t="shared" si="1"/>
        <v>22442.5</v>
      </c>
      <c r="F7" s="870">
        <v>9257009</v>
      </c>
      <c r="G7" s="1545" t="s">
        <v>1310</v>
      </c>
      <c r="H7" s="1545"/>
      <c r="I7" s="1545"/>
      <c r="J7" s="1545"/>
      <c r="K7" s="1545"/>
      <c r="L7" s="1545"/>
      <c r="M7" s="1545"/>
      <c r="N7" s="1545" t="s">
        <v>1308</v>
      </c>
      <c r="O7" s="1545"/>
      <c r="P7" s="875">
        <v>135</v>
      </c>
      <c r="Q7" s="875">
        <v>52</v>
      </c>
      <c r="R7" s="872">
        <v>50</v>
      </c>
      <c r="S7" s="873">
        <v>0.38518518518518502</v>
      </c>
      <c r="T7" s="874"/>
      <c r="U7" s="875">
        <v>135</v>
      </c>
      <c r="V7" s="875">
        <v>52</v>
      </c>
      <c r="W7" s="873">
        <v>0.38518518518518502</v>
      </c>
    </row>
    <row r="8" spans="1:23" x14ac:dyDescent="0.25">
      <c r="A8" s="156">
        <v>9257010</v>
      </c>
      <c r="B8" s="144" t="s">
        <v>547</v>
      </c>
      <c r="C8" s="445">
        <f t="shared" si="0"/>
        <v>17</v>
      </c>
      <c r="D8" s="146">
        <f t="shared" si="1"/>
        <v>7630.4500000000007</v>
      </c>
      <c r="F8" s="870">
        <v>9257010</v>
      </c>
      <c r="G8" s="1545" t="s">
        <v>1311</v>
      </c>
      <c r="H8" s="1545"/>
      <c r="I8" s="1545"/>
      <c r="J8" s="1545"/>
      <c r="K8" s="1545"/>
      <c r="L8" s="1545"/>
      <c r="M8" s="1545"/>
      <c r="N8" s="1545" t="s">
        <v>1308</v>
      </c>
      <c r="O8" s="1545"/>
      <c r="P8" s="871">
        <v>65</v>
      </c>
      <c r="Q8" s="871">
        <v>27</v>
      </c>
      <c r="R8" s="872">
        <v>17</v>
      </c>
      <c r="S8" s="873">
        <v>0.41538461538461502</v>
      </c>
      <c r="T8" s="874"/>
      <c r="U8" s="871">
        <v>55</v>
      </c>
      <c r="V8" s="871">
        <v>20</v>
      </c>
      <c r="W8" s="873">
        <v>0.36363636363636398</v>
      </c>
    </row>
    <row r="9" spans="1:23" x14ac:dyDescent="0.25">
      <c r="A9" s="156">
        <v>9257011</v>
      </c>
      <c r="B9" s="144" t="s">
        <v>548</v>
      </c>
      <c r="C9" s="445">
        <f t="shared" si="0"/>
        <v>24</v>
      </c>
      <c r="D9" s="146">
        <f t="shared" si="1"/>
        <v>10772.400000000001</v>
      </c>
      <c r="F9" s="870">
        <v>9257011</v>
      </c>
      <c r="G9" s="1545" t="s">
        <v>1312</v>
      </c>
      <c r="H9" s="1545"/>
      <c r="I9" s="1545"/>
      <c r="J9" s="1545"/>
      <c r="K9" s="1545"/>
      <c r="L9" s="1545"/>
      <c r="M9" s="1545"/>
      <c r="N9" s="1545" t="s">
        <v>1308</v>
      </c>
      <c r="O9" s="1545"/>
      <c r="P9" s="875">
        <v>58</v>
      </c>
      <c r="Q9" s="875">
        <v>24</v>
      </c>
      <c r="R9" s="876">
        <v>24</v>
      </c>
      <c r="S9" s="873">
        <v>0.41379310344827602</v>
      </c>
      <c r="T9" s="874"/>
      <c r="U9" s="875">
        <v>48</v>
      </c>
      <c r="V9" s="875">
        <v>21</v>
      </c>
      <c r="W9" s="877">
        <v>0.4375</v>
      </c>
    </row>
    <row r="10" spans="1:23" x14ac:dyDescent="0.25">
      <c r="A10" s="156">
        <v>9257015</v>
      </c>
      <c r="B10" s="144" t="s">
        <v>549</v>
      </c>
      <c r="C10" s="445">
        <f t="shared" si="0"/>
        <v>48</v>
      </c>
      <c r="D10" s="146">
        <f t="shared" si="1"/>
        <v>21544.800000000003</v>
      </c>
      <c r="F10" s="870">
        <v>9257015</v>
      </c>
      <c r="G10" s="1545" t="s">
        <v>217</v>
      </c>
      <c r="H10" s="1545"/>
      <c r="I10" s="1545"/>
      <c r="J10" s="1545"/>
      <c r="K10" s="1545"/>
      <c r="L10" s="1545"/>
      <c r="M10" s="1545"/>
      <c r="N10" s="1545" t="s">
        <v>1308</v>
      </c>
      <c r="O10" s="1545"/>
      <c r="P10" s="875">
        <v>226</v>
      </c>
      <c r="Q10" s="875">
        <v>94</v>
      </c>
      <c r="R10" s="876">
        <v>48</v>
      </c>
      <c r="S10" s="873">
        <v>0.41592920353982299</v>
      </c>
      <c r="T10" s="874"/>
      <c r="U10" s="875">
        <v>221</v>
      </c>
      <c r="V10" s="875">
        <v>91</v>
      </c>
      <c r="W10" s="873">
        <v>0.41176470588235298</v>
      </c>
    </row>
    <row r="11" spans="1:23" x14ac:dyDescent="0.25">
      <c r="A11" s="156">
        <v>9257016</v>
      </c>
      <c r="B11" s="144" t="s">
        <v>550</v>
      </c>
      <c r="C11" s="445">
        <f t="shared" si="0"/>
        <v>48</v>
      </c>
      <c r="D11" s="146">
        <f t="shared" si="1"/>
        <v>21544.800000000003</v>
      </c>
      <c r="F11" s="870">
        <v>9257016</v>
      </c>
      <c r="G11" s="1545" t="s">
        <v>1313</v>
      </c>
      <c r="H11" s="1545"/>
      <c r="I11" s="1545"/>
      <c r="J11" s="1545"/>
      <c r="K11" s="1545"/>
      <c r="L11" s="1545"/>
      <c r="M11" s="1545"/>
      <c r="N11" s="1545" t="s">
        <v>1308</v>
      </c>
      <c r="O11" s="1545"/>
      <c r="P11" s="871">
        <v>160</v>
      </c>
      <c r="Q11" s="871">
        <v>67</v>
      </c>
      <c r="R11" s="872">
        <v>48</v>
      </c>
      <c r="S11" s="873">
        <v>0.41875000000000001</v>
      </c>
      <c r="T11" s="874"/>
      <c r="U11" s="871">
        <v>99</v>
      </c>
      <c r="V11" s="871">
        <v>36</v>
      </c>
      <c r="W11" s="873">
        <v>0.36363636363636398</v>
      </c>
    </row>
    <row r="12" spans="1:23" x14ac:dyDescent="0.25">
      <c r="A12" s="156">
        <v>9257021</v>
      </c>
      <c r="B12" s="144" t="s">
        <v>551</v>
      </c>
      <c r="C12" s="445">
        <f t="shared" si="0"/>
        <v>57</v>
      </c>
      <c r="D12" s="146">
        <f t="shared" si="1"/>
        <v>25584.45</v>
      </c>
      <c r="F12" s="870">
        <v>9257021</v>
      </c>
      <c r="G12" s="1545" t="s">
        <v>809</v>
      </c>
      <c r="H12" s="1545"/>
      <c r="I12" s="1545"/>
      <c r="J12" s="1545"/>
      <c r="K12" s="1545"/>
      <c r="L12" s="1545"/>
      <c r="M12" s="1545"/>
      <c r="N12" s="1545" t="s">
        <v>1308</v>
      </c>
      <c r="O12" s="1545"/>
      <c r="P12" s="875">
        <v>169</v>
      </c>
      <c r="Q12" s="875">
        <v>83</v>
      </c>
      <c r="R12" s="878">
        <v>57</v>
      </c>
      <c r="S12" s="877">
        <v>0.49112426035502998</v>
      </c>
      <c r="T12" s="874"/>
      <c r="U12" s="875">
        <v>169</v>
      </c>
      <c r="V12" s="875">
        <v>83</v>
      </c>
      <c r="W12" s="877">
        <v>0.49112426035502998</v>
      </c>
    </row>
    <row r="13" spans="1:23" x14ac:dyDescent="0.25">
      <c r="A13" s="156">
        <v>9257024</v>
      </c>
      <c r="B13" s="144" t="s">
        <v>552</v>
      </c>
      <c r="C13" s="445">
        <f t="shared" si="0"/>
        <v>22</v>
      </c>
      <c r="D13" s="146">
        <f t="shared" si="1"/>
        <v>9874.7000000000007</v>
      </c>
      <c r="F13" s="870">
        <v>9257024</v>
      </c>
      <c r="G13" s="1545" t="s">
        <v>552</v>
      </c>
      <c r="H13" s="1545"/>
      <c r="I13" s="1545"/>
      <c r="J13" s="1545"/>
      <c r="K13" s="1545"/>
      <c r="L13" s="1545"/>
      <c r="M13" s="1545"/>
      <c r="N13" s="1545" t="s">
        <v>1308</v>
      </c>
      <c r="O13" s="1545"/>
      <c r="P13" s="871">
        <v>84</v>
      </c>
      <c r="Q13" s="871">
        <v>31</v>
      </c>
      <c r="R13" s="876">
        <v>22</v>
      </c>
      <c r="S13" s="873">
        <v>0.36904761904761901</v>
      </c>
      <c r="T13" s="874"/>
      <c r="U13" s="871">
        <v>70</v>
      </c>
      <c r="V13" s="871">
        <v>27</v>
      </c>
      <c r="W13" s="873">
        <v>0.38571428571428601</v>
      </c>
    </row>
    <row r="14" spans="1:23" x14ac:dyDescent="0.25">
      <c r="A14" s="156">
        <v>9257025</v>
      </c>
      <c r="B14" s="144" t="s">
        <v>553</v>
      </c>
      <c r="C14" s="445">
        <f t="shared" si="0"/>
        <v>21</v>
      </c>
      <c r="D14" s="146">
        <f t="shared" si="1"/>
        <v>9425.85</v>
      </c>
      <c r="F14" s="870">
        <v>9257025</v>
      </c>
      <c r="G14" s="1545" t="s">
        <v>1314</v>
      </c>
      <c r="H14" s="1545"/>
      <c r="I14" s="1545"/>
      <c r="J14" s="1545"/>
      <c r="K14" s="1545"/>
      <c r="L14" s="1545"/>
      <c r="M14" s="1545"/>
      <c r="N14" s="1545" t="s">
        <v>1308</v>
      </c>
      <c r="O14" s="1545"/>
      <c r="P14" s="875">
        <v>78</v>
      </c>
      <c r="Q14" s="875">
        <v>37</v>
      </c>
      <c r="R14" s="878">
        <v>21</v>
      </c>
      <c r="S14" s="877">
        <v>0.47435897435897401</v>
      </c>
      <c r="T14" s="874"/>
      <c r="U14" s="875">
        <v>54</v>
      </c>
      <c r="V14" s="875">
        <v>27</v>
      </c>
      <c r="W14" s="877">
        <v>0.5</v>
      </c>
    </row>
    <row r="15" spans="1:23" x14ac:dyDescent="0.25">
      <c r="A15" s="156">
        <v>9257028</v>
      </c>
      <c r="B15" s="144" t="s">
        <v>554</v>
      </c>
      <c r="C15" s="445">
        <f t="shared" si="0"/>
        <v>32</v>
      </c>
      <c r="D15" s="146">
        <f t="shared" si="1"/>
        <v>14363.2</v>
      </c>
      <c r="F15" s="870">
        <v>9257028</v>
      </c>
      <c r="G15" s="1545" t="s">
        <v>1315</v>
      </c>
      <c r="H15" s="1545"/>
      <c r="I15" s="1545"/>
      <c r="J15" s="1545"/>
      <c r="K15" s="1545"/>
      <c r="L15" s="1545"/>
      <c r="M15" s="1545"/>
      <c r="N15" s="1545" t="s">
        <v>1308</v>
      </c>
      <c r="O15" s="1545"/>
      <c r="P15" s="871">
        <v>111</v>
      </c>
      <c r="Q15" s="871">
        <v>33</v>
      </c>
      <c r="R15" s="872">
        <v>32</v>
      </c>
      <c r="S15" s="879">
        <v>0.29729729729729698</v>
      </c>
      <c r="T15" s="874"/>
      <c r="U15" s="871">
        <v>104</v>
      </c>
      <c r="V15" s="871">
        <v>31</v>
      </c>
      <c r="W15" s="879">
        <v>0.29807692307692302</v>
      </c>
    </row>
    <row r="16" spans="1:23" x14ac:dyDescent="0.25">
      <c r="A16" s="156">
        <v>9257029</v>
      </c>
      <c r="B16" s="144" t="s">
        <v>890</v>
      </c>
      <c r="C16" s="445">
        <f t="shared" si="0"/>
        <v>23</v>
      </c>
      <c r="D16" s="146">
        <f t="shared" si="1"/>
        <v>10323.550000000001</v>
      </c>
      <c r="F16" s="870">
        <v>9257029</v>
      </c>
      <c r="G16" s="1545" t="s">
        <v>890</v>
      </c>
      <c r="H16" s="1545"/>
      <c r="I16" s="1545"/>
      <c r="J16" s="1545"/>
      <c r="K16" s="1545"/>
      <c r="L16" s="1545"/>
      <c r="M16" s="1545"/>
      <c r="N16" s="1545" t="s">
        <v>1308</v>
      </c>
      <c r="O16" s="1545"/>
      <c r="P16" s="875">
        <v>67</v>
      </c>
      <c r="Q16" s="875">
        <v>18</v>
      </c>
      <c r="R16" s="872">
        <v>23</v>
      </c>
      <c r="S16" s="879">
        <v>0.26865671641791</v>
      </c>
      <c r="T16" s="874"/>
      <c r="U16" s="875">
        <v>67</v>
      </c>
      <c r="V16" s="875">
        <v>18</v>
      </c>
      <c r="W16" s="879">
        <v>0.26865671641791</v>
      </c>
    </row>
    <row r="17" spans="1:23" x14ac:dyDescent="0.25">
      <c r="A17" s="156">
        <v>9257030</v>
      </c>
      <c r="B17" s="144" t="s">
        <v>815</v>
      </c>
      <c r="C17" s="445">
        <f t="shared" si="0"/>
        <v>20</v>
      </c>
      <c r="D17" s="146">
        <f t="shared" si="1"/>
        <v>8977</v>
      </c>
      <c r="F17" s="870">
        <v>9257030</v>
      </c>
      <c r="G17" s="1545" t="s">
        <v>815</v>
      </c>
      <c r="H17" s="1545"/>
      <c r="I17" s="1545"/>
      <c r="J17" s="1545"/>
      <c r="K17" s="1545"/>
      <c r="L17" s="1545"/>
      <c r="M17" s="1545"/>
      <c r="N17" s="1545" t="s">
        <v>1308</v>
      </c>
      <c r="O17" s="1545"/>
      <c r="P17" s="871">
        <v>72</v>
      </c>
      <c r="Q17" s="871">
        <v>20</v>
      </c>
      <c r="R17" s="872">
        <v>20</v>
      </c>
      <c r="S17" s="879">
        <v>0.27777777777777801</v>
      </c>
      <c r="T17" s="874"/>
      <c r="U17" s="871">
        <v>72</v>
      </c>
      <c r="V17" s="871">
        <v>20</v>
      </c>
      <c r="W17" s="879">
        <v>0.27777777777777801</v>
      </c>
    </row>
    <row r="18" spans="1:23" x14ac:dyDescent="0.25">
      <c r="A18" s="156">
        <v>9257031</v>
      </c>
      <c r="B18" s="144" t="s">
        <v>557</v>
      </c>
      <c r="C18" s="445">
        <f t="shared" si="0"/>
        <v>47</v>
      </c>
      <c r="D18" s="146">
        <f t="shared" si="1"/>
        <v>21095.95</v>
      </c>
      <c r="F18" s="870">
        <v>9257031</v>
      </c>
      <c r="G18" s="1545" t="s">
        <v>557</v>
      </c>
      <c r="H18" s="1545"/>
      <c r="I18" s="1545"/>
      <c r="J18" s="1545"/>
      <c r="K18" s="1545"/>
      <c r="L18" s="1545"/>
      <c r="M18" s="1545"/>
      <c r="N18" s="1545" t="s">
        <v>1308</v>
      </c>
      <c r="O18" s="1545"/>
      <c r="P18" s="875">
        <v>81</v>
      </c>
      <c r="Q18" s="875">
        <v>48</v>
      </c>
      <c r="R18" s="872">
        <v>47</v>
      </c>
      <c r="S18" s="877">
        <v>0.592592592592593</v>
      </c>
      <c r="T18" s="874"/>
      <c r="U18" s="875">
        <v>81</v>
      </c>
      <c r="V18" s="875">
        <v>48</v>
      </c>
      <c r="W18" s="877">
        <v>0.592592592592593</v>
      </c>
    </row>
    <row r="19" spans="1:23" x14ac:dyDescent="0.25">
      <c r="A19" s="156">
        <v>9257032</v>
      </c>
      <c r="B19" s="144" t="s">
        <v>1191</v>
      </c>
      <c r="C19" s="445">
        <f t="shared" si="0"/>
        <v>43</v>
      </c>
      <c r="D19" s="146">
        <f t="shared" si="1"/>
        <v>19300.55</v>
      </c>
      <c r="F19" s="870">
        <v>9257032</v>
      </c>
      <c r="G19" s="1545" t="s">
        <v>813</v>
      </c>
      <c r="H19" s="1545"/>
      <c r="I19" s="1545"/>
      <c r="J19" s="1545"/>
      <c r="K19" s="1545"/>
      <c r="L19" s="1545"/>
      <c r="M19" s="1545"/>
      <c r="N19" s="1545" t="s">
        <v>1308</v>
      </c>
      <c r="O19" s="1545"/>
      <c r="P19" s="871">
        <v>96</v>
      </c>
      <c r="Q19" s="871">
        <v>43</v>
      </c>
      <c r="R19" s="872">
        <v>43</v>
      </c>
      <c r="S19" s="877">
        <v>0.44791666666666702</v>
      </c>
      <c r="T19" s="874"/>
      <c r="U19" s="871">
        <v>96</v>
      </c>
      <c r="V19" s="871">
        <v>43</v>
      </c>
      <c r="W19" s="877">
        <v>0.44791666666666702</v>
      </c>
    </row>
    <row r="20" spans="1:23" x14ac:dyDescent="0.25">
      <c r="A20" s="156">
        <v>9257033</v>
      </c>
      <c r="B20" s="144" t="s">
        <v>559</v>
      </c>
      <c r="C20" s="445">
        <f t="shared" si="0"/>
        <v>49</v>
      </c>
      <c r="D20" s="146">
        <f t="shared" si="1"/>
        <v>21993.65</v>
      </c>
      <c r="F20" s="870">
        <v>9257033</v>
      </c>
      <c r="G20" s="1545" t="s">
        <v>1316</v>
      </c>
      <c r="H20" s="1545"/>
      <c r="I20" s="1545"/>
      <c r="J20" s="1545"/>
      <c r="K20" s="1545"/>
      <c r="L20" s="1545"/>
      <c r="M20" s="1545"/>
      <c r="N20" s="1545" t="s">
        <v>1308</v>
      </c>
      <c r="O20" s="1545"/>
      <c r="P20" s="875">
        <v>95</v>
      </c>
      <c r="Q20" s="875">
        <v>56</v>
      </c>
      <c r="R20" s="872">
        <v>49</v>
      </c>
      <c r="S20" s="877">
        <v>0.58947368421052604</v>
      </c>
      <c r="T20" s="874"/>
      <c r="U20" s="875">
        <v>95</v>
      </c>
      <c r="V20" s="875">
        <v>56</v>
      </c>
      <c r="W20" s="877">
        <v>0.58947368421052604</v>
      </c>
    </row>
    <row r="21" spans="1:23" ht="13" thickBot="1" x14ac:dyDescent="0.3">
      <c r="A21" s="157">
        <v>9257034</v>
      </c>
      <c r="B21" s="147" t="s">
        <v>560</v>
      </c>
      <c r="C21" s="445">
        <v>47</v>
      </c>
      <c r="D21" s="149">
        <f t="shared" si="1"/>
        <v>21095.95</v>
      </c>
      <c r="F21" s="870">
        <v>9257034</v>
      </c>
      <c r="G21" s="1545" t="s">
        <v>1317</v>
      </c>
      <c r="H21" s="1545"/>
      <c r="I21" s="1545"/>
      <c r="J21" s="1545"/>
      <c r="K21" s="1545"/>
      <c r="L21" s="1545"/>
      <c r="M21" s="1545"/>
      <c r="N21" s="1545" t="s">
        <v>1308</v>
      </c>
      <c r="O21" s="1545"/>
      <c r="P21" s="871">
        <v>120</v>
      </c>
      <c r="Q21" s="871">
        <v>55</v>
      </c>
      <c r="R21" s="872">
        <v>27</v>
      </c>
      <c r="S21" s="877">
        <v>0.45833333333333298</v>
      </c>
      <c r="T21" s="880"/>
      <c r="U21" s="871">
        <v>89</v>
      </c>
      <c r="V21" s="871">
        <v>36</v>
      </c>
      <c r="W21" s="873">
        <v>0.40449438202247201</v>
      </c>
    </row>
    <row r="22" spans="1:23" x14ac:dyDescent="0.25">
      <c r="A22" s="150"/>
      <c r="B22" s="151"/>
      <c r="C22" s="150"/>
      <c r="D22" s="152"/>
      <c r="F22" s="870">
        <v>9257012</v>
      </c>
      <c r="G22" s="1545" t="s">
        <v>706</v>
      </c>
      <c r="H22" s="1545"/>
      <c r="I22" s="1545"/>
      <c r="J22" s="1545"/>
      <c r="K22" s="1545"/>
      <c r="L22" s="1545"/>
      <c r="M22" s="1545"/>
      <c r="N22" s="1545" t="s">
        <v>1308</v>
      </c>
      <c r="O22" s="1545"/>
      <c r="P22" s="871">
        <v>25</v>
      </c>
      <c r="Q22" s="871">
        <v>9</v>
      </c>
      <c r="R22" s="876">
        <v>28</v>
      </c>
      <c r="S22" s="873">
        <v>0.36</v>
      </c>
      <c r="T22" s="874"/>
      <c r="U22" s="871">
        <v>25</v>
      </c>
      <c r="V22" s="871">
        <v>9</v>
      </c>
      <c r="W22" s="873">
        <v>0.36</v>
      </c>
    </row>
    <row r="23" spans="1:23" ht="13" thickBot="1" x14ac:dyDescent="0.3">
      <c r="A23" s="150"/>
      <c r="B23" s="151"/>
      <c r="C23" s="150"/>
      <c r="D23" s="155">
        <f>SUM(D4:D21)</f>
        <v>289508.25000000006</v>
      </c>
    </row>
    <row r="24" spans="1:23" x14ac:dyDescent="0.25">
      <c r="A24" s="150"/>
      <c r="B24" s="153" t="s">
        <v>561</v>
      </c>
      <c r="C24" s="154">
        <v>2.35</v>
      </c>
      <c r="D24" s="151"/>
    </row>
    <row r="25" spans="1:23" x14ac:dyDescent="0.25">
      <c r="A25" s="150"/>
      <c r="B25" s="153" t="s">
        <v>562</v>
      </c>
      <c r="C25" s="452">
        <v>191</v>
      </c>
      <c r="D25" s="151"/>
    </row>
    <row r="26" spans="1:23" x14ac:dyDescent="0.25">
      <c r="A26" s="150"/>
      <c r="B26" s="151"/>
      <c r="C26" s="150"/>
      <c r="D26" s="151"/>
    </row>
    <row r="28" spans="1:23" x14ac:dyDescent="0.25">
      <c r="C28" s="289" t="s">
        <v>1192</v>
      </c>
      <c r="D28" s="16">
        <v>251805</v>
      </c>
    </row>
    <row r="29" spans="1:23" x14ac:dyDescent="0.25">
      <c r="D29" s="16"/>
    </row>
    <row r="30" spans="1:23" x14ac:dyDescent="0.25">
      <c r="C30" s="289" t="s">
        <v>564</v>
      </c>
      <c r="D30" s="16">
        <f>D23-D28</f>
        <v>37703.250000000058</v>
      </c>
    </row>
    <row r="33" spans="2:2" x14ac:dyDescent="0.25">
      <c r="B33" s="182" t="s">
        <v>1318</v>
      </c>
    </row>
  </sheetData>
  <mergeCells count="40">
    <mergeCell ref="G3:M3"/>
    <mergeCell ref="N3:O3"/>
    <mergeCell ref="G4:M4"/>
    <mergeCell ref="N4:O4"/>
    <mergeCell ref="G5:M5"/>
    <mergeCell ref="N5:O5"/>
    <mergeCell ref="G6:M6"/>
    <mergeCell ref="N6:O6"/>
    <mergeCell ref="G7:M7"/>
    <mergeCell ref="N7:O7"/>
    <mergeCell ref="G8:M8"/>
    <mergeCell ref="N8:O8"/>
    <mergeCell ref="G9:M9"/>
    <mergeCell ref="N9:O9"/>
    <mergeCell ref="G22:M22"/>
    <mergeCell ref="N22:O22"/>
    <mergeCell ref="G10:M10"/>
    <mergeCell ref="N10:O10"/>
    <mergeCell ref="G11:M11"/>
    <mergeCell ref="N11:O11"/>
    <mergeCell ref="G12:M12"/>
    <mergeCell ref="N12:O12"/>
    <mergeCell ref="G13:M13"/>
    <mergeCell ref="N13:O13"/>
    <mergeCell ref="G14:M14"/>
    <mergeCell ref="N14:O14"/>
    <mergeCell ref="G15:M15"/>
    <mergeCell ref="N15:O15"/>
    <mergeCell ref="G16:M16"/>
    <mergeCell ref="N16:O16"/>
    <mergeCell ref="G20:M20"/>
    <mergeCell ref="N20:O20"/>
    <mergeCell ref="G21:M21"/>
    <mergeCell ref="N21:O21"/>
    <mergeCell ref="G17:M17"/>
    <mergeCell ref="N17:O17"/>
    <mergeCell ref="G18:M18"/>
    <mergeCell ref="N18:O18"/>
    <mergeCell ref="G19:M19"/>
    <mergeCell ref="N19:O19"/>
  </mergeCells>
  <pageMargins left="0.7" right="0.7" top="0.75" bottom="0.75" header="0.3" footer="0.3"/>
  <pageSetup paperSize="9" orientation="portrait" r:id="rId1"/>
  <legacy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915AE-1EB3-4C74-9266-A45FFCEABF48}">
  <sheetPr>
    <tabColor theme="8" tint="0.39997558519241921"/>
  </sheetPr>
  <dimension ref="A2:R32"/>
  <sheetViews>
    <sheetView topLeftCell="A8" workbookViewId="0">
      <selection activeCell="C31" sqref="C31"/>
    </sheetView>
  </sheetViews>
  <sheetFormatPr defaultRowHeight="12.5" x14ac:dyDescent="0.25"/>
  <cols>
    <col min="2" max="2" width="39.453125" bestFit="1" customWidth="1"/>
    <col min="3" max="3" width="23.1796875" bestFit="1" customWidth="1"/>
    <col min="4" max="4" width="14.7265625" customWidth="1"/>
  </cols>
  <sheetData>
    <row r="2" spans="1:18" ht="13" thickBot="1" x14ac:dyDescent="0.3">
      <c r="R2" s="1089"/>
    </row>
    <row r="3" spans="1:18" ht="69" customHeight="1" x14ac:dyDescent="0.25">
      <c r="A3" s="141" t="s">
        <v>540</v>
      </c>
      <c r="B3" s="142" t="s">
        <v>541</v>
      </c>
      <c r="C3" s="143" t="s">
        <v>1319</v>
      </c>
      <c r="D3" s="143" t="s">
        <v>543</v>
      </c>
      <c r="F3" s="1090" t="s">
        <v>182</v>
      </c>
      <c r="G3" s="1547" t="s">
        <v>580</v>
      </c>
      <c r="H3" s="1548"/>
      <c r="I3" s="1548"/>
      <c r="J3" s="1548"/>
      <c r="K3" s="1548"/>
      <c r="L3" s="1548"/>
      <c r="M3" s="1549"/>
      <c r="N3" s="1547" t="s">
        <v>1299</v>
      </c>
      <c r="O3" s="1549"/>
      <c r="P3" s="1090" t="s">
        <v>1300</v>
      </c>
      <c r="Q3" s="1091" t="s">
        <v>1301</v>
      </c>
      <c r="R3" s="1091" t="s">
        <v>1320</v>
      </c>
    </row>
    <row r="4" spans="1:18" x14ac:dyDescent="0.25">
      <c r="A4" s="156">
        <v>9257002</v>
      </c>
      <c r="B4" s="144" t="s">
        <v>544</v>
      </c>
      <c r="C4" s="1334">
        <v>52</v>
      </c>
      <c r="D4" s="146">
        <f t="shared" ref="D4:D20" si="0">($C$23*$C$24)*C4</f>
        <v>24996.399999999998</v>
      </c>
      <c r="F4" s="803">
        <v>9257002</v>
      </c>
      <c r="G4" s="1550" t="s">
        <v>1307</v>
      </c>
      <c r="H4" s="1551"/>
      <c r="I4" s="1551"/>
      <c r="J4" s="1551"/>
      <c r="K4" s="1551"/>
      <c r="L4" s="1551"/>
      <c r="M4" s="1552"/>
      <c r="N4" s="1553" t="s">
        <v>1308</v>
      </c>
      <c r="O4" s="1553"/>
      <c r="P4" s="803">
        <v>157</v>
      </c>
      <c r="Q4" s="803">
        <v>63</v>
      </c>
      <c r="R4" s="1092">
        <v>41</v>
      </c>
    </row>
    <row r="5" spans="1:18" x14ac:dyDescent="0.25">
      <c r="A5" s="156">
        <v>9257005</v>
      </c>
      <c r="B5" s="144" t="s">
        <v>545</v>
      </c>
      <c r="C5" s="1334">
        <v>22</v>
      </c>
      <c r="D5" s="146">
        <f t="shared" si="0"/>
        <v>10575.4</v>
      </c>
      <c r="F5" s="803">
        <v>9257005</v>
      </c>
      <c r="G5" s="1550" t="s">
        <v>805</v>
      </c>
      <c r="H5" s="1551"/>
      <c r="I5" s="1551"/>
      <c r="J5" s="1551"/>
      <c r="K5" s="1551"/>
      <c r="L5" s="1551"/>
      <c r="M5" s="1552"/>
      <c r="N5" s="1553" t="s">
        <v>1308</v>
      </c>
      <c r="O5" s="1553"/>
      <c r="P5" s="803">
        <v>89</v>
      </c>
      <c r="Q5" s="803">
        <v>37</v>
      </c>
      <c r="R5" s="1092">
        <v>28</v>
      </c>
    </row>
    <row r="6" spans="1:18" x14ac:dyDescent="0.25">
      <c r="A6" s="156">
        <v>9257008</v>
      </c>
      <c r="B6" s="144" t="s">
        <v>340</v>
      </c>
      <c r="C6" s="1334">
        <v>35</v>
      </c>
      <c r="D6" s="146">
        <f t="shared" si="0"/>
        <v>16824.5</v>
      </c>
      <c r="F6" s="803">
        <v>9257008</v>
      </c>
      <c r="G6" s="1550" t="s">
        <v>1309</v>
      </c>
      <c r="H6" s="1551"/>
      <c r="I6" s="1551"/>
      <c r="J6" s="1551"/>
      <c r="K6" s="1551"/>
      <c r="L6" s="1551"/>
      <c r="M6" s="1552"/>
      <c r="N6" s="1553" t="s">
        <v>1308</v>
      </c>
      <c r="O6" s="1553"/>
      <c r="P6" s="803">
        <v>101</v>
      </c>
      <c r="Q6" s="803">
        <v>43</v>
      </c>
      <c r="R6" s="1092">
        <v>26</v>
      </c>
    </row>
    <row r="7" spans="1:18" x14ac:dyDescent="0.25">
      <c r="A7" s="156">
        <v>9257009</v>
      </c>
      <c r="B7" s="1320" t="s">
        <v>546</v>
      </c>
      <c r="C7" s="1334">
        <v>49</v>
      </c>
      <c r="D7" s="146">
        <f t="shared" si="0"/>
        <v>23554.3</v>
      </c>
      <c r="F7" s="803">
        <v>9257009</v>
      </c>
      <c r="G7" s="1550" t="s">
        <v>1310</v>
      </c>
      <c r="H7" s="1551"/>
      <c r="I7" s="1551"/>
      <c r="J7" s="1551"/>
      <c r="K7" s="1551"/>
      <c r="L7" s="1551"/>
      <c r="M7" s="1552"/>
      <c r="N7" s="1553" t="s">
        <v>1308</v>
      </c>
      <c r="O7" s="1553"/>
      <c r="P7" s="803">
        <v>139</v>
      </c>
      <c r="Q7" s="803">
        <v>61</v>
      </c>
      <c r="R7" s="1092">
        <v>37</v>
      </c>
    </row>
    <row r="8" spans="1:18" x14ac:dyDescent="0.25">
      <c r="A8" s="156">
        <v>9257010</v>
      </c>
      <c r="B8" s="144" t="s">
        <v>547</v>
      </c>
      <c r="C8" s="1334">
        <v>48</v>
      </c>
      <c r="D8" s="146">
        <f t="shared" si="0"/>
        <v>23073.599999999999</v>
      </c>
      <c r="F8" s="803">
        <v>9257010</v>
      </c>
      <c r="G8" s="1550" t="s">
        <v>1311</v>
      </c>
      <c r="H8" s="1551"/>
      <c r="I8" s="1551"/>
      <c r="J8" s="1551"/>
      <c r="K8" s="1551"/>
      <c r="L8" s="1551"/>
      <c r="M8" s="1552"/>
      <c r="N8" s="1553" t="s">
        <v>1308</v>
      </c>
      <c r="O8" s="1553"/>
      <c r="P8" s="803">
        <v>101</v>
      </c>
      <c r="Q8" s="803">
        <v>40</v>
      </c>
      <c r="R8" s="1092">
        <v>40</v>
      </c>
    </row>
    <row r="9" spans="1:18" x14ac:dyDescent="0.25">
      <c r="A9" s="156">
        <v>9257015</v>
      </c>
      <c r="B9" s="144" t="s">
        <v>549</v>
      </c>
      <c r="C9" s="1334">
        <v>124</v>
      </c>
      <c r="D9" s="146">
        <f t="shared" si="0"/>
        <v>59606.799999999996</v>
      </c>
      <c r="F9" s="803">
        <v>9257015</v>
      </c>
      <c r="G9" s="1550" t="s">
        <v>217</v>
      </c>
      <c r="H9" s="1551"/>
      <c r="I9" s="1551"/>
      <c r="J9" s="1551"/>
      <c r="K9" s="1551"/>
      <c r="L9" s="1551"/>
      <c r="M9" s="1552"/>
      <c r="N9" s="1553" t="s">
        <v>1308</v>
      </c>
      <c r="O9" s="1553"/>
      <c r="P9" s="803">
        <v>224</v>
      </c>
      <c r="Q9" s="803">
        <v>105</v>
      </c>
      <c r="R9" s="1092">
        <v>73</v>
      </c>
    </row>
    <row r="10" spans="1:18" x14ac:dyDescent="0.25">
      <c r="A10" s="156">
        <v>9257016</v>
      </c>
      <c r="B10" s="144" t="s">
        <v>550</v>
      </c>
      <c r="C10" s="1334">
        <v>43</v>
      </c>
      <c r="D10" s="146">
        <f t="shared" si="0"/>
        <v>20670.099999999999</v>
      </c>
      <c r="F10" s="803">
        <v>9257016</v>
      </c>
      <c r="G10" s="1550" t="s">
        <v>1313</v>
      </c>
      <c r="H10" s="1551"/>
      <c r="I10" s="1551"/>
      <c r="J10" s="1551"/>
      <c r="K10" s="1551"/>
      <c r="L10" s="1551"/>
      <c r="M10" s="1552"/>
      <c r="N10" s="1553" t="s">
        <v>1308</v>
      </c>
      <c r="O10" s="1553"/>
      <c r="P10" s="803">
        <v>163</v>
      </c>
      <c r="Q10" s="803">
        <v>62</v>
      </c>
      <c r="R10" s="1092">
        <v>47</v>
      </c>
    </row>
    <row r="11" spans="1:18" x14ac:dyDescent="0.25">
      <c r="A11" s="156">
        <v>9257021</v>
      </c>
      <c r="B11" s="144" t="s">
        <v>551</v>
      </c>
      <c r="C11" s="1334">
        <v>65</v>
      </c>
      <c r="D11" s="146">
        <f t="shared" si="0"/>
        <v>31245.5</v>
      </c>
      <c r="F11" s="803">
        <v>9257021</v>
      </c>
      <c r="G11" s="1550" t="s">
        <v>809</v>
      </c>
      <c r="H11" s="1551"/>
      <c r="I11" s="1551"/>
      <c r="J11" s="1551"/>
      <c r="K11" s="1551"/>
      <c r="L11" s="1551"/>
      <c r="M11" s="1552"/>
      <c r="N11" s="1553" t="s">
        <v>1308</v>
      </c>
      <c r="O11" s="1553"/>
      <c r="P11" s="803">
        <v>178</v>
      </c>
      <c r="Q11" s="803">
        <v>90</v>
      </c>
      <c r="R11" s="1092">
        <v>54</v>
      </c>
    </row>
    <row r="12" spans="1:18" x14ac:dyDescent="0.25">
      <c r="A12" s="156">
        <v>9257024</v>
      </c>
      <c r="B12" s="144" t="s">
        <v>552</v>
      </c>
      <c r="C12" s="1334">
        <v>30</v>
      </c>
      <c r="D12" s="146">
        <f t="shared" si="0"/>
        <v>14421</v>
      </c>
      <c r="F12" s="803">
        <v>9257024</v>
      </c>
      <c r="G12" s="1550" t="s">
        <v>552</v>
      </c>
      <c r="H12" s="1551"/>
      <c r="I12" s="1551"/>
      <c r="J12" s="1551"/>
      <c r="K12" s="1551"/>
      <c r="L12" s="1551"/>
      <c r="M12" s="1552"/>
      <c r="N12" s="1553" t="s">
        <v>1308</v>
      </c>
      <c r="O12" s="1553"/>
      <c r="P12" s="803">
        <v>85</v>
      </c>
      <c r="Q12" s="803">
        <v>35</v>
      </c>
      <c r="R12" s="1092">
        <v>35</v>
      </c>
    </row>
    <row r="13" spans="1:18" x14ac:dyDescent="0.25">
      <c r="A13" s="156">
        <v>9257025</v>
      </c>
      <c r="B13" s="144" t="s">
        <v>553</v>
      </c>
      <c r="C13" s="1334">
        <v>41</v>
      </c>
      <c r="D13" s="146">
        <f t="shared" si="0"/>
        <v>19708.7</v>
      </c>
      <c r="F13" s="803">
        <v>9257025</v>
      </c>
      <c r="G13" s="1550" t="s">
        <v>1314</v>
      </c>
      <c r="H13" s="1551"/>
      <c r="I13" s="1551"/>
      <c r="J13" s="1551"/>
      <c r="K13" s="1551"/>
      <c r="L13" s="1551"/>
      <c r="M13" s="1552"/>
      <c r="N13" s="1553" t="s">
        <v>1308</v>
      </c>
      <c r="O13" s="1553"/>
      <c r="P13" s="803">
        <v>82</v>
      </c>
      <c r="Q13" s="803">
        <v>39</v>
      </c>
      <c r="R13" s="1092">
        <v>27</v>
      </c>
    </row>
    <row r="14" spans="1:18" x14ac:dyDescent="0.25">
      <c r="A14" s="156">
        <v>9257028</v>
      </c>
      <c r="B14" s="144" t="s">
        <v>554</v>
      </c>
      <c r="C14" s="1334">
        <v>25</v>
      </c>
      <c r="D14" s="146">
        <f t="shared" si="0"/>
        <v>12017.5</v>
      </c>
      <c r="F14" s="803">
        <v>9257028</v>
      </c>
      <c r="G14" s="1550" t="s">
        <v>1315</v>
      </c>
      <c r="H14" s="1551"/>
      <c r="I14" s="1551"/>
      <c r="J14" s="1551"/>
      <c r="K14" s="1551"/>
      <c r="L14" s="1551"/>
      <c r="M14" s="1552"/>
      <c r="N14" s="1553" t="s">
        <v>1308</v>
      </c>
      <c r="O14" s="1553"/>
      <c r="P14" s="803">
        <v>127</v>
      </c>
      <c r="Q14" s="803">
        <v>37</v>
      </c>
      <c r="R14" s="1092">
        <v>26</v>
      </c>
    </row>
    <row r="15" spans="1:18" x14ac:dyDescent="0.25">
      <c r="A15" s="156">
        <v>9257029</v>
      </c>
      <c r="B15" s="144" t="s">
        <v>890</v>
      </c>
      <c r="C15" s="1334">
        <v>24</v>
      </c>
      <c r="D15" s="146">
        <f t="shared" si="0"/>
        <v>11536.8</v>
      </c>
      <c r="F15" s="803">
        <v>9257029</v>
      </c>
      <c r="G15" s="1550" t="s">
        <v>890</v>
      </c>
      <c r="H15" s="1551"/>
      <c r="I15" s="1551"/>
      <c r="J15" s="1551"/>
      <c r="K15" s="1551"/>
      <c r="L15" s="1551"/>
      <c r="M15" s="1552"/>
      <c r="N15" s="1553" t="s">
        <v>1308</v>
      </c>
      <c r="O15" s="1553"/>
      <c r="P15" s="803">
        <v>75</v>
      </c>
      <c r="Q15" s="803">
        <v>36</v>
      </c>
      <c r="R15" s="1092">
        <v>32</v>
      </c>
    </row>
    <row r="16" spans="1:18" x14ac:dyDescent="0.25">
      <c r="A16" s="156">
        <v>9257030</v>
      </c>
      <c r="B16" s="144" t="s">
        <v>815</v>
      </c>
      <c r="C16" s="1334">
        <v>30</v>
      </c>
      <c r="D16" s="146">
        <f t="shared" si="0"/>
        <v>14421</v>
      </c>
      <c r="F16" s="803">
        <v>9257030</v>
      </c>
      <c r="G16" s="1550" t="s">
        <v>815</v>
      </c>
      <c r="H16" s="1551"/>
      <c r="I16" s="1551"/>
      <c r="J16" s="1551"/>
      <c r="K16" s="1551"/>
      <c r="L16" s="1551"/>
      <c r="M16" s="1552"/>
      <c r="N16" s="1553" t="s">
        <v>1308</v>
      </c>
      <c r="O16" s="1553"/>
      <c r="P16" s="803">
        <v>70</v>
      </c>
      <c r="Q16" s="803">
        <v>35</v>
      </c>
      <c r="R16" s="1092">
        <v>35</v>
      </c>
    </row>
    <row r="17" spans="1:18" x14ac:dyDescent="0.25">
      <c r="A17" s="156">
        <v>9257031</v>
      </c>
      <c r="B17" s="144" t="s">
        <v>557</v>
      </c>
      <c r="C17" s="1334">
        <v>44</v>
      </c>
      <c r="D17" s="146">
        <f t="shared" si="0"/>
        <v>21150.799999999999</v>
      </c>
      <c r="F17" s="803">
        <v>9257031</v>
      </c>
      <c r="G17" s="1550" t="s">
        <v>557</v>
      </c>
      <c r="H17" s="1551"/>
      <c r="I17" s="1551"/>
      <c r="J17" s="1551"/>
      <c r="K17" s="1551"/>
      <c r="L17" s="1551"/>
      <c r="M17" s="1552"/>
      <c r="N17" s="1553" t="s">
        <v>1308</v>
      </c>
      <c r="O17" s="1553"/>
      <c r="P17" s="803">
        <v>81</v>
      </c>
      <c r="Q17" s="803">
        <v>46</v>
      </c>
      <c r="R17" s="1092">
        <v>42</v>
      </c>
    </row>
    <row r="18" spans="1:18" x14ac:dyDescent="0.25">
      <c r="A18" s="156">
        <v>9257032</v>
      </c>
      <c r="B18" s="144" t="s">
        <v>1191</v>
      </c>
      <c r="C18" s="1334">
        <v>45</v>
      </c>
      <c r="D18" s="146">
        <f t="shared" si="0"/>
        <v>21631.5</v>
      </c>
      <c r="F18" s="803">
        <v>9257032</v>
      </c>
      <c r="G18" s="1550" t="s">
        <v>813</v>
      </c>
      <c r="H18" s="1551"/>
      <c r="I18" s="1551"/>
      <c r="J18" s="1551"/>
      <c r="K18" s="1551"/>
      <c r="L18" s="1551"/>
      <c r="M18" s="1552"/>
      <c r="N18" s="1553" t="s">
        <v>1308</v>
      </c>
      <c r="O18" s="1553"/>
      <c r="P18" s="803">
        <v>100</v>
      </c>
      <c r="Q18" s="803">
        <v>46</v>
      </c>
      <c r="R18" s="1092">
        <v>47</v>
      </c>
    </row>
    <row r="19" spans="1:18" x14ac:dyDescent="0.25">
      <c r="A19" s="156">
        <v>9257033</v>
      </c>
      <c r="B19" s="144" t="s">
        <v>559</v>
      </c>
      <c r="C19" s="1334">
        <v>64</v>
      </c>
      <c r="D19" s="146">
        <f t="shared" si="0"/>
        <v>30764.799999999999</v>
      </c>
      <c r="F19" s="803">
        <v>9257033</v>
      </c>
      <c r="G19" s="1550" t="s">
        <v>1316</v>
      </c>
      <c r="H19" s="1551"/>
      <c r="I19" s="1551"/>
      <c r="J19" s="1551"/>
      <c r="K19" s="1551"/>
      <c r="L19" s="1551"/>
      <c r="M19" s="1552"/>
      <c r="N19" s="1553" t="s">
        <v>1308</v>
      </c>
      <c r="O19" s="1553"/>
      <c r="P19" s="803">
        <v>112</v>
      </c>
      <c r="Q19" s="803">
        <v>66</v>
      </c>
      <c r="R19" s="1092">
        <v>52</v>
      </c>
    </row>
    <row r="20" spans="1:18" ht="13" thickBot="1" x14ac:dyDescent="0.3">
      <c r="A20" s="157">
        <v>9257034</v>
      </c>
      <c r="B20" s="147" t="s">
        <v>560</v>
      </c>
      <c r="C20" s="1334">
        <v>57</v>
      </c>
      <c r="D20" s="149">
        <f t="shared" si="0"/>
        <v>27399.899999999998</v>
      </c>
      <c r="F20" s="803">
        <v>9257034</v>
      </c>
      <c r="G20" s="1550" t="s">
        <v>1317</v>
      </c>
      <c r="H20" s="1551"/>
      <c r="I20" s="1551"/>
      <c r="J20" s="1551"/>
      <c r="K20" s="1551"/>
      <c r="L20" s="1551"/>
      <c r="M20" s="1552"/>
      <c r="N20" s="1553" t="s">
        <v>1308</v>
      </c>
      <c r="O20" s="1553"/>
      <c r="P20" s="803">
        <v>124</v>
      </c>
      <c r="Q20" s="803">
        <v>58</v>
      </c>
      <c r="R20" s="1092">
        <v>54</v>
      </c>
    </row>
    <row r="21" spans="1:18" x14ac:dyDescent="0.25">
      <c r="A21" s="150"/>
      <c r="B21" s="151"/>
      <c r="C21" s="150"/>
      <c r="D21" s="152"/>
      <c r="F21" s="803">
        <v>9257012</v>
      </c>
      <c r="G21" s="1550" t="s">
        <v>1321</v>
      </c>
      <c r="H21" s="1551"/>
      <c r="I21" s="1551"/>
      <c r="J21" s="1551"/>
      <c r="K21" s="1551"/>
      <c r="L21" s="1551"/>
      <c r="M21" s="1552"/>
      <c r="N21" s="1553" t="s">
        <v>1308</v>
      </c>
      <c r="O21" s="1553"/>
      <c r="P21" s="803">
        <v>18</v>
      </c>
      <c r="Q21" s="803">
        <v>7</v>
      </c>
      <c r="R21" s="1092">
        <v>11</v>
      </c>
    </row>
    <row r="22" spans="1:18" ht="13" thickBot="1" x14ac:dyDescent="0.3">
      <c r="A22" s="150"/>
      <c r="B22" s="151"/>
      <c r="C22" s="150"/>
      <c r="D22" s="155">
        <f>SUM(D4:D20)</f>
        <v>383598.6</v>
      </c>
    </row>
    <row r="23" spans="1:18" x14ac:dyDescent="0.25">
      <c r="A23" s="150"/>
      <c r="B23" s="153" t="s">
        <v>561</v>
      </c>
      <c r="C23" s="1302">
        <v>2.5299999999999998</v>
      </c>
      <c r="D23" s="151"/>
    </row>
    <row r="24" spans="1:18" x14ac:dyDescent="0.25">
      <c r="A24" s="150"/>
      <c r="B24" s="153" t="s">
        <v>562</v>
      </c>
      <c r="C24" s="452">
        <v>190</v>
      </c>
      <c r="D24" s="151"/>
      <c r="E24">
        <f>2.47*1.024</f>
        <v>2.5292800000000004</v>
      </c>
    </row>
    <row r="25" spans="1:18" x14ac:dyDescent="0.25">
      <c r="A25" s="150"/>
      <c r="B25" s="151"/>
      <c r="C25" s="150"/>
      <c r="D25" s="151"/>
    </row>
    <row r="27" spans="1:18" x14ac:dyDescent="0.25">
      <c r="C27" s="316" t="s">
        <v>1322</v>
      </c>
      <c r="D27" s="16">
        <f>'2223 FSM Calculation'!D23</f>
        <v>341650.39999999997</v>
      </c>
    </row>
    <row r="28" spans="1:18" x14ac:dyDescent="0.25">
      <c r="C28" s="2"/>
      <c r="D28" s="16"/>
    </row>
    <row r="29" spans="1:18" x14ac:dyDescent="0.25">
      <c r="C29" s="316" t="s">
        <v>564</v>
      </c>
      <c r="D29" s="16">
        <f>D22-D27</f>
        <v>41948.200000000012</v>
      </c>
    </row>
    <row r="31" spans="1:18" x14ac:dyDescent="0.25">
      <c r="B31" s="289" t="s">
        <v>1323</v>
      </c>
      <c r="C31" s="1319">
        <f>480/190</f>
        <v>2.5263157894736841</v>
      </c>
    </row>
    <row r="32" spans="1:18" x14ac:dyDescent="0.25">
      <c r="B32" s="182"/>
    </row>
  </sheetData>
  <mergeCells count="38">
    <mergeCell ref="G21:M21"/>
    <mergeCell ref="N21:O21"/>
    <mergeCell ref="G17:M17"/>
    <mergeCell ref="N17:O17"/>
    <mergeCell ref="G18:M18"/>
    <mergeCell ref="N18:O18"/>
    <mergeCell ref="G19:M19"/>
    <mergeCell ref="N19:O19"/>
    <mergeCell ref="G15:M15"/>
    <mergeCell ref="N15:O15"/>
    <mergeCell ref="G16:M16"/>
    <mergeCell ref="N16:O16"/>
    <mergeCell ref="G20:M20"/>
    <mergeCell ref="N20:O20"/>
    <mergeCell ref="G12:M12"/>
    <mergeCell ref="N12:O12"/>
    <mergeCell ref="G13:M13"/>
    <mergeCell ref="N13:O13"/>
    <mergeCell ref="G14:M14"/>
    <mergeCell ref="N14:O14"/>
    <mergeCell ref="G9:M9"/>
    <mergeCell ref="N9:O9"/>
    <mergeCell ref="G10:M10"/>
    <mergeCell ref="N10:O10"/>
    <mergeCell ref="G11:M11"/>
    <mergeCell ref="N11:O11"/>
    <mergeCell ref="G6:M6"/>
    <mergeCell ref="N6:O6"/>
    <mergeCell ref="G7:M7"/>
    <mergeCell ref="N7:O7"/>
    <mergeCell ref="G8:M8"/>
    <mergeCell ref="N8:O8"/>
    <mergeCell ref="G3:M3"/>
    <mergeCell ref="N3:O3"/>
    <mergeCell ref="G4:M4"/>
    <mergeCell ref="N4:O4"/>
    <mergeCell ref="G5:M5"/>
    <mergeCell ref="N5:O5"/>
  </mergeCells>
  <pageMargins left="0.7" right="0.7" top="0.75" bottom="0.75" header="0.3" footer="0.3"/>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B27BE-5299-4442-BD20-033B156183A4}">
  <sheetPr>
    <tabColor rgb="FFFFFF00"/>
  </sheetPr>
  <dimension ref="A2:R33"/>
  <sheetViews>
    <sheetView workbookViewId="0">
      <selection activeCell="E28" sqref="E28"/>
    </sheetView>
  </sheetViews>
  <sheetFormatPr defaultRowHeight="12.5" x14ac:dyDescent="0.25"/>
  <cols>
    <col min="2" max="2" width="39.453125" bestFit="1" customWidth="1"/>
    <col min="3" max="3" width="23.1796875" bestFit="1" customWidth="1"/>
    <col min="4" max="4" width="14.7265625" customWidth="1"/>
  </cols>
  <sheetData>
    <row r="2" spans="1:18" ht="13" thickBot="1" x14ac:dyDescent="0.3">
      <c r="R2" s="1089"/>
    </row>
    <row r="3" spans="1:18" ht="69" customHeight="1" x14ac:dyDescent="0.25">
      <c r="A3" s="141" t="s">
        <v>540</v>
      </c>
      <c r="B3" s="142" t="s">
        <v>541</v>
      </c>
      <c r="C3" s="143" t="s">
        <v>1319</v>
      </c>
      <c r="D3" s="143" t="s">
        <v>543</v>
      </c>
      <c r="F3" s="1090" t="s">
        <v>182</v>
      </c>
      <c r="G3" s="1547" t="s">
        <v>580</v>
      </c>
      <c r="H3" s="1548"/>
      <c r="I3" s="1548"/>
      <c r="J3" s="1548"/>
      <c r="K3" s="1548"/>
      <c r="L3" s="1548"/>
      <c r="M3" s="1549"/>
      <c r="N3" s="1547" t="s">
        <v>1299</v>
      </c>
      <c r="O3" s="1549"/>
      <c r="P3" s="1090" t="s">
        <v>1300</v>
      </c>
      <c r="Q3" s="1091" t="s">
        <v>1301</v>
      </c>
      <c r="R3" s="1091" t="s">
        <v>1320</v>
      </c>
    </row>
    <row r="4" spans="1:18" x14ac:dyDescent="0.25">
      <c r="A4" s="156">
        <v>9257002</v>
      </c>
      <c r="B4" s="144" t="s">
        <v>544</v>
      </c>
      <c r="C4" s="445">
        <f t="shared" ref="C4:C9" si="0">R4</f>
        <v>41</v>
      </c>
      <c r="D4" s="146">
        <f>($C$24*$C$25)*C4</f>
        <v>19241.3</v>
      </c>
      <c r="F4" s="803">
        <v>9257002</v>
      </c>
      <c r="G4" s="1550" t="s">
        <v>1307</v>
      </c>
      <c r="H4" s="1551"/>
      <c r="I4" s="1551"/>
      <c r="J4" s="1551"/>
      <c r="K4" s="1551"/>
      <c r="L4" s="1551"/>
      <c r="M4" s="1552"/>
      <c r="N4" s="1553" t="s">
        <v>1308</v>
      </c>
      <c r="O4" s="1553"/>
      <c r="P4" s="803">
        <v>157</v>
      </c>
      <c r="Q4" s="803">
        <v>63</v>
      </c>
      <c r="R4" s="1092">
        <v>41</v>
      </c>
    </row>
    <row r="5" spans="1:18" x14ac:dyDescent="0.25">
      <c r="A5" s="156">
        <v>9257005</v>
      </c>
      <c r="B5" s="144" t="s">
        <v>545</v>
      </c>
      <c r="C5" s="445">
        <f t="shared" si="0"/>
        <v>28</v>
      </c>
      <c r="D5" s="146">
        <f t="shared" ref="D5:D21" si="1">($C$24*$C$25)*C5</f>
        <v>13140.4</v>
      </c>
      <c r="F5" s="803">
        <v>9257005</v>
      </c>
      <c r="G5" s="1550" t="s">
        <v>805</v>
      </c>
      <c r="H5" s="1551"/>
      <c r="I5" s="1551"/>
      <c r="J5" s="1551"/>
      <c r="K5" s="1551"/>
      <c r="L5" s="1551"/>
      <c r="M5" s="1552"/>
      <c r="N5" s="1553" t="s">
        <v>1308</v>
      </c>
      <c r="O5" s="1553"/>
      <c r="P5" s="803">
        <v>89</v>
      </c>
      <c r="Q5" s="803">
        <v>37</v>
      </c>
      <c r="R5" s="1092">
        <v>28</v>
      </c>
    </row>
    <row r="6" spans="1:18" x14ac:dyDescent="0.25">
      <c r="A6" s="156">
        <v>9257008</v>
      </c>
      <c r="B6" s="144" t="s">
        <v>340</v>
      </c>
      <c r="C6" s="445">
        <f t="shared" si="0"/>
        <v>26</v>
      </c>
      <c r="D6" s="146">
        <f t="shared" si="1"/>
        <v>12201.800000000001</v>
      </c>
      <c r="F6" s="803">
        <v>9257008</v>
      </c>
      <c r="G6" s="1550" t="s">
        <v>1309</v>
      </c>
      <c r="H6" s="1551"/>
      <c r="I6" s="1551"/>
      <c r="J6" s="1551"/>
      <c r="K6" s="1551"/>
      <c r="L6" s="1551"/>
      <c r="M6" s="1552"/>
      <c r="N6" s="1553" t="s">
        <v>1308</v>
      </c>
      <c r="O6" s="1553"/>
      <c r="P6" s="803">
        <v>101</v>
      </c>
      <c r="Q6" s="803">
        <v>43</v>
      </c>
      <c r="R6" s="1092">
        <v>26</v>
      </c>
    </row>
    <row r="7" spans="1:18" x14ac:dyDescent="0.25">
      <c r="A7" s="156">
        <v>9257009</v>
      </c>
      <c r="B7" s="144" t="s">
        <v>546</v>
      </c>
      <c r="C7" s="445">
        <f t="shared" si="0"/>
        <v>37</v>
      </c>
      <c r="D7" s="146">
        <f t="shared" si="1"/>
        <v>17364.100000000002</v>
      </c>
      <c r="F7" s="803">
        <v>9257009</v>
      </c>
      <c r="G7" s="1550" t="s">
        <v>1310</v>
      </c>
      <c r="H7" s="1551"/>
      <c r="I7" s="1551"/>
      <c r="J7" s="1551"/>
      <c r="K7" s="1551"/>
      <c r="L7" s="1551"/>
      <c r="M7" s="1552"/>
      <c r="N7" s="1553" t="s">
        <v>1308</v>
      </c>
      <c r="O7" s="1553"/>
      <c r="P7" s="803">
        <v>139</v>
      </c>
      <c r="Q7" s="803">
        <v>61</v>
      </c>
      <c r="R7" s="1092">
        <v>37</v>
      </c>
    </row>
    <row r="8" spans="1:18" x14ac:dyDescent="0.25">
      <c r="A8" s="156">
        <v>9257010</v>
      </c>
      <c r="B8" s="144" t="s">
        <v>547</v>
      </c>
      <c r="C8" s="445">
        <f t="shared" si="0"/>
        <v>40</v>
      </c>
      <c r="D8" s="146">
        <f t="shared" si="1"/>
        <v>18772</v>
      </c>
      <c r="F8" s="803">
        <v>9257010</v>
      </c>
      <c r="G8" s="1550" t="s">
        <v>1311</v>
      </c>
      <c r="H8" s="1551"/>
      <c r="I8" s="1551"/>
      <c r="J8" s="1551"/>
      <c r="K8" s="1551"/>
      <c r="L8" s="1551"/>
      <c r="M8" s="1552"/>
      <c r="N8" s="1553" t="s">
        <v>1308</v>
      </c>
      <c r="O8" s="1553"/>
      <c r="P8" s="803">
        <v>101</v>
      </c>
      <c r="Q8" s="803">
        <v>40</v>
      </c>
      <c r="R8" s="1092">
        <v>40</v>
      </c>
    </row>
    <row r="9" spans="1:18" x14ac:dyDescent="0.25">
      <c r="A9" s="156">
        <v>9257011</v>
      </c>
      <c r="B9" s="144" t="s">
        <v>548</v>
      </c>
      <c r="C9" s="445">
        <f t="shared" si="0"/>
        <v>32</v>
      </c>
      <c r="D9" s="146">
        <f t="shared" si="1"/>
        <v>15017.6</v>
      </c>
      <c r="F9" s="803">
        <v>9257011</v>
      </c>
      <c r="G9" s="1550" t="s">
        <v>1312</v>
      </c>
      <c r="H9" s="1551"/>
      <c r="I9" s="1551"/>
      <c r="J9" s="1551"/>
      <c r="K9" s="1551"/>
      <c r="L9" s="1551"/>
      <c r="M9" s="1552"/>
      <c r="N9" s="1553" t="s">
        <v>1308</v>
      </c>
      <c r="O9" s="1553"/>
      <c r="P9" s="803">
        <v>62</v>
      </c>
      <c r="Q9" s="803">
        <v>30</v>
      </c>
      <c r="R9" s="1092">
        <v>32</v>
      </c>
    </row>
    <row r="10" spans="1:18" x14ac:dyDescent="0.25">
      <c r="A10" s="156">
        <v>9257015</v>
      </c>
      <c r="B10" s="144" t="s">
        <v>549</v>
      </c>
      <c r="C10" s="445">
        <f t="shared" ref="C10:C21" si="2">R10</f>
        <v>73</v>
      </c>
      <c r="D10" s="146">
        <f t="shared" si="1"/>
        <v>34258.9</v>
      </c>
      <c r="F10" s="803">
        <v>9257015</v>
      </c>
      <c r="G10" s="1550" t="s">
        <v>217</v>
      </c>
      <c r="H10" s="1551"/>
      <c r="I10" s="1551"/>
      <c r="J10" s="1551"/>
      <c r="K10" s="1551"/>
      <c r="L10" s="1551"/>
      <c r="M10" s="1552"/>
      <c r="N10" s="1553" t="s">
        <v>1308</v>
      </c>
      <c r="O10" s="1553"/>
      <c r="P10" s="803">
        <v>224</v>
      </c>
      <c r="Q10" s="803">
        <v>105</v>
      </c>
      <c r="R10" s="1092">
        <v>73</v>
      </c>
    </row>
    <row r="11" spans="1:18" x14ac:dyDescent="0.25">
      <c r="A11" s="156">
        <v>9257016</v>
      </c>
      <c r="B11" s="144" t="s">
        <v>550</v>
      </c>
      <c r="C11" s="445">
        <f t="shared" si="2"/>
        <v>47</v>
      </c>
      <c r="D11" s="146">
        <f t="shared" si="1"/>
        <v>22057.100000000002</v>
      </c>
      <c r="F11" s="803">
        <v>9257016</v>
      </c>
      <c r="G11" s="1550" t="s">
        <v>1313</v>
      </c>
      <c r="H11" s="1551"/>
      <c r="I11" s="1551"/>
      <c r="J11" s="1551"/>
      <c r="K11" s="1551"/>
      <c r="L11" s="1551"/>
      <c r="M11" s="1552"/>
      <c r="N11" s="1553" t="s">
        <v>1308</v>
      </c>
      <c r="O11" s="1553"/>
      <c r="P11" s="803">
        <v>163</v>
      </c>
      <c r="Q11" s="803">
        <v>62</v>
      </c>
      <c r="R11" s="1092">
        <v>47</v>
      </c>
    </row>
    <row r="12" spans="1:18" x14ac:dyDescent="0.25">
      <c r="A12" s="156">
        <v>9257021</v>
      </c>
      <c r="B12" s="144" t="s">
        <v>551</v>
      </c>
      <c r="C12" s="445">
        <f t="shared" si="2"/>
        <v>54</v>
      </c>
      <c r="D12" s="146">
        <f t="shared" si="1"/>
        <v>25342.2</v>
      </c>
      <c r="F12" s="803">
        <v>9257021</v>
      </c>
      <c r="G12" s="1550" t="s">
        <v>809</v>
      </c>
      <c r="H12" s="1551"/>
      <c r="I12" s="1551"/>
      <c r="J12" s="1551"/>
      <c r="K12" s="1551"/>
      <c r="L12" s="1551"/>
      <c r="M12" s="1552"/>
      <c r="N12" s="1553" t="s">
        <v>1308</v>
      </c>
      <c r="O12" s="1553"/>
      <c r="P12" s="803">
        <v>178</v>
      </c>
      <c r="Q12" s="803">
        <v>90</v>
      </c>
      <c r="R12" s="1092">
        <v>54</v>
      </c>
    </row>
    <row r="13" spans="1:18" x14ac:dyDescent="0.25">
      <c r="A13" s="156">
        <v>9257024</v>
      </c>
      <c r="B13" s="144" t="s">
        <v>552</v>
      </c>
      <c r="C13" s="445">
        <f t="shared" si="2"/>
        <v>35</v>
      </c>
      <c r="D13" s="146">
        <f t="shared" si="1"/>
        <v>16425.5</v>
      </c>
      <c r="F13" s="803">
        <v>9257024</v>
      </c>
      <c r="G13" s="1550" t="s">
        <v>552</v>
      </c>
      <c r="H13" s="1551"/>
      <c r="I13" s="1551"/>
      <c r="J13" s="1551"/>
      <c r="K13" s="1551"/>
      <c r="L13" s="1551"/>
      <c r="M13" s="1552"/>
      <c r="N13" s="1553" t="s">
        <v>1308</v>
      </c>
      <c r="O13" s="1553"/>
      <c r="P13" s="803">
        <v>85</v>
      </c>
      <c r="Q13" s="803">
        <v>35</v>
      </c>
      <c r="R13" s="1092">
        <v>35</v>
      </c>
    </row>
    <row r="14" spans="1:18" x14ac:dyDescent="0.25">
      <c r="A14" s="156">
        <v>9257025</v>
      </c>
      <c r="B14" s="144" t="s">
        <v>553</v>
      </c>
      <c r="C14" s="445">
        <f t="shared" si="2"/>
        <v>27</v>
      </c>
      <c r="D14" s="146">
        <f t="shared" si="1"/>
        <v>12671.1</v>
      </c>
      <c r="F14" s="803">
        <v>9257025</v>
      </c>
      <c r="G14" s="1550" t="s">
        <v>1314</v>
      </c>
      <c r="H14" s="1551"/>
      <c r="I14" s="1551"/>
      <c r="J14" s="1551"/>
      <c r="K14" s="1551"/>
      <c r="L14" s="1551"/>
      <c r="M14" s="1552"/>
      <c r="N14" s="1553" t="s">
        <v>1308</v>
      </c>
      <c r="O14" s="1553"/>
      <c r="P14" s="803">
        <v>82</v>
      </c>
      <c r="Q14" s="803">
        <v>39</v>
      </c>
      <c r="R14" s="1092">
        <v>27</v>
      </c>
    </row>
    <row r="15" spans="1:18" x14ac:dyDescent="0.25">
      <c r="A15" s="156">
        <v>9257028</v>
      </c>
      <c r="B15" s="144" t="s">
        <v>554</v>
      </c>
      <c r="C15" s="445">
        <f t="shared" si="2"/>
        <v>26</v>
      </c>
      <c r="D15" s="146">
        <f t="shared" si="1"/>
        <v>12201.800000000001</v>
      </c>
      <c r="F15" s="803">
        <v>9257028</v>
      </c>
      <c r="G15" s="1550" t="s">
        <v>1315</v>
      </c>
      <c r="H15" s="1551"/>
      <c r="I15" s="1551"/>
      <c r="J15" s="1551"/>
      <c r="K15" s="1551"/>
      <c r="L15" s="1551"/>
      <c r="M15" s="1552"/>
      <c r="N15" s="1553" t="s">
        <v>1308</v>
      </c>
      <c r="O15" s="1553"/>
      <c r="P15" s="803">
        <v>127</v>
      </c>
      <c r="Q15" s="803">
        <v>37</v>
      </c>
      <c r="R15" s="1092">
        <v>26</v>
      </c>
    </row>
    <row r="16" spans="1:18" x14ac:dyDescent="0.25">
      <c r="A16" s="156">
        <v>9257029</v>
      </c>
      <c r="B16" s="144" t="s">
        <v>890</v>
      </c>
      <c r="C16" s="445">
        <f t="shared" si="2"/>
        <v>32</v>
      </c>
      <c r="D16" s="146">
        <f t="shared" si="1"/>
        <v>15017.6</v>
      </c>
      <c r="F16" s="803">
        <v>9257029</v>
      </c>
      <c r="G16" s="1550" t="s">
        <v>890</v>
      </c>
      <c r="H16" s="1551"/>
      <c r="I16" s="1551"/>
      <c r="J16" s="1551"/>
      <c r="K16" s="1551"/>
      <c r="L16" s="1551"/>
      <c r="M16" s="1552"/>
      <c r="N16" s="1553" t="s">
        <v>1308</v>
      </c>
      <c r="O16" s="1553"/>
      <c r="P16" s="803">
        <v>75</v>
      </c>
      <c r="Q16" s="803">
        <v>36</v>
      </c>
      <c r="R16" s="1092">
        <v>32</v>
      </c>
    </row>
    <row r="17" spans="1:18" x14ac:dyDescent="0.25">
      <c r="A17" s="156">
        <v>9257030</v>
      </c>
      <c r="B17" s="144" t="s">
        <v>815</v>
      </c>
      <c r="C17" s="445">
        <f t="shared" si="2"/>
        <v>35</v>
      </c>
      <c r="D17" s="146">
        <f t="shared" si="1"/>
        <v>16425.5</v>
      </c>
      <c r="F17" s="803">
        <v>9257030</v>
      </c>
      <c r="G17" s="1550" t="s">
        <v>815</v>
      </c>
      <c r="H17" s="1551"/>
      <c r="I17" s="1551"/>
      <c r="J17" s="1551"/>
      <c r="K17" s="1551"/>
      <c r="L17" s="1551"/>
      <c r="M17" s="1552"/>
      <c r="N17" s="1553" t="s">
        <v>1308</v>
      </c>
      <c r="O17" s="1553"/>
      <c r="P17" s="803">
        <v>70</v>
      </c>
      <c r="Q17" s="803">
        <v>35</v>
      </c>
      <c r="R17" s="1092">
        <v>35</v>
      </c>
    </row>
    <row r="18" spans="1:18" x14ac:dyDescent="0.25">
      <c r="A18" s="156">
        <v>9257031</v>
      </c>
      <c r="B18" s="144" t="s">
        <v>557</v>
      </c>
      <c r="C18" s="445">
        <f t="shared" si="2"/>
        <v>42</v>
      </c>
      <c r="D18" s="146">
        <f t="shared" si="1"/>
        <v>19710.600000000002</v>
      </c>
      <c r="F18" s="803">
        <v>9257031</v>
      </c>
      <c r="G18" s="1550" t="s">
        <v>557</v>
      </c>
      <c r="H18" s="1551"/>
      <c r="I18" s="1551"/>
      <c r="J18" s="1551"/>
      <c r="K18" s="1551"/>
      <c r="L18" s="1551"/>
      <c r="M18" s="1552"/>
      <c r="N18" s="1553" t="s">
        <v>1308</v>
      </c>
      <c r="O18" s="1553"/>
      <c r="P18" s="803">
        <v>81</v>
      </c>
      <c r="Q18" s="803">
        <v>46</v>
      </c>
      <c r="R18" s="1092">
        <v>42</v>
      </c>
    </row>
    <row r="19" spans="1:18" x14ac:dyDescent="0.25">
      <c r="A19" s="156">
        <v>9257032</v>
      </c>
      <c r="B19" s="144" t="s">
        <v>1191</v>
      </c>
      <c r="C19" s="445">
        <f t="shared" si="2"/>
        <v>47</v>
      </c>
      <c r="D19" s="146">
        <f t="shared" si="1"/>
        <v>22057.100000000002</v>
      </c>
      <c r="F19" s="803">
        <v>9257032</v>
      </c>
      <c r="G19" s="1550" t="s">
        <v>813</v>
      </c>
      <c r="H19" s="1551"/>
      <c r="I19" s="1551"/>
      <c r="J19" s="1551"/>
      <c r="K19" s="1551"/>
      <c r="L19" s="1551"/>
      <c r="M19" s="1552"/>
      <c r="N19" s="1553" t="s">
        <v>1308</v>
      </c>
      <c r="O19" s="1553"/>
      <c r="P19" s="803">
        <v>100</v>
      </c>
      <c r="Q19" s="803">
        <v>46</v>
      </c>
      <c r="R19" s="1092">
        <v>47</v>
      </c>
    </row>
    <row r="20" spans="1:18" x14ac:dyDescent="0.25">
      <c r="A20" s="156">
        <v>9257033</v>
      </c>
      <c r="B20" s="144" t="s">
        <v>559</v>
      </c>
      <c r="C20" s="445">
        <f>R20</f>
        <v>52</v>
      </c>
      <c r="D20" s="146">
        <f t="shared" si="1"/>
        <v>24403.600000000002</v>
      </c>
      <c r="F20" s="803">
        <v>9257033</v>
      </c>
      <c r="G20" s="1550" t="s">
        <v>1316</v>
      </c>
      <c r="H20" s="1551"/>
      <c r="I20" s="1551"/>
      <c r="J20" s="1551"/>
      <c r="K20" s="1551"/>
      <c r="L20" s="1551"/>
      <c r="M20" s="1552"/>
      <c r="N20" s="1553" t="s">
        <v>1308</v>
      </c>
      <c r="O20" s="1553"/>
      <c r="P20" s="803">
        <v>112</v>
      </c>
      <c r="Q20" s="803">
        <v>66</v>
      </c>
      <c r="R20" s="1092">
        <v>52</v>
      </c>
    </row>
    <row r="21" spans="1:18" ht="13" thickBot="1" x14ac:dyDescent="0.3">
      <c r="A21" s="157">
        <v>9257034</v>
      </c>
      <c r="B21" s="147" t="s">
        <v>560</v>
      </c>
      <c r="C21" s="445">
        <f t="shared" si="2"/>
        <v>54</v>
      </c>
      <c r="D21" s="149">
        <f t="shared" si="1"/>
        <v>25342.2</v>
      </c>
      <c r="F21" s="803">
        <v>9257034</v>
      </c>
      <c r="G21" s="1550" t="s">
        <v>1317</v>
      </c>
      <c r="H21" s="1551"/>
      <c r="I21" s="1551"/>
      <c r="J21" s="1551"/>
      <c r="K21" s="1551"/>
      <c r="L21" s="1551"/>
      <c r="M21" s="1552"/>
      <c r="N21" s="1553" t="s">
        <v>1308</v>
      </c>
      <c r="O21" s="1553"/>
      <c r="P21" s="803">
        <v>124</v>
      </c>
      <c r="Q21" s="803">
        <v>58</v>
      </c>
      <c r="R21" s="1092">
        <v>54</v>
      </c>
    </row>
    <row r="22" spans="1:18" x14ac:dyDescent="0.25">
      <c r="A22" s="150"/>
      <c r="B22" s="151"/>
      <c r="C22" s="150"/>
      <c r="D22" s="152"/>
      <c r="F22" s="803">
        <v>9257012</v>
      </c>
      <c r="G22" s="1550" t="s">
        <v>1321</v>
      </c>
      <c r="H22" s="1551"/>
      <c r="I22" s="1551"/>
      <c r="J22" s="1551"/>
      <c r="K22" s="1551"/>
      <c r="L22" s="1551"/>
      <c r="M22" s="1552"/>
      <c r="N22" s="1553" t="s">
        <v>1308</v>
      </c>
      <c r="O22" s="1553"/>
      <c r="P22" s="803">
        <v>18</v>
      </c>
      <c r="Q22" s="803">
        <v>7</v>
      </c>
      <c r="R22" s="1092">
        <v>11</v>
      </c>
    </row>
    <row r="23" spans="1:18" ht="13" thickBot="1" x14ac:dyDescent="0.3">
      <c r="A23" s="150"/>
      <c r="B23" s="151"/>
      <c r="C23" s="150"/>
      <c r="D23" s="155">
        <f>SUM(D4:D21)</f>
        <v>341650.39999999997</v>
      </c>
    </row>
    <row r="24" spans="1:18" x14ac:dyDescent="0.25">
      <c r="A24" s="150"/>
      <c r="B24" s="153" t="s">
        <v>561</v>
      </c>
      <c r="C24" s="1097">
        <v>2.4700000000000002</v>
      </c>
      <c r="D24" s="151"/>
    </row>
    <row r="25" spans="1:18" x14ac:dyDescent="0.25">
      <c r="A25" s="150"/>
      <c r="B25" s="153" t="s">
        <v>562</v>
      </c>
      <c r="C25" s="452">
        <v>190</v>
      </c>
      <c r="D25" s="151"/>
    </row>
    <row r="26" spans="1:18" x14ac:dyDescent="0.25">
      <c r="A26" s="150"/>
      <c r="B26" s="151"/>
      <c r="C26" s="150"/>
      <c r="D26" s="151"/>
    </row>
    <row r="28" spans="1:18" x14ac:dyDescent="0.25">
      <c r="C28" s="316" t="s">
        <v>1324</v>
      </c>
      <c r="D28" s="16">
        <f>SUM('2122 FSM Calculation'!D23)</f>
        <v>289508.25000000006</v>
      </c>
    </row>
    <row r="29" spans="1:18" x14ac:dyDescent="0.25">
      <c r="C29" s="2"/>
      <c r="D29" s="16"/>
    </row>
    <row r="30" spans="1:18" x14ac:dyDescent="0.25">
      <c r="C30" s="316" t="s">
        <v>564</v>
      </c>
      <c r="D30" s="16">
        <f>D23-D28</f>
        <v>52142.149999999907</v>
      </c>
    </row>
    <row r="33" spans="2:2" x14ac:dyDescent="0.25">
      <c r="B33" s="182"/>
    </row>
  </sheetData>
  <mergeCells count="40">
    <mergeCell ref="G3:M3"/>
    <mergeCell ref="N3:O3"/>
    <mergeCell ref="G4:M4"/>
    <mergeCell ref="N4:O4"/>
    <mergeCell ref="G5:M5"/>
    <mergeCell ref="N5:O5"/>
    <mergeCell ref="G6:M6"/>
    <mergeCell ref="N6:O6"/>
    <mergeCell ref="G7:M7"/>
    <mergeCell ref="N7:O7"/>
    <mergeCell ref="G8:M8"/>
    <mergeCell ref="N8:O8"/>
    <mergeCell ref="G9:M9"/>
    <mergeCell ref="N9:O9"/>
    <mergeCell ref="G22:M22"/>
    <mergeCell ref="N22:O22"/>
    <mergeCell ref="G10:M10"/>
    <mergeCell ref="N10:O10"/>
    <mergeCell ref="G11:M11"/>
    <mergeCell ref="N11:O11"/>
    <mergeCell ref="G12:M12"/>
    <mergeCell ref="N12:O12"/>
    <mergeCell ref="G13:M13"/>
    <mergeCell ref="N13:O13"/>
    <mergeCell ref="G14:M14"/>
    <mergeCell ref="N14:O14"/>
    <mergeCell ref="G15:M15"/>
    <mergeCell ref="N15:O15"/>
    <mergeCell ref="G16:M16"/>
    <mergeCell ref="N16:O16"/>
    <mergeCell ref="G20:M20"/>
    <mergeCell ref="N20:O20"/>
    <mergeCell ref="G21:M21"/>
    <mergeCell ref="N21:O21"/>
    <mergeCell ref="G17:M17"/>
    <mergeCell ref="N17:O17"/>
    <mergeCell ref="G18:M18"/>
    <mergeCell ref="N18:O18"/>
    <mergeCell ref="G19:M19"/>
    <mergeCell ref="N19:O19"/>
  </mergeCells>
  <pageMargins left="0.7" right="0.7" top="0.75" bottom="0.75" header="0.3" footer="0.3"/>
  <legacyDrawing r:id="rId1"/>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C000"/>
  </sheetPr>
  <dimension ref="A2:BQ67"/>
  <sheetViews>
    <sheetView workbookViewId="0">
      <selection activeCell="BN20" sqref="BN20"/>
    </sheetView>
  </sheetViews>
  <sheetFormatPr defaultColWidth="9.1796875" defaultRowHeight="15.5" x14ac:dyDescent="0.35"/>
  <cols>
    <col min="1" max="1" width="10.54296875" style="78" bestFit="1" customWidth="1"/>
    <col min="2" max="5" width="9.1796875" style="77"/>
    <col min="6" max="6" width="10.26953125" style="77" hidden="1" customWidth="1"/>
    <col min="7" max="8" width="9.1796875" style="77" hidden="1" customWidth="1"/>
    <col min="9" max="9" width="10.7265625" style="77" hidden="1" customWidth="1"/>
    <col min="10" max="12" width="10.7265625" style="78" hidden="1" customWidth="1"/>
    <col min="13" max="14" width="10.7265625" style="79" hidden="1" customWidth="1"/>
    <col min="15" max="19" width="10.7265625" style="77" hidden="1" customWidth="1"/>
    <col min="20" max="20" width="3.26953125" style="77" hidden="1" customWidth="1"/>
    <col min="21" max="23" width="10.7265625" style="77" hidden="1" customWidth="1"/>
    <col min="24" max="24" width="9.1796875" style="77" hidden="1" customWidth="1"/>
    <col min="25" max="25" width="10.81640625" style="78" hidden="1" customWidth="1"/>
    <col min="26" max="28" width="9.1796875" style="77" hidden="1" customWidth="1"/>
    <col min="29" max="29" width="11.26953125" style="79" hidden="1" customWidth="1"/>
    <col min="30" max="30" width="11.1796875" style="79" hidden="1" customWidth="1"/>
    <col min="31" max="31" width="14.453125" style="79" hidden="1" customWidth="1"/>
    <col min="32" max="32" width="9.1796875" style="79" hidden="1" customWidth="1"/>
    <col min="33" max="33" width="8.81640625" style="79" hidden="1" customWidth="1"/>
    <col min="34" max="36" width="9.1796875" style="79" hidden="1" customWidth="1"/>
    <col min="37" max="37" width="10.453125" style="79" hidden="1" customWidth="1"/>
    <col min="38" max="38" width="13.453125" style="79" hidden="1" customWidth="1"/>
    <col min="39" max="43" width="9.1796875" style="79" hidden="1" customWidth="1"/>
    <col min="44" max="44" width="11.1796875" style="79" hidden="1" customWidth="1"/>
    <col min="45" max="45" width="14.26953125" style="79" hidden="1" customWidth="1"/>
    <col min="46" max="50" width="9.1796875" style="79" hidden="1" customWidth="1"/>
    <col min="51" max="51" width="10.1796875" style="79" hidden="1" customWidth="1"/>
    <col min="52" max="52" width="14.26953125" style="79" hidden="1" customWidth="1"/>
    <col min="53" max="55" width="9.1796875" style="79" customWidth="1"/>
    <col min="56" max="57" width="10.1796875" style="79" customWidth="1"/>
    <col min="58" max="59" width="9.1796875" style="79"/>
    <col min="60" max="60" width="11.7265625" style="79" bestFit="1" customWidth="1"/>
    <col min="61" max="61" width="9.81640625" style="79" bestFit="1" customWidth="1"/>
    <col min="62" max="62" width="12.26953125" style="79" customWidth="1"/>
    <col min="63" max="65" width="9.1796875" style="79"/>
    <col min="66" max="66" width="9.81640625" style="79" bestFit="1" customWidth="1"/>
    <col min="67" max="67" width="13" style="79" customWidth="1"/>
    <col min="68" max="68" width="9.81640625" style="79" customWidth="1"/>
    <col min="69" max="16384" width="9.1796875" style="79"/>
  </cols>
  <sheetData>
    <row r="2" spans="1:69" ht="12" customHeight="1" x14ac:dyDescent="0.35">
      <c r="A2" s="293"/>
      <c r="B2" s="76" t="s">
        <v>304</v>
      </c>
      <c r="C2" s="1172"/>
      <c r="D2" s="1172"/>
      <c r="E2" s="1172"/>
      <c r="F2" s="1172"/>
      <c r="G2" s="1172"/>
      <c r="H2" s="1172"/>
      <c r="I2" s="1172"/>
      <c r="J2" s="293"/>
      <c r="K2" s="293"/>
      <c r="L2" s="293"/>
      <c r="O2" s="1172"/>
      <c r="P2" s="1172"/>
      <c r="Q2" s="1172"/>
      <c r="R2" s="1172"/>
      <c r="S2" s="1172"/>
      <c r="T2" s="1172"/>
      <c r="U2" s="1172"/>
      <c r="V2" s="1455" t="s">
        <v>305</v>
      </c>
      <c r="W2" s="1172"/>
      <c r="X2" s="1172"/>
      <c r="Y2" s="293"/>
      <c r="Z2" s="1172"/>
      <c r="AA2" s="1172"/>
      <c r="AB2" s="1172"/>
    </row>
    <row r="3" spans="1:69" ht="12" customHeight="1" x14ac:dyDescent="0.35">
      <c r="A3" s="293"/>
      <c r="B3" s="1172"/>
      <c r="C3" s="1172"/>
      <c r="D3" s="1172"/>
      <c r="E3" s="1172"/>
      <c r="F3" s="1172"/>
      <c r="G3" s="1172"/>
      <c r="H3" s="1172"/>
      <c r="I3" s="1172"/>
      <c r="J3" s="293"/>
      <c r="K3" s="293"/>
      <c r="L3" s="293"/>
      <c r="O3" s="1172"/>
      <c r="P3" s="1172"/>
      <c r="Q3" s="1172"/>
      <c r="R3" s="1172"/>
      <c r="S3" s="1172"/>
      <c r="T3" s="1172"/>
      <c r="U3" s="1172"/>
      <c r="V3" s="1456"/>
      <c r="W3" s="1172"/>
      <c r="X3" s="1174" t="s">
        <v>306</v>
      </c>
      <c r="Y3" s="293"/>
      <c r="Z3" s="1172"/>
      <c r="AA3" s="1172"/>
      <c r="AB3" s="1172"/>
    </row>
    <row r="4" spans="1:69" s="80" customFormat="1" ht="12" customHeight="1" x14ac:dyDescent="0.3">
      <c r="A4" s="293"/>
      <c r="B4" s="1172"/>
      <c r="C4" s="1172"/>
      <c r="D4" s="1172"/>
      <c r="E4" s="1172"/>
      <c r="F4" s="1457" t="s">
        <v>307</v>
      </c>
      <c r="G4" s="1457" t="s">
        <v>308</v>
      </c>
      <c r="H4" s="1457" t="s">
        <v>309</v>
      </c>
      <c r="I4" s="1458" t="s">
        <v>310</v>
      </c>
      <c r="J4" s="1459" t="s">
        <v>311</v>
      </c>
      <c r="K4" s="1459" t="s">
        <v>312</v>
      </c>
      <c r="L4" s="1459" t="s">
        <v>313</v>
      </c>
      <c r="M4" s="1459" t="s">
        <v>314</v>
      </c>
      <c r="N4" s="1459" t="s">
        <v>315</v>
      </c>
      <c r="O4" s="1459" t="s">
        <v>316</v>
      </c>
      <c r="P4" s="1459" t="s">
        <v>317</v>
      </c>
      <c r="Q4" s="1459" t="s">
        <v>318</v>
      </c>
      <c r="R4" s="1459" t="s">
        <v>319</v>
      </c>
      <c r="S4" s="1459" t="s">
        <v>320</v>
      </c>
      <c r="T4" s="1174"/>
      <c r="U4" s="1459" t="s">
        <v>321</v>
      </c>
      <c r="V4" s="1462" t="s">
        <v>322</v>
      </c>
      <c r="W4" s="1174"/>
      <c r="X4" s="1459" t="s">
        <v>323</v>
      </c>
      <c r="Y4" s="1459" t="s">
        <v>324</v>
      </c>
      <c r="Z4" s="1458" t="s">
        <v>325</v>
      </c>
      <c r="AA4" s="1459" t="s">
        <v>326</v>
      </c>
      <c r="AB4" s="1459" t="s">
        <v>327</v>
      </c>
      <c r="AC4" s="1462" t="s">
        <v>328</v>
      </c>
      <c r="AD4" s="1459" t="s">
        <v>329</v>
      </c>
      <c r="AE4" s="1459" t="s">
        <v>330</v>
      </c>
      <c r="AG4" s="1458" t="s">
        <v>331</v>
      </c>
      <c r="AH4" s="1459" t="s">
        <v>332</v>
      </c>
      <c r="AI4" s="1459" t="s">
        <v>333</v>
      </c>
      <c r="AJ4" s="1462" t="s">
        <v>334</v>
      </c>
      <c r="AK4" s="1459" t="s">
        <v>335</v>
      </c>
      <c r="AL4" s="1459" t="s">
        <v>330</v>
      </c>
      <c r="AN4" s="1458" t="s">
        <v>710</v>
      </c>
      <c r="AO4" s="1459" t="s">
        <v>711</v>
      </c>
      <c r="AP4" s="1459" t="s">
        <v>712</v>
      </c>
      <c r="AQ4" s="1462" t="s">
        <v>713</v>
      </c>
      <c r="AR4" s="1459" t="s">
        <v>714</v>
      </c>
      <c r="AS4" s="1459" t="s">
        <v>330</v>
      </c>
      <c r="AU4" s="1458" t="s">
        <v>849</v>
      </c>
      <c r="AV4" s="1459" t="s">
        <v>850</v>
      </c>
      <c r="AW4" s="1459" t="s">
        <v>851</v>
      </c>
      <c r="AX4" s="1462" t="s">
        <v>852</v>
      </c>
      <c r="AY4" s="1459" t="s">
        <v>853</v>
      </c>
      <c r="AZ4" s="1459" t="s">
        <v>330</v>
      </c>
      <c r="BB4" s="1458" t="s">
        <v>927</v>
      </c>
      <c r="BC4" s="1459" t="s">
        <v>928</v>
      </c>
      <c r="BD4" s="1459" t="s">
        <v>929</v>
      </c>
      <c r="BE4" s="1459" t="s">
        <v>330</v>
      </c>
      <c r="BG4" s="1458" t="s">
        <v>930</v>
      </c>
      <c r="BH4" s="1459" t="s">
        <v>931</v>
      </c>
      <c r="BI4" s="1459" t="s">
        <v>932</v>
      </c>
      <c r="BJ4" s="1459" t="s">
        <v>330</v>
      </c>
      <c r="BL4" s="1458" t="s">
        <v>1325</v>
      </c>
      <c r="BM4" s="1459" t="s">
        <v>1326</v>
      </c>
      <c r="BN4" s="1459" t="s">
        <v>1327</v>
      </c>
      <c r="BO4" s="1459" t="s">
        <v>330</v>
      </c>
      <c r="BP4" s="1173"/>
    </row>
    <row r="5" spans="1:69" s="80" customFormat="1" ht="12" customHeight="1" x14ac:dyDescent="0.3">
      <c r="A5" s="293"/>
      <c r="B5" s="1172"/>
      <c r="C5" s="1172"/>
      <c r="D5" s="1172"/>
      <c r="E5" s="1172"/>
      <c r="F5" s="1457"/>
      <c r="G5" s="1457"/>
      <c r="H5" s="1457"/>
      <c r="I5" s="1458"/>
      <c r="J5" s="1459"/>
      <c r="K5" s="1459"/>
      <c r="L5" s="1459"/>
      <c r="M5" s="1459"/>
      <c r="N5" s="1459"/>
      <c r="O5" s="1459"/>
      <c r="P5" s="1459"/>
      <c r="Q5" s="1459"/>
      <c r="R5" s="1459"/>
      <c r="S5" s="1459"/>
      <c r="T5" s="1174"/>
      <c r="U5" s="1459"/>
      <c r="V5" s="1463"/>
      <c r="W5" s="1174"/>
      <c r="X5" s="1459"/>
      <c r="Y5" s="1459"/>
      <c r="Z5" s="1458"/>
      <c r="AA5" s="1459"/>
      <c r="AB5" s="1459"/>
      <c r="AC5" s="1463"/>
      <c r="AD5" s="1459"/>
      <c r="AE5" s="1459"/>
      <c r="AG5" s="1458"/>
      <c r="AH5" s="1459"/>
      <c r="AI5" s="1459"/>
      <c r="AJ5" s="1463"/>
      <c r="AK5" s="1459"/>
      <c r="AL5" s="1459"/>
      <c r="AN5" s="1458"/>
      <c r="AO5" s="1459"/>
      <c r="AP5" s="1459"/>
      <c r="AQ5" s="1463"/>
      <c r="AR5" s="1459"/>
      <c r="AS5" s="1459"/>
      <c r="AU5" s="1458"/>
      <c r="AV5" s="1459"/>
      <c r="AW5" s="1459"/>
      <c r="AX5" s="1463"/>
      <c r="AY5" s="1459"/>
      <c r="AZ5" s="1459"/>
      <c r="BB5" s="1458"/>
      <c r="BC5" s="1459"/>
      <c r="BD5" s="1459"/>
      <c r="BE5" s="1459"/>
      <c r="BG5" s="1458"/>
      <c r="BH5" s="1459"/>
      <c r="BI5" s="1459"/>
      <c r="BJ5" s="1459"/>
      <c r="BL5" s="1458"/>
      <c r="BM5" s="1459"/>
      <c r="BN5" s="1459"/>
      <c r="BO5" s="1459"/>
      <c r="BP5" s="1173"/>
    </row>
    <row r="6" spans="1:69" s="80" customFormat="1" ht="12" customHeight="1" x14ac:dyDescent="0.3">
      <c r="A6" s="293"/>
      <c r="B6" s="1465" t="s">
        <v>336</v>
      </c>
      <c r="C6" s="1466"/>
      <c r="D6" s="1466"/>
      <c r="E6" s="1467"/>
      <c r="F6" s="1457"/>
      <c r="G6" s="1457"/>
      <c r="H6" s="1457"/>
      <c r="I6" s="1458"/>
      <c r="J6" s="1459"/>
      <c r="K6" s="1459"/>
      <c r="L6" s="1459"/>
      <c r="M6" s="1459"/>
      <c r="N6" s="1459"/>
      <c r="O6" s="1459"/>
      <c r="P6" s="1459"/>
      <c r="Q6" s="1459"/>
      <c r="R6" s="1459"/>
      <c r="S6" s="1459"/>
      <c r="T6" s="1174"/>
      <c r="U6" s="1459"/>
      <c r="V6" s="1464"/>
      <c r="W6" s="1174"/>
      <c r="X6" s="1459"/>
      <c r="Y6" s="1459"/>
      <c r="Z6" s="1458"/>
      <c r="AA6" s="1459"/>
      <c r="AB6" s="1459"/>
      <c r="AC6" s="1464"/>
      <c r="AD6" s="1459"/>
      <c r="AE6" s="1459"/>
      <c r="AG6" s="1458"/>
      <c r="AH6" s="1459"/>
      <c r="AI6" s="1459"/>
      <c r="AJ6" s="1464"/>
      <c r="AK6" s="1459"/>
      <c r="AL6" s="1459"/>
      <c r="AN6" s="1458"/>
      <c r="AO6" s="1459"/>
      <c r="AP6" s="1459"/>
      <c r="AQ6" s="1464"/>
      <c r="AR6" s="1459"/>
      <c r="AS6" s="1459"/>
      <c r="AU6" s="1458"/>
      <c r="AV6" s="1459"/>
      <c r="AW6" s="1459"/>
      <c r="AX6" s="1464"/>
      <c r="AY6" s="1459"/>
      <c r="AZ6" s="1459"/>
      <c r="BB6" s="1458"/>
      <c r="BC6" s="1459"/>
      <c r="BD6" s="1459"/>
      <c r="BE6" s="1459"/>
      <c r="BG6" s="1458"/>
      <c r="BH6" s="1459"/>
      <c r="BI6" s="1459"/>
      <c r="BJ6" s="1459"/>
      <c r="BL6" s="1458"/>
      <c r="BM6" s="1459"/>
      <c r="BN6" s="1459"/>
      <c r="BO6" s="1459"/>
      <c r="BP6" s="1173"/>
    </row>
    <row r="7" spans="1:69" ht="12" customHeight="1" x14ac:dyDescent="0.35">
      <c r="A7" s="1175">
        <v>9257010</v>
      </c>
      <c r="B7" s="1460" t="s">
        <v>337</v>
      </c>
      <c r="C7" s="1461"/>
      <c r="D7" s="1461"/>
      <c r="E7" s="1461"/>
      <c r="F7" s="1176">
        <v>35258</v>
      </c>
      <c r="G7" s="1176">
        <v>35258</v>
      </c>
      <c r="H7" s="1176">
        <v>35258</v>
      </c>
      <c r="I7" s="1176">
        <v>35258</v>
      </c>
      <c r="J7" s="1177"/>
      <c r="K7" s="1177"/>
      <c r="L7" s="1177"/>
      <c r="M7" s="1178">
        <v>0</v>
      </c>
      <c r="N7" s="1179"/>
      <c r="O7" s="1177"/>
      <c r="P7" s="86"/>
      <c r="Q7" s="86"/>
      <c r="R7" s="1174"/>
      <c r="S7" s="1174"/>
      <c r="T7" s="1174"/>
      <c r="U7" s="1174"/>
      <c r="V7" s="255">
        <f>(9/12)*51500</f>
        <v>38625</v>
      </c>
      <c r="W7" s="1174"/>
      <c r="X7" s="255">
        <f>(8/12)*864</f>
        <v>576</v>
      </c>
      <c r="Y7" s="89">
        <f>I7+L7+Q7+U7+V7</f>
        <v>73883</v>
      </c>
      <c r="Z7" s="255">
        <f>I7</f>
        <v>35258</v>
      </c>
      <c r="AA7" s="255"/>
      <c r="AB7" s="255"/>
      <c r="AC7" s="255">
        <f>51500*(5/12)</f>
        <v>21458.333333333336</v>
      </c>
      <c r="AD7" s="255"/>
      <c r="AE7" s="255">
        <f>SUM(Z7:AD7)</f>
        <v>56716.333333333336</v>
      </c>
      <c r="AG7" s="255">
        <v>35258</v>
      </c>
      <c r="AH7" s="255"/>
      <c r="AI7" s="255"/>
      <c r="AJ7" s="255">
        <v>0</v>
      </c>
      <c r="AK7" s="255"/>
      <c r="AL7" s="255">
        <f>SUM(AG7:AK7)</f>
        <v>35258</v>
      </c>
      <c r="AN7" s="255">
        <v>26443.5</v>
      </c>
      <c r="AO7" s="255"/>
      <c r="AP7" s="255"/>
      <c r="AQ7" s="255">
        <v>0</v>
      </c>
      <c r="AR7" s="255"/>
      <c r="AS7" s="255">
        <f>SUM(AN7:AR7)</f>
        <v>26443.5</v>
      </c>
      <c r="AU7" s="255">
        <v>35258</v>
      </c>
      <c r="AV7" s="255"/>
      <c r="AW7" s="255"/>
      <c r="AX7" s="255">
        <v>0</v>
      </c>
      <c r="AY7" s="255"/>
      <c r="AZ7" s="255">
        <f>SUM(AU7:AY7)</f>
        <v>35258</v>
      </c>
      <c r="BB7" s="1256">
        <v>35258</v>
      </c>
      <c r="BC7" s="255"/>
      <c r="BD7" s="255"/>
      <c r="BE7" s="255">
        <f t="shared" ref="BE7:BE26" si="0">SUM(BB7:BD7)</f>
        <v>35258</v>
      </c>
      <c r="BG7" s="255">
        <v>35258</v>
      </c>
      <c r="BH7" s="255"/>
      <c r="BI7" s="255"/>
      <c r="BJ7" s="255">
        <f t="shared" ref="BJ7:BJ26" si="1">SUM(BG7:BI7)</f>
        <v>35258</v>
      </c>
      <c r="BL7" s="255">
        <f>35258</f>
        <v>35258</v>
      </c>
      <c r="BM7" s="255"/>
      <c r="BN7" s="255"/>
      <c r="BO7" s="255">
        <f t="shared" ref="BO7:BO26" si="2">SUM(BL7:BN7)</f>
        <v>35258</v>
      </c>
      <c r="BP7" s="1184"/>
    </row>
    <row r="8" spans="1:69" ht="12" customHeight="1" x14ac:dyDescent="0.35">
      <c r="A8" s="1175">
        <v>9257030</v>
      </c>
      <c r="B8" s="1460" t="s">
        <v>338</v>
      </c>
      <c r="C8" s="1461"/>
      <c r="D8" s="1461"/>
      <c r="E8" s="1461"/>
      <c r="F8" s="255"/>
      <c r="G8" s="255"/>
      <c r="H8" s="255"/>
      <c r="I8" s="255"/>
      <c r="J8" s="1177"/>
      <c r="K8" s="1177"/>
      <c r="L8" s="1177"/>
      <c r="M8" s="1178">
        <v>0</v>
      </c>
      <c r="N8" s="1179"/>
      <c r="O8" s="1177"/>
      <c r="P8" s="1177"/>
      <c r="Q8" s="1177"/>
      <c r="R8" s="1174"/>
      <c r="S8" s="1174"/>
      <c r="T8" s="1174"/>
      <c r="U8" s="1174"/>
      <c r="V8" s="255"/>
      <c r="W8" s="1174"/>
      <c r="X8" s="255"/>
      <c r="Y8" s="89">
        <f t="shared" ref="Y8:Y25" si="3">I8+L8+Q8+U8+V8</f>
        <v>0</v>
      </c>
      <c r="Z8" s="255"/>
      <c r="AA8" s="255"/>
      <c r="AB8" s="255"/>
      <c r="AC8" s="158"/>
      <c r="AD8" s="255"/>
      <c r="AE8" s="255">
        <f t="shared" ref="AE8:AE26" si="4">SUM(Z8:AD8)</f>
        <v>0</v>
      </c>
      <c r="AG8" s="255"/>
      <c r="AH8" s="255"/>
      <c r="AI8" s="255"/>
      <c r="AJ8" s="158"/>
      <c r="AK8" s="255"/>
      <c r="AL8" s="255">
        <f t="shared" ref="AL8:AL26" si="5">SUM(AG8:AK8)</f>
        <v>0</v>
      </c>
      <c r="AN8" s="255"/>
      <c r="AO8" s="255"/>
      <c r="AP8" s="255"/>
      <c r="AQ8" s="158"/>
      <c r="AR8" s="255"/>
      <c r="AS8" s="255">
        <f t="shared" ref="AS8:AS26" si="6">SUM(AN8:AR8)</f>
        <v>0</v>
      </c>
      <c r="AU8" s="255"/>
      <c r="AV8" s="255"/>
      <c r="AW8" s="255"/>
      <c r="AX8" s="158"/>
      <c r="AY8" s="255"/>
      <c r="AZ8" s="255">
        <f t="shared" ref="AZ8:AZ26" si="7">SUM(AU8:AY8)</f>
        <v>0</v>
      </c>
      <c r="BB8" s="1256"/>
      <c r="BC8" s="255"/>
      <c r="BD8" s="255"/>
      <c r="BE8" s="255">
        <f t="shared" si="0"/>
        <v>0</v>
      </c>
      <c r="BG8" s="255"/>
      <c r="BH8" s="255"/>
      <c r="BI8" s="255"/>
      <c r="BJ8" s="255">
        <f t="shared" si="1"/>
        <v>0</v>
      </c>
      <c r="BL8" s="255"/>
      <c r="BM8" s="255"/>
      <c r="BN8" s="255"/>
      <c r="BO8" s="255">
        <f t="shared" si="2"/>
        <v>0</v>
      </c>
      <c r="BP8" s="1184"/>
    </row>
    <row r="9" spans="1:69" ht="12" customHeight="1" x14ac:dyDescent="0.35">
      <c r="A9" s="1175">
        <v>9257031</v>
      </c>
      <c r="B9" s="1460" t="s">
        <v>339</v>
      </c>
      <c r="C9" s="1461"/>
      <c r="D9" s="1461"/>
      <c r="E9" s="1461"/>
      <c r="F9" s="255"/>
      <c r="G9" s="255"/>
      <c r="H9" s="255"/>
      <c r="I9" s="255"/>
      <c r="J9" s="1177"/>
      <c r="K9" s="1177"/>
      <c r="L9" s="1177"/>
      <c r="M9" s="1178">
        <v>0</v>
      </c>
      <c r="N9" s="1179"/>
      <c r="O9" s="1177"/>
      <c r="P9" s="1177"/>
      <c r="Q9" s="1177"/>
      <c r="R9" s="1174"/>
      <c r="S9" s="1174"/>
      <c r="T9" s="1174"/>
      <c r="U9" s="1174"/>
      <c r="V9" s="255"/>
      <c r="W9" s="1174"/>
      <c r="X9" s="255"/>
      <c r="Y9" s="89">
        <f t="shared" si="3"/>
        <v>0</v>
      </c>
      <c r="Z9" s="255"/>
      <c r="AA9" s="255"/>
      <c r="AB9" s="255"/>
      <c r="AC9" s="158"/>
      <c r="AD9" s="255"/>
      <c r="AE9" s="255">
        <f t="shared" si="4"/>
        <v>0</v>
      </c>
      <c r="AG9" s="255"/>
      <c r="AH9" s="255"/>
      <c r="AI9" s="255"/>
      <c r="AJ9" s="158"/>
      <c r="AK9" s="255"/>
      <c r="AL9" s="255">
        <f t="shared" si="5"/>
        <v>0</v>
      </c>
      <c r="AN9" s="255"/>
      <c r="AO9" s="255"/>
      <c r="AP9" s="255"/>
      <c r="AQ9" s="158"/>
      <c r="AR9" s="255"/>
      <c r="AS9" s="255">
        <f t="shared" si="6"/>
        <v>0</v>
      </c>
      <c r="AU9" s="255"/>
      <c r="AV9" s="255"/>
      <c r="AW9" s="255"/>
      <c r="AX9" s="158"/>
      <c r="AY9" s="255"/>
      <c r="AZ9" s="255">
        <f t="shared" si="7"/>
        <v>0</v>
      </c>
      <c r="BB9" s="1256"/>
      <c r="BC9" s="255"/>
      <c r="BD9" s="255"/>
      <c r="BE9" s="255">
        <f t="shared" si="0"/>
        <v>0</v>
      </c>
      <c r="BG9" s="255"/>
      <c r="BH9" s="255"/>
      <c r="BI9" s="255"/>
      <c r="BJ9" s="255">
        <f t="shared" si="1"/>
        <v>0</v>
      </c>
      <c r="BL9" s="255"/>
      <c r="BM9" s="255"/>
      <c r="BN9" s="255"/>
      <c r="BO9" s="255">
        <f t="shared" si="2"/>
        <v>0</v>
      </c>
      <c r="BP9" s="1184"/>
    </row>
    <row r="10" spans="1:69" ht="12" customHeight="1" x14ac:dyDescent="0.35">
      <c r="A10" s="1175">
        <v>9257008</v>
      </c>
      <c r="B10" s="1460" t="s">
        <v>340</v>
      </c>
      <c r="C10" s="1461"/>
      <c r="D10" s="1461"/>
      <c r="E10" s="1461"/>
      <c r="F10" s="255"/>
      <c r="G10" s="255"/>
      <c r="H10" s="255"/>
      <c r="I10" s="255"/>
      <c r="J10" s="255"/>
      <c r="K10" s="255"/>
      <c r="L10" s="255"/>
      <c r="M10" s="1180">
        <v>4</v>
      </c>
      <c r="N10" s="1176">
        <v>44916</v>
      </c>
      <c r="O10" s="255">
        <v>51500</v>
      </c>
      <c r="P10" s="255">
        <v>51500</v>
      </c>
      <c r="Q10" s="255">
        <v>51500</v>
      </c>
      <c r="R10" s="1174"/>
      <c r="S10" s="1174"/>
      <c r="T10" s="1174"/>
      <c r="U10" s="1174"/>
      <c r="V10" s="255"/>
      <c r="W10" s="1174"/>
      <c r="X10" s="255"/>
      <c r="Y10" s="89">
        <f t="shared" si="3"/>
        <v>51500</v>
      </c>
      <c r="Z10" s="255"/>
      <c r="AA10" s="255"/>
      <c r="AB10" s="255">
        <f>Q10*(5/12)</f>
        <v>21458.333333333336</v>
      </c>
      <c r="AC10" s="255">
        <f>51500*(5/12)</f>
        <v>21458.333333333336</v>
      </c>
      <c r="AD10" s="255"/>
      <c r="AE10" s="255">
        <f t="shared" si="4"/>
        <v>42916.666666666672</v>
      </c>
      <c r="AG10" s="255"/>
      <c r="AH10" s="255"/>
      <c r="AI10" s="255">
        <v>617500</v>
      </c>
      <c r="AJ10" s="255">
        <v>0</v>
      </c>
      <c r="AK10" s="255"/>
      <c r="AL10" s="255">
        <f t="shared" si="5"/>
        <v>617500</v>
      </c>
      <c r="AN10" s="255"/>
      <c r="AO10" s="255"/>
      <c r="AP10" s="255">
        <v>617500</v>
      </c>
      <c r="AQ10" s="255">
        <v>0</v>
      </c>
      <c r="AR10" s="255"/>
      <c r="AS10" s="255">
        <f t="shared" si="6"/>
        <v>617500</v>
      </c>
      <c r="AU10" s="255"/>
      <c r="AV10" s="255"/>
      <c r="AW10" s="255">
        <v>617500</v>
      </c>
      <c r="AX10" s="255">
        <v>0</v>
      </c>
      <c r="AY10" s="255"/>
      <c r="AZ10" s="255">
        <f t="shared" si="7"/>
        <v>617500</v>
      </c>
      <c r="BB10" s="1256"/>
      <c r="BC10" s="1257">
        <v>617500</v>
      </c>
      <c r="BD10" s="255"/>
      <c r="BE10" s="255">
        <f t="shared" si="0"/>
        <v>617500</v>
      </c>
      <c r="BG10" s="255"/>
      <c r="BH10" s="255">
        <f>617500/12*5</f>
        <v>257291.66666666669</v>
      </c>
      <c r="BI10" s="255"/>
      <c r="BJ10" s="255">
        <f t="shared" si="1"/>
        <v>257291.66666666669</v>
      </c>
      <c r="BL10" s="255"/>
      <c r="BM10" s="255">
        <f>617500</f>
        <v>617500</v>
      </c>
      <c r="BN10" s="255"/>
      <c r="BO10" s="255">
        <f t="shared" si="2"/>
        <v>617500</v>
      </c>
      <c r="BP10" s="1184"/>
      <c r="BQ10" s="79" t="s">
        <v>1193</v>
      </c>
    </row>
    <row r="11" spans="1:69" ht="12" customHeight="1" x14ac:dyDescent="0.35">
      <c r="A11" s="1175">
        <v>9257002</v>
      </c>
      <c r="B11" s="1460" t="s">
        <v>341</v>
      </c>
      <c r="C11" s="1461"/>
      <c r="D11" s="1461"/>
      <c r="E11" s="1461"/>
      <c r="F11" s="255"/>
      <c r="G11" s="255"/>
      <c r="H11" s="255"/>
      <c r="I11" s="255"/>
      <c r="J11" s="255">
        <v>60000</v>
      </c>
      <c r="K11" s="255">
        <v>60000</v>
      </c>
      <c r="L11" s="255">
        <v>60000</v>
      </c>
      <c r="M11" s="1178">
        <v>0</v>
      </c>
      <c r="N11" s="1176"/>
      <c r="O11" s="255"/>
      <c r="P11" s="255"/>
      <c r="Q11" s="255"/>
      <c r="R11" s="1174"/>
      <c r="S11" s="1174"/>
      <c r="T11" s="1174"/>
      <c r="U11" s="1174"/>
      <c r="V11" s="255"/>
      <c r="W11" s="1174"/>
      <c r="X11" s="255"/>
      <c r="Y11" s="89">
        <f t="shared" si="3"/>
        <v>60000</v>
      </c>
      <c r="Z11" s="255"/>
      <c r="AA11" s="255"/>
      <c r="AB11" s="255"/>
      <c r="AC11" s="158"/>
      <c r="AD11" s="255"/>
      <c r="AE11" s="255">
        <f t="shared" si="4"/>
        <v>0</v>
      </c>
      <c r="AG11" s="255"/>
      <c r="AH11" s="255"/>
      <c r="AI11" s="255"/>
      <c r="AJ11" s="158"/>
      <c r="AK11" s="255"/>
      <c r="AL11" s="255">
        <f t="shared" si="5"/>
        <v>0</v>
      </c>
      <c r="AN11" s="255"/>
      <c r="AO11" s="255"/>
      <c r="AP11" s="255"/>
      <c r="AQ11" s="158"/>
      <c r="AR11" s="255"/>
      <c r="AS11" s="255">
        <f t="shared" si="6"/>
        <v>0</v>
      </c>
      <c r="AU11" s="255"/>
      <c r="AV11" s="255"/>
      <c r="AW11" s="255"/>
      <c r="AX11" s="158"/>
      <c r="AY11" s="255"/>
      <c r="AZ11" s="255">
        <f t="shared" si="7"/>
        <v>0</v>
      </c>
      <c r="BB11" s="1256"/>
      <c r="BC11" s="255"/>
      <c r="BD11" s="255"/>
      <c r="BE11" s="255">
        <f t="shared" si="0"/>
        <v>0</v>
      </c>
      <c r="BG11" s="255"/>
      <c r="BH11" s="255"/>
      <c r="BI11" s="255"/>
      <c r="BJ11" s="255">
        <f t="shared" si="1"/>
        <v>0</v>
      </c>
      <c r="BL11" s="255"/>
      <c r="BM11" s="255"/>
      <c r="BN11" s="255"/>
      <c r="BO11" s="255">
        <f t="shared" si="2"/>
        <v>0</v>
      </c>
      <c r="BP11" s="1184"/>
    </row>
    <row r="12" spans="1:69" ht="12" customHeight="1" x14ac:dyDescent="0.35">
      <c r="A12" s="1175">
        <v>9257005</v>
      </c>
      <c r="B12" s="1460" t="s">
        <v>342</v>
      </c>
      <c r="C12" s="1461"/>
      <c r="D12" s="1461"/>
      <c r="E12" s="1461"/>
      <c r="F12" s="1176">
        <v>35258</v>
      </c>
      <c r="G12" s="1176">
        <v>35258</v>
      </c>
      <c r="H12" s="1176">
        <v>35258</v>
      </c>
      <c r="I12" s="1176">
        <v>35258</v>
      </c>
      <c r="J12" s="255"/>
      <c r="K12" s="255"/>
      <c r="L12" s="255"/>
      <c r="M12" s="1178">
        <v>0</v>
      </c>
      <c r="N12" s="1176"/>
      <c r="O12" s="255"/>
      <c r="P12" s="255"/>
      <c r="Q12" s="255"/>
      <c r="R12" s="1174"/>
      <c r="S12" s="1174"/>
      <c r="T12" s="1174"/>
      <c r="U12" s="1174"/>
      <c r="V12" s="255"/>
      <c r="W12" s="1174"/>
      <c r="X12" s="255">
        <f>(8/12)*2591</f>
        <v>1727.3333333333333</v>
      </c>
      <c r="Y12" s="89">
        <f t="shared" si="3"/>
        <v>35258</v>
      </c>
      <c r="Z12" s="255">
        <f>I12</f>
        <v>35258</v>
      </c>
      <c r="AA12" s="255"/>
      <c r="AB12" s="255"/>
      <c r="AC12" s="158"/>
      <c r="AD12" s="255"/>
      <c r="AE12" s="255">
        <f t="shared" si="4"/>
        <v>35258</v>
      </c>
      <c r="AG12" s="255">
        <v>35258</v>
      </c>
      <c r="AH12" s="255"/>
      <c r="AI12" s="255"/>
      <c r="AJ12" s="158"/>
      <c r="AK12" s="255"/>
      <c r="AL12" s="255">
        <f t="shared" si="5"/>
        <v>35258</v>
      </c>
      <c r="AN12" s="255">
        <v>26443.5</v>
      </c>
      <c r="AO12" s="255"/>
      <c r="AP12" s="255"/>
      <c r="AQ12" s="158"/>
      <c r="AR12" s="255"/>
      <c r="AS12" s="255">
        <f t="shared" si="6"/>
        <v>26443.5</v>
      </c>
      <c r="AU12" s="255">
        <v>35258</v>
      </c>
      <c r="AV12" s="255"/>
      <c r="AW12" s="255"/>
      <c r="AX12" s="158"/>
      <c r="AY12" s="255"/>
      <c r="AZ12" s="255">
        <f t="shared" si="7"/>
        <v>35258</v>
      </c>
      <c r="BB12" s="1256">
        <v>35258</v>
      </c>
      <c r="BC12" s="255"/>
      <c r="BD12" s="255"/>
      <c r="BE12" s="255">
        <f t="shared" si="0"/>
        <v>35258</v>
      </c>
      <c r="BG12" s="255">
        <v>35258</v>
      </c>
      <c r="BH12" s="255"/>
      <c r="BI12" s="255"/>
      <c r="BJ12" s="255">
        <f t="shared" si="1"/>
        <v>35258</v>
      </c>
      <c r="BL12" s="255">
        <f>35258</f>
        <v>35258</v>
      </c>
      <c r="BM12" s="255"/>
      <c r="BN12" s="255"/>
      <c r="BO12" s="255">
        <f t="shared" si="2"/>
        <v>35258</v>
      </c>
      <c r="BP12" s="1184"/>
    </row>
    <row r="13" spans="1:69" ht="12" customHeight="1" x14ac:dyDescent="0.35">
      <c r="A13" s="1175">
        <v>9257034</v>
      </c>
      <c r="B13" s="1460" t="s">
        <v>343</v>
      </c>
      <c r="C13" s="1461"/>
      <c r="D13" s="1461"/>
      <c r="E13" s="1461"/>
      <c r="F13" s="255"/>
      <c r="G13" s="255"/>
      <c r="H13" s="255"/>
      <c r="I13" s="255"/>
      <c r="J13" s="255"/>
      <c r="K13" s="255"/>
      <c r="L13" s="255"/>
      <c r="M13" s="1178">
        <v>0</v>
      </c>
      <c r="N13" s="1176"/>
      <c r="O13" s="255"/>
      <c r="P13" s="255"/>
      <c r="Q13" s="255"/>
      <c r="R13" s="1174"/>
      <c r="S13" s="1174"/>
      <c r="T13" s="1174"/>
      <c r="U13" s="1174"/>
      <c r="V13" s="255"/>
      <c r="W13" s="1174"/>
      <c r="X13" s="255">
        <f>(8/12)*3455</f>
        <v>2303.333333333333</v>
      </c>
      <c r="Y13" s="89">
        <f t="shared" si="3"/>
        <v>0</v>
      </c>
      <c r="Z13" s="255"/>
      <c r="AA13" s="255"/>
      <c r="AB13" s="255"/>
      <c r="AC13" s="158"/>
      <c r="AD13" s="255"/>
      <c r="AE13" s="255">
        <f t="shared" si="4"/>
        <v>0</v>
      </c>
      <c r="AG13" s="255"/>
      <c r="AH13" s="255"/>
      <c r="AI13" s="255"/>
      <c r="AJ13" s="158"/>
      <c r="AK13" s="255"/>
      <c r="AL13" s="255">
        <f t="shared" si="5"/>
        <v>0</v>
      </c>
      <c r="AN13" s="255"/>
      <c r="AO13" s="255"/>
      <c r="AP13" s="255"/>
      <c r="AQ13" s="158"/>
      <c r="AR13" s="255"/>
      <c r="AS13" s="255">
        <f t="shared" si="6"/>
        <v>0</v>
      </c>
      <c r="AU13" s="255"/>
      <c r="AV13" s="255"/>
      <c r="AW13" s="255"/>
      <c r="AX13" s="158"/>
      <c r="AY13" s="255"/>
      <c r="AZ13" s="255">
        <f t="shared" si="7"/>
        <v>0</v>
      </c>
      <c r="BB13" s="1256"/>
      <c r="BC13" s="255"/>
      <c r="BD13" s="255"/>
      <c r="BE13" s="255">
        <f t="shared" si="0"/>
        <v>0</v>
      </c>
      <c r="BG13" s="255"/>
      <c r="BH13" s="255"/>
      <c r="BI13" s="255"/>
      <c r="BJ13" s="255">
        <f t="shared" si="1"/>
        <v>0</v>
      </c>
      <c r="BL13" s="255"/>
      <c r="BM13" s="255"/>
      <c r="BN13" s="255"/>
      <c r="BO13" s="255">
        <f t="shared" si="2"/>
        <v>0</v>
      </c>
      <c r="BP13" s="1184"/>
    </row>
    <row r="14" spans="1:69" ht="12" customHeight="1" x14ac:dyDescent="0.35">
      <c r="A14" s="1175">
        <v>9257021</v>
      </c>
      <c r="B14" s="1460" t="s">
        <v>344</v>
      </c>
      <c r="C14" s="1461"/>
      <c r="D14" s="1461"/>
      <c r="E14" s="1461"/>
      <c r="F14" s="255"/>
      <c r="G14" s="255"/>
      <c r="H14" s="255">
        <v>35258</v>
      </c>
      <c r="I14" s="1176">
        <v>35258</v>
      </c>
      <c r="J14" s="255"/>
      <c r="K14" s="255"/>
      <c r="L14" s="255"/>
      <c r="M14" s="1178">
        <v>0</v>
      </c>
      <c r="N14" s="1176"/>
      <c r="O14" s="255"/>
      <c r="P14" s="255"/>
      <c r="Q14" s="255"/>
      <c r="R14" s="255">
        <v>274420</v>
      </c>
      <c r="S14" s="255">
        <f>R14*(3/12)</f>
        <v>68605</v>
      </c>
      <c r="T14" s="1174" t="s">
        <v>345</v>
      </c>
      <c r="U14" s="1174"/>
      <c r="V14" s="255"/>
      <c r="W14" s="1174"/>
      <c r="X14" s="255"/>
      <c r="Y14" s="89">
        <f t="shared" si="3"/>
        <v>35258</v>
      </c>
      <c r="Z14" s="255">
        <f>I14</f>
        <v>35258</v>
      </c>
      <c r="AA14" s="255"/>
      <c r="AB14" s="255"/>
      <c r="AC14" s="158"/>
      <c r="AD14" s="255"/>
      <c r="AE14" s="255">
        <f t="shared" si="4"/>
        <v>35258</v>
      </c>
      <c r="AG14" s="255">
        <v>35258</v>
      </c>
      <c r="AH14" s="255"/>
      <c r="AI14" s="255"/>
      <c r="AJ14" s="158"/>
      <c r="AK14" s="255"/>
      <c r="AL14" s="255">
        <f t="shared" si="5"/>
        <v>35258</v>
      </c>
      <c r="AN14" s="255">
        <v>26443.5</v>
      </c>
      <c r="AO14" s="255"/>
      <c r="AP14" s="255"/>
      <c r="AQ14" s="158"/>
      <c r="AR14" s="255"/>
      <c r="AS14" s="255">
        <f t="shared" si="6"/>
        <v>26443.5</v>
      </c>
      <c r="AU14" s="255">
        <v>35258</v>
      </c>
      <c r="AV14" s="255"/>
      <c r="AW14" s="255"/>
      <c r="AX14" s="158"/>
      <c r="AY14" s="255"/>
      <c r="AZ14" s="255">
        <f t="shared" si="7"/>
        <v>35258</v>
      </c>
      <c r="BB14" s="1256">
        <v>35258</v>
      </c>
      <c r="BC14" s="255"/>
      <c r="BD14" s="255"/>
      <c r="BE14" s="255">
        <f t="shared" si="0"/>
        <v>35258</v>
      </c>
      <c r="BG14" s="255">
        <v>35258</v>
      </c>
      <c r="BH14" s="255"/>
      <c r="BI14" s="255"/>
      <c r="BJ14" s="255">
        <f t="shared" si="1"/>
        <v>35258</v>
      </c>
      <c r="BL14" s="255">
        <f>35258</f>
        <v>35258</v>
      </c>
      <c r="BM14" s="255"/>
      <c r="BN14" s="255"/>
      <c r="BO14" s="255">
        <f t="shared" si="2"/>
        <v>35258</v>
      </c>
      <c r="BP14" s="1184"/>
    </row>
    <row r="15" spans="1:69" s="77" customFormat="1" ht="12" customHeight="1" x14ac:dyDescent="0.3">
      <c r="A15" s="1175">
        <v>9257033</v>
      </c>
      <c r="B15" s="1460" t="s">
        <v>346</v>
      </c>
      <c r="C15" s="1461"/>
      <c r="D15" s="1461"/>
      <c r="E15" s="1461"/>
      <c r="F15" s="1176">
        <v>35258</v>
      </c>
      <c r="G15" s="1176">
        <v>35258</v>
      </c>
      <c r="H15" s="1176">
        <v>35258</v>
      </c>
      <c r="I15" s="1176">
        <v>35258</v>
      </c>
      <c r="J15" s="255"/>
      <c r="K15" s="255"/>
      <c r="L15" s="255"/>
      <c r="M15" s="1178">
        <v>0</v>
      </c>
      <c r="N15" s="1176"/>
      <c r="O15" s="255"/>
      <c r="P15" s="86"/>
      <c r="Q15" s="86"/>
      <c r="R15" s="1174"/>
      <c r="S15" s="1174"/>
      <c r="T15" s="1174"/>
      <c r="U15" s="1174"/>
      <c r="V15" s="255">
        <f>(9/12)*51500</f>
        <v>38625</v>
      </c>
      <c r="W15" s="1174"/>
      <c r="X15" s="255"/>
      <c r="Y15" s="89">
        <f t="shared" si="3"/>
        <v>73883</v>
      </c>
      <c r="Z15" s="255">
        <f>I15</f>
        <v>35258</v>
      </c>
      <c r="AA15" s="255"/>
      <c r="AB15" s="255"/>
      <c r="AC15" s="255">
        <f>51500*(5/12)</f>
        <v>21458.333333333336</v>
      </c>
      <c r="AD15" s="255"/>
      <c r="AE15" s="255">
        <f t="shared" si="4"/>
        <v>56716.333333333336</v>
      </c>
      <c r="AF15" s="1172"/>
      <c r="AG15" s="255">
        <v>35258</v>
      </c>
      <c r="AH15" s="255"/>
      <c r="AI15" s="255"/>
      <c r="AJ15" s="255">
        <v>0</v>
      </c>
      <c r="AK15" s="255"/>
      <c r="AL15" s="255">
        <f t="shared" si="5"/>
        <v>35258</v>
      </c>
      <c r="AM15" s="1172"/>
      <c r="AN15" s="255">
        <v>26443.5</v>
      </c>
      <c r="AO15" s="255"/>
      <c r="AP15" s="255"/>
      <c r="AQ15" s="255">
        <v>0</v>
      </c>
      <c r="AR15" s="255"/>
      <c r="AS15" s="255">
        <f t="shared" si="6"/>
        <v>26443.5</v>
      </c>
      <c r="AT15" s="1172"/>
      <c r="AU15" s="255">
        <v>35258</v>
      </c>
      <c r="AV15" s="255"/>
      <c r="AW15" s="255"/>
      <c r="AX15" s="255">
        <v>0</v>
      </c>
      <c r="AY15" s="255"/>
      <c r="AZ15" s="255">
        <f t="shared" si="7"/>
        <v>35258</v>
      </c>
      <c r="BA15" s="1172"/>
      <c r="BB15" s="1256">
        <v>35258</v>
      </c>
      <c r="BC15" s="255"/>
      <c r="BD15" s="255"/>
      <c r="BE15" s="255">
        <f t="shared" si="0"/>
        <v>35258</v>
      </c>
      <c r="BF15" s="1172"/>
      <c r="BG15" s="255"/>
      <c r="BH15" s="255"/>
      <c r="BI15" s="255"/>
      <c r="BJ15" s="255">
        <f t="shared" si="1"/>
        <v>0</v>
      </c>
      <c r="BK15" s="1172"/>
      <c r="BL15" s="255"/>
      <c r="BM15" s="255"/>
      <c r="BN15" s="255"/>
      <c r="BO15" s="255">
        <f t="shared" si="2"/>
        <v>0</v>
      </c>
      <c r="BP15" s="1184"/>
      <c r="BQ15" s="1172"/>
    </row>
    <row r="16" spans="1:69" s="77" customFormat="1" ht="12" customHeight="1" x14ac:dyDescent="0.3">
      <c r="A16" s="1175">
        <v>9257017</v>
      </c>
      <c r="B16" s="1460" t="s">
        <v>347</v>
      </c>
      <c r="C16" s="1461"/>
      <c r="D16" s="1461"/>
      <c r="E16" s="1461"/>
      <c r="F16" s="1176">
        <v>55122</v>
      </c>
      <c r="G16" s="1176">
        <v>35258</v>
      </c>
      <c r="H16" s="1176">
        <v>14690.833333333334</v>
      </c>
      <c r="I16" s="1176"/>
      <c r="J16" s="255"/>
      <c r="K16" s="255"/>
      <c r="L16" s="255"/>
      <c r="M16" s="1178">
        <v>0</v>
      </c>
      <c r="N16" s="1176"/>
      <c r="O16" s="255"/>
      <c r="P16" s="255"/>
      <c r="Q16" s="255"/>
      <c r="R16" s="1174"/>
      <c r="S16" s="1174"/>
      <c r="T16" s="1174"/>
      <c r="U16" s="1174"/>
      <c r="V16" s="255"/>
      <c r="W16" s="1174"/>
      <c r="X16" s="255"/>
      <c r="Y16" s="89">
        <f t="shared" si="3"/>
        <v>0</v>
      </c>
      <c r="Z16" s="255"/>
      <c r="AA16" s="255"/>
      <c r="AB16" s="255"/>
      <c r="AC16" s="255"/>
      <c r="AD16" s="255"/>
      <c r="AE16" s="255">
        <f t="shared" si="4"/>
        <v>0</v>
      </c>
      <c r="AF16" s="1172"/>
      <c r="AG16" s="255"/>
      <c r="AH16" s="255"/>
      <c r="AI16" s="255"/>
      <c r="AJ16" s="255"/>
      <c r="AK16" s="255"/>
      <c r="AL16" s="255">
        <f t="shared" si="5"/>
        <v>0</v>
      </c>
      <c r="AM16" s="1172"/>
      <c r="AN16" s="255"/>
      <c r="AO16" s="255"/>
      <c r="AP16" s="255"/>
      <c r="AQ16" s="255"/>
      <c r="AR16" s="255"/>
      <c r="AS16" s="255">
        <f t="shared" si="6"/>
        <v>0</v>
      </c>
      <c r="AT16" s="1172"/>
      <c r="AU16" s="255"/>
      <c r="AV16" s="255"/>
      <c r="AW16" s="255"/>
      <c r="AX16" s="255"/>
      <c r="AY16" s="255"/>
      <c r="AZ16" s="255">
        <f t="shared" si="7"/>
        <v>0</v>
      </c>
      <c r="BA16" s="1172"/>
      <c r="BB16" s="1256"/>
      <c r="BC16" s="255"/>
      <c r="BD16" s="255"/>
      <c r="BE16" s="255">
        <f t="shared" si="0"/>
        <v>0</v>
      </c>
      <c r="BF16" s="1172"/>
      <c r="BG16" s="255"/>
      <c r="BH16" s="255"/>
      <c r="BI16" s="255"/>
      <c r="BJ16" s="255">
        <f t="shared" si="1"/>
        <v>0</v>
      </c>
      <c r="BK16" s="1172"/>
      <c r="BL16" s="255"/>
      <c r="BM16" s="255"/>
      <c r="BN16" s="255"/>
      <c r="BO16" s="255">
        <f t="shared" si="2"/>
        <v>0</v>
      </c>
      <c r="BP16" s="1184"/>
      <c r="BQ16" s="1172"/>
    </row>
    <row r="17" spans="1:69" ht="12" customHeight="1" x14ac:dyDescent="0.35">
      <c r="A17" s="1175">
        <v>9257015</v>
      </c>
      <c r="B17" s="1460" t="s">
        <v>348</v>
      </c>
      <c r="C17" s="1461"/>
      <c r="D17" s="1461"/>
      <c r="E17" s="1461"/>
      <c r="F17" s="255"/>
      <c r="G17" s="255"/>
      <c r="H17" s="255">
        <f>(7/12)*35258</f>
        <v>20567.166666666668</v>
      </c>
      <c r="I17" s="255">
        <v>35258</v>
      </c>
      <c r="J17" s="255"/>
      <c r="K17" s="255"/>
      <c r="L17" s="255"/>
      <c r="M17" s="1180">
        <v>6</v>
      </c>
      <c r="N17" s="1176">
        <v>67374</v>
      </c>
      <c r="O17" s="255">
        <v>67374</v>
      </c>
      <c r="P17" s="255">
        <v>51500</v>
      </c>
      <c r="Q17" s="255">
        <v>51500</v>
      </c>
      <c r="R17" s="1174"/>
      <c r="S17" s="1174"/>
      <c r="T17" s="1174" t="s">
        <v>9</v>
      </c>
      <c r="U17" s="1174"/>
      <c r="V17" s="255"/>
      <c r="W17" s="1174"/>
      <c r="X17" s="255">
        <f>(8/12)*2015</f>
        <v>1343.3333333333333</v>
      </c>
      <c r="Y17" s="89">
        <f t="shared" si="3"/>
        <v>86758</v>
      </c>
      <c r="Z17" s="255">
        <f>I17</f>
        <v>35258</v>
      </c>
      <c r="AA17" s="255"/>
      <c r="AB17" s="255">
        <f>Q17*(5/12)</f>
        <v>21458.333333333336</v>
      </c>
      <c r="AC17" s="158"/>
      <c r="AD17" s="255"/>
      <c r="AE17" s="255">
        <f t="shared" si="4"/>
        <v>56716.333333333336</v>
      </c>
      <c r="AG17" s="255">
        <v>35258</v>
      </c>
      <c r="AH17" s="255"/>
      <c r="AI17" s="255">
        <v>0</v>
      </c>
      <c r="AJ17" s="158"/>
      <c r="AK17" s="255"/>
      <c r="AL17" s="255">
        <f t="shared" si="5"/>
        <v>35258</v>
      </c>
      <c r="AN17" s="255">
        <v>26443.5</v>
      </c>
      <c r="AO17" s="255"/>
      <c r="AP17" s="255">
        <v>0</v>
      </c>
      <c r="AQ17" s="158"/>
      <c r="AR17" s="255"/>
      <c r="AS17" s="255">
        <f t="shared" si="6"/>
        <v>26443.5</v>
      </c>
      <c r="AU17" s="255">
        <v>35258</v>
      </c>
      <c r="AV17" s="255"/>
      <c r="AW17" s="255">
        <v>0</v>
      </c>
      <c r="AX17" s="158"/>
      <c r="AY17" s="255"/>
      <c r="AZ17" s="255">
        <f t="shared" si="7"/>
        <v>35258</v>
      </c>
      <c r="BB17" s="1256">
        <v>35258</v>
      </c>
      <c r="BC17" s="255"/>
      <c r="BD17" s="255"/>
      <c r="BE17" s="255">
        <f t="shared" si="0"/>
        <v>35258</v>
      </c>
      <c r="BG17" s="255">
        <f>35258+12500</f>
        <v>47758</v>
      </c>
      <c r="BH17" s="255"/>
      <c r="BI17" s="255"/>
      <c r="BJ17" s="255">
        <f t="shared" si="1"/>
        <v>47758</v>
      </c>
      <c r="BL17" s="255">
        <f>35258</f>
        <v>35258</v>
      </c>
      <c r="BM17" s="255"/>
      <c r="BN17" s="255"/>
      <c r="BO17" s="255">
        <f t="shared" si="2"/>
        <v>35258</v>
      </c>
      <c r="BP17" s="1184"/>
      <c r="BQ17" s="79" t="s">
        <v>1194</v>
      </c>
    </row>
    <row r="18" spans="1:69" x14ac:dyDescent="0.35">
      <c r="A18" s="1175">
        <v>9257016</v>
      </c>
      <c r="B18" s="1460" t="s">
        <v>349</v>
      </c>
      <c r="C18" s="1461"/>
      <c r="D18" s="1461"/>
      <c r="E18" s="1461"/>
      <c r="F18" s="255"/>
      <c r="G18" s="255"/>
      <c r="H18" s="255"/>
      <c r="I18" s="255"/>
      <c r="J18" s="255">
        <v>60000</v>
      </c>
      <c r="K18" s="255">
        <v>60000</v>
      </c>
      <c r="L18" s="255">
        <v>60000</v>
      </c>
      <c r="M18" s="1180">
        <v>8.5</v>
      </c>
      <c r="N18" s="1176">
        <v>88935.5</v>
      </c>
      <c r="O18" s="255">
        <v>88936</v>
      </c>
      <c r="P18" s="255">
        <v>88936</v>
      </c>
      <c r="Q18" s="255">
        <v>88936</v>
      </c>
      <c r="R18" s="255">
        <v>582568</v>
      </c>
      <c r="S18" s="255">
        <v>582568</v>
      </c>
      <c r="T18" s="1174"/>
      <c r="U18" s="255">
        <v>582568</v>
      </c>
      <c r="V18" s="255"/>
      <c r="W18" s="1174"/>
      <c r="X18" s="255">
        <f>(8/12)*5470</f>
        <v>3646.6666666666665</v>
      </c>
      <c r="Y18" s="89">
        <f t="shared" si="3"/>
        <v>731504</v>
      </c>
      <c r="Z18" s="255"/>
      <c r="AA18" s="255">
        <f>L18*(5/12)</f>
        <v>25000</v>
      </c>
      <c r="AB18" s="255">
        <f>Q18*(5/12)</f>
        <v>37056.666666666672</v>
      </c>
      <c r="AC18" s="158"/>
      <c r="AD18" s="255">
        <f>U18</f>
        <v>582568</v>
      </c>
      <c r="AE18" s="255">
        <f t="shared" si="4"/>
        <v>644624.66666666663</v>
      </c>
      <c r="AG18" s="255"/>
      <c r="AH18" s="255">
        <v>0</v>
      </c>
      <c r="AI18" s="255">
        <v>140436</v>
      </c>
      <c r="AJ18" s="158"/>
      <c r="AK18" s="255">
        <v>582568</v>
      </c>
      <c r="AL18" s="255">
        <f t="shared" si="5"/>
        <v>723004</v>
      </c>
      <c r="AN18" s="255"/>
      <c r="AO18" s="255">
        <v>0</v>
      </c>
      <c r="AP18" s="255">
        <v>140436</v>
      </c>
      <c r="AQ18" s="158"/>
      <c r="AR18" s="255">
        <v>582568</v>
      </c>
      <c r="AS18" s="255">
        <f t="shared" si="6"/>
        <v>723004</v>
      </c>
      <c r="AU18" s="255"/>
      <c r="AV18" s="255">
        <v>0</v>
      </c>
      <c r="AW18" s="255">
        <v>140436</v>
      </c>
      <c r="AX18" s="158"/>
      <c r="AY18" s="255">
        <v>582568</v>
      </c>
      <c r="AZ18" s="255">
        <f t="shared" si="7"/>
        <v>723004</v>
      </c>
      <c r="BB18" s="1256"/>
      <c r="BC18" s="1257">
        <v>140436</v>
      </c>
      <c r="BD18" s="255">
        <v>582568</v>
      </c>
      <c r="BE18" s="255">
        <f t="shared" si="0"/>
        <v>723004</v>
      </c>
      <c r="BG18" s="255"/>
      <c r="BH18" s="255">
        <f>140436/12*5</f>
        <v>58515</v>
      </c>
      <c r="BI18" s="255">
        <v>582568</v>
      </c>
      <c r="BJ18" s="255">
        <f t="shared" si="1"/>
        <v>641083</v>
      </c>
      <c r="BL18" s="255"/>
      <c r="BM18" s="255">
        <f>140436</f>
        <v>140436</v>
      </c>
      <c r="BN18" s="830">
        <f>582568*5/12</f>
        <v>242736.66666666666</v>
      </c>
      <c r="BO18" s="255">
        <f t="shared" si="2"/>
        <v>383172.66666666663</v>
      </c>
      <c r="BP18" s="255"/>
      <c r="BQ18" s="79" t="s">
        <v>1195</v>
      </c>
    </row>
    <row r="19" spans="1:69" ht="12" customHeight="1" x14ac:dyDescent="0.35">
      <c r="A19" s="1175">
        <v>9257032</v>
      </c>
      <c r="B19" s="1468" t="s">
        <v>350</v>
      </c>
      <c r="C19" s="1469"/>
      <c r="D19" s="1469"/>
      <c r="E19" s="1470"/>
      <c r="F19" s="255"/>
      <c r="G19" s="255"/>
      <c r="H19" s="255"/>
      <c r="I19" s="255"/>
      <c r="J19" s="255">
        <v>60000</v>
      </c>
      <c r="K19" s="255">
        <v>60000</v>
      </c>
      <c r="L19" s="255">
        <v>60000</v>
      </c>
      <c r="M19" s="1178">
        <v>0</v>
      </c>
      <c r="N19" s="1176"/>
      <c r="O19" s="255"/>
      <c r="P19" s="255"/>
      <c r="Q19" s="255"/>
      <c r="R19" s="1174"/>
      <c r="S19" s="1174"/>
      <c r="T19" s="1174"/>
      <c r="U19" s="1174"/>
      <c r="V19" s="255"/>
      <c r="W19" s="1174"/>
      <c r="X19" s="255"/>
      <c r="Y19" s="89">
        <f t="shared" si="3"/>
        <v>60000</v>
      </c>
      <c r="Z19" s="255"/>
      <c r="AA19" s="255">
        <f>L19*(5/12)</f>
        <v>25000</v>
      </c>
      <c r="AB19" s="255"/>
      <c r="AC19" s="158"/>
      <c r="AD19" s="255"/>
      <c r="AE19" s="255">
        <f t="shared" si="4"/>
        <v>25000</v>
      </c>
      <c r="AG19" s="255"/>
      <c r="AH19" s="255">
        <v>0</v>
      </c>
      <c r="AI19" s="255"/>
      <c r="AJ19" s="158"/>
      <c r="AK19" s="255"/>
      <c r="AL19" s="255">
        <f t="shared" si="5"/>
        <v>0</v>
      </c>
      <c r="AN19" s="255"/>
      <c r="AO19" s="255">
        <v>0</v>
      </c>
      <c r="AP19" s="255"/>
      <c r="AQ19" s="158"/>
      <c r="AR19" s="255"/>
      <c r="AS19" s="255">
        <f t="shared" si="6"/>
        <v>0</v>
      </c>
      <c r="AU19" s="255"/>
      <c r="AV19" s="255">
        <v>0</v>
      </c>
      <c r="AW19" s="255"/>
      <c r="AX19" s="158"/>
      <c r="AY19" s="255"/>
      <c r="AZ19" s="255">
        <f t="shared" si="7"/>
        <v>0</v>
      </c>
      <c r="BB19" s="1256"/>
      <c r="BC19" s="255"/>
      <c r="BD19" s="255"/>
      <c r="BE19" s="255">
        <f t="shared" si="0"/>
        <v>0</v>
      </c>
      <c r="BG19" s="255"/>
      <c r="BH19" s="255"/>
      <c r="BI19" s="255"/>
      <c r="BJ19" s="255">
        <f t="shared" si="1"/>
        <v>0</v>
      </c>
      <c r="BL19" s="255"/>
      <c r="BM19" s="255"/>
      <c r="BN19" s="255"/>
      <c r="BO19" s="255">
        <f t="shared" si="2"/>
        <v>0</v>
      </c>
      <c r="BP19" s="1184"/>
    </row>
    <row r="20" spans="1:69" ht="12" customHeight="1" x14ac:dyDescent="0.35">
      <c r="A20" s="1175">
        <v>9257025</v>
      </c>
      <c r="B20" s="1460" t="s">
        <v>351</v>
      </c>
      <c r="C20" s="1461"/>
      <c r="D20" s="1461"/>
      <c r="E20" s="1461"/>
      <c r="F20" s="1176">
        <v>35258</v>
      </c>
      <c r="G20" s="1176">
        <v>35258</v>
      </c>
      <c r="H20" s="1176">
        <v>35258</v>
      </c>
      <c r="I20" s="1176">
        <v>35258</v>
      </c>
      <c r="J20" s="255"/>
      <c r="K20" s="255"/>
      <c r="L20" s="255"/>
      <c r="M20" s="1178">
        <v>0</v>
      </c>
      <c r="N20" s="1176"/>
      <c r="O20" s="255"/>
      <c r="P20" s="86"/>
      <c r="Q20" s="86"/>
      <c r="R20" s="255">
        <v>327644</v>
      </c>
      <c r="S20" s="255">
        <v>327644</v>
      </c>
      <c r="T20" s="1174"/>
      <c r="U20" s="255">
        <v>327644</v>
      </c>
      <c r="V20" s="255">
        <f>(9/12)*51500</f>
        <v>38625</v>
      </c>
      <c r="W20" s="1174"/>
      <c r="X20" s="255">
        <f>(8/12)*1727</f>
        <v>1151.3333333333333</v>
      </c>
      <c r="Y20" s="89">
        <f t="shared" si="3"/>
        <v>401527</v>
      </c>
      <c r="Z20" s="255">
        <f>I20</f>
        <v>35258</v>
      </c>
      <c r="AA20" s="255"/>
      <c r="AB20" s="255"/>
      <c r="AC20" s="255">
        <f>51500*(5/12)</f>
        <v>21458.333333333336</v>
      </c>
      <c r="AD20" s="255">
        <f>U20</f>
        <v>327644</v>
      </c>
      <c r="AE20" s="255">
        <f t="shared" si="4"/>
        <v>384360.33333333331</v>
      </c>
      <c r="AG20" s="255">
        <v>35258</v>
      </c>
      <c r="AH20" s="255"/>
      <c r="AI20" s="255"/>
      <c r="AJ20" s="255">
        <v>0</v>
      </c>
      <c r="AK20" s="255">
        <f>327644+209307</f>
        <v>536951</v>
      </c>
      <c r="AL20" s="255">
        <f t="shared" si="5"/>
        <v>572209</v>
      </c>
      <c r="AN20" s="255">
        <v>26443.5</v>
      </c>
      <c r="AO20" s="255"/>
      <c r="AP20" s="255"/>
      <c r="AQ20" s="255">
        <v>0</v>
      </c>
      <c r="AR20" s="255">
        <f>327644+209307</f>
        <v>536951</v>
      </c>
      <c r="AS20" s="255">
        <f t="shared" si="6"/>
        <v>563394.5</v>
      </c>
      <c r="AU20" s="255">
        <v>35258</v>
      </c>
      <c r="AV20" s="255"/>
      <c r="AW20" s="255"/>
      <c r="AX20" s="255">
        <v>0</v>
      </c>
      <c r="AY20" s="255">
        <f>327644+209307</f>
        <v>536951</v>
      </c>
      <c r="AZ20" s="255">
        <f t="shared" si="7"/>
        <v>572209</v>
      </c>
      <c r="BB20" s="1256">
        <v>35258</v>
      </c>
      <c r="BC20" s="255"/>
      <c r="BD20" s="255">
        <f>327644+209307</f>
        <v>536951</v>
      </c>
      <c r="BE20" s="255">
        <f t="shared" si="0"/>
        <v>572209</v>
      </c>
      <c r="BG20" s="255">
        <f>35258*2</f>
        <v>70516</v>
      </c>
      <c r="BH20" s="255"/>
      <c r="BI20" s="255">
        <f>327644+209307</f>
        <v>536951</v>
      </c>
      <c r="BJ20" s="255">
        <f t="shared" si="1"/>
        <v>607467</v>
      </c>
      <c r="BL20" s="255">
        <f>(35258*2)</f>
        <v>70516</v>
      </c>
      <c r="BM20" s="255"/>
      <c r="BN20" s="255">
        <f>327644+209307</f>
        <v>536951</v>
      </c>
      <c r="BO20" s="255">
        <f t="shared" si="2"/>
        <v>607467</v>
      </c>
      <c r="BP20" s="1184"/>
      <c r="BQ20" s="79" t="s">
        <v>1196</v>
      </c>
    </row>
    <row r="21" spans="1:69" ht="12" customHeight="1" x14ac:dyDescent="0.35">
      <c r="A21" s="1175">
        <v>9257011</v>
      </c>
      <c r="B21" s="1460" t="s">
        <v>352</v>
      </c>
      <c r="C21" s="1461"/>
      <c r="D21" s="1461"/>
      <c r="E21" s="1461"/>
      <c r="F21" s="1176">
        <v>35258</v>
      </c>
      <c r="G21" s="1176">
        <v>35258</v>
      </c>
      <c r="H21" s="1176">
        <v>35258</v>
      </c>
      <c r="I21" s="1176">
        <v>35258</v>
      </c>
      <c r="J21" s="255"/>
      <c r="K21" s="255"/>
      <c r="L21" s="255"/>
      <c r="M21" s="1178">
        <v>0</v>
      </c>
      <c r="N21" s="1176"/>
      <c r="O21" s="255"/>
      <c r="P21" s="255"/>
      <c r="Q21" s="255"/>
      <c r="R21" s="1174"/>
      <c r="S21" s="1174"/>
      <c r="T21" s="1174"/>
      <c r="U21" s="1174"/>
      <c r="V21" s="255">
        <f>((9/12)*51500)/2</f>
        <v>19312.5</v>
      </c>
      <c r="W21" s="1174"/>
      <c r="X21" s="255">
        <f>(8/12)*500</f>
        <v>333.33333333333331</v>
      </c>
      <c r="Y21" s="89">
        <f t="shared" si="3"/>
        <v>54570.5</v>
      </c>
      <c r="Z21" s="255">
        <f>I21</f>
        <v>35258</v>
      </c>
      <c r="AA21" s="255"/>
      <c r="AB21" s="255"/>
      <c r="AC21" s="255">
        <f>(51500)*(5/12)</f>
        <v>21458.333333333336</v>
      </c>
      <c r="AD21" s="255"/>
      <c r="AE21" s="255">
        <f t="shared" si="4"/>
        <v>56716.333333333336</v>
      </c>
      <c r="AG21" s="255">
        <v>35258</v>
      </c>
      <c r="AH21" s="255"/>
      <c r="AI21" s="255"/>
      <c r="AJ21" s="255">
        <v>0</v>
      </c>
      <c r="AK21" s="255"/>
      <c r="AL21" s="255">
        <f t="shared" si="5"/>
        <v>35258</v>
      </c>
      <c r="AN21" s="255">
        <v>26443.5</v>
      </c>
      <c r="AO21" s="255"/>
      <c r="AP21" s="255"/>
      <c r="AQ21" s="255">
        <v>0</v>
      </c>
      <c r="AR21" s="255"/>
      <c r="AS21" s="255">
        <f t="shared" si="6"/>
        <v>26443.5</v>
      </c>
      <c r="AU21" s="255">
        <v>35258</v>
      </c>
      <c r="AV21" s="255"/>
      <c r="AW21" s="255"/>
      <c r="AX21" s="255">
        <v>0</v>
      </c>
      <c r="AY21" s="255"/>
      <c r="AZ21" s="255">
        <f t="shared" si="7"/>
        <v>35258</v>
      </c>
      <c r="BB21" s="1256">
        <v>35258</v>
      </c>
      <c r="BC21" s="255"/>
      <c r="BD21" s="255"/>
      <c r="BE21" s="255">
        <f t="shared" si="0"/>
        <v>35258</v>
      </c>
      <c r="BG21" s="255">
        <v>35258</v>
      </c>
      <c r="BH21" s="255"/>
      <c r="BI21" s="255"/>
      <c r="BJ21" s="255">
        <f t="shared" si="1"/>
        <v>35258</v>
      </c>
      <c r="BL21" s="255">
        <f>35258</f>
        <v>35258</v>
      </c>
      <c r="BM21" s="255"/>
      <c r="BN21" s="255"/>
      <c r="BO21" s="255">
        <f t="shared" si="2"/>
        <v>35258</v>
      </c>
      <c r="BP21" s="1184"/>
    </row>
    <row r="22" spans="1:69" ht="12" customHeight="1" x14ac:dyDescent="0.35">
      <c r="A22" s="1175">
        <v>9257009</v>
      </c>
      <c r="B22" s="1460" t="s">
        <v>353</v>
      </c>
      <c r="C22" s="1461"/>
      <c r="D22" s="1461"/>
      <c r="E22" s="1461"/>
      <c r="F22" s="255"/>
      <c r="G22" s="255"/>
      <c r="H22" s="255"/>
      <c r="I22" s="255"/>
      <c r="J22" s="255"/>
      <c r="K22" s="255"/>
      <c r="L22" s="255"/>
      <c r="M22" s="1178">
        <v>0</v>
      </c>
      <c r="N22" s="1176"/>
      <c r="O22" s="255"/>
      <c r="P22" s="86"/>
      <c r="Q22" s="86"/>
      <c r="R22" s="1174"/>
      <c r="S22" s="1174"/>
      <c r="T22" s="1174"/>
      <c r="U22" s="1174"/>
      <c r="V22" s="255">
        <f>((9/12)*51500)/2</f>
        <v>19312.5</v>
      </c>
      <c r="W22" s="1174"/>
      <c r="X22" s="255"/>
      <c r="Y22" s="89">
        <f t="shared" si="3"/>
        <v>19312.5</v>
      </c>
      <c r="Z22" s="255"/>
      <c r="AA22" s="255"/>
      <c r="AB22" s="255"/>
      <c r="AC22" s="255">
        <f>(51500)*(5/12)</f>
        <v>21458.333333333336</v>
      </c>
      <c r="AD22" s="255"/>
      <c r="AE22" s="255">
        <f t="shared" si="4"/>
        <v>21458.333333333336</v>
      </c>
      <c r="AG22" s="255"/>
      <c r="AH22" s="255"/>
      <c r="AI22" s="255"/>
      <c r="AJ22" s="255">
        <v>0</v>
      </c>
      <c r="AK22" s="255"/>
      <c r="AL22" s="255">
        <f t="shared" si="5"/>
        <v>0</v>
      </c>
      <c r="AN22" s="255"/>
      <c r="AO22" s="255"/>
      <c r="AP22" s="255"/>
      <c r="AQ22" s="255">
        <v>0</v>
      </c>
      <c r="AR22" s="255"/>
      <c r="AS22" s="255">
        <f t="shared" si="6"/>
        <v>0</v>
      </c>
      <c r="AU22" s="255"/>
      <c r="AV22" s="255"/>
      <c r="AW22" s="255"/>
      <c r="AX22" s="255">
        <v>0</v>
      </c>
      <c r="AY22" s="255"/>
      <c r="AZ22" s="255">
        <f t="shared" si="7"/>
        <v>0</v>
      </c>
      <c r="BB22" s="1256"/>
      <c r="BC22" s="255"/>
      <c r="BD22" s="255"/>
      <c r="BE22" s="255">
        <f t="shared" si="0"/>
        <v>0</v>
      </c>
      <c r="BG22" s="255"/>
      <c r="BH22" s="255"/>
      <c r="BI22" s="255"/>
      <c r="BJ22" s="255">
        <f t="shared" si="1"/>
        <v>0</v>
      </c>
      <c r="BL22" s="255"/>
      <c r="BM22" s="255"/>
      <c r="BN22" s="255"/>
      <c r="BO22" s="255">
        <f t="shared" si="2"/>
        <v>0</v>
      </c>
      <c r="BP22" s="1184"/>
    </row>
    <row r="23" spans="1:69" ht="12" customHeight="1" x14ac:dyDescent="0.35">
      <c r="A23" s="1175">
        <v>9257024</v>
      </c>
      <c r="B23" s="1460" t="s">
        <v>354</v>
      </c>
      <c r="C23" s="1461"/>
      <c r="D23" s="1461"/>
      <c r="E23" s="1461"/>
      <c r="F23" s="1176">
        <v>35258</v>
      </c>
      <c r="G23" s="1176">
        <v>35258</v>
      </c>
      <c r="H23" s="1176">
        <v>35258</v>
      </c>
      <c r="I23" s="1176">
        <v>35258</v>
      </c>
      <c r="J23" s="255">
        <v>60000</v>
      </c>
      <c r="K23" s="255">
        <v>60000</v>
      </c>
      <c r="L23" s="255">
        <v>60000</v>
      </c>
      <c r="M23" s="1178">
        <v>0</v>
      </c>
      <c r="N23" s="1176"/>
      <c r="O23" s="255"/>
      <c r="P23" s="255"/>
      <c r="Q23" s="255"/>
      <c r="R23" s="1174"/>
      <c r="S23" s="1174"/>
      <c r="T23" s="1174"/>
      <c r="U23" s="1174"/>
      <c r="V23" s="255"/>
      <c r="W23" s="1174"/>
      <c r="X23" s="255">
        <f>(8/12)*1152</f>
        <v>768</v>
      </c>
      <c r="Y23" s="89">
        <f t="shared" si="3"/>
        <v>95258</v>
      </c>
      <c r="Z23" s="255">
        <f>I23</f>
        <v>35258</v>
      </c>
      <c r="AA23" s="255">
        <f>L23*(5/12)</f>
        <v>25000</v>
      </c>
      <c r="AB23" s="255"/>
      <c r="AC23" s="158"/>
      <c r="AD23" s="255"/>
      <c r="AE23" s="255">
        <f t="shared" si="4"/>
        <v>60258</v>
      </c>
      <c r="AG23" s="255">
        <v>35258</v>
      </c>
      <c r="AH23" s="255">
        <v>0</v>
      </c>
      <c r="AI23" s="255"/>
      <c r="AJ23" s="158"/>
      <c r="AK23" s="255"/>
      <c r="AL23" s="255">
        <f t="shared" si="5"/>
        <v>35258</v>
      </c>
      <c r="AN23" s="255">
        <v>26443.5</v>
      </c>
      <c r="AO23" s="255">
        <v>0</v>
      </c>
      <c r="AP23" s="255"/>
      <c r="AQ23" s="158"/>
      <c r="AR23" s="255"/>
      <c r="AS23" s="255">
        <f t="shared" si="6"/>
        <v>26443.5</v>
      </c>
      <c r="AU23" s="255">
        <v>35258</v>
      </c>
      <c r="AV23" s="255">
        <v>0</v>
      </c>
      <c r="AW23" s="255"/>
      <c r="AX23" s="158"/>
      <c r="AY23" s="255"/>
      <c r="AZ23" s="255">
        <f t="shared" si="7"/>
        <v>35258</v>
      </c>
      <c r="BB23" s="1256">
        <v>35258</v>
      </c>
      <c r="BC23" s="255"/>
      <c r="BD23" s="255"/>
      <c r="BE23" s="255">
        <f t="shared" si="0"/>
        <v>35258</v>
      </c>
      <c r="BG23" s="255">
        <v>35258</v>
      </c>
      <c r="BH23" s="255"/>
      <c r="BI23" s="255"/>
      <c r="BJ23" s="255">
        <f t="shared" si="1"/>
        <v>35258</v>
      </c>
      <c r="BL23" s="255">
        <f>35258</f>
        <v>35258</v>
      </c>
      <c r="BM23" s="255"/>
      <c r="BN23" s="255"/>
      <c r="BO23" s="255">
        <f t="shared" si="2"/>
        <v>35258</v>
      </c>
      <c r="BP23" s="1184"/>
    </row>
    <row r="24" spans="1:69" ht="12" customHeight="1" x14ac:dyDescent="0.35">
      <c r="A24" s="1175">
        <v>9257028</v>
      </c>
      <c r="B24" s="1460" t="s">
        <v>355</v>
      </c>
      <c r="C24" s="1461"/>
      <c r="D24" s="1461"/>
      <c r="E24" s="1461"/>
      <c r="F24" s="1176">
        <v>35258</v>
      </c>
      <c r="G24" s="1176">
        <v>35258</v>
      </c>
      <c r="H24" s="1176">
        <v>35258</v>
      </c>
      <c r="I24" s="1176">
        <v>35258</v>
      </c>
      <c r="J24" s="255">
        <v>60000</v>
      </c>
      <c r="K24" s="255">
        <v>60000</v>
      </c>
      <c r="L24" s="255">
        <v>60000</v>
      </c>
      <c r="M24" s="1178">
        <v>0</v>
      </c>
      <c r="N24" s="1176"/>
      <c r="O24" s="255"/>
      <c r="P24" s="255"/>
      <c r="Q24" s="255"/>
      <c r="R24" s="1174"/>
      <c r="S24" s="1174"/>
      <c r="T24" s="1174"/>
      <c r="U24" s="1174"/>
      <c r="V24" s="255"/>
      <c r="W24" s="1174"/>
      <c r="X24" s="255">
        <f>(8/12)*2015</f>
        <v>1343.3333333333333</v>
      </c>
      <c r="Y24" s="89">
        <f t="shared" si="3"/>
        <v>95258</v>
      </c>
      <c r="Z24" s="255">
        <f>I24</f>
        <v>35258</v>
      </c>
      <c r="AA24" s="255"/>
      <c r="AB24" s="255"/>
      <c r="AC24" s="158"/>
      <c r="AD24" s="255"/>
      <c r="AE24" s="255">
        <f t="shared" si="4"/>
        <v>35258</v>
      </c>
      <c r="AG24" s="255">
        <v>35258</v>
      </c>
      <c r="AH24" s="255"/>
      <c r="AI24" s="255"/>
      <c r="AJ24" s="158"/>
      <c r="AK24" s="255"/>
      <c r="AL24" s="255">
        <f t="shared" si="5"/>
        <v>35258</v>
      </c>
      <c r="AN24" s="255">
        <v>26443.5</v>
      </c>
      <c r="AO24" s="255"/>
      <c r="AP24" s="255"/>
      <c r="AQ24" s="158"/>
      <c r="AR24" s="255"/>
      <c r="AS24" s="255">
        <f t="shared" si="6"/>
        <v>26443.5</v>
      </c>
      <c r="AU24" s="255">
        <v>35258</v>
      </c>
      <c r="AV24" s="255"/>
      <c r="AW24" s="255"/>
      <c r="AX24" s="158"/>
      <c r="AY24" s="255"/>
      <c r="AZ24" s="255">
        <f t="shared" si="7"/>
        <v>35258</v>
      </c>
      <c r="BB24" s="1256">
        <v>35258</v>
      </c>
      <c r="BC24" s="255"/>
      <c r="BD24" s="255"/>
      <c r="BE24" s="255">
        <f t="shared" si="0"/>
        <v>35258</v>
      </c>
      <c r="BG24" s="255">
        <v>35258</v>
      </c>
      <c r="BH24" s="255"/>
      <c r="BI24" s="255"/>
      <c r="BJ24" s="255">
        <f t="shared" si="1"/>
        <v>35258</v>
      </c>
      <c r="BL24" s="255">
        <f>35258</f>
        <v>35258</v>
      </c>
      <c r="BM24" s="255"/>
      <c r="BN24" s="255"/>
      <c r="BO24" s="255">
        <f t="shared" si="2"/>
        <v>35258</v>
      </c>
      <c r="BP24" s="1184"/>
    </row>
    <row r="25" spans="1:69" ht="12" customHeight="1" x14ac:dyDescent="0.35">
      <c r="A25" s="1175">
        <v>9257029</v>
      </c>
      <c r="B25" s="1471" t="s">
        <v>933</v>
      </c>
      <c r="C25" s="1472"/>
      <c r="D25" s="1472"/>
      <c r="E25" s="1473"/>
      <c r="F25" s="1176"/>
      <c r="G25" s="1176"/>
      <c r="H25" s="1176"/>
      <c r="I25" s="1176"/>
      <c r="J25" s="255">
        <v>60000</v>
      </c>
      <c r="K25" s="255">
        <v>60000</v>
      </c>
      <c r="L25" s="255">
        <v>60000</v>
      </c>
      <c r="M25" s="1178">
        <v>0</v>
      </c>
      <c r="N25" s="1176"/>
      <c r="O25" s="255"/>
      <c r="P25" s="255"/>
      <c r="Q25" s="255"/>
      <c r="R25" s="1174"/>
      <c r="S25" s="1174"/>
      <c r="T25" s="1174"/>
      <c r="U25" s="1174"/>
      <c r="V25" s="255"/>
      <c r="W25" s="1174"/>
      <c r="X25" s="255"/>
      <c r="Y25" s="89">
        <f t="shared" si="3"/>
        <v>60000</v>
      </c>
      <c r="Z25" s="255"/>
      <c r="AA25" s="255">
        <f>L25*(5/12)</f>
        <v>25000</v>
      </c>
      <c r="AB25" s="255"/>
      <c r="AC25" s="158"/>
      <c r="AD25" s="255"/>
      <c r="AE25" s="255">
        <f t="shared" si="4"/>
        <v>25000</v>
      </c>
      <c r="AG25" s="255"/>
      <c r="AH25" s="255">
        <v>0</v>
      </c>
      <c r="AI25" s="255"/>
      <c r="AJ25" s="158"/>
      <c r="AK25" s="255"/>
      <c r="AL25" s="255">
        <f t="shared" si="5"/>
        <v>0</v>
      </c>
      <c r="AN25" s="255"/>
      <c r="AO25" s="255">
        <v>0</v>
      </c>
      <c r="AP25" s="255"/>
      <c r="AQ25" s="158"/>
      <c r="AR25" s="255"/>
      <c r="AS25" s="255">
        <f t="shared" si="6"/>
        <v>0</v>
      </c>
      <c r="AU25" s="255"/>
      <c r="AV25" s="255">
        <v>0</v>
      </c>
      <c r="AW25" s="255"/>
      <c r="AX25" s="158"/>
      <c r="AY25" s="255"/>
      <c r="AZ25" s="255">
        <f t="shared" si="7"/>
        <v>0</v>
      </c>
      <c r="BB25" s="255"/>
      <c r="BC25" s="255"/>
      <c r="BD25" s="255"/>
      <c r="BE25" s="255">
        <f t="shared" si="0"/>
        <v>0</v>
      </c>
      <c r="BG25" s="255"/>
      <c r="BH25" s="255"/>
      <c r="BI25" s="255"/>
      <c r="BJ25" s="255">
        <f t="shared" si="1"/>
        <v>0</v>
      </c>
      <c r="BL25" s="255"/>
      <c r="BM25" s="255"/>
      <c r="BN25" s="255"/>
      <c r="BO25" s="255">
        <f t="shared" si="2"/>
        <v>0</v>
      </c>
      <c r="BP25" s="1184"/>
    </row>
    <row r="26" spans="1:69" ht="12" customHeight="1" x14ac:dyDescent="0.35">
      <c r="A26" s="293"/>
      <c r="B26" s="1474" t="s">
        <v>357</v>
      </c>
      <c r="C26" s="1474"/>
      <c r="D26" s="1474"/>
      <c r="E26" s="1474"/>
      <c r="F26" s="81">
        <v>301928</v>
      </c>
      <c r="G26" s="81">
        <v>282064</v>
      </c>
      <c r="H26" s="81">
        <v>317322</v>
      </c>
      <c r="I26" s="81">
        <v>317322</v>
      </c>
      <c r="J26" s="81">
        <v>360000</v>
      </c>
      <c r="K26" s="81">
        <v>360000</v>
      </c>
      <c r="L26" s="81">
        <v>360000</v>
      </c>
      <c r="M26" s="82">
        <v>18.5</v>
      </c>
      <c r="N26" s="81">
        <v>201225.5</v>
      </c>
      <c r="O26" s="81">
        <v>207810</v>
      </c>
      <c r="P26" s="81">
        <v>191936</v>
      </c>
      <c r="Q26" s="81">
        <v>191936</v>
      </c>
      <c r="R26" s="81">
        <v>1184632</v>
      </c>
      <c r="S26" s="81">
        <v>978817</v>
      </c>
      <c r="T26" s="81">
        <v>0</v>
      </c>
      <c r="U26" s="81">
        <v>910212</v>
      </c>
      <c r="V26" s="81">
        <v>154500</v>
      </c>
      <c r="W26" s="1174"/>
      <c r="X26" s="89">
        <f>SUM(X7:X25)</f>
        <v>13192.666666666668</v>
      </c>
      <c r="Y26" s="89">
        <f>I26+L26+Q26+U26+V26</f>
        <v>1933970</v>
      </c>
      <c r="Z26" s="255">
        <f>SUM(Z7:Z25)</f>
        <v>317322</v>
      </c>
      <c r="AA26" s="255">
        <f>SUM(AA7:AA25)</f>
        <v>100000</v>
      </c>
      <c r="AB26" s="255">
        <f>SUM(AB7:AB25)</f>
        <v>79973.333333333343</v>
      </c>
      <c r="AC26" s="255">
        <f>SUM(AC7:AC25)</f>
        <v>128750.00000000003</v>
      </c>
      <c r="AD26" s="255">
        <f>SUM(AD7:AD25)</f>
        <v>910212</v>
      </c>
      <c r="AE26" s="255">
        <f t="shared" si="4"/>
        <v>1536257.3333333335</v>
      </c>
      <c r="AG26" s="255">
        <f>SUM(AG7:AG25)</f>
        <v>317322</v>
      </c>
      <c r="AH26" s="255">
        <f>SUM(AH7:AH25)</f>
        <v>0</v>
      </c>
      <c r="AI26" s="255">
        <f>SUM(AI7:AI25)</f>
        <v>757936</v>
      </c>
      <c r="AJ26" s="255">
        <f>SUM(AJ7:AJ25)</f>
        <v>0</v>
      </c>
      <c r="AK26" s="255">
        <f>SUM(AK7:AK25)</f>
        <v>1119519</v>
      </c>
      <c r="AL26" s="255">
        <f t="shared" si="5"/>
        <v>2194777</v>
      </c>
      <c r="AN26" s="255">
        <f>SUM(AN7:AN25)</f>
        <v>237991.5</v>
      </c>
      <c r="AO26" s="255">
        <f>SUM(AO7:AO25)</f>
        <v>0</v>
      </c>
      <c r="AP26" s="255">
        <f>SUM(AP7:AP25)</f>
        <v>757936</v>
      </c>
      <c r="AQ26" s="255">
        <f>SUM(AQ7:AQ25)</f>
        <v>0</v>
      </c>
      <c r="AR26" s="255">
        <f>SUM(AR7:AR25)</f>
        <v>1119519</v>
      </c>
      <c r="AS26" s="255">
        <f t="shared" si="6"/>
        <v>2115446.5</v>
      </c>
      <c r="AU26" s="255">
        <f>SUM(AU7:AU25)</f>
        <v>317322</v>
      </c>
      <c r="AV26" s="255">
        <f>SUM(AV7:AV25)</f>
        <v>0</v>
      </c>
      <c r="AW26" s="255">
        <f>SUM(AW7:AW25)</f>
        <v>757936</v>
      </c>
      <c r="AX26" s="255">
        <f>SUM(AX7:AX25)</f>
        <v>0</v>
      </c>
      <c r="AY26" s="255">
        <f>SUM(AY7:AY25)</f>
        <v>1119519</v>
      </c>
      <c r="AZ26" s="255">
        <f t="shared" si="7"/>
        <v>2194777</v>
      </c>
      <c r="BB26" s="255">
        <f>SUM(BB7:BB25)</f>
        <v>317322</v>
      </c>
      <c r="BC26" s="255">
        <f>SUM(BC7:BC25)</f>
        <v>757936</v>
      </c>
      <c r="BD26" s="255">
        <f>SUM(BD7:BD25)</f>
        <v>1119519</v>
      </c>
      <c r="BE26" s="255">
        <f t="shared" si="0"/>
        <v>2194777</v>
      </c>
      <c r="BG26" s="255">
        <f>SUM(BG7:BG25)</f>
        <v>329822</v>
      </c>
      <c r="BH26" s="255">
        <f>SUM(BH7:BH25)</f>
        <v>315806.66666666669</v>
      </c>
      <c r="BI26" s="255">
        <f>SUM(BI7:BI25)</f>
        <v>1119519</v>
      </c>
      <c r="BJ26" s="255">
        <f t="shared" si="1"/>
        <v>1765147.6666666667</v>
      </c>
      <c r="BL26" s="255">
        <f>SUM(BL7:BL25)</f>
        <v>317322</v>
      </c>
      <c r="BM26" s="255">
        <f>SUM(BM7:BM25)</f>
        <v>757936</v>
      </c>
      <c r="BN26" s="255">
        <f>SUM(BN7:BN25)</f>
        <v>779687.66666666663</v>
      </c>
      <c r="BO26" s="255">
        <f t="shared" si="2"/>
        <v>1854945.6666666665</v>
      </c>
      <c r="BP26" s="1184"/>
      <c r="BQ26" s="79">
        <f>BP18/12*5</f>
        <v>0</v>
      </c>
    </row>
    <row r="27" spans="1:69" ht="15" customHeight="1" x14ac:dyDescent="0.35">
      <c r="A27" s="293"/>
      <c r="B27" s="1172"/>
      <c r="C27" s="1172"/>
      <c r="D27" s="1172"/>
      <c r="E27" s="1172"/>
      <c r="F27" s="1172"/>
      <c r="G27" s="1172"/>
      <c r="H27" s="1172"/>
      <c r="I27" s="1172"/>
      <c r="J27" s="293"/>
      <c r="K27" s="293"/>
      <c r="L27" s="293"/>
      <c r="O27" s="1172"/>
      <c r="P27" s="1172"/>
      <c r="Q27" s="1172"/>
      <c r="R27" s="1172"/>
      <c r="S27" s="1172"/>
      <c r="T27" s="1172"/>
      <c r="U27" s="1172"/>
      <c r="V27" s="1172"/>
      <c r="W27" s="1172"/>
      <c r="X27" s="1172"/>
      <c r="Y27" s="293"/>
      <c r="Z27" s="1172"/>
      <c r="AA27" s="1172"/>
      <c r="AB27" s="1172"/>
    </row>
    <row r="28" spans="1:69" ht="15" hidden="1" customHeight="1" x14ac:dyDescent="0.35">
      <c r="A28" s="293"/>
      <c r="B28" s="83" t="s">
        <v>358</v>
      </c>
      <c r="C28" s="1172"/>
      <c r="D28" s="1172"/>
      <c r="E28" s="1172"/>
      <c r="F28" s="1172"/>
      <c r="G28" s="1172"/>
      <c r="H28" s="1172"/>
      <c r="I28" s="1172"/>
      <c r="J28" s="293"/>
      <c r="K28" s="293"/>
      <c r="L28" s="293"/>
      <c r="O28" s="1172"/>
      <c r="P28" s="1172"/>
      <c r="Q28" s="1172"/>
      <c r="R28" s="1172"/>
      <c r="S28" s="1172"/>
      <c r="T28" s="1172"/>
      <c r="U28" s="1172"/>
      <c r="V28" s="1172"/>
      <c r="W28" s="1172"/>
      <c r="X28" s="1172"/>
      <c r="Y28" s="293"/>
      <c r="Z28" s="1172"/>
      <c r="AA28" s="1172"/>
      <c r="AB28" s="1172"/>
    </row>
    <row r="29" spans="1:69" ht="15" hidden="1" customHeight="1" x14ac:dyDescent="0.35">
      <c r="A29" s="293"/>
      <c r="B29" s="84" t="s">
        <v>359</v>
      </c>
      <c r="C29" s="1172"/>
      <c r="D29" s="1172"/>
      <c r="E29" s="1172"/>
      <c r="F29" s="1172"/>
      <c r="G29" s="1172"/>
      <c r="H29" s="1172"/>
      <c r="I29" s="1172"/>
      <c r="J29" s="293"/>
      <c r="K29" s="293"/>
      <c r="L29" s="293"/>
      <c r="O29" s="1172"/>
      <c r="P29" s="1172"/>
      <c r="Q29" s="1172"/>
      <c r="R29" s="1172"/>
      <c r="S29" s="1172"/>
      <c r="T29" s="1172"/>
      <c r="U29" s="1172"/>
      <c r="V29" s="1172"/>
      <c r="W29" s="1172"/>
      <c r="X29" s="1172"/>
      <c r="Y29" s="293"/>
      <c r="Z29" s="1172"/>
      <c r="AA29" s="1172"/>
      <c r="AB29" s="1172"/>
    </row>
    <row r="30" spans="1:69" ht="15" hidden="1" customHeight="1" x14ac:dyDescent="0.35">
      <c r="A30" s="293"/>
      <c r="B30" s="1477" t="s">
        <v>360</v>
      </c>
      <c r="C30" s="1477"/>
      <c r="D30" s="1477"/>
      <c r="E30" s="1477"/>
      <c r="F30" s="1477"/>
      <c r="G30" s="1477"/>
      <c r="H30" s="1477"/>
      <c r="I30" s="1477"/>
      <c r="J30" s="1477"/>
      <c r="K30" s="1477"/>
      <c r="L30" s="1477"/>
      <c r="M30" s="1477"/>
      <c r="N30" s="1477"/>
      <c r="O30" s="1477"/>
      <c r="P30" s="1477"/>
      <c r="Q30" s="1477"/>
      <c r="R30" s="1477"/>
      <c r="S30" s="1477"/>
      <c r="T30" s="1477"/>
      <c r="U30" s="1477"/>
      <c r="V30" s="1477"/>
      <c r="W30" s="1172"/>
      <c r="X30" s="1172"/>
      <c r="Y30" s="293"/>
      <c r="Z30" s="1172"/>
      <c r="AA30" s="1172"/>
      <c r="AB30" s="1172"/>
    </row>
    <row r="31" spans="1:69" ht="15" hidden="1" customHeight="1" x14ac:dyDescent="0.35">
      <c r="A31" s="293"/>
      <c r="B31" s="1477"/>
      <c r="C31" s="1477"/>
      <c r="D31" s="1477"/>
      <c r="E31" s="1477"/>
      <c r="F31" s="1477"/>
      <c r="G31" s="1477"/>
      <c r="H31" s="1477"/>
      <c r="I31" s="1477"/>
      <c r="J31" s="1477"/>
      <c r="K31" s="1477"/>
      <c r="L31" s="1477"/>
      <c r="M31" s="1477"/>
      <c r="N31" s="1477"/>
      <c r="O31" s="1477"/>
      <c r="P31" s="1477"/>
      <c r="Q31" s="1477"/>
      <c r="R31" s="1477"/>
      <c r="S31" s="1477"/>
      <c r="T31" s="1477"/>
      <c r="U31" s="1477"/>
      <c r="V31" s="1477"/>
      <c r="W31" s="1172"/>
      <c r="X31" s="1172"/>
      <c r="Y31" s="293"/>
      <c r="Z31" s="1172"/>
      <c r="AA31" s="1172"/>
      <c r="AB31" s="1172"/>
    </row>
    <row r="32" spans="1:69" ht="15" hidden="1" customHeight="1" x14ac:dyDescent="0.35">
      <c r="A32" s="293"/>
      <c r="B32" s="1477"/>
      <c r="C32" s="1477"/>
      <c r="D32" s="1477"/>
      <c r="E32" s="1477"/>
      <c r="F32" s="1477"/>
      <c r="G32" s="1477"/>
      <c r="H32" s="1477"/>
      <c r="I32" s="1477"/>
      <c r="J32" s="1477"/>
      <c r="K32" s="1477"/>
      <c r="L32" s="1477"/>
      <c r="M32" s="1477"/>
      <c r="N32" s="1477"/>
      <c r="O32" s="1477"/>
      <c r="P32" s="1477"/>
      <c r="Q32" s="1477"/>
      <c r="R32" s="1477"/>
      <c r="S32" s="1477"/>
      <c r="T32" s="1477"/>
      <c r="U32" s="1477"/>
      <c r="V32" s="1477"/>
      <c r="W32" s="1172"/>
      <c r="X32" s="1172"/>
      <c r="Y32" s="293"/>
      <c r="Z32" s="1172"/>
      <c r="AA32" s="1172"/>
      <c r="AB32" s="1172"/>
    </row>
    <row r="33" spans="1:28" ht="18.75" hidden="1" customHeight="1" x14ac:dyDescent="0.35">
      <c r="A33" s="293"/>
      <c r="B33" s="1477"/>
      <c r="C33" s="1477"/>
      <c r="D33" s="1477"/>
      <c r="E33" s="1477"/>
      <c r="F33" s="1477"/>
      <c r="G33" s="1477"/>
      <c r="H33" s="1477"/>
      <c r="I33" s="1477"/>
      <c r="J33" s="1477"/>
      <c r="K33" s="1477"/>
      <c r="L33" s="1477"/>
      <c r="M33" s="1477"/>
      <c r="N33" s="1477"/>
      <c r="O33" s="1477"/>
      <c r="P33" s="1477"/>
      <c r="Q33" s="1477"/>
      <c r="R33" s="1477"/>
      <c r="S33" s="1477"/>
      <c r="T33" s="1477"/>
      <c r="U33" s="1477"/>
      <c r="V33" s="1477"/>
      <c r="W33" s="1172"/>
      <c r="X33" s="1172"/>
      <c r="Y33" s="293"/>
      <c r="Z33" s="1172"/>
      <c r="AA33" s="1172"/>
      <c r="AB33" s="1172"/>
    </row>
    <row r="34" spans="1:28" ht="15" hidden="1" customHeight="1" x14ac:dyDescent="0.35">
      <c r="A34" s="293"/>
      <c r="B34" s="1181"/>
      <c r="C34" s="1181"/>
      <c r="D34" s="1181"/>
      <c r="E34" s="1181"/>
      <c r="F34" s="1181"/>
      <c r="G34" s="1181"/>
      <c r="H34" s="1181"/>
      <c r="I34" s="1181"/>
      <c r="J34" s="1173"/>
      <c r="K34" s="1173"/>
      <c r="L34" s="1173"/>
      <c r="M34" s="1181"/>
      <c r="N34" s="1181"/>
      <c r="O34" s="1172"/>
      <c r="P34" s="1172"/>
      <c r="Q34" s="1172"/>
      <c r="R34" s="1172"/>
      <c r="S34" s="1172"/>
      <c r="T34" s="1172"/>
      <c r="U34" s="1172"/>
      <c r="V34" s="1172"/>
      <c r="W34" s="1172"/>
      <c r="X34" s="1172"/>
      <c r="Y34" s="293"/>
      <c r="Z34" s="1172"/>
      <c r="AA34" s="1172"/>
      <c r="AB34" s="1172"/>
    </row>
    <row r="35" spans="1:28" ht="15" hidden="1" customHeight="1" x14ac:dyDescent="0.35">
      <c r="A35" s="293"/>
      <c r="B35" s="84" t="s">
        <v>361</v>
      </c>
      <c r="C35" s="1172"/>
      <c r="D35" s="1172"/>
      <c r="E35" s="1172"/>
      <c r="F35" s="1172"/>
      <c r="G35" s="1172"/>
      <c r="H35" s="1172"/>
      <c r="I35" s="1172"/>
      <c r="J35" s="293"/>
      <c r="K35" s="293"/>
      <c r="L35" s="293"/>
      <c r="O35" s="1172"/>
      <c r="P35" s="1172"/>
      <c r="Q35" s="1172"/>
      <c r="R35" s="1172"/>
      <c r="S35" s="1172"/>
      <c r="T35" s="1172"/>
      <c r="U35" s="1172"/>
      <c r="V35" s="1172"/>
      <c r="W35" s="1172"/>
      <c r="X35" s="1172"/>
      <c r="Y35" s="293"/>
      <c r="Z35" s="1172"/>
      <c r="AA35" s="1172"/>
      <c r="AB35" s="1172"/>
    </row>
    <row r="36" spans="1:28" ht="15" hidden="1" customHeight="1" x14ac:dyDescent="0.35">
      <c r="A36" s="293"/>
      <c r="B36" s="1477" t="s">
        <v>362</v>
      </c>
      <c r="C36" s="1477"/>
      <c r="D36" s="1477"/>
      <c r="E36" s="1477"/>
      <c r="F36" s="1477"/>
      <c r="G36" s="1477"/>
      <c r="H36" s="1477"/>
      <c r="I36" s="1477"/>
      <c r="J36" s="1477"/>
      <c r="K36" s="1477"/>
      <c r="L36" s="1477"/>
      <c r="M36" s="1477"/>
      <c r="N36" s="1477"/>
      <c r="O36" s="1477"/>
      <c r="P36" s="1477"/>
      <c r="Q36" s="1477"/>
      <c r="R36" s="1477"/>
      <c r="S36" s="1477"/>
      <c r="T36" s="1477"/>
      <c r="U36" s="1477"/>
      <c r="V36" s="1477"/>
      <c r="W36" s="1172"/>
      <c r="X36" s="1172"/>
      <c r="Y36" s="293"/>
      <c r="Z36" s="1172"/>
      <c r="AA36" s="1172"/>
      <c r="AB36" s="1172"/>
    </row>
    <row r="37" spans="1:28" ht="15" hidden="1" customHeight="1" x14ac:dyDescent="0.35">
      <c r="A37" s="293"/>
      <c r="B37" s="1477"/>
      <c r="C37" s="1477"/>
      <c r="D37" s="1477"/>
      <c r="E37" s="1477"/>
      <c r="F37" s="1477"/>
      <c r="G37" s="1477"/>
      <c r="H37" s="1477"/>
      <c r="I37" s="1477"/>
      <c r="J37" s="1477"/>
      <c r="K37" s="1477"/>
      <c r="L37" s="1477"/>
      <c r="M37" s="1477"/>
      <c r="N37" s="1477"/>
      <c r="O37" s="1477"/>
      <c r="P37" s="1477"/>
      <c r="Q37" s="1477"/>
      <c r="R37" s="1477"/>
      <c r="S37" s="1477"/>
      <c r="T37" s="1477"/>
      <c r="U37" s="1477"/>
      <c r="V37" s="1477"/>
      <c r="W37" s="1172"/>
      <c r="X37" s="1172"/>
      <c r="Y37" s="293"/>
      <c r="Z37" s="1172"/>
      <c r="AA37" s="1172"/>
      <c r="AB37" s="1172"/>
    </row>
    <row r="38" spans="1:28" ht="23.25" hidden="1" customHeight="1" x14ac:dyDescent="0.35">
      <c r="A38" s="293"/>
      <c r="B38" s="1477"/>
      <c r="C38" s="1477"/>
      <c r="D38" s="1477"/>
      <c r="E38" s="1477"/>
      <c r="F38" s="1477"/>
      <c r="G38" s="1477"/>
      <c r="H38" s="1477"/>
      <c r="I38" s="1477"/>
      <c r="J38" s="1477"/>
      <c r="K38" s="1477"/>
      <c r="L38" s="1477"/>
      <c r="M38" s="1477"/>
      <c r="N38" s="1477"/>
      <c r="O38" s="1477"/>
      <c r="P38" s="1477"/>
      <c r="Q38" s="1477"/>
      <c r="R38" s="1477"/>
      <c r="S38" s="1477"/>
      <c r="T38" s="1477"/>
      <c r="U38" s="1477"/>
      <c r="V38" s="1477"/>
      <c r="W38" s="1172"/>
      <c r="X38" s="1172"/>
      <c r="Y38" s="293"/>
      <c r="Z38" s="1172"/>
      <c r="AA38" s="1172"/>
      <c r="AB38" s="1172"/>
    </row>
    <row r="39" spans="1:28" hidden="1" x14ac:dyDescent="0.35">
      <c r="A39" s="293"/>
      <c r="B39" s="1182"/>
      <c r="C39" s="1182"/>
      <c r="D39" s="1182"/>
      <c r="E39" s="1182"/>
      <c r="F39" s="1182"/>
      <c r="G39" s="1182"/>
      <c r="H39" s="1182"/>
      <c r="I39" s="1182"/>
      <c r="J39" s="1182"/>
      <c r="K39" s="1182"/>
      <c r="L39" s="1182"/>
      <c r="M39" s="1182"/>
      <c r="N39" s="1182"/>
      <c r="O39" s="1172"/>
      <c r="P39" s="1172"/>
      <c r="Q39" s="1172"/>
      <c r="R39" s="1172"/>
      <c r="S39" s="1172"/>
      <c r="T39" s="1172"/>
      <c r="U39" s="1172"/>
      <c r="V39" s="1172"/>
      <c r="W39" s="1172"/>
      <c r="X39" s="1172"/>
      <c r="Y39" s="293"/>
      <c r="Z39" s="1172"/>
      <c r="AA39" s="1172"/>
      <c r="AB39" s="1172"/>
    </row>
    <row r="40" spans="1:28" hidden="1" x14ac:dyDescent="0.35">
      <c r="A40" s="293"/>
      <c r="B40" s="85" t="s">
        <v>363</v>
      </c>
      <c r="C40" s="1182"/>
      <c r="D40" s="1182"/>
      <c r="E40" s="1182"/>
      <c r="F40" s="1182"/>
      <c r="G40" s="1182"/>
      <c r="H40" s="1182"/>
      <c r="I40" s="1182"/>
      <c r="J40" s="1182"/>
      <c r="K40" s="1182"/>
      <c r="L40" s="1182"/>
      <c r="M40" s="1182"/>
      <c r="N40" s="1182"/>
      <c r="O40" s="1172"/>
      <c r="P40" s="1172"/>
      <c r="Q40" s="1172"/>
      <c r="R40" s="1172"/>
      <c r="S40" s="1172"/>
      <c r="T40" s="1172"/>
      <c r="U40" s="1172"/>
      <c r="V40" s="1172"/>
      <c r="W40" s="1172"/>
      <c r="X40" s="1172"/>
      <c r="Y40" s="293"/>
      <c r="Z40" s="1172"/>
      <c r="AA40" s="1172"/>
      <c r="AB40" s="1172"/>
    </row>
    <row r="41" spans="1:28" ht="15.75" hidden="1" customHeight="1" x14ac:dyDescent="0.35">
      <c r="A41" s="293"/>
      <c r="B41" s="1477" t="s">
        <v>364</v>
      </c>
      <c r="C41" s="1477"/>
      <c r="D41" s="1477"/>
      <c r="E41" s="1477"/>
      <c r="F41" s="1477"/>
      <c r="G41" s="1477"/>
      <c r="H41" s="1477"/>
      <c r="I41" s="1477"/>
      <c r="J41" s="1477"/>
      <c r="K41" s="1477"/>
      <c r="L41" s="1477"/>
      <c r="M41" s="1477"/>
      <c r="N41" s="1477"/>
      <c r="O41" s="1477"/>
      <c r="P41" s="1477"/>
      <c r="Q41" s="1477"/>
      <c r="R41" s="1477"/>
      <c r="S41" s="1477"/>
      <c r="T41" s="1477"/>
      <c r="U41" s="1477"/>
      <c r="V41" s="1477"/>
      <c r="W41" s="1172"/>
      <c r="X41" s="1172"/>
      <c r="Y41" s="293"/>
      <c r="Z41" s="1172"/>
      <c r="AA41" s="1172"/>
      <c r="AB41" s="1172"/>
    </row>
    <row r="42" spans="1:28" hidden="1" x14ac:dyDescent="0.35">
      <c r="A42" s="293"/>
      <c r="B42" s="1477"/>
      <c r="C42" s="1477"/>
      <c r="D42" s="1477"/>
      <c r="E42" s="1477"/>
      <c r="F42" s="1477"/>
      <c r="G42" s="1477"/>
      <c r="H42" s="1477"/>
      <c r="I42" s="1477"/>
      <c r="J42" s="1477"/>
      <c r="K42" s="1477"/>
      <c r="L42" s="1477"/>
      <c r="M42" s="1477"/>
      <c r="N42" s="1477"/>
      <c r="O42" s="1477"/>
      <c r="P42" s="1477"/>
      <c r="Q42" s="1477"/>
      <c r="R42" s="1477"/>
      <c r="S42" s="1477"/>
      <c r="T42" s="1477"/>
      <c r="U42" s="1477"/>
      <c r="V42" s="1477"/>
      <c r="W42" s="1172"/>
      <c r="X42" s="1172"/>
      <c r="Y42" s="293"/>
      <c r="Z42" s="1172"/>
      <c r="AA42" s="1172"/>
      <c r="AB42" s="1172"/>
    </row>
    <row r="43" spans="1:28" hidden="1" x14ac:dyDescent="0.35">
      <c r="A43" s="293"/>
      <c r="B43" s="1477"/>
      <c r="C43" s="1477"/>
      <c r="D43" s="1477"/>
      <c r="E43" s="1477"/>
      <c r="F43" s="1477"/>
      <c r="G43" s="1477"/>
      <c r="H43" s="1477"/>
      <c r="I43" s="1477"/>
      <c r="J43" s="1477"/>
      <c r="K43" s="1477"/>
      <c r="L43" s="1477"/>
      <c r="M43" s="1477"/>
      <c r="N43" s="1477"/>
      <c r="O43" s="1477"/>
      <c r="P43" s="1477"/>
      <c r="Q43" s="1477"/>
      <c r="R43" s="1477"/>
      <c r="S43" s="1477"/>
      <c r="T43" s="1477"/>
      <c r="U43" s="1477"/>
      <c r="V43" s="1477"/>
      <c r="W43" s="1172"/>
      <c r="X43" s="1172"/>
      <c r="Y43" s="293"/>
      <c r="Z43" s="1172"/>
      <c r="AA43" s="1172"/>
      <c r="AB43" s="1172"/>
    </row>
    <row r="44" spans="1:28" hidden="1" x14ac:dyDescent="0.35">
      <c r="A44" s="293"/>
      <c r="B44" s="1477"/>
      <c r="C44" s="1477"/>
      <c r="D44" s="1477"/>
      <c r="E44" s="1477"/>
      <c r="F44" s="1477"/>
      <c r="G44" s="1477"/>
      <c r="H44" s="1477"/>
      <c r="I44" s="1477"/>
      <c r="J44" s="1477"/>
      <c r="K44" s="1477"/>
      <c r="L44" s="1477"/>
      <c r="M44" s="1477"/>
      <c r="N44" s="1477"/>
      <c r="O44" s="1477"/>
      <c r="P44" s="1477"/>
      <c r="Q44" s="1477"/>
      <c r="R44" s="1477"/>
      <c r="S44" s="1477"/>
      <c r="T44" s="1477"/>
      <c r="U44" s="1477"/>
      <c r="V44" s="1477"/>
      <c r="W44" s="1172"/>
      <c r="X44" s="1172"/>
      <c r="Y44" s="293"/>
      <c r="Z44" s="1172"/>
      <c r="AA44" s="1172"/>
      <c r="AB44" s="1172"/>
    </row>
    <row r="45" spans="1:28" ht="15" hidden="1" customHeight="1" x14ac:dyDescent="0.35">
      <c r="A45" s="293"/>
      <c r="B45" s="1182"/>
      <c r="C45" s="1182"/>
      <c r="D45" s="1182"/>
      <c r="E45" s="1182"/>
      <c r="F45" s="1182"/>
      <c r="G45" s="1182"/>
      <c r="H45" s="1182"/>
      <c r="I45" s="1182"/>
      <c r="J45" s="1182"/>
      <c r="K45" s="1182"/>
      <c r="L45" s="1182"/>
      <c r="M45" s="1182"/>
      <c r="N45" s="1182"/>
      <c r="O45" s="1172"/>
      <c r="P45" s="1172"/>
      <c r="Q45" s="1172"/>
      <c r="R45" s="1172"/>
      <c r="S45" s="1172"/>
      <c r="T45" s="1172"/>
      <c r="U45" s="1172"/>
      <c r="V45" s="1172"/>
      <c r="W45" s="1172"/>
      <c r="X45" s="1172"/>
      <c r="Y45" s="293"/>
      <c r="Z45" s="1172"/>
      <c r="AA45" s="1172"/>
      <c r="AB45" s="1172"/>
    </row>
    <row r="46" spans="1:28" ht="15" hidden="1" customHeight="1" x14ac:dyDescent="0.35">
      <c r="A46" s="293"/>
      <c r="B46" s="1477" t="s">
        <v>365</v>
      </c>
      <c r="C46" s="1477"/>
      <c r="D46" s="1477"/>
      <c r="E46" s="1477"/>
      <c r="F46" s="1477"/>
      <c r="G46" s="1477"/>
      <c r="H46" s="1477"/>
      <c r="I46" s="1477"/>
      <c r="J46" s="1477"/>
      <c r="K46" s="1477"/>
      <c r="L46" s="1477"/>
      <c r="M46" s="1477"/>
      <c r="N46" s="1477"/>
      <c r="O46" s="1477"/>
      <c r="P46" s="1477"/>
      <c r="Q46" s="1477"/>
      <c r="R46" s="1477"/>
      <c r="S46" s="1477"/>
      <c r="T46" s="1477"/>
      <c r="U46" s="1477"/>
      <c r="V46" s="1477"/>
      <c r="W46" s="1172"/>
      <c r="X46" s="1172"/>
      <c r="Y46" s="293"/>
      <c r="Z46" s="1172"/>
      <c r="AA46" s="1172"/>
      <c r="AB46" s="1172"/>
    </row>
    <row r="47" spans="1:28" hidden="1" x14ac:dyDescent="0.35">
      <c r="A47" s="293"/>
      <c r="B47" s="1477"/>
      <c r="C47" s="1477"/>
      <c r="D47" s="1477"/>
      <c r="E47" s="1477"/>
      <c r="F47" s="1477"/>
      <c r="G47" s="1477"/>
      <c r="H47" s="1477"/>
      <c r="I47" s="1477"/>
      <c r="J47" s="1477"/>
      <c r="K47" s="1477"/>
      <c r="L47" s="1477"/>
      <c r="M47" s="1477"/>
      <c r="N47" s="1477"/>
      <c r="O47" s="1477"/>
      <c r="P47" s="1477"/>
      <c r="Q47" s="1477"/>
      <c r="R47" s="1477"/>
      <c r="S47" s="1477"/>
      <c r="T47" s="1477"/>
      <c r="U47" s="1477"/>
      <c r="V47" s="1477"/>
      <c r="W47" s="1172"/>
      <c r="X47" s="1172"/>
      <c r="Y47" s="293"/>
      <c r="Z47" s="1172"/>
      <c r="AA47" s="1172"/>
      <c r="AB47" s="1172"/>
    </row>
    <row r="48" spans="1:28" ht="15" hidden="1" customHeight="1" x14ac:dyDescent="0.35">
      <c r="A48" s="293"/>
      <c r="B48" s="1477" t="s">
        <v>366</v>
      </c>
      <c r="C48" s="1477"/>
      <c r="D48" s="1477"/>
      <c r="E48" s="1477"/>
      <c r="F48" s="1477"/>
      <c r="G48" s="1477"/>
      <c r="H48" s="1477"/>
      <c r="I48" s="1477"/>
      <c r="J48" s="1477"/>
      <c r="K48" s="1477"/>
      <c r="L48" s="1477"/>
      <c r="M48" s="1477"/>
      <c r="N48" s="1477"/>
      <c r="O48" s="1477"/>
      <c r="P48" s="1477"/>
      <c r="Q48" s="1477"/>
      <c r="R48" s="1477"/>
      <c r="S48" s="1477"/>
      <c r="T48" s="1477"/>
      <c r="U48" s="1477"/>
      <c r="V48" s="1477"/>
      <c r="W48" s="1172"/>
      <c r="X48" s="1172"/>
      <c r="Y48" s="293"/>
      <c r="Z48" s="1172"/>
      <c r="AA48" s="1172"/>
      <c r="AB48" s="1172"/>
    </row>
    <row r="49" spans="1:64" ht="37.5" hidden="1" customHeight="1" x14ac:dyDescent="0.35">
      <c r="A49" s="293"/>
      <c r="B49" s="1477"/>
      <c r="C49" s="1477"/>
      <c r="D49" s="1477"/>
      <c r="E49" s="1477"/>
      <c r="F49" s="1477"/>
      <c r="G49" s="1477"/>
      <c r="H49" s="1477"/>
      <c r="I49" s="1477"/>
      <c r="J49" s="1477"/>
      <c r="K49" s="1477"/>
      <c r="L49" s="1477"/>
      <c r="M49" s="1477"/>
      <c r="N49" s="1477"/>
      <c r="O49" s="1477"/>
      <c r="P49" s="1477"/>
      <c r="Q49" s="1477"/>
      <c r="R49" s="1477"/>
      <c r="S49" s="1477"/>
      <c r="T49" s="1477"/>
      <c r="U49" s="1477"/>
      <c r="V49" s="1477"/>
      <c r="W49" s="1172"/>
      <c r="X49" s="1172"/>
      <c r="Y49" s="293"/>
      <c r="Z49" s="1172"/>
      <c r="AA49" s="1172"/>
      <c r="AB49" s="1172"/>
    </row>
    <row r="50" spans="1:64" ht="15" hidden="1" customHeight="1" x14ac:dyDescent="0.35">
      <c r="A50" s="293"/>
      <c r="B50" s="1172"/>
      <c r="C50" s="1172"/>
      <c r="D50" s="1172"/>
      <c r="E50" s="1172"/>
      <c r="F50" s="1172"/>
      <c r="G50" s="1172"/>
      <c r="H50" s="1172"/>
      <c r="I50" s="1172"/>
      <c r="J50" s="293"/>
      <c r="K50" s="293"/>
      <c r="L50" s="293"/>
      <c r="O50" s="1172"/>
      <c r="P50" s="1172"/>
      <c r="Q50" s="1172"/>
      <c r="R50" s="1172"/>
      <c r="S50" s="1172"/>
      <c r="T50" s="1172"/>
      <c r="U50" s="1172"/>
      <c r="V50" s="1172"/>
      <c r="W50" s="1172"/>
      <c r="X50" s="1172"/>
      <c r="Y50" s="293"/>
      <c r="Z50" s="1172"/>
      <c r="AA50" s="1172"/>
      <c r="AB50" s="1172"/>
    </row>
    <row r="51" spans="1:64" ht="15" hidden="1" customHeight="1" x14ac:dyDescent="0.35">
      <c r="A51" s="293"/>
      <c r="B51" s="84" t="s">
        <v>11</v>
      </c>
      <c r="C51" s="1172"/>
      <c r="D51" s="1172"/>
      <c r="E51" s="1172"/>
      <c r="F51" s="88" t="s">
        <v>367</v>
      </c>
      <c r="G51" s="88" t="s">
        <v>368</v>
      </c>
      <c r="H51" s="1172"/>
      <c r="I51" s="1172"/>
      <c r="J51" s="293"/>
      <c r="K51" s="293"/>
      <c r="L51" s="293"/>
      <c r="O51" s="1172"/>
      <c r="P51" s="1172"/>
      <c r="Q51" s="1172"/>
      <c r="R51" s="1172"/>
      <c r="S51" s="1172"/>
      <c r="T51" s="1172"/>
      <c r="U51" s="1172"/>
      <c r="V51" s="1172"/>
      <c r="W51" s="1172"/>
      <c r="X51" s="1172"/>
      <c r="Y51" s="293"/>
      <c r="Z51" s="1172"/>
      <c r="AA51" s="1172"/>
      <c r="AB51" s="1172"/>
    </row>
    <row r="52" spans="1:64" ht="15" hidden="1" customHeight="1" x14ac:dyDescent="0.35">
      <c r="A52" s="293">
        <v>9257021</v>
      </c>
      <c r="B52" s="1460" t="s">
        <v>344</v>
      </c>
      <c r="C52" s="1461"/>
      <c r="D52" s="1461"/>
      <c r="E52" s="1476"/>
      <c r="F52" s="255">
        <v>274420</v>
      </c>
      <c r="G52" s="255">
        <f>F52*(3/12)</f>
        <v>68605</v>
      </c>
      <c r="H52" s="1172"/>
      <c r="I52" s="1172"/>
      <c r="J52" s="293" t="s">
        <v>369</v>
      </c>
      <c r="K52" s="293"/>
      <c r="L52" s="293"/>
      <c r="O52" s="1172"/>
      <c r="P52" s="1172"/>
      <c r="Q52" s="1172"/>
      <c r="R52" s="1172"/>
      <c r="S52" s="1172"/>
      <c r="T52" s="1172"/>
      <c r="U52" s="1172"/>
      <c r="V52" s="1172"/>
      <c r="W52" s="1172"/>
      <c r="X52" s="1172"/>
      <c r="Y52" s="293"/>
      <c r="Z52" s="1172"/>
      <c r="AA52" s="1172"/>
      <c r="AB52" s="1172"/>
    </row>
    <row r="53" spans="1:64" ht="15" hidden="1" customHeight="1" x14ac:dyDescent="0.35">
      <c r="A53" s="293">
        <v>9257016</v>
      </c>
      <c r="B53" s="1460" t="s">
        <v>349</v>
      </c>
      <c r="C53" s="1461"/>
      <c r="D53" s="1461"/>
      <c r="E53" s="1476"/>
      <c r="F53" s="255">
        <v>582568</v>
      </c>
      <c r="G53" s="255">
        <f>F53</f>
        <v>582568</v>
      </c>
      <c r="H53" s="1172"/>
      <c r="I53" s="1172"/>
      <c r="J53" s="293"/>
      <c r="K53" s="293"/>
      <c r="L53" s="293"/>
      <c r="O53" s="1172"/>
      <c r="P53" s="1172"/>
      <c r="Q53" s="1172"/>
      <c r="R53" s="1172"/>
      <c r="S53" s="1172"/>
      <c r="T53" s="1172"/>
      <c r="U53" s="1172"/>
      <c r="V53" s="1172"/>
      <c r="W53" s="1172"/>
      <c r="X53" s="1172"/>
      <c r="Y53" s="293"/>
      <c r="Z53" s="1172"/>
      <c r="AA53" s="1172"/>
      <c r="AB53" s="1172"/>
    </row>
    <row r="54" spans="1:64" ht="15" hidden="1" customHeight="1" x14ac:dyDescent="0.35">
      <c r="A54" s="293">
        <v>9257025</v>
      </c>
      <c r="B54" s="1460" t="s">
        <v>351</v>
      </c>
      <c r="C54" s="1461"/>
      <c r="D54" s="1461"/>
      <c r="E54" s="1476"/>
      <c r="F54" s="255">
        <v>327644</v>
      </c>
      <c r="G54" s="255">
        <f>F54</f>
        <v>327644</v>
      </c>
      <c r="H54" s="1172"/>
      <c r="I54" s="1172"/>
      <c r="J54" s="293"/>
      <c r="K54" s="293"/>
      <c r="L54" s="293"/>
      <c r="O54" s="1172"/>
      <c r="P54" s="1172"/>
      <c r="Q54" s="1172"/>
      <c r="R54" s="1172"/>
      <c r="S54" s="1172"/>
      <c r="T54" s="1172"/>
      <c r="U54" s="1172"/>
      <c r="V54" s="1172"/>
      <c r="W54" s="1172"/>
      <c r="X54" s="1172"/>
      <c r="Y54" s="293"/>
      <c r="Z54" s="1172"/>
      <c r="AA54" s="1172"/>
      <c r="AB54" s="1172"/>
    </row>
    <row r="55" spans="1:64" ht="15" hidden="1" customHeight="1" x14ac:dyDescent="0.35">
      <c r="A55" s="293"/>
      <c r="B55" s="1172"/>
      <c r="C55" s="1172"/>
      <c r="D55" s="1172"/>
      <c r="E55" s="1172"/>
      <c r="F55" s="87">
        <f>SUM(F52:F54)</f>
        <v>1184632</v>
      </c>
      <c r="G55" s="89">
        <f>SUM(G52:G54)</f>
        <v>978817</v>
      </c>
      <c r="H55" s="1172" t="s">
        <v>370</v>
      </c>
      <c r="I55" s="1172"/>
      <c r="J55" s="293"/>
      <c r="K55" s="293"/>
      <c r="L55" s="293"/>
      <c r="O55" s="1172"/>
      <c r="P55" s="1172"/>
      <c r="Q55" s="1172"/>
      <c r="R55" s="1172"/>
      <c r="S55" s="1172"/>
      <c r="T55" s="1172"/>
      <c r="U55" s="1172"/>
      <c r="V55" s="1172"/>
      <c r="W55" s="1172"/>
      <c r="X55" s="1172"/>
      <c r="Y55" s="293"/>
      <c r="Z55" s="1172"/>
      <c r="AA55" s="1172"/>
      <c r="AB55" s="1172"/>
    </row>
    <row r="56" spans="1:64" ht="15" hidden="1" customHeight="1" x14ac:dyDescent="0.35">
      <c r="A56" s="293"/>
      <c r="B56" s="1172"/>
      <c r="C56" s="1172"/>
      <c r="D56" s="1172"/>
      <c r="E56" s="1172"/>
      <c r="F56" s="1183"/>
      <c r="G56" s="1183"/>
      <c r="H56" s="1172"/>
      <c r="I56" s="1172"/>
      <c r="J56" s="293"/>
      <c r="K56" s="293"/>
      <c r="L56" s="293"/>
      <c r="O56" s="1172"/>
      <c r="P56" s="1172"/>
      <c r="Q56" s="1172"/>
      <c r="R56" s="1172"/>
      <c r="S56" s="1172"/>
      <c r="T56" s="1172"/>
      <c r="U56" s="1172"/>
      <c r="V56" s="1172"/>
      <c r="W56" s="1172"/>
      <c r="X56" s="1172"/>
      <c r="Y56" s="293"/>
      <c r="Z56" s="1172"/>
      <c r="AA56" s="1172"/>
      <c r="AB56" s="1172"/>
    </row>
    <row r="57" spans="1:64" ht="15" hidden="1" customHeight="1" x14ac:dyDescent="0.35">
      <c r="A57" s="293"/>
      <c r="B57" s="1172" t="s">
        <v>371</v>
      </c>
      <c r="C57" s="1172"/>
      <c r="D57" s="1172"/>
      <c r="E57" s="1172"/>
      <c r="F57" s="1172"/>
      <c r="G57" s="1172"/>
      <c r="H57" s="1172"/>
      <c r="I57" s="1172"/>
      <c r="J57" s="293"/>
      <c r="K57" s="293"/>
      <c r="L57" s="293"/>
      <c r="O57" s="1172"/>
      <c r="P57" s="1172"/>
      <c r="Q57" s="1172"/>
      <c r="R57" s="1172"/>
      <c r="S57" s="1172"/>
      <c r="T57" s="1172"/>
      <c r="U57" s="1172"/>
      <c r="V57" s="1172"/>
      <c r="W57" s="1172"/>
      <c r="X57" s="1172"/>
      <c r="Y57" s="293"/>
      <c r="Z57" s="1172"/>
      <c r="AA57" s="1172"/>
      <c r="AB57" s="1172"/>
    </row>
    <row r="58" spans="1:64" ht="15" hidden="1" customHeight="1" x14ac:dyDescent="0.35">
      <c r="A58" s="293"/>
      <c r="B58" s="1172"/>
      <c r="C58" s="1172"/>
      <c r="D58" s="1172"/>
      <c r="E58" s="1172"/>
      <c r="F58" s="1172"/>
      <c r="G58" s="1172"/>
      <c r="H58" s="1172"/>
      <c r="I58" s="1172"/>
      <c r="J58" s="293"/>
      <c r="K58" s="293"/>
      <c r="L58" s="293"/>
      <c r="O58" s="1172"/>
      <c r="P58" s="1172"/>
      <c r="Q58" s="1172"/>
      <c r="R58" s="1172"/>
      <c r="S58" s="1172"/>
      <c r="T58" s="1172"/>
      <c r="U58" s="1172"/>
      <c r="V58" s="1172"/>
      <c r="W58" s="1172"/>
      <c r="X58" s="1172"/>
      <c r="Y58" s="293"/>
      <c r="Z58" s="1172"/>
      <c r="AA58" s="1172"/>
      <c r="AB58" s="1172"/>
    </row>
    <row r="59" spans="1:64" ht="15" customHeight="1" x14ac:dyDescent="0.35">
      <c r="A59" s="293"/>
      <c r="B59" s="1172"/>
      <c r="C59" s="1172"/>
      <c r="D59" s="1172"/>
      <c r="E59" s="1172"/>
      <c r="F59" s="1172"/>
      <c r="G59" s="1172"/>
      <c r="H59" s="1172"/>
      <c r="I59" s="1172"/>
      <c r="J59" s="293"/>
      <c r="K59" s="293"/>
      <c r="L59" s="293"/>
      <c r="O59" s="1172"/>
      <c r="P59" s="1172"/>
      <c r="Q59" s="1172"/>
      <c r="R59" s="1172"/>
      <c r="S59" s="1172"/>
      <c r="T59" s="1172"/>
      <c r="U59" s="1172"/>
      <c r="V59" s="1172"/>
      <c r="W59" s="1172"/>
      <c r="X59" s="1172"/>
      <c r="Y59" s="293"/>
      <c r="Z59" s="293" t="s">
        <v>207</v>
      </c>
      <c r="AA59" s="1184">
        <f>L26-AA26</f>
        <v>260000</v>
      </c>
      <c r="AB59" s="1184">
        <f>Q26-AB26</f>
        <v>111962.66666666666</v>
      </c>
      <c r="AC59" s="1184">
        <f>206000-AC26</f>
        <v>77249.999999999971</v>
      </c>
      <c r="AD59" s="1184" t="s">
        <v>207</v>
      </c>
      <c r="AE59" s="1183"/>
      <c r="AG59" s="292" t="s">
        <v>207</v>
      </c>
      <c r="AH59" s="292" t="s">
        <v>207</v>
      </c>
      <c r="AI59" s="292" t="s">
        <v>207</v>
      </c>
      <c r="AJ59" s="292" t="s">
        <v>207</v>
      </c>
      <c r="AK59" s="292" t="s">
        <v>207</v>
      </c>
      <c r="AL59" s="292" t="s">
        <v>207</v>
      </c>
      <c r="AM59" s="293"/>
    </row>
    <row r="60" spans="1:64" ht="15" customHeight="1" x14ac:dyDescent="0.35">
      <c r="A60" s="293"/>
      <c r="B60" s="1172"/>
      <c r="C60" s="1172"/>
      <c r="D60" s="1172"/>
      <c r="E60" s="1172"/>
      <c r="F60" s="1172"/>
      <c r="G60" s="1172"/>
      <c r="H60" s="1172"/>
      <c r="I60" s="1172"/>
      <c r="J60" s="293"/>
      <c r="K60" s="293"/>
      <c r="L60" s="293"/>
      <c r="O60" s="1172"/>
      <c r="P60" s="1172"/>
      <c r="Q60" s="1172"/>
      <c r="R60" s="1172"/>
      <c r="S60" s="1172"/>
      <c r="T60" s="1172"/>
      <c r="U60" s="1172"/>
      <c r="V60" s="1172"/>
      <c r="W60" s="1172"/>
      <c r="X60" s="1172"/>
      <c r="Y60" s="293"/>
      <c r="Z60" s="1172"/>
      <c r="AA60" s="1172"/>
      <c r="AB60" s="1172"/>
      <c r="AC60" s="1184"/>
      <c r="AD60" s="1183"/>
      <c r="AE60" s="1183"/>
      <c r="AG60" s="293"/>
      <c r="AH60" s="293"/>
      <c r="AI60" s="293"/>
      <c r="AJ60" s="293"/>
      <c r="AK60" s="293"/>
      <c r="AL60" s="293"/>
      <c r="AM60" s="293"/>
      <c r="BH60" s="891"/>
    </row>
    <row r="61" spans="1:64" ht="15" customHeight="1" x14ac:dyDescent="0.35">
      <c r="A61" s="293"/>
      <c r="B61" s="1172"/>
      <c r="C61" s="1172"/>
      <c r="D61" s="1172"/>
      <c r="E61" s="1172"/>
      <c r="F61" s="1172"/>
      <c r="G61" s="1172"/>
      <c r="H61" s="1172"/>
      <c r="I61" s="1172"/>
      <c r="J61" s="293"/>
      <c r="K61" s="293"/>
      <c r="L61" s="293"/>
      <c r="O61" s="1172"/>
      <c r="P61" s="1172"/>
      <c r="Q61" s="1172"/>
      <c r="R61" s="1172"/>
      <c r="S61" s="1172"/>
      <c r="T61" s="1172"/>
      <c r="U61" s="1172"/>
      <c r="V61" s="1172"/>
      <c r="W61" s="1172"/>
      <c r="X61" s="1172"/>
      <c r="Y61" s="293"/>
      <c r="Z61" s="1172"/>
      <c r="AA61" s="293" t="s">
        <v>207</v>
      </c>
      <c r="AB61" s="293" t="s">
        <v>207</v>
      </c>
      <c r="AC61" s="293" t="s">
        <v>207</v>
      </c>
      <c r="AD61" s="1183"/>
      <c r="AE61" s="1183"/>
      <c r="AG61" s="293"/>
      <c r="AH61" s="292" t="s">
        <v>372</v>
      </c>
      <c r="AI61" s="294">
        <f>SUM(AA64:AC64)</f>
        <v>757936</v>
      </c>
      <c r="AJ61" s="292"/>
      <c r="AK61" s="292" t="s">
        <v>3</v>
      </c>
      <c r="AL61" s="294">
        <f>AL26-AE64</f>
        <v>209307</v>
      </c>
      <c r="AM61" s="293"/>
      <c r="BL61" s="159" t="s">
        <v>1328</v>
      </c>
    </row>
    <row r="62" spans="1:64" ht="15" customHeight="1" x14ac:dyDescent="0.35">
      <c r="A62" s="293"/>
      <c r="B62" s="1172"/>
      <c r="C62" s="1172"/>
      <c r="D62" s="1172"/>
      <c r="E62" s="1172"/>
      <c r="F62" s="1172"/>
      <c r="G62" s="1172"/>
      <c r="H62" s="1172"/>
      <c r="I62" s="1172"/>
      <c r="J62" s="293"/>
      <c r="K62" s="293"/>
      <c r="L62" s="293"/>
      <c r="O62" s="1172"/>
      <c r="P62" s="1172"/>
      <c r="Q62" s="1172"/>
      <c r="R62" s="1172"/>
      <c r="S62" s="1172"/>
      <c r="T62" s="1172"/>
      <c r="U62" s="1172"/>
      <c r="V62" s="1172"/>
      <c r="W62" s="1172"/>
      <c r="X62" s="1172"/>
      <c r="Y62" s="293"/>
      <c r="Z62" s="1172"/>
      <c r="AA62" s="1183">
        <f>((L18+L19+L23+L24+L25)*(7/12))+L11</f>
        <v>235000</v>
      </c>
      <c r="AB62" s="1184">
        <f>Q26*(7/12)</f>
        <v>111962.66666666667</v>
      </c>
      <c r="AC62" s="1184">
        <f>(7/12)*206000</f>
        <v>120166.66666666667</v>
      </c>
      <c r="AD62" s="1183"/>
      <c r="AE62" s="1183"/>
      <c r="AG62" s="293"/>
      <c r="AH62" s="292"/>
      <c r="AI62" s="292" t="s">
        <v>207</v>
      </c>
      <c r="AJ62" s="292"/>
      <c r="AK62" s="1475" t="s">
        <v>373</v>
      </c>
      <c r="AL62" s="1475"/>
      <c r="AM62" s="293"/>
    </row>
    <row r="63" spans="1:64" ht="15" customHeight="1" x14ac:dyDescent="0.35">
      <c r="A63" s="293"/>
      <c r="B63" s="1172"/>
      <c r="C63" s="1172"/>
      <c r="D63" s="1172"/>
      <c r="E63" s="1172"/>
      <c r="F63" s="1172"/>
      <c r="G63" s="1172"/>
      <c r="H63" s="1172"/>
      <c r="I63" s="1172"/>
      <c r="J63" s="293"/>
      <c r="K63" s="293"/>
      <c r="L63" s="293"/>
      <c r="O63" s="1172"/>
      <c r="P63" s="1172"/>
      <c r="Q63" s="1172"/>
      <c r="R63" s="1172"/>
      <c r="S63" s="1172"/>
      <c r="T63" s="1172"/>
      <c r="U63" s="1172"/>
      <c r="V63" s="1172"/>
      <c r="W63" s="1172"/>
      <c r="X63" s="1172"/>
      <c r="Y63" s="293"/>
      <c r="Z63" s="1172"/>
      <c r="AA63" s="1172"/>
      <c r="AB63" s="1172"/>
      <c r="AC63" s="1183"/>
      <c r="AD63" s="1183"/>
      <c r="AE63" s="1183"/>
      <c r="AG63" s="293"/>
      <c r="AH63" s="292"/>
      <c r="AI63" s="292"/>
      <c r="AJ63" s="292"/>
      <c r="AK63" s="1475"/>
      <c r="AL63" s="1475"/>
      <c r="AM63" s="293"/>
    </row>
    <row r="64" spans="1:64" ht="12" customHeight="1" x14ac:dyDescent="0.35">
      <c r="A64" s="293"/>
      <c r="B64" s="1172"/>
      <c r="C64" s="1172"/>
      <c r="D64" s="1172"/>
      <c r="E64" s="1172"/>
      <c r="F64" s="1172"/>
      <c r="G64" s="1172"/>
      <c r="H64" s="1172"/>
      <c r="I64" s="1172"/>
      <c r="J64" s="293"/>
      <c r="K64" s="293"/>
      <c r="L64" s="293"/>
      <c r="O64" s="1172"/>
      <c r="P64" s="1172"/>
      <c r="Q64" s="1172"/>
      <c r="R64" s="1172"/>
      <c r="S64" s="1172"/>
      <c r="T64" s="1172"/>
      <c r="U64" s="1172"/>
      <c r="V64" s="1172"/>
      <c r="W64" s="1172"/>
      <c r="X64" s="1172"/>
      <c r="Y64" s="293"/>
      <c r="Z64" s="1183">
        <f>I26</f>
        <v>317322</v>
      </c>
      <c r="AA64" s="1183">
        <f>L26</f>
        <v>360000</v>
      </c>
      <c r="AB64" s="1183">
        <f>Q26</f>
        <v>191936</v>
      </c>
      <c r="AC64" s="1184">
        <f>206000</f>
        <v>206000</v>
      </c>
      <c r="AD64" s="1184">
        <f>U26</f>
        <v>910212</v>
      </c>
      <c r="AE64" s="1184">
        <f>SUM(Z64:AD64)</f>
        <v>1985470</v>
      </c>
      <c r="AG64" s="293"/>
      <c r="AH64" s="292"/>
      <c r="AI64" s="292"/>
      <c r="AJ64" s="292"/>
      <c r="AK64" s="1475"/>
      <c r="AL64" s="1475"/>
      <c r="AM64" s="293"/>
    </row>
    <row r="65" spans="2:38" s="79" customFormat="1" ht="12" customHeight="1" x14ac:dyDescent="0.35">
      <c r="B65" s="159"/>
      <c r="C65" s="1172"/>
      <c r="D65" s="1172"/>
      <c r="E65" s="1172"/>
      <c r="F65" s="1172"/>
      <c r="G65" s="1172"/>
      <c r="H65" s="1172"/>
      <c r="I65" s="1172"/>
      <c r="J65" s="293"/>
      <c r="K65" s="293"/>
      <c r="L65" s="293"/>
      <c r="O65" s="1172"/>
      <c r="P65" s="1172"/>
      <c r="Q65" s="1172"/>
      <c r="R65" s="1172"/>
      <c r="S65" s="1172"/>
      <c r="T65" s="1172"/>
      <c r="U65" s="1172"/>
      <c r="V65" s="1172"/>
      <c r="W65" s="1172"/>
      <c r="X65" s="1172"/>
      <c r="Y65" s="293"/>
      <c r="Z65" s="1172"/>
      <c r="AA65" s="1172"/>
      <c r="AB65" s="1172"/>
      <c r="AC65" s="1184"/>
      <c r="AD65" s="1184"/>
      <c r="AE65" s="1184"/>
    </row>
    <row r="66" spans="2:38" s="79" customFormat="1" ht="12" customHeight="1" x14ac:dyDescent="0.35">
      <c r="B66" s="1172"/>
      <c r="C66" s="1172"/>
      <c r="D66" s="1172"/>
      <c r="E66" s="1185" t="s">
        <v>374</v>
      </c>
      <c r="F66" s="1172"/>
      <c r="G66" s="1172"/>
      <c r="H66" s="1172"/>
      <c r="I66" s="1172"/>
      <c r="J66" s="293"/>
      <c r="K66" s="293"/>
      <c r="L66" s="293"/>
      <c r="O66" s="1172"/>
      <c r="P66" s="1172"/>
      <c r="Q66" s="1172"/>
      <c r="R66" s="1172"/>
      <c r="S66" s="1172"/>
      <c r="T66" s="1172"/>
      <c r="U66" s="1172"/>
      <c r="V66" s="1172"/>
      <c r="W66" s="1172"/>
      <c r="X66" s="1172"/>
      <c r="Y66" s="293"/>
      <c r="Z66" s="1183">
        <f>Z26</f>
        <v>317322</v>
      </c>
      <c r="AA66" s="1172"/>
      <c r="AB66" s="1172"/>
      <c r="AC66" s="1184"/>
      <c r="AD66" s="1184">
        <f>AD26</f>
        <v>910212</v>
      </c>
      <c r="AE66" s="1184"/>
      <c r="AL66" s="292" t="s">
        <v>375</v>
      </c>
    </row>
    <row r="67" spans="2:38" s="79" customFormat="1" ht="12" customHeight="1" x14ac:dyDescent="0.35">
      <c r="B67" s="1172"/>
      <c r="C67" s="1172"/>
      <c r="D67" s="1172"/>
      <c r="E67" s="1172"/>
      <c r="F67" s="1172"/>
      <c r="G67" s="1172"/>
      <c r="H67" s="1172"/>
      <c r="I67" s="1172"/>
      <c r="J67" s="293"/>
      <c r="K67" s="293"/>
      <c r="L67" s="293"/>
      <c r="O67" s="1172"/>
      <c r="P67" s="1172"/>
      <c r="Q67" s="1172"/>
      <c r="R67" s="1172"/>
      <c r="S67" s="1172"/>
      <c r="T67" s="1172"/>
      <c r="U67" s="1172"/>
      <c r="V67" s="1172"/>
      <c r="W67" s="1172"/>
      <c r="X67" s="1172"/>
      <c r="Y67" s="293"/>
      <c r="Z67" s="1172"/>
      <c r="AA67" s="1172"/>
      <c r="AB67" s="1172"/>
      <c r="AL67" s="292" t="s">
        <v>376</v>
      </c>
    </row>
  </sheetData>
  <mergeCells count="85">
    <mergeCell ref="BL4:BL6"/>
    <mergeCell ref="BM4:BM6"/>
    <mergeCell ref="BN4:BN6"/>
    <mergeCell ref="BO4:BO6"/>
    <mergeCell ref="U4:U6"/>
    <mergeCell ref="AI4:AI6"/>
    <mergeCell ref="X4:X6"/>
    <mergeCell ref="Y4:Y6"/>
    <mergeCell ref="Z4:Z6"/>
    <mergeCell ref="AA4:AA6"/>
    <mergeCell ref="AB4:AB6"/>
    <mergeCell ref="BC4:BC6"/>
    <mergeCell ref="BD4:BD6"/>
    <mergeCell ref="AQ4:AQ6"/>
    <mergeCell ref="AR4:AR6"/>
    <mergeCell ref="AS4:AS6"/>
    <mergeCell ref="V2:V3"/>
    <mergeCell ref="F4:F6"/>
    <mergeCell ref="G4:G6"/>
    <mergeCell ref="H4:H6"/>
    <mergeCell ref="I4:I6"/>
    <mergeCell ref="J4:J6"/>
    <mergeCell ref="K4:K6"/>
    <mergeCell ref="L4:L6"/>
    <mergeCell ref="M4:M6"/>
    <mergeCell ref="N4:N6"/>
    <mergeCell ref="O4:O6"/>
    <mergeCell ref="P4:P6"/>
    <mergeCell ref="Q4:Q6"/>
    <mergeCell ref="R4:R6"/>
    <mergeCell ref="S4:S6"/>
    <mergeCell ref="V4:V6"/>
    <mergeCell ref="B6:E6"/>
    <mergeCell ref="AX4:AX6"/>
    <mergeCell ref="AC4:AC6"/>
    <mergeCell ref="AD4:AD6"/>
    <mergeCell ref="AE4:AE6"/>
    <mergeCell ref="AG4:AG6"/>
    <mergeCell ref="AH4:AH6"/>
    <mergeCell ref="AY4:AY6"/>
    <mergeCell ref="AZ4:AZ6"/>
    <mergeCell ref="BB4:BB6"/>
    <mergeCell ref="AJ4:AJ6"/>
    <mergeCell ref="AK4:AK6"/>
    <mergeCell ref="AL4:AL6"/>
    <mergeCell ref="AN4:AN6"/>
    <mergeCell ref="AO4:AO6"/>
    <mergeCell ref="AP4:AP6"/>
    <mergeCell ref="AU4:AU6"/>
    <mergeCell ref="AV4:AV6"/>
    <mergeCell ref="AW4:AW6"/>
    <mergeCell ref="BE4:BE6"/>
    <mergeCell ref="BG4:BG6"/>
    <mergeCell ref="BH4:BH6"/>
    <mergeCell ref="BI4:BI6"/>
    <mergeCell ref="BJ4:BJ6"/>
    <mergeCell ref="B18:E18"/>
    <mergeCell ref="B7:E7"/>
    <mergeCell ref="B8:E8"/>
    <mergeCell ref="B9:E9"/>
    <mergeCell ref="B10:E10"/>
    <mergeCell ref="B11:E11"/>
    <mergeCell ref="B12:E12"/>
    <mergeCell ref="B13:E13"/>
    <mergeCell ref="B14:E14"/>
    <mergeCell ref="B15:E15"/>
    <mergeCell ref="B16:E16"/>
    <mergeCell ref="B17:E17"/>
    <mergeCell ref="B46:V47"/>
    <mergeCell ref="B19:E19"/>
    <mergeCell ref="B20:E20"/>
    <mergeCell ref="B21:E21"/>
    <mergeCell ref="B22:E22"/>
    <mergeCell ref="B23:E23"/>
    <mergeCell ref="B24:E24"/>
    <mergeCell ref="B25:E25"/>
    <mergeCell ref="B26:E26"/>
    <mergeCell ref="B30:V33"/>
    <mergeCell ref="B36:V38"/>
    <mergeCell ref="B41:V44"/>
    <mergeCell ref="B48:V49"/>
    <mergeCell ref="B52:E52"/>
    <mergeCell ref="B53:E53"/>
    <mergeCell ref="B54:E54"/>
    <mergeCell ref="AK62:AL64"/>
  </mergeCells>
  <pageMargins left="0.7" right="0.7" top="0.75" bottom="0.75" header="0.3" footer="0.3"/>
  <legacy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20C44-B4FA-444F-BB30-D93F81CEC804}">
  <sheetPr>
    <tabColor rgb="FFFFFF00"/>
  </sheetPr>
  <dimension ref="A2:Z67"/>
  <sheetViews>
    <sheetView topLeftCell="H1" workbookViewId="0">
      <selection activeCell="T18" sqref="T18"/>
    </sheetView>
  </sheetViews>
  <sheetFormatPr defaultColWidth="9.1796875" defaultRowHeight="15.5" x14ac:dyDescent="0.35"/>
  <cols>
    <col min="1" max="1" width="10.54296875" style="78" bestFit="1" customWidth="1"/>
    <col min="2" max="5" width="9.1796875" style="77"/>
    <col min="6" max="8" width="9.1796875" style="79"/>
    <col min="9" max="9" width="9.81640625" style="79" bestFit="1" customWidth="1"/>
    <col min="10" max="10" width="13" style="79" customWidth="1"/>
    <col min="11" max="14" width="9.81640625" style="79" customWidth="1"/>
    <col min="15" max="15" width="12.54296875" style="79" customWidth="1"/>
    <col min="16" max="16" width="9.81640625" style="79" customWidth="1"/>
    <col min="17" max="17" width="77.453125" style="79" customWidth="1"/>
    <col min="18" max="18" width="9.1796875" style="79"/>
    <col min="19" max="21" width="9.1796875" style="1277"/>
    <col min="22" max="22" width="14.81640625" style="1277" customWidth="1"/>
    <col min="23" max="16384" width="9.1796875" style="79"/>
  </cols>
  <sheetData>
    <row r="2" spans="1:26" ht="12" customHeight="1" x14ac:dyDescent="0.35">
      <c r="A2" s="293"/>
      <c r="B2" s="76" t="s">
        <v>304</v>
      </c>
      <c r="C2" s="1172"/>
      <c r="D2" s="1172"/>
      <c r="E2" s="1172"/>
    </row>
    <row r="3" spans="1:26" ht="12" customHeight="1" x14ac:dyDescent="0.35">
      <c r="A3" s="293"/>
      <c r="B3" s="1172"/>
      <c r="C3" s="1172"/>
      <c r="D3" s="1172"/>
      <c r="E3" s="1172"/>
    </row>
    <row r="4" spans="1:26" s="80" customFormat="1" ht="12" customHeight="1" x14ac:dyDescent="0.3">
      <c r="A4" s="293"/>
      <c r="B4" s="1172"/>
      <c r="C4" s="1172"/>
      <c r="D4" s="1172"/>
      <c r="E4" s="1172"/>
      <c r="G4" s="1561" t="s">
        <v>1325</v>
      </c>
      <c r="H4" s="1554" t="s">
        <v>1326</v>
      </c>
      <c r="I4" s="1554" t="s">
        <v>1327</v>
      </c>
      <c r="J4" s="1554" t="s">
        <v>330</v>
      </c>
      <c r="K4" s="1173"/>
      <c r="L4" s="1561" t="s">
        <v>1329</v>
      </c>
      <c r="M4" s="1554" t="s">
        <v>1330</v>
      </c>
      <c r="N4" s="1554" t="s">
        <v>1331</v>
      </c>
      <c r="O4" s="1554" t="s">
        <v>330</v>
      </c>
      <c r="P4" s="1173"/>
      <c r="S4" s="1561" t="s">
        <v>1332</v>
      </c>
      <c r="T4" s="1554" t="s">
        <v>1333</v>
      </c>
      <c r="U4" s="1554" t="s">
        <v>1334</v>
      </c>
      <c r="V4" s="1554" t="s">
        <v>330</v>
      </c>
    </row>
    <row r="5" spans="1:26" s="80" customFormat="1" ht="12" customHeight="1" x14ac:dyDescent="0.3">
      <c r="A5" s="293"/>
      <c r="B5" s="1172"/>
      <c r="C5" s="1172"/>
      <c r="D5" s="1172"/>
      <c r="E5" s="1172"/>
      <c r="G5" s="1561"/>
      <c r="H5" s="1554"/>
      <c r="I5" s="1554"/>
      <c r="J5" s="1554"/>
      <c r="K5" s="1173"/>
      <c r="L5" s="1561"/>
      <c r="M5" s="1554"/>
      <c r="N5" s="1554"/>
      <c r="O5" s="1554"/>
      <c r="P5" s="1173"/>
      <c r="S5" s="1561"/>
      <c r="T5" s="1554"/>
      <c r="U5" s="1554"/>
      <c r="V5" s="1554"/>
    </row>
    <row r="6" spans="1:26" s="80" customFormat="1" ht="12" customHeight="1" x14ac:dyDescent="0.3">
      <c r="A6" s="293"/>
      <c r="B6" s="1562" t="s">
        <v>336</v>
      </c>
      <c r="C6" s="1563"/>
      <c r="D6" s="1563"/>
      <c r="E6" s="1564"/>
      <c r="G6" s="1561"/>
      <c r="H6" s="1554"/>
      <c r="I6" s="1554"/>
      <c r="J6" s="1554"/>
      <c r="K6" s="1173"/>
      <c r="L6" s="1561"/>
      <c r="M6" s="1554"/>
      <c r="N6" s="1554"/>
      <c r="O6" s="1554"/>
      <c r="P6" s="1173"/>
      <c r="S6" s="1561"/>
      <c r="T6" s="1554"/>
      <c r="U6" s="1554"/>
      <c r="V6" s="1554"/>
    </row>
    <row r="7" spans="1:26" ht="12" customHeight="1" x14ac:dyDescent="0.35">
      <c r="A7" s="1175">
        <v>9257010</v>
      </c>
      <c r="B7" s="1555" t="s">
        <v>337</v>
      </c>
      <c r="C7" s="1556"/>
      <c r="D7" s="1556"/>
      <c r="E7" s="1556"/>
      <c r="G7" s="1095">
        <f>35258</f>
        <v>35258</v>
      </c>
      <c r="H7" s="1095"/>
      <c r="I7" s="1095"/>
      <c r="J7" s="1095">
        <f t="shared" ref="J7:J26" si="0">SUM(G7:I7)</f>
        <v>35258</v>
      </c>
      <c r="K7" s="1184"/>
      <c r="L7" s="1095">
        <f>35258</f>
        <v>35258</v>
      </c>
      <c r="M7" s="1095"/>
      <c r="N7" s="1095"/>
      <c r="O7" s="1095">
        <f t="shared" ref="O7:O25" si="1">SUM(L7:N7)</f>
        <v>35258</v>
      </c>
      <c r="P7" s="1184"/>
      <c r="S7" s="1095">
        <f>35258*5/12</f>
        <v>14690.833333333334</v>
      </c>
      <c r="T7" s="1095"/>
      <c r="U7" s="1095"/>
      <c r="V7" s="1095">
        <f t="shared" ref="V7:V25" si="2">SUM(S7:U7)</f>
        <v>14690.833333333334</v>
      </c>
    </row>
    <row r="8" spans="1:26" ht="12" customHeight="1" x14ac:dyDescent="0.35">
      <c r="A8" s="1175">
        <v>9257030</v>
      </c>
      <c r="B8" s="1555" t="s">
        <v>338</v>
      </c>
      <c r="C8" s="1556"/>
      <c r="D8" s="1556"/>
      <c r="E8" s="1556"/>
      <c r="G8" s="1095"/>
      <c r="H8" s="1095"/>
      <c r="I8" s="1095"/>
      <c r="J8" s="1095">
        <f t="shared" si="0"/>
        <v>0</v>
      </c>
      <c r="K8" s="1184"/>
      <c r="L8" s="1095"/>
      <c r="M8" s="1095"/>
      <c r="N8" s="1095"/>
      <c r="O8" s="1095">
        <f t="shared" si="1"/>
        <v>0</v>
      </c>
      <c r="P8" s="1184"/>
      <c r="S8" s="1095"/>
      <c r="T8" s="1095"/>
      <c r="U8" s="1095"/>
      <c r="V8" s="1095">
        <f t="shared" si="2"/>
        <v>0</v>
      </c>
    </row>
    <row r="9" spans="1:26" ht="12" customHeight="1" x14ac:dyDescent="0.35">
      <c r="A9" s="1175">
        <v>9257031</v>
      </c>
      <c r="B9" s="1555" t="s">
        <v>339</v>
      </c>
      <c r="C9" s="1556"/>
      <c r="D9" s="1556"/>
      <c r="E9" s="1556"/>
      <c r="G9" s="1095"/>
      <c r="H9" s="1095"/>
      <c r="I9" s="1095"/>
      <c r="J9" s="1095">
        <f t="shared" si="0"/>
        <v>0</v>
      </c>
      <c r="K9" s="1184"/>
      <c r="L9" s="1095"/>
      <c r="M9" s="1095"/>
      <c r="N9" s="1095"/>
      <c r="O9" s="1095">
        <f t="shared" si="1"/>
        <v>0</v>
      </c>
      <c r="P9" s="1184"/>
      <c r="S9" s="1095"/>
      <c r="T9" s="1095"/>
      <c r="U9" s="1095"/>
      <c r="V9" s="1095">
        <f t="shared" si="2"/>
        <v>0</v>
      </c>
    </row>
    <row r="10" spans="1:26" ht="60.65" customHeight="1" x14ac:dyDescent="0.35">
      <c r="A10" s="1175">
        <v>9257008</v>
      </c>
      <c r="B10" s="1555" t="s">
        <v>340</v>
      </c>
      <c r="C10" s="1556"/>
      <c r="D10" s="1556"/>
      <c r="E10" s="1556"/>
      <c r="G10" s="1095"/>
      <c r="H10" s="1095">
        <f>617500</f>
        <v>617500</v>
      </c>
      <c r="I10" s="1095"/>
      <c r="J10" s="1095">
        <f t="shared" si="0"/>
        <v>617500</v>
      </c>
      <c r="K10" s="1184"/>
      <c r="L10" s="1095"/>
      <c r="M10" s="1264">
        <f>617500</f>
        <v>617500</v>
      </c>
      <c r="N10" s="1095"/>
      <c r="O10" s="1095">
        <f t="shared" si="1"/>
        <v>617500</v>
      </c>
      <c r="P10" s="1184"/>
      <c r="Q10" s="1094" t="s">
        <v>1335</v>
      </c>
      <c r="R10" s="1094"/>
      <c r="S10" s="1095"/>
      <c r="T10" s="1095">
        <f>617500</f>
        <v>617500</v>
      </c>
      <c r="U10" s="1095"/>
      <c r="V10" s="1095">
        <f t="shared" si="2"/>
        <v>617500</v>
      </c>
      <c r="W10" s="1094"/>
      <c r="X10" s="1094"/>
      <c r="Y10" s="1094"/>
      <c r="Z10" s="1094"/>
    </row>
    <row r="11" spans="1:26" ht="12" customHeight="1" x14ac:dyDescent="0.35">
      <c r="A11" s="1175">
        <v>9257002</v>
      </c>
      <c r="B11" s="1555" t="s">
        <v>341</v>
      </c>
      <c r="C11" s="1556"/>
      <c r="D11" s="1556"/>
      <c r="E11" s="1556"/>
      <c r="G11" s="1095"/>
      <c r="H11" s="1095"/>
      <c r="I11" s="1095"/>
      <c r="J11" s="1095">
        <f t="shared" si="0"/>
        <v>0</v>
      </c>
      <c r="K11" s="1184"/>
      <c r="L11" s="1095"/>
      <c r="M11" s="1095"/>
      <c r="N11" s="1095"/>
      <c r="O11" s="1095">
        <f t="shared" si="1"/>
        <v>0</v>
      </c>
      <c r="P11" s="1184"/>
      <c r="S11" s="1095"/>
      <c r="T11" s="1095"/>
      <c r="U11" s="1095"/>
      <c r="V11" s="1095">
        <f t="shared" si="2"/>
        <v>0</v>
      </c>
    </row>
    <row r="12" spans="1:26" ht="12" customHeight="1" x14ac:dyDescent="0.35">
      <c r="A12" s="1175">
        <v>9257005</v>
      </c>
      <c r="B12" s="1555" t="s">
        <v>342</v>
      </c>
      <c r="C12" s="1556"/>
      <c r="D12" s="1556"/>
      <c r="E12" s="1556"/>
      <c r="G12" s="1095">
        <f>35258</f>
        <v>35258</v>
      </c>
      <c r="H12" s="1095"/>
      <c r="I12" s="1095"/>
      <c r="J12" s="1095">
        <f t="shared" si="0"/>
        <v>35258</v>
      </c>
      <c r="K12" s="1184"/>
      <c r="L12" s="1095">
        <f>35258</f>
        <v>35258</v>
      </c>
      <c r="M12" s="1095"/>
      <c r="N12" s="1095"/>
      <c r="O12" s="1095">
        <f t="shared" si="1"/>
        <v>35258</v>
      </c>
      <c r="P12" s="1184"/>
      <c r="S12" s="1095">
        <f>35258*5/12</f>
        <v>14690.833333333334</v>
      </c>
      <c r="T12" s="1095"/>
      <c r="U12" s="1095"/>
      <c r="V12" s="1095">
        <f t="shared" si="2"/>
        <v>14690.833333333334</v>
      </c>
    </row>
    <row r="13" spans="1:26" ht="12" customHeight="1" x14ac:dyDescent="0.35">
      <c r="A13" s="1175">
        <v>9257034</v>
      </c>
      <c r="B13" s="1555" t="s">
        <v>343</v>
      </c>
      <c r="C13" s="1556"/>
      <c r="D13" s="1556"/>
      <c r="E13" s="1556"/>
      <c r="G13" s="1095"/>
      <c r="H13" s="1095"/>
      <c r="I13" s="1095"/>
      <c r="J13" s="1095">
        <f t="shared" si="0"/>
        <v>0</v>
      </c>
      <c r="K13" s="1184"/>
      <c r="L13" s="1095"/>
      <c r="M13" s="1095"/>
      <c r="N13" s="1095"/>
      <c r="O13" s="1095">
        <f t="shared" si="1"/>
        <v>0</v>
      </c>
      <c r="P13" s="1184"/>
      <c r="S13" s="1095"/>
      <c r="T13" s="1095"/>
      <c r="U13" s="1095"/>
      <c r="V13" s="1095">
        <f t="shared" si="2"/>
        <v>0</v>
      </c>
    </row>
    <row r="14" spans="1:26" ht="12" customHeight="1" x14ac:dyDescent="0.35">
      <c r="A14" s="1175">
        <v>9257021</v>
      </c>
      <c r="B14" s="1555" t="s">
        <v>344</v>
      </c>
      <c r="C14" s="1556"/>
      <c r="D14" s="1556"/>
      <c r="E14" s="1556"/>
      <c r="G14" s="1095">
        <f>35258</f>
        <v>35258</v>
      </c>
      <c r="H14" s="1095"/>
      <c r="I14" s="1095"/>
      <c r="J14" s="1095">
        <f t="shared" si="0"/>
        <v>35258</v>
      </c>
      <c r="K14" s="1184"/>
      <c r="L14" s="1095">
        <f>35258</f>
        <v>35258</v>
      </c>
      <c r="M14" s="1095"/>
      <c r="N14" s="1095"/>
      <c r="O14" s="1095">
        <f t="shared" si="1"/>
        <v>35258</v>
      </c>
      <c r="P14" s="1184"/>
      <c r="S14" s="1095">
        <f>35258*5/12</f>
        <v>14690.833333333334</v>
      </c>
      <c r="T14" s="1095"/>
      <c r="U14" s="1095"/>
      <c r="V14" s="1095">
        <f t="shared" si="2"/>
        <v>14690.833333333334</v>
      </c>
    </row>
    <row r="15" spans="1:26" s="77" customFormat="1" ht="12" customHeight="1" x14ac:dyDescent="0.25">
      <c r="A15" s="1175">
        <v>9257033</v>
      </c>
      <c r="B15" s="1555" t="s">
        <v>346</v>
      </c>
      <c r="C15" s="1556"/>
      <c r="D15" s="1556"/>
      <c r="E15" s="1556"/>
      <c r="F15" s="1172"/>
      <c r="G15" s="1095"/>
      <c r="H15" s="1095"/>
      <c r="I15" s="1095"/>
      <c r="J15" s="1095">
        <f t="shared" si="0"/>
        <v>0</v>
      </c>
      <c r="K15" s="1184"/>
      <c r="L15" s="1095"/>
      <c r="M15" s="1095"/>
      <c r="N15" s="1095"/>
      <c r="O15" s="1095">
        <f t="shared" si="1"/>
        <v>0</v>
      </c>
      <c r="P15" s="1184"/>
      <c r="Q15" s="1172"/>
      <c r="R15" s="1172"/>
      <c r="S15" s="1095"/>
      <c r="T15" s="1095"/>
      <c r="U15" s="1095"/>
      <c r="V15" s="1095">
        <f t="shared" si="2"/>
        <v>0</v>
      </c>
      <c r="W15" s="1172"/>
      <c r="X15" s="1172"/>
      <c r="Y15" s="1172"/>
      <c r="Z15" s="1172"/>
    </row>
    <row r="16" spans="1:26" s="77" customFormat="1" ht="12" customHeight="1" x14ac:dyDescent="0.25">
      <c r="A16" s="1175">
        <v>9257017</v>
      </c>
      <c r="B16" s="1555" t="s">
        <v>347</v>
      </c>
      <c r="C16" s="1556"/>
      <c r="D16" s="1556"/>
      <c r="E16" s="1556"/>
      <c r="F16" s="1172"/>
      <c r="G16" s="1095"/>
      <c r="H16" s="1095"/>
      <c r="I16" s="1095"/>
      <c r="J16" s="1095">
        <f t="shared" si="0"/>
        <v>0</v>
      </c>
      <c r="K16" s="1184"/>
      <c r="L16" s="1095"/>
      <c r="M16" s="1095"/>
      <c r="N16" s="1095"/>
      <c r="O16" s="1095">
        <f t="shared" si="1"/>
        <v>0</v>
      </c>
      <c r="P16" s="1184"/>
      <c r="Q16" s="1172"/>
      <c r="R16" s="1172"/>
      <c r="S16" s="1095"/>
      <c r="T16" s="1095"/>
      <c r="U16" s="1095"/>
      <c r="V16" s="1095">
        <f t="shared" si="2"/>
        <v>0</v>
      </c>
      <c r="W16" s="1172"/>
      <c r="X16" s="1172"/>
      <c r="Y16" s="1172"/>
      <c r="Z16" s="1172"/>
    </row>
    <row r="17" spans="1:22" ht="12" customHeight="1" x14ac:dyDescent="0.35">
      <c r="A17" s="1175">
        <v>9257015</v>
      </c>
      <c r="B17" s="1555" t="s">
        <v>348</v>
      </c>
      <c r="C17" s="1556"/>
      <c r="D17" s="1556"/>
      <c r="E17" s="1556"/>
      <c r="G17" s="1095">
        <f>35258</f>
        <v>35258</v>
      </c>
      <c r="H17" s="1095"/>
      <c r="I17" s="1095"/>
      <c r="J17" s="1095">
        <f t="shared" si="0"/>
        <v>35258</v>
      </c>
      <c r="K17" s="1184"/>
      <c r="L17" s="1095">
        <f>35258</f>
        <v>35258</v>
      </c>
      <c r="M17" s="1095"/>
      <c r="N17" s="1095"/>
      <c r="O17" s="1095">
        <f t="shared" si="1"/>
        <v>35258</v>
      </c>
      <c r="P17" s="1184"/>
      <c r="S17" s="1095">
        <f>35258*5/12</f>
        <v>14690.833333333334</v>
      </c>
      <c r="T17" s="1095"/>
      <c r="U17" s="1095"/>
      <c r="V17" s="1095">
        <f t="shared" si="2"/>
        <v>14690.833333333334</v>
      </c>
    </row>
    <row r="18" spans="1:22" ht="46.5" x14ac:dyDescent="0.35">
      <c r="A18" s="1175">
        <v>9257016</v>
      </c>
      <c r="B18" s="1555" t="s">
        <v>349</v>
      </c>
      <c r="C18" s="1556"/>
      <c r="D18" s="1556"/>
      <c r="E18" s="1556"/>
      <c r="G18" s="1095"/>
      <c r="H18" s="1095">
        <f>140436</f>
        <v>140436</v>
      </c>
      <c r="I18" s="1096">
        <f>582568*5/12</f>
        <v>242736.66666666666</v>
      </c>
      <c r="J18" s="1095">
        <f t="shared" si="0"/>
        <v>383172.66666666663</v>
      </c>
      <c r="K18" s="255"/>
      <c r="L18" s="1095"/>
      <c r="M18" s="1264">
        <f>140436</f>
        <v>140436</v>
      </c>
      <c r="N18" s="1096">
        <v>0</v>
      </c>
      <c r="O18" s="1095">
        <f t="shared" si="1"/>
        <v>140436</v>
      </c>
      <c r="P18" s="1184"/>
      <c r="Q18" s="1094" t="s">
        <v>1336</v>
      </c>
      <c r="S18" s="1095"/>
      <c r="T18" s="1095">
        <f>140436</f>
        <v>140436</v>
      </c>
      <c r="U18" s="1096"/>
      <c r="V18" s="1095">
        <f t="shared" si="2"/>
        <v>140436</v>
      </c>
    </row>
    <row r="19" spans="1:22" ht="12" customHeight="1" x14ac:dyDescent="0.35">
      <c r="A19" s="1175">
        <v>9257032</v>
      </c>
      <c r="B19" s="1558" t="s">
        <v>350</v>
      </c>
      <c r="C19" s="1559"/>
      <c r="D19" s="1559"/>
      <c r="E19" s="1560"/>
      <c r="G19" s="1095"/>
      <c r="H19" s="1095"/>
      <c r="I19" s="1095"/>
      <c r="J19" s="1095">
        <f t="shared" si="0"/>
        <v>0</v>
      </c>
      <c r="K19" s="1184"/>
      <c r="L19" s="1095"/>
      <c r="M19" s="1095"/>
      <c r="N19" s="1095"/>
      <c r="O19" s="1095">
        <f t="shared" si="1"/>
        <v>0</v>
      </c>
      <c r="P19" s="1184"/>
      <c r="S19" s="1095"/>
      <c r="T19" s="1095"/>
      <c r="U19" s="1095"/>
      <c r="V19" s="1095">
        <f t="shared" si="2"/>
        <v>0</v>
      </c>
    </row>
    <row r="20" spans="1:22" ht="12" customHeight="1" x14ac:dyDescent="0.35">
      <c r="A20" s="1175">
        <v>9257025</v>
      </c>
      <c r="B20" s="1555" t="s">
        <v>351</v>
      </c>
      <c r="C20" s="1556"/>
      <c r="D20" s="1556"/>
      <c r="E20" s="1556"/>
      <c r="G20" s="1095">
        <f>(35258*2)</f>
        <v>70516</v>
      </c>
      <c r="H20" s="1095"/>
      <c r="I20" s="1095">
        <f>327644+209307</f>
        <v>536951</v>
      </c>
      <c r="J20" s="1095">
        <f t="shared" si="0"/>
        <v>607467</v>
      </c>
      <c r="K20" s="1184"/>
      <c r="L20" s="1095">
        <f>(35258*2)</f>
        <v>70516</v>
      </c>
      <c r="M20" s="1095"/>
      <c r="N20" s="1095">
        <f>327644+209307</f>
        <v>536951</v>
      </c>
      <c r="O20" s="1095">
        <f t="shared" si="1"/>
        <v>607467</v>
      </c>
      <c r="P20" s="1184"/>
      <c r="Q20" s="1094" t="s">
        <v>1337</v>
      </c>
      <c r="S20" s="1095">
        <f>(35258*2)*5/12</f>
        <v>29381.666666666668</v>
      </c>
      <c r="T20" s="1095"/>
      <c r="U20" s="1095">
        <f>327644+209307</f>
        <v>536951</v>
      </c>
      <c r="V20" s="1095">
        <f t="shared" si="2"/>
        <v>566332.66666666663</v>
      </c>
    </row>
    <row r="21" spans="1:22" ht="12" customHeight="1" x14ac:dyDescent="0.35">
      <c r="A21" s="1175">
        <v>9257011</v>
      </c>
      <c r="B21" s="1555" t="s">
        <v>352</v>
      </c>
      <c r="C21" s="1556"/>
      <c r="D21" s="1556"/>
      <c r="E21" s="1556"/>
      <c r="G21" s="1095">
        <f>35258</f>
        <v>35258</v>
      </c>
      <c r="H21" s="1095"/>
      <c r="I21" s="1095"/>
      <c r="J21" s="1095">
        <f t="shared" si="0"/>
        <v>35258</v>
      </c>
      <c r="K21" s="1184"/>
      <c r="L21" s="1095">
        <f>35258</f>
        <v>35258</v>
      </c>
      <c r="M21" s="1095"/>
      <c r="N21" s="1095"/>
      <c r="O21" s="1095">
        <f t="shared" si="1"/>
        <v>35258</v>
      </c>
      <c r="P21" s="1184"/>
      <c r="S21" s="1095">
        <f>35258*5/12</f>
        <v>14690.833333333334</v>
      </c>
      <c r="T21" s="1095"/>
      <c r="U21" s="1095"/>
      <c r="V21" s="1095">
        <f t="shared" si="2"/>
        <v>14690.833333333334</v>
      </c>
    </row>
    <row r="22" spans="1:22" ht="12" customHeight="1" x14ac:dyDescent="0.35">
      <c r="A22" s="1175">
        <v>9257009</v>
      </c>
      <c r="B22" s="1555" t="s">
        <v>353</v>
      </c>
      <c r="C22" s="1556"/>
      <c r="D22" s="1556"/>
      <c r="E22" s="1556"/>
      <c r="G22" s="1095"/>
      <c r="H22" s="1095"/>
      <c r="I22" s="1095"/>
      <c r="J22" s="1095">
        <f t="shared" si="0"/>
        <v>0</v>
      </c>
      <c r="K22" s="1184"/>
      <c r="L22" s="1095"/>
      <c r="M22" s="1095"/>
      <c r="N22" s="1095"/>
      <c r="O22" s="1095">
        <f t="shared" si="1"/>
        <v>0</v>
      </c>
      <c r="P22" s="1184"/>
      <c r="S22" s="1095"/>
      <c r="T22" s="1095"/>
      <c r="U22" s="1095"/>
      <c r="V22" s="1095">
        <f t="shared" si="2"/>
        <v>0</v>
      </c>
    </row>
    <row r="23" spans="1:22" ht="12" customHeight="1" x14ac:dyDescent="0.35">
      <c r="A23" s="1175">
        <v>9257024</v>
      </c>
      <c r="B23" s="1555" t="s">
        <v>354</v>
      </c>
      <c r="C23" s="1556"/>
      <c r="D23" s="1556"/>
      <c r="E23" s="1556"/>
      <c r="G23" s="1095">
        <f>35258</f>
        <v>35258</v>
      </c>
      <c r="H23" s="1095"/>
      <c r="I23" s="1095"/>
      <c r="J23" s="1095">
        <f t="shared" si="0"/>
        <v>35258</v>
      </c>
      <c r="K23" s="1184"/>
      <c r="L23" s="1095">
        <f>35258</f>
        <v>35258</v>
      </c>
      <c r="M23" s="1095"/>
      <c r="N23" s="1095"/>
      <c r="O23" s="1095">
        <f t="shared" si="1"/>
        <v>35258</v>
      </c>
      <c r="P23" s="1184"/>
      <c r="S23" s="1095">
        <f>35258*5/12</f>
        <v>14690.833333333334</v>
      </c>
      <c r="T23" s="1095"/>
      <c r="U23" s="1095"/>
      <c r="V23" s="1095">
        <f t="shared" si="2"/>
        <v>14690.833333333334</v>
      </c>
    </row>
    <row r="24" spans="1:22" ht="12" customHeight="1" x14ac:dyDescent="0.35">
      <c r="A24" s="1175">
        <v>9257028</v>
      </c>
      <c r="B24" s="1555" t="s">
        <v>355</v>
      </c>
      <c r="C24" s="1556"/>
      <c r="D24" s="1556"/>
      <c r="E24" s="1556"/>
      <c r="G24" s="1095">
        <f>35258</f>
        <v>35258</v>
      </c>
      <c r="H24" s="1095"/>
      <c r="I24" s="1095"/>
      <c r="J24" s="1095">
        <f t="shared" si="0"/>
        <v>35258</v>
      </c>
      <c r="K24" s="1184"/>
      <c r="L24" s="1095">
        <f>35258</f>
        <v>35258</v>
      </c>
      <c r="M24" s="1095"/>
      <c r="N24" s="1095"/>
      <c r="O24" s="1095">
        <f t="shared" si="1"/>
        <v>35258</v>
      </c>
      <c r="P24" s="1184"/>
      <c r="S24" s="1095">
        <f>35258*5/12</f>
        <v>14690.833333333334</v>
      </c>
      <c r="T24" s="1095"/>
      <c r="U24" s="1095"/>
      <c r="V24" s="1095">
        <f t="shared" si="2"/>
        <v>14690.833333333334</v>
      </c>
    </row>
    <row r="25" spans="1:22" ht="12" customHeight="1" x14ac:dyDescent="0.35">
      <c r="A25" s="1175">
        <v>9257029</v>
      </c>
      <c r="B25" s="1558" t="s">
        <v>933</v>
      </c>
      <c r="C25" s="1559"/>
      <c r="D25" s="1559"/>
      <c r="E25" s="1560"/>
      <c r="G25" s="1095"/>
      <c r="H25" s="1095"/>
      <c r="I25" s="1095"/>
      <c r="J25" s="1095">
        <f t="shared" si="0"/>
        <v>0</v>
      </c>
      <c r="K25" s="1184"/>
      <c r="L25" s="1095"/>
      <c r="M25" s="1095"/>
      <c r="N25" s="1095"/>
      <c r="O25" s="1095">
        <f t="shared" si="1"/>
        <v>0</v>
      </c>
      <c r="P25" s="1184"/>
      <c r="S25" s="1095"/>
      <c r="T25" s="1095"/>
      <c r="U25" s="1095"/>
      <c r="V25" s="1095">
        <f t="shared" si="2"/>
        <v>0</v>
      </c>
    </row>
    <row r="26" spans="1:22" ht="12" customHeight="1" x14ac:dyDescent="0.35">
      <c r="A26" s="293"/>
      <c r="B26" s="1557" t="s">
        <v>357</v>
      </c>
      <c r="C26" s="1557"/>
      <c r="D26" s="1557"/>
      <c r="E26" s="1557"/>
      <c r="G26" s="1095">
        <f>SUM(G7:G25)</f>
        <v>317322</v>
      </c>
      <c r="H26" s="1095">
        <f>SUM(H7:H25)</f>
        <v>757936</v>
      </c>
      <c r="I26" s="1095">
        <f>SUM(I7:I25)</f>
        <v>779687.66666666663</v>
      </c>
      <c r="J26" s="1095">
        <f t="shared" si="0"/>
        <v>1854945.6666666665</v>
      </c>
      <c r="K26" s="1184"/>
      <c r="L26" s="1095">
        <f>SUM(L7:L25)</f>
        <v>317322</v>
      </c>
      <c r="M26" s="1095">
        <f>SUM(M7:M25)</f>
        <v>757936</v>
      </c>
      <c r="N26" s="1095">
        <f>SUM(N7:N25)</f>
        <v>536951</v>
      </c>
      <c r="O26" s="1095">
        <f>SUM(L26:N26)</f>
        <v>1612209</v>
      </c>
      <c r="P26" s="1184"/>
      <c r="S26" s="1095">
        <f>SUM(S7:S25)</f>
        <v>132217.5</v>
      </c>
      <c r="T26" s="1095">
        <f>SUM(T7:T25)</f>
        <v>757936</v>
      </c>
      <c r="U26" s="1095">
        <f>SUM(U7:U25)</f>
        <v>536951</v>
      </c>
      <c r="V26" s="1095">
        <f>SUM(S26:U26)</f>
        <v>1427104.5</v>
      </c>
    </row>
    <row r="27" spans="1:22" ht="15" customHeight="1" x14ac:dyDescent="0.35">
      <c r="A27" s="293"/>
      <c r="B27" s="1172"/>
      <c r="C27" s="1172"/>
      <c r="D27" s="1172"/>
      <c r="E27" s="1172"/>
    </row>
    <row r="28" spans="1:22" ht="15" hidden="1" customHeight="1" x14ac:dyDescent="0.35">
      <c r="A28" s="293"/>
      <c r="B28" s="83" t="s">
        <v>358</v>
      </c>
      <c r="C28" s="1172"/>
      <c r="D28" s="1172"/>
      <c r="E28" s="1172"/>
    </row>
    <row r="29" spans="1:22" ht="15" hidden="1" customHeight="1" x14ac:dyDescent="0.35">
      <c r="A29" s="293"/>
      <c r="B29" s="84" t="s">
        <v>359</v>
      </c>
      <c r="C29" s="1172"/>
      <c r="D29" s="1172"/>
      <c r="E29" s="1172"/>
    </row>
    <row r="30" spans="1:22" ht="15" hidden="1" customHeight="1" x14ac:dyDescent="0.35">
      <c r="A30" s="293"/>
      <c r="B30" s="1477" t="s">
        <v>360</v>
      </c>
      <c r="C30" s="1477"/>
      <c r="D30" s="1477"/>
      <c r="E30" s="1477"/>
    </row>
    <row r="31" spans="1:22" ht="15" hidden="1" customHeight="1" x14ac:dyDescent="0.35">
      <c r="A31" s="293"/>
      <c r="B31" s="1477"/>
      <c r="C31" s="1477"/>
      <c r="D31" s="1477"/>
      <c r="E31" s="1477"/>
    </row>
    <row r="32" spans="1:22" ht="15" hidden="1" customHeight="1" x14ac:dyDescent="0.35">
      <c r="A32" s="293"/>
      <c r="B32" s="1477"/>
      <c r="C32" s="1477"/>
      <c r="D32" s="1477"/>
      <c r="E32" s="1477"/>
    </row>
    <row r="33" spans="1:5" ht="18.75" hidden="1" customHeight="1" x14ac:dyDescent="0.35">
      <c r="A33" s="293"/>
      <c r="B33" s="1477"/>
      <c r="C33" s="1477"/>
      <c r="D33" s="1477"/>
      <c r="E33" s="1477"/>
    </row>
    <row r="34" spans="1:5" ht="15" hidden="1" customHeight="1" x14ac:dyDescent="0.35">
      <c r="A34" s="293"/>
      <c r="B34" s="1181"/>
      <c r="C34" s="1181"/>
      <c r="D34" s="1181"/>
      <c r="E34" s="1181"/>
    </row>
    <row r="35" spans="1:5" ht="15" hidden="1" customHeight="1" x14ac:dyDescent="0.35">
      <c r="A35" s="293"/>
      <c r="B35" s="84" t="s">
        <v>361</v>
      </c>
      <c r="C35" s="1172"/>
      <c r="D35" s="1172"/>
      <c r="E35" s="1172"/>
    </row>
    <row r="36" spans="1:5" ht="15" hidden="1" customHeight="1" x14ac:dyDescent="0.35">
      <c r="A36" s="293"/>
      <c r="B36" s="1477" t="s">
        <v>362</v>
      </c>
      <c r="C36" s="1477"/>
      <c r="D36" s="1477"/>
      <c r="E36" s="1477"/>
    </row>
    <row r="37" spans="1:5" ht="15" hidden="1" customHeight="1" x14ac:dyDescent="0.35">
      <c r="A37" s="293"/>
      <c r="B37" s="1477"/>
      <c r="C37" s="1477"/>
      <c r="D37" s="1477"/>
      <c r="E37" s="1477"/>
    </row>
    <row r="38" spans="1:5" ht="23.25" hidden="1" customHeight="1" x14ac:dyDescent="0.35">
      <c r="A38" s="293"/>
      <c r="B38" s="1477"/>
      <c r="C38" s="1477"/>
      <c r="D38" s="1477"/>
      <c r="E38" s="1477"/>
    </row>
    <row r="39" spans="1:5" hidden="1" x14ac:dyDescent="0.35">
      <c r="A39" s="293"/>
      <c r="B39" s="1182"/>
      <c r="C39" s="1182"/>
      <c r="D39" s="1182"/>
      <c r="E39" s="1182"/>
    </row>
    <row r="40" spans="1:5" hidden="1" x14ac:dyDescent="0.35">
      <c r="A40" s="293"/>
      <c r="B40" s="85" t="s">
        <v>363</v>
      </c>
      <c r="C40" s="1182"/>
      <c r="D40" s="1182"/>
      <c r="E40" s="1182"/>
    </row>
    <row r="41" spans="1:5" ht="15.75" hidden="1" customHeight="1" x14ac:dyDescent="0.35">
      <c r="A41" s="293"/>
      <c r="B41" s="1477" t="s">
        <v>364</v>
      </c>
      <c r="C41" s="1477"/>
      <c r="D41" s="1477"/>
      <c r="E41" s="1477"/>
    </row>
    <row r="42" spans="1:5" hidden="1" x14ac:dyDescent="0.35">
      <c r="A42" s="293"/>
      <c r="B42" s="1477"/>
      <c r="C42" s="1477"/>
      <c r="D42" s="1477"/>
      <c r="E42" s="1477"/>
    </row>
    <row r="43" spans="1:5" hidden="1" x14ac:dyDescent="0.35">
      <c r="A43" s="293"/>
      <c r="B43" s="1477"/>
      <c r="C43" s="1477"/>
      <c r="D43" s="1477"/>
      <c r="E43" s="1477"/>
    </row>
    <row r="44" spans="1:5" hidden="1" x14ac:dyDescent="0.35">
      <c r="A44" s="293"/>
      <c r="B44" s="1477"/>
      <c r="C44" s="1477"/>
      <c r="D44" s="1477"/>
      <c r="E44" s="1477"/>
    </row>
    <row r="45" spans="1:5" ht="15" hidden="1" customHeight="1" x14ac:dyDescent="0.35">
      <c r="A45" s="293"/>
      <c r="B45" s="1182"/>
      <c r="C45" s="1182"/>
      <c r="D45" s="1182"/>
      <c r="E45" s="1182"/>
    </row>
    <row r="46" spans="1:5" ht="15" hidden="1" customHeight="1" x14ac:dyDescent="0.35">
      <c r="A46" s="293"/>
      <c r="B46" s="1477" t="s">
        <v>365</v>
      </c>
      <c r="C46" s="1477"/>
      <c r="D46" s="1477"/>
      <c r="E46" s="1477"/>
    </row>
    <row r="47" spans="1:5" hidden="1" x14ac:dyDescent="0.35">
      <c r="A47" s="293"/>
      <c r="B47" s="1477"/>
      <c r="C47" s="1477"/>
      <c r="D47" s="1477"/>
      <c r="E47" s="1477"/>
    </row>
    <row r="48" spans="1:5" ht="15" hidden="1" customHeight="1" x14ac:dyDescent="0.35">
      <c r="A48" s="293"/>
      <c r="B48" s="1477" t="s">
        <v>366</v>
      </c>
      <c r="C48" s="1477"/>
      <c r="D48" s="1477"/>
      <c r="E48" s="1477"/>
    </row>
    <row r="49" spans="1:22" ht="37.5" hidden="1" customHeight="1" x14ac:dyDescent="0.35">
      <c r="A49" s="293"/>
      <c r="B49" s="1477"/>
      <c r="C49" s="1477"/>
      <c r="D49" s="1477"/>
      <c r="E49" s="1477"/>
    </row>
    <row r="50" spans="1:22" ht="15" hidden="1" customHeight="1" x14ac:dyDescent="0.35">
      <c r="A50" s="293"/>
      <c r="B50" s="1172"/>
      <c r="C50" s="1172"/>
      <c r="D50" s="1172"/>
      <c r="E50" s="1172"/>
    </row>
    <row r="51" spans="1:22" ht="15" hidden="1" customHeight="1" x14ac:dyDescent="0.35">
      <c r="A51" s="293"/>
      <c r="B51" s="84" t="s">
        <v>11</v>
      </c>
      <c r="C51" s="1172"/>
      <c r="D51" s="1172"/>
      <c r="E51" s="1172"/>
    </row>
    <row r="52" spans="1:22" ht="15" hidden="1" customHeight="1" x14ac:dyDescent="0.35">
      <c r="A52" s="293">
        <v>9257021</v>
      </c>
      <c r="B52" s="1460" t="s">
        <v>344</v>
      </c>
      <c r="C52" s="1461"/>
      <c r="D52" s="1461"/>
      <c r="E52" s="1476"/>
    </row>
    <row r="53" spans="1:22" ht="15" hidden="1" customHeight="1" x14ac:dyDescent="0.35">
      <c r="A53" s="293">
        <v>9257016</v>
      </c>
      <c r="B53" s="1460" t="s">
        <v>349</v>
      </c>
      <c r="C53" s="1461"/>
      <c r="D53" s="1461"/>
      <c r="E53" s="1476"/>
    </row>
    <row r="54" spans="1:22" ht="15" hidden="1" customHeight="1" x14ac:dyDescent="0.35">
      <c r="A54" s="293">
        <v>9257025</v>
      </c>
      <c r="B54" s="1460" t="s">
        <v>351</v>
      </c>
      <c r="C54" s="1461"/>
      <c r="D54" s="1461"/>
      <c r="E54" s="1476"/>
    </row>
    <row r="55" spans="1:22" ht="15" hidden="1" customHeight="1" x14ac:dyDescent="0.35">
      <c r="A55" s="293"/>
      <c r="B55" s="1172"/>
      <c r="C55" s="1172"/>
      <c r="D55" s="1172"/>
      <c r="E55" s="1172"/>
    </row>
    <row r="56" spans="1:22" ht="15" hidden="1" customHeight="1" x14ac:dyDescent="0.35">
      <c r="A56" s="293"/>
      <c r="B56" s="1172"/>
      <c r="C56" s="1172"/>
      <c r="D56" s="1172"/>
      <c r="E56" s="1172"/>
    </row>
    <row r="57" spans="1:22" ht="15" hidden="1" customHeight="1" x14ac:dyDescent="0.35">
      <c r="A57" s="293"/>
      <c r="B57" s="1172" t="s">
        <v>371</v>
      </c>
      <c r="C57" s="1172"/>
      <c r="D57" s="1172"/>
      <c r="E57" s="1172"/>
    </row>
    <row r="58" spans="1:22" ht="15" hidden="1" customHeight="1" x14ac:dyDescent="0.35">
      <c r="A58" s="293"/>
      <c r="B58" s="1172"/>
      <c r="C58" s="1172"/>
      <c r="D58" s="1172"/>
      <c r="E58" s="1172"/>
    </row>
    <row r="59" spans="1:22" ht="15" customHeight="1" x14ac:dyDescent="0.35">
      <c r="A59" s="293"/>
      <c r="B59" s="1172"/>
      <c r="C59" s="1172"/>
      <c r="D59" s="1172"/>
      <c r="E59" s="1172"/>
      <c r="L59" s="79" t="s">
        <v>1338</v>
      </c>
      <c r="S59" s="1278">
        <f>(S26/5)*7</f>
        <v>185104.5</v>
      </c>
      <c r="V59" s="1095">
        <f t="shared" ref="V59" si="3">SUM(S59:U59)</f>
        <v>185104.5</v>
      </c>
    </row>
    <row r="60" spans="1:22" ht="15" customHeight="1" x14ac:dyDescent="0.35">
      <c r="A60" s="293"/>
      <c r="B60" s="1172"/>
      <c r="C60" s="1172"/>
      <c r="D60" s="1172"/>
      <c r="E60" s="1172"/>
    </row>
    <row r="61" spans="1:22" ht="15" customHeight="1" x14ac:dyDescent="0.35">
      <c r="A61" s="293"/>
      <c r="B61" s="1172"/>
      <c r="C61" s="1172"/>
      <c r="D61" s="1172"/>
      <c r="E61" s="1172"/>
      <c r="G61" s="159"/>
      <c r="L61" s="1093"/>
      <c r="S61" s="1278">
        <f>S26+S59</f>
        <v>317322</v>
      </c>
      <c r="T61" s="1278">
        <f>T26+T59</f>
        <v>757936</v>
      </c>
      <c r="U61" s="1278">
        <f t="shared" ref="U61:V61" si="4">U26+U59</f>
        <v>536951</v>
      </c>
      <c r="V61" s="1279">
        <f t="shared" si="4"/>
        <v>1612209</v>
      </c>
    </row>
    <row r="62" spans="1:22" ht="15" customHeight="1" x14ac:dyDescent="0.35">
      <c r="A62" s="293"/>
      <c r="B62" s="1172"/>
      <c r="C62" s="1172"/>
      <c r="D62" s="1172"/>
      <c r="E62" s="1172"/>
    </row>
    <row r="63" spans="1:22" ht="15" customHeight="1" x14ac:dyDescent="0.35">
      <c r="A63" s="293"/>
      <c r="B63" s="1172"/>
      <c r="C63" s="1172"/>
      <c r="D63" s="1172"/>
      <c r="E63" s="1172"/>
    </row>
    <row r="64" spans="1:22" ht="12" customHeight="1" x14ac:dyDescent="0.35">
      <c r="A64" s="293"/>
      <c r="B64" s="1172"/>
      <c r="C64" s="1172"/>
      <c r="D64" s="1172"/>
      <c r="E64" s="1172"/>
    </row>
    <row r="65" spans="2:22" s="79" customFormat="1" ht="12" customHeight="1" x14ac:dyDescent="0.35">
      <c r="B65" s="159"/>
      <c r="C65" s="1172"/>
      <c r="D65" s="1172"/>
      <c r="E65" s="1172"/>
      <c r="S65" s="1277"/>
      <c r="T65" s="1277"/>
      <c r="U65" s="1277"/>
      <c r="V65" s="1277"/>
    </row>
    <row r="66" spans="2:22" s="79" customFormat="1" ht="12" customHeight="1" x14ac:dyDescent="0.35">
      <c r="B66" s="1172"/>
      <c r="C66" s="1172"/>
      <c r="D66" s="1172"/>
      <c r="E66" s="1185"/>
      <c r="S66" s="1277"/>
      <c r="T66" s="1277"/>
      <c r="U66" s="1277"/>
      <c r="V66" s="1277"/>
    </row>
    <row r="67" spans="2:22" s="79" customFormat="1" ht="12" customHeight="1" x14ac:dyDescent="0.35">
      <c r="B67" s="1172"/>
      <c r="C67" s="1172"/>
      <c r="D67" s="1172"/>
      <c r="E67" s="1172"/>
      <c r="S67" s="1277"/>
      <c r="T67" s="1277"/>
      <c r="U67" s="1277"/>
      <c r="V67" s="1277"/>
    </row>
  </sheetData>
  <mergeCells count="41">
    <mergeCell ref="B9:E9"/>
    <mergeCell ref="B10:E10"/>
    <mergeCell ref="B11:E11"/>
    <mergeCell ref="B12:E12"/>
    <mergeCell ref="J4:J6"/>
    <mergeCell ref="B6:E6"/>
    <mergeCell ref="B7:E7"/>
    <mergeCell ref="B8:E8"/>
    <mergeCell ref="G4:G6"/>
    <mergeCell ref="T4:T6"/>
    <mergeCell ref="U4:U6"/>
    <mergeCell ref="B54:E54"/>
    <mergeCell ref="B30:E33"/>
    <mergeCell ref="B36:E38"/>
    <mergeCell ref="B41:E44"/>
    <mergeCell ref="B46:E47"/>
    <mergeCell ref="B48:E49"/>
    <mergeCell ref="B52:E52"/>
    <mergeCell ref="O4:O6"/>
    <mergeCell ref="L4:L6"/>
    <mergeCell ref="M4:M6"/>
    <mergeCell ref="N4:N6"/>
    <mergeCell ref="B14:E14"/>
    <mergeCell ref="H4:H6"/>
    <mergeCell ref="I4:I6"/>
    <mergeCell ref="V4:V6"/>
    <mergeCell ref="B53:E53"/>
    <mergeCell ref="B13:E13"/>
    <mergeCell ref="B26:E26"/>
    <mergeCell ref="B15:E15"/>
    <mergeCell ref="B16:E16"/>
    <mergeCell ref="B17:E17"/>
    <mergeCell ref="B18:E18"/>
    <mergeCell ref="B19:E19"/>
    <mergeCell ref="B20:E20"/>
    <mergeCell ref="B21:E21"/>
    <mergeCell ref="B22:E22"/>
    <mergeCell ref="B23:E23"/>
    <mergeCell ref="B24:E24"/>
    <mergeCell ref="B25:E25"/>
    <mergeCell ref="S4:S6"/>
  </mergeCells>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FFC000"/>
  </sheetPr>
  <dimension ref="A1:BG42"/>
  <sheetViews>
    <sheetView topLeftCell="AJ1" workbookViewId="0">
      <selection activeCell="AX5" sqref="AX5"/>
    </sheetView>
  </sheetViews>
  <sheetFormatPr defaultColWidth="9.1796875" defaultRowHeight="12.5" x14ac:dyDescent="0.25"/>
  <cols>
    <col min="1" max="1" width="12.54296875" style="151" customWidth="1"/>
    <col min="2" max="2" width="20.7265625" style="150" customWidth="1"/>
    <col min="3" max="6" width="15.7265625" style="150" customWidth="1"/>
    <col min="7" max="7" width="61.7265625" style="151" customWidth="1"/>
    <col min="8" max="8" width="9.1796875" style="151"/>
    <col min="9" max="11" width="15.7265625" style="150" customWidth="1"/>
    <col min="12" max="12" width="11.54296875" style="150" customWidth="1"/>
    <col min="13" max="15" width="9.1796875" style="151"/>
    <col min="16" max="16" width="9.1796875" style="150"/>
    <col min="17" max="17" width="10.1796875" style="151" bestFit="1" customWidth="1"/>
    <col min="18" max="31" width="9.1796875" style="151"/>
    <col min="32" max="32" width="10.453125" style="151" customWidth="1"/>
    <col min="33" max="40" width="9.1796875" style="151"/>
    <col min="41" max="41" width="10.1796875" style="151" bestFit="1" customWidth="1"/>
    <col min="42" max="42" width="12" style="151" customWidth="1"/>
    <col min="43" max="16384" width="9.1796875" style="151"/>
  </cols>
  <sheetData>
    <row r="1" spans="1:58" x14ac:dyDescent="0.25">
      <c r="E1" s="815" t="s">
        <v>1339</v>
      </c>
      <c r="N1" s="1565" t="s">
        <v>1340</v>
      </c>
      <c r="P1" s="807" t="s">
        <v>1341</v>
      </c>
      <c r="Q1" s="808">
        <v>484.95</v>
      </c>
    </row>
    <row r="2" spans="1:58" x14ac:dyDescent="0.25">
      <c r="A2" s="1" t="s">
        <v>34</v>
      </c>
      <c r="D2" s="815" t="s">
        <v>1342</v>
      </c>
      <c r="K2" s="151"/>
      <c r="L2" s="151"/>
      <c r="N2" s="1565"/>
      <c r="P2" s="807" t="s">
        <v>1343</v>
      </c>
      <c r="Q2" s="808">
        <v>72.91</v>
      </c>
      <c r="V2" s="150" t="s">
        <v>1344</v>
      </c>
    </row>
    <row r="3" spans="1:58" ht="39" x14ac:dyDescent="0.3">
      <c r="B3" s="441" t="s">
        <v>35</v>
      </c>
      <c r="C3" s="442" t="s">
        <v>936</v>
      </c>
      <c r="D3" s="442" t="s">
        <v>937</v>
      </c>
      <c r="E3" s="442" t="s">
        <v>938</v>
      </c>
      <c r="F3" s="441" t="s">
        <v>36</v>
      </c>
      <c r="G3" s="441" t="s">
        <v>939</v>
      </c>
      <c r="I3" s="765" t="s">
        <v>936</v>
      </c>
      <c r="J3" s="765" t="s">
        <v>937</v>
      </c>
      <c r="K3" s="765" t="s">
        <v>938</v>
      </c>
      <c r="L3" s="766" t="s">
        <v>1345</v>
      </c>
      <c r="N3" s="1565"/>
      <c r="P3" s="790" t="s">
        <v>1346</v>
      </c>
      <c r="Q3" s="441" t="s">
        <v>1347</v>
      </c>
      <c r="R3" s="150" t="s">
        <v>3</v>
      </c>
      <c r="U3" s="150" t="s">
        <v>1348</v>
      </c>
      <c r="V3" s="150" t="s">
        <v>1349</v>
      </c>
      <c r="W3" s="150" t="s">
        <v>1350</v>
      </c>
      <c r="X3" s="150" t="s">
        <v>357</v>
      </c>
      <c r="Y3" s="790" t="s">
        <v>1351</v>
      </c>
      <c r="AA3" s="150" t="s">
        <v>1352</v>
      </c>
      <c r="AB3" s="150" t="s">
        <v>1353</v>
      </c>
      <c r="AC3" s="150" t="s">
        <v>1350</v>
      </c>
      <c r="AD3" s="150" t="s">
        <v>357</v>
      </c>
      <c r="AE3" s="790" t="s">
        <v>1351</v>
      </c>
      <c r="AF3" s="150"/>
      <c r="AG3" s="818" t="s">
        <v>1354</v>
      </c>
      <c r="AH3" s="818" t="s">
        <v>1355</v>
      </c>
      <c r="AI3" s="817" t="s">
        <v>1350</v>
      </c>
      <c r="AJ3" s="817" t="s">
        <v>357</v>
      </c>
      <c r="AK3" s="818" t="s">
        <v>1351</v>
      </c>
      <c r="AL3" s="821" t="s">
        <v>998</v>
      </c>
      <c r="AN3" s="790" t="s">
        <v>1356</v>
      </c>
      <c r="AO3" s="840" t="s">
        <v>1357</v>
      </c>
      <c r="AP3" s="150" t="s">
        <v>1350</v>
      </c>
      <c r="AQ3" s="150" t="s">
        <v>357</v>
      </c>
      <c r="AR3" s="790" t="s">
        <v>1351</v>
      </c>
      <c r="AS3" s="790" t="s">
        <v>1358</v>
      </c>
      <c r="AT3" s="790" t="s">
        <v>1359</v>
      </c>
      <c r="AX3" s="840" t="s">
        <v>1360</v>
      </c>
      <c r="AY3" s="790" t="s">
        <v>1361</v>
      </c>
      <c r="AZ3" s="842" t="s">
        <v>1350</v>
      </c>
      <c r="BA3" s="150" t="s">
        <v>357</v>
      </c>
      <c r="BB3" s="790" t="s">
        <v>1351</v>
      </c>
      <c r="BE3" s="790" t="s">
        <v>1362</v>
      </c>
      <c r="BF3" s="182" t="s">
        <v>1363</v>
      </c>
    </row>
    <row r="4" spans="1:58" x14ac:dyDescent="0.25">
      <c r="Y4" s="150"/>
      <c r="AE4" s="150"/>
      <c r="AG4" s="819"/>
      <c r="AH4" s="819"/>
      <c r="AI4" s="819"/>
      <c r="AJ4" s="819"/>
      <c r="AK4" s="817"/>
      <c r="AL4" s="819"/>
      <c r="AN4" s="428"/>
      <c r="AO4" s="841"/>
      <c r="AP4" s="428"/>
      <c r="AQ4" s="428"/>
      <c r="AR4" s="428"/>
      <c r="AX4" s="841"/>
      <c r="AY4" s="428"/>
      <c r="AZ4" s="841"/>
      <c r="BA4" s="428"/>
      <c r="BB4" s="428"/>
      <c r="BE4" s="150"/>
    </row>
    <row r="5" spans="1:58" x14ac:dyDescent="0.25">
      <c r="A5" s="151" t="s">
        <v>738</v>
      </c>
      <c r="B5" s="150" t="s">
        <v>751</v>
      </c>
      <c r="C5" s="428">
        <f>('2122 Teachers Pay Scales'!K20+1100)/8</f>
        <v>6235.9162500000002</v>
      </c>
      <c r="D5" s="428">
        <f>(('2122 TA Pay Scales'!L24+490)/8)*3</f>
        <v>8769.6246042576422</v>
      </c>
      <c r="E5" s="428">
        <f>'2122 GLEA Pay Scales'!$K$19/10/37*6.25*195/224</f>
        <v>353.33239604699571</v>
      </c>
      <c r="F5" s="443">
        <f>SUM(C5:E5)</f>
        <v>15358.873250304638</v>
      </c>
      <c r="G5" s="151" t="s">
        <v>752</v>
      </c>
      <c r="I5" s="428">
        <v>5389.75</v>
      </c>
      <c r="J5" s="428">
        <v>8314.3681768558963</v>
      </c>
      <c r="K5" s="428">
        <v>300.11777569980694</v>
      </c>
      <c r="L5" s="443">
        <v>14004.235952555704</v>
      </c>
      <c r="N5" s="428">
        <f>D5+E5-J5-K5</f>
        <v>508.47104774893415</v>
      </c>
      <c r="P5" s="428">
        <f>C5-I5</f>
        <v>846.16625000000022</v>
      </c>
      <c r="Q5" s="428">
        <f>$Q$1+$Q$2</f>
        <v>557.86</v>
      </c>
      <c r="R5" s="428">
        <f>P5-Q5</f>
        <v>288.3062500000002</v>
      </c>
      <c r="T5" s="152"/>
      <c r="U5" s="428">
        <f>('2122 Teachers Pay Scales'!K19+1100)/8</f>
        <v>5836.8826874999995</v>
      </c>
      <c r="V5" s="428">
        <f>(('2122 TA Pay Scales'!L24+490)/8)*3</f>
        <v>8769.6246042576422</v>
      </c>
      <c r="W5" s="428">
        <f>'2122 GLEA Pay Scales'!$K$19/10/37*6.25*195/224</f>
        <v>353.33239604699571</v>
      </c>
      <c r="X5" s="443">
        <f>SUM(U5:W5)</f>
        <v>14959.839687804637</v>
      </c>
      <c r="Y5" s="428">
        <f>X5-L5</f>
        <v>955.60373524893294</v>
      </c>
      <c r="AA5" s="428">
        <f>('2122 Teachers Pay Scales'!K20+1100)/8</f>
        <v>6235.9162500000002</v>
      </c>
      <c r="AB5" s="428">
        <f>(('2122 TA Pay Scales'!L23+490)/8)*3</f>
        <v>8291.6148471615725</v>
      </c>
      <c r="AC5" s="428">
        <f>'2122 GLEA Pay Scales'!$K$19/10/37*6.25*195/224</f>
        <v>353.33239604699571</v>
      </c>
      <c r="AD5" s="443">
        <f>SUM(AA5:AC5)</f>
        <v>14880.863493208568</v>
      </c>
      <c r="AE5" s="428">
        <f>AD5-L5</f>
        <v>876.6275406528639</v>
      </c>
      <c r="AG5" s="820">
        <f>('2122 Teachers Pay Scales'!K69+1100)/8</f>
        <v>6156.1095375000004</v>
      </c>
      <c r="AH5" s="820">
        <v>8674.097652838429</v>
      </c>
      <c r="AI5" s="820">
        <f>'2122 GLEA Pay Scales'!$K$19/10/37*6.25*195/224</f>
        <v>353.33239604699571</v>
      </c>
      <c r="AJ5" s="820">
        <f>SUM(AG5:AI5)</f>
        <v>15183.539586385425</v>
      </c>
      <c r="AK5" s="820">
        <f>AJ5-L5</f>
        <v>1179.3036338297206</v>
      </c>
      <c r="AL5" s="820">
        <f>AJ5-F5</f>
        <v>-175.333663919213</v>
      </c>
      <c r="AM5" s="152">
        <f>AN5-I5</f>
        <v>686.55282499999976</v>
      </c>
      <c r="AN5" s="428">
        <f>('2122 Teachers Pay Scales'!K98+1100)/8</f>
        <v>6076.3028249999998</v>
      </c>
      <c r="AO5" s="841">
        <f>(('2122 TA Pay Scales'!L40+490)/8)*3</f>
        <v>8578.5707014192139</v>
      </c>
      <c r="AP5" s="428">
        <f>K5</f>
        <v>300.11777569980694</v>
      </c>
      <c r="AQ5" s="428">
        <f>SUM(AN5:AP5)</f>
        <v>14954.991302119022</v>
      </c>
      <c r="AR5" s="428">
        <f>AQ5-L5</f>
        <v>950.7553495633183</v>
      </c>
      <c r="AS5" s="843">
        <f>AR5/L5</f>
        <v>6.7890554885274568E-2</v>
      </c>
      <c r="AT5" s="843">
        <f>(AO5-J5)/L5</f>
        <v>1.8865900678794404E-2</v>
      </c>
      <c r="AU5" s="428">
        <f>AO5-J5</f>
        <v>264.20252456331764</v>
      </c>
      <c r="AV5" s="152">
        <f>AO5-J5</f>
        <v>264.20252456331764</v>
      </c>
      <c r="AX5" s="841">
        <f>('2122 Teachers Pay Scales'!K126+1100)/8</f>
        <v>6120.2340168749997</v>
      </c>
      <c r="AY5" s="428">
        <f>(('2122 TA Pay Scales'!L41+490)/8)*3</f>
        <v>8626.1466771288215</v>
      </c>
      <c r="AZ5" s="841">
        <f>K5</f>
        <v>300.11777569980694</v>
      </c>
      <c r="BA5" s="428">
        <f>SUM(AX5:AZ5)</f>
        <v>15046.498469703629</v>
      </c>
      <c r="BB5" s="428">
        <f>BA5-V5</f>
        <v>6276.8738654459867</v>
      </c>
      <c r="BE5" s="428">
        <f>AX5+AO5+AZ5</f>
        <v>14998.922493994021</v>
      </c>
    </row>
    <row r="6" spans="1:58" x14ac:dyDescent="0.25">
      <c r="C6" s="428"/>
      <c r="F6" s="428"/>
      <c r="I6" s="428"/>
      <c r="L6" s="428"/>
      <c r="N6" s="428"/>
      <c r="P6" s="428"/>
      <c r="Q6" s="428"/>
      <c r="R6" s="428"/>
      <c r="T6" s="152"/>
      <c r="U6" s="428"/>
      <c r="V6" s="150"/>
      <c r="W6" s="150"/>
      <c r="X6" s="428"/>
      <c r="Y6" s="428"/>
      <c r="AA6" s="428"/>
      <c r="AB6" s="150"/>
      <c r="AC6" s="150"/>
      <c r="AD6" s="428"/>
      <c r="AE6" s="428"/>
      <c r="AG6" s="820"/>
      <c r="AH6" s="817"/>
      <c r="AI6" s="817"/>
      <c r="AJ6" s="820"/>
      <c r="AK6" s="820"/>
      <c r="AL6" s="820"/>
      <c r="AM6" s="152">
        <f t="shared" ref="AM6:AM17" si="0">AN6-I6</f>
        <v>0</v>
      </c>
      <c r="AN6" s="428"/>
      <c r="AO6" s="842"/>
      <c r="AP6" s="428"/>
      <c r="AQ6" s="428"/>
      <c r="AR6" s="428"/>
      <c r="AS6" s="843"/>
      <c r="AT6" s="843"/>
      <c r="AU6" s="428"/>
      <c r="AV6" s="152">
        <f t="shared" ref="AV6:AV24" si="1">AO6-J6</f>
        <v>0</v>
      </c>
      <c r="AX6" s="841"/>
      <c r="AY6" s="150"/>
      <c r="AZ6" s="841"/>
      <c r="BA6" s="428"/>
      <c r="BB6" s="428"/>
      <c r="BE6" s="428"/>
    </row>
    <row r="7" spans="1:58" x14ac:dyDescent="0.25">
      <c r="C7" s="428"/>
      <c r="D7" s="428"/>
      <c r="E7" s="428"/>
      <c r="F7" s="428"/>
      <c r="I7" s="428"/>
      <c r="J7" s="428"/>
      <c r="K7" s="428"/>
      <c r="L7" s="428"/>
      <c r="N7" s="428"/>
      <c r="P7" s="428"/>
      <c r="Q7" s="428"/>
      <c r="R7" s="428"/>
      <c r="T7" s="152"/>
      <c r="U7" s="428"/>
      <c r="V7" s="428"/>
      <c r="W7" s="428"/>
      <c r="X7" s="428"/>
      <c r="Y7" s="428"/>
      <c r="AA7" s="428"/>
      <c r="AB7" s="428"/>
      <c r="AC7" s="428"/>
      <c r="AD7" s="428"/>
      <c r="AE7" s="428"/>
      <c r="AG7" s="820"/>
      <c r="AH7" s="820"/>
      <c r="AI7" s="820"/>
      <c r="AJ7" s="820"/>
      <c r="AK7" s="820"/>
      <c r="AL7" s="820"/>
      <c r="AM7" s="152">
        <f t="shared" si="0"/>
        <v>0</v>
      </c>
      <c r="AN7" s="428"/>
      <c r="AO7" s="841"/>
      <c r="AP7" s="428"/>
      <c r="AQ7" s="428"/>
      <c r="AR7" s="428"/>
      <c r="AS7" s="843"/>
      <c r="AT7" s="843"/>
      <c r="AU7" s="428"/>
      <c r="AV7" s="152">
        <f t="shared" si="1"/>
        <v>0</v>
      </c>
      <c r="AX7" s="841"/>
      <c r="AY7" s="428"/>
      <c r="AZ7" s="841"/>
      <c r="BA7" s="428"/>
      <c r="BB7" s="428"/>
      <c r="BE7" s="428"/>
    </row>
    <row r="8" spans="1:58" x14ac:dyDescent="0.25">
      <c r="A8" s="151" t="s">
        <v>736</v>
      </c>
      <c r="B8" s="150" t="s">
        <v>43</v>
      </c>
      <c r="C8" s="428">
        <f>('2122 Teachers Pay Scales'!K20+1100)/10</f>
        <v>4988.7330000000002</v>
      </c>
      <c r="D8" s="428">
        <f>('2122 TA Pay Scales'!L24+490)/10</f>
        <v>2338.5665611353716</v>
      </c>
      <c r="E8" s="428">
        <f>'2122 GLEA Pay Scales'!$K$19/10/37*6.25*195/224</f>
        <v>353.33239604699571</v>
      </c>
      <c r="F8" s="443">
        <f>SUM(C8:E8)</f>
        <v>7680.6319571823678</v>
      </c>
      <c r="G8" s="151" t="s">
        <v>1364</v>
      </c>
      <c r="I8" s="428">
        <v>4311.8</v>
      </c>
      <c r="J8" s="428">
        <v>2217.1648471615722</v>
      </c>
      <c r="K8" s="428">
        <v>300.11777569980694</v>
      </c>
      <c r="L8" s="443">
        <v>6829.0826228613796</v>
      </c>
      <c r="N8" s="428">
        <f>D8+E8-J8-K8</f>
        <v>174.61633432098807</v>
      </c>
      <c r="P8" s="428">
        <f>C8-I8</f>
        <v>676.93299999999999</v>
      </c>
      <c r="Q8" s="428">
        <f>$Q$1+$Q$2</f>
        <v>557.86</v>
      </c>
      <c r="R8" s="428">
        <f>P8-Q8</f>
        <v>119.07299999999998</v>
      </c>
      <c r="T8" s="152"/>
      <c r="U8" s="428">
        <f>('2122 Teachers Pay Scales'!K19+1100)/10</f>
        <v>4669.5061499999993</v>
      </c>
      <c r="V8" s="428">
        <f>('2122 TA Pay Scales'!L24+490)/10</f>
        <v>2338.5665611353716</v>
      </c>
      <c r="W8" s="428">
        <f>'2122 GLEA Pay Scales'!$K$19/10/37*6.25*195/224</f>
        <v>353.33239604699571</v>
      </c>
      <c r="X8" s="443">
        <f>SUM(U8:W8)</f>
        <v>7361.4051071823669</v>
      </c>
      <c r="Y8" s="428">
        <f>X8-L8</f>
        <v>532.32248432098731</v>
      </c>
      <c r="AA8" s="428">
        <f>('2122 Teachers Pay Scales'!K20+1100)/10</f>
        <v>4988.7330000000002</v>
      </c>
      <c r="AB8" s="428">
        <f>('2122 TA Pay Scales'!L23+490)/10</f>
        <v>2211.097292576419</v>
      </c>
      <c r="AC8" s="428">
        <f>'2122 GLEA Pay Scales'!$K$19/10/37*6.25*195/224</f>
        <v>353.33239604699571</v>
      </c>
      <c r="AD8" s="443">
        <f>SUM(AA8:AC8)</f>
        <v>7553.1626886234153</v>
      </c>
      <c r="AE8" s="428">
        <f>AD8-L8</f>
        <v>724.0800657620357</v>
      </c>
      <c r="AG8" s="820">
        <f>('2122 Teachers Pay Scales'!K69+1100)/10</f>
        <v>4924.8876300000002</v>
      </c>
      <c r="AH8" s="820">
        <v>2313.092707423581</v>
      </c>
      <c r="AI8" s="820">
        <f>'2122 GLEA Pay Scales'!$K$19/10/37*6.25*195/224</f>
        <v>353.33239604699571</v>
      </c>
      <c r="AJ8" s="820">
        <f>SUM(AG8:AI8)</f>
        <v>7591.3127334705778</v>
      </c>
      <c r="AK8" s="820">
        <f t="shared" ref="AK8:AK17" si="2">AJ8-L8</f>
        <v>762.23011060919816</v>
      </c>
      <c r="AL8" s="820">
        <f t="shared" ref="AL8:AL17" si="3">AJ8-F8</f>
        <v>-89.319223711790073</v>
      </c>
      <c r="AM8" s="152">
        <f t="shared" si="0"/>
        <v>549.24225999999999</v>
      </c>
      <c r="AN8" s="428">
        <f>('2122 Teachers Pay Scales'!K98+1100)/10</f>
        <v>4861.0422600000002</v>
      </c>
      <c r="AO8" s="841">
        <f>('2122 TA Pay Scales'!L40+490)/10</f>
        <v>2287.6188537117905</v>
      </c>
      <c r="AP8" s="428">
        <f t="shared" ref="AP8:AP22" si="4">K8</f>
        <v>300.11777569980694</v>
      </c>
      <c r="AQ8" s="428">
        <f t="shared" ref="AQ8:AQ24" si="5">SUM(AN8:AP8)</f>
        <v>7448.7788894115974</v>
      </c>
      <c r="AR8" s="428">
        <f t="shared" ref="AR8:AR17" si="6">AQ8-L8</f>
        <v>619.69626655021784</v>
      </c>
      <c r="AS8" s="843">
        <f t="shared" ref="AS8:AS17" si="7">AR8/L8</f>
        <v>9.0743706112983838E-2</v>
      </c>
      <c r="AT8" s="843">
        <f t="shared" ref="AT8:AT17" si="8">(AO8-J8)/L8</f>
        <v>1.0316760016105668E-2</v>
      </c>
      <c r="AU8" s="428">
        <f t="shared" ref="AU8:AU22" si="9">AO8-J8</f>
        <v>70.45400655021831</v>
      </c>
      <c r="AV8" s="152">
        <f t="shared" si="1"/>
        <v>70.45400655021831</v>
      </c>
      <c r="AX8" s="841">
        <f>('2122 Teachers Pay Scales'!K126+1100)/10</f>
        <v>4896.1872134999994</v>
      </c>
      <c r="AY8" s="428">
        <f>('2122 TA Pay Scales'!L41+490)/10</f>
        <v>2300.3057805676858</v>
      </c>
      <c r="AZ8" s="841">
        <f t="shared" ref="AZ8:AZ28" si="10">K8</f>
        <v>300.11777569980694</v>
      </c>
      <c r="BA8" s="428">
        <f t="shared" ref="BA8" si="11">SUM(AX8:AZ8)</f>
        <v>7496.6107697674915</v>
      </c>
      <c r="BB8" s="428">
        <f t="shared" ref="BB8" si="12">BA8-V8</f>
        <v>5158.04420863212</v>
      </c>
      <c r="BE8" s="428">
        <f t="shared" ref="BE8:BE24" si="13">AX8+AO8+AZ8</f>
        <v>7483.9238429115967</v>
      </c>
    </row>
    <row r="9" spans="1:58" x14ac:dyDescent="0.25">
      <c r="C9" s="428"/>
      <c r="D9" s="428"/>
      <c r="E9" s="428"/>
      <c r="F9" s="428"/>
      <c r="I9" s="428"/>
      <c r="J9" s="428"/>
      <c r="K9" s="428"/>
      <c r="L9" s="428"/>
      <c r="N9" s="428"/>
      <c r="P9" s="428"/>
      <c r="Q9" s="428"/>
      <c r="R9" s="428"/>
      <c r="T9" s="152"/>
      <c r="U9" s="428"/>
      <c r="V9" s="428"/>
      <c r="W9" s="428"/>
      <c r="X9" s="428"/>
      <c r="Y9" s="428"/>
      <c r="AA9" s="428"/>
      <c r="AB9" s="428"/>
      <c r="AC9" s="428"/>
      <c r="AD9" s="428"/>
      <c r="AE9" s="428"/>
      <c r="AG9" s="820"/>
      <c r="AH9" s="820"/>
      <c r="AI9" s="820"/>
      <c r="AJ9" s="820"/>
      <c r="AK9" s="820"/>
      <c r="AL9" s="820"/>
      <c r="AM9" s="152">
        <f t="shared" si="0"/>
        <v>0</v>
      </c>
      <c r="AN9" s="428"/>
      <c r="AO9" s="841"/>
      <c r="AP9" s="428"/>
      <c r="AQ9" s="428"/>
      <c r="AR9" s="428"/>
      <c r="AS9" s="843"/>
      <c r="AT9" s="843"/>
      <c r="AU9" s="428"/>
      <c r="AV9" s="152">
        <f t="shared" si="1"/>
        <v>0</v>
      </c>
      <c r="AX9" s="841"/>
      <c r="AY9" s="428"/>
      <c r="AZ9" s="841"/>
      <c r="BA9" s="428"/>
      <c r="BB9" s="428"/>
      <c r="BE9" s="428"/>
    </row>
    <row r="10" spans="1:58" x14ac:dyDescent="0.25">
      <c r="C10" s="428"/>
      <c r="D10" s="428"/>
      <c r="E10" s="428"/>
      <c r="F10" s="428"/>
      <c r="I10" s="428"/>
      <c r="J10" s="428"/>
      <c r="K10" s="428"/>
      <c r="L10" s="428"/>
      <c r="N10" s="428"/>
      <c r="P10" s="428"/>
      <c r="Q10" s="428"/>
      <c r="R10" s="428"/>
      <c r="T10" s="152"/>
      <c r="U10" s="428"/>
      <c r="V10" s="428"/>
      <c r="W10" s="428"/>
      <c r="X10" s="428"/>
      <c r="Y10" s="428"/>
      <c r="AA10" s="428"/>
      <c r="AB10" s="428"/>
      <c r="AC10" s="428"/>
      <c r="AD10" s="428"/>
      <c r="AE10" s="428"/>
      <c r="AG10" s="820"/>
      <c r="AH10" s="820"/>
      <c r="AI10" s="820"/>
      <c r="AJ10" s="820"/>
      <c r="AK10" s="820"/>
      <c r="AL10" s="820"/>
      <c r="AM10" s="152">
        <f t="shared" si="0"/>
        <v>0</v>
      </c>
      <c r="AN10" s="428"/>
      <c r="AO10" s="841"/>
      <c r="AP10" s="428"/>
      <c r="AQ10" s="428"/>
      <c r="AR10" s="428"/>
      <c r="AS10" s="843"/>
      <c r="AT10" s="843"/>
      <c r="AU10" s="428"/>
      <c r="AV10" s="152">
        <f t="shared" si="1"/>
        <v>0</v>
      </c>
      <c r="AX10" s="841"/>
      <c r="AY10" s="428"/>
      <c r="AZ10" s="841"/>
      <c r="BA10" s="428"/>
      <c r="BB10" s="428"/>
      <c r="BE10" s="428"/>
    </row>
    <row r="11" spans="1:58" x14ac:dyDescent="0.25">
      <c r="A11" s="151" t="s">
        <v>735</v>
      </c>
      <c r="B11" s="150" t="s">
        <v>46</v>
      </c>
      <c r="C11" s="428">
        <f>('2122 Teachers Pay Scales'!K20+1100)/12</f>
        <v>4157.2775000000001</v>
      </c>
      <c r="D11" s="428">
        <f>('2122 TA Pay Scales'!L24+490)/12</f>
        <v>1948.8054676128095</v>
      </c>
      <c r="E11" s="428">
        <f>'2122 GLEA Pay Scales'!$K$19/10/37*6.25*195/224</f>
        <v>353.33239604699571</v>
      </c>
      <c r="F11" s="443">
        <f>SUM(C11:E11)</f>
        <v>6459.4153636598057</v>
      </c>
      <c r="G11" s="151" t="s">
        <v>143</v>
      </c>
      <c r="H11" s="152"/>
      <c r="I11" s="428">
        <v>3593.1666666666665</v>
      </c>
      <c r="J11" s="428">
        <v>1847.6373726346435</v>
      </c>
      <c r="K11" s="428">
        <v>300.11777569980694</v>
      </c>
      <c r="L11" s="443">
        <v>5740.9218150011166</v>
      </c>
      <c r="N11" s="428">
        <f>D11+E11-J11-K11</f>
        <v>154.3827153253547</v>
      </c>
      <c r="P11" s="428">
        <f>C11-I11</f>
        <v>564.11083333333363</v>
      </c>
      <c r="Q11" s="428">
        <f>$Q$1+$Q$2</f>
        <v>557.86</v>
      </c>
      <c r="R11" s="428">
        <f>P11-Q11</f>
        <v>6.2508333333336168</v>
      </c>
      <c r="T11" s="152"/>
      <c r="U11" s="428">
        <f>('2122 Teachers Pay Scales'!K19+1100)/12</f>
        <v>3891.2551249999997</v>
      </c>
      <c r="V11" s="428">
        <f>('2122 TA Pay Scales'!L24+490)/12</f>
        <v>1948.8054676128095</v>
      </c>
      <c r="W11" s="428">
        <f>'2122 GLEA Pay Scales'!$K$19/10/37*6.25*195/224</f>
        <v>353.33239604699571</v>
      </c>
      <c r="X11" s="443">
        <f>SUM(U11:W11)</f>
        <v>6193.3929886598053</v>
      </c>
      <c r="Y11" s="428">
        <f>X11-L11</f>
        <v>452.47117365868871</v>
      </c>
      <c r="AA11" s="428">
        <f>('2122 Teachers Pay Scales'!K20+1100)/12</f>
        <v>4157.2775000000001</v>
      </c>
      <c r="AB11" s="428">
        <f>('2122 TA Pay Scales'!L23+490)/12</f>
        <v>1842.581077147016</v>
      </c>
      <c r="AC11" s="428">
        <f>'2122 GLEA Pay Scales'!$K$19/10/37*6.25*195/224</f>
        <v>353.33239604699571</v>
      </c>
      <c r="AD11" s="443">
        <f>SUM(AA11:AC11)</f>
        <v>6353.1909731940123</v>
      </c>
      <c r="AE11" s="428">
        <f>AD11-L11</f>
        <v>612.2691581928957</v>
      </c>
      <c r="AG11" s="820">
        <f>('2122 Teachers Pay Scales'!K69+1100)/12</f>
        <v>4104.0730250000006</v>
      </c>
      <c r="AH11" s="820">
        <v>1927.5772561863175</v>
      </c>
      <c r="AI11" s="820">
        <f>'2122 GLEA Pay Scales'!$K$19/10/37*6.25*195/224</f>
        <v>353.33239604699571</v>
      </c>
      <c r="AJ11" s="820">
        <f>SUM(AG11:AI11)</f>
        <v>6384.9826772333145</v>
      </c>
      <c r="AK11" s="820">
        <f t="shared" si="2"/>
        <v>644.06086223219791</v>
      </c>
      <c r="AL11" s="820">
        <f t="shared" si="3"/>
        <v>-74.432686426491273</v>
      </c>
      <c r="AM11" s="152">
        <f t="shared" si="0"/>
        <v>457.70188333333317</v>
      </c>
      <c r="AN11" s="428">
        <f>('2122 Teachers Pay Scales'!K98+1100)/12</f>
        <v>4050.8685499999997</v>
      </c>
      <c r="AO11" s="841">
        <f>('2122 TA Pay Scales'!L40+490)/12</f>
        <v>1906.3490447598253</v>
      </c>
      <c r="AP11" s="428">
        <f t="shared" si="4"/>
        <v>300.11777569980694</v>
      </c>
      <c r="AQ11" s="428">
        <f t="shared" si="5"/>
        <v>6257.335370459632</v>
      </c>
      <c r="AR11" s="428">
        <f t="shared" si="6"/>
        <v>516.41355545851548</v>
      </c>
      <c r="AS11" s="843">
        <f t="shared" si="7"/>
        <v>8.9953072363591319E-2</v>
      </c>
      <c r="AT11" s="843">
        <f t="shared" si="8"/>
        <v>1.0226871923558922E-2</v>
      </c>
      <c r="AU11" s="428">
        <f t="shared" si="9"/>
        <v>58.711672125181849</v>
      </c>
      <c r="AV11" s="152">
        <f t="shared" si="1"/>
        <v>58.711672125181849</v>
      </c>
      <c r="AX11" s="841">
        <f>('2122 Teachers Pay Scales'!K126+1100)/12</f>
        <v>4080.1560112499997</v>
      </c>
      <c r="AY11" s="428">
        <f>('2122 TA Pay Scales'!L41+490)/12</f>
        <v>1916.9214838064047</v>
      </c>
      <c r="AZ11" s="841">
        <f t="shared" si="10"/>
        <v>300.11777569980694</v>
      </c>
      <c r="BA11" s="428">
        <f t="shared" ref="BA11" si="14">SUM(AX11:AZ11)</f>
        <v>6297.1952707562114</v>
      </c>
      <c r="BB11" s="428">
        <f t="shared" ref="BB11" si="15">BA11-V11</f>
        <v>4348.3898031434019</v>
      </c>
      <c r="BE11" s="428">
        <f t="shared" si="13"/>
        <v>6286.622831709632</v>
      </c>
    </row>
    <row r="12" spans="1:58" x14ac:dyDescent="0.25">
      <c r="C12" s="428"/>
      <c r="D12" s="428"/>
      <c r="E12" s="428"/>
      <c r="F12" s="428"/>
      <c r="I12" s="428"/>
      <c r="J12" s="428"/>
      <c r="K12" s="428"/>
      <c r="L12" s="428"/>
      <c r="N12" s="428"/>
      <c r="P12" s="428"/>
      <c r="Q12" s="428"/>
      <c r="R12" s="428"/>
      <c r="T12" s="152"/>
      <c r="U12" s="428"/>
      <c r="V12" s="428"/>
      <c r="W12" s="428"/>
      <c r="X12" s="428"/>
      <c r="Y12" s="428"/>
      <c r="AA12" s="428"/>
      <c r="AB12" s="428"/>
      <c r="AC12" s="428"/>
      <c r="AD12" s="428"/>
      <c r="AE12" s="428"/>
      <c r="AG12" s="820"/>
      <c r="AH12" s="820"/>
      <c r="AI12" s="820"/>
      <c r="AJ12" s="820"/>
      <c r="AK12" s="820"/>
      <c r="AL12" s="820"/>
      <c r="AM12" s="152">
        <f t="shared" si="0"/>
        <v>0</v>
      </c>
      <c r="AN12" s="428"/>
      <c r="AO12" s="841"/>
      <c r="AP12" s="428"/>
      <c r="AQ12" s="428"/>
      <c r="AR12" s="428"/>
      <c r="AS12" s="843"/>
      <c r="AT12" s="843"/>
      <c r="AU12" s="428"/>
      <c r="AV12" s="152">
        <f t="shared" si="1"/>
        <v>0</v>
      </c>
      <c r="AX12" s="841"/>
      <c r="AY12" s="428"/>
      <c r="AZ12" s="841"/>
      <c r="BA12" s="428"/>
      <c r="BB12" s="428"/>
      <c r="BE12" s="428"/>
    </row>
    <row r="13" spans="1:58" x14ac:dyDescent="0.25">
      <c r="C13" s="428"/>
      <c r="D13" s="428"/>
      <c r="E13" s="428"/>
      <c r="F13" s="428"/>
      <c r="I13" s="428"/>
      <c r="J13" s="428"/>
      <c r="K13" s="428"/>
      <c r="L13" s="428"/>
      <c r="N13" s="428"/>
      <c r="P13" s="428"/>
      <c r="Q13" s="428"/>
      <c r="R13" s="428"/>
      <c r="T13" s="152"/>
      <c r="U13" s="428"/>
      <c r="V13" s="428"/>
      <c r="W13" s="428"/>
      <c r="X13" s="428"/>
      <c r="Y13" s="428"/>
      <c r="AA13" s="428"/>
      <c r="AB13" s="428"/>
      <c r="AC13" s="428"/>
      <c r="AD13" s="428"/>
      <c r="AE13" s="428"/>
      <c r="AG13" s="820"/>
      <c r="AH13" s="820"/>
      <c r="AI13" s="820"/>
      <c r="AJ13" s="820"/>
      <c r="AK13" s="820"/>
      <c r="AL13" s="820"/>
      <c r="AM13" s="152">
        <f t="shared" si="0"/>
        <v>0</v>
      </c>
      <c r="AN13" s="428"/>
      <c r="AO13" s="841"/>
      <c r="AP13" s="428"/>
      <c r="AQ13" s="428"/>
      <c r="AR13" s="428"/>
      <c r="AS13" s="843"/>
      <c r="AT13" s="843"/>
      <c r="AU13" s="428"/>
      <c r="AV13" s="152">
        <f t="shared" si="1"/>
        <v>0</v>
      </c>
      <c r="AX13" s="841"/>
      <c r="AY13" s="428"/>
      <c r="AZ13" s="841"/>
      <c r="BA13" s="428"/>
      <c r="BB13" s="428"/>
      <c r="BE13" s="428"/>
    </row>
    <row r="14" spans="1:58" x14ac:dyDescent="0.25">
      <c r="A14" s="151" t="s">
        <v>739</v>
      </c>
      <c r="B14" s="150" t="s">
        <v>751</v>
      </c>
      <c r="C14" s="428">
        <f>('2122 Teachers Pay Scales'!K20+1100)/8</f>
        <v>6235.9162500000002</v>
      </c>
      <c r="D14" s="428">
        <f>(('2122 TA Pay Scales'!L24+490)/8)*3</f>
        <v>8769.6246042576422</v>
      </c>
      <c r="E14" s="428">
        <f>'2122 GLEA Pay Scales'!$K$19/10/37*6.25*195/224</f>
        <v>353.33239604699571</v>
      </c>
      <c r="F14" s="443">
        <f>SUM(C14:E14)</f>
        <v>15358.873250304638</v>
      </c>
      <c r="G14" s="151" t="s">
        <v>752</v>
      </c>
      <c r="I14" s="428">
        <v>5389.75</v>
      </c>
      <c r="J14" s="428">
        <v>8314.3681768558963</v>
      </c>
      <c r="K14" s="428">
        <v>300.11777569980694</v>
      </c>
      <c r="L14" s="443">
        <v>14004.235952555704</v>
      </c>
      <c r="N14" s="428">
        <f>D14+E14-J14-K14</f>
        <v>508.47104774893415</v>
      </c>
      <c r="P14" s="428">
        <f>C14-I14</f>
        <v>846.16625000000022</v>
      </c>
      <c r="Q14" s="428">
        <f>$Q$1+$Q$2</f>
        <v>557.86</v>
      </c>
      <c r="R14" s="428">
        <f>P14-Q14</f>
        <v>288.3062500000002</v>
      </c>
      <c r="T14" s="152"/>
      <c r="U14" s="428">
        <f>('2122 Teachers Pay Scales'!K19+1100)/8</f>
        <v>5836.8826874999995</v>
      </c>
      <c r="V14" s="428">
        <f>('2122 TA Pay Scales'!L24+490)/8*3</f>
        <v>8769.6246042576422</v>
      </c>
      <c r="W14" s="428">
        <f>'2122 GLEA Pay Scales'!$K$19/10/37*6.25*195/224</f>
        <v>353.33239604699571</v>
      </c>
      <c r="X14" s="443">
        <f>SUM(U14:W14)</f>
        <v>14959.839687804637</v>
      </c>
      <c r="Y14" s="428">
        <f>X14-L14</f>
        <v>955.60373524893294</v>
      </c>
      <c r="AA14" s="428">
        <f>('2122 Teachers Pay Scales'!K20+1100)/8</f>
        <v>6235.9162500000002</v>
      </c>
      <c r="AB14" s="428">
        <f>(('2122 TA Pay Scales'!L23+490)/8)*3</f>
        <v>8291.6148471615725</v>
      </c>
      <c r="AC14" s="428">
        <f>'2122 GLEA Pay Scales'!$K$19/10/37*6.25*195/224</f>
        <v>353.33239604699571</v>
      </c>
      <c r="AD14" s="443">
        <f>SUM(AA14:AC14)</f>
        <v>14880.863493208568</v>
      </c>
      <c r="AE14" s="428">
        <f>AD14-L14</f>
        <v>876.6275406528639</v>
      </c>
      <c r="AG14" s="820">
        <f>('2122 Teachers Pay Scales'!K69+1100)/8</f>
        <v>6156.1095375000004</v>
      </c>
      <c r="AH14" s="820">
        <v>8674.097652838429</v>
      </c>
      <c r="AI14" s="820">
        <f>'2122 GLEA Pay Scales'!$K$19/10/37*6.25*195/224</f>
        <v>353.33239604699571</v>
      </c>
      <c r="AJ14" s="820">
        <f>SUM(AG14:AI14)</f>
        <v>15183.539586385425</v>
      </c>
      <c r="AK14" s="820">
        <f t="shared" si="2"/>
        <v>1179.3036338297206</v>
      </c>
      <c r="AL14" s="820">
        <f t="shared" si="3"/>
        <v>-175.333663919213</v>
      </c>
      <c r="AM14" s="152">
        <f t="shared" si="0"/>
        <v>686.55282499999976</v>
      </c>
      <c r="AN14" s="428">
        <f>('2122 Teachers Pay Scales'!K98+1100)/8</f>
        <v>6076.3028249999998</v>
      </c>
      <c r="AO14" s="841">
        <f>('2122 TA Pay Scales'!L40+490)/8*3</f>
        <v>8578.5707014192139</v>
      </c>
      <c r="AP14" s="428">
        <f t="shared" si="4"/>
        <v>300.11777569980694</v>
      </c>
      <c r="AQ14" s="428">
        <f t="shared" si="5"/>
        <v>14954.991302119022</v>
      </c>
      <c r="AR14" s="428">
        <f t="shared" si="6"/>
        <v>950.7553495633183</v>
      </c>
      <c r="AS14" s="843">
        <f t="shared" si="7"/>
        <v>6.7890554885274568E-2</v>
      </c>
      <c r="AT14" s="843">
        <f t="shared" si="8"/>
        <v>1.8865900678794404E-2</v>
      </c>
      <c r="AU14" s="428">
        <f t="shared" si="9"/>
        <v>264.20252456331764</v>
      </c>
      <c r="AV14" s="152">
        <f t="shared" si="1"/>
        <v>264.20252456331764</v>
      </c>
      <c r="AX14" s="841">
        <f>('2122 Teachers Pay Scales'!K126+1100)/8</f>
        <v>6120.2340168749997</v>
      </c>
      <c r="AY14" s="428">
        <f>('2122 TA Pay Scales'!L41+490)/8*3</f>
        <v>8626.1466771288215</v>
      </c>
      <c r="AZ14" s="841">
        <f t="shared" si="10"/>
        <v>300.11777569980694</v>
      </c>
      <c r="BA14" s="428">
        <f t="shared" ref="BA14" si="16">SUM(AX14:AZ14)</f>
        <v>15046.498469703629</v>
      </c>
      <c r="BB14" s="428">
        <f t="shared" ref="BB14" si="17">BA14-V14</f>
        <v>6276.8738654459867</v>
      </c>
      <c r="BE14" s="428">
        <f t="shared" si="13"/>
        <v>14998.922493994021</v>
      </c>
    </row>
    <row r="15" spans="1:58" x14ac:dyDescent="0.25">
      <c r="C15" s="428"/>
      <c r="D15" s="428"/>
      <c r="E15" s="428"/>
      <c r="F15" s="428"/>
      <c r="I15" s="428"/>
      <c r="J15" s="428"/>
      <c r="K15" s="428"/>
      <c r="L15" s="428"/>
      <c r="N15" s="428"/>
      <c r="P15" s="428"/>
      <c r="Q15" s="428"/>
      <c r="R15" s="428"/>
      <c r="T15" s="152"/>
      <c r="U15" s="428"/>
      <c r="V15" s="428"/>
      <c r="W15" s="428"/>
      <c r="X15" s="428"/>
      <c r="Y15" s="428"/>
      <c r="AA15" s="428"/>
      <c r="AB15" s="428"/>
      <c r="AC15" s="428"/>
      <c r="AD15" s="428"/>
      <c r="AE15" s="428"/>
      <c r="AG15" s="820"/>
      <c r="AH15" s="820"/>
      <c r="AI15" s="820"/>
      <c r="AJ15" s="820"/>
      <c r="AK15" s="820"/>
      <c r="AL15" s="820"/>
      <c r="AM15" s="152">
        <f t="shared" si="0"/>
        <v>0</v>
      </c>
      <c r="AN15" s="428"/>
      <c r="AO15" s="841"/>
      <c r="AP15" s="428"/>
      <c r="AQ15" s="428"/>
      <c r="AR15" s="428"/>
      <c r="AS15" s="843"/>
      <c r="AT15" s="843"/>
      <c r="AU15" s="428"/>
      <c r="AV15" s="152">
        <f t="shared" si="1"/>
        <v>0</v>
      </c>
      <c r="AX15" s="841"/>
      <c r="AY15" s="428"/>
      <c r="AZ15" s="841"/>
      <c r="BA15" s="428"/>
      <c r="BB15" s="428"/>
      <c r="BE15" s="428"/>
    </row>
    <row r="16" spans="1:58" x14ac:dyDescent="0.25">
      <c r="C16" s="428"/>
      <c r="D16" s="428"/>
      <c r="E16" s="428"/>
      <c r="F16" s="428"/>
      <c r="I16" s="428"/>
      <c r="J16" s="428"/>
      <c r="K16" s="428"/>
      <c r="L16" s="428"/>
      <c r="N16" s="428"/>
      <c r="P16" s="428"/>
      <c r="Q16" s="428"/>
      <c r="R16" s="428"/>
      <c r="T16" s="152"/>
      <c r="U16" s="428"/>
      <c r="V16" s="428"/>
      <c r="W16" s="428"/>
      <c r="X16" s="428"/>
      <c r="Y16" s="428"/>
      <c r="AA16" s="428"/>
      <c r="AB16" s="428"/>
      <c r="AC16" s="428"/>
      <c r="AD16" s="428"/>
      <c r="AE16" s="428"/>
      <c r="AG16" s="820"/>
      <c r="AH16" s="820"/>
      <c r="AI16" s="820"/>
      <c r="AJ16" s="820"/>
      <c r="AK16" s="820"/>
      <c r="AL16" s="820"/>
      <c r="AM16" s="152">
        <f t="shared" si="0"/>
        <v>0</v>
      </c>
      <c r="AN16" s="428"/>
      <c r="AO16" s="841"/>
      <c r="AP16" s="428"/>
      <c r="AQ16" s="428"/>
      <c r="AR16" s="428"/>
      <c r="AS16" s="843"/>
      <c r="AT16" s="843"/>
      <c r="AU16" s="428"/>
      <c r="AV16" s="152">
        <f t="shared" si="1"/>
        <v>0</v>
      </c>
      <c r="AX16" s="841"/>
      <c r="AY16" s="428"/>
      <c r="AZ16" s="841"/>
      <c r="BA16" s="428"/>
      <c r="BB16" s="428"/>
      <c r="BE16" s="428"/>
    </row>
    <row r="17" spans="1:59" x14ac:dyDescent="0.25">
      <c r="A17" s="151" t="s">
        <v>737</v>
      </c>
      <c r="B17" s="150" t="s">
        <v>40</v>
      </c>
      <c r="C17" s="428">
        <f>('2122 Teachers Pay Scales'!K20+1100)/10</f>
        <v>4988.7330000000002</v>
      </c>
      <c r="D17" s="428">
        <f>(('2122 TA Pay Scales'!L24+490)/10)*3</f>
        <v>7015.6996834061147</v>
      </c>
      <c r="E17" s="428">
        <f>'2122 GLEA Pay Scales'!$K$19/10/37*6.25*195/224</f>
        <v>353.33239604699571</v>
      </c>
      <c r="F17" s="443">
        <f>SUM(C17:E17)</f>
        <v>12357.765079453109</v>
      </c>
      <c r="G17" s="151" t="s">
        <v>141</v>
      </c>
      <c r="I17" s="428">
        <v>4311.8</v>
      </c>
      <c r="J17" s="428">
        <v>6651.494541484717</v>
      </c>
      <c r="K17" s="428">
        <v>300.11777569980694</v>
      </c>
      <c r="L17" s="443">
        <v>11263.412317184524</v>
      </c>
      <c r="N17" s="428">
        <f>D17+E17-J17-K17</f>
        <v>417.41976226858679</v>
      </c>
      <c r="P17" s="428">
        <f>C17-I17</f>
        <v>676.93299999999999</v>
      </c>
      <c r="Q17" s="428">
        <f>$Q$1+$Q$2</f>
        <v>557.86</v>
      </c>
      <c r="R17" s="428">
        <f>P17-Q17</f>
        <v>119.07299999999998</v>
      </c>
      <c r="T17" s="152"/>
      <c r="U17" s="428">
        <f>('2122 Teachers Pay Scales'!K19+1100)/10</f>
        <v>4669.5061499999993</v>
      </c>
      <c r="V17" s="428">
        <f>('2122 TA Pay Scales'!L24+490)/10*3</f>
        <v>7015.6996834061147</v>
      </c>
      <c r="W17" s="428">
        <f>'2122 GLEA Pay Scales'!$K$19/10/37*6.25*195/224</f>
        <v>353.33239604699571</v>
      </c>
      <c r="X17" s="443">
        <f>SUM(U17:W17)</f>
        <v>12038.53822945311</v>
      </c>
      <c r="Y17" s="428">
        <f>X17-L17</f>
        <v>775.12591226858603</v>
      </c>
      <c r="AA17" s="428">
        <f>('2122 Teachers Pay Scales'!K20+1100)/10</f>
        <v>4988.7330000000002</v>
      </c>
      <c r="AB17" s="428">
        <f>(('2122 TA Pay Scales'!L23+490)/10)*3</f>
        <v>6633.2918777292571</v>
      </c>
      <c r="AC17" s="428">
        <f>'2122 GLEA Pay Scales'!$K$19/10/37*6.25*195/224</f>
        <v>353.33239604699571</v>
      </c>
      <c r="AD17" s="443">
        <f>SUM(AA17:AC17)</f>
        <v>11975.357273776253</v>
      </c>
      <c r="AE17" s="428">
        <f>AD17-L17</f>
        <v>711.94495659172935</v>
      </c>
      <c r="AG17" s="820">
        <f>('2122 Teachers Pay Scales'!K69+1100)/10</f>
        <v>4924.8876300000002</v>
      </c>
      <c r="AH17" s="820">
        <v>6939.2781222707436</v>
      </c>
      <c r="AI17" s="820">
        <f>'2122 GLEA Pay Scales'!$K$19/10/37*6.25*195/224</f>
        <v>353.33239604699571</v>
      </c>
      <c r="AJ17" s="820">
        <f>SUM(AG17:AI17)</f>
        <v>12217.498148317738</v>
      </c>
      <c r="AK17" s="820">
        <f t="shared" si="2"/>
        <v>954.08583113321401</v>
      </c>
      <c r="AL17" s="820">
        <f t="shared" si="3"/>
        <v>-140.26693113537112</v>
      </c>
      <c r="AM17" s="152">
        <f t="shared" si="0"/>
        <v>549.24225999999999</v>
      </c>
      <c r="AN17" s="428">
        <f>('2122 Teachers Pay Scales'!K98+1100)/10</f>
        <v>4861.0422600000002</v>
      </c>
      <c r="AO17" s="841">
        <f>('2122 TA Pay Scales'!L40+490)/10*3</f>
        <v>6862.8565611353715</v>
      </c>
      <c r="AP17" s="428">
        <f t="shared" si="4"/>
        <v>300.11777569980694</v>
      </c>
      <c r="AQ17" s="428">
        <f t="shared" si="5"/>
        <v>12024.016596835179</v>
      </c>
      <c r="AR17" s="428">
        <f t="shared" si="6"/>
        <v>760.60427965065537</v>
      </c>
      <c r="AS17" s="843">
        <f t="shared" si="7"/>
        <v>6.7528761110006219E-2</v>
      </c>
      <c r="AT17" s="843">
        <f t="shared" si="8"/>
        <v>1.8765362902340054E-2</v>
      </c>
      <c r="AU17" s="428">
        <f t="shared" si="9"/>
        <v>211.36201965065447</v>
      </c>
      <c r="AV17" s="152">
        <f>AO17-J17</f>
        <v>211.36201965065447</v>
      </c>
      <c r="AX17" s="841">
        <f>('2122 Teachers Pay Scales'!K126+1100)/10</f>
        <v>4896.1872134999994</v>
      </c>
      <c r="AY17" s="428">
        <f>('2122 TA Pay Scales'!L41+490)/10*3</f>
        <v>6900.9173417030579</v>
      </c>
      <c r="AZ17" s="841">
        <f t="shared" si="10"/>
        <v>300.11777569980694</v>
      </c>
      <c r="BA17" s="428">
        <f t="shared" ref="BA17" si="18">SUM(AX17:AZ17)</f>
        <v>12097.222330902865</v>
      </c>
      <c r="BB17" s="428">
        <f t="shared" ref="BB17" si="19">BA17-V17</f>
        <v>5081.5226474967503</v>
      </c>
      <c r="BE17" s="428">
        <f t="shared" si="13"/>
        <v>12059.161550335179</v>
      </c>
    </row>
    <row r="18" spans="1:59" x14ac:dyDescent="0.25">
      <c r="C18" s="428"/>
      <c r="D18" s="428"/>
      <c r="E18" s="428"/>
      <c r="F18" s="428"/>
      <c r="N18" s="428"/>
      <c r="P18" s="428"/>
      <c r="Q18" s="428"/>
      <c r="R18" s="428"/>
      <c r="AN18" s="150"/>
      <c r="AO18" s="842"/>
      <c r="AP18" s="428"/>
      <c r="AQ18" s="428"/>
      <c r="AR18" s="150"/>
      <c r="AU18" s="428"/>
      <c r="AV18" s="152">
        <f t="shared" si="1"/>
        <v>0</v>
      </c>
      <c r="AX18" s="842"/>
      <c r="AY18" s="150"/>
      <c r="AZ18" s="841"/>
      <c r="BA18" s="428"/>
      <c r="BB18" s="150"/>
      <c r="BE18" s="428"/>
    </row>
    <row r="19" spans="1:59" x14ac:dyDescent="0.25">
      <c r="C19" s="428"/>
      <c r="D19" s="428"/>
      <c r="E19" s="428"/>
      <c r="F19" s="428"/>
      <c r="N19" s="428"/>
      <c r="P19" s="428"/>
      <c r="Q19" s="428"/>
      <c r="R19" s="428"/>
      <c r="AN19" s="150"/>
      <c r="AO19" s="842"/>
      <c r="AP19" s="428"/>
      <c r="AQ19" s="428"/>
      <c r="AR19" s="150"/>
      <c r="AU19" s="428"/>
      <c r="AV19" s="152">
        <f t="shared" si="1"/>
        <v>0</v>
      </c>
      <c r="AX19" s="842"/>
      <c r="AY19" s="150"/>
      <c r="AZ19" s="841"/>
      <c r="BA19" s="428"/>
      <c r="BB19" s="150"/>
      <c r="BE19" s="428"/>
    </row>
    <row r="20" spans="1:59" ht="25" x14ac:dyDescent="0.25">
      <c r="A20" s="151" t="s">
        <v>1253</v>
      </c>
      <c r="C20" s="428">
        <v>0</v>
      </c>
      <c r="D20" s="428">
        <v>0</v>
      </c>
      <c r="E20" s="428">
        <v>0</v>
      </c>
      <c r="F20" s="443">
        <v>2635</v>
      </c>
      <c r="G20" s="444" t="s">
        <v>943</v>
      </c>
      <c r="I20" s="428">
        <v>0</v>
      </c>
      <c r="J20" s="428">
        <v>0</v>
      </c>
      <c r="K20" s="428">
        <v>0</v>
      </c>
      <c r="L20" s="443">
        <v>2635</v>
      </c>
      <c r="N20" s="428">
        <f>D20+E20-J20-K20</f>
        <v>0</v>
      </c>
      <c r="P20" s="428">
        <f>C20-I20</f>
        <v>0</v>
      </c>
      <c r="Q20" s="428"/>
      <c r="R20" s="428"/>
      <c r="AN20" s="150"/>
      <c r="AO20" s="842"/>
      <c r="AP20" s="428"/>
      <c r="AQ20" s="428">
        <f>F20</f>
        <v>2635</v>
      </c>
      <c r="AR20" s="150"/>
      <c r="AU20" s="428"/>
      <c r="AV20" s="152">
        <f t="shared" si="1"/>
        <v>0</v>
      </c>
      <c r="AX20" s="842"/>
      <c r="AY20" s="150"/>
      <c r="AZ20" s="841">
        <v>2635</v>
      </c>
      <c r="BA20" s="428"/>
      <c r="BB20" s="150"/>
      <c r="BE20" s="428">
        <f>AX20+AO20+AZ20</f>
        <v>2635</v>
      </c>
      <c r="BG20" s="152">
        <f>BE17+BE20</f>
        <v>14694.161550335179</v>
      </c>
    </row>
    <row r="21" spans="1:59" x14ac:dyDescent="0.25">
      <c r="C21" s="428"/>
      <c r="D21" s="428"/>
      <c r="E21" s="428"/>
      <c r="F21" s="428"/>
      <c r="G21" s="1"/>
      <c r="I21" s="428"/>
      <c r="J21" s="428"/>
      <c r="K21" s="428"/>
      <c r="L21" s="428"/>
      <c r="N21" s="428"/>
      <c r="P21" s="428"/>
      <c r="Q21" s="428"/>
      <c r="R21" s="428"/>
      <c r="X21" s="182" t="s">
        <v>1365</v>
      </c>
      <c r="AD21" s="422">
        <f>'2122 TA Pay Scales'!L40</f>
        <v>22386.188537117905</v>
      </c>
      <c r="AN21" s="150"/>
      <c r="AO21" s="842"/>
      <c r="AP21" s="428"/>
      <c r="AQ21" s="428"/>
      <c r="AR21" s="150"/>
      <c r="AU21" s="428"/>
      <c r="AV21" s="152">
        <f t="shared" si="1"/>
        <v>0</v>
      </c>
      <c r="AX21" s="842"/>
      <c r="AY21" s="150"/>
      <c r="AZ21" s="841"/>
      <c r="BA21" s="428"/>
      <c r="BB21" s="150"/>
      <c r="BE21" s="428"/>
    </row>
    <row r="22" spans="1:59" x14ac:dyDescent="0.25">
      <c r="A22" s="151" t="s">
        <v>741</v>
      </c>
      <c r="B22" s="150" t="s">
        <v>751</v>
      </c>
      <c r="C22" s="428">
        <f>('2122 Teachers Pay Scales'!K20+1100)/6</f>
        <v>8314.5550000000003</v>
      </c>
      <c r="D22" s="428">
        <f>(('2122 TA Pay Scales'!L24+490)/6)*2</f>
        <v>7795.2218704512379</v>
      </c>
      <c r="E22" s="428">
        <f>'2122 GLEA Pay Scales'!$K$19/10/37*6.25*195/224</f>
        <v>353.33239604699571</v>
      </c>
      <c r="F22" s="443">
        <f>SUM(C22:E22)</f>
        <v>16463.109266498235</v>
      </c>
      <c r="G22" s="151" t="s">
        <v>753</v>
      </c>
      <c r="I22" s="428">
        <v>7186.333333333333</v>
      </c>
      <c r="J22" s="428">
        <v>7390.549490538574</v>
      </c>
      <c r="K22" s="428">
        <v>300.11777569980694</v>
      </c>
      <c r="L22" s="443">
        <v>14877.000599571715</v>
      </c>
      <c r="N22" s="428">
        <f>D22+E22-J22-K22</f>
        <v>457.8870002598531</v>
      </c>
      <c r="P22" s="428">
        <f>C22-I22</f>
        <v>1128.2216666666673</v>
      </c>
      <c r="Q22" s="428">
        <f>$Q$1+$Q$2</f>
        <v>557.86</v>
      </c>
      <c r="R22" s="428">
        <f>P22-Q22</f>
        <v>570.36166666666725</v>
      </c>
      <c r="AG22" s="820">
        <f>('2122 Teachers Pay Scales'!K69+1100)/6</f>
        <v>8208.1460500000012</v>
      </c>
      <c r="AH22" s="820">
        <v>7710.3090247452701</v>
      </c>
      <c r="AI22" s="820">
        <f>'2122 GLEA Pay Scales'!$K$19/10/37*6.25*195/224</f>
        <v>353.33239604699571</v>
      </c>
      <c r="AJ22" s="820">
        <f>SUM(AG22:AI22)</f>
        <v>16271.787470792266</v>
      </c>
      <c r="AK22" s="820">
        <f>AJ22-L22</f>
        <v>1394.7868712205509</v>
      </c>
      <c r="AL22" s="820">
        <f>AJ22-F22</f>
        <v>-191.32179570596963</v>
      </c>
      <c r="AN22" s="428">
        <f>('2122 Teachers Pay Scales'!K98+1100)/6</f>
        <v>8101.7370999999994</v>
      </c>
      <c r="AO22" s="841">
        <f>('2122 TA Pay Scales'!L40+490)/6*2</f>
        <v>7625.3961790393014</v>
      </c>
      <c r="AP22" s="428">
        <f t="shared" si="4"/>
        <v>300.11777569980694</v>
      </c>
      <c r="AQ22" s="428">
        <f t="shared" si="5"/>
        <v>16027.251054739108</v>
      </c>
      <c r="AR22" s="150"/>
      <c r="AU22" s="428">
        <f t="shared" si="9"/>
        <v>234.8466885007274</v>
      </c>
      <c r="AV22" s="152">
        <f t="shared" si="1"/>
        <v>234.8466885007274</v>
      </c>
      <c r="AX22" s="841">
        <f>('2122 Teachers Pay Scales'!K126+1100)/6</f>
        <v>8160.3120224999993</v>
      </c>
      <c r="AY22" s="428">
        <f>('2122 TA Pay Scales'!L41+490)/6*2</f>
        <v>7667.6859352256188</v>
      </c>
      <c r="AZ22" s="841">
        <f t="shared" si="10"/>
        <v>300.11777569980694</v>
      </c>
      <c r="BA22" s="428">
        <f t="shared" ref="BA22" si="20">SUM(AX22:AZ22)</f>
        <v>16128.115733425426</v>
      </c>
      <c r="BB22" s="150"/>
      <c r="BE22" s="428">
        <f t="shared" si="13"/>
        <v>16085.825977239108</v>
      </c>
    </row>
    <row r="23" spans="1:59" x14ac:dyDescent="0.25">
      <c r="C23" s="428"/>
      <c r="D23" s="428"/>
      <c r="E23" s="428"/>
      <c r="F23" s="428"/>
      <c r="I23" s="428"/>
      <c r="J23" s="428"/>
      <c r="K23" s="428"/>
      <c r="L23" s="428"/>
      <c r="N23" s="428"/>
      <c r="P23" s="428"/>
      <c r="Q23" s="428"/>
      <c r="R23" s="428"/>
      <c r="AH23" s="820"/>
      <c r="AN23" s="150"/>
      <c r="AO23" s="842"/>
      <c r="AP23" s="150"/>
      <c r="AQ23" s="428"/>
      <c r="AR23" s="150"/>
      <c r="AU23" s="428"/>
      <c r="AV23" s="152">
        <f t="shared" si="1"/>
        <v>0</v>
      </c>
      <c r="AX23" s="841"/>
      <c r="AY23" s="150"/>
      <c r="AZ23" s="841"/>
      <c r="BA23" s="428"/>
      <c r="BB23" s="150"/>
      <c r="BE23" s="428"/>
    </row>
    <row r="24" spans="1:59" x14ac:dyDescent="0.25">
      <c r="A24" s="151" t="s">
        <v>743</v>
      </c>
      <c r="B24" s="150" t="s">
        <v>671</v>
      </c>
      <c r="C24" s="428">
        <v>0</v>
      </c>
      <c r="D24" s="428">
        <f>('2122 TA Pay Scales'!L24+490)</f>
        <v>23385.665611353714</v>
      </c>
      <c r="E24" s="428">
        <v>0</v>
      </c>
      <c r="F24" s="443">
        <f>SUM(C24:E24)</f>
        <v>23385.665611353714</v>
      </c>
      <c r="G24" s="151" t="s">
        <v>944</v>
      </c>
      <c r="I24" s="428">
        <v>0</v>
      </c>
      <c r="J24" s="428">
        <v>22512.750755794426</v>
      </c>
      <c r="K24" s="428">
        <v>0</v>
      </c>
      <c r="L24" s="443">
        <v>22512.750755794426</v>
      </c>
      <c r="N24" s="428">
        <f>D24+E24-J24-K24</f>
        <v>872.91485555928739</v>
      </c>
      <c r="P24" s="428">
        <f>C24-I24</f>
        <v>0</v>
      </c>
      <c r="Q24" s="428"/>
      <c r="R24" s="428"/>
      <c r="AH24" s="820">
        <v>23130.927074235809</v>
      </c>
      <c r="AK24" s="820">
        <f>AH24-J24</f>
        <v>618.17631844138305</v>
      </c>
      <c r="AL24" s="820">
        <f>AH24-D24</f>
        <v>-254.73853711790434</v>
      </c>
      <c r="AN24" s="150"/>
      <c r="AO24" s="841">
        <f>('2122 TA Pay Scales'!L40+490)</f>
        <v>22876.188537117905</v>
      </c>
      <c r="AP24" s="150">
        <v>0</v>
      </c>
      <c r="AQ24" s="428">
        <f t="shared" si="5"/>
        <v>22876.188537117905</v>
      </c>
      <c r="AR24" s="150"/>
      <c r="AU24" s="428">
        <f>AO24-J24</f>
        <v>363.4377813234787</v>
      </c>
      <c r="AV24" s="152">
        <f t="shared" si="1"/>
        <v>363.4377813234787</v>
      </c>
      <c r="AX24" s="841"/>
      <c r="AY24" s="428"/>
      <c r="AZ24" s="841">
        <f t="shared" si="10"/>
        <v>0</v>
      </c>
      <c r="BA24" s="428">
        <f t="shared" ref="BA24" si="21">SUM(AX24:AZ24)</f>
        <v>0</v>
      </c>
      <c r="BB24" s="150"/>
      <c r="BE24" s="428">
        <f t="shared" si="13"/>
        <v>22876.188537117905</v>
      </c>
    </row>
    <row r="25" spans="1:59" x14ac:dyDescent="0.25">
      <c r="K25" s="151"/>
      <c r="L25" s="151"/>
      <c r="AF25" s="151" t="s">
        <v>1366</v>
      </c>
      <c r="AH25" s="820">
        <f>('2122 TA Pay Scales'!L$43+490)</f>
        <v>22749.319268558953</v>
      </c>
      <c r="AK25" s="820">
        <f>AH25-J24</f>
        <v>236.56851276452653</v>
      </c>
      <c r="AL25" s="820">
        <f>AH25-D24</f>
        <v>-636.34634279476086</v>
      </c>
      <c r="AO25" s="841"/>
      <c r="AX25" s="841"/>
      <c r="AY25" s="428"/>
      <c r="AZ25" s="841"/>
      <c r="BE25" s="150"/>
    </row>
    <row r="26" spans="1:59" x14ac:dyDescent="0.25">
      <c r="A26" s="151" t="s">
        <v>1367</v>
      </c>
      <c r="B26" s="150" t="s">
        <v>1368</v>
      </c>
      <c r="G26" s="151" t="s">
        <v>1369</v>
      </c>
      <c r="I26" s="428">
        <v>5046.875</v>
      </c>
      <c r="J26" s="428">
        <v>5542.9121179039303</v>
      </c>
      <c r="K26" s="428">
        <v>300.11777569980694</v>
      </c>
      <c r="L26" s="428">
        <v>10889.904893603738</v>
      </c>
      <c r="AO26" s="841">
        <f>('2122 TA Pay Scales'!L40+490)/8*2</f>
        <v>5719.0471342794763</v>
      </c>
      <c r="AX26" s="841">
        <f>('2122 Teachers Pay Scales'!K153+1100)/8</f>
        <v>5730.1090168749997</v>
      </c>
      <c r="AY26" s="428"/>
      <c r="AZ26" s="841">
        <f t="shared" si="10"/>
        <v>300.11777569980694</v>
      </c>
      <c r="BE26" s="428">
        <f>AX26+AO26+AZ26</f>
        <v>11749.273926854283</v>
      </c>
    </row>
    <row r="27" spans="1:59" x14ac:dyDescent="0.25">
      <c r="K27" s="151"/>
      <c r="L27" s="151"/>
      <c r="AX27" s="428"/>
      <c r="BE27" s="150"/>
    </row>
    <row r="28" spans="1:59" x14ac:dyDescent="0.25">
      <c r="A28" s="151" t="s">
        <v>748</v>
      </c>
      <c r="K28" s="428">
        <v>300.11777569980694</v>
      </c>
      <c r="AO28" s="841">
        <f>('2122 TA Pay Scales'!L40+490)/8*AO35</f>
        <v>8273.8097577603712</v>
      </c>
      <c r="AX28" s="841">
        <f>('2122 Teachers Pay Scales'!K126+1100)/8</f>
        <v>6120.2340168749997</v>
      </c>
      <c r="AZ28" s="841">
        <f t="shared" si="10"/>
        <v>300.11777569980694</v>
      </c>
      <c r="BE28" s="428">
        <f>AX28+AO28+AZ28</f>
        <v>14694.161550335179</v>
      </c>
      <c r="BG28" s="151" t="s">
        <v>1370</v>
      </c>
    </row>
    <row r="29" spans="1:59" x14ac:dyDescent="0.25">
      <c r="A29" s="151" t="s">
        <v>793</v>
      </c>
      <c r="B29" s="150" t="s">
        <v>751</v>
      </c>
      <c r="C29" s="428">
        <f>'[18]Teacher Pay Scales'!$M$44/7</f>
        <v>6159.7142857142853</v>
      </c>
      <c r="D29" s="428">
        <f>SUM('[18]TA Pay scales'!$N$45/7*2)</f>
        <v>6334.75670617592</v>
      </c>
      <c r="E29" s="428">
        <f>'[18]GLEA Pay Scales'!$K$21/10/37*6.25*195/224</f>
        <v>300.11777569980694</v>
      </c>
      <c r="F29" s="428">
        <f>SUM(C29:E29)</f>
        <v>12794.588767590012</v>
      </c>
      <c r="G29" s="151" t="s">
        <v>753</v>
      </c>
    </row>
    <row r="30" spans="1:59" x14ac:dyDescent="0.25">
      <c r="Q30" s="887"/>
    </row>
    <row r="31" spans="1:59" x14ac:dyDescent="0.25">
      <c r="Q31" s="887"/>
      <c r="AO31" s="1045">
        <f>BE17+BE20-AX28-AZ28</f>
        <v>8273.8097577603712</v>
      </c>
      <c r="AP31" s="1050" t="s">
        <v>1371</v>
      </c>
    </row>
    <row r="32" spans="1:59" x14ac:dyDescent="0.25">
      <c r="A32" s="151" t="s">
        <v>793</v>
      </c>
      <c r="B32" s="150" t="s">
        <v>751</v>
      </c>
      <c r="C32" s="428">
        <f>'[18]Teacher Pay Scales'!$I$44/6</f>
        <v>6141.5</v>
      </c>
      <c r="D32" s="428">
        <f>SUM('[18]TA Pay scales'!$N$45/6*2)</f>
        <v>7390.549490538574</v>
      </c>
      <c r="E32" s="428">
        <f>'[18]GLEA Pay Scales'!$K$21/10/37*6.25*195/224</f>
        <v>300.11777569980694</v>
      </c>
      <c r="F32" s="428">
        <f>SUM(C32:E32)</f>
        <v>13832.167266238383</v>
      </c>
      <c r="G32" s="151" t="s">
        <v>753</v>
      </c>
      <c r="AO32" s="1046"/>
      <c r="AP32" s="1046"/>
    </row>
    <row r="33" spans="1:42" x14ac:dyDescent="0.25">
      <c r="I33" s="151"/>
      <c r="J33" s="151"/>
      <c r="K33" s="151"/>
      <c r="L33" s="151"/>
      <c r="AO33" s="1047">
        <f>AO31*8</f>
        <v>66190.47806208297</v>
      </c>
      <c r="AP33" s="1046" t="s">
        <v>1372</v>
      </c>
    </row>
    <row r="34" spans="1:42" x14ac:dyDescent="0.25">
      <c r="A34" s="151" t="s">
        <v>946</v>
      </c>
      <c r="B34" s="150" t="s">
        <v>751</v>
      </c>
      <c r="C34" s="428">
        <f>'[18]Teacher Pay Scales'!$M$44/8</f>
        <v>5389.75</v>
      </c>
      <c r="D34" s="428">
        <f>SUM('[18]TA Pay scales'!$N$45/8)+('[18]TA Pay scales'!L45/8*2)</f>
        <v>7723.2312227074235</v>
      </c>
      <c r="E34" s="428">
        <f>'[18]GLEA Pay Scales'!$K$21/10/37*6.25*195/224</f>
        <v>300.11777569980694</v>
      </c>
      <c r="F34" s="428">
        <f>SUM(C34:E34)</f>
        <v>13413.098998407231</v>
      </c>
      <c r="G34" s="151" t="s">
        <v>752</v>
      </c>
      <c r="I34" s="151"/>
      <c r="J34" s="151"/>
      <c r="K34" s="151"/>
      <c r="L34" s="151"/>
      <c r="AO34" s="1048">
        <f>('2122 TA Pay Scales'!L40+490)</f>
        <v>22876.188537117905</v>
      </c>
      <c r="AP34" s="1046" t="s">
        <v>1373</v>
      </c>
    </row>
    <row r="35" spans="1:42" x14ac:dyDescent="0.25">
      <c r="I35" s="151"/>
      <c r="J35" s="151"/>
      <c r="K35" s="151"/>
      <c r="L35" s="151"/>
      <c r="AO35" s="1049">
        <f>AO33/AO34</f>
        <v>2.8934224752818936</v>
      </c>
      <c r="AP35" s="1049" t="s">
        <v>1374</v>
      </c>
    </row>
    <row r="36" spans="1:42" x14ac:dyDescent="0.25">
      <c r="A36" s="151" t="s">
        <v>668</v>
      </c>
      <c r="B36" s="150" t="s">
        <v>671</v>
      </c>
      <c r="C36" s="428">
        <v>0</v>
      </c>
      <c r="D36" s="428">
        <f>'[18]TA Pay scales'!L45/32.5*33</f>
        <v>20111.82528048371</v>
      </c>
      <c r="E36" s="428">
        <v>0</v>
      </c>
      <c r="F36" s="428">
        <f>SUM(C36:E36)</f>
        <v>20111.82528048371</v>
      </c>
      <c r="G36" s="151" t="s">
        <v>944</v>
      </c>
      <c r="I36" s="151"/>
      <c r="J36" s="151"/>
      <c r="K36" s="151"/>
      <c r="L36" s="151"/>
    </row>
    <row r="37" spans="1:42" x14ac:dyDescent="0.25">
      <c r="I37" s="151"/>
      <c r="J37" s="151"/>
      <c r="K37" s="151"/>
      <c r="L37" s="151"/>
    </row>
    <row r="38" spans="1:42" x14ac:dyDescent="0.25">
      <c r="A38" s="151" t="s">
        <v>946</v>
      </c>
      <c r="B38" s="150" t="s">
        <v>751</v>
      </c>
      <c r="C38" s="428">
        <f>'[18]Teacher Pay Scales'!$M$44/10</f>
        <v>4311.8</v>
      </c>
      <c r="D38" s="428">
        <f>SUM('[18]TA Pay scales'!$N$45/10*3)</f>
        <v>6651.494541484717</v>
      </c>
      <c r="E38" s="428">
        <f>'[18]GLEA Pay Scales'!$K$21/10/37*6.25*195/224</f>
        <v>300.11777569980694</v>
      </c>
      <c r="F38" s="428">
        <f>SUM(C38:E38)</f>
        <v>11263.412317184524</v>
      </c>
      <c r="G38" s="151" t="s">
        <v>752</v>
      </c>
      <c r="I38" s="151"/>
      <c r="J38" s="151"/>
      <c r="K38" s="151"/>
      <c r="L38" s="151"/>
    </row>
    <row r="39" spans="1:42" x14ac:dyDescent="0.25">
      <c r="I39" s="151"/>
      <c r="J39" s="151"/>
      <c r="K39" s="151"/>
      <c r="L39" s="151"/>
    </row>
    <row r="40" spans="1:42" x14ac:dyDescent="0.25">
      <c r="A40" s="151" t="s">
        <v>793</v>
      </c>
      <c r="B40" s="150" t="s">
        <v>751</v>
      </c>
      <c r="C40" s="428">
        <f>'[18]Teacher Pay Scales'!$I$44/7</f>
        <v>5264.1428571428569</v>
      </c>
      <c r="D40" s="428">
        <f>SUM('[18]TA Pay scales'!$N$45/7*2)</f>
        <v>6334.75670617592</v>
      </c>
      <c r="E40" s="428">
        <f>'[18]GLEA Pay Scales'!$K$21/10/37*6.25*195/224</f>
        <v>300.11777569980694</v>
      </c>
      <c r="F40" s="428">
        <f>SUM(C40:E40)</f>
        <v>11899.017339018585</v>
      </c>
      <c r="G40" s="151" t="s">
        <v>753</v>
      </c>
      <c r="I40" s="151"/>
      <c r="J40" s="151"/>
      <c r="K40" s="151"/>
      <c r="L40" s="151"/>
    </row>
    <row r="41" spans="1:42" x14ac:dyDescent="0.25">
      <c r="I41" s="151"/>
      <c r="J41" s="151"/>
      <c r="K41" s="151"/>
      <c r="L41" s="151"/>
    </row>
    <row r="42" spans="1:42" x14ac:dyDescent="0.25">
      <c r="A42" s="151" t="s">
        <v>946</v>
      </c>
      <c r="B42" s="150" t="s">
        <v>751</v>
      </c>
      <c r="C42" s="428">
        <f>'[18]Teacher Pay Scales'!$M$44/10</f>
        <v>4311.8</v>
      </c>
      <c r="D42" s="428">
        <f>SUM('[18]TA Pay scales'!$N$45/8*3)</f>
        <v>8314.3681768558963</v>
      </c>
      <c r="E42" s="428">
        <f>'[18]GLEA Pay Scales'!$K$21/10/37*6.25*195/224</f>
        <v>300.11777569980694</v>
      </c>
      <c r="F42" s="428">
        <f>SUM(C42:E42)</f>
        <v>12926.285952555703</v>
      </c>
      <c r="G42" s="151" t="s">
        <v>752</v>
      </c>
      <c r="I42" s="151"/>
      <c r="J42" s="151"/>
      <c r="K42" s="151"/>
      <c r="L42" s="151"/>
    </row>
  </sheetData>
  <mergeCells count="1">
    <mergeCell ref="N1:N3"/>
  </mergeCell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N291"/>
  <sheetViews>
    <sheetView zoomScale="85" zoomScaleNormal="85" workbookViewId="0">
      <selection activeCell="D14" sqref="D14"/>
    </sheetView>
  </sheetViews>
  <sheetFormatPr defaultColWidth="9.1796875" defaultRowHeight="12.5" x14ac:dyDescent="0.25"/>
  <cols>
    <col min="1" max="1" width="47.453125" bestFit="1" customWidth="1"/>
    <col min="2" max="2" width="30.7265625" customWidth="1"/>
    <col min="3" max="3" width="2.1796875" bestFit="1" customWidth="1"/>
    <col min="4" max="4" width="30.7265625" style="2" customWidth="1"/>
    <col min="5" max="5" width="8" style="2" customWidth="1"/>
    <col min="6" max="6" width="1.453125" style="2" customWidth="1"/>
    <col min="7" max="7" width="47.26953125" style="2" customWidth="1"/>
    <col min="8" max="8" width="30.81640625" style="2" customWidth="1"/>
    <col min="9" max="9" width="30.7265625" style="2" customWidth="1"/>
    <col min="10" max="10" width="3" style="2" customWidth="1"/>
  </cols>
  <sheetData>
    <row r="1" spans="1:14" ht="18" x14ac:dyDescent="0.4">
      <c r="A1" s="112" t="s">
        <v>93</v>
      </c>
      <c r="B1" s="113"/>
      <c r="C1" s="113"/>
      <c r="D1" s="1134"/>
      <c r="E1" s="114"/>
      <c r="F1" s="114"/>
      <c r="G1" s="1134"/>
      <c r="H1" s="1134"/>
      <c r="I1" s="1134"/>
      <c r="J1" s="1134"/>
      <c r="K1" s="1135"/>
      <c r="L1" s="1135"/>
      <c r="M1" s="1135"/>
      <c r="N1" s="1134"/>
    </row>
    <row r="2" spans="1:14" ht="15" customHeight="1" x14ac:dyDescent="0.4">
      <c r="A2" s="112"/>
      <c r="B2" s="113"/>
      <c r="C2" s="113"/>
      <c r="D2" s="1134"/>
      <c r="E2" s="114"/>
      <c r="F2" s="114"/>
      <c r="G2" s="1134"/>
      <c r="H2" s="1134"/>
      <c r="I2" s="1134"/>
      <c r="J2" s="1134"/>
      <c r="K2" s="1135"/>
      <c r="L2" s="1135"/>
      <c r="M2" s="1135"/>
      <c r="N2" s="1134"/>
    </row>
    <row r="3" spans="1:14" ht="14" x14ac:dyDescent="0.3">
      <c r="A3" s="115" t="s">
        <v>94</v>
      </c>
      <c r="D3" s="1134"/>
      <c r="E3" s="1134"/>
      <c r="F3" s="1134"/>
      <c r="G3" s="1134"/>
      <c r="H3" s="116"/>
      <c r="I3" s="1134"/>
      <c r="J3" s="1134"/>
      <c r="K3" s="1135"/>
      <c r="L3" s="115"/>
      <c r="M3" s="1135"/>
      <c r="N3" s="568"/>
    </row>
    <row r="4" spans="1:14" ht="13" x14ac:dyDescent="0.3">
      <c r="A4" s="113"/>
      <c r="H4" s="117"/>
      <c r="I4" s="1134"/>
      <c r="J4" s="1134"/>
      <c r="K4" s="1135"/>
      <c r="L4" s="113"/>
      <c r="M4" s="1135"/>
      <c r="N4" s="1134"/>
    </row>
    <row r="5" spans="1:14" ht="13" x14ac:dyDescent="0.3">
      <c r="A5" s="118" t="s">
        <v>95</v>
      </c>
      <c r="B5" s="1136">
        <v>9257015</v>
      </c>
      <c r="C5" s="1134"/>
      <c r="D5" s="123" t="str">
        <f>VLOOKUP(B5,'2014-15 Funding Detail'!A3:AH23,2,FALSE)</f>
        <v>Lincoln St Christopher's</v>
      </c>
      <c r="E5" s="119"/>
      <c r="F5" s="119"/>
      <c r="G5" s="114"/>
      <c r="H5" s="117"/>
      <c r="I5" s="1134"/>
      <c r="J5" s="1134"/>
      <c r="K5" s="1135"/>
      <c r="L5" s="113"/>
      <c r="M5" s="1135"/>
      <c r="N5" s="1134"/>
    </row>
    <row r="6" spans="1:14" ht="13" x14ac:dyDescent="0.3">
      <c r="A6" s="118"/>
      <c r="B6" s="1134"/>
      <c r="C6" s="1134"/>
      <c r="D6" s="114"/>
      <c r="E6" s="119"/>
      <c r="F6" s="119"/>
      <c r="G6" s="114"/>
      <c r="H6" s="117"/>
      <c r="I6" s="1134"/>
      <c r="J6" s="1134"/>
      <c r="K6" s="1135"/>
      <c r="L6" s="113"/>
      <c r="M6" s="1135"/>
      <c r="N6" s="1134"/>
    </row>
    <row r="7" spans="1:14" s="124" customFormat="1" ht="13" x14ac:dyDescent="0.3">
      <c r="A7" s="254"/>
      <c r="B7" s="1415" t="s">
        <v>96</v>
      </c>
      <c r="C7" s="1415"/>
      <c r="D7" s="1415"/>
      <c r="E7" s="1137"/>
      <c r="F7" s="1137"/>
      <c r="G7" s="1415" t="s">
        <v>377</v>
      </c>
      <c r="H7" s="1415"/>
      <c r="I7" s="1137"/>
      <c r="J7" s="1137"/>
      <c r="K7" s="1138"/>
      <c r="L7" s="254"/>
      <c r="M7" s="254"/>
      <c r="N7" s="1137"/>
    </row>
    <row r="8" spans="1:14" s="124" customFormat="1" ht="13" x14ac:dyDescent="0.3">
      <c r="A8" s="254"/>
      <c r="B8" s="123"/>
      <c r="C8" s="123"/>
      <c r="D8" s="123"/>
      <c r="E8" s="1137"/>
      <c r="F8" s="1137"/>
      <c r="G8" s="1137"/>
      <c r="H8" s="1137"/>
      <c r="I8" s="1137"/>
      <c r="J8" s="1137"/>
      <c r="K8" s="1138"/>
      <c r="L8" s="254"/>
      <c r="M8" s="254"/>
      <c r="N8" s="1137"/>
    </row>
    <row r="9" spans="1:14" s="124" customFormat="1" ht="13" x14ac:dyDescent="0.3">
      <c r="A9" s="125" t="s">
        <v>98</v>
      </c>
      <c r="B9" s="123" t="s">
        <v>378</v>
      </c>
      <c r="C9" s="1137"/>
      <c r="D9" s="123" t="s">
        <v>379</v>
      </c>
      <c r="E9" s="1137"/>
      <c r="F9" s="1137"/>
      <c r="G9" s="125" t="s">
        <v>98</v>
      </c>
      <c r="H9" s="123" t="s">
        <v>380</v>
      </c>
      <c r="I9" s="1137"/>
      <c r="J9" s="1137"/>
      <c r="K9" s="1138"/>
      <c r="L9" s="254"/>
      <c r="M9" s="254"/>
      <c r="N9" s="1137"/>
    </row>
    <row r="10" spans="1:14" s="124" customFormat="1" x14ac:dyDescent="0.25">
      <c r="A10" s="254" t="s">
        <v>58</v>
      </c>
      <c r="B10" s="1139">
        <f>VLOOKUP(B5,'2014-15 Funding Detail'!$A$4:$AK$23,4,FALSE)</f>
        <v>493762.11190507573</v>
      </c>
      <c r="C10" s="1139"/>
      <c r="D10" s="1139">
        <f>VLOOKUP(B5,'2015-16 Funding Detail'!$A$4:$X$23,4,FALSE)</f>
        <v>493762.11190507573</v>
      </c>
      <c r="E10" s="126"/>
      <c r="F10" s="126"/>
      <c r="G10" s="254" t="s">
        <v>58</v>
      </c>
      <c r="H10" s="138">
        <f>VLOOKUP(B5,'2015-16 Funding Detail'!A4:X23,4,FALSE)</f>
        <v>493762.11190507573</v>
      </c>
      <c r="I10" s="1140"/>
      <c r="J10" s="1137"/>
      <c r="K10" s="1138"/>
      <c r="L10" s="254"/>
      <c r="M10" s="254"/>
      <c r="N10" s="1137"/>
    </row>
    <row r="11" spans="1:14" s="124" customFormat="1" x14ac:dyDescent="0.25">
      <c r="A11" s="254" t="s">
        <v>59</v>
      </c>
      <c r="B11" s="1139">
        <f>VLOOKUP(B5,'2014-15 Funding Detail'!$A$4:$AK$23,5,FALSE)</f>
        <v>131719.7894229154</v>
      </c>
      <c r="C11" s="1139"/>
      <c r="D11" s="1139">
        <f>VLOOKUP(B5,'2015-16 Funding Detail'!$A$4:$X$23,5,FALSE)</f>
        <v>131719.7894229154</v>
      </c>
      <c r="E11" s="126"/>
      <c r="F11" s="126"/>
      <c r="G11" s="254" t="s">
        <v>59</v>
      </c>
      <c r="H11" s="138">
        <f>VLOOKUP(B5,'2015-16 Funding Detail'!A4:X23,5,FALSE)</f>
        <v>131719.7894229154</v>
      </c>
      <c r="I11" s="1140"/>
      <c r="J11" s="1137"/>
      <c r="K11" s="1138"/>
      <c r="L11" s="254"/>
      <c r="M11" s="254"/>
      <c r="N11" s="1137"/>
    </row>
    <row r="12" spans="1:14" s="124" customFormat="1" x14ac:dyDescent="0.25">
      <c r="A12" s="254" t="s">
        <v>381</v>
      </c>
      <c r="B12" s="1139">
        <f>VLOOKUP(B5,'2014-15 Funding Detail'!$A$4:$AK$23,7,FALSE)</f>
        <v>29207</v>
      </c>
      <c r="C12" s="1139"/>
      <c r="D12" s="1139"/>
      <c r="E12" s="1137"/>
      <c r="F12" s="1137"/>
      <c r="G12" s="254" t="s">
        <v>381</v>
      </c>
      <c r="H12" s="138"/>
      <c r="I12" s="1140"/>
      <c r="J12" s="1137"/>
      <c r="K12" s="1138"/>
      <c r="L12" s="254"/>
      <c r="M12" s="254"/>
      <c r="N12" s="1137"/>
    </row>
    <row r="13" spans="1:14" s="124" customFormat="1" x14ac:dyDescent="0.25">
      <c r="A13" s="254" t="s">
        <v>102</v>
      </c>
      <c r="B13" s="1478">
        <f>VLOOKUP(B5,'2014-15 Funding Detail'!$A$4:$AK$23,8,FALSE)</f>
        <v>1863783.7392846146</v>
      </c>
      <c r="C13" s="1139"/>
      <c r="D13" s="1139">
        <f>VLOOKUP(B5,'2015-16 Funding Detail'!$A$4:$X$23,8,FALSE)</f>
        <v>71701.363496330887</v>
      </c>
      <c r="E13" s="1141">
        <v>2</v>
      </c>
      <c r="F13" s="1137"/>
      <c r="G13" s="254" t="s">
        <v>102</v>
      </c>
      <c r="H13" s="138">
        <f>VLOOKUP(B5,'2015-16 Funding Detail'!A4:N23,8,FALSE)</f>
        <v>71701.363496330887</v>
      </c>
      <c r="I13" s="1140"/>
      <c r="J13" s="1137"/>
      <c r="K13" s="1138"/>
      <c r="L13" s="254"/>
      <c r="M13" s="254"/>
      <c r="N13" s="1137"/>
    </row>
    <row r="14" spans="1:14" s="124" customFormat="1" x14ac:dyDescent="0.25">
      <c r="A14" s="254" t="s">
        <v>103</v>
      </c>
      <c r="B14" s="1478"/>
      <c r="C14" s="1139"/>
      <c r="D14" s="1139">
        <f>VLOOKUP(B5,'2015-16 Funding Detail'!$A$4:$X$23,9,FALSE)</f>
        <v>1792534.0874082721</v>
      </c>
      <c r="E14" s="1137"/>
      <c r="F14" s="1137"/>
      <c r="G14" s="254" t="s">
        <v>103</v>
      </c>
      <c r="H14" s="138">
        <f>VLOOKUP(B5,'2015-16 Funding Detail'!A4:X23,9,FALSE)</f>
        <v>1792534.0874082721</v>
      </c>
      <c r="I14" s="1140"/>
      <c r="J14" s="1137"/>
      <c r="K14" s="1138"/>
      <c r="L14" s="254"/>
      <c r="M14" s="254"/>
      <c r="N14" s="1137"/>
    </row>
    <row r="15" spans="1:14" s="124" customFormat="1" x14ac:dyDescent="0.25">
      <c r="A15" s="254" t="s">
        <v>104</v>
      </c>
      <c r="B15" s="1478"/>
      <c r="C15" s="1139"/>
      <c r="D15" s="1139">
        <f>VLOOKUP(B5,'2015-16 Funding Detail'!$A$4:$X$23,10,FALSE)</f>
        <v>44200.803302156906</v>
      </c>
      <c r="E15" s="1137"/>
      <c r="F15" s="1137"/>
      <c r="G15" s="254" t="s">
        <v>104</v>
      </c>
      <c r="H15" s="138">
        <f>VLOOKUP(B5,'2015-16 Funding Detail'!A4:X23,10,FALSE)</f>
        <v>44200.803302156906</v>
      </c>
      <c r="I15" s="1140"/>
      <c r="J15" s="1137"/>
      <c r="K15" s="1138"/>
      <c r="L15" s="254"/>
      <c r="M15" s="254"/>
      <c r="N15" s="1137"/>
    </row>
    <row r="16" spans="1:14" s="124" customFormat="1" x14ac:dyDescent="0.25">
      <c r="A16" s="254" t="s">
        <v>105</v>
      </c>
      <c r="B16" s="1139">
        <f>VLOOKUP(B5,'2014-15 Funding Detail'!$A$4:$AK$23,9,FALSE)</f>
        <v>32148</v>
      </c>
      <c r="C16" s="1139"/>
      <c r="D16" s="1139">
        <f>VLOOKUP(B5,'2015-16 Funding Detail'!$A$4:$X$23,11,FALSE)</f>
        <v>51794</v>
      </c>
      <c r="E16" s="1137"/>
      <c r="F16" s="1137"/>
      <c r="G16" s="254" t="s">
        <v>105</v>
      </c>
      <c r="H16" s="138">
        <f>VLOOKUP(B5,'2015-16 Funding Detail'!A4:X23,11,FALSE)</f>
        <v>51794</v>
      </c>
      <c r="I16" s="1140"/>
      <c r="J16" s="1137"/>
      <c r="K16" s="1138"/>
      <c r="L16" s="254"/>
      <c r="M16" s="254"/>
      <c r="N16" s="1137"/>
    </row>
    <row r="17" spans="1:14" s="124" customFormat="1" x14ac:dyDescent="0.25">
      <c r="A17" s="254" t="s">
        <v>106</v>
      </c>
      <c r="B17" s="1139">
        <f>VLOOKUP(B5,'2014-15 Funding Detail'!$A$4:$AK$23,10,FALSE)</f>
        <v>1056.0795972397032</v>
      </c>
      <c r="C17" s="1139"/>
      <c r="D17" s="1139">
        <f>VLOOKUP(B5,'2015-16 Funding Detail'!$A$4:$X$23,12,FALSE)</f>
        <v>1056.0795972397032</v>
      </c>
      <c r="E17" s="1137"/>
      <c r="F17" s="1137"/>
      <c r="G17" s="254" t="s">
        <v>106</v>
      </c>
      <c r="H17" s="138">
        <f>VLOOKUP(B5,'2015-16 Funding Detail'!A4:X23,12,FALSE)</f>
        <v>1056.0795972397032</v>
      </c>
      <c r="I17" s="1140"/>
      <c r="J17" s="1137"/>
      <c r="K17" s="1138"/>
      <c r="L17" s="254"/>
      <c r="M17" s="254"/>
      <c r="N17" s="1137"/>
    </row>
    <row r="18" spans="1:14" s="124" customFormat="1" x14ac:dyDescent="0.25">
      <c r="A18" s="254" t="s">
        <v>107</v>
      </c>
      <c r="B18" s="1139">
        <f>VLOOKUP(B5,'2014-15 Funding Detail'!$A$4:$AK$23,22,FALSE)</f>
        <v>91167.936383985478</v>
      </c>
      <c r="C18" s="1139"/>
      <c r="D18" s="1142"/>
      <c r="E18" s="1137"/>
      <c r="F18" s="1137"/>
      <c r="G18" s="254" t="s">
        <v>107</v>
      </c>
      <c r="H18" s="138">
        <f>VLOOKUP(B5,'2015-16 Funding Detail'!A4:X23,23,FALSE)</f>
        <v>49594.242598289748</v>
      </c>
      <c r="I18" s="1140"/>
      <c r="J18" s="1137"/>
      <c r="K18" s="1138"/>
      <c r="L18" s="254"/>
      <c r="M18" s="254"/>
      <c r="N18" s="1137"/>
    </row>
    <row r="19" spans="1:14" s="124" customFormat="1" x14ac:dyDescent="0.25">
      <c r="A19" s="254" t="s">
        <v>108</v>
      </c>
      <c r="B19" s="187">
        <f>VLOOKUP(B5,'2014-15 Funding Detail'!A4:AK23,23,FALSE)</f>
        <v>2642844.6565938313</v>
      </c>
      <c r="C19" s="1143">
        <v>1</v>
      </c>
      <c r="D19" s="1144">
        <f>VLOOKUP(B5,'2015-16 Funding Detail'!A4:X23,14,FALSE)</f>
        <v>2586768.2351319906</v>
      </c>
      <c r="E19" s="1141">
        <v>3</v>
      </c>
      <c r="F19" s="1137"/>
      <c r="G19" s="254" t="s">
        <v>109</v>
      </c>
      <c r="H19" s="1144">
        <f>VLOOKUP(B5,'2015-16 Funding Detail'!A4:X23,24,FALSE)</f>
        <v>2636362.4777302803</v>
      </c>
      <c r="I19" s="1141">
        <v>11</v>
      </c>
      <c r="J19" s="1137"/>
      <c r="K19" s="1138"/>
      <c r="L19" s="254"/>
      <c r="M19" s="254"/>
      <c r="N19" s="1137"/>
    </row>
    <row r="20" spans="1:14" s="124" customFormat="1" x14ac:dyDescent="0.25">
      <c r="A20" s="254"/>
      <c r="B20" s="1139"/>
      <c r="C20" s="1139"/>
      <c r="D20" s="1139"/>
      <c r="E20" s="1141"/>
      <c r="F20" s="1137"/>
      <c r="G20" s="138"/>
      <c r="H20" s="1139"/>
      <c r="I20" s="1139"/>
      <c r="J20" s="1137"/>
      <c r="K20" s="1138"/>
      <c r="L20" s="254"/>
      <c r="M20" s="254"/>
      <c r="N20" s="1137"/>
    </row>
    <row r="21" spans="1:14" s="124" customFormat="1" x14ac:dyDescent="0.25">
      <c r="A21" s="254" t="s">
        <v>110</v>
      </c>
      <c r="B21" s="1139">
        <f>VLOOKUP(B5,'2014-15 Funding Detail'!A4:AK23,35,FALSE)</f>
        <v>2603201.986744924</v>
      </c>
      <c r="C21" s="1139"/>
      <c r="D21" s="1139"/>
      <c r="E21" s="1141">
        <v>4</v>
      </c>
      <c r="F21" s="1137"/>
      <c r="G21" s="189" t="s">
        <v>111</v>
      </c>
      <c r="H21" s="1139"/>
      <c r="I21" s="1137"/>
      <c r="J21" s="1137"/>
      <c r="K21" s="1138"/>
      <c r="L21" s="254"/>
      <c r="M21" s="254"/>
      <c r="N21" s="1137"/>
    </row>
    <row r="22" spans="1:14" s="124" customFormat="1" ht="13" x14ac:dyDescent="0.3">
      <c r="A22" s="254"/>
      <c r="B22" s="1139"/>
      <c r="C22" s="1139"/>
      <c r="D22" s="1139"/>
      <c r="E22" s="1141"/>
      <c r="F22" s="1137"/>
      <c r="G22" s="190" t="s">
        <v>112</v>
      </c>
      <c r="H22" s="1139"/>
      <c r="I22" s="1145"/>
      <c r="J22" s="1137"/>
      <c r="K22" s="1138"/>
      <c r="L22" s="254"/>
      <c r="M22" s="254"/>
      <c r="N22" s="1137"/>
    </row>
    <row r="23" spans="1:14" s="124" customFormat="1" ht="13" x14ac:dyDescent="0.3">
      <c r="A23" s="254"/>
      <c r="B23" s="188" t="s">
        <v>382</v>
      </c>
      <c r="C23" s="1139"/>
      <c r="D23" s="127" t="s">
        <v>1</v>
      </c>
      <c r="E23" s="1141"/>
      <c r="F23" s="1137"/>
      <c r="G23" s="259" t="s">
        <v>114</v>
      </c>
      <c r="H23" s="1139">
        <f>VLOOKUP(B5,'2015-16 Funding Detail'!A4:X23,6,FALSE)</f>
        <v>0</v>
      </c>
      <c r="I23" s="1146">
        <v>12</v>
      </c>
      <c r="J23" s="1137"/>
      <c r="K23" s="1138"/>
      <c r="L23" s="254"/>
      <c r="M23" s="254"/>
      <c r="N23" s="1137"/>
    </row>
    <row r="24" spans="1:14" s="124" customFormat="1" x14ac:dyDescent="0.25">
      <c r="A24" s="254" t="s">
        <v>115</v>
      </c>
      <c r="B24" s="1147">
        <f>VLOOKUP(B5,'2014-15 Funding Detail'!A4:AK23,13,FALSE)</f>
        <v>253.91666666666666</v>
      </c>
      <c r="C24" s="1148"/>
      <c r="D24" s="1147">
        <f>VLOOKUP(B5,'2015-16 Funding Detail'!$A$4:$X$23,15,FALSE)</f>
        <v>260</v>
      </c>
      <c r="E24" s="1141">
        <v>5</v>
      </c>
      <c r="F24" s="1137"/>
      <c r="G24" s="259" t="s">
        <v>383</v>
      </c>
      <c r="H24" s="1139">
        <f>'2015-16 Funding Detail'!G14</f>
        <v>29207</v>
      </c>
      <c r="I24" s="1149"/>
      <c r="J24" s="1137"/>
      <c r="K24" s="1138"/>
      <c r="L24" s="254"/>
      <c r="M24" s="254"/>
      <c r="N24" s="1137"/>
    </row>
    <row r="25" spans="1:14" s="124" customFormat="1" ht="13" x14ac:dyDescent="0.3">
      <c r="A25" s="254"/>
      <c r="B25" s="1145"/>
      <c r="C25" s="1139"/>
      <c r="D25" s="1139"/>
      <c r="E25" s="1141"/>
      <c r="F25" s="1137"/>
      <c r="G25" s="190" t="s">
        <v>118</v>
      </c>
      <c r="H25" s="1139"/>
      <c r="I25" s="1149"/>
      <c r="J25" s="1137"/>
      <c r="K25" s="1138"/>
      <c r="L25" s="254"/>
      <c r="M25" s="254"/>
      <c r="N25" s="1137"/>
    </row>
    <row r="26" spans="1:14" s="124" customFormat="1" ht="13" x14ac:dyDescent="0.3">
      <c r="A26" s="254" t="s">
        <v>117</v>
      </c>
      <c r="B26" s="128">
        <f>VLOOKUP(B5,'2014-15 Funding Detail'!A4:AK23,36,FALSE)</f>
        <v>10252.190298962616</v>
      </c>
      <c r="C26" s="1139"/>
      <c r="D26" s="1139">
        <f>VLOOKUP(B5,'2015-16 Funding Detail'!$A$4:$X$23,17,FALSE)</f>
        <v>9949.1085966615028</v>
      </c>
      <c r="E26" s="1141">
        <v>6</v>
      </c>
      <c r="F26" s="1137"/>
      <c r="G26" s="259" t="s">
        <v>10</v>
      </c>
      <c r="H26" s="1139">
        <f>VLOOKUP(B5,'2015-16 Other Funding'!A7:AE25,26,FALSE)</f>
        <v>35258</v>
      </c>
      <c r="I26" s="1146">
        <v>13</v>
      </c>
      <c r="J26" s="1137"/>
      <c r="K26" s="1138"/>
      <c r="L26" s="254"/>
      <c r="M26" s="254"/>
      <c r="N26" s="1137"/>
    </row>
    <row r="27" spans="1:14" s="124" customFormat="1" ht="13" x14ac:dyDescent="0.3">
      <c r="A27" s="254"/>
      <c r="B27" s="128"/>
      <c r="C27" s="1139"/>
      <c r="D27" s="1139"/>
      <c r="E27" s="1141"/>
      <c r="F27" s="1137"/>
      <c r="G27" s="259" t="s">
        <v>384</v>
      </c>
      <c r="H27" s="1139">
        <f>VLOOKUP(B5,'2015-16 Other Funding'!A7:AE25,28,FALSE)</f>
        <v>21458.333333333336</v>
      </c>
      <c r="I27" s="1146"/>
      <c r="J27" s="1137"/>
      <c r="K27" s="1138"/>
      <c r="L27" s="254"/>
      <c r="M27" s="254"/>
      <c r="N27" s="1137"/>
    </row>
    <row r="28" spans="1:14" s="124" customFormat="1" ht="13" x14ac:dyDescent="0.3">
      <c r="A28" s="254" t="s">
        <v>119</v>
      </c>
      <c r="B28" s="128">
        <f>10000</f>
        <v>10000</v>
      </c>
      <c r="C28" s="1139"/>
      <c r="D28" s="1139">
        <v>10000</v>
      </c>
      <c r="E28" s="1141">
        <v>7</v>
      </c>
      <c r="F28" s="1137"/>
      <c r="G28" s="259" t="s">
        <v>385</v>
      </c>
      <c r="H28" s="1139">
        <f>VLOOKUP(B5,'2015-16 Other Funding'!A7:AE25,27,FALSE)</f>
        <v>0</v>
      </c>
      <c r="I28" s="1146">
        <v>14</v>
      </c>
      <c r="J28" s="1137"/>
      <c r="K28" s="1138"/>
      <c r="L28" s="254"/>
      <c r="M28" s="254"/>
      <c r="N28" s="1137"/>
    </row>
    <row r="29" spans="1:14" s="124" customFormat="1" ht="13" x14ac:dyDescent="0.3">
      <c r="A29" s="254"/>
      <c r="B29" s="128"/>
      <c r="C29" s="1139"/>
      <c r="D29" s="1139"/>
      <c r="E29" s="1141"/>
      <c r="F29" s="1137"/>
      <c r="G29" s="1150" t="s">
        <v>386</v>
      </c>
      <c r="H29" s="1139">
        <f>VLOOKUP(B5,'2015-16 Other Funding'!A7:AE25,29,FALSE)</f>
        <v>0</v>
      </c>
      <c r="I29" s="1146"/>
      <c r="J29" s="1137"/>
      <c r="K29" s="1138"/>
      <c r="L29" s="254"/>
      <c r="M29" s="254"/>
      <c r="N29" s="1137"/>
    </row>
    <row r="30" spans="1:14" s="124" customFormat="1" ht="13" x14ac:dyDescent="0.3">
      <c r="A30" s="254" t="s">
        <v>120</v>
      </c>
      <c r="B30" s="128">
        <f>VLOOKUP(B5,'2014-15 Funding Detail'!A4:AK23,37,FALSE)</f>
        <v>252.190298962616</v>
      </c>
      <c r="C30" s="1139"/>
      <c r="D30" s="1139">
        <f>VLOOKUP(B5,'2015-16 Funding Detail'!$A$4:$X$23,19,FALSE)</f>
        <v>-50.891403338497184</v>
      </c>
      <c r="E30" s="1141">
        <v>8</v>
      </c>
      <c r="F30" s="1137"/>
      <c r="G30" s="1150" t="s">
        <v>11</v>
      </c>
      <c r="H30" s="1139">
        <f>VLOOKUP(B5,'2015-16 Other Funding'!A7:AE25,30,FALSE)</f>
        <v>0</v>
      </c>
      <c r="I30" s="1146">
        <v>15</v>
      </c>
      <c r="J30" s="1137"/>
      <c r="K30" s="1138"/>
      <c r="L30" s="254"/>
      <c r="M30" s="254"/>
      <c r="N30" s="1137"/>
    </row>
    <row r="31" spans="1:14" s="124" customFormat="1" ht="13" x14ac:dyDescent="0.3">
      <c r="A31" s="254"/>
      <c r="B31" s="128"/>
      <c r="C31" s="1139"/>
      <c r="D31" s="1139"/>
      <c r="E31" s="1141"/>
      <c r="F31" s="1137"/>
      <c r="G31" s="126"/>
      <c r="H31" s="126"/>
      <c r="I31" s="1141"/>
      <c r="J31" s="1137"/>
      <c r="K31" s="1138"/>
      <c r="L31" s="254"/>
      <c r="M31" s="254"/>
      <c r="N31" s="1137"/>
    </row>
    <row r="32" spans="1:14" s="124" customFormat="1" ht="13" x14ac:dyDescent="0.3">
      <c r="A32" s="254" t="s">
        <v>387</v>
      </c>
      <c r="B32" s="128"/>
      <c r="C32" s="1139"/>
      <c r="D32" s="1139">
        <f>VLOOKUP(B5,'2015-16 Funding Detail'!$A$4:$X$23,21,FALSE)</f>
        <v>252.190298962616</v>
      </c>
      <c r="E32" s="1141">
        <v>9</v>
      </c>
      <c r="F32" s="1137"/>
      <c r="G32" s="1151" t="s">
        <v>388</v>
      </c>
      <c r="H32" s="138">
        <f>VLOOKUP(B5,'DSG US 1516'!A4:D23,4,FALSE)</f>
        <v>18497.38474443516</v>
      </c>
      <c r="I32" s="1141">
        <v>16</v>
      </c>
      <c r="J32" s="1137"/>
      <c r="K32" s="1138"/>
      <c r="L32" s="254"/>
      <c r="M32" s="254"/>
      <c r="N32" s="1137"/>
    </row>
    <row r="33" spans="1:14" s="124" customFormat="1" ht="13" x14ac:dyDescent="0.3">
      <c r="A33" s="254"/>
      <c r="B33" s="128"/>
      <c r="C33" s="1139"/>
      <c r="D33" s="1139"/>
      <c r="E33" s="1141"/>
      <c r="F33" s="1137"/>
      <c r="G33" s="259" t="s">
        <v>121</v>
      </c>
      <c r="H33" s="1144">
        <f>SUM(H23:H32)</f>
        <v>104420.7180777685</v>
      </c>
      <c r="I33" s="1141">
        <v>17</v>
      </c>
      <c r="J33" s="1137"/>
      <c r="K33" s="1138"/>
      <c r="L33" s="254"/>
      <c r="M33" s="254"/>
      <c r="N33" s="1137"/>
    </row>
    <row r="34" spans="1:14" s="124" customFormat="1" x14ac:dyDescent="0.25">
      <c r="A34" s="254" t="s">
        <v>389</v>
      </c>
      <c r="B34" s="1139"/>
      <c r="C34" s="1139"/>
      <c r="D34" s="1139">
        <f>VLOOKUP(B5,'2015-16 Funding Detail'!$A$4:$X$23,23,FALSE)</f>
        <v>49594.242598289748</v>
      </c>
      <c r="E34" s="1141">
        <v>10</v>
      </c>
      <c r="F34" s="1137"/>
      <c r="G34" s="138"/>
      <c r="H34" s="1139"/>
      <c r="I34" s="1141"/>
      <c r="J34" s="1137"/>
      <c r="K34" s="1138"/>
      <c r="L34" s="254"/>
      <c r="M34" s="254"/>
      <c r="N34" s="1137"/>
    </row>
    <row r="35" spans="1:14" s="124" customFormat="1" ht="13" x14ac:dyDescent="0.3">
      <c r="A35" s="254"/>
      <c r="B35" s="1139"/>
      <c r="C35" s="1139"/>
      <c r="D35" s="1139"/>
      <c r="E35" s="1141"/>
      <c r="F35" s="1137"/>
      <c r="G35" s="191" t="s">
        <v>390</v>
      </c>
      <c r="H35" s="188">
        <f>H19+H33</f>
        <v>2740783.1958080488</v>
      </c>
      <c r="I35" s="1141">
        <v>18</v>
      </c>
      <c r="J35" s="1137"/>
      <c r="K35" s="1138"/>
      <c r="L35" s="254"/>
      <c r="M35" s="254"/>
      <c r="N35" s="1137"/>
    </row>
    <row r="36" spans="1:14" s="124" customFormat="1" ht="13.5" thickBot="1" x14ac:dyDescent="0.35">
      <c r="A36" s="254"/>
      <c r="B36" s="1139"/>
      <c r="C36" s="1139"/>
      <c r="D36" s="1139"/>
      <c r="E36" s="1141"/>
      <c r="F36" s="1137"/>
      <c r="G36" s="191"/>
      <c r="H36" s="188"/>
      <c r="I36" s="1141"/>
      <c r="J36" s="1137"/>
      <c r="K36" s="1138"/>
      <c r="L36" s="254"/>
      <c r="M36" s="254"/>
      <c r="N36" s="1137"/>
    </row>
    <row r="37" spans="1:14" s="124" customFormat="1" ht="13" x14ac:dyDescent="0.3">
      <c r="B37" s="204" t="s">
        <v>125</v>
      </c>
      <c r="C37" s="1152"/>
      <c r="D37" s="205" t="s">
        <v>126</v>
      </c>
      <c r="E37" s="1141">
        <v>19</v>
      </c>
      <c r="F37" s="1137"/>
      <c r="G37" s="129" t="s">
        <v>391</v>
      </c>
      <c r="H37" s="192" t="s">
        <v>128</v>
      </c>
      <c r="I37" s="193"/>
      <c r="J37" s="1137"/>
      <c r="K37" s="1138"/>
      <c r="L37" s="254"/>
      <c r="M37" s="254"/>
      <c r="N37" s="1137"/>
    </row>
    <row r="38" spans="1:14" s="124" customFormat="1" ht="13" x14ac:dyDescent="0.3">
      <c r="A38" s="254"/>
      <c r="B38" s="1153" t="s">
        <v>39</v>
      </c>
      <c r="C38" s="1154"/>
      <c r="D38" s="206">
        <f>VLOOKUP(B5,'Band Calculations 1516'!$A$6:$H$23,4,FALSE)</f>
        <v>6.0483870967741937E-2</v>
      </c>
      <c r="E38" s="1141"/>
      <c r="F38" s="1137"/>
      <c r="G38" s="135" t="s">
        <v>392</v>
      </c>
      <c r="H38" s="194">
        <f>VLOOKUP(B5,'Band Calculations 1516'!A6:K23,9,FALSE)</f>
        <v>10</v>
      </c>
      <c r="I38" s="1141">
        <v>21</v>
      </c>
      <c r="J38" s="1137"/>
      <c r="K38" s="1138"/>
      <c r="L38" s="254"/>
      <c r="M38" s="254"/>
      <c r="N38" s="1137"/>
    </row>
    <row r="39" spans="1:14" s="124" customFormat="1" ht="13" x14ac:dyDescent="0.3">
      <c r="A39" s="254"/>
      <c r="B39" s="1153" t="s">
        <v>42</v>
      </c>
      <c r="C39" s="1154"/>
      <c r="D39" s="206">
        <f>VLOOKUP(B5,'Band Calculations 1516'!$A$6:$H$23,5,FALSE)</f>
        <v>0.22177419354838709</v>
      </c>
      <c r="E39" s="1141"/>
      <c r="F39" s="1137"/>
      <c r="G39" s="135" t="s">
        <v>393</v>
      </c>
      <c r="H39" s="194">
        <f>VLOOKUP(B5,'Band Calculations 1516'!A50:K67,9,FALSE)</f>
        <v>10</v>
      </c>
      <c r="I39" s="1141"/>
      <c r="J39" s="1137"/>
      <c r="K39" s="1138"/>
      <c r="L39" s="254"/>
      <c r="M39" s="254"/>
      <c r="N39" s="1137"/>
    </row>
    <row r="40" spans="1:14" s="124" customFormat="1" ht="13" x14ac:dyDescent="0.3">
      <c r="A40" s="254"/>
      <c r="B40" s="1153" t="s">
        <v>45</v>
      </c>
      <c r="C40" s="1154"/>
      <c r="D40" s="206">
        <f>VLOOKUP(B5,'Band Calculations 1516'!$A$6:$H$23,6,FALSE)</f>
        <v>0.65322580645161288</v>
      </c>
      <c r="E40" s="1141"/>
      <c r="F40" s="1137"/>
      <c r="G40" s="135"/>
      <c r="H40" s="195"/>
      <c r="I40" s="1141"/>
      <c r="J40" s="1137"/>
      <c r="K40" s="1138"/>
      <c r="L40" s="254"/>
      <c r="M40" s="254"/>
      <c r="N40" s="1137"/>
    </row>
    <row r="41" spans="1:14" s="124" customFormat="1" ht="13" x14ac:dyDescent="0.3">
      <c r="A41" s="254"/>
      <c r="B41" s="1153" t="s">
        <v>48</v>
      </c>
      <c r="C41" s="1154"/>
      <c r="D41" s="206">
        <f>VLOOKUP(B5,'Band Calculations 1516'!$A$6:$H$23,7,FALSE)</f>
        <v>0</v>
      </c>
      <c r="E41" s="1141"/>
      <c r="F41" s="1137"/>
      <c r="G41" s="257" t="s">
        <v>394</v>
      </c>
      <c r="H41" s="1155">
        <f>VLOOKUP(B5,'Band Calculations 1516'!A6:K23,10,FALSE)</f>
        <v>231</v>
      </c>
      <c r="I41" s="1141">
        <v>22</v>
      </c>
      <c r="J41" s="1137"/>
      <c r="K41" s="1138"/>
      <c r="L41" s="254"/>
      <c r="M41" s="254"/>
      <c r="N41" s="1137"/>
    </row>
    <row r="42" spans="1:14" s="124" customFormat="1" ht="13.5" thickBot="1" x14ac:dyDescent="0.35">
      <c r="A42" s="254"/>
      <c r="B42" s="1156" t="s">
        <v>51</v>
      </c>
      <c r="C42" s="1157"/>
      <c r="D42" s="303">
        <f>VLOOKUP(B5,'Band Calculations 1516'!$A$6:$H$23,8,FALSE)</f>
        <v>6.4516129032258063E-2</v>
      </c>
      <c r="E42" s="1141"/>
      <c r="F42" s="1137"/>
      <c r="G42" s="257" t="s">
        <v>395</v>
      </c>
      <c r="H42" s="1155">
        <f>VLOOKUP(B5,'Band Calculations 1516'!A50:K67,10,FALSE)</f>
        <v>231</v>
      </c>
      <c r="I42" s="1141"/>
      <c r="J42" s="1137"/>
      <c r="K42" s="1138"/>
      <c r="L42" s="254"/>
      <c r="M42" s="254"/>
      <c r="N42" s="1137"/>
    </row>
    <row r="43" spans="1:14" s="124" customFormat="1" ht="13.5" thickBot="1" x14ac:dyDescent="0.35">
      <c r="A43" s="254"/>
      <c r="B43" s="1158"/>
      <c r="C43" s="1139"/>
      <c r="D43" s="207"/>
      <c r="E43" s="1141"/>
      <c r="F43" s="1137"/>
      <c r="G43" s="257"/>
      <c r="H43" s="1155"/>
      <c r="I43" s="1141"/>
      <c r="J43" s="1137"/>
      <c r="K43" s="1138"/>
      <c r="L43" s="254"/>
      <c r="M43" s="254"/>
      <c r="N43" s="1137"/>
    </row>
    <row r="44" spans="1:14" s="124" customFormat="1" ht="12.75" customHeight="1" x14ac:dyDescent="0.3">
      <c r="A44" s="254"/>
      <c r="B44" s="208" t="s">
        <v>133</v>
      </c>
      <c r="C44" s="1152"/>
      <c r="D44" s="209" t="s">
        <v>134</v>
      </c>
      <c r="E44" s="1141"/>
      <c r="F44" s="1137"/>
      <c r="G44" s="257" t="s">
        <v>396</v>
      </c>
      <c r="H44" s="1155">
        <f>VLOOKUP(B5,'Band Calculations 1516'!A28:L45,9,FALSE)</f>
        <v>19</v>
      </c>
      <c r="I44" s="1141">
        <v>23</v>
      </c>
      <c r="J44" s="1137"/>
      <c r="K44" s="1138"/>
      <c r="L44" s="254"/>
      <c r="M44" s="254"/>
      <c r="N44" s="1137"/>
    </row>
    <row r="45" spans="1:14" s="124" customFormat="1" ht="13.5" thickBot="1" x14ac:dyDescent="0.35">
      <c r="A45" s="254"/>
      <c r="B45" s="1156" t="s">
        <v>136</v>
      </c>
      <c r="C45" s="1157"/>
      <c r="D45" s="210">
        <f>VLOOKUP(B5,'Band Calculations 1516'!A108:W125,23,FALSE)</f>
        <v>7340.139439256769</v>
      </c>
      <c r="E45" s="1141">
        <v>20</v>
      </c>
      <c r="F45" s="1137"/>
      <c r="G45" s="258" t="s">
        <v>397</v>
      </c>
      <c r="H45" s="1159">
        <f>VLOOKUP(B5,'Band Calculations 1516'!A72:I89,9,FALSE)</f>
        <v>19</v>
      </c>
      <c r="I45" s="1141"/>
      <c r="J45" s="1137"/>
      <c r="K45" s="1138"/>
      <c r="L45" s="254"/>
      <c r="M45" s="254"/>
      <c r="N45" s="1137"/>
    </row>
    <row r="46" spans="1:14" s="124" customFormat="1" ht="13" thickBot="1" x14ac:dyDescent="0.3">
      <c r="A46" s="1141"/>
      <c r="B46" s="1160"/>
      <c r="C46" s="1160"/>
      <c r="D46" s="1139"/>
      <c r="E46" s="1141"/>
      <c r="F46" s="1137"/>
      <c r="G46" s="1137"/>
      <c r="H46" s="1139"/>
      <c r="I46" s="1161"/>
      <c r="J46" s="1137"/>
      <c r="K46" s="1138"/>
      <c r="L46" s="254"/>
      <c r="M46" s="254"/>
      <c r="N46" s="1137"/>
    </row>
    <row r="47" spans="1:14" s="124" customFormat="1" ht="13" x14ac:dyDescent="0.3">
      <c r="A47" s="177" t="s">
        <v>398</v>
      </c>
      <c r="B47" s="211"/>
      <c r="C47" s="211"/>
      <c r="D47" s="212"/>
      <c r="E47" s="1425"/>
      <c r="F47" s="1426"/>
      <c r="G47" s="1426"/>
      <c r="H47" s="1427"/>
      <c r="I47" s="131">
        <v>24</v>
      </c>
    </row>
    <row r="48" spans="1:14" s="124" customFormat="1" ht="13" x14ac:dyDescent="0.3">
      <c r="A48" s="178" t="s">
        <v>139</v>
      </c>
      <c r="B48" s="213" t="s">
        <v>35</v>
      </c>
      <c r="C48" s="214"/>
      <c r="D48" s="213" t="s">
        <v>36</v>
      </c>
      <c r="E48" s="1419" t="s">
        <v>140</v>
      </c>
      <c r="F48" s="1420"/>
      <c r="G48" s="1420"/>
      <c r="H48" s="1421"/>
      <c r="I48" s="174"/>
      <c r="J48" s="126"/>
    </row>
    <row r="49" spans="1:10" s="124" customFormat="1" x14ac:dyDescent="0.25">
      <c r="A49" s="179"/>
      <c r="B49" s="215"/>
      <c r="C49" s="214"/>
      <c r="D49" s="216"/>
      <c r="E49" s="1422"/>
      <c r="F49" s="1423"/>
      <c r="G49" s="1423"/>
      <c r="H49" s="1424"/>
      <c r="I49" s="138"/>
      <c r="J49" s="126"/>
    </row>
    <row r="50" spans="1:10" s="124" customFormat="1" x14ac:dyDescent="0.25">
      <c r="A50" s="134" t="s">
        <v>39</v>
      </c>
      <c r="B50" s="217" t="s">
        <v>40</v>
      </c>
      <c r="C50" s="218"/>
      <c r="D50" s="219">
        <v>11692.020638096787</v>
      </c>
      <c r="E50" s="1479" t="s">
        <v>141</v>
      </c>
      <c r="F50" s="1479"/>
      <c r="G50" s="1479"/>
      <c r="H50" s="1480"/>
      <c r="I50" s="138"/>
      <c r="J50" s="126"/>
    </row>
    <row r="51" spans="1:10" s="124" customFormat="1" x14ac:dyDescent="0.25">
      <c r="A51" s="135"/>
      <c r="B51" s="220"/>
      <c r="C51" s="218"/>
      <c r="D51" s="219"/>
      <c r="E51" s="1481"/>
      <c r="F51" s="1481"/>
      <c r="G51" s="1481"/>
      <c r="H51" s="1482"/>
      <c r="I51" s="138"/>
      <c r="J51" s="126"/>
    </row>
    <row r="52" spans="1:10" s="124" customFormat="1" x14ac:dyDescent="0.25">
      <c r="A52" s="134" t="s">
        <v>42</v>
      </c>
      <c r="B52" s="220" t="s">
        <v>43</v>
      </c>
      <c r="C52" s="218"/>
      <c r="D52" s="219">
        <v>7350.1419469065795</v>
      </c>
      <c r="E52" s="1479" t="s">
        <v>142</v>
      </c>
      <c r="F52" s="1479"/>
      <c r="G52" s="1479"/>
      <c r="H52" s="1480"/>
      <c r="I52" s="138"/>
      <c r="J52" s="126"/>
    </row>
    <row r="53" spans="1:10" s="124" customFormat="1" x14ac:dyDescent="0.25">
      <c r="A53" s="135"/>
      <c r="B53" s="220"/>
      <c r="C53" s="218"/>
      <c r="D53" s="219"/>
      <c r="E53" s="1483"/>
      <c r="F53" s="1483"/>
      <c r="G53" s="1483"/>
      <c r="H53" s="1484"/>
      <c r="I53" s="175"/>
      <c r="J53" s="126"/>
    </row>
    <row r="54" spans="1:10" s="124" customFormat="1" x14ac:dyDescent="0.25">
      <c r="A54" s="134" t="s">
        <v>45</v>
      </c>
      <c r="B54" s="220" t="s">
        <v>46</v>
      </c>
      <c r="C54" s="218"/>
      <c r="D54" s="219">
        <v>6243.7244928897762</v>
      </c>
      <c r="E54" s="1479" t="s">
        <v>143</v>
      </c>
      <c r="F54" s="1479"/>
      <c r="G54" s="1479"/>
      <c r="H54" s="1480"/>
      <c r="I54" s="175"/>
      <c r="J54" s="126"/>
    </row>
    <row r="55" spans="1:10" s="124" customFormat="1" x14ac:dyDescent="0.25">
      <c r="A55" s="135"/>
      <c r="B55" s="220"/>
      <c r="C55" s="218"/>
      <c r="D55" s="219"/>
      <c r="E55" s="1481"/>
      <c r="F55" s="1481"/>
      <c r="G55" s="1481"/>
      <c r="H55" s="1482"/>
      <c r="I55" s="137"/>
      <c r="J55" s="126"/>
    </row>
    <row r="56" spans="1:10" s="124" customFormat="1" x14ac:dyDescent="0.25">
      <c r="A56" s="134" t="s">
        <v>48</v>
      </c>
      <c r="B56" s="220" t="s">
        <v>40</v>
      </c>
      <c r="C56" s="218"/>
      <c r="D56" s="219">
        <v>11692.020638096787</v>
      </c>
      <c r="E56" s="1479" t="s">
        <v>141</v>
      </c>
      <c r="F56" s="1479"/>
      <c r="G56" s="1479"/>
      <c r="H56" s="1480"/>
      <c r="I56" s="137"/>
      <c r="J56" s="126"/>
    </row>
    <row r="57" spans="1:10" s="124" customFormat="1" ht="12" customHeight="1" x14ac:dyDescent="0.25">
      <c r="A57" s="135"/>
      <c r="B57" s="220"/>
      <c r="C57" s="218"/>
      <c r="D57" s="219"/>
      <c r="E57" s="1481"/>
      <c r="F57" s="1481"/>
      <c r="G57" s="1481"/>
      <c r="H57" s="1482"/>
      <c r="I57" s="137"/>
      <c r="J57" s="126"/>
    </row>
    <row r="58" spans="1:10" s="124" customFormat="1" ht="12" customHeight="1" x14ac:dyDescent="0.25">
      <c r="A58" s="134" t="s">
        <v>51</v>
      </c>
      <c r="B58" s="221" t="s">
        <v>40</v>
      </c>
      <c r="C58" s="218"/>
      <c r="D58" s="219">
        <v>11692.020638096787</v>
      </c>
      <c r="E58" s="1479" t="s">
        <v>141</v>
      </c>
      <c r="F58" s="1479"/>
      <c r="G58" s="1479"/>
      <c r="H58" s="1480"/>
      <c r="I58" s="137"/>
      <c r="J58" s="126"/>
    </row>
    <row r="59" spans="1:10" s="124" customFormat="1" ht="12" customHeight="1" x14ac:dyDescent="0.25">
      <c r="A59" s="135"/>
      <c r="B59" s="221"/>
      <c r="C59" s="218"/>
      <c r="D59" s="219"/>
      <c r="E59" s="1481"/>
      <c r="F59" s="1481"/>
      <c r="G59" s="1481"/>
      <c r="H59" s="1482"/>
      <c r="I59" s="137"/>
      <c r="J59" s="126"/>
    </row>
    <row r="60" spans="1:10" s="124" customFormat="1" ht="12" customHeight="1" thickBot="1" x14ac:dyDescent="0.3">
      <c r="A60" s="176" t="s">
        <v>51</v>
      </c>
      <c r="B60" s="222" t="s">
        <v>144</v>
      </c>
      <c r="C60" s="223"/>
      <c r="D60" s="224">
        <v>2635.0478891670464</v>
      </c>
      <c r="E60" s="1485" t="s">
        <v>145</v>
      </c>
      <c r="F60" s="1486"/>
      <c r="G60" s="1486"/>
      <c r="H60" s="1487"/>
      <c r="I60" s="137"/>
      <c r="J60" s="126"/>
    </row>
    <row r="61" spans="1:10" s="124" customFormat="1" ht="12" customHeight="1" thickBot="1" x14ac:dyDescent="0.3">
      <c r="B61" s="126"/>
      <c r="D61" s="126"/>
      <c r="E61" s="131"/>
      <c r="F61" s="126"/>
      <c r="G61" s="126"/>
      <c r="H61" s="126"/>
      <c r="I61" s="126"/>
      <c r="J61" s="126"/>
    </row>
    <row r="62" spans="1:10" s="124" customFormat="1" ht="12" customHeight="1" x14ac:dyDescent="0.3">
      <c r="A62" s="130" t="s">
        <v>56</v>
      </c>
      <c r="B62" s="225"/>
      <c r="C62" s="225"/>
      <c r="D62" s="197"/>
      <c r="E62" s="196"/>
      <c r="F62" s="197"/>
      <c r="G62" s="197"/>
      <c r="H62" s="198"/>
      <c r="I62" s="126"/>
      <c r="J62" s="126"/>
    </row>
    <row r="63" spans="1:10" s="124" customFormat="1" ht="12" customHeight="1" x14ac:dyDescent="0.3">
      <c r="A63" s="132" t="s">
        <v>57</v>
      </c>
      <c r="B63" s="226" t="s">
        <v>58</v>
      </c>
      <c r="C63" s="218"/>
      <c r="D63" s="227" t="s">
        <v>59</v>
      </c>
      <c r="E63" s="131"/>
      <c r="F63" s="126"/>
      <c r="G63" s="199" t="s">
        <v>146</v>
      </c>
      <c r="H63" s="180" t="s">
        <v>147</v>
      </c>
      <c r="I63" s="131">
        <v>25</v>
      </c>
      <c r="J63" s="126"/>
    </row>
    <row r="64" spans="1:10" s="124" customFormat="1" ht="12" customHeight="1" x14ac:dyDescent="0.25">
      <c r="A64" s="133" t="s">
        <v>62</v>
      </c>
      <c r="B64" s="219">
        <v>314686.51772419503</v>
      </c>
      <c r="C64" s="218"/>
      <c r="D64" s="219">
        <v>69201.680689977453</v>
      </c>
      <c r="E64" s="131"/>
      <c r="F64" s="126"/>
      <c r="G64" s="183" t="s">
        <v>148</v>
      </c>
      <c r="H64" s="1165">
        <f>'2016-17 Funding Detail'!$F$17</f>
        <v>164817</v>
      </c>
      <c r="I64" s="126"/>
      <c r="J64" s="126"/>
    </row>
    <row r="65" spans="1:11" s="124" customFormat="1" ht="12" customHeight="1" x14ac:dyDescent="0.25">
      <c r="A65" s="133" t="s">
        <v>65</v>
      </c>
      <c r="B65" s="219">
        <v>405763.82046267512</v>
      </c>
      <c r="C65" s="218"/>
      <c r="D65" s="219">
        <v>88790.687513148558</v>
      </c>
      <c r="E65" s="131"/>
      <c r="F65" s="126"/>
      <c r="G65" s="183" t="s">
        <v>149</v>
      </c>
      <c r="H65" s="1165">
        <f>'2016-17 Funding Detail'!$F$18</f>
        <v>233134</v>
      </c>
      <c r="I65" s="126"/>
      <c r="J65" s="126"/>
    </row>
    <row r="66" spans="1:11" s="124" customFormat="1" ht="12" customHeight="1" x14ac:dyDescent="0.25">
      <c r="A66" s="133" t="s">
        <v>68</v>
      </c>
      <c r="B66" s="219">
        <v>418723.18610831723</v>
      </c>
      <c r="C66" s="218"/>
      <c r="D66" s="219">
        <v>117027.3922528728</v>
      </c>
      <c r="E66" s="131"/>
      <c r="F66" s="126"/>
      <c r="G66" s="183" t="s">
        <v>150</v>
      </c>
      <c r="H66" s="1165">
        <f>'2016-17 Funding Detail'!$F$19</f>
        <v>206948</v>
      </c>
      <c r="I66" s="126"/>
      <c r="J66" s="126"/>
    </row>
    <row r="67" spans="1:11" s="124" customFormat="1" ht="12" customHeight="1" x14ac:dyDescent="0.25">
      <c r="A67" s="410" t="s">
        <v>151</v>
      </c>
      <c r="B67" s="219">
        <v>493762.11190507573</v>
      </c>
      <c r="C67" s="218"/>
      <c r="D67" s="219">
        <v>131719.7894229154</v>
      </c>
      <c r="E67" s="131"/>
      <c r="F67" s="126"/>
      <c r="G67" s="183" t="s">
        <v>152</v>
      </c>
      <c r="H67" s="1165">
        <f>'2016-17 Funding Detail'!$F$20</f>
        <v>254108</v>
      </c>
      <c r="I67" s="126"/>
      <c r="J67" s="126"/>
    </row>
    <row r="68" spans="1:11" s="124" customFormat="1" ht="12" customHeight="1" x14ac:dyDescent="0.25">
      <c r="A68" s="136" t="s">
        <v>74</v>
      </c>
      <c r="B68" s="228">
        <v>280697.16623783787</v>
      </c>
      <c r="C68" s="218"/>
      <c r="D68" s="228">
        <v>55663.058379368813</v>
      </c>
      <c r="E68" s="131"/>
      <c r="F68" s="126"/>
      <c r="G68" s="126"/>
      <c r="H68" s="200"/>
      <c r="I68" s="126"/>
      <c r="J68" s="126"/>
    </row>
    <row r="69" spans="1:11" s="124" customFormat="1" ht="12" customHeight="1" thickBot="1" x14ac:dyDescent="0.3">
      <c r="A69" s="181" t="s">
        <v>77</v>
      </c>
      <c r="B69" s="229">
        <v>360067.26321081078</v>
      </c>
      <c r="C69" s="223"/>
      <c r="D69" s="229">
        <v>58044.118057617408</v>
      </c>
      <c r="E69" s="201"/>
      <c r="F69" s="202"/>
      <c r="G69" s="202"/>
      <c r="H69" s="203"/>
      <c r="I69" s="126"/>
      <c r="J69" s="126"/>
    </row>
    <row r="70" spans="1:11" s="124" customFormat="1" ht="12" customHeight="1" x14ac:dyDescent="0.25">
      <c r="A70" s="131"/>
      <c r="B70" s="137"/>
      <c r="C70" s="137"/>
      <c r="D70" s="126"/>
      <c r="E70" s="131"/>
      <c r="F70" s="126"/>
      <c r="G70" s="126"/>
      <c r="H70" s="126"/>
      <c r="I70" s="126"/>
      <c r="J70" s="126"/>
    </row>
    <row r="71" spans="1:11" s="124" customFormat="1" ht="12" customHeight="1" x14ac:dyDescent="0.25">
      <c r="B71" s="126"/>
      <c r="D71" s="126"/>
      <c r="E71" s="131"/>
      <c r="F71" s="126"/>
      <c r="G71" s="126"/>
      <c r="H71" s="126"/>
      <c r="I71" s="126"/>
      <c r="J71" s="126"/>
    </row>
    <row r="72" spans="1:11" s="124" customFormat="1" ht="12" customHeight="1" x14ac:dyDescent="0.25">
      <c r="D72" s="126"/>
      <c r="E72" s="126"/>
      <c r="F72" s="126"/>
      <c r="G72" s="126"/>
      <c r="H72" s="126"/>
      <c r="I72" s="126"/>
      <c r="J72" s="126"/>
    </row>
    <row r="73" spans="1:11" s="124" customFormat="1" ht="12" customHeight="1" x14ac:dyDescent="0.25">
      <c r="A73" s="1431" t="s">
        <v>399</v>
      </c>
      <c r="B73" s="1431"/>
      <c r="C73" s="1431"/>
      <c r="D73" s="1431"/>
      <c r="E73" s="1431"/>
      <c r="F73" s="126"/>
      <c r="G73" s="1431" t="s">
        <v>400</v>
      </c>
      <c r="H73" s="1431"/>
      <c r="I73" s="1431"/>
      <c r="J73" s="307"/>
      <c r="K73" s="307"/>
    </row>
    <row r="74" spans="1:11" s="124" customFormat="1" x14ac:dyDescent="0.25">
      <c r="A74" s="1431"/>
      <c r="B74" s="1431"/>
      <c r="C74" s="1431"/>
      <c r="D74" s="1431"/>
      <c r="E74" s="1431"/>
      <c r="F74" s="126"/>
      <c r="G74" s="1431"/>
      <c r="H74" s="1431"/>
      <c r="I74" s="1431"/>
      <c r="J74" s="307"/>
      <c r="K74" s="307"/>
    </row>
    <row r="75" spans="1:11" s="124" customFormat="1" ht="12" customHeight="1" x14ac:dyDescent="0.25">
      <c r="A75" s="1431"/>
      <c r="B75" s="1431"/>
      <c r="C75" s="1431"/>
      <c r="D75" s="1431"/>
      <c r="E75" s="1431"/>
      <c r="F75" s="126"/>
      <c r="G75" s="1431"/>
      <c r="H75" s="1431"/>
      <c r="I75" s="1431"/>
      <c r="J75" s="126"/>
    </row>
    <row r="76" spans="1:11" s="124" customFormat="1" x14ac:dyDescent="0.25">
      <c r="A76" s="1431"/>
      <c r="B76" s="1431"/>
      <c r="C76" s="1431"/>
      <c r="D76" s="1431"/>
      <c r="E76" s="1431"/>
      <c r="F76" s="126"/>
      <c r="G76" s="1431"/>
      <c r="H76" s="1431"/>
      <c r="I76" s="1431"/>
      <c r="J76" s="126"/>
    </row>
    <row r="77" spans="1:11" s="124" customFormat="1" x14ac:dyDescent="0.25">
      <c r="A77" s="1431"/>
      <c r="B77" s="1431"/>
      <c r="C77" s="1431"/>
      <c r="D77" s="1431"/>
      <c r="E77" s="1431"/>
      <c r="F77" s="126"/>
      <c r="G77" s="1431"/>
      <c r="H77" s="1431"/>
      <c r="I77" s="1431"/>
      <c r="J77" s="126"/>
    </row>
    <row r="78" spans="1:11" s="124" customFormat="1" ht="12" customHeight="1" x14ac:dyDescent="0.25">
      <c r="D78" s="126"/>
      <c r="E78" s="126"/>
      <c r="F78" s="126"/>
      <c r="H78" s="1129"/>
      <c r="I78" s="1129"/>
      <c r="J78" s="126"/>
    </row>
    <row r="79" spans="1:11" s="124" customFormat="1" ht="12" customHeight="1" x14ac:dyDescent="0.25">
      <c r="A79" s="1431" t="s">
        <v>401</v>
      </c>
      <c r="B79" s="1431"/>
      <c r="C79" s="1431"/>
      <c r="D79" s="1431"/>
      <c r="E79" s="1431"/>
      <c r="F79" s="1129"/>
      <c r="G79" s="1431" t="s">
        <v>402</v>
      </c>
      <c r="H79" s="1431"/>
      <c r="I79" s="1431"/>
      <c r="J79" s="126"/>
    </row>
    <row r="80" spans="1:11" s="124" customFormat="1" ht="12" customHeight="1" x14ac:dyDescent="0.25">
      <c r="A80" s="1431"/>
      <c r="B80" s="1431"/>
      <c r="C80" s="1431"/>
      <c r="D80" s="1431"/>
      <c r="E80" s="1431"/>
      <c r="F80" s="1129"/>
      <c r="G80" s="1431"/>
      <c r="H80" s="1431"/>
      <c r="I80" s="1431"/>
      <c r="J80" s="126"/>
    </row>
    <row r="81" spans="1:10" s="124" customFormat="1" ht="12" customHeight="1" x14ac:dyDescent="0.25">
      <c r="A81" s="1431"/>
      <c r="B81" s="1431"/>
      <c r="C81" s="1431"/>
      <c r="D81" s="1431"/>
      <c r="E81" s="1431"/>
      <c r="F81" s="1129"/>
      <c r="G81" s="1431"/>
      <c r="H81" s="1431"/>
      <c r="I81" s="1431"/>
      <c r="J81" s="126"/>
    </row>
    <row r="82" spans="1:10" s="124" customFormat="1" ht="12" customHeight="1" x14ac:dyDescent="0.25">
      <c r="A82" s="1431"/>
      <c r="B82" s="1431"/>
      <c r="C82" s="1431"/>
      <c r="D82" s="1431"/>
      <c r="E82" s="1431"/>
      <c r="F82" s="1129"/>
      <c r="G82" s="1431"/>
      <c r="H82" s="1431"/>
      <c r="I82" s="1431"/>
      <c r="J82" s="126"/>
    </row>
    <row r="83" spans="1:10" s="124" customFormat="1" ht="12" customHeight="1" x14ac:dyDescent="0.25">
      <c r="A83" s="1431"/>
      <c r="B83" s="1431"/>
      <c r="C83" s="1431"/>
      <c r="D83" s="1431"/>
      <c r="E83" s="1431"/>
      <c r="F83" s="1129"/>
      <c r="H83" s="307"/>
      <c r="I83" s="307"/>
      <c r="J83" s="126"/>
    </row>
    <row r="84" spans="1:10" s="124" customFormat="1" ht="12" customHeight="1" x14ac:dyDescent="0.25">
      <c r="A84" s="1431"/>
      <c r="B84" s="1431"/>
      <c r="C84" s="1431"/>
      <c r="D84" s="1431"/>
      <c r="E84" s="1431"/>
      <c r="F84" s="1129"/>
      <c r="G84" s="1431" t="s">
        <v>403</v>
      </c>
      <c r="H84" s="1431"/>
      <c r="I84" s="1431"/>
      <c r="J84" s="126"/>
    </row>
    <row r="85" spans="1:10" s="124" customFormat="1" ht="12" customHeight="1" x14ac:dyDescent="0.25">
      <c r="A85" s="1431"/>
      <c r="B85" s="1431"/>
      <c r="C85" s="1431"/>
      <c r="D85" s="1431"/>
      <c r="E85" s="1431"/>
      <c r="F85" s="1129"/>
      <c r="G85" s="1431"/>
      <c r="H85" s="1431"/>
      <c r="I85" s="1431"/>
      <c r="J85" s="126"/>
    </row>
    <row r="86" spans="1:10" s="124" customFormat="1" ht="12" customHeight="1" x14ac:dyDescent="0.25">
      <c r="A86" s="1431"/>
      <c r="B86" s="1431"/>
      <c r="C86" s="1431"/>
      <c r="D86" s="1431"/>
      <c r="E86" s="1431"/>
      <c r="F86" s="1129"/>
      <c r="G86" s="1431"/>
      <c r="H86" s="1431"/>
      <c r="I86" s="1431"/>
      <c r="J86" s="126"/>
    </row>
    <row r="87" spans="1:10" s="124" customFormat="1" ht="12" customHeight="1" x14ac:dyDescent="0.25">
      <c r="A87" s="1431"/>
      <c r="B87" s="1431"/>
      <c r="C87" s="1431"/>
      <c r="D87" s="1431"/>
      <c r="E87" s="1431"/>
      <c r="F87" s="1129"/>
      <c r="G87" s="1431"/>
      <c r="H87" s="1431"/>
      <c r="I87" s="1431"/>
      <c r="J87" s="126"/>
    </row>
    <row r="88" spans="1:10" s="124" customFormat="1" ht="12" customHeight="1" x14ac:dyDescent="0.25">
      <c r="A88" s="1431"/>
      <c r="B88" s="1431"/>
      <c r="C88" s="1431"/>
      <c r="D88" s="1431"/>
      <c r="E88" s="1431"/>
      <c r="F88" s="1129"/>
      <c r="G88" s="1431"/>
      <c r="H88" s="1431"/>
      <c r="I88" s="1431"/>
      <c r="J88" s="126"/>
    </row>
    <row r="89" spans="1:10" s="124" customFormat="1" ht="12" customHeight="1" x14ac:dyDescent="0.25">
      <c r="A89" s="1431"/>
      <c r="B89" s="1431"/>
      <c r="C89" s="1431"/>
      <c r="D89" s="1431"/>
      <c r="E89" s="1431"/>
      <c r="F89" s="1129"/>
      <c r="G89" s="1431"/>
      <c r="H89" s="1431"/>
      <c r="I89" s="1431"/>
      <c r="J89" s="126"/>
    </row>
    <row r="90" spans="1:10" s="124" customFormat="1" ht="12" customHeight="1" x14ac:dyDescent="0.25">
      <c r="A90" s="1431"/>
      <c r="B90" s="1431"/>
      <c r="C90" s="1431"/>
      <c r="D90" s="1431"/>
      <c r="E90" s="1431"/>
      <c r="F90" s="1129"/>
      <c r="G90" s="1431"/>
      <c r="H90" s="1431"/>
      <c r="I90" s="1431"/>
      <c r="J90" s="126"/>
    </row>
    <row r="91" spans="1:10" s="124" customFormat="1" ht="12" customHeight="1" x14ac:dyDescent="0.25">
      <c r="A91" s="1431"/>
      <c r="B91" s="1431"/>
      <c r="C91" s="1431"/>
      <c r="D91" s="1431"/>
      <c r="E91" s="1431"/>
      <c r="F91" s="1129"/>
      <c r="H91" s="126"/>
      <c r="I91" s="126"/>
      <c r="J91" s="126"/>
    </row>
    <row r="92" spans="1:10" s="124" customFormat="1" ht="12" customHeight="1" x14ac:dyDescent="0.25">
      <c r="A92" s="1431"/>
      <c r="B92" s="1431"/>
      <c r="C92" s="1431"/>
      <c r="D92" s="1431"/>
      <c r="E92" s="1431"/>
      <c r="F92" s="1129"/>
      <c r="G92" s="1431" t="s">
        <v>404</v>
      </c>
      <c r="H92" s="1431"/>
      <c r="I92" s="1431"/>
      <c r="J92" s="126"/>
    </row>
    <row r="93" spans="1:10" s="124" customFormat="1" ht="12" customHeight="1" x14ac:dyDescent="0.25">
      <c r="A93" s="1431"/>
      <c r="B93" s="1431"/>
      <c r="C93" s="1431"/>
      <c r="D93" s="1431"/>
      <c r="E93" s="1431"/>
      <c r="F93" s="1129"/>
      <c r="G93" s="1431"/>
      <c r="H93" s="1431"/>
      <c r="I93" s="1431"/>
    </row>
    <row r="94" spans="1:10" s="124" customFormat="1" ht="12" customHeight="1" x14ac:dyDescent="0.25">
      <c r="A94" s="1431"/>
      <c r="B94" s="1431"/>
      <c r="C94" s="1431"/>
      <c r="D94" s="1431"/>
      <c r="E94" s="1431"/>
      <c r="F94" s="1129"/>
      <c r="G94" s="1431"/>
      <c r="H94" s="1431"/>
      <c r="I94" s="1431"/>
    </row>
    <row r="95" spans="1:10" s="124" customFormat="1" ht="12" customHeight="1" x14ac:dyDescent="0.25">
      <c r="A95" s="1431"/>
      <c r="B95" s="1431"/>
      <c r="C95" s="1431"/>
      <c r="D95" s="1431"/>
      <c r="E95" s="1431"/>
      <c r="F95" s="1129"/>
      <c r="H95" s="329"/>
      <c r="I95" s="329"/>
      <c r="J95" s="126"/>
    </row>
    <row r="96" spans="1:10" s="124" customFormat="1" ht="12" customHeight="1" x14ac:dyDescent="0.25">
      <c r="A96" s="1431"/>
      <c r="B96" s="1431"/>
      <c r="C96" s="1431"/>
      <c r="D96" s="1431"/>
      <c r="E96" s="1431"/>
      <c r="F96" s="1129"/>
      <c r="G96" s="1431" t="s">
        <v>405</v>
      </c>
      <c r="H96" s="1431"/>
      <c r="I96" s="1431"/>
      <c r="J96" s="126"/>
    </row>
    <row r="97" spans="1:10" s="124" customFormat="1" ht="12" customHeight="1" x14ac:dyDescent="0.25">
      <c r="A97" s="1431"/>
      <c r="B97" s="1431"/>
      <c r="C97" s="1431"/>
      <c r="D97" s="1431"/>
      <c r="E97" s="1431"/>
      <c r="F97" s="1129"/>
      <c r="G97" s="1431"/>
      <c r="H97" s="1431"/>
      <c r="I97" s="1431"/>
      <c r="J97" s="126"/>
    </row>
    <row r="98" spans="1:10" s="124" customFormat="1" ht="12" customHeight="1" x14ac:dyDescent="0.25">
      <c r="A98" s="1431"/>
      <c r="B98" s="1431"/>
      <c r="C98" s="1431"/>
      <c r="D98" s="1431"/>
      <c r="E98" s="1431"/>
      <c r="F98" s="1129"/>
      <c r="G98" s="1431"/>
      <c r="H98" s="1431"/>
      <c r="I98" s="1431"/>
      <c r="J98" s="126"/>
    </row>
    <row r="99" spans="1:10" s="124" customFormat="1" ht="12" customHeight="1" x14ac:dyDescent="0.25">
      <c r="A99" s="1431"/>
      <c r="B99" s="1431"/>
      <c r="C99" s="1431"/>
      <c r="D99" s="1431"/>
      <c r="E99" s="1431"/>
      <c r="F99" s="1129"/>
      <c r="G99" s="1431"/>
      <c r="H99" s="1431"/>
      <c r="I99" s="1431"/>
      <c r="J99" s="126"/>
    </row>
    <row r="100" spans="1:10" s="124" customFormat="1" ht="12" customHeight="1" x14ac:dyDescent="0.25">
      <c r="A100" s="1431"/>
      <c r="B100" s="1431"/>
      <c r="C100" s="1431"/>
      <c r="D100" s="1431"/>
      <c r="E100" s="1431"/>
      <c r="F100" s="1129"/>
      <c r="G100" s="1431"/>
      <c r="H100" s="1431"/>
      <c r="I100" s="1431"/>
      <c r="J100" s="126"/>
    </row>
    <row r="101" spans="1:10" s="124" customFormat="1" ht="12" customHeight="1" x14ac:dyDescent="0.25">
      <c r="A101" s="1431"/>
      <c r="B101" s="1431"/>
      <c r="C101" s="1431"/>
      <c r="D101" s="1431"/>
      <c r="E101" s="1431"/>
      <c r="F101" s="1129"/>
      <c r="G101" s="311"/>
      <c r="H101" s="311"/>
      <c r="I101" s="311"/>
      <c r="J101" s="126"/>
    </row>
    <row r="102" spans="1:10" s="124" customFormat="1" ht="12" customHeight="1" x14ac:dyDescent="0.25">
      <c r="A102" s="1431"/>
      <c r="B102" s="1431"/>
      <c r="C102" s="1431"/>
      <c r="D102" s="1431"/>
      <c r="E102" s="1431"/>
      <c r="F102" s="1129"/>
      <c r="G102" s="1431" t="s">
        <v>406</v>
      </c>
      <c r="H102" s="1431"/>
      <c r="I102" s="1431"/>
      <c r="J102" s="126"/>
    </row>
    <row r="103" spans="1:10" s="124" customFormat="1" ht="12" customHeight="1" x14ac:dyDescent="0.25">
      <c r="A103" s="1431"/>
      <c r="B103" s="1431"/>
      <c r="C103" s="1431"/>
      <c r="D103" s="1431"/>
      <c r="E103" s="1431"/>
      <c r="F103" s="1129"/>
      <c r="G103" s="1431"/>
      <c r="H103" s="1431"/>
      <c r="I103" s="1431"/>
      <c r="J103" s="126"/>
    </row>
    <row r="104" spans="1:10" s="124" customFormat="1" ht="12" customHeight="1" x14ac:dyDescent="0.25">
      <c r="A104" s="1431" t="s">
        <v>164</v>
      </c>
      <c r="B104" s="1431"/>
      <c r="C104" s="1431"/>
      <c r="D104" s="1431"/>
      <c r="E104" s="1431"/>
      <c r="F104" s="1129"/>
      <c r="G104" s="1431"/>
      <c r="H104" s="1431"/>
      <c r="I104" s="1431"/>
      <c r="J104" s="126"/>
    </row>
    <row r="105" spans="1:10" s="124" customFormat="1" ht="12" customHeight="1" x14ac:dyDescent="0.25">
      <c r="A105" s="1431"/>
      <c r="B105" s="1431"/>
      <c r="C105" s="1431"/>
      <c r="D105" s="1431"/>
      <c r="E105" s="1431"/>
      <c r="F105" s="1129"/>
      <c r="H105" s="126"/>
      <c r="I105" s="126"/>
      <c r="J105" s="126"/>
    </row>
    <row r="106" spans="1:10" s="124" customFormat="1" ht="12" customHeight="1" x14ac:dyDescent="0.25">
      <c r="A106" s="1431"/>
      <c r="B106" s="1431"/>
      <c r="C106" s="1431"/>
      <c r="D106" s="1431"/>
      <c r="E106" s="1431"/>
      <c r="F106" s="1129"/>
      <c r="G106" s="1431" t="s">
        <v>407</v>
      </c>
      <c r="H106" s="1431"/>
      <c r="I106" s="1431"/>
      <c r="J106" s="126"/>
    </row>
    <row r="107" spans="1:10" s="124" customFormat="1" ht="12" customHeight="1" x14ac:dyDescent="0.25">
      <c r="A107" s="1431"/>
      <c r="B107" s="1431"/>
      <c r="C107" s="1431"/>
      <c r="D107" s="1431"/>
      <c r="E107" s="1431"/>
      <c r="F107" s="1129"/>
      <c r="G107" s="1431"/>
      <c r="H107" s="1431"/>
      <c r="I107" s="1431"/>
      <c r="J107" s="126"/>
    </row>
    <row r="108" spans="1:10" s="124" customFormat="1" ht="12" customHeight="1" x14ac:dyDescent="0.25">
      <c r="F108" s="1129"/>
      <c r="G108" s="1431"/>
      <c r="H108" s="1431"/>
      <c r="I108" s="1431"/>
      <c r="J108" s="126"/>
    </row>
    <row r="109" spans="1:10" s="124" customFormat="1" ht="12" customHeight="1" x14ac:dyDescent="0.25">
      <c r="A109" s="1431" t="s">
        <v>408</v>
      </c>
      <c r="B109" s="1431"/>
      <c r="C109" s="1431"/>
      <c r="D109" s="1431"/>
      <c r="E109" s="1431"/>
      <c r="F109" s="1129"/>
      <c r="H109" s="1129"/>
      <c r="I109" s="1129"/>
      <c r="J109" s="126"/>
    </row>
    <row r="110" spans="1:10" s="124" customFormat="1" ht="12.75" customHeight="1" x14ac:dyDescent="0.25">
      <c r="A110" s="1431"/>
      <c r="B110" s="1431"/>
      <c r="C110" s="1431"/>
      <c r="D110" s="1431"/>
      <c r="E110" s="1431"/>
      <c r="F110" s="1129"/>
      <c r="G110" s="1431" t="s">
        <v>163</v>
      </c>
      <c r="H110" s="1431"/>
      <c r="I110" s="1431"/>
      <c r="J110" s="126"/>
    </row>
    <row r="111" spans="1:10" s="124" customFormat="1" ht="12.75" customHeight="1" x14ac:dyDescent="0.25">
      <c r="A111" s="1431"/>
      <c r="B111" s="1431"/>
      <c r="C111" s="1431"/>
      <c r="D111" s="1431"/>
      <c r="E111" s="1431"/>
      <c r="F111" s="1129"/>
      <c r="G111" s="1431"/>
      <c r="H111" s="1431"/>
      <c r="I111" s="1431"/>
      <c r="J111" s="126"/>
    </row>
    <row r="112" spans="1:10" s="124" customFormat="1" ht="12.75" customHeight="1" x14ac:dyDescent="0.25">
      <c r="A112" s="1129"/>
      <c r="B112" s="1129"/>
      <c r="C112" s="1129"/>
      <c r="D112" s="1129"/>
      <c r="E112" s="1129"/>
      <c r="F112" s="1129"/>
      <c r="G112" s="1431"/>
      <c r="H112" s="1431"/>
      <c r="I112" s="1431"/>
      <c r="J112" s="126"/>
    </row>
    <row r="113" spans="1:10" s="124" customFormat="1" ht="12.75" customHeight="1" x14ac:dyDescent="0.25">
      <c r="A113" s="1431" t="s">
        <v>409</v>
      </c>
      <c r="B113" s="1431"/>
      <c r="C113" s="1431"/>
      <c r="D113" s="1431"/>
      <c r="E113" s="1431"/>
      <c r="F113" s="1129"/>
      <c r="G113" s="126"/>
      <c r="H113" s="126"/>
      <c r="I113" s="126"/>
      <c r="J113" s="126"/>
    </row>
    <row r="114" spans="1:10" s="124" customFormat="1" x14ac:dyDescent="0.25">
      <c r="A114" s="1431"/>
      <c r="B114" s="1431"/>
      <c r="C114" s="1431"/>
      <c r="D114" s="1431"/>
      <c r="E114" s="1431"/>
      <c r="F114" s="1129"/>
      <c r="G114" s="1431" t="s">
        <v>165</v>
      </c>
      <c r="H114" s="1431"/>
      <c r="I114" s="1431"/>
      <c r="J114" s="126"/>
    </row>
    <row r="115" spans="1:10" s="124" customFormat="1" ht="12.75" customHeight="1" x14ac:dyDescent="0.25">
      <c r="A115" s="1431"/>
      <c r="B115" s="1431"/>
      <c r="C115" s="1431"/>
      <c r="D115" s="1431"/>
      <c r="E115" s="1431"/>
      <c r="F115" s="1129"/>
      <c r="G115" s="1431"/>
      <c r="H115" s="1431"/>
      <c r="I115" s="1431"/>
      <c r="J115" s="126"/>
    </row>
    <row r="116" spans="1:10" s="124" customFormat="1" ht="12.75" customHeight="1" x14ac:dyDescent="0.25">
      <c r="A116" s="1431"/>
      <c r="B116" s="1431"/>
      <c r="C116" s="1431"/>
      <c r="D116" s="1431"/>
      <c r="E116" s="1431"/>
      <c r="F116" s="1129"/>
      <c r="G116" s="1431"/>
      <c r="H116" s="1431"/>
      <c r="I116" s="1431"/>
      <c r="J116" s="126"/>
    </row>
    <row r="117" spans="1:10" s="124" customFormat="1" x14ac:dyDescent="0.25">
      <c r="A117" s="1431"/>
      <c r="B117" s="1431"/>
      <c r="C117" s="1431"/>
      <c r="D117" s="1431"/>
      <c r="E117" s="1431"/>
      <c r="F117" s="1129"/>
      <c r="G117" s="1431"/>
      <c r="H117" s="1431"/>
      <c r="I117" s="1431"/>
      <c r="J117" s="126"/>
    </row>
    <row r="118" spans="1:10" s="124" customFormat="1" ht="12.75" customHeight="1" x14ac:dyDescent="0.25">
      <c r="B118" s="311"/>
      <c r="C118" s="311"/>
      <c r="D118" s="311"/>
      <c r="E118" s="311"/>
      <c r="F118" s="1151"/>
      <c r="G118" s="1431"/>
      <c r="H118" s="1431"/>
      <c r="I118" s="1431"/>
      <c r="J118" s="126"/>
    </row>
    <row r="119" spans="1:10" s="124" customFormat="1" ht="12.75" customHeight="1" x14ac:dyDescent="0.25">
      <c r="A119" s="1431" t="s">
        <v>410</v>
      </c>
      <c r="B119" s="1431"/>
      <c r="C119" s="1431"/>
      <c r="D119" s="1431"/>
      <c r="E119" s="1431"/>
      <c r="F119" s="1151"/>
      <c r="G119" s="1431"/>
      <c r="H119" s="1431"/>
      <c r="I119" s="1431"/>
      <c r="J119" s="126"/>
    </row>
    <row r="120" spans="1:10" s="124" customFormat="1" ht="12.75" customHeight="1" x14ac:dyDescent="0.25">
      <c r="A120" s="1431"/>
      <c r="B120" s="1431"/>
      <c r="C120" s="1431"/>
      <c r="D120" s="1431"/>
      <c r="E120" s="1431"/>
      <c r="F120" s="126"/>
      <c r="G120" s="1431"/>
      <c r="H120" s="1431"/>
      <c r="I120" s="1431"/>
      <c r="J120" s="126"/>
    </row>
    <row r="121" spans="1:10" s="124" customFormat="1" x14ac:dyDescent="0.25">
      <c r="A121" s="1431"/>
      <c r="B121" s="1431"/>
      <c r="C121" s="1431"/>
      <c r="D121" s="1431"/>
      <c r="E121" s="1431"/>
      <c r="F121" s="126"/>
      <c r="G121" s="1431"/>
      <c r="H121" s="1431"/>
      <c r="I121" s="1431"/>
      <c r="J121" s="126"/>
    </row>
    <row r="122" spans="1:10" s="124" customFormat="1" ht="12.75" customHeight="1" x14ac:dyDescent="0.25">
      <c r="A122" s="308"/>
      <c r="B122" s="311"/>
      <c r="C122" s="311"/>
      <c r="D122" s="311"/>
      <c r="E122" s="311"/>
      <c r="F122" s="126"/>
      <c r="G122" s="1431"/>
      <c r="H122" s="1431"/>
      <c r="I122" s="1431"/>
      <c r="J122" s="126"/>
    </row>
    <row r="123" spans="1:10" s="124" customFormat="1" ht="12.75" customHeight="1" x14ac:dyDescent="0.25">
      <c r="A123" s="1431" t="s">
        <v>171</v>
      </c>
      <c r="B123" s="1431"/>
      <c r="C123" s="1431"/>
      <c r="D123" s="1431"/>
      <c r="E123" s="1431"/>
      <c r="F123" s="126"/>
      <c r="H123" s="126"/>
      <c r="I123" s="126"/>
      <c r="J123" s="126"/>
    </row>
    <row r="124" spans="1:10" s="124" customFormat="1" ht="12.75" customHeight="1" x14ac:dyDescent="0.25">
      <c r="A124" s="1431"/>
      <c r="B124" s="1431"/>
      <c r="C124" s="1431"/>
      <c r="D124" s="1431"/>
      <c r="E124" s="1431"/>
      <c r="F124" s="126"/>
      <c r="G124" s="1431" t="s">
        <v>411</v>
      </c>
      <c r="H124" s="1431"/>
      <c r="I124" s="1431"/>
      <c r="J124" s="126"/>
    </row>
    <row r="125" spans="1:10" s="124" customFormat="1" ht="12.75" customHeight="1" x14ac:dyDescent="0.25">
      <c r="A125" s="1431"/>
      <c r="B125" s="1431"/>
      <c r="C125" s="1431"/>
      <c r="D125" s="1431"/>
      <c r="E125" s="1431"/>
      <c r="F125" s="126"/>
      <c r="G125" s="1431"/>
      <c r="H125" s="1431"/>
      <c r="I125" s="1431"/>
      <c r="J125" s="126"/>
    </row>
    <row r="126" spans="1:10" s="124" customFormat="1" ht="12.75" customHeight="1" x14ac:dyDescent="0.25">
      <c r="B126" s="311"/>
      <c r="C126" s="311"/>
      <c r="D126" s="311"/>
      <c r="E126" s="311"/>
      <c r="F126" s="1129"/>
      <c r="G126" s="1431"/>
      <c r="H126" s="1431"/>
      <c r="I126" s="1431"/>
      <c r="J126" s="126"/>
    </row>
    <row r="127" spans="1:10" s="124" customFormat="1" ht="12.75" customHeight="1" x14ac:dyDescent="0.25">
      <c r="A127" s="1431" t="s">
        <v>172</v>
      </c>
      <c r="B127" s="1431"/>
      <c r="C127" s="1431"/>
      <c r="D127" s="1431"/>
      <c r="E127" s="1431"/>
      <c r="F127" s="1129"/>
      <c r="G127" s="1431"/>
      <c r="H127" s="1431"/>
      <c r="I127" s="1431"/>
      <c r="J127" s="126"/>
    </row>
    <row r="128" spans="1:10" s="124" customFormat="1" ht="12.75" customHeight="1" x14ac:dyDescent="0.25">
      <c r="A128" s="1431"/>
      <c r="B128" s="1431"/>
      <c r="C128" s="1431"/>
      <c r="D128" s="1431"/>
      <c r="E128" s="1431"/>
      <c r="F128" s="307"/>
      <c r="J128" s="126"/>
    </row>
    <row r="129" spans="1:10" s="124" customFormat="1" x14ac:dyDescent="0.25">
      <c r="A129" s="1431"/>
      <c r="B129" s="1431"/>
      <c r="C129" s="1431"/>
      <c r="D129" s="1431"/>
      <c r="E129" s="1431"/>
      <c r="F129" s="311"/>
      <c r="G129" s="1431" t="s">
        <v>412</v>
      </c>
      <c r="H129" s="1431"/>
      <c r="I129" s="1431"/>
      <c r="J129" s="126"/>
    </row>
    <row r="130" spans="1:10" s="124" customFormat="1" ht="12.75" customHeight="1" x14ac:dyDescent="0.25">
      <c r="A130" s="308"/>
      <c r="B130" s="311"/>
      <c r="C130" s="311"/>
      <c r="D130" s="311"/>
      <c r="E130" s="311"/>
      <c r="F130" s="311"/>
      <c r="G130" s="1431"/>
      <c r="H130" s="1431"/>
      <c r="I130" s="1431"/>
      <c r="J130" s="126"/>
    </row>
    <row r="131" spans="1:10" s="124" customFormat="1" x14ac:dyDescent="0.25">
      <c r="A131" s="1431" t="s">
        <v>413</v>
      </c>
      <c r="B131" s="1431"/>
      <c r="C131" s="1431"/>
      <c r="D131" s="1431"/>
      <c r="E131" s="1431"/>
      <c r="F131" s="311"/>
      <c r="G131" s="1431"/>
      <c r="H131" s="1431"/>
      <c r="I131" s="1431"/>
      <c r="J131" s="126"/>
    </row>
    <row r="132" spans="1:10" s="124" customFormat="1" ht="12.75" customHeight="1" x14ac:dyDescent="0.25">
      <c r="A132" s="1431"/>
      <c r="B132" s="1431"/>
      <c r="C132" s="1431"/>
      <c r="D132" s="1431"/>
      <c r="E132" s="1431"/>
      <c r="F132" s="311"/>
      <c r="G132" s="1431"/>
      <c r="H132" s="1431"/>
      <c r="I132" s="1431"/>
      <c r="J132" s="126"/>
    </row>
    <row r="133" spans="1:10" s="124" customFormat="1" ht="12.75" customHeight="1" x14ac:dyDescent="0.25">
      <c r="A133" s="1431"/>
      <c r="B133" s="1431"/>
      <c r="C133" s="1431"/>
      <c r="D133" s="1431"/>
      <c r="E133" s="1431"/>
      <c r="F133" s="126"/>
      <c r="G133" s="1431"/>
      <c r="H133" s="1431"/>
      <c r="I133" s="1431"/>
      <c r="J133" s="126"/>
    </row>
    <row r="134" spans="1:10" s="124" customFormat="1" ht="12.75" customHeight="1" x14ac:dyDescent="0.25">
      <c r="A134" s="307"/>
      <c r="B134" s="311"/>
      <c r="C134" s="311"/>
      <c r="D134" s="311"/>
      <c r="E134" s="311"/>
      <c r="F134" s="126"/>
      <c r="G134" s="1431"/>
      <c r="H134" s="1431"/>
      <c r="I134" s="1431"/>
      <c r="J134" s="126"/>
    </row>
    <row r="135" spans="1:10" s="124" customFormat="1" ht="12.75" customHeight="1" x14ac:dyDescent="0.25">
      <c r="A135" s="1431" t="s">
        <v>414</v>
      </c>
      <c r="B135" s="1431"/>
      <c r="C135" s="1431"/>
      <c r="D135" s="1431"/>
      <c r="E135" s="1431"/>
      <c r="F135" s="126"/>
      <c r="G135" s="1431"/>
      <c r="H135" s="1431"/>
      <c r="I135" s="1431"/>
      <c r="J135" s="126"/>
    </row>
    <row r="136" spans="1:10" s="124" customFormat="1" ht="12.75" customHeight="1" x14ac:dyDescent="0.25">
      <c r="A136" s="1431"/>
      <c r="B136" s="1431"/>
      <c r="C136" s="1431"/>
      <c r="D136" s="1431"/>
      <c r="E136" s="1431"/>
      <c r="F136" s="126"/>
      <c r="G136" s="311"/>
      <c r="H136" s="311"/>
      <c r="I136" s="311"/>
      <c r="J136" s="126"/>
    </row>
    <row r="137" spans="1:10" s="124" customFormat="1" ht="12.75" customHeight="1" x14ac:dyDescent="0.25">
      <c r="A137" s="1431"/>
      <c r="B137" s="1431"/>
      <c r="C137" s="1431"/>
      <c r="D137" s="1431"/>
      <c r="E137" s="1431"/>
      <c r="F137" s="126"/>
      <c r="G137" s="1431" t="s">
        <v>415</v>
      </c>
      <c r="H137" s="1431"/>
      <c r="I137" s="1431"/>
      <c r="J137" s="126"/>
    </row>
    <row r="138" spans="1:10" s="124" customFormat="1" x14ac:dyDescent="0.25">
      <c r="A138" s="1431"/>
      <c r="B138" s="1431"/>
      <c r="C138" s="1431"/>
      <c r="D138" s="1431"/>
      <c r="E138" s="1431"/>
      <c r="F138" s="126"/>
      <c r="G138" s="1431"/>
      <c r="H138" s="1431"/>
      <c r="I138" s="1431"/>
      <c r="J138" s="126"/>
    </row>
    <row r="139" spans="1:10" s="124" customFormat="1" ht="12.75" customHeight="1" x14ac:dyDescent="0.25">
      <c r="A139" s="1431"/>
      <c r="B139" s="1431"/>
      <c r="C139" s="1431"/>
      <c r="D139" s="1431"/>
      <c r="E139" s="1431"/>
      <c r="F139" s="126"/>
      <c r="G139" s="1431"/>
      <c r="H139" s="1431"/>
      <c r="I139" s="1431"/>
      <c r="J139" s="126"/>
    </row>
    <row r="140" spans="1:10" s="124" customFormat="1" x14ac:dyDescent="0.25">
      <c r="A140" s="1431"/>
      <c r="B140" s="1431"/>
      <c r="C140" s="1431"/>
      <c r="D140" s="1431"/>
      <c r="E140" s="1431"/>
      <c r="F140" s="126"/>
      <c r="G140" s="1431"/>
      <c r="H140" s="1431"/>
      <c r="I140" s="1431"/>
      <c r="J140" s="126"/>
    </row>
    <row r="141" spans="1:10" s="124" customFormat="1" ht="12.75" customHeight="1" x14ac:dyDescent="0.25">
      <c r="A141" s="1431"/>
      <c r="B141" s="1431"/>
      <c r="C141" s="1431"/>
      <c r="D141" s="1431"/>
      <c r="E141" s="1431"/>
      <c r="F141" s="126"/>
      <c r="G141" s="1431"/>
      <c r="H141" s="1431"/>
      <c r="I141" s="1431"/>
      <c r="J141" s="126"/>
    </row>
    <row r="142" spans="1:10" s="124" customFormat="1" ht="12.75" customHeight="1" x14ac:dyDescent="0.25">
      <c r="F142" s="126"/>
      <c r="J142" s="126"/>
    </row>
    <row r="143" spans="1:10" s="124" customFormat="1" x14ac:dyDescent="0.25">
      <c r="A143" s="1431" t="s">
        <v>416</v>
      </c>
      <c r="B143" s="1431"/>
      <c r="C143" s="1431"/>
      <c r="D143" s="1431"/>
      <c r="E143" s="1431"/>
      <c r="F143" s="126"/>
      <c r="G143" s="1431" t="s">
        <v>417</v>
      </c>
      <c r="H143" s="1431"/>
      <c r="I143" s="1431"/>
      <c r="J143" s="126"/>
    </row>
    <row r="144" spans="1:10" s="124" customFormat="1" x14ac:dyDescent="0.25">
      <c r="A144" s="1431"/>
      <c r="B144" s="1431"/>
      <c r="C144" s="1431"/>
      <c r="D144" s="1431"/>
      <c r="E144" s="1431"/>
      <c r="F144" s="126"/>
      <c r="G144" s="1431"/>
      <c r="H144" s="1431"/>
      <c r="I144" s="1431"/>
      <c r="J144" s="126"/>
    </row>
    <row r="145" spans="1:10" s="124" customFormat="1" ht="12.75" customHeight="1" x14ac:dyDescent="0.25">
      <c r="A145" s="1431"/>
      <c r="B145" s="1431"/>
      <c r="C145" s="1431"/>
      <c r="D145" s="1431"/>
      <c r="E145" s="1431"/>
      <c r="F145" s="126"/>
      <c r="G145" s="1431"/>
      <c r="H145" s="1431"/>
      <c r="I145" s="1431"/>
      <c r="J145" s="126"/>
    </row>
    <row r="146" spans="1:10" s="124" customFormat="1" ht="12.75" customHeight="1" x14ac:dyDescent="0.25">
      <c r="A146" s="1431"/>
      <c r="B146" s="1431"/>
      <c r="C146" s="1431"/>
      <c r="D146" s="1431"/>
      <c r="E146" s="1431"/>
      <c r="F146" s="126"/>
      <c r="G146" s="1431"/>
      <c r="H146" s="1431"/>
      <c r="I146" s="1431"/>
      <c r="J146" s="126"/>
    </row>
    <row r="147" spans="1:10" s="124" customFormat="1" ht="12.75" customHeight="1" x14ac:dyDescent="0.25">
      <c r="A147" s="1431" t="s">
        <v>418</v>
      </c>
      <c r="B147" s="1431"/>
      <c r="C147" s="1431"/>
      <c r="D147" s="1431"/>
      <c r="E147" s="1431"/>
      <c r="F147" s="126"/>
      <c r="H147" s="311"/>
      <c r="I147" s="311"/>
      <c r="J147" s="126"/>
    </row>
    <row r="148" spans="1:10" s="124" customFormat="1" ht="12.75" customHeight="1" x14ac:dyDescent="0.25">
      <c r="A148" s="1431"/>
      <c r="B148" s="1431"/>
      <c r="C148" s="1431"/>
      <c r="D148" s="1431"/>
      <c r="E148" s="1431"/>
      <c r="F148" s="126"/>
      <c r="G148" s="1431" t="s">
        <v>419</v>
      </c>
      <c r="H148" s="1431"/>
      <c r="I148" s="1431"/>
      <c r="J148" s="126"/>
    </row>
    <row r="149" spans="1:10" s="124" customFormat="1" ht="12.75" customHeight="1" x14ac:dyDescent="0.25">
      <c r="A149" s="1431"/>
      <c r="B149" s="1431"/>
      <c r="C149" s="1431"/>
      <c r="D149" s="1431"/>
      <c r="E149" s="1431"/>
      <c r="F149" s="126"/>
      <c r="G149" s="1431"/>
      <c r="H149" s="1431"/>
      <c r="I149" s="1431"/>
      <c r="J149" s="126"/>
    </row>
    <row r="150" spans="1:10" s="124" customFormat="1" x14ac:dyDescent="0.25">
      <c r="A150" s="1431"/>
      <c r="B150" s="1431"/>
      <c r="C150" s="1431"/>
      <c r="D150" s="1431"/>
      <c r="E150" s="1431"/>
      <c r="F150" s="126"/>
      <c r="J150" s="126"/>
    </row>
    <row r="151" spans="1:10" s="124" customFormat="1" x14ac:dyDescent="0.25">
      <c r="F151" s="126"/>
      <c r="J151" s="126"/>
    </row>
    <row r="152" spans="1:10" s="124" customFormat="1" x14ac:dyDescent="0.25">
      <c r="F152" s="126"/>
      <c r="G152" s="311"/>
      <c r="H152" s="311"/>
      <c r="I152" s="311"/>
      <c r="J152" s="126"/>
    </row>
    <row r="153" spans="1:10" s="124" customFormat="1" x14ac:dyDescent="0.25">
      <c r="D153" s="126"/>
      <c r="E153" s="126"/>
      <c r="F153" s="126"/>
      <c r="J153" s="126"/>
    </row>
    <row r="154" spans="1:10" s="124" customFormat="1" x14ac:dyDescent="0.25">
      <c r="D154" s="126"/>
      <c r="E154" s="126"/>
      <c r="F154" s="126"/>
      <c r="J154" s="126"/>
    </row>
    <row r="155" spans="1:10" s="124" customFormat="1" x14ac:dyDescent="0.25">
      <c r="D155" s="126"/>
      <c r="E155" s="126"/>
      <c r="F155" s="126"/>
      <c r="J155" s="126"/>
    </row>
    <row r="156" spans="1:10" s="124" customFormat="1" x14ac:dyDescent="0.25">
      <c r="D156" s="126"/>
      <c r="E156" s="126"/>
      <c r="F156" s="126"/>
      <c r="G156" s="126"/>
      <c r="H156" s="126"/>
      <c r="I156" s="126"/>
      <c r="J156" s="126"/>
    </row>
    <row r="157" spans="1:10" s="124" customFormat="1" x14ac:dyDescent="0.25">
      <c r="D157" s="126"/>
      <c r="E157" s="126"/>
      <c r="F157" s="126"/>
      <c r="G157" s="126"/>
      <c r="H157" s="126"/>
      <c r="I157" s="126"/>
      <c r="J157" s="126"/>
    </row>
    <row r="158" spans="1:10" s="124" customFormat="1" x14ac:dyDescent="0.25">
      <c r="D158" s="126"/>
      <c r="E158" s="126"/>
      <c r="F158" s="126"/>
      <c r="G158" s="126"/>
      <c r="H158" s="126"/>
      <c r="I158" s="126"/>
      <c r="J158" s="126"/>
    </row>
    <row r="159" spans="1:10" s="124" customFormat="1" x14ac:dyDescent="0.25">
      <c r="D159" s="126"/>
      <c r="E159" s="126"/>
      <c r="F159" s="126"/>
      <c r="G159" s="126"/>
      <c r="H159" s="126"/>
      <c r="I159" s="126"/>
      <c r="J159" s="126"/>
    </row>
    <row r="160" spans="1:10" s="124" customFormat="1" x14ac:dyDescent="0.25">
      <c r="D160" s="126"/>
      <c r="E160" s="126"/>
      <c r="F160" s="126"/>
      <c r="G160" s="126"/>
      <c r="H160" s="126"/>
      <c r="I160" s="126"/>
      <c r="J160" s="126"/>
    </row>
    <row r="161" spans="4:10" s="124" customFormat="1" x14ac:dyDescent="0.25">
      <c r="D161" s="126"/>
      <c r="E161" s="126"/>
      <c r="F161" s="126"/>
      <c r="G161" s="126"/>
      <c r="H161" s="126"/>
      <c r="I161" s="126"/>
      <c r="J161" s="126"/>
    </row>
    <row r="162" spans="4:10" s="124" customFormat="1" x14ac:dyDescent="0.25">
      <c r="D162" s="126"/>
      <c r="E162" s="126"/>
      <c r="F162" s="126"/>
      <c r="G162" s="126"/>
      <c r="H162" s="126"/>
      <c r="I162" s="126"/>
      <c r="J162" s="126"/>
    </row>
    <row r="163" spans="4:10" s="124" customFormat="1" x14ac:dyDescent="0.25">
      <c r="D163" s="126"/>
      <c r="E163" s="126"/>
      <c r="F163" s="126"/>
      <c r="G163" s="126"/>
      <c r="H163" s="126"/>
      <c r="I163" s="126"/>
      <c r="J163" s="126"/>
    </row>
    <row r="164" spans="4:10" s="124" customFormat="1" x14ac:dyDescent="0.25">
      <c r="D164" s="126"/>
      <c r="E164" s="126"/>
      <c r="F164" s="126"/>
      <c r="G164" s="126"/>
      <c r="H164" s="126"/>
      <c r="I164" s="126"/>
      <c r="J164" s="126"/>
    </row>
    <row r="165" spans="4:10" s="124" customFormat="1" x14ac:dyDescent="0.25">
      <c r="D165" s="126"/>
      <c r="E165" s="126"/>
      <c r="F165" s="126"/>
      <c r="G165" s="126"/>
      <c r="H165" s="126"/>
      <c r="I165" s="126"/>
      <c r="J165" s="126"/>
    </row>
    <row r="166" spans="4:10" s="124" customFormat="1" x14ac:dyDescent="0.25">
      <c r="D166" s="126"/>
      <c r="E166" s="126"/>
      <c r="F166" s="126"/>
      <c r="G166" s="126"/>
      <c r="H166" s="126"/>
      <c r="I166" s="126"/>
      <c r="J166" s="126"/>
    </row>
    <row r="167" spans="4:10" s="124" customFormat="1" x14ac:dyDescent="0.25">
      <c r="D167" s="126"/>
      <c r="E167" s="126"/>
      <c r="F167" s="126"/>
      <c r="G167" s="126"/>
      <c r="H167" s="126"/>
      <c r="I167" s="126"/>
      <c r="J167" s="126"/>
    </row>
    <row r="168" spans="4:10" s="124" customFormat="1" x14ac:dyDescent="0.25">
      <c r="D168" s="126"/>
      <c r="E168" s="126"/>
      <c r="F168" s="126"/>
      <c r="G168" s="126"/>
      <c r="H168" s="126"/>
      <c r="I168" s="126"/>
      <c r="J168" s="126"/>
    </row>
    <row r="169" spans="4:10" s="124" customFormat="1" x14ac:dyDescent="0.25">
      <c r="D169" s="126"/>
      <c r="E169" s="126"/>
      <c r="F169" s="126"/>
      <c r="G169" s="126"/>
      <c r="H169" s="126"/>
      <c r="I169" s="126"/>
      <c r="J169" s="126"/>
    </row>
    <row r="170" spans="4:10" s="124" customFormat="1" x14ac:dyDescent="0.25">
      <c r="D170" s="126"/>
      <c r="E170" s="126"/>
      <c r="F170" s="126"/>
      <c r="G170" s="126"/>
      <c r="H170" s="126"/>
      <c r="I170" s="126"/>
      <c r="J170" s="126"/>
    </row>
    <row r="171" spans="4:10" s="124" customFormat="1" x14ac:dyDescent="0.25">
      <c r="D171" s="126"/>
      <c r="E171" s="126"/>
      <c r="F171" s="126"/>
      <c r="G171" s="126"/>
      <c r="H171" s="126"/>
      <c r="I171" s="126"/>
      <c r="J171" s="126"/>
    </row>
    <row r="172" spans="4:10" s="124" customFormat="1" x14ac:dyDescent="0.25">
      <c r="D172" s="126"/>
      <c r="E172" s="126"/>
      <c r="F172" s="126"/>
      <c r="G172" s="126"/>
      <c r="H172" s="126"/>
      <c r="I172" s="126"/>
      <c r="J172" s="126"/>
    </row>
    <row r="173" spans="4:10" s="124" customFormat="1" x14ac:dyDescent="0.25">
      <c r="D173" s="126"/>
      <c r="E173" s="126"/>
      <c r="F173" s="126"/>
      <c r="G173" s="126"/>
      <c r="H173" s="126"/>
      <c r="I173" s="126"/>
      <c r="J173" s="126"/>
    </row>
    <row r="174" spans="4:10" s="124" customFormat="1" x14ac:dyDescent="0.25">
      <c r="D174" s="126"/>
      <c r="E174" s="126"/>
      <c r="F174" s="126"/>
      <c r="G174" s="126"/>
      <c r="H174" s="126"/>
      <c r="I174" s="126"/>
      <c r="J174" s="126"/>
    </row>
    <row r="175" spans="4:10" s="124" customFormat="1" x14ac:dyDescent="0.25">
      <c r="D175" s="126"/>
      <c r="E175" s="126"/>
      <c r="F175" s="126"/>
      <c r="G175" s="126"/>
      <c r="H175" s="126"/>
      <c r="I175" s="126"/>
      <c r="J175" s="126"/>
    </row>
    <row r="176" spans="4:10" s="124" customFormat="1" x14ac:dyDescent="0.25">
      <c r="D176" s="126"/>
      <c r="E176" s="126"/>
      <c r="F176" s="126"/>
      <c r="G176" s="126"/>
      <c r="H176" s="126"/>
      <c r="I176" s="126"/>
      <c r="J176" s="126"/>
    </row>
    <row r="177" spans="4:10" s="124" customFormat="1" x14ac:dyDescent="0.25">
      <c r="D177" s="126"/>
      <c r="E177" s="126"/>
      <c r="F177" s="126"/>
      <c r="G177" s="126"/>
      <c r="H177" s="126"/>
      <c r="I177" s="126"/>
      <c r="J177" s="126"/>
    </row>
    <row r="178" spans="4:10" s="124" customFormat="1" x14ac:dyDescent="0.25">
      <c r="D178" s="126"/>
      <c r="E178" s="126"/>
      <c r="F178" s="126"/>
      <c r="G178" s="126"/>
      <c r="H178" s="126"/>
      <c r="I178" s="126"/>
      <c r="J178" s="126"/>
    </row>
    <row r="179" spans="4:10" s="124" customFormat="1" x14ac:dyDescent="0.25">
      <c r="D179" s="126"/>
      <c r="E179" s="126"/>
      <c r="F179" s="126"/>
      <c r="G179" s="126"/>
      <c r="H179" s="126"/>
      <c r="I179" s="126"/>
      <c r="J179" s="126"/>
    </row>
    <row r="180" spans="4:10" s="124" customFormat="1" x14ac:dyDescent="0.25">
      <c r="D180" s="126"/>
      <c r="E180" s="126"/>
      <c r="F180" s="126"/>
      <c r="G180" s="126"/>
      <c r="H180" s="126"/>
      <c r="I180" s="126"/>
      <c r="J180" s="126"/>
    </row>
    <row r="181" spans="4:10" s="124" customFormat="1" x14ac:dyDescent="0.25">
      <c r="D181" s="126"/>
      <c r="E181" s="126"/>
      <c r="F181" s="126"/>
      <c r="G181" s="126"/>
      <c r="H181" s="126"/>
      <c r="I181" s="126"/>
      <c r="J181" s="126"/>
    </row>
    <row r="182" spans="4:10" s="124" customFormat="1" x14ac:dyDescent="0.25">
      <c r="D182" s="126"/>
      <c r="E182" s="126"/>
      <c r="F182" s="126"/>
      <c r="G182" s="126"/>
      <c r="H182" s="126"/>
      <c r="I182" s="126"/>
      <c r="J182" s="126"/>
    </row>
    <row r="183" spans="4:10" s="124" customFormat="1" x14ac:dyDescent="0.25">
      <c r="D183" s="126"/>
      <c r="E183" s="126"/>
      <c r="F183" s="126"/>
      <c r="G183" s="126"/>
      <c r="H183" s="126"/>
      <c r="I183" s="126"/>
      <c r="J183" s="126"/>
    </row>
    <row r="184" spans="4:10" s="124" customFormat="1" x14ac:dyDescent="0.25">
      <c r="D184" s="126"/>
      <c r="E184" s="126"/>
      <c r="F184" s="126"/>
      <c r="G184" s="126"/>
      <c r="H184" s="126"/>
      <c r="I184" s="126"/>
      <c r="J184" s="126"/>
    </row>
    <row r="185" spans="4:10" s="124" customFormat="1" x14ac:dyDescent="0.25">
      <c r="D185" s="126"/>
      <c r="E185" s="126"/>
      <c r="F185" s="126"/>
      <c r="G185" s="126"/>
      <c r="H185" s="126"/>
      <c r="I185" s="126"/>
      <c r="J185" s="126"/>
    </row>
    <row r="186" spans="4:10" s="124" customFormat="1" x14ac:dyDescent="0.25">
      <c r="D186" s="126"/>
      <c r="E186" s="126"/>
      <c r="F186" s="126"/>
      <c r="G186" s="126"/>
      <c r="H186" s="126"/>
      <c r="I186" s="126"/>
      <c r="J186" s="126"/>
    </row>
    <row r="187" spans="4:10" s="124" customFormat="1" x14ac:dyDescent="0.25">
      <c r="D187" s="126"/>
      <c r="E187" s="126"/>
      <c r="F187" s="126"/>
      <c r="G187" s="126"/>
      <c r="H187" s="126"/>
      <c r="I187" s="126"/>
      <c r="J187" s="126"/>
    </row>
    <row r="188" spans="4:10" s="124" customFormat="1" x14ac:dyDescent="0.25">
      <c r="D188" s="126"/>
      <c r="E188" s="126"/>
      <c r="F188" s="126"/>
      <c r="G188" s="126"/>
      <c r="H188" s="126"/>
      <c r="I188" s="126"/>
      <c r="J188" s="126"/>
    </row>
    <row r="189" spans="4:10" s="124" customFormat="1" x14ac:dyDescent="0.25">
      <c r="D189" s="126"/>
      <c r="E189" s="126"/>
      <c r="F189" s="126"/>
      <c r="G189" s="126"/>
      <c r="H189" s="126"/>
      <c r="I189" s="126"/>
      <c r="J189" s="126"/>
    </row>
    <row r="190" spans="4:10" s="124" customFormat="1" x14ac:dyDescent="0.25">
      <c r="D190" s="126"/>
      <c r="E190" s="126"/>
      <c r="F190" s="126"/>
      <c r="G190" s="126"/>
      <c r="H190" s="126"/>
      <c r="I190" s="126"/>
      <c r="J190" s="126"/>
    </row>
    <row r="191" spans="4:10" s="124" customFormat="1" x14ac:dyDescent="0.25">
      <c r="D191" s="126"/>
      <c r="E191" s="126"/>
      <c r="F191" s="126"/>
      <c r="G191" s="126"/>
      <c r="H191" s="126"/>
      <c r="I191" s="126"/>
      <c r="J191" s="126"/>
    </row>
    <row r="192" spans="4:10" s="124" customFormat="1" x14ac:dyDescent="0.25">
      <c r="D192" s="126"/>
      <c r="E192" s="126"/>
      <c r="F192" s="126"/>
      <c r="G192" s="126"/>
      <c r="H192" s="126"/>
      <c r="I192" s="126"/>
      <c r="J192" s="126"/>
    </row>
    <row r="193" spans="4:10" s="124" customFormat="1" x14ac:dyDescent="0.25">
      <c r="D193" s="126"/>
      <c r="E193" s="126"/>
      <c r="F193" s="126"/>
      <c r="G193" s="126"/>
      <c r="H193" s="126"/>
      <c r="I193" s="126"/>
      <c r="J193" s="126"/>
    </row>
    <row r="194" spans="4:10" s="124" customFormat="1" x14ac:dyDescent="0.25">
      <c r="D194" s="126"/>
      <c r="E194" s="126"/>
      <c r="F194" s="126"/>
      <c r="G194" s="126"/>
      <c r="H194" s="126"/>
      <c r="I194" s="126"/>
      <c r="J194" s="126"/>
    </row>
    <row r="195" spans="4:10" s="124" customFormat="1" x14ac:dyDescent="0.25">
      <c r="D195" s="126"/>
      <c r="E195" s="126"/>
      <c r="F195" s="126"/>
      <c r="G195" s="126"/>
      <c r="H195" s="126"/>
      <c r="I195" s="126"/>
      <c r="J195" s="126"/>
    </row>
    <row r="196" spans="4:10" s="124" customFormat="1" x14ac:dyDescent="0.25">
      <c r="D196" s="126"/>
      <c r="E196" s="126"/>
      <c r="F196" s="126"/>
      <c r="G196" s="126"/>
      <c r="H196" s="126"/>
      <c r="I196" s="126"/>
      <c r="J196" s="126"/>
    </row>
    <row r="197" spans="4:10" s="124" customFormat="1" x14ac:dyDescent="0.25">
      <c r="D197" s="126"/>
      <c r="E197" s="126"/>
      <c r="F197" s="126"/>
      <c r="G197" s="126"/>
      <c r="H197" s="126"/>
      <c r="I197" s="126"/>
      <c r="J197" s="126"/>
    </row>
    <row r="198" spans="4:10" s="124" customFormat="1" x14ac:dyDescent="0.25">
      <c r="D198" s="126"/>
      <c r="E198" s="126"/>
      <c r="F198" s="126"/>
      <c r="G198" s="126"/>
      <c r="H198" s="126"/>
      <c r="I198" s="126"/>
      <c r="J198" s="126"/>
    </row>
    <row r="199" spans="4:10" s="124" customFormat="1" x14ac:dyDescent="0.25">
      <c r="D199" s="126"/>
      <c r="E199" s="126"/>
      <c r="F199" s="126"/>
      <c r="G199" s="126"/>
      <c r="H199" s="126"/>
      <c r="I199" s="126"/>
      <c r="J199" s="126"/>
    </row>
    <row r="200" spans="4:10" s="124" customFormat="1" x14ac:dyDescent="0.25">
      <c r="D200" s="126"/>
      <c r="E200" s="126"/>
      <c r="F200" s="126"/>
      <c r="G200" s="126"/>
      <c r="H200" s="126"/>
      <c r="I200" s="126"/>
      <c r="J200" s="126"/>
    </row>
    <row r="201" spans="4:10" s="124" customFormat="1" x14ac:dyDescent="0.25">
      <c r="D201" s="126"/>
      <c r="E201" s="126"/>
      <c r="F201" s="126"/>
      <c r="G201" s="126"/>
      <c r="H201" s="126"/>
      <c r="I201" s="126"/>
      <c r="J201" s="126"/>
    </row>
    <row r="202" spans="4:10" s="124" customFormat="1" x14ac:dyDescent="0.25">
      <c r="D202" s="126"/>
      <c r="E202" s="126"/>
      <c r="F202" s="126"/>
      <c r="G202" s="126"/>
      <c r="H202" s="126"/>
      <c r="I202" s="126"/>
      <c r="J202" s="126"/>
    </row>
    <row r="203" spans="4:10" s="124" customFormat="1" x14ac:dyDescent="0.25">
      <c r="D203" s="126"/>
      <c r="E203" s="126"/>
      <c r="F203" s="126"/>
      <c r="G203" s="126"/>
      <c r="H203" s="126"/>
      <c r="I203" s="126"/>
      <c r="J203" s="126"/>
    </row>
    <row r="204" spans="4:10" s="124" customFormat="1" x14ac:dyDescent="0.25">
      <c r="D204" s="126"/>
      <c r="E204" s="126"/>
      <c r="F204" s="126"/>
      <c r="G204" s="126"/>
      <c r="H204" s="126"/>
      <c r="I204" s="126"/>
      <c r="J204" s="126"/>
    </row>
    <row r="205" spans="4:10" s="124" customFormat="1" x14ac:dyDescent="0.25">
      <c r="D205" s="126"/>
      <c r="E205" s="126"/>
      <c r="F205" s="126"/>
      <c r="G205" s="126"/>
      <c r="H205" s="126"/>
      <c r="I205" s="126"/>
      <c r="J205" s="126"/>
    </row>
    <row r="206" spans="4:10" s="124" customFormat="1" x14ac:dyDescent="0.25">
      <c r="D206" s="126"/>
      <c r="E206" s="126"/>
      <c r="F206" s="126"/>
      <c r="G206" s="126"/>
      <c r="H206" s="126"/>
      <c r="I206" s="126"/>
      <c r="J206" s="126"/>
    </row>
    <row r="207" spans="4:10" s="124" customFormat="1" x14ac:dyDescent="0.25">
      <c r="D207" s="126"/>
      <c r="E207" s="126"/>
      <c r="F207" s="126"/>
      <c r="G207" s="126"/>
      <c r="H207" s="126"/>
      <c r="I207" s="126"/>
      <c r="J207" s="126"/>
    </row>
    <row r="208" spans="4:10" s="124" customFormat="1" x14ac:dyDescent="0.25">
      <c r="D208" s="126"/>
      <c r="E208" s="126"/>
      <c r="F208" s="126"/>
      <c r="G208" s="126"/>
      <c r="H208" s="126"/>
      <c r="I208" s="126"/>
      <c r="J208" s="126"/>
    </row>
    <row r="209" spans="4:10" s="124" customFormat="1" x14ac:dyDescent="0.25">
      <c r="D209" s="126"/>
      <c r="E209" s="126"/>
      <c r="F209" s="126"/>
      <c r="G209" s="126"/>
      <c r="H209" s="126"/>
      <c r="I209" s="126"/>
      <c r="J209" s="126"/>
    </row>
    <row r="210" spans="4:10" s="124" customFormat="1" x14ac:dyDescent="0.25">
      <c r="D210" s="126"/>
      <c r="E210" s="126"/>
      <c r="F210" s="126"/>
      <c r="G210" s="126"/>
      <c r="H210" s="126"/>
      <c r="I210" s="126"/>
      <c r="J210" s="126"/>
    </row>
    <row r="211" spans="4:10" s="124" customFormat="1" x14ac:dyDescent="0.25">
      <c r="D211" s="126"/>
      <c r="E211" s="126"/>
      <c r="F211" s="126"/>
      <c r="G211" s="126"/>
      <c r="H211" s="126"/>
      <c r="I211" s="126"/>
      <c r="J211" s="126"/>
    </row>
    <row r="212" spans="4:10" s="124" customFormat="1" x14ac:dyDescent="0.25">
      <c r="D212" s="126"/>
      <c r="E212" s="126"/>
      <c r="F212" s="126"/>
      <c r="G212" s="126"/>
      <c r="H212" s="126"/>
      <c r="I212" s="126"/>
      <c r="J212" s="126"/>
    </row>
    <row r="213" spans="4:10" s="124" customFormat="1" x14ac:dyDescent="0.25">
      <c r="D213" s="126"/>
      <c r="E213" s="126"/>
      <c r="F213" s="126"/>
      <c r="G213" s="126"/>
      <c r="H213" s="126"/>
      <c r="I213" s="126"/>
      <c r="J213" s="126"/>
    </row>
    <row r="214" spans="4:10" s="124" customFormat="1" x14ac:dyDescent="0.25">
      <c r="D214" s="126"/>
      <c r="E214" s="126"/>
      <c r="F214" s="126"/>
      <c r="G214" s="126"/>
      <c r="H214" s="126"/>
      <c r="I214" s="126"/>
      <c r="J214" s="126"/>
    </row>
    <row r="215" spans="4:10" s="124" customFormat="1" x14ac:dyDescent="0.25">
      <c r="D215" s="126"/>
      <c r="E215" s="126"/>
      <c r="F215" s="126"/>
      <c r="G215" s="126"/>
      <c r="H215" s="126"/>
      <c r="I215" s="126"/>
      <c r="J215" s="126"/>
    </row>
    <row r="216" spans="4:10" s="124" customFormat="1" x14ac:dyDescent="0.25">
      <c r="D216" s="126"/>
      <c r="E216" s="126"/>
      <c r="F216" s="126"/>
      <c r="G216" s="126"/>
      <c r="H216" s="126"/>
      <c r="I216" s="126"/>
      <c r="J216" s="126"/>
    </row>
    <row r="217" spans="4:10" s="124" customFormat="1" x14ac:dyDescent="0.25">
      <c r="D217" s="126"/>
      <c r="E217" s="126"/>
      <c r="F217" s="126"/>
      <c r="G217" s="126"/>
      <c r="H217" s="126"/>
      <c r="I217" s="126"/>
      <c r="J217" s="126"/>
    </row>
    <row r="218" spans="4:10" s="124" customFormat="1" x14ac:dyDescent="0.25">
      <c r="D218" s="126"/>
      <c r="E218" s="126"/>
      <c r="F218" s="126"/>
      <c r="G218" s="126"/>
      <c r="H218" s="126"/>
      <c r="I218" s="126"/>
      <c r="J218" s="126"/>
    </row>
    <row r="219" spans="4:10" s="124" customFormat="1" x14ac:dyDescent="0.25">
      <c r="D219" s="126"/>
      <c r="E219" s="126"/>
      <c r="F219" s="126"/>
      <c r="G219" s="126"/>
      <c r="H219" s="126"/>
      <c r="I219" s="126"/>
      <c r="J219" s="126"/>
    </row>
    <row r="220" spans="4:10" s="124" customFormat="1" x14ac:dyDescent="0.25">
      <c r="D220" s="126"/>
      <c r="E220" s="126"/>
      <c r="F220" s="126"/>
      <c r="G220" s="126"/>
      <c r="H220" s="126"/>
      <c r="I220" s="126"/>
      <c r="J220" s="126"/>
    </row>
    <row r="221" spans="4:10" s="124" customFormat="1" x14ac:dyDescent="0.25">
      <c r="D221" s="126"/>
      <c r="E221" s="126"/>
      <c r="F221" s="126"/>
      <c r="G221" s="126"/>
      <c r="H221" s="126"/>
      <c r="I221" s="126"/>
      <c r="J221" s="126"/>
    </row>
    <row r="222" spans="4:10" s="124" customFormat="1" x14ac:dyDescent="0.25">
      <c r="D222" s="126"/>
      <c r="E222" s="126"/>
      <c r="F222" s="126"/>
      <c r="G222" s="126"/>
      <c r="H222" s="126"/>
      <c r="I222" s="126"/>
      <c r="J222" s="126"/>
    </row>
    <row r="223" spans="4:10" s="124" customFormat="1" x14ac:dyDescent="0.25">
      <c r="D223" s="126"/>
      <c r="E223" s="126"/>
      <c r="F223" s="126"/>
      <c r="G223" s="126"/>
      <c r="H223" s="126"/>
      <c r="I223" s="126"/>
      <c r="J223" s="126"/>
    </row>
    <row r="224" spans="4:10" s="124" customFormat="1" x14ac:dyDescent="0.25">
      <c r="D224" s="126"/>
      <c r="E224" s="126"/>
      <c r="F224" s="126"/>
      <c r="G224" s="126"/>
      <c r="H224" s="126"/>
      <c r="I224" s="126"/>
      <c r="J224" s="126"/>
    </row>
    <row r="225" spans="4:10" s="124" customFormat="1" x14ac:dyDescent="0.25">
      <c r="D225" s="126"/>
      <c r="E225" s="126"/>
      <c r="F225" s="126"/>
      <c r="G225" s="126"/>
      <c r="H225" s="126"/>
      <c r="I225" s="126"/>
      <c r="J225" s="126"/>
    </row>
    <row r="226" spans="4:10" s="124" customFormat="1" x14ac:dyDescent="0.25">
      <c r="D226" s="126"/>
      <c r="E226" s="126"/>
      <c r="F226" s="126"/>
      <c r="G226" s="126"/>
      <c r="H226" s="126"/>
      <c r="I226" s="126"/>
      <c r="J226" s="126"/>
    </row>
    <row r="227" spans="4:10" s="124" customFormat="1" x14ac:dyDescent="0.25">
      <c r="D227" s="126"/>
      <c r="E227" s="126"/>
      <c r="F227" s="126"/>
      <c r="G227" s="126"/>
      <c r="H227" s="126"/>
      <c r="I227" s="126"/>
      <c r="J227" s="126"/>
    </row>
    <row r="228" spans="4:10" s="124" customFormat="1" x14ac:dyDescent="0.25">
      <c r="D228" s="126"/>
      <c r="E228" s="126"/>
      <c r="F228" s="126"/>
      <c r="G228" s="126"/>
      <c r="H228" s="126"/>
      <c r="I228" s="126"/>
      <c r="J228" s="126"/>
    </row>
    <row r="229" spans="4:10" s="124" customFormat="1" x14ac:dyDescent="0.25">
      <c r="D229" s="126"/>
      <c r="E229" s="126"/>
      <c r="F229" s="126"/>
      <c r="G229" s="126"/>
      <c r="H229" s="126"/>
      <c r="I229" s="126"/>
      <c r="J229" s="126"/>
    </row>
    <row r="230" spans="4:10" s="124" customFormat="1" x14ac:dyDescent="0.25">
      <c r="D230" s="126"/>
      <c r="E230" s="126"/>
      <c r="F230" s="126"/>
      <c r="G230" s="126"/>
      <c r="H230" s="126"/>
      <c r="I230" s="126"/>
      <c r="J230" s="126"/>
    </row>
    <row r="231" spans="4:10" s="124" customFormat="1" x14ac:dyDescent="0.25">
      <c r="D231" s="126"/>
      <c r="E231" s="126"/>
      <c r="F231" s="126"/>
      <c r="G231" s="126"/>
      <c r="H231" s="126"/>
      <c r="I231" s="126"/>
      <c r="J231" s="126"/>
    </row>
    <row r="232" spans="4:10" s="124" customFormat="1" x14ac:dyDescent="0.25">
      <c r="D232" s="126"/>
      <c r="E232" s="126"/>
      <c r="F232" s="126"/>
      <c r="G232" s="126"/>
      <c r="H232" s="126"/>
      <c r="I232" s="126"/>
      <c r="J232" s="126"/>
    </row>
    <row r="233" spans="4:10" s="124" customFormat="1" x14ac:dyDescent="0.25">
      <c r="D233" s="126"/>
      <c r="E233" s="126"/>
      <c r="F233" s="126"/>
      <c r="G233" s="126"/>
      <c r="H233" s="126"/>
      <c r="I233" s="126"/>
      <c r="J233" s="126"/>
    </row>
    <row r="234" spans="4:10" s="124" customFormat="1" x14ac:dyDescent="0.25">
      <c r="D234" s="126"/>
      <c r="E234" s="126"/>
      <c r="F234" s="126"/>
      <c r="G234" s="126"/>
      <c r="H234" s="126"/>
      <c r="I234" s="126"/>
      <c r="J234" s="126"/>
    </row>
    <row r="235" spans="4:10" s="124" customFormat="1" x14ac:dyDescent="0.25">
      <c r="D235" s="126"/>
      <c r="E235" s="126"/>
      <c r="F235" s="126"/>
      <c r="G235" s="126"/>
      <c r="H235" s="126"/>
      <c r="I235" s="126"/>
      <c r="J235" s="126"/>
    </row>
    <row r="236" spans="4:10" s="124" customFormat="1" x14ac:dyDescent="0.25">
      <c r="D236" s="126"/>
      <c r="E236" s="126"/>
      <c r="F236" s="126"/>
      <c r="G236" s="126"/>
      <c r="H236" s="126"/>
      <c r="I236" s="126"/>
      <c r="J236" s="126"/>
    </row>
    <row r="237" spans="4:10" s="124" customFormat="1" x14ac:dyDescent="0.25">
      <c r="D237" s="126"/>
      <c r="E237" s="126"/>
      <c r="F237" s="126"/>
      <c r="G237" s="126"/>
      <c r="H237" s="126"/>
      <c r="I237" s="126"/>
      <c r="J237" s="126"/>
    </row>
    <row r="238" spans="4:10" s="124" customFormat="1" x14ac:dyDescent="0.25">
      <c r="D238" s="126"/>
      <c r="E238" s="126"/>
      <c r="F238" s="126"/>
      <c r="G238" s="126"/>
      <c r="H238" s="126"/>
      <c r="I238" s="126"/>
      <c r="J238" s="126"/>
    </row>
    <row r="239" spans="4:10" s="124" customFormat="1" x14ac:dyDescent="0.25">
      <c r="D239" s="126"/>
      <c r="E239" s="126"/>
      <c r="F239" s="126"/>
      <c r="G239" s="126"/>
      <c r="H239" s="126"/>
      <c r="I239" s="126"/>
      <c r="J239" s="126"/>
    </row>
    <row r="240" spans="4:10" s="124" customFormat="1" x14ac:dyDescent="0.25">
      <c r="D240" s="126"/>
      <c r="E240" s="126"/>
      <c r="F240" s="126"/>
      <c r="G240" s="126"/>
      <c r="H240" s="126"/>
      <c r="I240" s="126"/>
      <c r="J240" s="126"/>
    </row>
    <row r="241" spans="4:10" s="124" customFormat="1" x14ac:dyDescent="0.25">
      <c r="D241" s="126"/>
      <c r="E241" s="126"/>
      <c r="F241" s="126"/>
      <c r="G241" s="126"/>
      <c r="H241" s="126"/>
      <c r="I241" s="126"/>
      <c r="J241" s="126"/>
    </row>
    <row r="242" spans="4:10" s="124" customFormat="1" x14ac:dyDescent="0.25">
      <c r="D242" s="126"/>
      <c r="E242" s="126"/>
      <c r="F242" s="126"/>
      <c r="G242" s="126"/>
      <c r="H242" s="126"/>
      <c r="I242" s="126"/>
      <c r="J242" s="126"/>
    </row>
    <row r="243" spans="4:10" s="124" customFormat="1" x14ac:dyDescent="0.25">
      <c r="D243" s="126"/>
      <c r="E243" s="126"/>
      <c r="F243" s="126"/>
      <c r="G243" s="126"/>
      <c r="H243" s="126"/>
      <c r="I243" s="126"/>
      <c r="J243" s="126"/>
    </row>
    <row r="244" spans="4:10" s="124" customFormat="1" x14ac:dyDescent="0.25">
      <c r="D244" s="126"/>
      <c r="E244" s="126"/>
      <c r="F244" s="126"/>
      <c r="G244" s="126"/>
      <c r="H244" s="126"/>
      <c r="I244" s="126"/>
      <c r="J244" s="126"/>
    </row>
    <row r="245" spans="4:10" s="124" customFormat="1" x14ac:dyDescent="0.25">
      <c r="D245" s="126"/>
      <c r="E245" s="126"/>
      <c r="F245" s="126"/>
      <c r="G245" s="126"/>
      <c r="H245" s="126"/>
      <c r="I245" s="126"/>
      <c r="J245" s="126"/>
    </row>
    <row r="246" spans="4:10" s="124" customFormat="1" x14ac:dyDescent="0.25">
      <c r="D246" s="126"/>
      <c r="E246" s="126"/>
      <c r="F246" s="126"/>
      <c r="G246" s="126"/>
      <c r="H246" s="126"/>
      <c r="I246" s="126"/>
      <c r="J246" s="126"/>
    </row>
    <row r="247" spans="4:10" s="124" customFormat="1" x14ac:dyDescent="0.25">
      <c r="D247" s="126"/>
      <c r="E247" s="126"/>
      <c r="F247" s="126"/>
      <c r="G247" s="126"/>
      <c r="H247" s="126"/>
      <c r="I247" s="126"/>
      <c r="J247" s="126"/>
    </row>
    <row r="248" spans="4:10" s="124" customFormat="1" x14ac:dyDescent="0.25">
      <c r="D248" s="126"/>
      <c r="E248" s="126"/>
      <c r="F248" s="126"/>
      <c r="G248" s="126"/>
      <c r="H248" s="126"/>
      <c r="I248" s="126"/>
      <c r="J248" s="126"/>
    </row>
    <row r="249" spans="4:10" s="124" customFormat="1" x14ac:dyDescent="0.25">
      <c r="D249" s="126"/>
      <c r="E249" s="126"/>
      <c r="F249" s="126"/>
      <c r="G249" s="126"/>
      <c r="H249" s="126"/>
      <c r="I249" s="126"/>
      <c r="J249" s="126"/>
    </row>
    <row r="250" spans="4:10" s="124" customFormat="1" x14ac:dyDescent="0.25">
      <c r="D250" s="126"/>
      <c r="E250" s="126"/>
      <c r="F250" s="126"/>
      <c r="G250" s="126"/>
      <c r="H250" s="126"/>
      <c r="I250" s="126"/>
      <c r="J250" s="126"/>
    </row>
    <row r="251" spans="4:10" s="124" customFormat="1" x14ac:dyDescent="0.25">
      <c r="D251" s="126"/>
      <c r="E251" s="126"/>
      <c r="F251" s="126"/>
      <c r="G251" s="126"/>
      <c r="H251" s="126"/>
      <c r="I251" s="126"/>
      <c r="J251" s="126"/>
    </row>
    <row r="252" spans="4:10" s="124" customFormat="1" x14ac:dyDescent="0.25">
      <c r="D252" s="126"/>
      <c r="E252" s="126"/>
      <c r="F252" s="126"/>
      <c r="G252" s="126"/>
      <c r="H252" s="126"/>
      <c r="I252" s="126"/>
      <c r="J252" s="126"/>
    </row>
    <row r="253" spans="4:10" s="124" customFormat="1" x14ac:dyDescent="0.25">
      <c r="D253" s="126"/>
      <c r="E253" s="126"/>
      <c r="F253" s="126"/>
      <c r="G253" s="126"/>
      <c r="H253" s="126"/>
      <c r="I253" s="126"/>
      <c r="J253" s="126"/>
    </row>
    <row r="254" spans="4:10" s="124" customFormat="1" x14ac:dyDescent="0.25">
      <c r="D254" s="126"/>
      <c r="E254" s="126"/>
      <c r="F254" s="126"/>
      <c r="G254" s="126"/>
      <c r="H254" s="126"/>
      <c r="I254" s="126"/>
      <c r="J254" s="126"/>
    </row>
    <row r="255" spans="4:10" s="124" customFormat="1" x14ac:dyDescent="0.25">
      <c r="D255" s="126"/>
      <c r="E255" s="126"/>
      <c r="F255" s="126"/>
      <c r="G255" s="126"/>
      <c r="H255" s="126"/>
      <c r="I255" s="126"/>
      <c r="J255" s="126"/>
    </row>
    <row r="256" spans="4:10" s="124" customFormat="1" x14ac:dyDescent="0.25">
      <c r="D256" s="126"/>
      <c r="E256" s="126"/>
      <c r="F256" s="126"/>
      <c r="G256" s="126"/>
      <c r="H256" s="126"/>
      <c r="I256" s="126"/>
      <c r="J256" s="126"/>
    </row>
    <row r="257" spans="4:10" s="124" customFormat="1" x14ac:dyDescent="0.25">
      <c r="D257" s="126"/>
      <c r="E257" s="126"/>
      <c r="F257" s="126"/>
      <c r="G257" s="126"/>
      <c r="H257" s="126"/>
      <c r="I257" s="126"/>
      <c r="J257" s="126"/>
    </row>
    <row r="258" spans="4:10" s="124" customFormat="1" x14ac:dyDescent="0.25">
      <c r="D258" s="126"/>
      <c r="E258" s="126"/>
      <c r="F258" s="126"/>
      <c r="G258" s="126"/>
      <c r="H258" s="126"/>
      <c r="I258" s="126"/>
      <c r="J258" s="126"/>
    </row>
    <row r="259" spans="4:10" s="124" customFormat="1" x14ac:dyDescent="0.25">
      <c r="D259" s="126"/>
      <c r="E259" s="126"/>
      <c r="F259" s="126"/>
      <c r="G259" s="126"/>
      <c r="H259" s="126"/>
      <c r="I259" s="126"/>
      <c r="J259" s="126"/>
    </row>
    <row r="260" spans="4:10" s="124" customFormat="1" x14ac:dyDescent="0.25">
      <c r="D260" s="126"/>
      <c r="E260" s="126"/>
      <c r="F260" s="126"/>
      <c r="G260" s="126"/>
      <c r="H260" s="126"/>
      <c r="I260" s="126"/>
      <c r="J260" s="126"/>
    </row>
    <row r="261" spans="4:10" s="124" customFormat="1" x14ac:dyDescent="0.25">
      <c r="D261" s="126"/>
      <c r="E261" s="126"/>
      <c r="F261" s="126"/>
      <c r="G261" s="126"/>
      <c r="H261" s="126"/>
      <c r="I261" s="126"/>
      <c r="J261" s="126"/>
    </row>
    <row r="262" spans="4:10" s="124" customFormat="1" x14ac:dyDescent="0.25">
      <c r="D262" s="126"/>
      <c r="E262" s="126"/>
      <c r="F262" s="126"/>
      <c r="G262" s="126"/>
      <c r="H262" s="126"/>
      <c r="I262" s="126"/>
      <c r="J262" s="126"/>
    </row>
    <row r="263" spans="4:10" s="124" customFormat="1" x14ac:dyDescent="0.25">
      <c r="D263" s="126"/>
      <c r="E263" s="126"/>
      <c r="F263" s="126"/>
      <c r="G263" s="126"/>
      <c r="H263" s="126"/>
      <c r="I263" s="126"/>
      <c r="J263" s="126"/>
    </row>
    <row r="264" spans="4:10" s="124" customFormat="1" x14ac:dyDescent="0.25">
      <c r="D264" s="126"/>
      <c r="E264" s="126"/>
      <c r="F264" s="126"/>
      <c r="G264" s="126"/>
      <c r="H264" s="126"/>
      <c r="I264" s="126"/>
      <c r="J264" s="126"/>
    </row>
    <row r="265" spans="4:10" s="124" customFormat="1" x14ac:dyDescent="0.25">
      <c r="D265" s="126"/>
      <c r="E265" s="126"/>
      <c r="F265" s="126"/>
      <c r="G265" s="126"/>
      <c r="H265" s="126"/>
      <c r="I265" s="126"/>
      <c r="J265" s="126"/>
    </row>
    <row r="266" spans="4:10" s="124" customFormat="1" x14ac:dyDescent="0.25">
      <c r="D266" s="126"/>
      <c r="E266" s="126"/>
      <c r="F266" s="126"/>
      <c r="G266" s="126"/>
      <c r="H266" s="126"/>
      <c r="I266" s="126"/>
      <c r="J266" s="126"/>
    </row>
    <row r="267" spans="4:10" s="124" customFormat="1" x14ac:dyDescent="0.25">
      <c r="D267" s="126"/>
      <c r="E267" s="126"/>
      <c r="F267" s="126"/>
      <c r="G267" s="126"/>
      <c r="H267" s="126"/>
      <c r="I267" s="126"/>
      <c r="J267" s="126"/>
    </row>
    <row r="268" spans="4:10" s="124" customFormat="1" x14ac:dyDescent="0.25">
      <c r="D268" s="126"/>
      <c r="E268" s="126"/>
      <c r="F268" s="126"/>
      <c r="G268" s="126"/>
      <c r="H268" s="126"/>
      <c r="I268" s="126"/>
      <c r="J268" s="126"/>
    </row>
    <row r="269" spans="4:10" s="124" customFormat="1" x14ac:dyDescent="0.25">
      <c r="D269" s="126"/>
      <c r="E269" s="126"/>
      <c r="F269" s="126"/>
      <c r="G269" s="126"/>
      <c r="H269" s="126"/>
      <c r="I269" s="126"/>
      <c r="J269" s="126"/>
    </row>
    <row r="270" spans="4:10" s="124" customFormat="1" x14ac:dyDescent="0.25">
      <c r="D270" s="126"/>
      <c r="E270" s="126"/>
      <c r="F270" s="126"/>
      <c r="G270" s="126"/>
      <c r="H270" s="126"/>
      <c r="I270" s="126"/>
      <c r="J270" s="126"/>
    </row>
    <row r="271" spans="4:10" s="124" customFormat="1" x14ac:dyDescent="0.25">
      <c r="D271" s="126"/>
      <c r="E271" s="126"/>
      <c r="F271" s="126"/>
      <c r="G271" s="126"/>
      <c r="H271" s="126"/>
      <c r="I271" s="126"/>
      <c r="J271" s="126"/>
    </row>
    <row r="272" spans="4:10" s="124" customFormat="1" x14ac:dyDescent="0.25">
      <c r="D272" s="126"/>
      <c r="E272" s="126"/>
      <c r="F272" s="126"/>
      <c r="G272" s="126"/>
      <c r="H272" s="126"/>
      <c r="I272" s="126"/>
      <c r="J272" s="126"/>
    </row>
    <row r="273" spans="4:10" s="124" customFormat="1" x14ac:dyDescent="0.25">
      <c r="D273" s="126"/>
      <c r="E273" s="126"/>
      <c r="F273" s="126"/>
      <c r="G273" s="126"/>
      <c r="H273" s="126"/>
      <c r="I273" s="126"/>
      <c r="J273" s="126"/>
    </row>
    <row r="274" spans="4:10" s="124" customFormat="1" x14ac:dyDescent="0.25">
      <c r="D274" s="126"/>
      <c r="E274" s="126"/>
      <c r="F274" s="126"/>
      <c r="G274" s="126"/>
      <c r="H274" s="126"/>
      <c r="I274" s="126"/>
      <c r="J274" s="126"/>
    </row>
    <row r="275" spans="4:10" s="124" customFormat="1" x14ac:dyDescent="0.25">
      <c r="D275" s="126"/>
      <c r="E275" s="126"/>
      <c r="F275" s="126"/>
      <c r="G275" s="126"/>
      <c r="H275" s="126"/>
      <c r="I275" s="126"/>
      <c r="J275" s="126"/>
    </row>
    <row r="276" spans="4:10" s="124" customFormat="1" x14ac:dyDescent="0.25">
      <c r="D276" s="126"/>
      <c r="E276" s="126"/>
      <c r="F276" s="126"/>
      <c r="G276" s="126"/>
      <c r="H276" s="126"/>
      <c r="I276" s="126"/>
      <c r="J276" s="126"/>
    </row>
    <row r="277" spans="4:10" s="124" customFormat="1" x14ac:dyDescent="0.25">
      <c r="D277" s="126"/>
      <c r="E277" s="126"/>
      <c r="F277" s="126"/>
      <c r="G277" s="126"/>
      <c r="H277" s="126"/>
      <c r="I277" s="126"/>
      <c r="J277" s="126"/>
    </row>
    <row r="278" spans="4:10" s="124" customFormat="1" x14ac:dyDescent="0.25">
      <c r="D278" s="126"/>
      <c r="E278" s="126"/>
      <c r="F278" s="126"/>
      <c r="G278" s="126"/>
      <c r="H278" s="126"/>
      <c r="I278" s="126"/>
      <c r="J278" s="126"/>
    </row>
    <row r="279" spans="4:10" s="124" customFormat="1" x14ac:dyDescent="0.25">
      <c r="D279" s="126"/>
      <c r="E279" s="126"/>
      <c r="F279" s="126"/>
      <c r="G279" s="126"/>
      <c r="H279" s="126"/>
      <c r="I279" s="126"/>
      <c r="J279" s="126"/>
    </row>
    <row r="280" spans="4:10" s="124" customFormat="1" x14ac:dyDescent="0.25">
      <c r="D280" s="126"/>
      <c r="E280" s="126"/>
      <c r="F280" s="126"/>
      <c r="G280" s="126"/>
      <c r="H280" s="126"/>
      <c r="I280" s="126"/>
      <c r="J280" s="126"/>
    </row>
    <row r="281" spans="4:10" s="124" customFormat="1" x14ac:dyDescent="0.25">
      <c r="D281" s="126"/>
      <c r="E281" s="126"/>
      <c r="F281" s="126"/>
      <c r="G281" s="126"/>
      <c r="H281" s="126"/>
      <c r="I281" s="126"/>
      <c r="J281" s="126"/>
    </row>
    <row r="282" spans="4:10" s="124" customFormat="1" x14ac:dyDescent="0.25">
      <c r="D282" s="126"/>
      <c r="E282" s="126"/>
      <c r="F282" s="126"/>
      <c r="G282" s="126"/>
      <c r="H282" s="126"/>
      <c r="I282" s="126"/>
      <c r="J282" s="126"/>
    </row>
    <row r="283" spans="4:10" s="124" customFormat="1" x14ac:dyDescent="0.25">
      <c r="D283" s="126"/>
      <c r="E283" s="126"/>
      <c r="F283" s="126"/>
      <c r="G283" s="126"/>
      <c r="H283" s="126"/>
      <c r="I283" s="126"/>
      <c r="J283" s="126"/>
    </row>
    <row r="284" spans="4:10" s="124" customFormat="1" x14ac:dyDescent="0.25">
      <c r="D284" s="126"/>
      <c r="E284" s="126"/>
      <c r="F284" s="126"/>
      <c r="G284" s="126"/>
      <c r="H284" s="126"/>
      <c r="I284" s="126"/>
      <c r="J284" s="126"/>
    </row>
    <row r="285" spans="4:10" s="124" customFormat="1" x14ac:dyDescent="0.25">
      <c r="D285" s="126"/>
      <c r="E285" s="126"/>
      <c r="F285" s="126"/>
      <c r="G285" s="126"/>
      <c r="H285" s="126"/>
      <c r="I285" s="126"/>
      <c r="J285" s="126"/>
    </row>
    <row r="286" spans="4:10" s="124" customFormat="1" x14ac:dyDescent="0.25">
      <c r="D286" s="126"/>
      <c r="E286" s="126"/>
      <c r="F286" s="126"/>
      <c r="G286" s="126"/>
      <c r="H286" s="126"/>
      <c r="I286" s="126"/>
      <c r="J286" s="126"/>
    </row>
    <row r="287" spans="4:10" s="124" customFormat="1" x14ac:dyDescent="0.25">
      <c r="D287" s="126"/>
      <c r="E287" s="126"/>
      <c r="F287" s="126"/>
      <c r="G287" s="126"/>
      <c r="H287" s="126"/>
      <c r="I287" s="126"/>
      <c r="J287" s="126"/>
    </row>
    <row r="288" spans="4:10" s="124" customFormat="1" x14ac:dyDescent="0.25">
      <c r="D288" s="126"/>
      <c r="E288" s="126"/>
      <c r="F288" s="126"/>
      <c r="G288" s="126"/>
      <c r="H288" s="126"/>
      <c r="I288" s="126"/>
      <c r="J288" s="126"/>
    </row>
    <row r="289" spans="4:10" s="124" customFormat="1" x14ac:dyDescent="0.25">
      <c r="D289" s="126"/>
      <c r="E289" s="126"/>
      <c r="F289" s="126"/>
      <c r="G289" s="126"/>
      <c r="H289" s="126"/>
      <c r="I289" s="126"/>
      <c r="J289" s="126"/>
    </row>
    <row r="290" spans="4:10" s="124" customFormat="1" x14ac:dyDescent="0.25">
      <c r="D290" s="126"/>
      <c r="E290" s="126"/>
      <c r="F290" s="126"/>
      <c r="G290" s="126"/>
      <c r="H290" s="126"/>
      <c r="I290" s="126"/>
      <c r="J290" s="126"/>
    </row>
    <row r="291" spans="4:10" s="124" customFormat="1" x14ac:dyDescent="0.25">
      <c r="D291" s="126"/>
      <c r="E291" s="126"/>
      <c r="F291" s="126"/>
      <c r="G291" s="126"/>
      <c r="H291" s="126"/>
      <c r="I291" s="126"/>
      <c r="J291" s="126"/>
    </row>
  </sheetData>
  <sheetProtection password="C462" sheet="1" objects="1" scenarios="1"/>
  <mergeCells count="43">
    <mergeCell ref="A143:E146"/>
    <mergeCell ref="G143:I146"/>
    <mergeCell ref="A147:E150"/>
    <mergeCell ref="G148:I149"/>
    <mergeCell ref="A109:E111"/>
    <mergeCell ref="G110:I112"/>
    <mergeCell ref="A113:E117"/>
    <mergeCell ref="G114:I122"/>
    <mergeCell ref="A119:E121"/>
    <mergeCell ref="A123:E125"/>
    <mergeCell ref="G124:I127"/>
    <mergeCell ref="A127:E129"/>
    <mergeCell ref="G129:I135"/>
    <mergeCell ref="A131:E133"/>
    <mergeCell ref="A135:E141"/>
    <mergeCell ref="G137:I141"/>
    <mergeCell ref="A79:E103"/>
    <mergeCell ref="G79:I82"/>
    <mergeCell ref="G84:I90"/>
    <mergeCell ref="G92:I94"/>
    <mergeCell ref="G96:I100"/>
    <mergeCell ref="G102:I104"/>
    <mergeCell ref="A104:E107"/>
    <mergeCell ref="G106:I108"/>
    <mergeCell ref="A73:E77"/>
    <mergeCell ref="G73:I77"/>
    <mergeCell ref="E50:H50"/>
    <mergeCell ref="E51:H51"/>
    <mergeCell ref="E52:H52"/>
    <mergeCell ref="E53:H53"/>
    <mergeCell ref="E54:H54"/>
    <mergeCell ref="E55:H55"/>
    <mergeCell ref="E56:H56"/>
    <mergeCell ref="E57:H57"/>
    <mergeCell ref="E58:H58"/>
    <mergeCell ref="E59:H59"/>
    <mergeCell ref="E60:H60"/>
    <mergeCell ref="E49:H49"/>
    <mergeCell ref="B7:D7"/>
    <mergeCell ref="G7:H7"/>
    <mergeCell ref="B13:B15"/>
    <mergeCell ref="E47:H47"/>
    <mergeCell ref="E48:H48"/>
  </mergeCells>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B07FD-6ADC-472F-9736-5D2E5BCC3D61}">
  <sheetPr>
    <tabColor rgb="FFFFFF00"/>
  </sheetPr>
  <dimension ref="A1:BT43"/>
  <sheetViews>
    <sheetView topLeftCell="AP1" workbookViewId="0">
      <selection activeCell="BC34" sqref="BC34"/>
    </sheetView>
  </sheetViews>
  <sheetFormatPr defaultColWidth="9.1796875" defaultRowHeight="12.5" x14ac:dyDescent="0.25"/>
  <cols>
    <col min="1" max="1" width="19.26953125" style="151" customWidth="1"/>
    <col min="2" max="2" width="20.7265625" style="150" customWidth="1"/>
    <col min="3" max="6" width="15.7265625" style="150" customWidth="1"/>
    <col min="7" max="7" width="61.7265625" style="151" customWidth="1"/>
    <col min="8" max="8" width="9.1796875" style="151"/>
    <col min="9" max="11" width="15.7265625" style="150" customWidth="1"/>
    <col min="12" max="12" width="11.54296875" style="150" customWidth="1"/>
    <col min="13" max="15" width="9.1796875" style="151"/>
    <col min="16" max="16" width="9.1796875" style="150"/>
    <col min="17" max="17" width="10.1796875" style="151" bestFit="1" customWidth="1"/>
    <col min="18" max="31" width="9.1796875" style="151"/>
    <col min="32" max="32" width="10.453125" style="151" customWidth="1"/>
    <col min="33" max="40" width="9.1796875" style="151"/>
    <col min="41" max="41" width="10.1796875" style="151" bestFit="1" customWidth="1"/>
    <col min="42" max="42" width="12" style="151" customWidth="1"/>
    <col min="43" max="58" width="9.1796875" style="151"/>
    <col min="59" max="61" width="9.1796875" style="150"/>
    <col min="62" max="62" width="9.1796875" style="151"/>
    <col min="63" max="64" width="13.1796875" style="150" customWidth="1"/>
    <col min="65" max="16384" width="9.1796875" style="151"/>
  </cols>
  <sheetData>
    <row r="1" spans="1:72" x14ac:dyDescent="0.25">
      <c r="E1" s="815" t="s">
        <v>1339</v>
      </c>
      <c r="N1" s="1565" t="s">
        <v>1340</v>
      </c>
      <c r="P1" s="807" t="s">
        <v>1341</v>
      </c>
      <c r="Q1" s="808">
        <v>484.95</v>
      </c>
    </row>
    <row r="2" spans="1:72" ht="28.5" customHeight="1" x14ac:dyDescent="0.25">
      <c r="A2" s="1" t="s">
        <v>34</v>
      </c>
      <c r="D2" s="815"/>
      <c r="K2" s="151"/>
      <c r="L2" s="151"/>
      <c r="N2" s="1565"/>
      <c r="P2" s="807" t="s">
        <v>1343</v>
      </c>
      <c r="Q2" s="808">
        <v>72.91</v>
      </c>
      <c r="V2" s="150" t="s">
        <v>1344</v>
      </c>
      <c r="BR2" s="1566" t="s">
        <v>1375</v>
      </c>
      <c r="BS2" s="1566"/>
      <c r="BT2" s="1566"/>
    </row>
    <row r="3" spans="1:72" ht="63" x14ac:dyDescent="0.3">
      <c r="B3" s="441" t="s">
        <v>35</v>
      </c>
      <c r="C3" s="442" t="s">
        <v>936</v>
      </c>
      <c r="D3" s="442" t="s">
        <v>937</v>
      </c>
      <c r="E3" s="442" t="s">
        <v>938</v>
      </c>
      <c r="F3" s="441" t="s">
        <v>36</v>
      </c>
      <c r="G3" s="441" t="s">
        <v>939</v>
      </c>
      <c r="I3" s="765" t="s">
        <v>936</v>
      </c>
      <c r="J3" s="765" t="s">
        <v>937</v>
      </c>
      <c r="K3" s="765" t="s">
        <v>938</v>
      </c>
      <c r="L3" s="766" t="s">
        <v>1345</v>
      </c>
      <c r="N3" s="1565"/>
      <c r="P3" s="790" t="s">
        <v>1346</v>
      </c>
      <c r="Q3" s="441" t="s">
        <v>1347</v>
      </c>
      <c r="R3" s="150" t="s">
        <v>3</v>
      </c>
      <c r="U3" s="150" t="s">
        <v>1348</v>
      </c>
      <c r="V3" s="150" t="s">
        <v>1349</v>
      </c>
      <c r="W3" s="150" t="s">
        <v>1350</v>
      </c>
      <c r="X3" s="150" t="s">
        <v>357</v>
      </c>
      <c r="Y3" s="790" t="s">
        <v>1351</v>
      </c>
      <c r="AA3" s="150" t="s">
        <v>1352</v>
      </c>
      <c r="AB3" s="150" t="s">
        <v>1353</v>
      </c>
      <c r="AC3" s="150" t="s">
        <v>1350</v>
      </c>
      <c r="AD3" s="150" t="s">
        <v>357</v>
      </c>
      <c r="AE3" s="790" t="s">
        <v>1351</v>
      </c>
      <c r="AF3" s="150"/>
      <c r="AG3" s="818" t="s">
        <v>1354</v>
      </c>
      <c r="AH3" s="818" t="s">
        <v>1355</v>
      </c>
      <c r="AI3" s="817" t="s">
        <v>1350</v>
      </c>
      <c r="AJ3" s="817" t="s">
        <v>357</v>
      </c>
      <c r="AK3" s="818" t="s">
        <v>1351</v>
      </c>
      <c r="AL3" s="821" t="s">
        <v>998</v>
      </c>
      <c r="AN3" s="790" t="s">
        <v>1356</v>
      </c>
      <c r="AO3" s="840" t="s">
        <v>1357</v>
      </c>
      <c r="AP3" s="150" t="s">
        <v>1350</v>
      </c>
      <c r="AQ3" s="150" t="s">
        <v>357</v>
      </c>
      <c r="AR3" s="790" t="s">
        <v>1351</v>
      </c>
      <c r="AS3" s="790" t="s">
        <v>1358</v>
      </c>
      <c r="AT3" s="790" t="s">
        <v>1359</v>
      </c>
      <c r="AX3" s="840" t="s">
        <v>1360</v>
      </c>
      <c r="AY3" s="790" t="s">
        <v>1361</v>
      </c>
      <c r="AZ3" s="842" t="s">
        <v>1350</v>
      </c>
      <c r="BA3" s="150" t="s">
        <v>357</v>
      </c>
      <c r="BB3" s="790" t="s">
        <v>1351</v>
      </c>
      <c r="BE3" s="790" t="s">
        <v>1376</v>
      </c>
      <c r="BF3" s="182"/>
      <c r="BG3" s="822" t="s">
        <v>1377</v>
      </c>
      <c r="BH3" s="822" t="s">
        <v>1378</v>
      </c>
      <c r="BI3" s="822" t="s">
        <v>1379</v>
      </c>
      <c r="BJ3" s="182"/>
      <c r="BK3" s="1061" t="s">
        <v>1380</v>
      </c>
      <c r="BL3" s="790" t="s">
        <v>1381</v>
      </c>
      <c r="BM3" s="790" t="s">
        <v>1382</v>
      </c>
      <c r="BN3" s="790" t="s">
        <v>1383</v>
      </c>
      <c r="BO3" s="790" t="s">
        <v>1384</v>
      </c>
      <c r="BP3" s="790" t="s">
        <v>1385</v>
      </c>
      <c r="BR3" s="790" t="s">
        <v>1386</v>
      </c>
      <c r="BS3" s="790" t="s">
        <v>1387</v>
      </c>
      <c r="BT3" s="790" t="s">
        <v>1388</v>
      </c>
    </row>
    <row r="4" spans="1:72" x14ac:dyDescent="0.25">
      <c r="Y4" s="150"/>
      <c r="AE4" s="150"/>
      <c r="AG4" s="819"/>
      <c r="AH4" s="819"/>
      <c r="AI4" s="819"/>
      <c r="AJ4" s="819"/>
      <c r="AK4" s="817"/>
      <c r="AL4" s="819"/>
      <c r="AN4" s="428"/>
      <c r="AO4" s="841"/>
      <c r="AP4" s="428"/>
      <c r="AQ4" s="428"/>
      <c r="AR4" s="428"/>
      <c r="AX4" s="841"/>
      <c r="AY4" s="428"/>
      <c r="AZ4" s="841"/>
      <c r="BA4" s="428"/>
      <c r="BB4" s="428"/>
      <c r="BE4" s="150"/>
      <c r="BK4" s="1062"/>
      <c r="BR4" s="150"/>
      <c r="BS4" s="150"/>
    </row>
    <row r="5" spans="1:72" x14ac:dyDescent="0.25">
      <c r="A5" s="151" t="s">
        <v>738</v>
      </c>
      <c r="B5" s="150" t="s">
        <v>751</v>
      </c>
      <c r="C5" s="428">
        <f>('2122 Teachers Pay Scales'!K20+1100)/8</f>
        <v>6235.9162500000002</v>
      </c>
      <c r="D5" s="428">
        <f>(('2122 TA Pay Scales'!L24+490)/8)*3</f>
        <v>8769.6246042576422</v>
      </c>
      <c r="E5" s="428">
        <f>'2122 GLEA Pay Scales'!$K$19/10/37*6.25*195/224</f>
        <v>353.33239604699571</v>
      </c>
      <c r="F5" s="443">
        <f>SUM(C5:E5)</f>
        <v>15358.873250304638</v>
      </c>
      <c r="G5" s="151" t="s">
        <v>752</v>
      </c>
      <c r="I5" s="428">
        <v>5389.75</v>
      </c>
      <c r="J5" s="428">
        <v>8314.3681768558963</v>
      </c>
      <c r="K5" s="428">
        <v>300.11777569980694</v>
      </c>
      <c r="L5" s="443">
        <v>14004.235952555704</v>
      </c>
      <c r="N5" s="428">
        <f>D5+E5-J5-K5</f>
        <v>508.47104774893415</v>
      </c>
      <c r="P5" s="428">
        <f>C5-I5</f>
        <v>846.16625000000022</v>
      </c>
      <c r="Q5" s="428">
        <f>$Q$1+$Q$2</f>
        <v>557.86</v>
      </c>
      <c r="R5" s="428">
        <f>P5-Q5</f>
        <v>288.3062500000002</v>
      </c>
      <c r="T5" s="152"/>
      <c r="U5" s="428">
        <f>('2122 Teachers Pay Scales'!K19+1100)/8</f>
        <v>5836.8826874999995</v>
      </c>
      <c r="V5" s="428">
        <f>(('2122 TA Pay Scales'!L24+490)/8)*3</f>
        <v>8769.6246042576422</v>
      </c>
      <c r="W5" s="428">
        <f>'2122 GLEA Pay Scales'!$K$19/10/37*6.25*195/224</f>
        <v>353.33239604699571</v>
      </c>
      <c r="X5" s="443">
        <f>SUM(U5:W5)</f>
        <v>14959.839687804637</v>
      </c>
      <c r="Y5" s="428">
        <f>X5-L5</f>
        <v>955.60373524893294</v>
      </c>
      <c r="AA5" s="428">
        <f>('2122 Teachers Pay Scales'!K20+1100)/8</f>
        <v>6235.9162500000002</v>
      </c>
      <c r="AB5" s="428">
        <f>(('2122 TA Pay Scales'!L23+490)/8)*3</f>
        <v>8291.6148471615725</v>
      </c>
      <c r="AC5" s="428">
        <f>'2122 GLEA Pay Scales'!$K$19/10/37*6.25*195/224</f>
        <v>353.33239604699571</v>
      </c>
      <c r="AD5" s="443">
        <f>SUM(AA5:AC5)</f>
        <v>14880.863493208568</v>
      </c>
      <c r="AE5" s="428">
        <f>AD5-L5</f>
        <v>876.6275406528639</v>
      </c>
      <c r="AG5" s="820">
        <f>('2122 Teachers Pay Scales'!K69+1100)/8</f>
        <v>6156.1095375000004</v>
      </c>
      <c r="AH5" s="820">
        <v>8674.097652838429</v>
      </c>
      <c r="AI5" s="820">
        <f>'2122 GLEA Pay Scales'!$K$19/10/37*6.25*195/224</f>
        <v>353.33239604699571</v>
      </c>
      <c r="AJ5" s="820">
        <f>SUM(AG5:AI5)</f>
        <v>15183.539586385425</v>
      </c>
      <c r="AK5" s="820">
        <f>AJ5-L5</f>
        <v>1179.3036338297206</v>
      </c>
      <c r="AL5" s="820">
        <f>AJ5-F5</f>
        <v>-175.333663919213</v>
      </c>
      <c r="AM5" s="152">
        <f>AN5-I5</f>
        <v>686.55282499999976</v>
      </c>
      <c r="AN5" s="428">
        <f>('2122 Teachers Pay Scales'!K98+1100)/8</f>
        <v>6076.3028249999998</v>
      </c>
      <c r="AO5" s="841">
        <f>(('2122 TA Pay Scales'!L40+490)/8)*3</f>
        <v>8578.5707014192139</v>
      </c>
      <c r="AP5" s="428">
        <f>K5</f>
        <v>300.11777569980694</v>
      </c>
      <c r="AQ5" s="428">
        <f>SUM(AN5:AP5)</f>
        <v>14954.991302119022</v>
      </c>
      <c r="AR5" s="428">
        <f>AQ5-L5</f>
        <v>950.7553495633183</v>
      </c>
      <c r="AS5" s="843">
        <f>AR5/L5</f>
        <v>6.7890554885274568E-2</v>
      </c>
      <c r="AT5" s="843">
        <f>(AO5-J5)/L5</f>
        <v>1.8865900678794404E-2</v>
      </c>
      <c r="AU5" s="428">
        <f>AO5-J5</f>
        <v>264.20252456331764</v>
      </c>
      <c r="AV5" s="152">
        <f>AO5-J5</f>
        <v>264.20252456331764</v>
      </c>
      <c r="AX5" s="841">
        <f>('2122 Teachers Pay Scales'!K126+1100)/8</f>
        <v>6120.2340168749997</v>
      </c>
      <c r="AY5" s="428">
        <f>(('2122 TA Pay Scales'!L41+490)/8)*3</f>
        <v>8626.1466771288215</v>
      </c>
      <c r="AZ5" s="841">
        <f>K5</f>
        <v>300.11777569980694</v>
      </c>
      <c r="BA5" s="428">
        <f>SUM(AX5:AZ5)</f>
        <v>15046.498469703629</v>
      </c>
      <c r="BB5" s="428">
        <f>BA5-V5</f>
        <v>6276.8738654459867</v>
      </c>
      <c r="BE5" s="428">
        <f>AX5+AO5+AZ5</f>
        <v>14998.922493994021</v>
      </c>
      <c r="BG5" s="422">
        <f>('2223 TA Pay Scales'!L45+490)/8*3</f>
        <v>8885.4271154475973</v>
      </c>
      <c r="BH5" s="428">
        <f>('2223 Teachers Pay Scales'!K172+1100)/8</f>
        <v>6242.9736972125002</v>
      </c>
      <c r="BI5" s="428">
        <f>AZ5</f>
        <v>300.11777569980694</v>
      </c>
      <c r="BK5" s="1063">
        <f>SUM(BG5:BI5)</f>
        <v>15428.518588359904</v>
      </c>
      <c r="BL5" s="1116">
        <f>BN5/L5</f>
        <v>3.0676153688162025E-2</v>
      </c>
      <c r="BM5" s="1072">
        <f>BN5/BE5</f>
        <v>2.864179707161664E-2</v>
      </c>
      <c r="BN5" s="428">
        <f>BK5-BE5</f>
        <v>429.59609436588289</v>
      </c>
      <c r="BO5" s="428">
        <v>299.47109436588289</v>
      </c>
      <c r="BP5" s="428">
        <f>BN5-BO5</f>
        <v>130.125</v>
      </c>
      <c r="BR5" s="428">
        <f>('2223 Teachers Pay Scales'!G176)/8</f>
        <v>43.159046215156252</v>
      </c>
      <c r="BS5" s="428">
        <f>('2223 TA Pay Scales'!H49)/8*3</f>
        <v>40.155338943094961</v>
      </c>
      <c r="BT5" s="428">
        <f>SUM(BR5:BS5)</f>
        <v>83.314385158251213</v>
      </c>
    </row>
    <row r="6" spans="1:72" x14ac:dyDescent="0.25">
      <c r="C6" s="428"/>
      <c r="F6" s="428"/>
      <c r="I6" s="428"/>
      <c r="L6" s="428"/>
      <c r="N6" s="428"/>
      <c r="P6" s="428"/>
      <c r="Q6" s="428"/>
      <c r="R6" s="428"/>
      <c r="T6" s="152"/>
      <c r="U6" s="428"/>
      <c r="V6" s="150"/>
      <c r="W6" s="150"/>
      <c r="X6" s="428"/>
      <c r="Y6" s="428"/>
      <c r="AA6" s="428"/>
      <c r="AB6" s="150"/>
      <c r="AC6" s="150"/>
      <c r="AD6" s="428"/>
      <c r="AE6" s="428"/>
      <c r="AG6" s="820"/>
      <c r="AH6" s="817"/>
      <c r="AI6" s="817"/>
      <c r="AJ6" s="820"/>
      <c r="AK6" s="820"/>
      <c r="AL6" s="820"/>
      <c r="AM6" s="152">
        <f t="shared" ref="AM6:AM17" si="0">AN6-I6</f>
        <v>0</v>
      </c>
      <c r="AN6" s="428"/>
      <c r="AO6" s="842"/>
      <c r="AP6" s="428"/>
      <c r="AQ6" s="428"/>
      <c r="AR6" s="428"/>
      <c r="AS6" s="843"/>
      <c r="AT6" s="843"/>
      <c r="AU6" s="428"/>
      <c r="AV6" s="152">
        <f t="shared" ref="AV6:AV24" si="1">AO6-J6</f>
        <v>0</v>
      </c>
      <c r="AX6" s="841"/>
      <c r="AY6" s="150"/>
      <c r="AZ6" s="841"/>
      <c r="BA6" s="428"/>
      <c r="BB6" s="428"/>
      <c r="BE6" s="428"/>
      <c r="BK6" s="1062"/>
      <c r="BL6" s="1116"/>
      <c r="BM6" s="1072"/>
      <c r="BP6" s="428"/>
      <c r="BR6" s="428"/>
      <c r="BS6" s="428"/>
      <c r="BT6" s="428"/>
    </row>
    <row r="7" spans="1:72" x14ac:dyDescent="0.25">
      <c r="C7" s="428"/>
      <c r="D7" s="428"/>
      <c r="E7" s="428"/>
      <c r="F7" s="428"/>
      <c r="I7" s="428"/>
      <c r="J7" s="428"/>
      <c r="K7" s="428"/>
      <c r="L7" s="428"/>
      <c r="N7" s="428"/>
      <c r="P7" s="428"/>
      <c r="Q7" s="428"/>
      <c r="R7" s="428"/>
      <c r="T7" s="152"/>
      <c r="U7" s="428"/>
      <c r="V7" s="428"/>
      <c r="W7" s="428"/>
      <c r="X7" s="428"/>
      <c r="Y7" s="428"/>
      <c r="AA7" s="428"/>
      <c r="AB7" s="428"/>
      <c r="AC7" s="428"/>
      <c r="AD7" s="428"/>
      <c r="AE7" s="428"/>
      <c r="AG7" s="820"/>
      <c r="AH7" s="820"/>
      <c r="AI7" s="820"/>
      <c r="AJ7" s="820"/>
      <c r="AK7" s="820"/>
      <c r="AL7" s="820"/>
      <c r="AM7" s="152">
        <f t="shared" si="0"/>
        <v>0</v>
      </c>
      <c r="AN7" s="428"/>
      <c r="AO7" s="841"/>
      <c r="AP7" s="428"/>
      <c r="AQ7" s="428"/>
      <c r="AR7" s="428"/>
      <c r="AS7" s="843"/>
      <c r="AT7" s="843"/>
      <c r="AU7" s="428"/>
      <c r="AV7" s="152">
        <f t="shared" si="1"/>
        <v>0</v>
      </c>
      <c r="AX7" s="841"/>
      <c r="AY7" s="428"/>
      <c r="AZ7" s="841"/>
      <c r="BA7" s="428"/>
      <c r="BB7" s="428"/>
      <c r="BE7" s="428"/>
      <c r="BK7" s="1062"/>
      <c r="BL7" s="1116"/>
      <c r="BM7" s="1072"/>
      <c r="BP7" s="428"/>
      <c r="BR7" s="428"/>
      <c r="BS7" s="428"/>
      <c r="BT7" s="428"/>
    </row>
    <row r="8" spans="1:72" x14ac:dyDescent="0.25">
      <c r="A8" s="151" t="s">
        <v>736</v>
      </c>
      <c r="B8" s="150" t="s">
        <v>43</v>
      </c>
      <c r="C8" s="428">
        <f>('2122 Teachers Pay Scales'!K20+1100)/10</f>
        <v>4988.7330000000002</v>
      </c>
      <c r="D8" s="428">
        <f>('2122 TA Pay Scales'!L24+490)/10</f>
        <v>2338.5665611353716</v>
      </c>
      <c r="E8" s="428">
        <f>'2122 GLEA Pay Scales'!$K$19/10/37*6.25*195/224</f>
        <v>353.33239604699571</v>
      </c>
      <c r="F8" s="443">
        <f>SUM(C8:E8)</f>
        <v>7680.6319571823678</v>
      </c>
      <c r="G8" s="151" t="s">
        <v>1364</v>
      </c>
      <c r="I8" s="428">
        <v>4311.8</v>
      </c>
      <c r="J8" s="428">
        <v>2217.1648471615722</v>
      </c>
      <c r="K8" s="428">
        <v>300.11777569980694</v>
      </c>
      <c r="L8" s="443">
        <v>6829.0826228613796</v>
      </c>
      <c r="N8" s="428">
        <f>D8+E8-J8-K8</f>
        <v>174.61633432098807</v>
      </c>
      <c r="P8" s="428">
        <f>C8-I8</f>
        <v>676.93299999999999</v>
      </c>
      <c r="Q8" s="428">
        <f>$Q$1+$Q$2</f>
        <v>557.86</v>
      </c>
      <c r="R8" s="428">
        <f>P8-Q8</f>
        <v>119.07299999999998</v>
      </c>
      <c r="T8" s="152"/>
      <c r="U8" s="428">
        <f>('2122 Teachers Pay Scales'!K19+1100)/10</f>
        <v>4669.5061499999993</v>
      </c>
      <c r="V8" s="428">
        <f>('2122 TA Pay Scales'!L24+490)/10</f>
        <v>2338.5665611353716</v>
      </c>
      <c r="W8" s="428">
        <f>'2122 GLEA Pay Scales'!$K$19/10/37*6.25*195/224</f>
        <v>353.33239604699571</v>
      </c>
      <c r="X8" s="443">
        <f>SUM(U8:W8)</f>
        <v>7361.4051071823669</v>
      </c>
      <c r="Y8" s="428">
        <f>X8-L8</f>
        <v>532.32248432098731</v>
      </c>
      <c r="AA8" s="428">
        <f>('2122 Teachers Pay Scales'!K20+1100)/10</f>
        <v>4988.7330000000002</v>
      </c>
      <c r="AB8" s="428">
        <f>('2122 TA Pay Scales'!L23+490)/10</f>
        <v>2211.097292576419</v>
      </c>
      <c r="AC8" s="428">
        <f>'2122 GLEA Pay Scales'!$K$19/10/37*6.25*195/224</f>
        <v>353.33239604699571</v>
      </c>
      <c r="AD8" s="443">
        <f>SUM(AA8:AC8)</f>
        <v>7553.1626886234153</v>
      </c>
      <c r="AE8" s="428">
        <f>AD8-L8</f>
        <v>724.0800657620357</v>
      </c>
      <c r="AG8" s="820">
        <f>('2122 Teachers Pay Scales'!K69+1100)/10</f>
        <v>4924.8876300000002</v>
      </c>
      <c r="AH8" s="820">
        <v>2313.092707423581</v>
      </c>
      <c r="AI8" s="820">
        <f>'2122 GLEA Pay Scales'!$K$19/10/37*6.25*195/224</f>
        <v>353.33239604699571</v>
      </c>
      <c r="AJ8" s="820">
        <f>SUM(AG8:AI8)</f>
        <v>7591.3127334705778</v>
      </c>
      <c r="AK8" s="820">
        <f t="shared" ref="AK8:AK17" si="2">AJ8-L8</f>
        <v>762.23011060919816</v>
      </c>
      <c r="AL8" s="820">
        <f t="shared" ref="AL8:AL17" si="3">AJ8-F8</f>
        <v>-89.319223711790073</v>
      </c>
      <c r="AM8" s="152">
        <f t="shared" si="0"/>
        <v>549.24225999999999</v>
      </c>
      <c r="AN8" s="428">
        <f>('2122 Teachers Pay Scales'!K98+1100)/10</f>
        <v>4861.0422600000002</v>
      </c>
      <c r="AO8" s="841">
        <f>('2122 TA Pay Scales'!L40+490)/10</f>
        <v>2287.6188537117905</v>
      </c>
      <c r="AP8" s="428">
        <f t="shared" ref="AP8:AP22" si="4">K8</f>
        <v>300.11777569980694</v>
      </c>
      <c r="AQ8" s="428">
        <f t="shared" ref="AQ8:AQ24" si="5">SUM(AN8:AP8)</f>
        <v>7448.7788894115974</v>
      </c>
      <c r="AR8" s="428">
        <f t="shared" ref="AR8:AR17" si="6">AQ8-L8</f>
        <v>619.69626655021784</v>
      </c>
      <c r="AS8" s="843">
        <f t="shared" ref="AS8:AS17" si="7">AR8/L8</f>
        <v>9.0743706112983838E-2</v>
      </c>
      <c r="AT8" s="843">
        <f t="shared" ref="AT8:AT17" si="8">(AO8-J8)/L8</f>
        <v>1.0316760016105668E-2</v>
      </c>
      <c r="AU8" s="428">
        <f t="shared" ref="AU8:AU22" si="9">AO8-J8</f>
        <v>70.45400655021831</v>
      </c>
      <c r="AV8" s="152">
        <f t="shared" si="1"/>
        <v>70.45400655021831</v>
      </c>
      <c r="AX8" s="841">
        <f>('2122 Teachers Pay Scales'!K126+1100)/10</f>
        <v>4896.1872134999994</v>
      </c>
      <c r="AY8" s="428">
        <f>('2122 TA Pay Scales'!L41+490)/10</f>
        <v>2300.3057805676858</v>
      </c>
      <c r="AZ8" s="841">
        <f t="shared" ref="AZ8:AZ28" si="10">K8</f>
        <v>300.11777569980694</v>
      </c>
      <c r="BA8" s="428">
        <f t="shared" ref="BA8" si="11">SUM(AX8:AZ8)</f>
        <v>7496.6107697674915</v>
      </c>
      <c r="BB8" s="428">
        <f t="shared" ref="BB8" si="12">BA8-V8</f>
        <v>5158.04420863212</v>
      </c>
      <c r="BE8" s="428">
        <f t="shared" ref="BE8:BE24" si="13">AX8+AO8+AZ8</f>
        <v>7483.9238429115967</v>
      </c>
      <c r="BG8" s="422">
        <f>('2223 TA Pay Scales'!L45+490)/10</f>
        <v>2369.447230786026</v>
      </c>
      <c r="BH8" s="428">
        <f>('2223 Teachers Pay Scales'!K172+1100)/10</f>
        <v>4994.3789577699999</v>
      </c>
      <c r="BI8" s="428">
        <f>AZ8</f>
        <v>300.11777569980694</v>
      </c>
      <c r="BK8" s="1063">
        <f>SUM(BG8:BI8)</f>
        <v>7663.9439642558327</v>
      </c>
      <c r="BL8" s="1116">
        <f t="shared" ref="BL8:BL30" si="14">BN8/L8</f>
        <v>2.6360805877731167E-2</v>
      </c>
      <c r="BM8" s="1072">
        <f t="shared" ref="BM8:BM30" si="15">BN8/BE8</f>
        <v>2.4054242817388129E-2</v>
      </c>
      <c r="BN8" s="428">
        <f>BK8-BE8</f>
        <v>180.02012134423603</v>
      </c>
      <c r="BO8" s="428">
        <v>145.32012134423621</v>
      </c>
      <c r="BP8" s="428">
        <f t="shared" ref="BP8:BP30" si="16">BN8-BO8</f>
        <v>34.699999999999818</v>
      </c>
      <c r="BR8" s="428">
        <f>('2223 Teachers Pay Scales'!G176)/10</f>
        <v>34.527236972125003</v>
      </c>
      <c r="BS8" s="428">
        <f>('2223 TA Pay Scales'!H49)/10</f>
        <v>10.708090384825322</v>
      </c>
      <c r="BT8" s="428">
        <f t="shared" ref="BT8:BT30" si="17">SUM(BR8:BS8)</f>
        <v>45.235327356950322</v>
      </c>
    </row>
    <row r="9" spans="1:72" x14ac:dyDescent="0.25">
      <c r="C9" s="428"/>
      <c r="D9" s="428"/>
      <c r="E9" s="428"/>
      <c r="F9" s="428"/>
      <c r="I9" s="428"/>
      <c r="J9" s="428"/>
      <c r="K9" s="428"/>
      <c r="L9" s="428"/>
      <c r="N9" s="428"/>
      <c r="P9" s="428"/>
      <c r="Q9" s="428"/>
      <c r="R9" s="428"/>
      <c r="T9" s="152"/>
      <c r="U9" s="428"/>
      <c r="V9" s="428"/>
      <c r="W9" s="428"/>
      <c r="X9" s="428"/>
      <c r="Y9" s="428"/>
      <c r="AA9" s="428"/>
      <c r="AB9" s="428"/>
      <c r="AC9" s="428"/>
      <c r="AD9" s="428"/>
      <c r="AE9" s="428"/>
      <c r="AG9" s="820"/>
      <c r="AH9" s="820"/>
      <c r="AI9" s="820"/>
      <c r="AJ9" s="820"/>
      <c r="AK9" s="820"/>
      <c r="AL9" s="820"/>
      <c r="AM9" s="152">
        <f t="shared" si="0"/>
        <v>0</v>
      </c>
      <c r="AN9" s="428"/>
      <c r="AO9" s="841"/>
      <c r="AP9" s="428"/>
      <c r="AQ9" s="428"/>
      <c r="AR9" s="428"/>
      <c r="AS9" s="843"/>
      <c r="AT9" s="843"/>
      <c r="AU9" s="428"/>
      <c r="AV9" s="152">
        <f t="shared" si="1"/>
        <v>0</v>
      </c>
      <c r="AX9" s="841"/>
      <c r="AY9" s="428"/>
      <c r="AZ9" s="841"/>
      <c r="BA9" s="428"/>
      <c r="BB9" s="428"/>
      <c r="BE9" s="428"/>
      <c r="BK9" s="1062"/>
      <c r="BL9" s="1116"/>
      <c r="BM9" s="1072"/>
      <c r="BP9" s="428"/>
      <c r="BR9" s="428"/>
      <c r="BS9" s="428"/>
      <c r="BT9" s="428"/>
    </row>
    <row r="10" spans="1:72" x14ac:dyDescent="0.25">
      <c r="C10" s="428"/>
      <c r="D10" s="428"/>
      <c r="E10" s="428"/>
      <c r="F10" s="428"/>
      <c r="I10" s="428"/>
      <c r="J10" s="428"/>
      <c r="K10" s="428"/>
      <c r="L10" s="428"/>
      <c r="N10" s="428"/>
      <c r="P10" s="428"/>
      <c r="Q10" s="428"/>
      <c r="R10" s="428"/>
      <c r="T10" s="152"/>
      <c r="U10" s="428"/>
      <c r="V10" s="428"/>
      <c r="W10" s="428"/>
      <c r="X10" s="428"/>
      <c r="Y10" s="428"/>
      <c r="AA10" s="428"/>
      <c r="AB10" s="428"/>
      <c r="AC10" s="428"/>
      <c r="AD10" s="428"/>
      <c r="AE10" s="428"/>
      <c r="AG10" s="820"/>
      <c r="AH10" s="820"/>
      <c r="AI10" s="820"/>
      <c r="AJ10" s="820"/>
      <c r="AK10" s="820"/>
      <c r="AL10" s="820"/>
      <c r="AM10" s="152">
        <f t="shared" si="0"/>
        <v>0</v>
      </c>
      <c r="AN10" s="428"/>
      <c r="AO10" s="841"/>
      <c r="AP10" s="428"/>
      <c r="AQ10" s="428"/>
      <c r="AR10" s="428"/>
      <c r="AS10" s="843"/>
      <c r="AT10" s="843"/>
      <c r="AU10" s="428"/>
      <c r="AV10" s="152">
        <f t="shared" si="1"/>
        <v>0</v>
      </c>
      <c r="AX10" s="841"/>
      <c r="AY10" s="428"/>
      <c r="AZ10" s="841"/>
      <c r="BA10" s="428"/>
      <c r="BB10" s="428"/>
      <c r="BE10" s="428"/>
      <c r="BK10" s="1062"/>
      <c r="BL10" s="1116"/>
      <c r="BM10" s="1072"/>
      <c r="BP10" s="428"/>
      <c r="BR10" s="428"/>
      <c r="BS10" s="428"/>
      <c r="BT10" s="428"/>
    </row>
    <row r="11" spans="1:72" x14ac:dyDescent="0.25">
      <c r="A11" s="151" t="s">
        <v>735</v>
      </c>
      <c r="B11" s="150" t="s">
        <v>46</v>
      </c>
      <c r="C11" s="428">
        <f>('2122 Teachers Pay Scales'!K20+1100)/12</f>
        <v>4157.2775000000001</v>
      </c>
      <c r="D11" s="428">
        <f>('2122 TA Pay Scales'!L24+490)/12</f>
        <v>1948.8054676128095</v>
      </c>
      <c r="E11" s="428">
        <f>'2122 GLEA Pay Scales'!$K$19/10/37*6.25*195/224</f>
        <v>353.33239604699571</v>
      </c>
      <c r="F11" s="443">
        <f>SUM(C11:E11)</f>
        <v>6459.4153636598057</v>
      </c>
      <c r="G11" s="151" t="s">
        <v>143</v>
      </c>
      <c r="H11" s="152"/>
      <c r="I11" s="428">
        <v>3593.1666666666665</v>
      </c>
      <c r="J11" s="428">
        <v>1847.6373726346435</v>
      </c>
      <c r="K11" s="428">
        <v>300.11777569980694</v>
      </c>
      <c r="L11" s="443">
        <v>5740.9218150011166</v>
      </c>
      <c r="N11" s="428">
        <f>D11+E11-J11-K11</f>
        <v>154.3827153253547</v>
      </c>
      <c r="P11" s="428">
        <f>C11-I11</f>
        <v>564.11083333333363</v>
      </c>
      <c r="Q11" s="428">
        <f>$Q$1+$Q$2</f>
        <v>557.86</v>
      </c>
      <c r="R11" s="428">
        <f>P11-Q11</f>
        <v>6.2508333333336168</v>
      </c>
      <c r="T11" s="152"/>
      <c r="U11" s="428">
        <f>('2122 Teachers Pay Scales'!K19+1100)/12</f>
        <v>3891.2551249999997</v>
      </c>
      <c r="V11" s="428">
        <f>('2122 TA Pay Scales'!L24+490)/12</f>
        <v>1948.8054676128095</v>
      </c>
      <c r="W11" s="428">
        <f>'2122 GLEA Pay Scales'!$K$19/10/37*6.25*195/224</f>
        <v>353.33239604699571</v>
      </c>
      <c r="X11" s="443">
        <f>SUM(U11:W11)</f>
        <v>6193.3929886598053</v>
      </c>
      <c r="Y11" s="428">
        <f>X11-L11</f>
        <v>452.47117365868871</v>
      </c>
      <c r="AA11" s="428">
        <f>('2122 Teachers Pay Scales'!K20+1100)/12</f>
        <v>4157.2775000000001</v>
      </c>
      <c r="AB11" s="428">
        <f>('2122 TA Pay Scales'!L23+490)/12</f>
        <v>1842.581077147016</v>
      </c>
      <c r="AC11" s="428">
        <f>'2122 GLEA Pay Scales'!$K$19/10/37*6.25*195/224</f>
        <v>353.33239604699571</v>
      </c>
      <c r="AD11" s="443">
        <f>SUM(AA11:AC11)</f>
        <v>6353.1909731940123</v>
      </c>
      <c r="AE11" s="428">
        <f>AD11-L11</f>
        <v>612.2691581928957</v>
      </c>
      <c r="AG11" s="820">
        <f>('2122 Teachers Pay Scales'!K69+1100)/12</f>
        <v>4104.0730250000006</v>
      </c>
      <c r="AH11" s="820">
        <v>1927.5772561863175</v>
      </c>
      <c r="AI11" s="820">
        <f>'2122 GLEA Pay Scales'!$K$19/10/37*6.25*195/224</f>
        <v>353.33239604699571</v>
      </c>
      <c r="AJ11" s="820">
        <f>SUM(AG11:AI11)</f>
        <v>6384.9826772333145</v>
      </c>
      <c r="AK11" s="820">
        <f t="shared" si="2"/>
        <v>644.06086223219791</v>
      </c>
      <c r="AL11" s="820">
        <f t="shared" si="3"/>
        <v>-74.432686426491273</v>
      </c>
      <c r="AM11" s="152">
        <f t="shared" si="0"/>
        <v>457.70188333333317</v>
      </c>
      <c r="AN11" s="428">
        <f>('2122 Teachers Pay Scales'!K98+1100)/12</f>
        <v>4050.8685499999997</v>
      </c>
      <c r="AO11" s="841">
        <f>('2122 TA Pay Scales'!L40+490)/12</f>
        <v>1906.3490447598253</v>
      </c>
      <c r="AP11" s="428">
        <f t="shared" si="4"/>
        <v>300.11777569980694</v>
      </c>
      <c r="AQ11" s="428">
        <f t="shared" si="5"/>
        <v>6257.335370459632</v>
      </c>
      <c r="AR11" s="428">
        <f t="shared" si="6"/>
        <v>516.41355545851548</v>
      </c>
      <c r="AS11" s="843">
        <f t="shared" si="7"/>
        <v>8.9953072363591319E-2</v>
      </c>
      <c r="AT11" s="843">
        <f t="shared" si="8"/>
        <v>1.0226871923558922E-2</v>
      </c>
      <c r="AU11" s="428">
        <f t="shared" si="9"/>
        <v>58.711672125181849</v>
      </c>
      <c r="AV11" s="152">
        <f t="shared" si="1"/>
        <v>58.711672125181849</v>
      </c>
      <c r="AX11" s="841">
        <f>('2122 Teachers Pay Scales'!K126+1100)/12</f>
        <v>4080.1560112499997</v>
      </c>
      <c r="AY11" s="428">
        <f>('2122 TA Pay Scales'!L41+490)/12</f>
        <v>1916.9214838064047</v>
      </c>
      <c r="AZ11" s="841">
        <f t="shared" si="10"/>
        <v>300.11777569980694</v>
      </c>
      <c r="BA11" s="428">
        <f t="shared" ref="BA11" si="18">SUM(AX11:AZ11)</f>
        <v>6297.1952707562114</v>
      </c>
      <c r="BB11" s="428">
        <f t="shared" ref="BB11" si="19">BA11-V11</f>
        <v>4348.3898031434019</v>
      </c>
      <c r="BE11" s="428">
        <f t="shared" si="13"/>
        <v>6286.622831709632</v>
      </c>
      <c r="BG11" s="422">
        <f>('2223 TA Pay Scales'!L45+490)/12</f>
        <v>1974.5393589883552</v>
      </c>
      <c r="BH11" s="428">
        <f>('2223 Teachers Pay Scales'!K172+1100)/12</f>
        <v>4161.9824648083331</v>
      </c>
      <c r="BI11" s="428">
        <f>AZ11</f>
        <v>300.11777569980694</v>
      </c>
      <c r="BK11" s="1063">
        <f>SUM(BG11:BI11)</f>
        <v>6436.6395994964951</v>
      </c>
      <c r="BL11" s="1116">
        <f t="shared" si="14"/>
        <v>2.6131128871127795E-2</v>
      </c>
      <c r="BM11" s="1072">
        <f t="shared" si="15"/>
        <v>2.386285479545245E-2</v>
      </c>
      <c r="BN11" s="428">
        <f>BK11-BE11</f>
        <v>150.01676778686306</v>
      </c>
      <c r="BO11" s="428">
        <v>121.10010112019609</v>
      </c>
      <c r="BP11" s="428">
        <f t="shared" si="16"/>
        <v>28.91666666666697</v>
      </c>
      <c r="BR11" s="428">
        <f>('2223 Teachers Pay Scales'!G176)/12</f>
        <v>28.772697476770833</v>
      </c>
      <c r="BS11" s="428">
        <f>('2223 TA Pay Scales'!H49)/12</f>
        <v>8.9234086540211024</v>
      </c>
      <c r="BT11" s="428">
        <f t="shared" si="17"/>
        <v>37.696106130791932</v>
      </c>
    </row>
    <row r="12" spans="1:72" x14ac:dyDescent="0.25">
      <c r="C12" s="428"/>
      <c r="D12" s="428"/>
      <c r="E12" s="428"/>
      <c r="F12" s="428"/>
      <c r="I12" s="428"/>
      <c r="J12" s="428"/>
      <c r="K12" s="428"/>
      <c r="L12" s="428"/>
      <c r="N12" s="428"/>
      <c r="P12" s="428"/>
      <c r="Q12" s="428"/>
      <c r="R12" s="428"/>
      <c r="T12" s="152"/>
      <c r="U12" s="428"/>
      <c r="V12" s="428"/>
      <c r="W12" s="428"/>
      <c r="X12" s="428"/>
      <c r="Y12" s="428"/>
      <c r="AA12" s="428"/>
      <c r="AB12" s="428"/>
      <c r="AC12" s="428"/>
      <c r="AD12" s="428"/>
      <c r="AE12" s="428"/>
      <c r="AG12" s="820"/>
      <c r="AH12" s="820"/>
      <c r="AI12" s="820"/>
      <c r="AJ12" s="820"/>
      <c r="AK12" s="820"/>
      <c r="AL12" s="820"/>
      <c r="AM12" s="152">
        <f t="shared" si="0"/>
        <v>0</v>
      </c>
      <c r="AN12" s="428"/>
      <c r="AO12" s="841"/>
      <c r="AP12" s="428"/>
      <c r="AQ12" s="428"/>
      <c r="AR12" s="428"/>
      <c r="AS12" s="843"/>
      <c r="AT12" s="843"/>
      <c r="AU12" s="428"/>
      <c r="AV12" s="152">
        <f t="shared" si="1"/>
        <v>0</v>
      </c>
      <c r="AX12" s="841"/>
      <c r="AY12" s="428"/>
      <c r="AZ12" s="841"/>
      <c r="BA12" s="428"/>
      <c r="BB12" s="428"/>
      <c r="BE12" s="428"/>
      <c r="BK12" s="1062"/>
      <c r="BL12" s="1116"/>
      <c r="BM12" s="1072"/>
      <c r="BP12" s="428"/>
      <c r="BR12" s="428"/>
      <c r="BS12" s="428"/>
      <c r="BT12" s="428"/>
    </row>
    <row r="13" spans="1:72" x14ac:dyDescent="0.25">
      <c r="C13" s="428"/>
      <c r="D13" s="428"/>
      <c r="E13" s="428"/>
      <c r="F13" s="428"/>
      <c r="I13" s="428"/>
      <c r="J13" s="428"/>
      <c r="K13" s="428"/>
      <c r="L13" s="428"/>
      <c r="N13" s="428"/>
      <c r="P13" s="428"/>
      <c r="Q13" s="428"/>
      <c r="R13" s="428"/>
      <c r="T13" s="152"/>
      <c r="U13" s="428"/>
      <c r="V13" s="428"/>
      <c r="W13" s="428"/>
      <c r="X13" s="428"/>
      <c r="Y13" s="428"/>
      <c r="AA13" s="428"/>
      <c r="AB13" s="428"/>
      <c r="AC13" s="428"/>
      <c r="AD13" s="428"/>
      <c r="AE13" s="428"/>
      <c r="AG13" s="820"/>
      <c r="AH13" s="820"/>
      <c r="AI13" s="820"/>
      <c r="AJ13" s="820"/>
      <c r="AK13" s="820"/>
      <c r="AL13" s="820"/>
      <c r="AM13" s="152">
        <f t="shared" si="0"/>
        <v>0</v>
      </c>
      <c r="AN13" s="428"/>
      <c r="AO13" s="841"/>
      <c r="AP13" s="428"/>
      <c r="AQ13" s="428"/>
      <c r="AR13" s="428"/>
      <c r="AS13" s="843"/>
      <c r="AT13" s="843"/>
      <c r="AU13" s="428"/>
      <c r="AV13" s="152">
        <f t="shared" si="1"/>
        <v>0</v>
      </c>
      <c r="AX13" s="841"/>
      <c r="AY13" s="428"/>
      <c r="AZ13" s="841"/>
      <c r="BA13" s="428"/>
      <c r="BB13" s="428"/>
      <c r="BE13" s="428"/>
      <c r="BK13" s="1062"/>
      <c r="BL13" s="1116"/>
      <c r="BM13" s="1072"/>
      <c r="BP13" s="428"/>
      <c r="BR13" s="428"/>
      <c r="BS13" s="428"/>
      <c r="BT13" s="428"/>
    </row>
    <row r="14" spans="1:72" x14ac:dyDescent="0.25">
      <c r="A14" s="151" t="s">
        <v>739</v>
      </c>
      <c r="B14" s="150" t="s">
        <v>751</v>
      </c>
      <c r="C14" s="428">
        <f>('2122 Teachers Pay Scales'!K20+1100)/8</f>
        <v>6235.9162500000002</v>
      </c>
      <c r="D14" s="428">
        <f>(('2122 TA Pay Scales'!L24+490)/8)*3</f>
        <v>8769.6246042576422</v>
      </c>
      <c r="E14" s="428">
        <f>'2122 GLEA Pay Scales'!$K$19/10/37*6.25*195/224</f>
        <v>353.33239604699571</v>
      </c>
      <c r="F14" s="443">
        <f>SUM(C14:E14)</f>
        <v>15358.873250304638</v>
      </c>
      <c r="G14" s="151" t="s">
        <v>752</v>
      </c>
      <c r="I14" s="428">
        <v>5389.75</v>
      </c>
      <c r="J14" s="428">
        <v>8314.3681768558963</v>
      </c>
      <c r="K14" s="428">
        <v>300.11777569980694</v>
      </c>
      <c r="L14" s="443">
        <v>14004.235952555704</v>
      </c>
      <c r="N14" s="428">
        <f>D14+E14-J14-K14</f>
        <v>508.47104774893415</v>
      </c>
      <c r="P14" s="428">
        <f>C14-I14</f>
        <v>846.16625000000022</v>
      </c>
      <c r="Q14" s="428">
        <f>$Q$1+$Q$2</f>
        <v>557.86</v>
      </c>
      <c r="R14" s="428">
        <f>P14-Q14</f>
        <v>288.3062500000002</v>
      </c>
      <c r="T14" s="152"/>
      <c r="U14" s="428">
        <f>('2122 Teachers Pay Scales'!K19+1100)/8</f>
        <v>5836.8826874999995</v>
      </c>
      <c r="V14" s="428">
        <f>('2122 TA Pay Scales'!L24+490)/8*3</f>
        <v>8769.6246042576422</v>
      </c>
      <c r="W14" s="428">
        <f>'2122 GLEA Pay Scales'!$K$19/10/37*6.25*195/224</f>
        <v>353.33239604699571</v>
      </c>
      <c r="X14" s="443">
        <f>SUM(U14:W14)</f>
        <v>14959.839687804637</v>
      </c>
      <c r="Y14" s="428">
        <f>X14-L14</f>
        <v>955.60373524893294</v>
      </c>
      <c r="AA14" s="428">
        <f>('2122 Teachers Pay Scales'!K20+1100)/8</f>
        <v>6235.9162500000002</v>
      </c>
      <c r="AB14" s="428">
        <f>(('2122 TA Pay Scales'!L23+490)/8)*3</f>
        <v>8291.6148471615725</v>
      </c>
      <c r="AC14" s="428">
        <f>'2122 GLEA Pay Scales'!$K$19/10/37*6.25*195/224</f>
        <v>353.33239604699571</v>
      </c>
      <c r="AD14" s="443">
        <f>SUM(AA14:AC14)</f>
        <v>14880.863493208568</v>
      </c>
      <c r="AE14" s="428">
        <f>AD14-L14</f>
        <v>876.6275406528639</v>
      </c>
      <c r="AG14" s="820">
        <f>('2122 Teachers Pay Scales'!K69+1100)/8</f>
        <v>6156.1095375000004</v>
      </c>
      <c r="AH14" s="820">
        <v>8674.097652838429</v>
      </c>
      <c r="AI14" s="820">
        <f>'2122 GLEA Pay Scales'!$K$19/10/37*6.25*195/224</f>
        <v>353.33239604699571</v>
      </c>
      <c r="AJ14" s="820">
        <f>SUM(AG14:AI14)</f>
        <v>15183.539586385425</v>
      </c>
      <c r="AK14" s="820">
        <f t="shared" si="2"/>
        <v>1179.3036338297206</v>
      </c>
      <c r="AL14" s="820">
        <f t="shared" si="3"/>
        <v>-175.333663919213</v>
      </c>
      <c r="AM14" s="152">
        <f t="shared" si="0"/>
        <v>686.55282499999976</v>
      </c>
      <c r="AN14" s="428">
        <f>('2122 Teachers Pay Scales'!K98+1100)/8</f>
        <v>6076.3028249999998</v>
      </c>
      <c r="AO14" s="841">
        <f>('2122 TA Pay Scales'!L40+490)/8*3</f>
        <v>8578.5707014192139</v>
      </c>
      <c r="AP14" s="428">
        <f t="shared" si="4"/>
        <v>300.11777569980694</v>
      </c>
      <c r="AQ14" s="428">
        <f t="shared" si="5"/>
        <v>14954.991302119022</v>
      </c>
      <c r="AR14" s="428">
        <f t="shared" si="6"/>
        <v>950.7553495633183</v>
      </c>
      <c r="AS14" s="843">
        <f t="shared" si="7"/>
        <v>6.7890554885274568E-2</v>
      </c>
      <c r="AT14" s="843">
        <f t="shared" si="8"/>
        <v>1.8865900678794404E-2</v>
      </c>
      <c r="AU14" s="428">
        <f t="shared" si="9"/>
        <v>264.20252456331764</v>
      </c>
      <c r="AV14" s="152">
        <f t="shared" si="1"/>
        <v>264.20252456331764</v>
      </c>
      <c r="AX14" s="841">
        <f>('2122 Teachers Pay Scales'!K126+1100)/8</f>
        <v>6120.2340168749997</v>
      </c>
      <c r="AY14" s="428">
        <f>('2122 TA Pay Scales'!L41+490)/8*3</f>
        <v>8626.1466771288215</v>
      </c>
      <c r="AZ14" s="841">
        <f t="shared" si="10"/>
        <v>300.11777569980694</v>
      </c>
      <c r="BA14" s="428">
        <f t="shared" ref="BA14" si="20">SUM(AX14:AZ14)</f>
        <v>15046.498469703629</v>
      </c>
      <c r="BB14" s="428">
        <f t="shared" ref="BB14" si="21">BA14-V14</f>
        <v>6276.8738654459867</v>
      </c>
      <c r="BE14" s="428">
        <f t="shared" si="13"/>
        <v>14998.922493994021</v>
      </c>
      <c r="BG14" s="422">
        <f>('2223 TA Pay Scales'!L45+490)/8*3</f>
        <v>8885.4271154475973</v>
      </c>
      <c r="BH14" s="428">
        <f>('2223 Teachers Pay Scales'!K172+1100)/8</f>
        <v>6242.9736972125002</v>
      </c>
      <c r="BI14" s="428">
        <f>AZ14</f>
        <v>300.11777569980694</v>
      </c>
      <c r="BK14" s="1063">
        <f>SUM(BG14:BI14)</f>
        <v>15428.518588359904</v>
      </c>
      <c r="BL14" s="1116">
        <f t="shared" si="14"/>
        <v>3.0676153688162025E-2</v>
      </c>
      <c r="BM14" s="1072">
        <f t="shared" si="15"/>
        <v>2.864179707161664E-2</v>
      </c>
      <c r="BN14" s="428">
        <f>BK14-BE14</f>
        <v>429.59609436588289</v>
      </c>
      <c r="BO14" s="428">
        <v>299.47109436588289</v>
      </c>
      <c r="BP14" s="428">
        <f t="shared" si="16"/>
        <v>130.125</v>
      </c>
      <c r="BR14" s="428">
        <f>('2223 Teachers Pay Scales'!G176)/8</f>
        <v>43.159046215156252</v>
      </c>
      <c r="BS14" s="428">
        <f>('2223 TA Pay Scales'!H49)/8*3</f>
        <v>40.155338943094961</v>
      </c>
      <c r="BT14" s="428">
        <f t="shared" si="17"/>
        <v>83.314385158251213</v>
      </c>
    </row>
    <row r="15" spans="1:72" x14ac:dyDescent="0.25">
      <c r="C15" s="428"/>
      <c r="D15" s="428"/>
      <c r="E15" s="428"/>
      <c r="F15" s="428"/>
      <c r="I15" s="428"/>
      <c r="J15" s="428"/>
      <c r="K15" s="428"/>
      <c r="L15" s="428"/>
      <c r="N15" s="428"/>
      <c r="P15" s="428"/>
      <c r="Q15" s="428"/>
      <c r="R15" s="428"/>
      <c r="T15" s="152"/>
      <c r="U15" s="428"/>
      <c r="V15" s="428"/>
      <c r="W15" s="428"/>
      <c r="X15" s="428"/>
      <c r="Y15" s="428"/>
      <c r="AA15" s="428"/>
      <c r="AB15" s="428"/>
      <c r="AC15" s="428"/>
      <c r="AD15" s="428"/>
      <c r="AE15" s="428"/>
      <c r="AG15" s="820"/>
      <c r="AH15" s="820"/>
      <c r="AI15" s="820"/>
      <c r="AJ15" s="820"/>
      <c r="AK15" s="820"/>
      <c r="AL15" s="820"/>
      <c r="AM15" s="152">
        <f t="shared" si="0"/>
        <v>0</v>
      </c>
      <c r="AN15" s="428"/>
      <c r="AO15" s="841"/>
      <c r="AP15" s="428"/>
      <c r="AQ15" s="428"/>
      <c r="AR15" s="428"/>
      <c r="AS15" s="843"/>
      <c r="AT15" s="843"/>
      <c r="AU15" s="428"/>
      <c r="AV15" s="152">
        <f t="shared" si="1"/>
        <v>0</v>
      </c>
      <c r="AX15" s="841"/>
      <c r="AY15" s="428"/>
      <c r="AZ15" s="841"/>
      <c r="BA15" s="428"/>
      <c r="BB15" s="428"/>
      <c r="BE15" s="428"/>
      <c r="BK15" s="1062"/>
      <c r="BL15" s="1116"/>
      <c r="BM15" s="1072"/>
      <c r="BP15" s="428"/>
      <c r="BR15" s="428"/>
      <c r="BS15" s="428"/>
      <c r="BT15" s="428"/>
    </row>
    <row r="16" spans="1:72" x14ac:dyDescent="0.25">
      <c r="C16" s="428"/>
      <c r="D16" s="428"/>
      <c r="E16" s="428"/>
      <c r="F16" s="428"/>
      <c r="I16" s="428"/>
      <c r="J16" s="428"/>
      <c r="K16" s="428"/>
      <c r="L16" s="428"/>
      <c r="N16" s="428"/>
      <c r="P16" s="428"/>
      <c r="Q16" s="428"/>
      <c r="R16" s="428"/>
      <c r="T16" s="152"/>
      <c r="U16" s="428"/>
      <c r="V16" s="428"/>
      <c r="W16" s="428"/>
      <c r="X16" s="428"/>
      <c r="Y16" s="428"/>
      <c r="AA16" s="428"/>
      <c r="AB16" s="428"/>
      <c r="AC16" s="428"/>
      <c r="AD16" s="428"/>
      <c r="AE16" s="428"/>
      <c r="AG16" s="820"/>
      <c r="AH16" s="820"/>
      <c r="AI16" s="820"/>
      <c r="AJ16" s="820"/>
      <c r="AK16" s="820"/>
      <c r="AL16" s="820"/>
      <c r="AM16" s="152">
        <f t="shared" si="0"/>
        <v>0</v>
      </c>
      <c r="AN16" s="428"/>
      <c r="AO16" s="841"/>
      <c r="AP16" s="428"/>
      <c r="AQ16" s="428"/>
      <c r="AR16" s="428"/>
      <c r="AS16" s="843"/>
      <c r="AT16" s="843"/>
      <c r="AU16" s="428"/>
      <c r="AV16" s="152">
        <f t="shared" si="1"/>
        <v>0</v>
      </c>
      <c r="AX16" s="841"/>
      <c r="AY16" s="428"/>
      <c r="AZ16" s="841"/>
      <c r="BA16" s="428"/>
      <c r="BB16" s="428"/>
      <c r="BE16" s="428"/>
      <c r="BK16" s="1062"/>
      <c r="BL16" s="1116"/>
      <c r="BM16" s="1072"/>
      <c r="BP16" s="428"/>
      <c r="BR16" s="428"/>
      <c r="BS16" s="428"/>
      <c r="BT16" s="428"/>
    </row>
    <row r="17" spans="1:72" x14ac:dyDescent="0.25">
      <c r="A17" s="151" t="s">
        <v>737</v>
      </c>
      <c r="B17" s="150" t="s">
        <v>40</v>
      </c>
      <c r="C17" s="428">
        <f>('2122 Teachers Pay Scales'!K20+1100)/10</f>
        <v>4988.7330000000002</v>
      </c>
      <c r="D17" s="428">
        <f>(('2122 TA Pay Scales'!L24+490)/10)*3</f>
        <v>7015.6996834061147</v>
      </c>
      <c r="E17" s="428">
        <f>'2122 GLEA Pay Scales'!$K$19/10/37*6.25*195/224</f>
        <v>353.33239604699571</v>
      </c>
      <c r="F17" s="443">
        <f>SUM(C17:E17)</f>
        <v>12357.765079453109</v>
      </c>
      <c r="G17" s="151" t="s">
        <v>141</v>
      </c>
      <c r="I17" s="428">
        <v>4311.8</v>
      </c>
      <c r="J17" s="428">
        <v>6651.494541484717</v>
      </c>
      <c r="K17" s="428">
        <v>300.11777569980694</v>
      </c>
      <c r="L17" s="443">
        <v>11263.412317184524</v>
      </c>
      <c r="N17" s="428">
        <f>D17+E17-J17-K17</f>
        <v>417.41976226858679</v>
      </c>
      <c r="P17" s="428">
        <f>C17-I17</f>
        <v>676.93299999999999</v>
      </c>
      <c r="Q17" s="428">
        <f>$Q$1+$Q$2</f>
        <v>557.86</v>
      </c>
      <c r="R17" s="428">
        <f>P17-Q17</f>
        <v>119.07299999999998</v>
      </c>
      <c r="T17" s="152"/>
      <c r="U17" s="428">
        <f>('2122 Teachers Pay Scales'!K19+1100)/10</f>
        <v>4669.5061499999993</v>
      </c>
      <c r="V17" s="428">
        <f>('2122 TA Pay Scales'!L24+490)/10*3</f>
        <v>7015.6996834061147</v>
      </c>
      <c r="W17" s="428">
        <f>'2122 GLEA Pay Scales'!$K$19/10/37*6.25*195/224</f>
        <v>353.33239604699571</v>
      </c>
      <c r="X17" s="443">
        <f>SUM(U17:W17)</f>
        <v>12038.53822945311</v>
      </c>
      <c r="Y17" s="428">
        <f>X17-L17</f>
        <v>775.12591226858603</v>
      </c>
      <c r="AA17" s="428">
        <f>('2122 Teachers Pay Scales'!K20+1100)/10</f>
        <v>4988.7330000000002</v>
      </c>
      <c r="AB17" s="428">
        <f>(('2122 TA Pay Scales'!L23+490)/10)*3</f>
        <v>6633.2918777292571</v>
      </c>
      <c r="AC17" s="428">
        <f>'2122 GLEA Pay Scales'!$K$19/10/37*6.25*195/224</f>
        <v>353.33239604699571</v>
      </c>
      <c r="AD17" s="443">
        <f>SUM(AA17:AC17)</f>
        <v>11975.357273776253</v>
      </c>
      <c r="AE17" s="428">
        <f>AD17-L17</f>
        <v>711.94495659172935</v>
      </c>
      <c r="AG17" s="820">
        <f>('2122 Teachers Pay Scales'!K69+1100)/10</f>
        <v>4924.8876300000002</v>
      </c>
      <c r="AH17" s="820">
        <v>6939.2781222707436</v>
      </c>
      <c r="AI17" s="820">
        <f>'2122 GLEA Pay Scales'!$K$19/10/37*6.25*195/224</f>
        <v>353.33239604699571</v>
      </c>
      <c r="AJ17" s="820">
        <f>SUM(AG17:AI17)</f>
        <v>12217.498148317738</v>
      </c>
      <c r="AK17" s="820">
        <f t="shared" si="2"/>
        <v>954.08583113321401</v>
      </c>
      <c r="AL17" s="820">
        <f t="shared" si="3"/>
        <v>-140.26693113537112</v>
      </c>
      <c r="AM17" s="152">
        <f t="shared" si="0"/>
        <v>549.24225999999999</v>
      </c>
      <c r="AN17" s="428">
        <f>('2122 Teachers Pay Scales'!K98+1100)/10</f>
        <v>4861.0422600000002</v>
      </c>
      <c r="AO17" s="841">
        <f>('2122 TA Pay Scales'!L40+490)/10*3</f>
        <v>6862.8565611353715</v>
      </c>
      <c r="AP17" s="428">
        <f t="shared" si="4"/>
        <v>300.11777569980694</v>
      </c>
      <c r="AQ17" s="428">
        <f t="shared" si="5"/>
        <v>12024.016596835179</v>
      </c>
      <c r="AR17" s="428">
        <f t="shared" si="6"/>
        <v>760.60427965065537</v>
      </c>
      <c r="AS17" s="843">
        <f t="shared" si="7"/>
        <v>6.7528761110006219E-2</v>
      </c>
      <c r="AT17" s="843">
        <f t="shared" si="8"/>
        <v>1.8765362902340054E-2</v>
      </c>
      <c r="AU17" s="428">
        <f t="shared" si="9"/>
        <v>211.36201965065447</v>
      </c>
      <c r="AV17" s="152">
        <f>AO17-J17</f>
        <v>211.36201965065447</v>
      </c>
      <c r="AX17" s="841">
        <f>('2122 Teachers Pay Scales'!K126+1100)/10</f>
        <v>4896.1872134999994</v>
      </c>
      <c r="AY17" s="428">
        <f>('2122 TA Pay Scales'!L41+490)/10*3</f>
        <v>6900.9173417030579</v>
      </c>
      <c r="AZ17" s="841">
        <f t="shared" si="10"/>
        <v>300.11777569980694</v>
      </c>
      <c r="BA17" s="428">
        <f t="shared" ref="BA17" si="22">SUM(AX17:AZ17)</f>
        <v>12097.222330902865</v>
      </c>
      <c r="BB17" s="428">
        <f t="shared" ref="BB17" si="23">BA17-V17</f>
        <v>5081.5226474967503</v>
      </c>
      <c r="BE17" s="428">
        <f>AX17+AO17+AZ17</f>
        <v>12059.161550335179</v>
      </c>
      <c r="BG17" s="422">
        <f>('2223 TA Pay Scales'!L45+490)/10*3</f>
        <v>7108.341692358078</v>
      </c>
      <c r="BH17" s="428">
        <f>('2223 Teachers Pay Scales'!K172+1100)/10</f>
        <v>4994.3789577699999</v>
      </c>
      <c r="BI17" s="428">
        <f>AZ17</f>
        <v>300.11777569980694</v>
      </c>
      <c r="BK17" s="1063"/>
      <c r="BL17" s="1116"/>
      <c r="BM17" s="1072"/>
      <c r="BN17" s="428"/>
      <c r="BO17" s="428"/>
      <c r="BP17" s="428"/>
      <c r="BR17" s="428">
        <f>('2223 Teachers Pay Scales'!G176)/10</f>
        <v>34.527236972125003</v>
      </c>
      <c r="BS17" s="428">
        <f>('2223 TA Pay Scales'!H49)/10*3</f>
        <v>32.124271154475963</v>
      </c>
      <c r="BT17" s="428">
        <f t="shared" si="17"/>
        <v>66.651508126600959</v>
      </c>
    </row>
    <row r="18" spans="1:72" x14ac:dyDescent="0.25">
      <c r="C18" s="428"/>
      <c r="D18" s="428"/>
      <c r="E18" s="428"/>
      <c r="F18" s="428"/>
      <c r="N18" s="428"/>
      <c r="P18" s="428"/>
      <c r="Q18" s="428"/>
      <c r="R18" s="428"/>
      <c r="AN18" s="150"/>
      <c r="AO18" s="842"/>
      <c r="AP18" s="428"/>
      <c r="AQ18" s="428"/>
      <c r="AR18" s="150"/>
      <c r="AU18" s="428"/>
      <c r="AV18" s="152">
        <f t="shared" si="1"/>
        <v>0</v>
      </c>
      <c r="AX18" s="842"/>
      <c r="AY18" s="150"/>
      <c r="AZ18" s="841"/>
      <c r="BA18" s="428"/>
      <c r="BB18" s="150"/>
      <c r="BE18" s="428"/>
      <c r="BK18" s="1062"/>
      <c r="BL18" s="1116"/>
      <c r="BM18" s="1072"/>
      <c r="BP18" s="428"/>
      <c r="BR18" s="428"/>
      <c r="BS18" s="428"/>
      <c r="BT18" s="428"/>
    </row>
    <row r="19" spans="1:72" x14ac:dyDescent="0.25">
      <c r="C19" s="428"/>
      <c r="D19" s="428"/>
      <c r="E19" s="428"/>
      <c r="F19" s="428"/>
      <c r="N19" s="428"/>
      <c r="P19" s="428"/>
      <c r="Q19" s="428"/>
      <c r="R19" s="428"/>
      <c r="AN19" s="150"/>
      <c r="AO19" s="842"/>
      <c r="AP19" s="428"/>
      <c r="AQ19" s="428"/>
      <c r="AR19" s="150"/>
      <c r="AU19" s="428"/>
      <c r="AV19" s="152">
        <f t="shared" si="1"/>
        <v>0</v>
      </c>
      <c r="AX19" s="842"/>
      <c r="AY19" s="150"/>
      <c r="AZ19" s="841"/>
      <c r="BA19" s="428"/>
      <c r="BB19" s="150"/>
      <c r="BE19" s="428"/>
      <c r="BK19" s="1062"/>
      <c r="BL19" s="1116"/>
      <c r="BM19" s="1072"/>
      <c r="BP19" s="428"/>
      <c r="BR19" s="428"/>
      <c r="BS19" s="428"/>
      <c r="BT19" s="428"/>
    </row>
    <row r="20" spans="1:72" ht="25" x14ac:dyDescent="0.25">
      <c r="A20" s="151" t="s">
        <v>1253</v>
      </c>
      <c r="C20" s="428">
        <v>0</v>
      </c>
      <c r="D20" s="428">
        <v>0</v>
      </c>
      <c r="E20" s="428">
        <v>0</v>
      </c>
      <c r="F20" s="443">
        <v>2635</v>
      </c>
      <c r="G20" s="444" t="s">
        <v>943</v>
      </c>
      <c r="I20" s="428">
        <v>0</v>
      </c>
      <c r="J20" s="428">
        <v>0</v>
      </c>
      <c r="K20" s="428">
        <v>0</v>
      </c>
      <c r="L20" s="443">
        <v>2635</v>
      </c>
      <c r="N20" s="428">
        <f>D20+E20-J20-K20</f>
        <v>0</v>
      </c>
      <c r="P20" s="428">
        <f>C20-I20</f>
        <v>0</v>
      </c>
      <c r="Q20" s="428"/>
      <c r="R20" s="428"/>
      <c r="AN20" s="150"/>
      <c r="AO20" s="842"/>
      <c r="AP20" s="428"/>
      <c r="AQ20" s="428">
        <f>F20</f>
        <v>2635</v>
      </c>
      <c r="AR20" s="150"/>
      <c r="AU20" s="428"/>
      <c r="AV20" s="152">
        <f t="shared" si="1"/>
        <v>0</v>
      </c>
      <c r="AX20" s="842"/>
      <c r="AY20" s="150"/>
      <c r="AZ20" s="841">
        <v>2635</v>
      </c>
      <c r="BA20" s="428"/>
      <c r="BB20" s="150"/>
      <c r="BE20" s="428">
        <f>AX20+AO20+AZ20</f>
        <v>2635</v>
      </c>
      <c r="BK20" s="1062"/>
      <c r="BL20" s="1116"/>
      <c r="BM20" s="1072"/>
      <c r="BN20" s="428"/>
      <c r="BO20" s="428"/>
      <c r="BP20" s="428"/>
      <c r="BR20" s="428"/>
      <c r="BS20" s="428"/>
      <c r="BT20" s="428"/>
    </row>
    <row r="21" spans="1:72" x14ac:dyDescent="0.25">
      <c r="C21" s="428"/>
      <c r="D21" s="428"/>
      <c r="E21" s="428"/>
      <c r="F21" s="428"/>
      <c r="G21" s="1"/>
      <c r="I21" s="428"/>
      <c r="J21" s="428"/>
      <c r="K21" s="428"/>
      <c r="L21" s="428"/>
      <c r="N21" s="428"/>
      <c r="P21" s="428"/>
      <c r="Q21" s="428"/>
      <c r="R21" s="428"/>
      <c r="X21" s="182" t="s">
        <v>1365</v>
      </c>
      <c r="AD21" s="422">
        <f>'2122 TA Pay Scales'!L40</f>
        <v>22386.188537117905</v>
      </c>
      <c r="AN21" s="150"/>
      <c r="AO21" s="842"/>
      <c r="AP21" s="428"/>
      <c r="AQ21" s="428"/>
      <c r="AR21" s="150"/>
      <c r="AU21" s="428"/>
      <c r="AV21" s="152">
        <f t="shared" si="1"/>
        <v>0</v>
      </c>
      <c r="AX21" s="842"/>
      <c r="AY21" s="150"/>
      <c r="AZ21" s="841"/>
      <c r="BA21" s="428"/>
      <c r="BB21" s="150"/>
      <c r="BE21" s="428"/>
      <c r="BK21" s="1062"/>
      <c r="BL21" s="1116"/>
      <c r="BM21" s="1072"/>
      <c r="BP21" s="428"/>
      <c r="BR21" s="428"/>
      <c r="BS21" s="428"/>
      <c r="BT21" s="428"/>
    </row>
    <row r="22" spans="1:72" x14ac:dyDescent="0.25">
      <c r="A22" s="151" t="s">
        <v>741</v>
      </c>
      <c r="B22" s="150" t="s">
        <v>751</v>
      </c>
      <c r="C22" s="428">
        <f>('2122 Teachers Pay Scales'!K20+1100)/6</f>
        <v>8314.5550000000003</v>
      </c>
      <c r="D22" s="428">
        <f>(('2122 TA Pay Scales'!L24+490)/6)*2</f>
        <v>7795.2218704512379</v>
      </c>
      <c r="E22" s="428">
        <f>'2122 GLEA Pay Scales'!$K$19/10/37*6.25*195/224</f>
        <v>353.33239604699571</v>
      </c>
      <c r="F22" s="443">
        <f>SUM(C22:E22)</f>
        <v>16463.109266498235</v>
      </c>
      <c r="G22" s="151" t="s">
        <v>753</v>
      </c>
      <c r="I22" s="428">
        <v>7186.333333333333</v>
      </c>
      <c r="J22" s="428">
        <v>7390.549490538574</v>
      </c>
      <c r="K22" s="428">
        <v>300.11777569980694</v>
      </c>
      <c r="L22" s="443">
        <v>14877.000599571715</v>
      </c>
      <c r="N22" s="428">
        <f>D22+E22-J22-K22</f>
        <v>457.8870002598531</v>
      </c>
      <c r="P22" s="428">
        <f>C22-I22</f>
        <v>1128.2216666666673</v>
      </c>
      <c r="Q22" s="428">
        <f>$Q$1+$Q$2</f>
        <v>557.86</v>
      </c>
      <c r="R22" s="428">
        <f>P22-Q22</f>
        <v>570.36166666666725</v>
      </c>
      <c r="AG22" s="820">
        <f>('2122 Teachers Pay Scales'!K69+1100)/6</f>
        <v>8208.1460500000012</v>
      </c>
      <c r="AH22" s="820">
        <v>7710.3090247452701</v>
      </c>
      <c r="AI22" s="820">
        <f>'2122 GLEA Pay Scales'!$K$19/10/37*6.25*195/224</f>
        <v>353.33239604699571</v>
      </c>
      <c r="AJ22" s="820">
        <f>SUM(AG22:AI22)</f>
        <v>16271.787470792266</v>
      </c>
      <c r="AK22" s="820">
        <f>AJ22-L22</f>
        <v>1394.7868712205509</v>
      </c>
      <c r="AL22" s="820">
        <f>AJ22-F22</f>
        <v>-191.32179570596963</v>
      </c>
      <c r="AN22" s="428">
        <f>('2122 Teachers Pay Scales'!K98+1100)/6</f>
        <v>8101.7370999999994</v>
      </c>
      <c r="AO22" s="841">
        <f>('2122 TA Pay Scales'!L40+490)/6*2</f>
        <v>7625.3961790393014</v>
      </c>
      <c r="AP22" s="428">
        <f t="shared" si="4"/>
        <v>300.11777569980694</v>
      </c>
      <c r="AQ22" s="428">
        <f t="shared" si="5"/>
        <v>16027.251054739108</v>
      </c>
      <c r="AR22" s="150"/>
      <c r="AU22" s="428">
        <f t="shared" si="9"/>
        <v>234.8466885007274</v>
      </c>
      <c r="AV22" s="152">
        <f t="shared" si="1"/>
        <v>234.8466885007274</v>
      </c>
      <c r="AX22" s="841">
        <f>('2122 Teachers Pay Scales'!K126+1100)/6</f>
        <v>8160.3120224999993</v>
      </c>
      <c r="AY22" s="428">
        <f>('2122 TA Pay Scales'!L41+490)/6*2</f>
        <v>7667.6859352256188</v>
      </c>
      <c r="AZ22" s="841">
        <f t="shared" si="10"/>
        <v>300.11777569980694</v>
      </c>
      <c r="BA22" s="428">
        <f t="shared" ref="BA22" si="24">SUM(AX22:AZ22)</f>
        <v>16128.115733425426</v>
      </c>
      <c r="BB22" s="150"/>
      <c r="BE22" s="428">
        <f>AX22+AO22+AZ22</f>
        <v>16085.825977239108</v>
      </c>
      <c r="BG22" s="422">
        <f>('2223 TA Pay Scales'!L45+490)/6*2</f>
        <v>7898.1574359534206</v>
      </c>
      <c r="BH22" s="428">
        <f>('2223 Teachers Pay Scales'!K172+1100)/6</f>
        <v>8323.9649296166663</v>
      </c>
      <c r="BI22" s="428">
        <f>AZ22</f>
        <v>300.11777569980694</v>
      </c>
      <c r="BK22" s="1063">
        <f>SUM(BG22:BI22)</f>
        <v>16522.240141269893</v>
      </c>
      <c r="BL22" s="1116">
        <f t="shared" si="14"/>
        <v>2.9334821969648105E-2</v>
      </c>
      <c r="BM22" s="1072">
        <f t="shared" si="15"/>
        <v>2.7130354676738109E-2</v>
      </c>
      <c r="BN22" s="428">
        <f>BK22-BE22</f>
        <v>436.41416403078438</v>
      </c>
      <c r="BO22" s="428">
        <v>320.74749736412014</v>
      </c>
      <c r="BP22" s="428">
        <f t="shared" si="16"/>
        <v>115.66666666666424</v>
      </c>
      <c r="BR22" s="428">
        <f>('2223 Teachers Pay Scales'!G176)/6</f>
        <v>57.545394953541667</v>
      </c>
      <c r="BS22" s="428">
        <f>('2223 TA Pay Scales'!H49)/6*2</f>
        <v>35.69363461608441</v>
      </c>
      <c r="BT22" s="428">
        <f t="shared" si="17"/>
        <v>93.239029569626069</v>
      </c>
    </row>
    <row r="23" spans="1:72" x14ac:dyDescent="0.25">
      <c r="C23" s="428"/>
      <c r="D23" s="428"/>
      <c r="E23" s="428"/>
      <c r="F23" s="428"/>
      <c r="I23" s="428"/>
      <c r="J23" s="428"/>
      <c r="K23" s="428"/>
      <c r="L23" s="428"/>
      <c r="N23" s="428"/>
      <c r="P23" s="428"/>
      <c r="Q23" s="428"/>
      <c r="R23" s="428"/>
      <c r="AH23" s="820"/>
      <c r="AN23" s="150"/>
      <c r="AO23" s="842"/>
      <c r="AP23" s="150"/>
      <c r="AQ23" s="428"/>
      <c r="AR23" s="150"/>
      <c r="AU23" s="428"/>
      <c r="AV23" s="152">
        <f t="shared" si="1"/>
        <v>0</v>
      </c>
      <c r="AX23" s="841"/>
      <c r="AY23" s="150"/>
      <c r="AZ23" s="841"/>
      <c r="BA23" s="428"/>
      <c r="BB23" s="150"/>
      <c r="BE23" s="428"/>
      <c r="BK23" s="1062"/>
      <c r="BL23" s="1116"/>
      <c r="BM23" s="1072"/>
      <c r="BP23" s="428"/>
      <c r="BR23" s="428"/>
      <c r="BS23" s="428"/>
      <c r="BT23" s="428"/>
    </row>
    <row r="24" spans="1:72" x14ac:dyDescent="0.25">
      <c r="A24" s="151" t="s">
        <v>743</v>
      </c>
      <c r="B24" s="150" t="s">
        <v>671</v>
      </c>
      <c r="C24" s="428">
        <v>0</v>
      </c>
      <c r="D24" s="428">
        <f>('2122 TA Pay Scales'!L24+490)</f>
        <v>23385.665611353714</v>
      </c>
      <c r="E24" s="428">
        <v>0</v>
      </c>
      <c r="F24" s="443">
        <f>SUM(C24:E24)</f>
        <v>23385.665611353714</v>
      </c>
      <c r="G24" s="151" t="s">
        <v>944</v>
      </c>
      <c r="I24" s="428">
        <v>0</v>
      </c>
      <c r="J24" s="428">
        <v>22512.750755794426</v>
      </c>
      <c r="K24" s="428">
        <v>0</v>
      </c>
      <c r="L24" s="443">
        <v>22512.750755794426</v>
      </c>
      <c r="N24" s="428">
        <f>D24+E24-J24-K24</f>
        <v>872.91485555928739</v>
      </c>
      <c r="P24" s="428">
        <f>C24-I24</f>
        <v>0</v>
      </c>
      <c r="Q24" s="428"/>
      <c r="R24" s="428"/>
      <c r="AH24" s="820">
        <v>23130.927074235809</v>
      </c>
      <c r="AK24" s="820">
        <f>AH24-J24</f>
        <v>618.17631844138305</v>
      </c>
      <c r="AL24" s="820">
        <f>AH24-D24</f>
        <v>-254.73853711790434</v>
      </c>
      <c r="AN24" s="150"/>
      <c r="AO24" s="841">
        <f>('2122 TA Pay Scales'!L40+490)</f>
        <v>22876.188537117905</v>
      </c>
      <c r="AP24" s="150">
        <v>0</v>
      </c>
      <c r="AQ24" s="428">
        <f t="shared" si="5"/>
        <v>22876.188537117905</v>
      </c>
      <c r="AR24" s="150"/>
      <c r="AU24" s="428">
        <f>AO24-J24</f>
        <v>363.4377813234787</v>
      </c>
      <c r="AV24" s="152">
        <f t="shared" si="1"/>
        <v>363.4377813234787</v>
      </c>
      <c r="AX24" s="841"/>
      <c r="AY24" s="428"/>
      <c r="AZ24" s="841">
        <f t="shared" si="10"/>
        <v>0</v>
      </c>
      <c r="BA24" s="428">
        <f t="shared" ref="BA24" si="25">SUM(AX24:AZ24)</f>
        <v>0</v>
      </c>
      <c r="BB24" s="150"/>
      <c r="BE24" s="428">
        <f t="shared" si="13"/>
        <v>22876.188537117905</v>
      </c>
      <c r="BG24" s="422">
        <f>'2223 TA Pay Scales'!L45+490</f>
        <v>23694.472307860262</v>
      </c>
      <c r="BH24" s="428">
        <v>0</v>
      </c>
      <c r="BI24" s="428">
        <f>AZ24</f>
        <v>0</v>
      </c>
      <c r="BK24" s="1063">
        <f>SUM(BG24:BI24)</f>
        <v>23694.472307860262</v>
      </c>
      <c r="BL24" s="1116">
        <f t="shared" si="14"/>
        <v>3.6347569411603046E-2</v>
      </c>
      <c r="BM24" s="1072">
        <f t="shared" si="15"/>
        <v>3.57701095798649E-2</v>
      </c>
      <c r="BN24" s="428">
        <f>BK24-BE24</f>
        <v>818.28377074235686</v>
      </c>
      <c r="BO24" s="428">
        <v>471.28377074235686</v>
      </c>
      <c r="BP24" s="428">
        <f t="shared" si="16"/>
        <v>347</v>
      </c>
      <c r="BR24" s="428">
        <v>0</v>
      </c>
      <c r="BS24" s="428">
        <f>'2223 TA Pay Scales'!H49</f>
        <v>107.08090384825323</v>
      </c>
      <c r="BT24" s="428">
        <f t="shared" si="17"/>
        <v>107.08090384825323</v>
      </c>
    </row>
    <row r="25" spans="1:72" x14ac:dyDescent="0.25">
      <c r="K25" s="151"/>
      <c r="L25" s="151"/>
      <c r="AF25" s="151" t="s">
        <v>1366</v>
      </c>
      <c r="AH25" s="820">
        <f>('2122 TA Pay Scales'!L$43+490)</f>
        <v>22749.319268558953</v>
      </c>
      <c r="AK25" s="820">
        <f>AH25-J24</f>
        <v>236.56851276452653</v>
      </c>
      <c r="AL25" s="820">
        <f>AH25-D24</f>
        <v>-636.34634279476086</v>
      </c>
      <c r="AO25" s="841"/>
      <c r="AX25" s="841"/>
      <c r="AY25" s="428"/>
      <c r="AZ25" s="841"/>
      <c r="BE25" s="150"/>
      <c r="BG25" s="422"/>
      <c r="BH25" s="428"/>
      <c r="BI25" s="428"/>
      <c r="BK25" s="1063"/>
      <c r="BL25" s="1116"/>
      <c r="BM25" s="1072"/>
      <c r="BN25" s="428"/>
      <c r="BP25" s="428"/>
      <c r="BR25" s="428"/>
      <c r="BS25" s="428"/>
      <c r="BT25" s="428"/>
    </row>
    <row r="26" spans="1:72" x14ac:dyDescent="0.25">
      <c r="A26" s="151" t="s">
        <v>1389</v>
      </c>
      <c r="B26" s="150" t="s">
        <v>1368</v>
      </c>
      <c r="G26" s="151" t="s">
        <v>1369</v>
      </c>
      <c r="I26" s="428">
        <v>5046.875</v>
      </c>
      <c r="J26" s="428">
        <v>5542.9121179039303</v>
      </c>
      <c r="K26" s="428">
        <v>300.11777569980694</v>
      </c>
      <c r="L26" s="428">
        <v>10889.904893603738</v>
      </c>
      <c r="AO26" s="841">
        <f>('2122 TA Pay Scales'!L40+490)/8*2</f>
        <v>5719.0471342794763</v>
      </c>
      <c r="AX26" s="841">
        <f>('2122 Teachers Pay Scales'!K153+1100)/8</f>
        <v>5730.1090168749997</v>
      </c>
      <c r="AY26" s="428"/>
      <c r="AZ26" s="841">
        <f t="shared" si="10"/>
        <v>300.11777569980694</v>
      </c>
      <c r="BE26" s="428">
        <f>AX26+AO26+AZ26</f>
        <v>11749.273926854283</v>
      </c>
      <c r="BG26" s="422">
        <f>('2223 TA Pay Scales'!L45+490)/8*2</f>
        <v>5923.6180769650655</v>
      </c>
      <c r="BH26" s="428">
        <f>('2223 Teachers Pay Scales'!K153+1100)/8</f>
        <v>5845.0486972125</v>
      </c>
      <c r="BI26" s="428">
        <f t="shared" ref="BI26" si="26">AZ26</f>
        <v>300.11777569980694</v>
      </c>
      <c r="BK26" s="1063">
        <f t="shared" ref="BK26" si="27">SUM(BG26:BI26)</f>
        <v>12068.784549877373</v>
      </c>
      <c r="BL26" s="1116">
        <f t="shared" si="14"/>
        <v>2.9340074697140575E-2</v>
      </c>
      <c r="BM26" s="1072">
        <f t="shared" si="15"/>
        <v>2.7194073864667757E-2</v>
      </c>
      <c r="BN26" s="428">
        <f>BK26-BE26</f>
        <v>319.51062302309037</v>
      </c>
      <c r="BO26" s="428">
        <v>232.76062302309037</v>
      </c>
      <c r="BP26" s="428">
        <f t="shared" si="16"/>
        <v>86.75</v>
      </c>
      <c r="BR26" s="428">
        <f>('2223 Teachers Pay Scales'!G176)/8</f>
        <v>43.159046215156252</v>
      </c>
      <c r="BS26" s="428">
        <f>('2223 TA Pay Scales'!H49)/8*2</f>
        <v>26.770225962063307</v>
      </c>
      <c r="BT26" s="428">
        <f t="shared" ref="BT26" si="28">SUM(BR26:BS26)</f>
        <v>69.929272177219559</v>
      </c>
    </row>
    <row r="27" spans="1:72" x14ac:dyDescent="0.25">
      <c r="K27" s="151"/>
      <c r="L27" s="151"/>
      <c r="AX27" s="428"/>
      <c r="BE27" s="150"/>
      <c r="BK27" s="1062"/>
      <c r="BL27" s="1116"/>
      <c r="BM27" s="1072"/>
      <c r="BP27" s="428"/>
      <c r="BR27" s="428"/>
      <c r="BS27" s="428"/>
      <c r="BT27" s="428"/>
    </row>
    <row r="28" spans="1:72" x14ac:dyDescent="0.25">
      <c r="A28" s="151" t="s">
        <v>748</v>
      </c>
      <c r="G28" s="151" t="s">
        <v>750</v>
      </c>
      <c r="K28" s="428">
        <v>300.11777569980694</v>
      </c>
      <c r="AO28" s="841">
        <f>('2122 TA Pay Scales'!L40+490)/8*AO36</f>
        <v>8273.8097577603712</v>
      </c>
      <c r="AX28" s="841">
        <f>('2122 Teachers Pay Scales'!K126+1100)/8</f>
        <v>6120.2340168749997</v>
      </c>
      <c r="AZ28" s="841">
        <f t="shared" si="10"/>
        <v>300.11777569980694</v>
      </c>
      <c r="BE28" s="428">
        <f>AX28+AO28+AZ28</f>
        <v>14694.161550335179</v>
      </c>
      <c r="BG28" s="422">
        <f>('2223 TA Pay Scales'!L45+490)/8*AO36</f>
        <v>8569.7648394384141</v>
      </c>
      <c r="BH28" s="428">
        <f>('2223 Teachers Pay Scales'!K172+1100)/8</f>
        <v>6242.9736972125002</v>
      </c>
      <c r="BI28" s="428">
        <f>AZ28</f>
        <v>300.11777569980694</v>
      </c>
      <c r="BK28" s="1063">
        <f>SUM(BG28:BI28)</f>
        <v>15112.856312350723</v>
      </c>
      <c r="BL28" s="1116">
        <f>BN28/(L17+L20)</f>
        <v>3.0125366297980249E-2</v>
      </c>
      <c r="BM28" s="1072">
        <f t="shared" si="15"/>
        <v>2.8493953913688509E-2</v>
      </c>
      <c r="BN28" s="428">
        <f>BK28-BE28</f>
        <v>418.69476201554426</v>
      </c>
      <c r="BO28" s="428">
        <v>293.1925621501905</v>
      </c>
      <c r="BP28" s="428">
        <f t="shared" si="16"/>
        <v>125.50219986535376</v>
      </c>
      <c r="BR28" s="428">
        <f>('2223 Teachers Pay Scales'!G176)/8</f>
        <v>43.159046215156252</v>
      </c>
      <c r="BS28" s="428">
        <f>('2223 TA Pay Scales'!H49)/8*AO36</f>
        <v>38.728786733504414</v>
      </c>
      <c r="BT28" s="428">
        <f t="shared" si="17"/>
        <v>81.887832948660673</v>
      </c>
    </row>
    <row r="29" spans="1:72" x14ac:dyDescent="0.25">
      <c r="C29" s="428"/>
      <c r="D29" s="428"/>
      <c r="E29" s="428"/>
      <c r="F29" s="428"/>
      <c r="BE29" s="428"/>
      <c r="BH29" s="428"/>
      <c r="BI29" s="428"/>
      <c r="BK29" s="1063"/>
      <c r="BL29" s="1116"/>
      <c r="BM29" s="1072"/>
      <c r="BN29" s="428"/>
      <c r="BP29" s="428"/>
      <c r="BR29" s="428"/>
      <c r="BS29" s="428"/>
      <c r="BT29" s="428"/>
    </row>
    <row r="30" spans="1:72" x14ac:dyDescent="0.25">
      <c r="A30" s="151" t="s">
        <v>1390</v>
      </c>
      <c r="C30" s="428"/>
      <c r="D30" s="428"/>
      <c r="E30" s="428"/>
      <c r="F30" s="428"/>
      <c r="G30" s="1067" t="s">
        <v>1391</v>
      </c>
      <c r="H30" s="1067"/>
      <c r="I30" s="1068">
        <v>5389.75</v>
      </c>
      <c r="J30" s="1068">
        <v>2771.4560589519651</v>
      </c>
      <c r="K30" s="1068">
        <v>300</v>
      </c>
      <c r="L30" s="1068">
        <f>SUM(I30:K30)</f>
        <v>8461.2060589519642</v>
      </c>
      <c r="M30" s="1068"/>
      <c r="N30" s="1068"/>
      <c r="P30" s="151"/>
      <c r="AO30" s="841">
        <f>('2122 TA Pay Scales'!L40+490)/8</f>
        <v>2859.5235671397381</v>
      </c>
      <c r="AX30" s="841">
        <f>('2122 Teachers Pay Scales'!K126+1100)/8</f>
        <v>6120.2340168749997</v>
      </c>
      <c r="AZ30" s="1069">
        <v>300.11777569980694</v>
      </c>
      <c r="BA30" s="1068"/>
      <c r="BB30" s="1068"/>
      <c r="BC30" s="1068"/>
      <c r="BD30" s="1068"/>
      <c r="BE30" s="428">
        <f t="shared" ref="BE30" si="29">AX30+AO30+AZ30</f>
        <v>9279.875359714546</v>
      </c>
      <c r="BF30" s="1067"/>
      <c r="BG30" s="422">
        <f>('2223 TA Pay Scales'!L45+490)/8</f>
        <v>2961.8090384825327</v>
      </c>
      <c r="BH30" s="428">
        <f>('2223 Teachers Pay Scales'!K172+1100)/8</f>
        <v>6242.9736972125002</v>
      </c>
      <c r="BI30" s="428">
        <f t="shared" ref="BI30" si="30">AZ30</f>
        <v>300.11777569980694</v>
      </c>
      <c r="BK30" s="1063">
        <f t="shared" ref="BK30" si="31">SUM(BG30:BI30)</f>
        <v>9504.9005113948406</v>
      </c>
      <c r="BL30" s="1116">
        <f t="shared" si="14"/>
        <v>2.6594926315760596E-2</v>
      </c>
      <c r="BM30" s="1072">
        <f t="shared" si="15"/>
        <v>2.4248725651765272E-2</v>
      </c>
      <c r="BN30" s="428">
        <f t="shared" ref="BN30" si="32">BK30-BE30</f>
        <v>225.02515168029458</v>
      </c>
      <c r="BO30" s="428">
        <v>181.65015168029458</v>
      </c>
      <c r="BP30" s="428">
        <f t="shared" si="16"/>
        <v>43.375</v>
      </c>
      <c r="BR30" s="428">
        <f>('2223 Teachers Pay Scales'!G176)/8</f>
        <v>43.159046215156252</v>
      </c>
      <c r="BS30" s="428">
        <f>('2223 TA Pay Scales'!H49)/8</f>
        <v>13.385112981031654</v>
      </c>
      <c r="BT30" s="428">
        <f t="shared" si="17"/>
        <v>56.544159196187906</v>
      </c>
    </row>
    <row r="31" spans="1:72" x14ac:dyDescent="0.25">
      <c r="Q31" s="887"/>
    </row>
    <row r="32" spans="1:72" x14ac:dyDescent="0.25">
      <c r="Q32" s="887"/>
      <c r="AO32" s="1045">
        <f>BE17+BE20-AX28-AZ28</f>
        <v>8273.8097577603712</v>
      </c>
      <c r="AP32" s="1050" t="s">
        <v>1371</v>
      </c>
    </row>
    <row r="33" spans="3:65" x14ac:dyDescent="0.25">
      <c r="C33" s="428"/>
      <c r="D33" s="428"/>
      <c r="E33" s="428"/>
      <c r="F33" s="428"/>
      <c r="AO33" s="1046"/>
      <c r="AP33" s="1046"/>
      <c r="BM33" s="1073">
        <f>AVERAGE(BM5:BM30)</f>
        <v>2.7559767715866493E-2</v>
      </c>
    </row>
    <row r="34" spans="3:65" x14ac:dyDescent="0.25">
      <c r="I34" s="151"/>
      <c r="J34" s="151"/>
      <c r="K34" s="151"/>
      <c r="L34" s="151"/>
      <c r="AO34" s="1047">
        <f>AO32*8</f>
        <v>66190.47806208297</v>
      </c>
      <c r="AP34" s="1046" t="s">
        <v>1372</v>
      </c>
    </row>
    <row r="35" spans="3:65" x14ac:dyDescent="0.25">
      <c r="C35" s="428"/>
      <c r="D35" s="428"/>
      <c r="E35" s="428"/>
      <c r="F35" s="428"/>
      <c r="I35" s="151"/>
      <c r="J35" s="151"/>
      <c r="K35" s="151"/>
      <c r="L35" s="151"/>
      <c r="AO35" s="1048">
        <f>('2122 TA Pay Scales'!L40+490)</f>
        <v>22876.188537117905</v>
      </c>
      <c r="AP35" s="1046" t="s">
        <v>1373</v>
      </c>
    </row>
    <row r="36" spans="3:65" x14ac:dyDescent="0.25">
      <c r="I36" s="151"/>
      <c r="J36" s="151"/>
      <c r="K36" s="151"/>
      <c r="L36" s="151"/>
      <c r="AO36" s="1049">
        <f>AO34/AO35</f>
        <v>2.8934224752818936</v>
      </c>
      <c r="AP36" s="1049" t="s">
        <v>1374</v>
      </c>
    </row>
    <row r="37" spans="3:65" x14ac:dyDescent="0.25">
      <c r="C37" s="428"/>
      <c r="D37" s="428"/>
      <c r="E37" s="428"/>
      <c r="F37" s="428"/>
      <c r="I37" s="151"/>
      <c r="J37" s="151"/>
      <c r="K37" s="151"/>
      <c r="L37" s="151"/>
    </row>
    <row r="38" spans="3:65" x14ac:dyDescent="0.25">
      <c r="I38" s="151"/>
      <c r="J38" s="151"/>
      <c r="K38" s="151"/>
      <c r="L38" s="151"/>
      <c r="BM38" s="1073">
        <f>(BM5+BM8+BM11+BM14+BM22+BM24+BM28)/7</f>
        <v>2.8085015703766484E-2</v>
      </c>
    </row>
    <row r="39" spans="3:65" x14ac:dyDescent="0.25">
      <c r="C39" s="428"/>
      <c r="D39" s="428"/>
      <c r="E39" s="428"/>
      <c r="F39" s="428"/>
      <c r="I39" s="151"/>
      <c r="J39" s="151"/>
      <c r="K39" s="151"/>
      <c r="L39" s="151"/>
    </row>
    <row r="40" spans="3:65" x14ac:dyDescent="0.25">
      <c r="I40" s="151"/>
      <c r="J40" s="151"/>
      <c r="K40" s="151"/>
      <c r="L40" s="151"/>
    </row>
    <row r="41" spans="3:65" x14ac:dyDescent="0.25">
      <c r="C41" s="428"/>
      <c r="D41" s="428"/>
      <c r="E41" s="428"/>
      <c r="F41" s="428"/>
      <c r="I41" s="151"/>
      <c r="J41" s="151"/>
      <c r="K41" s="151"/>
      <c r="L41" s="151"/>
    </row>
    <row r="42" spans="3:65" x14ac:dyDescent="0.25">
      <c r="I42" s="151"/>
      <c r="J42" s="151"/>
      <c r="K42" s="151"/>
      <c r="L42" s="151"/>
    </row>
    <row r="43" spans="3:65" x14ac:dyDescent="0.25">
      <c r="C43" s="428"/>
      <c r="D43" s="428"/>
      <c r="E43" s="428"/>
      <c r="F43" s="428"/>
      <c r="I43" s="151"/>
      <c r="J43" s="151"/>
      <c r="K43" s="151"/>
      <c r="L43" s="151"/>
    </row>
  </sheetData>
  <mergeCells count="2">
    <mergeCell ref="N1:N3"/>
    <mergeCell ref="BR2:BT2"/>
  </mergeCells>
  <pageMargins left="0.7" right="0.7" top="0.75" bottom="0.75" header="0.3" footer="0.3"/>
  <legacyDrawing r:id="rId1"/>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A35DD-72F4-49D5-BEE8-D2A16BC8CB50}">
  <sheetPr>
    <tabColor rgb="FFFFFF00"/>
  </sheetPr>
  <dimension ref="A1:BT43"/>
  <sheetViews>
    <sheetView topLeftCell="AX1" workbookViewId="0">
      <selection activeCell="E30" sqref="E30"/>
    </sheetView>
  </sheetViews>
  <sheetFormatPr defaultColWidth="9.1796875" defaultRowHeight="12.5" x14ac:dyDescent="0.25"/>
  <cols>
    <col min="1" max="1" width="19.26953125" style="151" customWidth="1"/>
    <col min="2" max="2" width="20.7265625" style="150" customWidth="1"/>
    <col min="3" max="6" width="15.7265625" style="150" customWidth="1"/>
    <col min="7" max="7" width="61.7265625" style="151" customWidth="1"/>
    <col min="8" max="8" width="9.1796875" style="151"/>
    <col min="9" max="11" width="15.7265625" style="150" customWidth="1"/>
    <col min="12" max="12" width="11.54296875" style="150" customWidth="1"/>
    <col min="13" max="15" width="9.1796875" style="151"/>
    <col min="16" max="16" width="9.1796875" style="150"/>
    <col min="17" max="17" width="10.1796875" style="151" bestFit="1" customWidth="1"/>
    <col min="18" max="31" width="9.1796875" style="151"/>
    <col min="32" max="32" width="10.453125" style="151" customWidth="1"/>
    <col min="33" max="40" width="9.1796875" style="151"/>
    <col min="41" max="41" width="10.1796875" style="151" bestFit="1" customWidth="1"/>
    <col min="42" max="42" width="12" style="151" customWidth="1"/>
    <col min="43" max="58" width="9.1796875" style="151"/>
    <col min="59" max="61" width="9.1796875" style="150"/>
    <col min="62" max="62" width="9.1796875" style="151"/>
    <col min="63" max="64" width="13.1796875" style="150" customWidth="1"/>
    <col min="65" max="16384" width="9.1796875" style="151"/>
  </cols>
  <sheetData>
    <row r="1" spans="1:72" x14ac:dyDescent="0.25">
      <c r="E1" s="815" t="s">
        <v>1339</v>
      </c>
      <c r="N1" s="1565" t="s">
        <v>1340</v>
      </c>
      <c r="P1" s="807" t="s">
        <v>1341</v>
      </c>
      <c r="Q1" s="808">
        <v>484.95</v>
      </c>
    </row>
    <row r="2" spans="1:72" ht="28.5" customHeight="1" x14ac:dyDescent="0.25">
      <c r="A2" s="1" t="s">
        <v>34</v>
      </c>
      <c r="D2" s="815"/>
      <c r="K2" s="151"/>
      <c r="L2" s="151"/>
      <c r="N2" s="1565"/>
      <c r="P2" s="807" t="s">
        <v>1343</v>
      </c>
      <c r="Q2" s="808">
        <v>72.91</v>
      </c>
      <c r="V2" s="150" t="s">
        <v>1344</v>
      </c>
      <c r="BR2" s="1566" t="s">
        <v>1375</v>
      </c>
      <c r="BS2" s="1566"/>
      <c r="BT2" s="1566"/>
    </row>
    <row r="3" spans="1:72" ht="63" x14ac:dyDescent="0.3">
      <c r="B3" s="441" t="s">
        <v>35</v>
      </c>
      <c r="C3" s="442" t="s">
        <v>936</v>
      </c>
      <c r="D3" s="442" t="s">
        <v>937</v>
      </c>
      <c r="E3" s="442" t="s">
        <v>938</v>
      </c>
      <c r="F3" s="441" t="s">
        <v>36</v>
      </c>
      <c r="G3" s="441" t="s">
        <v>939</v>
      </c>
      <c r="I3" s="765" t="s">
        <v>936</v>
      </c>
      <c r="J3" s="765" t="s">
        <v>937</v>
      </c>
      <c r="K3" s="765" t="s">
        <v>938</v>
      </c>
      <c r="L3" s="766" t="s">
        <v>1345</v>
      </c>
      <c r="N3" s="1565"/>
      <c r="P3" s="790" t="s">
        <v>1346</v>
      </c>
      <c r="Q3" s="441" t="s">
        <v>1347</v>
      </c>
      <c r="R3" s="150" t="s">
        <v>3</v>
      </c>
      <c r="U3" s="150" t="s">
        <v>1348</v>
      </c>
      <c r="V3" s="150" t="s">
        <v>1349</v>
      </c>
      <c r="W3" s="150" t="s">
        <v>1350</v>
      </c>
      <c r="X3" s="150" t="s">
        <v>357</v>
      </c>
      <c r="Y3" s="790" t="s">
        <v>1351</v>
      </c>
      <c r="AA3" s="150" t="s">
        <v>1352</v>
      </c>
      <c r="AB3" s="150" t="s">
        <v>1353</v>
      </c>
      <c r="AC3" s="150" t="s">
        <v>1350</v>
      </c>
      <c r="AD3" s="150" t="s">
        <v>357</v>
      </c>
      <c r="AE3" s="790" t="s">
        <v>1351</v>
      </c>
      <c r="AF3" s="150"/>
      <c r="AG3" s="818" t="s">
        <v>1354</v>
      </c>
      <c r="AH3" s="818" t="s">
        <v>1355</v>
      </c>
      <c r="AI3" s="817" t="s">
        <v>1350</v>
      </c>
      <c r="AJ3" s="817" t="s">
        <v>357</v>
      </c>
      <c r="AK3" s="818" t="s">
        <v>1351</v>
      </c>
      <c r="AL3" s="821" t="s">
        <v>998</v>
      </c>
      <c r="AN3" s="790" t="s">
        <v>1356</v>
      </c>
      <c r="AO3" s="840" t="s">
        <v>1357</v>
      </c>
      <c r="AP3" s="150" t="s">
        <v>1350</v>
      </c>
      <c r="AQ3" s="150" t="s">
        <v>357</v>
      </c>
      <c r="AR3" s="790" t="s">
        <v>1351</v>
      </c>
      <c r="AS3" s="790" t="s">
        <v>1358</v>
      </c>
      <c r="AT3" s="790" t="s">
        <v>1359</v>
      </c>
      <c r="AX3" s="840" t="s">
        <v>1360</v>
      </c>
      <c r="AY3" s="790" t="s">
        <v>1361</v>
      </c>
      <c r="AZ3" s="842" t="s">
        <v>1350</v>
      </c>
      <c r="BA3" s="150" t="s">
        <v>357</v>
      </c>
      <c r="BB3" s="790" t="s">
        <v>1351</v>
      </c>
      <c r="BE3" s="790" t="s">
        <v>1376</v>
      </c>
      <c r="BF3" s="182"/>
      <c r="BG3" s="822" t="s">
        <v>1377</v>
      </c>
      <c r="BH3" s="822" t="s">
        <v>1378</v>
      </c>
      <c r="BI3" s="822" t="s">
        <v>1379</v>
      </c>
      <c r="BJ3" s="182"/>
      <c r="BK3" s="1061" t="s">
        <v>1380</v>
      </c>
      <c r="BL3" s="790" t="s">
        <v>1381</v>
      </c>
      <c r="BM3" s="790" t="s">
        <v>1382</v>
      </c>
      <c r="BN3" s="790" t="s">
        <v>1383</v>
      </c>
      <c r="BO3" s="790" t="s">
        <v>1384</v>
      </c>
      <c r="BP3" s="790" t="s">
        <v>1385</v>
      </c>
      <c r="BR3" s="790" t="s">
        <v>1386</v>
      </c>
      <c r="BS3" s="790" t="s">
        <v>1387</v>
      </c>
      <c r="BT3" s="790" t="s">
        <v>1388</v>
      </c>
    </row>
    <row r="4" spans="1:72" x14ac:dyDescent="0.25">
      <c r="Y4" s="150"/>
      <c r="AE4" s="150"/>
      <c r="AG4" s="819"/>
      <c r="AH4" s="819"/>
      <c r="AI4" s="819"/>
      <c r="AJ4" s="819"/>
      <c r="AK4" s="817"/>
      <c r="AL4" s="819"/>
      <c r="AN4" s="428"/>
      <c r="AO4" s="841"/>
      <c r="AP4" s="428"/>
      <c r="AQ4" s="428"/>
      <c r="AR4" s="428"/>
      <c r="AX4" s="841"/>
      <c r="AY4" s="428"/>
      <c r="AZ4" s="841"/>
      <c r="BA4" s="428"/>
      <c r="BB4" s="428"/>
      <c r="BE4" s="150"/>
      <c r="BK4" s="1062"/>
      <c r="BR4" s="150"/>
      <c r="BS4" s="150"/>
    </row>
    <row r="5" spans="1:72" x14ac:dyDescent="0.25">
      <c r="A5" s="151" t="s">
        <v>738</v>
      </c>
      <c r="B5" s="150" t="s">
        <v>751</v>
      </c>
      <c r="C5" s="428">
        <f>('2122 Teachers Pay Scales'!K20+1100)/8</f>
        <v>6235.9162500000002</v>
      </c>
      <c r="D5" s="428">
        <f>(('2122 TA Pay Scales'!L24+490)/8)*3</f>
        <v>8769.6246042576422</v>
      </c>
      <c r="E5" s="428">
        <f>'2122 GLEA Pay Scales'!$K$19/10/37*6.25*195/224</f>
        <v>353.33239604699571</v>
      </c>
      <c r="F5" s="443">
        <f>SUM(C5:E5)</f>
        <v>15358.873250304638</v>
      </c>
      <c r="G5" s="151" t="s">
        <v>752</v>
      </c>
      <c r="I5" s="428">
        <v>5389.75</v>
      </c>
      <c r="J5" s="428">
        <v>8314.3681768558963</v>
      </c>
      <c r="K5" s="428">
        <v>300.11777569980694</v>
      </c>
      <c r="L5" s="443">
        <v>14004.235952555704</v>
      </c>
      <c r="N5" s="428">
        <f>D5+E5-J5-K5</f>
        <v>508.47104774893415</v>
      </c>
      <c r="P5" s="428">
        <f>C5-I5</f>
        <v>846.16625000000022</v>
      </c>
      <c r="Q5" s="428">
        <f>$Q$1+$Q$2</f>
        <v>557.86</v>
      </c>
      <c r="R5" s="428">
        <f>P5-Q5</f>
        <v>288.3062500000002</v>
      </c>
      <c r="T5" s="152"/>
      <c r="U5" s="428">
        <f>('2122 Teachers Pay Scales'!K19+1100)/8</f>
        <v>5836.8826874999995</v>
      </c>
      <c r="V5" s="428">
        <f>(('2122 TA Pay Scales'!L24+490)/8)*3</f>
        <v>8769.6246042576422</v>
      </c>
      <c r="W5" s="428">
        <f>'2122 GLEA Pay Scales'!$K$19/10/37*6.25*195/224</f>
        <v>353.33239604699571</v>
      </c>
      <c r="X5" s="443">
        <f>SUM(U5:W5)</f>
        <v>14959.839687804637</v>
      </c>
      <c r="Y5" s="428">
        <f>X5-L5</f>
        <v>955.60373524893294</v>
      </c>
      <c r="AA5" s="428">
        <f>('2122 Teachers Pay Scales'!K20+1100)/8</f>
        <v>6235.9162500000002</v>
      </c>
      <c r="AB5" s="428">
        <f>(('2122 TA Pay Scales'!L23+490)/8)*3</f>
        <v>8291.6148471615725</v>
      </c>
      <c r="AC5" s="428">
        <f>'2122 GLEA Pay Scales'!$K$19/10/37*6.25*195/224</f>
        <v>353.33239604699571</v>
      </c>
      <c r="AD5" s="443">
        <f>SUM(AA5:AC5)</f>
        <v>14880.863493208568</v>
      </c>
      <c r="AE5" s="428">
        <f>AD5-L5</f>
        <v>876.6275406528639</v>
      </c>
      <c r="AG5" s="820">
        <f>('2122 Teachers Pay Scales'!K69+1100)/8</f>
        <v>6156.1095375000004</v>
      </c>
      <c r="AH5" s="820">
        <v>8674.097652838429</v>
      </c>
      <c r="AI5" s="820">
        <f>'2122 GLEA Pay Scales'!$K$19/10/37*6.25*195/224</f>
        <v>353.33239604699571</v>
      </c>
      <c r="AJ5" s="820">
        <f>SUM(AG5:AI5)</f>
        <v>15183.539586385425</v>
      </c>
      <c r="AK5" s="820">
        <f>AJ5-L5</f>
        <v>1179.3036338297206</v>
      </c>
      <c r="AL5" s="820">
        <f>AJ5-F5</f>
        <v>-175.333663919213</v>
      </c>
      <c r="AM5" s="152">
        <f>AN5-I5</f>
        <v>686.55282499999976</v>
      </c>
      <c r="AN5" s="428">
        <f>('2122 Teachers Pay Scales'!K98+1100)/8</f>
        <v>6076.3028249999998</v>
      </c>
      <c r="AO5" s="841">
        <f>(('2122 TA Pay Scales'!L40+490)/8)*3</f>
        <v>8578.5707014192139</v>
      </c>
      <c r="AP5" s="428">
        <f>K5</f>
        <v>300.11777569980694</v>
      </c>
      <c r="AQ5" s="428">
        <f>SUM(AN5:AP5)</f>
        <v>14954.991302119022</v>
      </c>
      <c r="AR5" s="428">
        <f>AQ5-L5</f>
        <v>950.7553495633183</v>
      </c>
      <c r="AS5" s="843">
        <f>AR5/L5</f>
        <v>6.7890554885274568E-2</v>
      </c>
      <c r="AT5" s="843">
        <f>(AO5-J5)/L5</f>
        <v>1.8865900678794404E-2</v>
      </c>
      <c r="AU5" s="428">
        <f>AO5-J5</f>
        <v>264.20252456331764</v>
      </c>
      <c r="AV5" s="152">
        <f>AO5-J5</f>
        <v>264.20252456331764</v>
      </c>
      <c r="AX5" s="841">
        <f>('2122 Teachers Pay Scales'!K126+1100)/8</f>
        <v>6120.2340168749997</v>
      </c>
      <c r="AY5" s="428">
        <f>(('2122 TA Pay Scales'!L41+490)/8)*3</f>
        <v>8626.1466771288215</v>
      </c>
      <c r="AZ5" s="841">
        <f>K5</f>
        <v>300.11777569980694</v>
      </c>
      <c r="BA5" s="428">
        <f>SUM(AX5:AZ5)</f>
        <v>15046.498469703629</v>
      </c>
      <c r="BB5" s="428">
        <f>BA5-V5</f>
        <v>6276.8738654459867</v>
      </c>
      <c r="BE5" s="428">
        <f>AX5+AO5+AZ5</f>
        <v>14998.922493994021</v>
      </c>
      <c r="BG5" s="422">
        <f>('2223 TA Pay Scales'!L45+490)/8*3</f>
        <v>8885.4271154475973</v>
      </c>
      <c r="BH5" s="428">
        <f>('2223 Teachers Pay Scales'!K172+1100)/8</f>
        <v>6242.9736972125002</v>
      </c>
      <c r="BI5" s="428">
        <f>AZ5</f>
        <v>300.11777569980694</v>
      </c>
      <c r="BK5" s="1063">
        <f>SUM(BG5:BI5)</f>
        <v>15428.518588359904</v>
      </c>
      <c r="BL5" s="1116">
        <f>BN5/L5</f>
        <v>3.0676153688162025E-2</v>
      </c>
      <c r="BM5" s="1072">
        <f>BN5/BE5</f>
        <v>2.864179707161664E-2</v>
      </c>
      <c r="BN5" s="428">
        <f>BK5-BE5</f>
        <v>429.59609436588289</v>
      </c>
      <c r="BO5" s="428">
        <v>299.47109436588289</v>
      </c>
      <c r="BP5" s="428">
        <f>BN5-BO5</f>
        <v>130.125</v>
      </c>
      <c r="BR5" s="428">
        <f>('2223 Teachers Pay Scales'!G176)/8</f>
        <v>43.159046215156252</v>
      </c>
      <c r="BS5" s="428">
        <f>('2223 TA Pay Scales'!H49)/8*3</f>
        <v>40.155338943094961</v>
      </c>
      <c r="BT5" s="428">
        <f>SUM(BR5:BS5)</f>
        <v>83.314385158251213</v>
      </c>
    </row>
    <row r="6" spans="1:72" x14ac:dyDescent="0.25">
      <c r="C6" s="428"/>
      <c r="F6" s="428"/>
      <c r="I6" s="428"/>
      <c r="L6" s="428"/>
      <c r="N6" s="428"/>
      <c r="P6" s="428"/>
      <c r="Q6" s="428"/>
      <c r="R6" s="428"/>
      <c r="T6" s="152"/>
      <c r="U6" s="428"/>
      <c r="V6" s="150"/>
      <c r="W6" s="150"/>
      <c r="X6" s="428"/>
      <c r="Y6" s="428"/>
      <c r="AA6" s="428"/>
      <c r="AB6" s="150"/>
      <c r="AC6" s="150"/>
      <c r="AD6" s="428"/>
      <c r="AE6" s="428"/>
      <c r="AG6" s="820"/>
      <c r="AH6" s="817"/>
      <c r="AI6" s="817"/>
      <c r="AJ6" s="820"/>
      <c r="AK6" s="820"/>
      <c r="AL6" s="820"/>
      <c r="AM6" s="152">
        <f t="shared" ref="AM6:AM17" si="0">AN6-I6</f>
        <v>0</v>
      </c>
      <c r="AN6" s="428"/>
      <c r="AO6" s="842"/>
      <c r="AP6" s="428"/>
      <c r="AQ6" s="428"/>
      <c r="AR6" s="428"/>
      <c r="AS6" s="843"/>
      <c r="AT6" s="843"/>
      <c r="AU6" s="428"/>
      <c r="AV6" s="152">
        <f t="shared" ref="AV6:AV24" si="1">AO6-J6</f>
        <v>0</v>
      </c>
      <c r="AX6" s="841"/>
      <c r="AY6" s="150"/>
      <c r="AZ6" s="841"/>
      <c r="BA6" s="428"/>
      <c r="BB6" s="428"/>
      <c r="BE6" s="428"/>
      <c r="BK6" s="1062"/>
      <c r="BL6" s="1116"/>
      <c r="BM6" s="1072"/>
      <c r="BP6" s="428"/>
      <c r="BR6" s="428"/>
      <c r="BS6" s="428"/>
      <c r="BT6" s="428"/>
    </row>
    <row r="7" spans="1:72" x14ac:dyDescent="0.25">
      <c r="C7" s="428"/>
      <c r="D7" s="428"/>
      <c r="E7" s="428"/>
      <c r="F7" s="428"/>
      <c r="I7" s="428"/>
      <c r="J7" s="428"/>
      <c r="K7" s="428"/>
      <c r="L7" s="428"/>
      <c r="N7" s="428"/>
      <c r="P7" s="428"/>
      <c r="Q7" s="428"/>
      <c r="R7" s="428"/>
      <c r="T7" s="152"/>
      <c r="U7" s="428"/>
      <c r="V7" s="428"/>
      <c r="W7" s="428"/>
      <c r="X7" s="428"/>
      <c r="Y7" s="428"/>
      <c r="AA7" s="428"/>
      <c r="AB7" s="428"/>
      <c r="AC7" s="428"/>
      <c r="AD7" s="428"/>
      <c r="AE7" s="428"/>
      <c r="AG7" s="820"/>
      <c r="AH7" s="820"/>
      <c r="AI7" s="820"/>
      <c r="AJ7" s="820"/>
      <c r="AK7" s="820"/>
      <c r="AL7" s="820"/>
      <c r="AM7" s="152">
        <f t="shared" si="0"/>
        <v>0</v>
      </c>
      <c r="AN7" s="428"/>
      <c r="AO7" s="841"/>
      <c r="AP7" s="428"/>
      <c r="AQ7" s="428"/>
      <c r="AR7" s="428"/>
      <c r="AS7" s="843"/>
      <c r="AT7" s="843"/>
      <c r="AU7" s="428"/>
      <c r="AV7" s="152">
        <f t="shared" si="1"/>
        <v>0</v>
      </c>
      <c r="AX7" s="841"/>
      <c r="AY7" s="428"/>
      <c r="AZ7" s="841"/>
      <c r="BA7" s="428"/>
      <c r="BB7" s="428"/>
      <c r="BE7" s="428"/>
      <c r="BK7" s="1062"/>
      <c r="BL7" s="1116"/>
      <c r="BM7" s="1072"/>
      <c r="BP7" s="428"/>
      <c r="BR7" s="428"/>
      <c r="BS7" s="428"/>
      <c r="BT7" s="428"/>
    </row>
    <row r="8" spans="1:72" x14ac:dyDescent="0.25">
      <c r="A8" s="151" t="s">
        <v>736</v>
      </c>
      <c r="B8" s="150" t="s">
        <v>43</v>
      </c>
      <c r="C8" s="428">
        <f>('2122 Teachers Pay Scales'!K20+1100)/10</f>
        <v>4988.7330000000002</v>
      </c>
      <c r="D8" s="428">
        <f>('2122 TA Pay Scales'!L24+490)/10</f>
        <v>2338.5665611353716</v>
      </c>
      <c r="E8" s="428">
        <f>'2122 GLEA Pay Scales'!$K$19/10/37*6.25*195/224</f>
        <v>353.33239604699571</v>
      </c>
      <c r="F8" s="443">
        <f>SUM(C8:E8)</f>
        <v>7680.6319571823678</v>
      </c>
      <c r="G8" s="151" t="s">
        <v>1364</v>
      </c>
      <c r="I8" s="428">
        <v>4311.8</v>
      </c>
      <c r="J8" s="428">
        <v>2217.1648471615722</v>
      </c>
      <c r="K8" s="428">
        <v>300.11777569980694</v>
      </c>
      <c r="L8" s="443">
        <v>6829.0826228613796</v>
      </c>
      <c r="N8" s="428">
        <f>D8+E8-J8-K8</f>
        <v>174.61633432098807</v>
      </c>
      <c r="P8" s="428">
        <f>C8-I8</f>
        <v>676.93299999999999</v>
      </c>
      <c r="Q8" s="428">
        <f>$Q$1+$Q$2</f>
        <v>557.86</v>
      </c>
      <c r="R8" s="428">
        <f>P8-Q8</f>
        <v>119.07299999999998</v>
      </c>
      <c r="T8" s="152"/>
      <c r="U8" s="428">
        <f>('2122 Teachers Pay Scales'!K19+1100)/10</f>
        <v>4669.5061499999993</v>
      </c>
      <c r="V8" s="428">
        <f>('2122 TA Pay Scales'!L24+490)/10</f>
        <v>2338.5665611353716</v>
      </c>
      <c r="W8" s="428">
        <f>'2122 GLEA Pay Scales'!$K$19/10/37*6.25*195/224</f>
        <v>353.33239604699571</v>
      </c>
      <c r="X8" s="443">
        <f>SUM(U8:W8)</f>
        <v>7361.4051071823669</v>
      </c>
      <c r="Y8" s="428">
        <f>X8-L8</f>
        <v>532.32248432098731</v>
      </c>
      <c r="AA8" s="428">
        <f>('2122 Teachers Pay Scales'!K20+1100)/10</f>
        <v>4988.7330000000002</v>
      </c>
      <c r="AB8" s="428">
        <f>('2122 TA Pay Scales'!L23+490)/10</f>
        <v>2211.097292576419</v>
      </c>
      <c r="AC8" s="428">
        <f>'2122 GLEA Pay Scales'!$K$19/10/37*6.25*195/224</f>
        <v>353.33239604699571</v>
      </c>
      <c r="AD8" s="443">
        <f>SUM(AA8:AC8)</f>
        <v>7553.1626886234153</v>
      </c>
      <c r="AE8" s="428">
        <f>AD8-L8</f>
        <v>724.0800657620357</v>
      </c>
      <c r="AG8" s="820">
        <f>('2122 Teachers Pay Scales'!K69+1100)/10</f>
        <v>4924.8876300000002</v>
      </c>
      <c r="AH8" s="820">
        <v>2313.092707423581</v>
      </c>
      <c r="AI8" s="820">
        <f>'2122 GLEA Pay Scales'!$K$19/10/37*6.25*195/224</f>
        <v>353.33239604699571</v>
      </c>
      <c r="AJ8" s="820">
        <f>SUM(AG8:AI8)</f>
        <v>7591.3127334705778</v>
      </c>
      <c r="AK8" s="820">
        <f t="shared" ref="AK8:AK17" si="2">AJ8-L8</f>
        <v>762.23011060919816</v>
      </c>
      <c r="AL8" s="820">
        <f t="shared" ref="AL8:AL17" si="3">AJ8-F8</f>
        <v>-89.319223711790073</v>
      </c>
      <c r="AM8" s="152">
        <f t="shared" si="0"/>
        <v>549.24225999999999</v>
      </c>
      <c r="AN8" s="428">
        <f>('2122 Teachers Pay Scales'!K98+1100)/10</f>
        <v>4861.0422600000002</v>
      </c>
      <c r="AO8" s="841">
        <f>('2122 TA Pay Scales'!L40+490)/10</f>
        <v>2287.6188537117905</v>
      </c>
      <c r="AP8" s="428">
        <f t="shared" ref="AP8:AP22" si="4">K8</f>
        <v>300.11777569980694</v>
      </c>
      <c r="AQ8" s="428">
        <f t="shared" ref="AQ8:AQ24" si="5">SUM(AN8:AP8)</f>
        <v>7448.7788894115974</v>
      </c>
      <c r="AR8" s="428">
        <f t="shared" ref="AR8:AR17" si="6">AQ8-L8</f>
        <v>619.69626655021784</v>
      </c>
      <c r="AS8" s="843">
        <f t="shared" ref="AS8:AS17" si="7">AR8/L8</f>
        <v>9.0743706112983838E-2</v>
      </c>
      <c r="AT8" s="843">
        <f t="shared" ref="AT8:AT17" si="8">(AO8-J8)/L8</f>
        <v>1.0316760016105668E-2</v>
      </c>
      <c r="AU8" s="428">
        <f t="shared" ref="AU8:AU22" si="9">AO8-J8</f>
        <v>70.45400655021831</v>
      </c>
      <c r="AV8" s="152">
        <f t="shared" si="1"/>
        <v>70.45400655021831</v>
      </c>
      <c r="AX8" s="841">
        <f>('2122 Teachers Pay Scales'!K126+1100)/10</f>
        <v>4896.1872134999994</v>
      </c>
      <c r="AY8" s="428">
        <f>('2122 TA Pay Scales'!L41+490)/10</f>
        <v>2300.3057805676858</v>
      </c>
      <c r="AZ8" s="841">
        <f t="shared" ref="AZ8:AZ28" si="10">K8</f>
        <v>300.11777569980694</v>
      </c>
      <c r="BA8" s="428">
        <f t="shared" ref="BA8" si="11">SUM(AX8:AZ8)</f>
        <v>7496.6107697674915</v>
      </c>
      <c r="BB8" s="428">
        <f t="shared" ref="BB8" si="12">BA8-V8</f>
        <v>5158.04420863212</v>
      </c>
      <c r="BE8" s="428">
        <f t="shared" ref="BE8:BE24" si="13">AX8+AO8+AZ8</f>
        <v>7483.9238429115967</v>
      </c>
      <c r="BG8" s="422">
        <f>('2223 TA Pay Scales'!L45+490)/10</f>
        <v>2369.447230786026</v>
      </c>
      <c r="BH8" s="428">
        <f>('2223 Teachers Pay Scales'!K172+1100)/10</f>
        <v>4994.3789577699999</v>
      </c>
      <c r="BI8" s="428">
        <f>AZ8</f>
        <v>300.11777569980694</v>
      </c>
      <c r="BK8" s="1063">
        <f>SUM(BG8:BI8)</f>
        <v>7663.9439642558327</v>
      </c>
      <c r="BL8" s="1116">
        <f t="shared" ref="BL8:BL30" si="14">BN8/L8</f>
        <v>2.6360805877731167E-2</v>
      </c>
      <c r="BM8" s="1072">
        <f t="shared" ref="BM8:BM30" si="15">BN8/BE8</f>
        <v>2.4054242817388129E-2</v>
      </c>
      <c r="BN8" s="428">
        <f>BK8-BE8</f>
        <v>180.02012134423603</v>
      </c>
      <c r="BO8" s="428">
        <v>145.32012134423621</v>
      </c>
      <c r="BP8" s="428">
        <f t="shared" ref="BP8:BP30" si="16">BN8-BO8</f>
        <v>34.699999999999818</v>
      </c>
      <c r="BR8" s="428">
        <f>('2223 Teachers Pay Scales'!G176)/10</f>
        <v>34.527236972125003</v>
      </c>
      <c r="BS8" s="428">
        <f>('2223 TA Pay Scales'!H49)/10</f>
        <v>10.708090384825322</v>
      </c>
      <c r="BT8" s="428">
        <f t="shared" ref="BT8:BT30" si="17">SUM(BR8:BS8)</f>
        <v>45.235327356950322</v>
      </c>
    </row>
    <row r="9" spans="1:72" x14ac:dyDescent="0.25">
      <c r="C9" s="428"/>
      <c r="D9" s="428"/>
      <c r="E9" s="428"/>
      <c r="F9" s="428"/>
      <c r="I9" s="428"/>
      <c r="J9" s="428"/>
      <c r="K9" s="428"/>
      <c r="L9" s="428"/>
      <c r="N9" s="428"/>
      <c r="P9" s="428"/>
      <c r="Q9" s="428"/>
      <c r="R9" s="428"/>
      <c r="T9" s="152"/>
      <c r="U9" s="428"/>
      <c r="V9" s="428"/>
      <c r="W9" s="428"/>
      <c r="X9" s="428"/>
      <c r="Y9" s="428"/>
      <c r="AA9" s="428"/>
      <c r="AB9" s="428"/>
      <c r="AC9" s="428"/>
      <c r="AD9" s="428"/>
      <c r="AE9" s="428"/>
      <c r="AG9" s="820"/>
      <c r="AH9" s="820"/>
      <c r="AI9" s="820"/>
      <c r="AJ9" s="820"/>
      <c r="AK9" s="820"/>
      <c r="AL9" s="820"/>
      <c r="AM9" s="152">
        <f t="shared" si="0"/>
        <v>0</v>
      </c>
      <c r="AN9" s="428"/>
      <c r="AO9" s="841"/>
      <c r="AP9" s="428"/>
      <c r="AQ9" s="428"/>
      <c r="AR9" s="428"/>
      <c r="AS9" s="843"/>
      <c r="AT9" s="843"/>
      <c r="AU9" s="428"/>
      <c r="AV9" s="152">
        <f t="shared" si="1"/>
        <v>0</v>
      </c>
      <c r="AX9" s="841"/>
      <c r="AY9" s="428"/>
      <c r="AZ9" s="841"/>
      <c r="BA9" s="428"/>
      <c r="BB9" s="428"/>
      <c r="BE9" s="428"/>
      <c r="BK9" s="1062"/>
      <c r="BL9" s="1116"/>
      <c r="BM9" s="1072"/>
      <c r="BP9" s="428"/>
      <c r="BR9" s="428"/>
      <c r="BS9" s="428"/>
      <c r="BT9" s="428"/>
    </row>
    <row r="10" spans="1:72" x14ac:dyDescent="0.25">
      <c r="C10" s="428"/>
      <c r="D10" s="428"/>
      <c r="E10" s="428"/>
      <c r="F10" s="428"/>
      <c r="I10" s="428"/>
      <c r="J10" s="428"/>
      <c r="K10" s="428"/>
      <c r="L10" s="428"/>
      <c r="N10" s="428"/>
      <c r="P10" s="428"/>
      <c r="Q10" s="428"/>
      <c r="R10" s="428"/>
      <c r="T10" s="152"/>
      <c r="U10" s="428"/>
      <c r="V10" s="428"/>
      <c r="W10" s="428"/>
      <c r="X10" s="428"/>
      <c r="Y10" s="428"/>
      <c r="AA10" s="428"/>
      <c r="AB10" s="428"/>
      <c r="AC10" s="428"/>
      <c r="AD10" s="428"/>
      <c r="AE10" s="428"/>
      <c r="AG10" s="820"/>
      <c r="AH10" s="820"/>
      <c r="AI10" s="820"/>
      <c r="AJ10" s="820"/>
      <c r="AK10" s="820"/>
      <c r="AL10" s="820"/>
      <c r="AM10" s="152">
        <f t="shared" si="0"/>
        <v>0</v>
      </c>
      <c r="AN10" s="428"/>
      <c r="AO10" s="841"/>
      <c r="AP10" s="428"/>
      <c r="AQ10" s="428"/>
      <c r="AR10" s="428"/>
      <c r="AS10" s="843"/>
      <c r="AT10" s="843"/>
      <c r="AU10" s="428"/>
      <c r="AV10" s="152">
        <f t="shared" si="1"/>
        <v>0</v>
      </c>
      <c r="AX10" s="841"/>
      <c r="AY10" s="428"/>
      <c r="AZ10" s="841"/>
      <c r="BA10" s="428"/>
      <c r="BB10" s="428"/>
      <c r="BE10" s="428"/>
      <c r="BK10" s="1062"/>
      <c r="BL10" s="1116"/>
      <c r="BM10" s="1072"/>
      <c r="BP10" s="428"/>
      <c r="BR10" s="428"/>
      <c r="BS10" s="428"/>
      <c r="BT10" s="428"/>
    </row>
    <row r="11" spans="1:72" x14ac:dyDescent="0.25">
      <c r="A11" s="151" t="s">
        <v>735</v>
      </c>
      <c r="B11" s="150" t="s">
        <v>46</v>
      </c>
      <c r="C11" s="428">
        <f>('2122 Teachers Pay Scales'!K20+1100)/12</f>
        <v>4157.2775000000001</v>
      </c>
      <c r="D11" s="428">
        <f>('2122 TA Pay Scales'!L24+490)/12</f>
        <v>1948.8054676128095</v>
      </c>
      <c r="E11" s="428">
        <f>'2122 GLEA Pay Scales'!$K$19/10/37*6.25*195/224</f>
        <v>353.33239604699571</v>
      </c>
      <c r="F11" s="443">
        <f>SUM(C11:E11)</f>
        <v>6459.4153636598057</v>
      </c>
      <c r="G11" s="151" t="s">
        <v>143</v>
      </c>
      <c r="H11" s="152"/>
      <c r="I11" s="428">
        <v>3593.1666666666665</v>
      </c>
      <c r="J11" s="428">
        <v>1847.6373726346435</v>
      </c>
      <c r="K11" s="428">
        <v>300.11777569980694</v>
      </c>
      <c r="L11" s="443">
        <v>5740.9218150011166</v>
      </c>
      <c r="N11" s="428">
        <f>D11+E11-J11-K11</f>
        <v>154.3827153253547</v>
      </c>
      <c r="P11" s="428">
        <f>C11-I11</f>
        <v>564.11083333333363</v>
      </c>
      <c r="Q11" s="428">
        <f>$Q$1+$Q$2</f>
        <v>557.86</v>
      </c>
      <c r="R11" s="428">
        <f>P11-Q11</f>
        <v>6.2508333333336168</v>
      </c>
      <c r="T11" s="152"/>
      <c r="U11" s="428">
        <f>('2122 Teachers Pay Scales'!K19+1100)/12</f>
        <v>3891.2551249999997</v>
      </c>
      <c r="V11" s="428">
        <f>('2122 TA Pay Scales'!L24+490)/12</f>
        <v>1948.8054676128095</v>
      </c>
      <c r="W11" s="428">
        <f>'2122 GLEA Pay Scales'!$K$19/10/37*6.25*195/224</f>
        <v>353.33239604699571</v>
      </c>
      <c r="X11" s="443">
        <f>SUM(U11:W11)</f>
        <v>6193.3929886598053</v>
      </c>
      <c r="Y11" s="428">
        <f>X11-L11</f>
        <v>452.47117365868871</v>
      </c>
      <c r="AA11" s="428">
        <f>('2122 Teachers Pay Scales'!K20+1100)/12</f>
        <v>4157.2775000000001</v>
      </c>
      <c r="AB11" s="428">
        <f>('2122 TA Pay Scales'!L23+490)/12</f>
        <v>1842.581077147016</v>
      </c>
      <c r="AC11" s="428">
        <f>'2122 GLEA Pay Scales'!$K$19/10/37*6.25*195/224</f>
        <v>353.33239604699571</v>
      </c>
      <c r="AD11" s="443">
        <f>SUM(AA11:AC11)</f>
        <v>6353.1909731940123</v>
      </c>
      <c r="AE11" s="428">
        <f>AD11-L11</f>
        <v>612.2691581928957</v>
      </c>
      <c r="AG11" s="820">
        <f>('2122 Teachers Pay Scales'!K69+1100)/12</f>
        <v>4104.0730250000006</v>
      </c>
      <c r="AH11" s="820">
        <v>1927.5772561863175</v>
      </c>
      <c r="AI11" s="820">
        <f>'2122 GLEA Pay Scales'!$K$19/10/37*6.25*195/224</f>
        <v>353.33239604699571</v>
      </c>
      <c r="AJ11" s="820">
        <f>SUM(AG11:AI11)</f>
        <v>6384.9826772333145</v>
      </c>
      <c r="AK11" s="820">
        <f t="shared" si="2"/>
        <v>644.06086223219791</v>
      </c>
      <c r="AL11" s="820">
        <f t="shared" si="3"/>
        <v>-74.432686426491273</v>
      </c>
      <c r="AM11" s="152">
        <f t="shared" si="0"/>
        <v>457.70188333333317</v>
      </c>
      <c r="AN11" s="428">
        <f>('2122 Teachers Pay Scales'!K98+1100)/12</f>
        <v>4050.8685499999997</v>
      </c>
      <c r="AO11" s="841">
        <f>('2122 TA Pay Scales'!L40+490)/12</f>
        <v>1906.3490447598253</v>
      </c>
      <c r="AP11" s="428">
        <f t="shared" si="4"/>
        <v>300.11777569980694</v>
      </c>
      <c r="AQ11" s="428">
        <f t="shared" si="5"/>
        <v>6257.335370459632</v>
      </c>
      <c r="AR11" s="428">
        <f t="shared" si="6"/>
        <v>516.41355545851548</v>
      </c>
      <c r="AS11" s="843">
        <f t="shared" si="7"/>
        <v>8.9953072363591319E-2</v>
      </c>
      <c r="AT11" s="843">
        <f t="shared" si="8"/>
        <v>1.0226871923558922E-2</v>
      </c>
      <c r="AU11" s="428">
        <f t="shared" si="9"/>
        <v>58.711672125181849</v>
      </c>
      <c r="AV11" s="152">
        <f t="shared" si="1"/>
        <v>58.711672125181849</v>
      </c>
      <c r="AX11" s="841">
        <f>('2122 Teachers Pay Scales'!K126+1100)/12</f>
        <v>4080.1560112499997</v>
      </c>
      <c r="AY11" s="428">
        <f>('2122 TA Pay Scales'!L41+490)/12</f>
        <v>1916.9214838064047</v>
      </c>
      <c r="AZ11" s="841">
        <f t="shared" si="10"/>
        <v>300.11777569980694</v>
      </c>
      <c r="BA11" s="428">
        <f t="shared" ref="BA11" si="18">SUM(AX11:AZ11)</f>
        <v>6297.1952707562114</v>
      </c>
      <c r="BB11" s="428">
        <f t="shared" ref="BB11" si="19">BA11-V11</f>
        <v>4348.3898031434019</v>
      </c>
      <c r="BE11" s="428">
        <f t="shared" si="13"/>
        <v>6286.622831709632</v>
      </c>
      <c r="BG11" s="422">
        <f>('2223 TA Pay Scales'!L45+490)/12</f>
        <v>1974.5393589883552</v>
      </c>
      <c r="BH11" s="428">
        <f>('2223 Teachers Pay Scales'!K172+1100)/12</f>
        <v>4161.9824648083331</v>
      </c>
      <c r="BI11" s="428">
        <f>AZ11</f>
        <v>300.11777569980694</v>
      </c>
      <c r="BK11" s="1063">
        <f>SUM(BG11:BI11)</f>
        <v>6436.6395994964951</v>
      </c>
      <c r="BL11" s="1116">
        <f t="shared" si="14"/>
        <v>2.6131128871127795E-2</v>
      </c>
      <c r="BM11" s="1072">
        <f t="shared" si="15"/>
        <v>2.386285479545245E-2</v>
      </c>
      <c r="BN11" s="428">
        <f>BK11-BE11</f>
        <v>150.01676778686306</v>
      </c>
      <c r="BO11" s="428">
        <v>121.10010112019609</v>
      </c>
      <c r="BP11" s="428">
        <f t="shared" si="16"/>
        <v>28.91666666666697</v>
      </c>
      <c r="BR11" s="428">
        <f>('2223 Teachers Pay Scales'!G176)/12</f>
        <v>28.772697476770833</v>
      </c>
      <c r="BS11" s="428">
        <f>('2223 TA Pay Scales'!H49)/12</f>
        <v>8.9234086540211024</v>
      </c>
      <c r="BT11" s="428">
        <f t="shared" si="17"/>
        <v>37.696106130791932</v>
      </c>
    </row>
    <row r="12" spans="1:72" x14ac:dyDescent="0.25">
      <c r="C12" s="428"/>
      <c r="D12" s="428"/>
      <c r="E12" s="428"/>
      <c r="F12" s="428"/>
      <c r="I12" s="428"/>
      <c r="J12" s="428"/>
      <c r="K12" s="428"/>
      <c r="L12" s="428"/>
      <c r="N12" s="428"/>
      <c r="P12" s="428"/>
      <c r="Q12" s="428"/>
      <c r="R12" s="428"/>
      <c r="T12" s="152"/>
      <c r="U12" s="428"/>
      <c r="V12" s="428"/>
      <c r="W12" s="428"/>
      <c r="X12" s="428"/>
      <c r="Y12" s="428"/>
      <c r="AA12" s="428"/>
      <c r="AB12" s="428"/>
      <c r="AC12" s="428"/>
      <c r="AD12" s="428"/>
      <c r="AE12" s="428"/>
      <c r="AG12" s="820"/>
      <c r="AH12" s="820"/>
      <c r="AI12" s="820"/>
      <c r="AJ12" s="820"/>
      <c r="AK12" s="820"/>
      <c r="AL12" s="820"/>
      <c r="AM12" s="152">
        <f t="shared" si="0"/>
        <v>0</v>
      </c>
      <c r="AN12" s="428"/>
      <c r="AO12" s="841"/>
      <c r="AP12" s="428"/>
      <c r="AQ12" s="428"/>
      <c r="AR12" s="428"/>
      <c r="AS12" s="843"/>
      <c r="AT12" s="843"/>
      <c r="AU12" s="428"/>
      <c r="AV12" s="152">
        <f t="shared" si="1"/>
        <v>0</v>
      </c>
      <c r="AX12" s="841"/>
      <c r="AY12" s="428"/>
      <c r="AZ12" s="841"/>
      <c r="BA12" s="428"/>
      <c r="BB12" s="428"/>
      <c r="BE12" s="428"/>
      <c r="BK12" s="1062"/>
      <c r="BL12" s="1116"/>
      <c r="BM12" s="1072"/>
      <c r="BP12" s="428"/>
      <c r="BR12" s="428"/>
      <c r="BS12" s="428"/>
      <c r="BT12" s="428"/>
    </row>
    <row r="13" spans="1:72" x14ac:dyDescent="0.25">
      <c r="C13" s="428"/>
      <c r="D13" s="428"/>
      <c r="E13" s="428"/>
      <c r="F13" s="428"/>
      <c r="I13" s="428"/>
      <c r="J13" s="428"/>
      <c r="K13" s="428"/>
      <c r="L13" s="428"/>
      <c r="N13" s="428"/>
      <c r="P13" s="428"/>
      <c r="Q13" s="428"/>
      <c r="R13" s="428"/>
      <c r="T13" s="152"/>
      <c r="U13" s="428"/>
      <c r="V13" s="428"/>
      <c r="W13" s="428"/>
      <c r="X13" s="428"/>
      <c r="Y13" s="428"/>
      <c r="AA13" s="428"/>
      <c r="AB13" s="428"/>
      <c r="AC13" s="428"/>
      <c r="AD13" s="428"/>
      <c r="AE13" s="428"/>
      <c r="AG13" s="820"/>
      <c r="AH13" s="820"/>
      <c r="AI13" s="820"/>
      <c r="AJ13" s="820"/>
      <c r="AK13" s="820"/>
      <c r="AL13" s="820"/>
      <c r="AM13" s="152">
        <f t="shared" si="0"/>
        <v>0</v>
      </c>
      <c r="AN13" s="428"/>
      <c r="AO13" s="841"/>
      <c r="AP13" s="428"/>
      <c r="AQ13" s="428"/>
      <c r="AR13" s="428"/>
      <c r="AS13" s="843"/>
      <c r="AT13" s="843"/>
      <c r="AU13" s="428"/>
      <c r="AV13" s="152">
        <f t="shared" si="1"/>
        <v>0</v>
      </c>
      <c r="AX13" s="841"/>
      <c r="AY13" s="428"/>
      <c r="AZ13" s="841"/>
      <c r="BA13" s="428"/>
      <c r="BB13" s="428"/>
      <c r="BE13" s="428"/>
      <c r="BK13" s="1062"/>
      <c r="BL13" s="1116"/>
      <c r="BM13" s="1072"/>
      <c r="BP13" s="428"/>
      <c r="BR13" s="428"/>
      <c r="BS13" s="428"/>
      <c r="BT13" s="428"/>
    </row>
    <row r="14" spans="1:72" x14ac:dyDescent="0.25">
      <c r="A14" s="151" t="s">
        <v>739</v>
      </c>
      <c r="B14" s="150" t="s">
        <v>751</v>
      </c>
      <c r="C14" s="428">
        <f>('2122 Teachers Pay Scales'!K20+1100)/8</f>
        <v>6235.9162500000002</v>
      </c>
      <c r="D14" s="428">
        <f>(('2122 TA Pay Scales'!L24+490)/8)*3</f>
        <v>8769.6246042576422</v>
      </c>
      <c r="E14" s="428">
        <f>'2122 GLEA Pay Scales'!$K$19/10/37*6.25*195/224</f>
        <v>353.33239604699571</v>
      </c>
      <c r="F14" s="443">
        <f>SUM(C14:E14)</f>
        <v>15358.873250304638</v>
      </c>
      <c r="G14" s="151" t="s">
        <v>752</v>
      </c>
      <c r="I14" s="428">
        <v>5389.75</v>
      </c>
      <c r="J14" s="428">
        <v>8314.3681768558963</v>
      </c>
      <c r="K14" s="428">
        <v>300.11777569980694</v>
      </c>
      <c r="L14" s="443">
        <v>14004.235952555704</v>
      </c>
      <c r="N14" s="428">
        <f>D14+E14-J14-K14</f>
        <v>508.47104774893415</v>
      </c>
      <c r="P14" s="428">
        <f>C14-I14</f>
        <v>846.16625000000022</v>
      </c>
      <c r="Q14" s="428">
        <f>$Q$1+$Q$2</f>
        <v>557.86</v>
      </c>
      <c r="R14" s="428">
        <f>P14-Q14</f>
        <v>288.3062500000002</v>
      </c>
      <c r="T14" s="152"/>
      <c r="U14" s="428">
        <f>('2122 Teachers Pay Scales'!K19+1100)/8</f>
        <v>5836.8826874999995</v>
      </c>
      <c r="V14" s="428">
        <f>('2122 TA Pay Scales'!L24+490)/8*3</f>
        <v>8769.6246042576422</v>
      </c>
      <c r="W14" s="428">
        <f>'2122 GLEA Pay Scales'!$K$19/10/37*6.25*195/224</f>
        <v>353.33239604699571</v>
      </c>
      <c r="X14" s="443">
        <f>SUM(U14:W14)</f>
        <v>14959.839687804637</v>
      </c>
      <c r="Y14" s="428">
        <f>X14-L14</f>
        <v>955.60373524893294</v>
      </c>
      <c r="AA14" s="428">
        <f>('2122 Teachers Pay Scales'!K20+1100)/8</f>
        <v>6235.9162500000002</v>
      </c>
      <c r="AB14" s="428">
        <f>(('2122 TA Pay Scales'!L23+490)/8)*3</f>
        <v>8291.6148471615725</v>
      </c>
      <c r="AC14" s="428">
        <f>'2122 GLEA Pay Scales'!$K$19/10/37*6.25*195/224</f>
        <v>353.33239604699571</v>
      </c>
      <c r="AD14" s="443">
        <f>SUM(AA14:AC14)</f>
        <v>14880.863493208568</v>
      </c>
      <c r="AE14" s="428">
        <f>AD14-L14</f>
        <v>876.6275406528639</v>
      </c>
      <c r="AG14" s="820">
        <f>('2122 Teachers Pay Scales'!K69+1100)/8</f>
        <v>6156.1095375000004</v>
      </c>
      <c r="AH14" s="820">
        <v>8674.097652838429</v>
      </c>
      <c r="AI14" s="820">
        <f>'2122 GLEA Pay Scales'!$K$19/10/37*6.25*195/224</f>
        <v>353.33239604699571</v>
      </c>
      <c r="AJ14" s="820">
        <f>SUM(AG14:AI14)</f>
        <v>15183.539586385425</v>
      </c>
      <c r="AK14" s="820">
        <f t="shared" si="2"/>
        <v>1179.3036338297206</v>
      </c>
      <c r="AL14" s="820">
        <f t="shared" si="3"/>
        <v>-175.333663919213</v>
      </c>
      <c r="AM14" s="152">
        <f t="shared" si="0"/>
        <v>686.55282499999976</v>
      </c>
      <c r="AN14" s="428">
        <f>('2122 Teachers Pay Scales'!K98+1100)/8</f>
        <v>6076.3028249999998</v>
      </c>
      <c r="AO14" s="841">
        <f>('2122 TA Pay Scales'!L40+490)/8*3</f>
        <v>8578.5707014192139</v>
      </c>
      <c r="AP14" s="428">
        <f t="shared" si="4"/>
        <v>300.11777569980694</v>
      </c>
      <c r="AQ14" s="428">
        <f t="shared" si="5"/>
        <v>14954.991302119022</v>
      </c>
      <c r="AR14" s="428">
        <f t="shared" si="6"/>
        <v>950.7553495633183</v>
      </c>
      <c r="AS14" s="843">
        <f t="shared" si="7"/>
        <v>6.7890554885274568E-2</v>
      </c>
      <c r="AT14" s="843">
        <f t="shared" si="8"/>
        <v>1.8865900678794404E-2</v>
      </c>
      <c r="AU14" s="428">
        <f t="shared" si="9"/>
        <v>264.20252456331764</v>
      </c>
      <c r="AV14" s="152">
        <f t="shared" si="1"/>
        <v>264.20252456331764</v>
      </c>
      <c r="AX14" s="841">
        <f>('2122 Teachers Pay Scales'!K126+1100)/8</f>
        <v>6120.2340168749997</v>
      </c>
      <c r="AY14" s="428">
        <f>('2122 TA Pay Scales'!L41+490)/8*3</f>
        <v>8626.1466771288215</v>
      </c>
      <c r="AZ14" s="841">
        <f t="shared" si="10"/>
        <v>300.11777569980694</v>
      </c>
      <c r="BA14" s="428">
        <f t="shared" ref="BA14" si="20">SUM(AX14:AZ14)</f>
        <v>15046.498469703629</v>
      </c>
      <c r="BB14" s="428">
        <f t="shared" ref="BB14" si="21">BA14-V14</f>
        <v>6276.8738654459867</v>
      </c>
      <c r="BE14" s="428">
        <f t="shared" si="13"/>
        <v>14998.922493994021</v>
      </c>
      <c r="BG14" s="422">
        <f>('2223 TA Pay Scales'!L45+490)/8*3</f>
        <v>8885.4271154475973</v>
      </c>
      <c r="BH14" s="428">
        <f>('2223 Teachers Pay Scales'!K172+1100)/8</f>
        <v>6242.9736972125002</v>
      </c>
      <c r="BI14" s="428">
        <f>AZ14</f>
        <v>300.11777569980694</v>
      </c>
      <c r="BK14" s="1063">
        <f>SUM(BG14:BI14)</f>
        <v>15428.518588359904</v>
      </c>
      <c r="BL14" s="1116">
        <f t="shared" si="14"/>
        <v>3.0676153688162025E-2</v>
      </c>
      <c r="BM14" s="1072">
        <f t="shared" si="15"/>
        <v>2.864179707161664E-2</v>
      </c>
      <c r="BN14" s="428">
        <f>BK14-BE14</f>
        <v>429.59609436588289</v>
      </c>
      <c r="BO14" s="428">
        <v>299.47109436588289</v>
      </c>
      <c r="BP14" s="428">
        <f t="shared" si="16"/>
        <v>130.125</v>
      </c>
      <c r="BR14" s="428">
        <f>('2223 Teachers Pay Scales'!G176)/8</f>
        <v>43.159046215156252</v>
      </c>
      <c r="BS14" s="428">
        <f>('2223 TA Pay Scales'!H49)/8*3</f>
        <v>40.155338943094961</v>
      </c>
      <c r="BT14" s="428">
        <f t="shared" si="17"/>
        <v>83.314385158251213</v>
      </c>
    </row>
    <row r="15" spans="1:72" x14ac:dyDescent="0.25">
      <c r="C15" s="428"/>
      <c r="D15" s="428"/>
      <c r="E15" s="428"/>
      <c r="F15" s="428"/>
      <c r="I15" s="428"/>
      <c r="J15" s="428"/>
      <c r="K15" s="428"/>
      <c r="L15" s="428"/>
      <c r="N15" s="428"/>
      <c r="P15" s="428"/>
      <c r="Q15" s="428"/>
      <c r="R15" s="428"/>
      <c r="T15" s="152"/>
      <c r="U15" s="428"/>
      <c r="V15" s="428"/>
      <c r="W15" s="428"/>
      <c r="X15" s="428"/>
      <c r="Y15" s="428"/>
      <c r="AA15" s="428"/>
      <c r="AB15" s="428"/>
      <c r="AC15" s="428"/>
      <c r="AD15" s="428"/>
      <c r="AE15" s="428"/>
      <c r="AG15" s="820"/>
      <c r="AH15" s="820"/>
      <c r="AI15" s="820"/>
      <c r="AJ15" s="820"/>
      <c r="AK15" s="820"/>
      <c r="AL15" s="820"/>
      <c r="AM15" s="152">
        <f t="shared" si="0"/>
        <v>0</v>
      </c>
      <c r="AN15" s="428"/>
      <c r="AO15" s="841"/>
      <c r="AP15" s="428"/>
      <c r="AQ15" s="428"/>
      <c r="AR15" s="428"/>
      <c r="AS15" s="843"/>
      <c r="AT15" s="843"/>
      <c r="AU15" s="428"/>
      <c r="AV15" s="152">
        <f t="shared" si="1"/>
        <v>0</v>
      </c>
      <c r="AX15" s="841"/>
      <c r="AY15" s="428"/>
      <c r="AZ15" s="841"/>
      <c r="BA15" s="428"/>
      <c r="BB15" s="428"/>
      <c r="BE15" s="428"/>
      <c r="BK15" s="1062"/>
      <c r="BL15" s="1116"/>
      <c r="BM15" s="1072"/>
      <c r="BP15" s="428"/>
      <c r="BR15" s="428"/>
      <c r="BS15" s="428"/>
      <c r="BT15" s="428"/>
    </row>
    <row r="16" spans="1:72" x14ac:dyDescent="0.25">
      <c r="C16" s="428"/>
      <c r="D16" s="428"/>
      <c r="E16" s="428"/>
      <c r="F16" s="428"/>
      <c r="I16" s="428"/>
      <c r="J16" s="428"/>
      <c r="K16" s="428"/>
      <c r="L16" s="428"/>
      <c r="N16" s="428"/>
      <c r="P16" s="428"/>
      <c r="Q16" s="428"/>
      <c r="R16" s="428"/>
      <c r="T16" s="152"/>
      <c r="U16" s="428"/>
      <c r="V16" s="428"/>
      <c r="W16" s="428"/>
      <c r="X16" s="428"/>
      <c r="Y16" s="428"/>
      <c r="AA16" s="428"/>
      <c r="AB16" s="428"/>
      <c r="AC16" s="428"/>
      <c r="AD16" s="428"/>
      <c r="AE16" s="428"/>
      <c r="AG16" s="820"/>
      <c r="AH16" s="820"/>
      <c r="AI16" s="820"/>
      <c r="AJ16" s="820"/>
      <c r="AK16" s="820"/>
      <c r="AL16" s="820"/>
      <c r="AM16" s="152">
        <f t="shared" si="0"/>
        <v>0</v>
      </c>
      <c r="AN16" s="428"/>
      <c r="AO16" s="841"/>
      <c r="AP16" s="428"/>
      <c r="AQ16" s="428"/>
      <c r="AR16" s="428"/>
      <c r="AS16" s="843"/>
      <c r="AT16" s="843"/>
      <c r="AU16" s="428"/>
      <c r="AV16" s="152">
        <f t="shared" si="1"/>
        <v>0</v>
      </c>
      <c r="AX16" s="841"/>
      <c r="AY16" s="428"/>
      <c r="AZ16" s="841"/>
      <c r="BA16" s="428"/>
      <c r="BB16" s="428"/>
      <c r="BE16" s="428"/>
      <c r="BK16" s="1062"/>
      <c r="BL16" s="1116"/>
      <c r="BM16" s="1072"/>
      <c r="BP16" s="428"/>
      <c r="BR16" s="428"/>
      <c r="BS16" s="428"/>
      <c r="BT16" s="428"/>
    </row>
    <row r="17" spans="1:72" x14ac:dyDescent="0.25">
      <c r="A17" s="151" t="s">
        <v>737</v>
      </c>
      <c r="B17" s="150" t="s">
        <v>40</v>
      </c>
      <c r="C17" s="428">
        <f>('2122 Teachers Pay Scales'!K20+1100)/10</f>
        <v>4988.7330000000002</v>
      </c>
      <c r="D17" s="428">
        <f>(('2122 TA Pay Scales'!L24+490)/10)*3</f>
        <v>7015.6996834061147</v>
      </c>
      <c r="E17" s="428">
        <f>'2122 GLEA Pay Scales'!$K$19/10/37*6.25*195/224</f>
        <v>353.33239604699571</v>
      </c>
      <c r="F17" s="443">
        <f>SUM(C17:E17)</f>
        <v>12357.765079453109</v>
      </c>
      <c r="G17" s="151" t="s">
        <v>141</v>
      </c>
      <c r="I17" s="428">
        <v>4311.8</v>
      </c>
      <c r="J17" s="428">
        <v>6651.494541484717</v>
      </c>
      <c r="K17" s="428">
        <v>300.11777569980694</v>
      </c>
      <c r="L17" s="443">
        <v>11263.412317184524</v>
      </c>
      <c r="N17" s="428">
        <f>D17+E17-J17-K17</f>
        <v>417.41976226858679</v>
      </c>
      <c r="P17" s="428">
        <f>C17-I17</f>
        <v>676.93299999999999</v>
      </c>
      <c r="Q17" s="428">
        <f>$Q$1+$Q$2</f>
        <v>557.86</v>
      </c>
      <c r="R17" s="428">
        <f>P17-Q17</f>
        <v>119.07299999999998</v>
      </c>
      <c r="T17" s="152"/>
      <c r="U17" s="428">
        <f>('2122 Teachers Pay Scales'!K19+1100)/10</f>
        <v>4669.5061499999993</v>
      </c>
      <c r="V17" s="428">
        <f>('2122 TA Pay Scales'!L24+490)/10*3</f>
        <v>7015.6996834061147</v>
      </c>
      <c r="W17" s="428">
        <f>'2122 GLEA Pay Scales'!$K$19/10/37*6.25*195/224</f>
        <v>353.33239604699571</v>
      </c>
      <c r="X17" s="443">
        <f>SUM(U17:W17)</f>
        <v>12038.53822945311</v>
      </c>
      <c r="Y17" s="428">
        <f>X17-L17</f>
        <v>775.12591226858603</v>
      </c>
      <c r="AA17" s="428">
        <f>('2122 Teachers Pay Scales'!K20+1100)/10</f>
        <v>4988.7330000000002</v>
      </c>
      <c r="AB17" s="428">
        <f>(('2122 TA Pay Scales'!L23+490)/10)*3</f>
        <v>6633.2918777292571</v>
      </c>
      <c r="AC17" s="428">
        <f>'2122 GLEA Pay Scales'!$K$19/10/37*6.25*195/224</f>
        <v>353.33239604699571</v>
      </c>
      <c r="AD17" s="443">
        <f>SUM(AA17:AC17)</f>
        <v>11975.357273776253</v>
      </c>
      <c r="AE17" s="428">
        <f>AD17-L17</f>
        <v>711.94495659172935</v>
      </c>
      <c r="AG17" s="820">
        <f>('2122 Teachers Pay Scales'!K69+1100)/10</f>
        <v>4924.8876300000002</v>
      </c>
      <c r="AH17" s="820">
        <v>6939.2781222707436</v>
      </c>
      <c r="AI17" s="820">
        <f>'2122 GLEA Pay Scales'!$K$19/10/37*6.25*195/224</f>
        <v>353.33239604699571</v>
      </c>
      <c r="AJ17" s="820">
        <f>SUM(AG17:AI17)</f>
        <v>12217.498148317738</v>
      </c>
      <c r="AK17" s="820">
        <f t="shared" si="2"/>
        <v>954.08583113321401</v>
      </c>
      <c r="AL17" s="820">
        <f t="shared" si="3"/>
        <v>-140.26693113537112</v>
      </c>
      <c r="AM17" s="152">
        <f t="shared" si="0"/>
        <v>549.24225999999999</v>
      </c>
      <c r="AN17" s="428">
        <f>('2122 Teachers Pay Scales'!K98+1100)/10</f>
        <v>4861.0422600000002</v>
      </c>
      <c r="AO17" s="841">
        <f>('2122 TA Pay Scales'!L40+490)/10*3</f>
        <v>6862.8565611353715</v>
      </c>
      <c r="AP17" s="428">
        <f t="shared" si="4"/>
        <v>300.11777569980694</v>
      </c>
      <c r="AQ17" s="428">
        <f t="shared" si="5"/>
        <v>12024.016596835179</v>
      </c>
      <c r="AR17" s="428">
        <f t="shared" si="6"/>
        <v>760.60427965065537</v>
      </c>
      <c r="AS17" s="843">
        <f t="shared" si="7"/>
        <v>6.7528761110006219E-2</v>
      </c>
      <c r="AT17" s="843">
        <f t="shared" si="8"/>
        <v>1.8765362902340054E-2</v>
      </c>
      <c r="AU17" s="428">
        <f t="shared" si="9"/>
        <v>211.36201965065447</v>
      </c>
      <c r="AV17" s="152">
        <f>AO17-J17</f>
        <v>211.36201965065447</v>
      </c>
      <c r="AX17" s="841">
        <f>('2122 Teachers Pay Scales'!K126+1100)/10</f>
        <v>4896.1872134999994</v>
      </c>
      <c r="AY17" s="428">
        <f>('2122 TA Pay Scales'!L41+490)/10*3</f>
        <v>6900.9173417030579</v>
      </c>
      <c r="AZ17" s="841">
        <f t="shared" si="10"/>
        <v>300.11777569980694</v>
      </c>
      <c r="BA17" s="428">
        <f t="shared" ref="BA17" si="22">SUM(AX17:AZ17)</f>
        <v>12097.222330902865</v>
      </c>
      <c r="BB17" s="428">
        <f t="shared" ref="BB17" si="23">BA17-V17</f>
        <v>5081.5226474967503</v>
      </c>
      <c r="BE17" s="428">
        <f>AX17+AO17+AZ17</f>
        <v>12059.161550335179</v>
      </c>
      <c r="BG17" s="422">
        <f>('2223 TA Pay Scales'!L45+490)/10*3</f>
        <v>7108.341692358078</v>
      </c>
      <c r="BH17" s="428">
        <f>('2223 Teachers Pay Scales'!K172+1100)/10</f>
        <v>4994.3789577699999</v>
      </c>
      <c r="BI17" s="428">
        <f>AZ17</f>
        <v>300.11777569980694</v>
      </c>
      <c r="BK17" s="1063"/>
      <c r="BL17" s="1116"/>
      <c r="BM17" s="1072"/>
      <c r="BN17" s="428"/>
      <c r="BO17" s="428"/>
      <c r="BP17" s="428"/>
      <c r="BR17" s="428">
        <f>('2223 Teachers Pay Scales'!G176)/10</f>
        <v>34.527236972125003</v>
      </c>
      <c r="BS17" s="428">
        <f>('2223 TA Pay Scales'!H49)/10*3</f>
        <v>32.124271154475963</v>
      </c>
      <c r="BT17" s="428">
        <f t="shared" si="17"/>
        <v>66.651508126600959</v>
      </c>
    </row>
    <row r="18" spans="1:72" x14ac:dyDescent="0.25">
      <c r="C18" s="428"/>
      <c r="D18" s="428"/>
      <c r="E18" s="428"/>
      <c r="F18" s="428"/>
      <c r="N18" s="428"/>
      <c r="P18" s="428"/>
      <c r="Q18" s="428"/>
      <c r="R18" s="428"/>
      <c r="AN18" s="150"/>
      <c r="AO18" s="842"/>
      <c r="AP18" s="428"/>
      <c r="AQ18" s="428"/>
      <c r="AR18" s="150"/>
      <c r="AU18" s="428"/>
      <c r="AV18" s="152">
        <f t="shared" si="1"/>
        <v>0</v>
      </c>
      <c r="AX18" s="842"/>
      <c r="AY18" s="150"/>
      <c r="AZ18" s="841"/>
      <c r="BA18" s="428"/>
      <c r="BB18" s="150"/>
      <c r="BE18" s="428"/>
      <c r="BK18" s="1062"/>
      <c r="BL18" s="1116"/>
      <c r="BM18" s="1072"/>
      <c r="BP18" s="428"/>
      <c r="BR18" s="428"/>
      <c r="BS18" s="428"/>
      <c r="BT18" s="428"/>
    </row>
    <row r="19" spans="1:72" x14ac:dyDescent="0.25">
      <c r="C19" s="428"/>
      <c r="D19" s="428"/>
      <c r="E19" s="428"/>
      <c r="F19" s="428"/>
      <c r="N19" s="428"/>
      <c r="P19" s="428"/>
      <c r="Q19" s="428"/>
      <c r="R19" s="428"/>
      <c r="AN19" s="150"/>
      <c r="AO19" s="842"/>
      <c r="AP19" s="428"/>
      <c r="AQ19" s="428"/>
      <c r="AR19" s="150"/>
      <c r="AU19" s="428"/>
      <c r="AV19" s="152">
        <f t="shared" si="1"/>
        <v>0</v>
      </c>
      <c r="AX19" s="842"/>
      <c r="AY19" s="150"/>
      <c r="AZ19" s="841"/>
      <c r="BA19" s="428"/>
      <c r="BB19" s="150"/>
      <c r="BE19" s="428"/>
      <c r="BK19" s="1062"/>
      <c r="BL19" s="1116"/>
      <c r="BM19" s="1072"/>
      <c r="BP19" s="428"/>
      <c r="BR19" s="428"/>
      <c r="BS19" s="428"/>
      <c r="BT19" s="428"/>
    </row>
    <row r="20" spans="1:72" ht="25" x14ac:dyDescent="0.25">
      <c r="A20" s="151" t="s">
        <v>1253</v>
      </c>
      <c r="C20" s="428">
        <v>0</v>
      </c>
      <c r="D20" s="428">
        <v>0</v>
      </c>
      <c r="E20" s="428">
        <v>0</v>
      </c>
      <c r="F20" s="443">
        <v>2635</v>
      </c>
      <c r="G20" s="444" t="s">
        <v>943</v>
      </c>
      <c r="I20" s="428">
        <v>0</v>
      </c>
      <c r="J20" s="428">
        <v>0</v>
      </c>
      <c r="K20" s="428">
        <v>0</v>
      </c>
      <c r="L20" s="443">
        <v>2635</v>
      </c>
      <c r="N20" s="428">
        <f>D20+E20-J20-K20</f>
        <v>0</v>
      </c>
      <c r="P20" s="428">
        <f>C20-I20</f>
        <v>0</v>
      </c>
      <c r="Q20" s="428"/>
      <c r="R20" s="428"/>
      <c r="AN20" s="150"/>
      <c r="AO20" s="842"/>
      <c r="AP20" s="428"/>
      <c r="AQ20" s="428">
        <f>F20</f>
        <v>2635</v>
      </c>
      <c r="AR20" s="150"/>
      <c r="AU20" s="428"/>
      <c r="AV20" s="152">
        <f t="shared" si="1"/>
        <v>0</v>
      </c>
      <c r="AX20" s="842"/>
      <c r="AY20" s="150"/>
      <c r="AZ20" s="841">
        <v>2635</v>
      </c>
      <c r="BA20" s="428"/>
      <c r="BB20" s="150"/>
      <c r="BE20" s="428">
        <f>AX20+AO20+AZ20</f>
        <v>2635</v>
      </c>
      <c r="BK20" s="1062"/>
      <c r="BL20" s="1116"/>
      <c r="BM20" s="1072"/>
      <c r="BN20" s="428"/>
      <c r="BO20" s="428"/>
      <c r="BP20" s="428"/>
      <c r="BR20" s="428"/>
      <c r="BS20" s="428"/>
      <c r="BT20" s="428"/>
    </row>
    <row r="21" spans="1:72" x14ac:dyDescent="0.25">
      <c r="C21" s="428"/>
      <c r="D21" s="428"/>
      <c r="E21" s="428"/>
      <c r="F21" s="428"/>
      <c r="G21" s="1"/>
      <c r="I21" s="428"/>
      <c r="J21" s="428"/>
      <c r="K21" s="428"/>
      <c r="L21" s="428"/>
      <c r="N21" s="428"/>
      <c r="P21" s="428"/>
      <c r="Q21" s="428"/>
      <c r="R21" s="428"/>
      <c r="X21" s="182" t="s">
        <v>1365</v>
      </c>
      <c r="AD21" s="422">
        <f>'2122 TA Pay Scales'!L40</f>
        <v>22386.188537117905</v>
      </c>
      <c r="AN21" s="150"/>
      <c r="AO21" s="842"/>
      <c r="AP21" s="428"/>
      <c r="AQ21" s="428"/>
      <c r="AR21" s="150"/>
      <c r="AU21" s="428"/>
      <c r="AV21" s="152">
        <f t="shared" si="1"/>
        <v>0</v>
      </c>
      <c r="AX21" s="842"/>
      <c r="AY21" s="150"/>
      <c r="AZ21" s="841"/>
      <c r="BA21" s="428"/>
      <c r="BB21" s="150"/>
      <c r="BE21" s="428"/>
      <c r="BK21" s="1062"/>
      <c r="BL21" s="1116"/>
      <c r="BM21" s="1072"/>
      <c r="BP21" s="428"/>
      <c r="BR21" s="428"/>
      <c r="BS21" s="428"/>
      <c r="BT21" s="428"/>
    </row>
    <row r="22" spans="1:72" x14ac:dyDescent="0.25">
      <c r="A22" s="151" t="s">
        <v>741</v>
      </c>
      <c r="B22" s="150" t="s">
        <v>751</v>
      </c>
      <c r="C22" s="428">
        <f>('2122 Teachers Pay Scales'!K20+1100)/6</f>
        <v>8314.5550000000003</v>
      </c>
      <c r="D22" s="428">
        <f>(('2122 TA Pay Scales'!L24+490)/6)*2</f>
        <v>7795.2218704512379</v>
      </c>
      <c r="E22" s="428">
        <f>'2122 GLEA Pay Scales'!$K$19/10/37*6.25*195/224</f>
        <v>353.33239604699571</v>
      </c>
      <c r="F22" s="443">
        <f>SUM(C22:E22)</f>
        <v>16463.109266498235</v>
      </c>
      <c r="G22" s="151" t="s">
        <v>753</v>
      </c>
      <c r="I22" s="428">
        <v>7186.333333333333</v>
      </c>
      <c r="J22" s="428">
        <v>7390.549490538574</v>
      </c>
      <c r="K22" s="428">
        <v>300.11777569980694</v>
      </c>
      <c r="L22" s="443">
        <v>14877.000599571715</v>
      </c>
      <c r="N22" s="428">
        <f>D22+E22-J22-K22</f>
        <v>457.8870002598531</v>
      </c>
      <c r="P22" s="428">
        <f>C22-I22</f>
        <v>1128.2216666666673</v>
      </c>
      <c r="Q22" s="428">
        <f>$Q$1+$Q$2</f>
        <v>557.86</v>
      </c>
      <c r="R22" s="428">
        <f>P22-Q22</f>
        <v>570.36166666666725</v>
      </c>
      <c r="AG22" s="820">
        <f>('2122 Teachers Pay Scales'!K69+1100)/6</f>
        <v>8208.1460500000012</v>
      </c>
      <c r="AH22" s="820">
        <v>7710.3090247452701</v>
      </c>
      <c r="AI22" s="820">
        <f>'2122 GLEA Pay Scales'!$K$19/10/37*6.25*195/224</f>
        <v>353.33239604699571</v>
      </c>
      <c r="AJ22" s="820">
        <f>SUM(AG22:AI22)</f>
        <v>16271.787470792266</v>
      </c>
      <c r="AK22" s="820">
        <f>AJ22-L22</f>
        <v>1394.7868712205509</v>
      </c>
      <c r="AL22" s="820">
        <f>AJ22-F22</f>
        <v>-191.32179570596963</v>
      </c>
      <c r="AN22" s="428">
        <f>('2122 Teachers Pay Scales'!K98+1100)/6</f>
        <v>8101.7370999999994</v>
      </c>
      <c r="AO22" s="841">
        <f>('2122 TA Pay Scales'!L40+490)/6*2</f>
        <v>7625.3961790393014</v>
      </c>
      <c r="AP22" s="428">
        <f t="shared" si="4"/>
        <v>300.11777569980694</v>
      </c>
      <c r="AQ22" s="428">
        <f t="shared" si="5"/>
        <v>16027.251054739108</v>
      </c>
      <c r="AR22" s="150"/>
      <c r="AU22" s="428">
        <f t="shared" si="9"/>
        <v>234.8466885007274</v>
      </c>
      <c r="AV22" s="152">
        <f t="shared" si="1"/>
        <v>234.8466885007274</v>
      </c>
      <c r="AX22" s="841">
        <f>('2122 Teachers Pay Scales'!K126+1100)/6</f>
        <v>8160.3120224999993</v>
      </c>
      <c r="AY22" s="428">
        <f>('2122 TA Pay Scales'!L41+490)/6*2</f>
        <v>7667.6859352256188</v>
      </c>
      <c r="AZ22" s="841">
        <f t="shared" si="10"/>
        <v>300.11777569980694</v>
      </c>
      <c r="BA22" s="428">
        <f t="shared" ref="BA22" si="24">SUM(AX22:AZ22)</f>
        <v>16128.115733425426</v>
      </c>
      <c r="BB22" s="150"/>
      <c r="BE22" s="428">
        <f>AX22+AO22+AZ22</f>
        <v>16085.825977239108</v>
      </c>
      <c r="BG22" s="422">
        <f>('2223 TA Pay Scales'!L45+490)/6*2</f>
        <v>7898.1574359534206</v>
      </c>
      <c r="BH22" s="428">
        <f>('2223 Teachers Pay Scales'!K172+1100)/6</f>
        <v>8323.9649296166663</v>
      </c>
      <c r="BI22" s="428">
        <f>AZ22</f>
        <v>300.11777569980694</v>
      </c>
      <c r="BK22" s="1063">
        <f>SUM(BG22:BI22)</f>
        <v>16522.240141269893</v>
      </c>
      <c r="BL22" s="1116">
        <f t="shared" si="14"/>
        <v>2.9334821969648105E-2</v>
      </c>
      <c r="BM22" s="1072">
        <f t="shared" si="15"/>
        <v>2.7130354676738109E-2</v>
      </c>
      <c r="BN22" s="428">
        <f>BK22-BE22</f>
        <v>436.41416403078438</v>
      </c>
      <c r="BO22" s="428">
        <v>320.74749736412014</v>
      </c>
      <c r="BP22" s="428">
        <f t="shared" si="16"/>
        <v>115.66666666666424</v>
      </c>
      <c r="BR22" s="428">
        <f>('2223 Teachers Pay Scales'!G176)/6</f>
        <v>57.545394953541667</v>
      </c>
      <c r="BS22" s="428">
        <f>('2223 TA Pay Scales'!H49)/6*2</f>
        <v>35.69363461608441</v>
      </c>
      <c r="BT22" s="428">
        <f t="shared" si="17"/>
        <v>93.239029569626069</v>
      </c>
    </row>
    <row r="23" spans="1:72" x14ac:dyDescent="0.25">
      <c r="C23" s="428"/>
      <c r="D23" s="428"/>
      <c r="E23" s="428"/>
      <c r="F23" s="428"/>
      <c r="I23" s="428"/>
      <c r="J23" s="428"/>
      <c r="K23" s="428"/>
      <c r="L23" s="428"/>
      <c r="N23" s="428"/>
      <c r="P23" s="428"/>
      <c r="Q23" s="428"/>
      <c r="R23" s="428"/>
      <c r="AH23" s="820"/>
      <c r="AN23" s="150"/>
      <c r="AO23" s="842"/>
      <c r="AP23" s="150"/>
      <c r="AQ23" s="428"/>
      <c r="AR23" s="150"/>
      <c r="AU23" s="428"/>
      <c r="AV23" s="152">
        <f t="shared" si="1"/>
        <v>0</v>
      </c>
      <c r="AX23" s="841"/>
      <c r="AY23" s="150"/>
      <c r="AZ23" s="841"/>
      <c r="BA23" s="428"/>
      <c r="BB23" s="150"/>
      <c r="BE23" s="428"/>
      <c r="BK23" s="1062"/>
      <c r="BL23" s="1116"/>
      <c r="BM23" s="1072"/>
      <c r="BP23" s="428"/>
      <c r="BR23" s="428"/>
      <c r="BS23" s="428"/>
      <c r="BT23" s="428"/>
    </row>
    <row r="24" spans="1:72" x14ac:dyDescent="0.25">
      <c r="A24" s="151" t="s">
        <v>743</v>
      </c>
      <c r="B24" s="150" t="s">
        <v>671</v>
      </c>
      <c r="C24" s="428">
        <v>0</v>
      </c>
      <c r="D24" s="428">
        <f>('2122 TA Pay Scales'!L24+490)</f>
        <v>23385.665611353714</v>
      </c>
      <c r="E24" s="428">
        <v>0</v>
      </c>
      <c r="F24" s="443">
        <f>SUM(C24:E24)</f>
        <v>23385.665611353714</v>
      </c>
      <c r="G24" s="151" t="s">
        <v>944</v>
      </c>
      <c r="I24" s="428">
        <v>0</v>
      </c>
      <c r="J24" s="428">
        <v>22512.750755794426</v>
      </c>
      <c r="K24" s="428">
        <v>0</v>
      </c>
      <c r="L24" s="443">
        <v>22512.750755794426</v>
      </c>
      <c r="N24" s="428">
        <f>D24+E24-J24-K24</f>
        <v>872.91485555928739</v>
      </c>
      <c r="P24" s="428">
        <f>C24-I24</f>
        <v>0</v>
      </c>
      <c r="Q24" s="428"/>
      <c r="R24" s="428"/>
      <c r="AH24" s="820">
        <v>23130.927074235809</v>
      </c>
      <c r="AK24" s="820">
        <f>AH24-J24</f>
        <v>618.17631844138305</v>
      </c>
      <c r="AL24" s="820">
        <f>AH24-D24</f>
        <v>-254.73853711790434</v>
      </c>
      <c r="AN24" s="150"/>
      <c r="AO24" s="841">
        <f>('2122 TA Pay Scales'!L40+490)</f>
        <v>22876.188537117905</v>
      </c>
      <c r="AP24" s="150">
        <v>0</v>
      </c>
      <c r="AQ24" s="428">
        <f t="shared" si="5"/>
        <v>22876.188537117905</v>
      </c>
      <c r="AR24" s="150"/>
      <c r="AU24" s="428">
        <f>AO24-J24</f>
        <v>363.4377813234787</v>
      </c>
      <c r="AV24" s="152">
        <f t="shared" si="1"/>
        <v>363.4377813234787</v>
      </c>
      <c r="AX24" s="841"/>
      <c r="AY24" s="428"/>
      <c r="AZ24" s="841">
        <f t="shared" si="10"/>
        <v>0</v>
      </c>
      <c r="BA24" s="428">
        <f t="shared" ref="BA24" si="25">SUM(AX24:AZ24)</f>
        <v>0</v>
      </c>
      <c r="BB24" s="150"/>
      <c r="BE24" s="428">
        <f t="shared" si="13"/>
        <v>22876.188537117905</v>
      </c>
      <c r="BG24" s="422">
        <f>'2223 TA Pay Scales'!L45+490</f>
        <v>23694.472307860262</v>
      </c>
      <c r="BH24" s="428">
        <v>0</v>
      </c>
      <c r="BI24" s="428">
        <f>AZ24</f>
        <v>0</v>
      </c>
      <c r="BK24" s="1063">
        <f>SUM(BG24:BI24)</f>
        <v>23694.472307860262</v>
      </c>
      <c r="BL24" s="1116">
        <f t="shared" si="14"/>
        <v>3.6347569411603046E-2</v>
      </c>
      <c r="BM24" s="1072">
        <f t="shared" si="15"/>
        <v>3.57701095798649E-2</v>
      </c>
      <c r="BN24" s="428">
        <f>BK24-BE24</f>
        <v>818.28377074235686</v>
      </c>
      <c r="BO24" s="428">
        <v>471.28377074235686</v>
      </c>
      <c r="BP24" s="428">
        <f t="shared" si="16"/>
        <v>347</v>
      </c>
      <c r="BR24" s="428">
        <v>0</v>
      </c>
      <c r="BS24" s="428">
        <f>'2223 TA Pay Scales'!H49</f>
        <v>107.08090384825323</v>
      </c>
      <c r="BT24" s="428">
        <f t="shared" si="17"/>
        <v>107.08090384825323</v>
      </c>
    </row>
    <row r="25" spans="1:72" x14ac:dyDescent="0.25">
      <c r="K25" s="151"/>
      <c r="L25" s="151"/>
      <c r="AF25" s="151" t="s">
        <v>1366</v>
      </c>
      <c r="AH25" s="820">
        <f>('2122 TA Pay Scales'!L$43+490)</f>
        <v>22749.319268558953</v>
      </c>
      <c r="AK25" s="820">
        <f>AH25-J24</f>
        <v>236.56851276452653</v>
      </c>
      <c r="AL25" s="820">
        <f>AH25-D24</f>
        <v>-636.34634279476086</v>
      </c>
      <c r="AO25" s="841"/>
      <c r="AX25" s="841"/>
      <c r="AY25" s="428"/>
      <c r="AZ25" s="841"/>
      <c r="BE25" s="150"/>
      <c r="BG25" s="422"/>
      <c r="BH25" s="428"/>
      <c r="BI25" s="428"/>
      <c r="BK25" s="1063"/>
      <c r="BL25" s="1116"/>
      <c r="BM25" s="1072"/>
      <c r="BN25" s="428"/>
      <c r="BP25" s="428"/>
      <c r="BR25" s="428"/>
      <c r="BS25" s="428"/>
      <c r="BT25" s="428"/>
    </row>
    <row r="26" spans="1:72" x14ac:dyDescent="0.25">
      <c r="A26" s="151" t="s">
        <v>1389</v>
      </c>
      <c r="B26" s="150" t="s">
        <v>1368</v>
      </c>
      <c r="G26" s="151" t="s">
        <v>1369</v>
      </c>
      <c r="I26" s="428">
        <v>5046.875</v>
      </c>
      <c r="J26" s="428">
        <v>5542.9121179039303</v>
      </c>
      <c r="K26" s="428">
        <v>300.11777569980694</v>
      </c>
      <c r="L26" s="428">
        <v>10889.904893603738</v>
      </c>
      <c r="AO26" s="841">
        <f>('2122 TA Pay Scales'!L40+490)/8*2</f>
        <v>5719.0471342794763</v>
      </c>
      <c r="AX26" s="841">
        <f>('2122 Teachers Pay Scales'!K153+1100)/8</f>
        <v>5730.1090168749997</v>
      </c>
      <c r="AY26" s="428"/>
      <c r="AZ26" s="841">
        <f t="shared" si="10"/>
        <v>300.11777569980694</v>
      </c>
      <c r="BE26" s="428">
        <f>AX26+AO26+AZ26</f>
        <v>11749.273926854283</v>
      </c>
      <c r="BG26" s="422">
        <f>('2223 TA Pay Scales'!L45+490)/8*2</f>
        <v>5923.6180769650655</v>
      </c>
      <c r="BH26" s="428">
        <f>('2223 Teachers Pay Scales'!K153+1100)/8</f>
        <v>5845.0486972125</v>
      </c>
      <c r="BI26" s="428">
        <f t="shared" ref="BI26" si="26">AZ26</f>
        <v>300.11777569980694</v>
      </c>
      <c r="BK26" s="1063">
        <f t="shared" ref="BK26" si="27">SUM(BG26:BI26)</f>
        <v>12068.784549877373</v>
      </c>
      <c r="BL26" s="1116">
        <f t="shared" si="14"/>
        <v>2.9340074697140575E-2</v>
      </c>
      <c r="BM26" s="1072">
        <f t="shared" si="15"/>
        <v>2.7194073864667757E-2</v>
      </c>
      <c r="BN26" s="428">
        <f>BK26-BE26</f>
        <v>319.51062302309037</v>
      </c>
      <c r="BO26" s="428">
        <v>232.76062302309037</v>
      </c>
      <c r="BP26" s="428">
        <f t="shared" si="16"/>
        <v>86.75</v>
      </c>
      <c r="BR26" s="428">
        <f>('2223 Teachers Pay Scales'!G176)/8</f>
        <v>43.159046215156252</v>
      </c>
      <c r="BS26" s="428">
        <f>('2223 TA Pay Scales'!H49)/8*2</f>
        <v>26.770225962063307</v>
      </c>
      <c r="BT26" s="428">
        <f t="shared" ref="BT26" si="28">SUM(BR26:BS26)</f>
        <v>69.929272177219559</v>
      </c>
    </row>
    <row r="27" spans="1:72" x14ac:dyDescent="0.25">
      <c r="K27" s="151"/>
      <c r="L27" s="151"/>
      <c r="AX27" s="428"/>
      <c r="BE27" s="150"/>
      <c r="BK27" s="1062"/>
      <c r="BL27" s="1116"/>
      <c r="BM27" s="1072"/>
      <c r="BP27" s="428"/>
      <c r="BR27" s="428"/>
      <c r="BS27" s="428"/>
      <c r="BT27" s="428"/>
    </row>
    <row r="28" spans="1:72" x14ac:dyDescent="0.25">
      <c r="A28" s="151" t="s">
        <v>748</v>
      </c>
      <c r="G28" s="151" t="s">
        <v>750</v>
      </c>
      <c r="K28" s="428">
        <v>300.11777569980694</v>
      </c>
      <c r="AO28" s="841">
        <f>('2122 TA Pay Scales'!L40+490)/8*AO36</f>
        <v>8273.8097577603712</v>
      </c>
      <c r="AX28" s="841">
        <f>('2122 Teachers Pay Scales'!K126+1100)/8</f>
        <v>6120.2340168749997</v>
      </c>
      <c r="AZ28" s="841">
        <f t="shared" si="10"/>
        <v>300.11777569980694</v>
      </c>
      <c r="BE28" s="428">
        <f>AX28+AO28+AZ28</f>
        <v>14694.161550335179</v>
      </c>
      <c r="BG28" s="422">
        <f>('2223 TA Pay Scales'!L45+490)/8*AO36</f>
        <v>8569.7648394384141</v>
      </c>
      <c r="BH28" s="428">
        <f>('2223 Teachers Pay Scales'!K172+1100)/8</f>
        <v>6242.9736972125002</v>
      </c>
      <c r="BI28" s="428">
        <f>AZ28</f>
        <v>300.11777569980694</v>
      </c>
      <c r="BK28" s="1063">
        <f>SUM(BG28:BI28)</f>
        <v>15112.856312350723</v>
      </c>
      <c r="BL28" s="1116">
        <f>BN28/(L17+L20)</f>
        <v>3.0125366297980249E-2</v>
      </c>
      <c r="BM28" s="1072">
        <f t="shared" si="15"/>
        <v>2.8493953913688509E-2</v>
      </c>
      <c r="BN28" s="428">
        <f>BK28-BE28</f>
        <v>418.69476201554426</v>
      </c>
      <c r="BO28" s="428">
        <v>293.1925621501905</v>
      </c>
      <c r="BP28" s="428">
        <f t="shared" si="16"/>
        <v>125.50219986535376</v>
      </c>
      <c r="BR28" s="428">
        <f>('2223 Teachers Pay Scales'!G176)/8</f>
        <v>43.159046215156252</v>
      </c>
      <c r="BS28" s="428">
        <f>('2223 TA Pay Scales'!H49)/8*AO36</f>
        <v>38.728786733504414</v>
      </c>
      <c r="BT28" s="428">
        <f t="shared" si="17"/>
        <v>81.887832948660673</v>
      </c>
    </row>
    <row r="29" spans="1:72" x14ac:dyDescent="0.25">
      <c r="C29" s="428"/>
      <c r="D29" s="428"/>
      <c r="E29" s="428"/>
      <c r="F29" s="428"/>
      <c r="BE29" s="428"/>
      <c r="BH29" s="428"/>
      <c r="BI29" s="428"/>
      <c r="BK29" s="1063"/>
      <c r="BL29" s="1116"/>
      <c r="BM29" s="1072"/>
      <c r="BN29" s="428"/>
      <c r="BP29" s="428"/>
      <c r="BR29" s="428"/>
      <c r="BS29" s="428"/>
      <c r="BT29" s="428"/>
    </row>
    <row r="30" spans="1:72" x14ac:dyDescent="0.25">
      <c r="A30" s="151" t="s">
        <v>1390</v>
      </c>
      <c r="C30" s="428"/>
      <c r="D30" s="428"/>
      <c r="E30" s="428"/>
      <c r="F30" s="428"/>
      <c r="G30" s="1067" t="s">
        <v>1391</v>
      </c>
      <c r="H30" s="1067"/>
      <c r="I30" s="1068">
        <v>5389.75</v>
      </c>
      <c r="J30" s="1068">
        <v>2771.4560589519651</v>
      </c>
      <c r="K30" s="1068">
        <v>300</v>
      </c>
      <c r="L30" s="1068">
        <f>SUM(I30:K30)</f>
        <v>8461.2060589519642</v>
      </c>
      <c r="M30" s="1068"/>
      <c r="N30" s="1068"/>
      <c r="P30" s="151"/>
      <c r="AO30" s="841">
        <f>('2122 TA Pay Scales'!L40+490)/8</f>
        <v>2859.5235671397381</v>
      </c>
      <c r="AX30" s="841">
        <f>('2122 Teachers Pay Scales'!K126+1100)/8</f>
        <v>6120.2340168749997</v>
      </c>
      <c r="AZ30" s="1069">
        <v>300.11777569980694</v>
      </c>
      <c r="BA30" s="1068"/>
      <c r="BB30" s="1068"/>
      <c r="BC30" s="1068"/>
      <c r="BD30" s="1068"/>
      <c r="BE30" s="428">
        <f t="shared" ref="BE30" si="29">AX30+AO30+AZ30</f>
        <v>9279.875359714546</v>
      </c>
      <c r="BF30" s="1067"/>
      <c r="BG30" s="422">
        <f>('2223 TA Pay Scales'!L45+490)/8</f>
        <v>2961.8090384825327</v>
      </c>
      <c r="BH30" s="428">
        <f>('2223 Teachers Pay Scales'!K172+1100)/8</f>
        <v>6242.9736972125002</v>
      </c>
      <c r="BI30" s="428">
        <f t="shared" ref="BI30" si="30">AZ30</f>
        <v>300.11777569980694</v>
      </c>
      <c r="BK30" s="1063">
        <f t="shared" ref="BK30" si="31">SUM(BG30:BI30)</f>
        <v>9504.9005113948406</v>
      </c>
      <c r="BL30" s="1116">
        <f t="shared" si="14"/>
        <v>2.6594926315760596E-2</v>
      </c>
      <c r="BM30" s="1072">
        <f t="shared" si="15"/>
        <v>2.4248725651765272E-2</v>
      </c>
      <c r="BN30" s="428">
        <f t="shared" ref="BN30" si="32">BK30-BE30</f>
        <v>225.02515168029458</v>
      </c>
      <c r="BO30" s="428">
        <v>181.65015168029458</v>
      </c>
      <c r="BP30" s="428">
        <f t="shared" si="16"/>
        <v>43.375</v>
      </c>
      <c r="BR30" s="428">
        <f>('2223 Teachers Pay Scales'!G176)/8</f>
        <v>43.159046215156252</v>
      </c>
      <c r="BS30" s="428">
        <f>('2223 TA Pay Scales'!H49)/8</f>
        <v>13.385112981031654</v>
      </c>
      <c r="BT30" s="428">
        <f t="shared" si="17"/>
        <v>56.544159196187906</v>
      </c>
    </row>
    <row r="31" spans="1:72" x14ac:dyDescent="0.25">
      <c r="Q31" s="887"/>
    </row>
    <row r="32" spans="1:72" x14ac:dyDescent="0.25">
      <c r="Q32" s="887"/>
      <c r="AO32" s="1045">
        <f>BE17+BE20-AX28-AZ28</f>
        <v>8273.8097577603712</v>
      </c>
      <c r="AP32" s="1050" t="s">
        <v>1371</v>
      </c>
    </row>
    <row r="33" spans="3:65" x14ac:dyDescent="0.25">
      <c r="C33" s="428"/>
      <c r="D33" s="428"/>
      <c r="E33" s="428"/>
      <c r="F33" s="428"/>
      <c r="AO33" s="1046"/>
      <c r="AP33" s="1046"/>
      <c r="BM33" s="1073">
        <f>AVERAGE(BM5:BM30)</f>
        <v>2.7559767715866493E-2</v>
      </c>
    </row>
    <row r="34" spans="3:65" x14ac:dyDescent="0.25">
      <c r="I34" s="151"/>
      <c r="J34" s="151"/>
      <c r="K34" s="151"/>
      <c r="L34" s="151"/>
      <c r="AO34" s="1047">
        <f>AO32*8</f>
        <v>66190.47806208297</v>
      </c>
      <c r="AP34" s="1046" t="s">
        <v>1372</v>
      </c>
    </row>
    <row r="35" spans="3:65" x14ac:dyDescent="0.25">
      <c r="C35" s="428"/>
      <c r="D35" s="428"/>
      <c r="E35" s="428"/>
      <c r="F35" s="428"/>
      <c r="I35" s="151"/>
      <c r="J35" s="151"/>
      <c r="K35" s="151"/>
      <c r="L35" s="151"/>
      <c r="AO35" s="1048">
        <f>('2122 TA Pay Scales'!L40+490)</f>
        <v>22876.188537117905</v>
      </c>
      <c r="AP35" s="1046" t="s">
        <v>1373</v>
      </c>
    </row>
    <row r="36" spans="3:65" x14ac:dyDescent="0.25">
      <c r="I36" s="151"/>
      <c r="J36" s="151"/>
      <c r="K36" s="151"/>
      <c r="L36" s="151"/>
      <c r="AO36" s="1049">
        <f>AO34/AO35</f>
        <v>2.8934224752818936</v>
      </c>
      <c r="AP36" s="1049" t="s">
        <v>1374</v>
      </c>
    </row>
    <row r="37" spans="3:65" x14ac:dyDescent="0.25">
      <c r="C37" s="428"/>
      <c r="D37" s="428"/>
      <c r="E37" s="428"/>
      <c r="F37" s="428"/>
      <c r="I37" s="151"/>
      <c r="J37" s="151"/>
      <c r="K37" s="151"/>
      <c r="L37" s="151"/>
    </row>
    <row r="38" spans="3:65" x14ac:dyDescent="0.25">
      <c r="I38" s="151"/>
      <c r="J38" s="151"/>
      <c r="K38" s="151"/>
      <c r="L38" s="151"/>
      <c r="BM38" s="1073">
        <f>(BM5+BM8+BM11+BM14+BM22+BM24+BM28)/7</f>
        <v>2.8085015703766484E-2</v>
      </c>
    </row>
    <row r="39" spans="3:65" x14ac:dyDescent="0.25">
      <c r="C39" s="428"/>
      <c r="D39" s="428"/>
      <c r="E39" s="428"/>
      <c r="F39" s="428"/>
      <c r="I39" s="151"/>
      <c r="J39" s="151"/>
      <c r="K39" s="151"/>
      <c r="L39" s="151"/>
    </row>
    <row r="40" spans="3:65" x14ac:dyDescent="0.25">
      <c r="I40" s="151"/>
      <c r="J40" s="151"/>
      <c r="K40" s="151"/>
      <c r="L40" s="151"/>
    </row>
    <row r="41" spans="3:65" x14ac:dyDescent="0.25">
      <c r="C41" s="428"/>
      <c r="D41" s="428"/>
      <c r="E41" s="428"/>
      <c r="F41" s="428"/>
      <c r="I41" s="151"/>
      <c r="J41" s="151"/>
      <c r="K41" s="151"/>
      <c r="L41" s="151"/>
    </row>
    <row r="42" spans="3:65" x14ac:dyDescent="0.25">
      <c r="I42" s="151"/>
      <c r="J42" s="151"/>
      <c r="K42" s="151"/>
      <c r="L42" s="151"/>
    </row>
    <row r="43" spans="3:65" x14ac:dyDescent="0.25">
      <c r="C43" s="428"/>
      <c r="D43" s="428"/>
      <c r="E43" s="428"/>
      <c r="F43" s="428"/>
      <c r="I43" s="151"/>
      <c r="J43" s="151"/>
      <c r="K43" s="151"/>
      <c r="L43" s="151"/>
    </row>
  </sheetData>
  <mergeCells count="2">
    <mergeCell ref="N1:N3"/>
    <mergeCell ref="BR2:BT2"/>
  </mergeCells>
  <pageMargins left="0.7" right="0.7" top="0.75" bottom="0.75" header="0.3" footer="0.3"/>
  <legacy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C000"/>
  </sheetPr>
  <dimension ref="A1:AB170"/>
  <sheetViews>
    <sheetView topLeftCell="A120" workbookViewId="0">
      <selection activeCell="E126" sqref="E126"/>
    </sheetView>
  </sheetViews>
  <sheetFormatPr defaultColWidth="8.26953125" defaultRowHeight="12.5" x14ac:dyDescent="0.25"/>
  <cols>
    <col min="1" max="1" width="11.453125" style="289" customWidth="1"/>
    <col min="2" max="2" width="9.54296875" style="289" customWidth="1"/>
    <col min="3" max="3" width="14.81640625" style="289" customWidth="1"/>
    <col min="4" max="4" width="8.81640625" style="289" customWidth="1"/>
    <col min="5" max="5" width="13.7265625" style="289" customWidth="1"/>
    <col min="6" max="6" width="4.1796875" style="289" customWidth="1"/>
    <col min="7" max="7" width="9.81640625" style="289" customWidth="1"/>
    <col min="8" max="8" width="3.81640625" style="289" customWidth="1"/>
    <col min="9" max="9" width="15.81640625" style="289" bestFit="1" customWidth="1"/>
    <col min="10" max="10" width="2.7265625" style="289" customWidth="1"/>
    <col min="11" max="11" width="10.453125" style="289" customWidth="1"/>
    <col min="12" max="12" width="2.26953125" style="289" customWidth="1"/>
    <col min="13" max="13" width="10.453125" style="289" customWidth="1"/>
    <col min="14" max="14" width="0.81640625" style="289" customWidth="1"/>
    <col min="15" max="15" width="1.453125" style="289" customWidth="1"/>
    <col min="16" max="16" width="11.1796875" style="289" customWidth="1"/>
    <col min="17" max="17" width="2.81640625" style="289" customWidth="1"/>
    <col min="18" max="18" width="9.81640625" style="289" bestFit="1" customWidth="1"/>
    <col min="19" max="19" width="2.26953125" style="289" customWidth="1"/>
    <col min="20" max="20" width="9.453125" style="289" customWidth="1"/>
    <col min="21" max="21" width="12.1796875" style="289" bestFit="1" customWidth="1"/>
    <col min="22" max="23" width="9.453125" style="289" customWidth="1"/>
    <col min="24" max="26" width="8.26953125" style="289"/>
    <col min="27" max="27" width="8.54296875" style="289" bestFit="1" customWidth="1"/>
    <col min="28" max="16384" width="8.26953125" style="289"/>
  </cols>
  <sheetData>
    <row r="1" spans="1:28" s="475" customFormat="1" ht="39.65" customHeight="1" thickBot="1" x14ac:dyDescent="0.35">
      <c r="A1" s="184" t="s">
        <v>1392</v>
      </c>
      <c r="B1" s="470" t="s">
        <v>1393</v>
      </c>
      <c r="C1" s="471"/>
      <c r="D1" s="471"/>
      <c r="E1" s="471"/>
      <c r="F1" s="472"/>
      <c r="G1" s="471"/>
      <c r="H1" s="471"/>
      <c r="I1" s="471"/>
      <c r="J1" s="471"/>
      <c r="K1" s="471"/>
      <c r="L1" s="471"/>
      <c r="M1" s="471"/>
      <c r="N1" s="471"/>
      <c r="O1" s="471"/>
      <c r="P1" s="471"/>
      <c r="Q1" s="471"/>
      <c r="R1" s="473" t="s">
        <v>854</v>
      </c>
      <c r="S1" s="474"/>
    </row>
    <row r="2" spans="1:28" s="475" customFormat="1" ht="12.65" customHeight="1" x14ac:dyDescent="0.3">
      <c r="A2" s="184"/>
      <c r="B2" s="476"/>
      <c r="C2" s="476"/>
      <c r="D2" s="476"/>
      <c r="E2" s="476"/>
      <c r="F2" s="477"/>
      <c r="G2" s="476"/>
      <c r="H2" s="476"/>
      <c r="I2" s="476"/>
      <c r="J2" s="476"/>
      <c r="K2" s="476"/>
      <c r="L2" s="476"/>
      <c r="M2" s="476"/>
      <c r="N2" s="476"/>
      <c r="O2" s="476"/>
      <c r="P2" s="476"/>
      <c r="Q2" s="476"/>
      <c r="R2" s="476"/>
      <c r="S2" s="476"/>
      <c r="U2" s="478"/>
    </row>
    <row r="3" spans="1:28" s="475" customFormat="1" ht="64.900000000000006" customHeight="1" x14ac:dyDescent="0.3">
      <c r="A3" s="184" t="s">
        <v>1394</v>
      </c>
      <c r="B3" s="1567" t="s">
        <v>1395</v>
      </c>
      <c r="C3" s="1568"/>
      <c r="D3" s="1568"/>
      <c r="E3" s="1568"/>
      <c r="F3" s="1568"/>
      <c r="G3" s="1568"/>
      <c r="H3" s="1568"/>
      <c r="I3" s="1568"/>
      <c r="J3" s="1568"/>
      <c r="K3" s="1568"/>
      <c r="L3" s="1568"/>
      <c r="M3" s="1568"/>
      <c r="N3" s="1568"/>
      <c r="O3" s="1568"/>
      <c r="P3" s="1568"/>
      <c r="Q3" s="1568"/>
      <c r="R3" s="1568"/>
      <c r="S3" s="1568"/>
      <c r="U3" s="478"/>
    </row>
    <row r="4" spans="1:28" s="475" customFormat="1" ht="18.649999999999999" customHeight="1" thickBot="1" x14ac:dyDescent="0.35">
      <c r="A4" s="184"/>
      <c r="B4" s="1568"/>
      <c r="C4" s="1568"/>
      <c r="D4" s="1568"/>
      <c r="E4" s="1568"/>
      <c r="F4" s="1568"/>
      <c r="G4" s="1568"/>
      <c r="H4" s="1568"/>
      <c r="I4" s="1568"/>
      <c r="J4" s="1568"/>
      <c r="K4" s="1568"/>
      <c r="L4" s="1568"/>
      <c r="M4" s="1568"/>
      <c r="N4" s="1568"/>
      <c r="O4" s="1568"/>
      <c r="P4" s="1568"/>
      <c r="Q4" s="1568"/>
      <c r="R4" s="1568"/>
      <c r="S4" s="1568"/>
      <c r="U4" s="478"/>
    </row>
    <row r="5" spans="1:28" s="482" customFormat="1" ht="16" x14ac:dyDescent="0.4">
      <c r="A5" s="184" t="s">
        <v>1396</v>
      </c>
      <c r="B5" s="1569" t="s">
        <v>1397</v>
      </c>
      <c r="C5" s="1569"/>
      <c r="D5" s="1569"/>
      <c r="E5" s="1569"/>
      <c r="F5" s="1569"/>
      <c r="G5" s="1569"/>
      <c r="H5" s="1569"/>
      <c r="I5" s="1569"/>
      <c r="J5" s="1569"/>
      <c r="K5" s="1569"/>
      <c r="L5" s="1569"/>
      <c r="M5" s="1569"/>
      <c r="N5" s="1569"/>
      <c r="O5" s="1569"/>
      <c r="P5" s="1570"/>
      <c r="Q5" s="1570"/>
      <c r="R5" s="1570"/>
      <c r="S5" s="1570"/>
      <c r="T5" s="184" t="s">
        <v>1398</v>
      </c>
      <c r="U5" s="479" t="s">
        <v>1399</v>
      </c>
      <c r="V5" s="480">
        <v>1</v>
      </c>
      <c r="W5" s="481">
        <v>2</v>
      </c>
      <c r="Y5" s="483"/>
      <c r="Z5" s="484" t="s">
        <v>1399</v>
      </c>
      <c r="AA5" s="485">
        <v>1</v>
      </c>
      <c r="AB5" s="486">
        <v>2</v>
      </c>
    </row>
    <row r="6" spans="1:28" ht="15.5" x14ac:dyDescent="0.45">
      <c r="A6" s="184" t="s">
        <v>1400</v>
      </c>
      <c r="B6" s="1571" t="s">
        <v>1401</v>
      </c>
      <c r="C6" s="1570"/>
      <c r="D6" s="1570"/>
      <c r="E6" s="1570"/>
      <c r="F6" s="1570"/>
      <c r="G6" s="1570"/>
      <c r="H6" s="1570"/>
      <c r="I6" s="1570"/>
      <c r="J6" s="1570"/>
      <c r="K6" s="1570"/>
      <c r="L6" s="1570"/>
      <c r="M6" s="1570"/>
      <c r="N6" s="1570"/>
      <c r="O6" s="1570"/>
      <c r="P6" s="1570"/>
      <c r="Q6" s="1570"/>
      <c r="R6" s="1570"/>
      <c r="S6" s="1570"/>
      <c r="U6" s="487">
        <v>0</v>
      </c>
      <c r="V6" s="488">
        <v>0</v>
      </c>
      <c r="W6" s="489">
        <v>0</v>
      </c>
      <c r="Y6" s="483"/>
      <c r="Z6" s="490">
        <v>0</v>
      </c>
      <c r="AA6" s="491">
        <v>0</v>
      </c>
      <c r="AB6" s="492">
        <v>0</v>
      </c>
    </row>
    <row r="7" spans="1:28" ht="16" thickBot="1" x14ac:dyDescent="0.5">
      <c r="A7" s="184"/>
      <c r="B7" s="493"/>
      <c r="C7" s="184"/>
      <c r="D7" s="184"/>
      <c r="E7" s="184"/>
      <c r="F7" s="184"/>
      <c r="G7" s="184"/>
      <c r="H7" s="184"/>
      <c r="I7" s="184"/>
      <c r="J7" s="184"/>
      <c r="K7" s="184"/>
      <c r="L7" s="184"/>
      <c r="M7" s="184"/>
      <c r="N7" s="184"/>
      <c r="O7" s="184"/>
      <c r="P7" s="184"/>
      <c r="Q7" s="184"/>
      <c r="R7" s="184"/>
      <c r="S7" s="184"/>
      <c r="U7" s="487"/>
      <c r="V7" s="488"/>
      <c r="W7" s="489"/>
      <c r="Y7" s="483" t="s">
        <v>1402</v>
      </c>
      <c r="Z7" s="490">
        <v>6240</v>
      </c>
      <c r="AA7" s="494">
        <v>0</v>
      </c>
      <c r="AB7" s="495">
        <v>0</v>
      </c>
    </row>
    <row r="8" spans="1:28" ht="15.5" x14ac:dyDescent="0.45">
      <c r="A8" s="184" t="s">
        <v>1403</v>
      </c>
      <c r="B8" s="496"/>
      <c r="C8" s="497" t="s">
        <v>1404</v>
      </c>
      <c r="D8" s="498"/>
      <c r="E8" s="497" t="s">
        <v>1405</v>
      </c>
      <c r="F8" s="498"/>
      <c r="G8" s="498"/>
      <c r="H8" s="498"/>
      <c r="I8" s="498"/>
      <c r="J8" s="498"/>
      <c r="K8" s="498"/>
      <c r="L8" s="498"/>
      <c r="M8" s="497" t="s">
        <v>1406</v>
      </c>
      <c r="N8" s="499"/>
      <c r="O8" s="499"/>
      <c r="P8" s="498"/>
      <c r="Q8" s="498"/>
      <c r="R8" s="498"/>
      <c r="S8" s="500"/>
      <c r="U8" s="487"/>
      <c r="V8" s="488"/>
      <c r="W8" s="489"/>
      <c r="Y8" s="1286" t="s">
        <v>1407</v>
      </c>
      <c r="Z8" s="490">
        <v>8788</v>
      </c>
      <c r="AA8" s="494">
        <v>0</v>
      </c>
      <c r="AB8" s="495">
        <v>0</v>
      </c>
    </row>
    <row r="9" spans="1:28" ht="15.5" x14ac:dyDescent="0.45">
      <c r="A9" s="184"/>
      <c r="B9" s="501"/>
      <c r="C9" s="502"/>
      <c r="D9" s="502"/>
      <c r="E9" s="503"/>
      <c r="F9" s="502"/>
      <c r="G9" s="502"/>
      <c r="H9" s="502"/>
      <c r="I9" s="502"/>
      <c r="J9" s="502"/>
      <c r="K9" s="502"/>
      <c r="L9" s="502"/>
      <c r="M9" s="502"/>
      <c r="N9" s="488"/>
      <c r="O9" s="502"/>
      <c r="P9" s="502"/>
      <c r="Q9" s="502"/>
      <c r="R9" s="502"/>
      <c r="S9" s="504"/>
      <c r="U9" s="487"/>
      <c r="V9" s="505"/>
      <c r="W9" s="506"/>
      <c r="Y9" s="507" t="s">
        <v>1408</v>
      </c>
      <c r="Z9" s="490">
        <v>50000</v>
      </c>
      <c r="AA9" s="494">
        <v>0</v>
      </c>
      <c r="AB9" s="495">
        <v>0.13800000000000001</v>
      </c>
    </row>
    <row r="10" spans="1:28" ht="16" thickBot="1" x14ac:dyDescent="0.5">
      <c r="A10" s="184"/>
      <c r="B10" s="508" t="s">
        <v>1409</v>
      </c>
      <c r="C10" s="509"/>
      <c r="D10" s="509"/>
      <c r="E10" s="509"/>
      <c r="F10" s="510"/>
      <c r="G10" s="509"/>
      <c r="H10" s="510"/>
      <c r="I10" s="509"/>
      <c r="J10" s="510"/>
      <c r="K10" s="509"/>
      <c r="L10" s="510"/>
      <c r="M10" s="510"/>
      <c r="N10" s="510"/>
      <c r="O10" s="510"/>
      <c r="P10" s="510"/>
      <c r="Q10" s="510"/>
      <c r="R10" s="510"/>
      <c r="S10" s="511"/>
      <c r="U10" s="487"/>
      <c r="V10" s="505"/>
      <c r="W10" s="506"/>
      <c r="Y10" s="483"/>
      <c r="Z10" s="490"/>
      <c r="AA10" s="494"/>
      <c r="AB10" s="495"/>
    </row>
    <row r="11" spans="1:28" ht="16" thickBot="1" x14ac:dyDescent="0.5">
      <c r="A11" s="184"/>
      <c r="B11" s="512"/>
      <c r="C11" s="513"/>
      <c r="D11" s="513"/>
      <c r="E11" s="513"/>
      <c r="F11" s="513"/>
      <c r="G11" s="513"/>
      <c r="H11" s="513"/>
      <c r="I11" s="513"/>
      <c r="J11" s="513"/>
      <c r="K11" s="513"/>
      <c r="L11" s="513"/>
      <c r="M11" s="513"/>
      <c r="N11" s="513"/>
      <c r="O11" s="513"/>
      <c r="P11" s="513"/>
      <c r="Q11" s="513"/>
      <c r="R11" s="513"/>
      <c r="S11" s="513"/>
      <c r="U11" s="487">
        <v>8788</v>
      </c>
      <c r="V11" s="505">
        <v>0</v>
      </c>
      <c r="W11" s="506">
        <v>0.13800000000000001</v>
      </c>
      <c r="Y11" s="483"/>
      <c r="Z11" s="514" t="s">
        <v>1410</v>
      </c>
      <c r="AA11" s="515">
        <v>0.23680000000000001</v>
      </c>
      <c r="AB11" s="516"/>
    </row>
    <row r="12" spans="1:28" ht="15.5" x14ac:dyDescent="0.35">
      <c r="A12" s="184" t="s">
        <v>1411</v>
      </c>
      <c r="B12" s="517"/>
      <c r="C12" s="518"/>
      <c r="D12" s="518"/>
      <c r="E12" s="519" t="s">
        <v>1412</v>
      </c>
      <c r="F12" s="520"/>
      <c r="G12" s="519"/>
      <c r="H12" s="520"/>
      <c r="I12" s="519"/>
      <c r="J12" s="520"/>
      <c r="K12" s="519"/>
      <c r="L12" s="521"/>
      <c r="M12" s="522" t="s">
        <v>1413</v>
      </c>
      <c r="N12" s="523"/>
      <c r="O12" s="523"/>
      <c r="P12" s="523"/>
      <c r="Q12" s="523"/>
      <c r="R12" s="523"/>
      <c r="S12" s="524"/>
      <c r="U12" s="487"/>
      <c r="V12" s="505"/>
      <c r="W12" s="506"/>
    </row>
    <row r="13" spans="1:28" ht="16" thickBot="1" x14ac:dyDescent="0.4">
      <c r="A13" s="184"/>
      <c r="B13" s="517"/>
      <c r="C13" s="525" t="s">
        <v>1414</v>
      </c>
      <c r="D13" s="525" t="s">
        <v>1415</v>
      </c>
      <c r="E13" s="526" t="s">
        <v>1416</v>
      </c>
      <c r="F13" s="525"/>
      <c r="G13" s="527" t="s">
        <v>1417</v>
      </c>
      <c r="H13" s="525"/>
      <c r="I13" s="526" t="s">
        <v>1418</v>
      </c>
      <c r="J13" s="525"/>
      <c r="K13" s="526" t="s">
        <v>357</v>
      </c>
      <c r="L13" s="528"/>
      <c r="M13" s="529" t="s">
        <v>1416</v>
      </c>
      <c r="N13" s="525"/>
      <c r="O13" s="525"/>
      <c r="P13" s="527" t="s">
        <v>1417</v>
      </c>
      <c r="Q13" s="525"/>
      <c r="R13" s="530" t="s">
        <v>357</v>
      </c>
      <c r="S13" s="524"/>
      <c r="U13" s="531" t="s">
        <v>1410</v>
      </c>
      <c r="V13" s="532">
        <v>0.23680000000000001</v>
      </c>
      <c r="W13" s="533"/>
    </row>
    <row r="14" spans="1:28" ht="16" thickBot="1" x14ac:dyDescent="0.4">
      <c r="A14" s="184"/>
      <c r="B14" s="534"/>
      <c r="C14" s="535"/>
      <c r="D14" s="535"/>
      <c r="E14" s="535"/>
      <c r="F14" s="535"/>
      <c r="G14" s="535"/>
      <c r="H14" s="535"/>
      <c r="I14" s="535"/>
      <c r="J14" s="535"/>
      <c r="K14" s="535"/>
      <c r="L14" s="535"/>
      <c r="M14" s="536"/>
      <c r="N14" s="535"/>
      <c r="O14" s="535"/>
      <c r="P14" s="535"/>
      <c r="Q14" s="535"/>
      <c r="R14" s="535"/>
      <c r="S14" s="537"/>
      <c r="U14" s="538"/>
      <c r="V14" s="539"/>
    </row>
    <row r="15" spans="1:28" ht="15.5" x14ac:dyDescent="0.35">
      <c r="A15" s="184"/>
      <c r="B15" s="540"/>
      <c r="C15" s="541"/>
      <c r="D15" s="541"/>
      <c r="E15" s="541"/>
      <c r="F15" s="541"/>
      <c r="G15" s="541"/>
      <c r="H15" s="541"/>
      <c r="I15" s="541"/>
      <c r="J15" s="541"/>
      <c r="K15" s="541"/>
      <c r="L15" s="542"/>
      <c r="M15" s="541"/>
      <c r="N15" s="541"/>
      <c r="O15" s="541"/>
      <c r="P15" s="541"/>
      <c r="Q15" s="541"/>
      <c r="R15" s="541"/>
      <c r="S15" s="542"/>
    </row>
    <row r="16" spans="1:28" ht="16.5" customHeight="1" x14ac:dyDescent="0.35">
      <c r="A16" s="184"/>
      <c r="B16" s="517"/>
      <c r="C16" s="518" t="s">
        <v>1419</v>
      </c>
      <c r="D16" s="543">
        <v>1</v>
      </c>
      <c r="E16" s="544">
        <v>25713.514999999999</v>
      </c>
      <c r="F16" s="545"/>
      <c r="G16" s="545">
        <f t="shared" ref="G16:G21" si="0">IF($M16&gt;$U$11,($E16-$U$11)*$W$11,"ERROR")</f>
        <v>2335.7210700000001</v>
      </c>
      <c r="H16" s="545"/>
      <c r="I16" s="545">
        <f t="shared" ref="I16:I21" si="1">$E16*$V$13</f>
        <v>6088.9603520000001</v>
      </c>
      <c r="J16" s="545"/>
      <c r="K16" s="545">
        <f>E16+ROUND(G16,0)+ROUND(I16,0)</f>
        <v>34138.514999999999</v>
      </c>
      <c r="L16" s="546"/>
      <c r="M16" s="545">
        <f t="shared" ref="M16:M21" si="2">E16</f>
        <v>25713.514999999999</v>
      </c>
      <c r="N16" s="545"/>
      <c r="O16" s="545"/>
      <c r="P16" s="545">
        <f t="shared" ref="P16:P21" si="3">IF($M16&gt;$U$11,($M16-$U$11)*$W$11,"ERROR")</f>
        <v>2335.7210700000001</v>
      </c>
      <c r="Q16" s="545"/>
      <c r="R16" s="545">
        <f t="shared" ref="R16:R21" si="4">SUM(M16:P16)</f>
        <v>28049.236069999999</v>
      </c>
      <c r="S16" s="524"/>
      <c r="U16" s="547"/>
      <c r="V16" s="548"/>
    </row>
    <row r="17" spans="1:22" ht="15.5" x14ac:dyDescent="0.35">
      <c r="A17" s="184"/>
      <c r="B17" s="549"/>
      <c r="C17" s="550"/>
      <c r="D17" s="543">
        <v>2</v>
      </c>
      <c r="E17" s="544">
        <v>27599.751000000004</v>
      </c>
      <c r="F17" s="545"/>
      <c r="G17" s="545">
        <f t="shared" si="0"/>
        <v>2596.0216380000006</v>
      </c>
      <c r="H17" s="545"/>
      <c r="I17" s="545">
        <f t="shared" si="1"/>
        <v>6535.6210368000011</v>
      </c>
      <c r="J17" s="545"/>
      <c r="K17" s="545">
        <f t="shared" ref="K17:K34" si="5">E17+ROUND(G17,0)+ROUND(I17,0)</f>
        <v>36731.751000000004</v>
      </c>
      <c r="L17" s="546"/>
      <c r="M17" s="545">
        <f t="shared" si="2"/>
        <v>27599.751000000004</v>
      </c>
      <c r="N17" s="545"/>
      <c r="O17" s="545"/>
      <c r="P17" s="545">
        <f t="shared" si="3"/>
        <v>2596.0216380000006</v>
      </c>
      <c r="Q17" s="545"/>
      <c r="R17" s="545">
        <f t="shared" si="4"/>
        <v>30195.772638000006</v>
      </c>
      <c r="S17" s="524"/>
      <c r="U17" s="547" t="s">
        <v>1420</v>
      </c>
      <c r="V17" s="548"/>
    </row>
    <row r="18" spans="1:22" ht="15.5" x14ac:dyDescent="0.35">
      <c r="A18" s="184"/>
      <c r="B18" s="549"/>
      <c r="C18" s="550"/>
      <c r="D18" s="543">
        <v>3</v>
      </c>
      <c r="E18" s="544">
        <v>29663.172000000002</v>
      </c>
      <c r="F18" s="545"/>
      <c r="G18" s="545">
        <f t="shared" si="0"/>
        <v>2880.7737360000006</v>
      </c>
      <c r="H18" s="545"/>
      <c r="I18" s="545">
        <f t="shared" si="1"/>
        <v>7024.2391296000005</v>
      </c>
      <c r="J18" s="545"/>
      <c r="K18" s="545">
        <f t="shared" si="5"/>
        <v>39568.172000000006</v>
      </c>
      <c r="L18" s="546"/>
      <c r="M18" s="545">
        <f t="shared" si="2"/>
        <v>29663.172000000002</v>
      </c>
      <c r="N18" s="545"/>
      <c r="O18" s="545"/>
      <c r="P18" s="545">
        <f t="shared" si="3"/>
        <v>2880.7737360000006</v>
      </c>
      <c r="Q18" s="545"/>
      <c r="R18" s="545">
        <f t="shared" si="4"/>
        <v>32543.945736000001</v>
      </c>
      <c r="S18" s="524"/>
      <c r="U18" s="547" t="s">
        <v>1421</v>
      </c>
      <c r="V18" s="548"/>
    </row>
    <row r="19" spans="1:22" ht="15.5" x14ac:dyDescent="0.35">
      <c r="A19" s="184"/>
      <c r="B19" s="549"/>
      <c r="C19" s="550"/>
      <c r="D19" s="543">
        <v>4</v>
      </c>
      <c r="E19" s="544">
        <f>31777.0615+E53</f>
        <v>34047.061499999996</v>
      </c>
      <c r="F19" s="545"/>
      <c r="G19" s="545">
        <f t="shared" si="0"/>
        <v>3485.7504869999998</v>
      </c>
      <c r="H19" s="545"/>
      <c r="I19" s="545">
        <f t="shared" si="1"/>
        <v>8062.3441631999995</v>
      </c>
      <c r="J19" s="545"/>
      <c r="K19" s="545">
        <f t="shared" si="5"/>
        <v>45595.061499999996</v>
      </c>
      <c r="L19" s="546"/>
      <c r="M19" s="545">
        <f t="shared" si="2"/>
        <v>34047.061499999996</v>
      </c>
      <c r="N19" s="545"/>
      <c r="O19" s="545"/>
      <c r="P19" s="545">
        <f t="shared" si="3"/>
        <v>3485.7504869999998</v>
      </c>
      <c r="Q19" s="545"/>
      <c r="R19" s="545">
        <f t="shared" si="4"/>
        <v>37532.811986999994</v>
      </c>
      <c r="S19" s="524"/>
      <c r="U19" s="547"/>
      <c r="V19" s="548"/>
    </row>
    <row r="20" spans="1:22" ht="15.5" x14ac:dyDescent="0.35">
      <c r="A20" s="184"/>
      <c r="B20" s="549"/>
      <c r="C20" s="550"/>
      <c r="D20" s="543">
        <v>5</v>
      </c>
      <c r="E20" s="544">
        <f>34099.33+E53</f>
        <v>36369.33</v>
      </c>
      <c r="F20" s="545"/>
      <c r="G20" s="545">
        <f t="shared" si="0"/>
        <v>3806.2235400000004</v>
      </c>
      <c r="H20" s="545"/>
      <c r="I20" s="545">
        <f t="shared" si="1"/>
        <v>8612.2573440000015</v>
      </c>
      <c r="J20" s="545"/>
      <c r="K20" s="545">
        <f t="shared" si="5"/>
        <v>48787.33</v>
      </c>
      <c r="L20" s="546"/>
      <c r="M20" s="545">
        <f t="shared" si="2"/>
        <v>36369.33</v>
      </c>
      <c r="N20" s="545"/>
      <c r="O20" s="545"/>
      <c r="P20" s="545">
        <f t="shared" si="3"/>
        <v>3806.2235400000004</v>
      </c>
      <c r="Q20" s="545"/>
      <c r="R20" s="545">
        <f t="shared" si="4"/>
        <v>40175.553540000001</v>
      </c>
      <c r="S20" s="524"/>
      <c r="T20" s="551"/>
      <c r="U20" s="547" t="s">
        <v>1422</v>
      </c>
      <c r="V20" s="552"/>
    </row>
    <row r="21" spans="1:22" ht="15.5" x14ac:dyDescent="0.35">
      <c r="A21" s="184"/>
      <c r="B21" s="549"/>
      <c r="C21" s="550"/>
      <c r="D21" s="543">
        <v>6</v>
      </c>
      <c r="E21" s="544">
        <v>36960.202499999999</v>
      </c>
      <c r="F21" s="545"/>
      <c r="G21" s="545">
        <f t="shared" si="0"/>
        <v>3887.7639450000001</v>
      </c>
      <c r="H21" s="545"/>
      <c r="I21" s="545">
        <f t="shared" si="1"/>
        <v>8752.1759519999996</v>
      </c>
      <c r="J21" s="545"/>
      <c r="K21" s="545">
        <f t="shared" si="5"/>
        <v>49600.202499999999</v>
      </c>
      <c r="L21" s="546"/>
      <c r="M21" s="545">
        <f t="shared" si="2"/>
        <v>36960.202499999999</v>
      </c>
      <c r="N21" s="545"/>
      <c r="O21" s="545"/>
      <c r="P21" s="545">
        <f t="shared" si="3"/>
        <v>3887.7639450000001</v>
      </c>
      <c r="Q21" s="545"/>
      <c r="R21" s="545">
        <f t="shared" si="4"/>
        <v>40847.966444999998</v>
      </c>
      <c r="S21" s="524"/>
      <c r="T21" s="551"/>
      <c r="U21" s="547" t="s">
        <v>1423</v>
      </c>
      <c r="V21" s="552"/>
    </row>
    <row r="22" spans="1:22" ht="15.5" x14ac:dyDescent="0.35">
      <c r="A22" s="184"/>
      <c r="B22" s="553" t="s">
        <v>1424</v>
      </c>
      <c r="C22" s="550"/>
      <c r="D22" s="543"/>
      <c r="E22" s="544"/>
      <c r="F22" s="545"/>
      <c r="G22" s="545"/>
      <c r="H22" s="545"/>
      <c r="I22" s="545"/>
      <c r="J22" s="545"/>
      <c r="K22" s="545"/>
      <c r="L22" s="546"/>
      <c r="M22" s="554" t="s">
        <v>1425</v>
      </c>
      <c r="N22" s="545"/>
      <c r="O22" s="545"/>
      <c r="P22" s="545"/>
      <c r="Q22" s="545"/>
      <c r="R22" s="545"/>
      <c r="S22" s="524"/>
      <c r="U22" s="547"/>
      <c r="V22" s="552"/>
    </row>
    <row r="23" spans="1:22" ht="15.5" x14ac:dyDescent="0.35">
      <c r="A23" s="184"/>
      <c r="B23" s="549"/>
      <c r="C23" s="550" t="s">
        <v>1426</v>
      </c>
      <c r="D23" s="543">
        <v>1</v>
      </c>
      <c r="E23" s="544">
        <v>38689.485000000001</v>
      </c>
      <c r="F23" s="545"/>
      <c r="G23" s="545">
        <f>IF($M23&gt;$U$11,($E23-$U$11)*$W$11,"ERROR")</f>
        <v>4126.4049300000006</v>
      </c>
      <c r="H23" s="545"/>
      <c r="I23" s="545">
        <f>$E23*$V$13</f>
        <v>9161.670048</v>
      </c>
      <c r="J23" s="545"/>
      <c r="K23" s="545">
        <f t="shared" si="5"/>
        <v>51977.485000000001</v>
      </c>
      <c r="L23" s="546"/>
      <c r="M23" s="545">
        <f>E23</f>
        <v>38689.485000000001</v>
      </c>
      <c r="N23" s="545"/>
      <c r="O23" s="545"/>
      <c r="P23" s="545">
        <f>IF($M23&gt;$U$11,($M23-$U$11)*$W$11,"ERROR")</f>
        <v>4126.4049300000006</v>
      </c>
      <c r="Q23" s="545"/>
      <c r="R23" s="545">
        <f>SUM(M23:P23)</f>
        <v>42815.889930000005</v>
      </c>
      <c r="S23" s="524"/>
      <c r="T23" s="551"/>
      <c r="U23" s="547" t="s">
        <v>1427</v>
      </c>
      <c r="V23" s="552"/>
    </row>
    <row r="24" spans="1:22" ht="15.5" x14ac:dyDescent="0.35">
      <c r="A24" s="184"/>
      <c r="B24" s="549"/>
      <c r="C24" s="550" t="s">
        <v>1428</v>
      </c>
      <c r="D24" s="543">
        <v>2</v>
      </c>
      <c r="E24" s="544">
        <v>40123.875</v>
      </c>
      <c r="F24" s="545"/>
      <c r="G24" s="545">
        <f>IF($M24&gt;$U$11,($E24-$U$11)*$W$11,"ERROR")</f>
        <v>4324.3507500000005</v>
      </c>
      <c r="H24" s="545"/>
      <c r="I24" s="545">
        <f>$E24*$V$13</f>
        <v>9501.3335999999999</v>
      </c>
      <c r="J24" s="545"/>
      <c r="K24" s="545">
        <f t="shared" si="5"/>
        <v>53948.875</v>
      </c>
      <c r="L24" s="546"/>
      <c r="M24" s="545">
        <f>E24</f>
        <v>40123.875</v>
      </c>
      <c r="N24" s="545"/>
      <c r="O24" s="545"/>
      <c r="P24" s="545">
        <f>IF($M24&gt;$U$11,($M24-$U$11)*$W$11,"ERROR")</f>
        <v>4324.3507500000005</v>
      </c>
      <c r="Q24" s="545"/>
      <c r="R24" s="545">
        <f>SUM(M24:P24)</f>
        <v>44448.225749999998</v>
      </c>
      <c r="S24" s="524"/>
      <c r="T24" s="551"/>
      <c r="U24" s="547" t="s">
        <v>1429</v>
      </c>
      <c r="V24" s="552"/>
    </row>
    <row r="25" spans="1:22" ht="15.5" x14ac:dyDescent="0.35">
      <c r="A25" s="184"/>
      <c r="B25" s="549"/>
      <c r="C25" s="550"/>
      <c r="D25" s="543">
        <v>3</v>
      </c>
      <c r="E25" s="544">
        <v>41603.474999999999</v>
      </c>
      <c r="F25" s="545"/>
      <c r="G25" s="545">
        <f>IF($M25&gt;$U$11,($E25-$U$11)*$W$11,"ERROR")</f>
        <v>4528.5355500000005</v>
      </c>
      <c r="H25" s="545"/>
      <c r="I25" s="545">
        <f>$E25*$V$13</f>
        <v>9851.7028800000007</v>
      </c>
      <c r="J25" s="545"/>
      <c r="K25" s="545">
        <f t="shared" si="5"/>
        <v>55984.474999999999</v>
      </c>
      <c r="L25" s="546"/>
      <c r="M25" s="545">
        <f>E25</f>
        <v>41603.474999999999</v>
      </c>
      <c r="N25" s="545"/>
      <c r="O25" s="545"/>
      <c r="P25" s="545">
        <f>IF($M25&gt;$U$11,($M25-$U$11)*$W$11,"ERROR")</f>
        <v>4528.5355500000005</v>
      </c>
      <c r="Q25" s="545"/>
      <c r="R25" s="545">
        <f>SUM(M25:P25)</f>
        <v>46132.010549999999</v>
      </c>
      <c r="S25" s="524"/>
      <c r="T25" s="551"/>
      <c r="U25" s="547"/>
      <c r="V25" s="552"/>
    </row>
    <row r="26" spans="1:22" ht="15.5" x14ac:dyDescent="0.35">
      <c r="A26" s="184"/>
      <c r="B26" s="549"/>
      <c r="C26" s="550"/>
      <c r="D26" s="543"/>
      <c r="E26" s="544"/>
      <c r="F26" s="545"/>
      <c r="G26" s="545"/>
      <c r="H26" s="545"/>
      <c r="I26" s="545"/>
      <c r="J26" s="545"/>
      <c r="K26" s="545"/>
      <c r="L26" s="546"/>
      <c r="M26" s="545"/>
      <c r="N26" s="545"/>
      <c r="O26" s="545"/>
      <c r="P26" s="545"/>
      <c r="Q26" s="545"/>
      <c r="R26" s="545"/>
      <c r="S26" s="524"/>
      <c r="T26" s="551"/>
      <c r="U26" s="547" t="s">
        <v>1430</v>
      </c>
    </row>
    <row r="27" spans="1:22" ht="15.5" x14ac:dyDescent="0.35">
      <c r="A27" s="184"/>
      <c r="B27" s="553" t="s">
        <v>1431</v>
      </c>
      <c r="C27" s="550"/>
      <c r="D27" s="543"/>
      <c r="E27" s="544"/>
      <c r="F27" s="545"/>
      <c r="G27" s="545"/>
      <c r="H27" s="545"/>
      <c r="I27" s="545"/>
      <c r="J27" s="545"/>
      <c r="K27" s="545"/>
      <c r="L27" s="546"/>
      <c r="M27" s="554" t="s">
        <v>1425</v>
      </c>
      <c r="N27" s="545"/>
      <c r="O27" s="545"/>
      <c r="P27" s="545"/>
      <c r="Q27" s="545"/>
      <c r="R27" s="545"/>
      <c r="S27" s="524"/>
      <c r="T27" s="551"/>
      <c r="U27" s="547" t="s">
        <v>1432</v>
      </c>
      <c r="V27" s="552"/>
    </row>
    <row r="28" spans="1:22" ht="15.5" x14ac:dyDescent="0.35">
      <c r="A28" s="184"/>
      <c r="B28" s="555"/>
      <c r="C28" s="550"/>
      <c r="D28" s="521"/>
      <c r="E28" s="544"/>
      <c r="F28" s="545"/>
      <c r="G28" s="545"/>
      <c r="H28" s="545"/>
      <c r="I28" s="545"/>
      <c r="J28" s="545"/>
      <c r="K28" s="545"/>
      <c r="L28" s="546"/>
      <c r="M28" s="545"/>
      <c r="N28" s="545"/>
      <c r="O28" s="545"/>
      <c r="P28" s="545"/>
      <c r="Q28" s="545"/>
      <c r="R28" s="545"/>
      <c r="S28" s="524"/>
      <c r="T28" s="551"/>
      <c r="U28" s="547" t="s">
        <v>1433</v>
      </c>
      <c r="V28" s="552"/>
    </row>
    <row r="29" spans="1:22" ht="15.5" x14ac:dyDescent="0.35">
      <c r="A29" s="184"/>
      <c r="B29" s="556" t="s">
        <v>1434</v>
      </c>
      <c r="C29" s="550" t="s">
        <v>1435</v>
      </c>
      <c r="D29" s="557">
        <v>1</v>
      </c>
      <c r="E29" s="544">
        <v>18168.255000000001</v>
      </c>
      <c r="F29" s="545"/>
      <c r="G29" s="545">
        <f t="shared" ref="G29:G34" si="6">IF($M29&gt;$U$11,($E29-$U$11)*$W$11,"ERROR")</f>
        <v>1294.4751900000003</v>
      </c>
      <c r="H29" s="545"/>
      <c r="I29" s="545">
        <f t="shared" ref="I29:I34" si="7">$E29*$V$13</f>
        <v>4302.242784</v>
      </c>
      <c r="J29" s="545"/>
      <c r="K29" s="545">
        <f t="shared" si="5"/>
        <v>23764.255000000001</v>
      </c>
      <c r="L29" s="546"/>
      <c r="M29" s="545">
        <f t="shared" ref="M29:M34" si="8">E29</f>
        <v>18168.255000000001</v>
      </c>
      <c r="N29" s="545"/>
      <c r="O29" s="545"/>
      <c r="P29" s="545">
        <f t="shared" ref="P29:P34" si="9">IF($M29&gt;$U$11,($M29-$U$11)*$W$11,"ERROR")</f>
        <v>1294.4751900000003</v>
      </c>
      <c r="Q29" s="545"/>
      <c r="R29" s="545">
        <f t="shared" ref="R29:R34" si="10">SUM(M29:P29)</f>
        <v>19462.730190000002</v>
      </c>
      <c r="S29" s="524"/>
      <c r="T29" s="551"/>
      <c r="U29" s="547"/>
      <c r="V29" s="552"/>
    </row>
    <row r="30" spans="1:22" ht="15.5" x14ac:dyDescent="0.35">
      <c r="A30" s="184"/>
      <c r="B30" s="556" t="s">
        <v>1436</v>
      </c>
      <c r="C30" s="550" t="s">
        <v>1437</v>
      </c>
      <c r="D30" s="557">
        <v>2</v>
      </c>
      <c r="E30" s="544">
        <v>20281.822499999998</v>
      </c>
      <c r="F30" s="545"/>
      <c r="G30" s="545">
        <f t="shared" si="6"/>
        <v>1586.1475049999999</v>
      </c>
      <c r="H30" s="545"/>
      <c r="I30" s="545">
        <f t="shared" si="7"/>
        <v>4802.7355680000001</v>
      </c>
      <c r="J30" s="545"/>
      <c r="K30" s="545">
        <f t="shared" si="5"/>
        <v>26670.822499999998</v>
      </c>
      <c r="L30" s="546"/>
      <c r="M30" s="545">
        <f t="shared" si="8"/>
        <v>20281.822499999998</v>
      </c>
      <c r="N30" s="545"/>
      <c r="O30" s="545"/>
      <c r="P30" s="545">
        <f t="shared" si="9"/>
        <v>1586.1475049999999</v>
      </c>
      <c r="Q30" s="545"/>
      <c r="R30" s="545">
        <f t="shared" si="10"/>
        <v>21867.970004999999</v>
      </c>
      <c r="S30" s="524"/>
      <c r="T30" s="551"/>
      <c r="U30" s="547"/>
      <c r="V30" s="552"/>
    </row>
    <row r="31" spans="1:22" ht="15.5" x14ac:dyDescent="0.35">
      <c r="A31" s="184"/>
      <c r="B31" s="558"/>
      <c r="C31" s="550"/>
      <c r="D31" s="557">
        <v>3</v>
      </c>
      <c r="E31" s="544">
        <v>22393.334999999999</v>
      </c>
      <c r="F31" s="545"/>
      <c r="G31" s="545">
        <f t="shared" si="6"/>
        <v>1877.5362299999999</v>
      </c>
      <c r="H31" s="545"/>
      <c r="I31" s="545">
        <f t="shared" si="7"/>
        <v>5302.741728</v>
      </c>
      <c r="J31" s="545"/>
      <c r="K31" s="545">
        <f t="shared" si="5"/>
        <v>29574.334999999999</v>
      </c>
      <c r="L31" s="546"/>
      <c r="M31" s="545">
        <f t="shared" si="8"/>
        <v>22393.334999999999</v>
      </c>
      <c r="N31" s="545"/>
      <c r="O31" s="545"/>
      <c r="P31" s="545">
        <f t="shared" si="9"/>
        <v>1877.5362299999999</v>
      </c>
      <c r="Q31" s="545"/>
      <c r="R31" s="545">
        <f t="shared" si="10"/>
        <v>24270.871230000001</v>
      </c>
      <c r="S31" s="524"/>
      <c r="T31" s="551"/>
      <c r="U31" s="547"/>
    </row>
    <row r="32" spans="1:22" ht="15.5" x14ac:dyDescent="0.35">
      <c r="A32" s="184"/>
      <c r="B32" s="558"/>
      <c r="C32" s="550"/>
      <c r="D32" s="557">
        <v>4</v>
      </c>
      <c r="E32" s="544">
        <v>24506.9025</v>
      </c>
      <c r="F32" s="545"/>
      <c r="G32" s="545">
        <f t="shared" si="6"/>
        <v>2169.2085450000004</v>
      </c>
      <c r="H32" s="545"/>
      <c r="I32" s="545">
        <f t="shared" si="7"/>
        <v>5803.234512</v>
      </c>
      <c r="J32" s="545"/>
      <c r="K32" s="545">
        <f t="shared" si="5"/>
        <v>32478.9025</v>
      </c>
      <c r="L32" s="546"/>
      <c r="M32" s="545">
        <f t="shared" si="8"/>
        <v>24506.9025</v>
      </c>
      <c r="N32" s="545"/>
      <c r="O32" s="545"/>
      <c r="P32" s="545">
        <f t="shared" si="9"/>
        <v>2169.2085450000004</v>
      </c>
      <c r="Q32" s="545"/>
      <c r="R32" s="545">
        <f t="shared" si="10"/>
        <v>26676.111045000001</v>
      </c>
      <c r="S32" s="524"/>
      <c r="T32" s="551"/>
      <c r="U32" s="547"/>
    </row>
    <row r="33" spans="1:22" ht="15.5" x14ac:dyDescent="0.35">
      <c r="A33" s="184"/>
      <c r="B33" s="555"/>
      <c r="C33" s="550"/>
      <c r="D33" s="557">
        <v>5</v>
      </c>
      <c r="E33" s="544">
        <v>26621.497499999998</v>
      </c>
      <c r="F33" s="545"/>
      <c r="G33" s="545">
        <f t="shared" si="6"/>
        <v>2461.0226549999998</v>
      </c>
      <c r="H33" s="545"/>
      <c r="I33" s="545">
        <f t="shared" si="7"/>
        <v>6303.9706079999996</v>
      </c>
      <c r="J33" s="545"/>
      <c r="K33" s="545">
        <f t="shared" si="5"/>
        <v>35386.497499999998</v>
      </c>
      <c r="L33" s="546"/>
      <c r="M33" s="545">
        <f t="shared" si="8"/>
        <v>26621.497499999998</v>
      </c>
      <c r="N33" s="545"/>
      <c r="O33" s="545"/>
      <c r="P33" s="545">
        <f t="shared" si="9"/>
        <v>2461.0226549999998</v>
      </c>
      <c r="Q33" s="545"/>
      <c r="R33" s="545">
        <f t="shared" si="10"/>
        <v>29082.520154999998</v>
      </c>
      <c r="S33" s="524"/>
      <c r="T33" s="551"/>
      <c r="U33" s="547"/>
      <c r="V33" s="552"/>
    </row>
    <row r="34" spans="1:22" ht="15.5" x14ac:dyDescent="0.35">
      <c r="A34" s="184"/>
      <c r="B34" s="555"/>
      <c r="C34" s="550"/>
      <c r="D34" s="557">
        <v>6</v>
      </c>
      <c r="E34" s="544">
        <v>28734.037499999999</v>
      </c>
      <c r="F34" s="545"/>
      <c r="G34" s="545">
        <f t="shared" si="6"/>
        <v>2752.553175</v>
      </c>
      <c r="H34" s="545"/>
      <c r="I34" s="545">
        <f t="shared" si="7"/>
        <v>6804.2200800000001</v>
      </c>
      <c r="J34" s="545"/>
      <c r="K34" s="545">
        <f t="shared" si="5"/>
        <v>38291.037499999999</v>
      </c>
      <c r="L34" s="546"/>
      <c r="M34" s="545">
        <f t="shared" si="8"/>
        <v>28734.037499999999</v>
      </c>
      <c r="N34" s="545"/>
      <c r="O34" s="545"/>
      <c r="P34" s="545">
        <f t="shared" si="9"/>
        <v>2752.553175</v>
      </c>
      <c r="Q34" s="545"/>
      <c r="R34" s="545">
        <f t="shared" si="10"/>
        <v>31486.590674999999</v>
      </c>
      <c r="S34" s="524"/>
      <c r="T34" s="551"/>
      <c r="U34" s="547"/>
      <c r="V34" s="552"/>
    </row>
    <row r="35" spans="1:22" ht="15.5" x14ac:dyDescent="0.35">
      <c r="A35" s="184"/>
      <c r="B35" s="555"/>
      <c r="C35" s="550"/>
      <c r="D35" s="557"/>
      <c r="E35" s="559"/>
      <c r="F35" s="559"/>
      <c r="G35" s="559"/>
      <c r="H35" s="559"/>
      <c r="I35" s="559"/>
      <c r="J35" s="559"/>
      <c r="K35" s="559"/>
      <c r="L35" s="560"/>
      <c r="M35" s="559"/>
      <c r="N35" s="559"/>
      <c r="O35" s="559"/>
      <c r="P35" s="559"/>
      <c r="Q35" s="559"/>
      <c r="R35" s="559"/>
      <c r="S35" s="524"/>
      <c r="T35" s="551"/>
      <c r="U35" s="547"/>
      <c r="V35" s="552"/>
    </row>
    <row r="36" spans="1:22" ht="15.5" x14ac:dyDescent="0.35">
      <c r="A36" s="184"/>
      <c r="B36" s="555"/>
      <c r="C36" s="550"/>
      <c r="D36" s="557"/>
      <c r="E36" s="559"/>
      <c r="F36" s="559"/>
      <c r="G36" s="559"/>
      <c r="H36" s="559"/>
      <c r="I36" s="559"/>
      <c r="J36" s="559"/>
      <c r="K36" s="559"/>
      <c r="L36" s="560"/>
      <c r="M36" s="559"/>
      <c r="N36" s="559"/>
      <c r="O36" s="559"/>
      <c r="P36" s="559"/>
      <c r="Q36" s="559"/>
      <c r="R36" s="559"/>
      <c r="S36" s="524"/>
      <c r="T36" s="551"/>
      <c r="U36" s="547"/>
      <c r="V36" s="552"/>
    </row>
    <row r="37" spans="1:22" ht="16" thickBot="1" x14ac:dyDescent="0.4">
      <c r="A37" s="184"/>
      <c r="B37" s="561"/>
      <c r="C37" s="562"/>
      <c r="D37" s="563"/>
      <c r="E37" s="564"/>
      <c r="F37" s="564"/>
      <c r="G37" s="564"/>
      <c r="H37" s="564"/>
      <c r="I37" s="564"/>
      <c r="J37" s="564"/>
      <c r="K37" s="564"/>
      <c r="L37" s="565"/>
      <c r="M37" s="566"/>
      <c r="N37" s="564"/>
      <c r="O37" s="564"/>
      <c r="P37" s="564"/>
      <c r="Q37" s="564"/>
      <c r="R37" s="564"/>
      <c r="S37" s="537"/>
      <c r="T37" s="551"/>
      <c r="U37" s="547"/>
    </row>
    <row r="38" spans="1:22" ht="13.5" thickBot="1" x14ac:dyDescent="0.35">
      <c r="A38" s="184"/>
      <c r="B38" s="567"/>
      <c r="C38" s="538"/>
      <c r="D38" s="568"/>
      <c r="E38" s="569"/>
      <c r="F38" s="569"/>
      <c r="G38" s="569"/>
      <c r="H38" s="569"/>
      <c r="I38" s="569"/>
      <c r="J38" s="569"/>
      <c r="K38" s="569"/>
      <c r="L38" s="569"/>
      <c r="M38" s="569"/>
      <c r="N38" s="569"/>
      <c r="O38" s="569"/>
      <c r="P38" s="569"/>
      <c r="Q38" s="569"/>
      <c r="R38" s="569"/>
      <c r="T38" s="551"/>
    </row>
    <row r="39" spans="1:22" ht="13" x14ac:dyDescent="0.3">
      <c r="A39" s="184" t="s">
        <v>1438</v>
      </c>
      <c r="B39" s="570" t="s">
        <v>1439</v>
      </c>
      <c r="C39" s="571"/>
      <c r="D39" s="572"/>
      <c r="E39" s="573"/>
      <c r="F39" s="573"/>
      <c r="G39" s="574"/>
      <c r="H39" s="569"/>
      <c r="I39" s="569"/>
      <c r="J39" s="569"/>
      <c r="K39" s="569"/>
      <c r="L39" s="569"/>
      <c r="M39" s="569"/>
      <c r="N39" s="569"/>
      <c r="O39" s="569"/>
      <c r="P39" s="569"/>
      <c r="Q39" s="569"/>
      <c r="R39" s="569"/>
      <c r="T39" s="551"/>
    </row>
    <row r="40" spans="1:22" x14ac:dyDescent="0.25">
      <c r="B40" s="487"/>
      <c r="C40" s="575"/>
      <c r="D40" s="576"/>
      <c r="E40" s="577"/>
      <c r="F40" s="577"/>
      <c r="G40" s="578"/>
      <c r="T40" s="551"/>
    </row>
    <row r="41" spans="1:22" x14ac:dyDescent="0.25">
      <c r="B41" s="487" t="s">
        <v>1440</v>
      </c>
      <c r="C41" s="575"/>
      <c r="D41" s="576"/>
      <c r="E41" s="577"/>
      <c r="F41" s="577"/>
      <c r="G41" s="578"/>
      <c r="H41" s="289" t="s">
        <v>1441</v>
      </c>
      <c r="T41" s="551"/>
    </row>
    <row r="42" spans="1:22" x14ac:dyDescent="0.25">
      <c r="B42" s="487" t="s">
        <v>1442</v>
      </c>
      <c r="C42" s="575"/>
      <c r="D42" s="576"/>
      <c r="E42" s="579">
        <v>571</v>
      </c>
      <c r="F42" s="577"/>
      <c r="G42" s="578"/>
      <c r="T42" s="551"/>
    </row>
    <row r="43" spans="1:22" x14ac:dyDescent="0.25">
      <c r="B43" s="487" t="s">
        <v>1443</v>
      </c>
      <c r="C43" s="575"/>
      <c r="D43" s="576"/>
      <c r="E43" s="579">
        <v>2833</v>
      </c>
      <c r="F43" s="577"/>
      <c r="G43" s="578"/>
    </row>
    <row r="44" spans="1:22" x14ac:dyDescent="0.25">
      <c r="B44" s="487"/>
      <c r="C44" s="575"/>
      <c r="D44" s="576"/>
      <c r="E44" s="579"/>
      <c r="F44" s="577"/>
      <c r="G44" s="578"/>
    </row>
    <row r="45" spans="1:22" x14ac:dyDescent="0.25">
      <c r="B45" s="487" t="s">
        <v>1444</v>
      </c>
      <c r="C45" s="580"/>
      <c r="D45" s="488"/>
      <c r="E45" s="579"/>
      <c r="F45" s="580"/>
      <c r="G45" s="581"/>
      <c r="H45" s="289" t="s">
        <v>1445</v>
      </c>
    </row>
    <row r="46" spans="1:22" x14ac:dyDescent="0.25">
      <c r="B46" s="487" t="s">
        <v>1442</v>
      </c>
      <c r="C46" s="580"/>
      <c r="D46" s="488"/>
      <c r="E46" s="579">
        <v>2873</v>
      </c>
      <c r="F46" s="580"/>
      <c r="G46" s="578"/>
    </row>
    <row r="47" spans="1:22" x14ac:dyDescent="0.25">
      <c r="B47" s="487" t="s">
        <v>1443</v>
      </c>
      <c r="C47" s="580"/>
      <c r="D47" s="488"/>
      <c r="E47" s="579">
        <v>7017</v>
      </c>
      <c r="F47" s="580"/>
      <c r="G47" s="578"/>
    </row>
    <row r="48" spans="1:22" x14ac:dyDescent="0.25">
      <c r="B48" s="487"/>
      <c r="C48" s="580"/>
      <c r="D48" s="488"/>
      <c r="E48" s="579"/>
      <c r="F48" s="580"/>
      <c r="G48" s="578"/>
    </row>
    <row r="49" spans="2:22" x14ac:dyDescent="0.25">
      <c r="B49" s="487" t="s">
        <v>1446</v>
      </c>
      <c r="C49" s="580"/>
      <c r="D49" s="488"/>
      <c r="E49" s="579"/>
      <c r="F49" s="580"/>
      <c r="G49" s="578"/>
      <c r="H49" s="289" t="s">
        <v>1447</v>
      </c>
    </row>
    <row r="50" spans="2:22" x14ac:dyDescent="0.25">
      <c r="B50" s="582" t="s">
        <v>1442</v>
      </c>
      <c r="C50" s="488"/>
      <c r="D50" s="488"/>
      <c r="E50" s="579">
        <v>8291</v>
      </c>
      <c r="F50" s="580"/>
      <c r="G50" s="578"/>
      <c r="V50" s="552"/>
    </row>
    <row r="51" spans="2:22" x14ac:dyDescent="0.25">
      <c r="B51" s="582" t="s">
        <v>1443</v>
      </c>
      <c r="C51" s="488"/>
      <c r="D51" s="488"/>
      <c r="E51" s="579">
        <v>14030</v>
      </c>
      <c r="F51" s="580"/>
      <c r="G51" s="578"/>
      <c r="V51" s="552"/>
    </row>
    <row r="52" spans="2:22" x14ac:dyDescent="0.25">
      <c r="B52" s="582"/>
      <c r="C52" s="488"/>
      <c r="D52" s="488"/>
      <c r="E52" s="579"/>
      <c r="F52" s="580"/>
      <c r="G52" s="578"/>
    </row>
    <row r="53" spans="2:22" x14ac:dyDescent="0.25">
      <c r="B53" s="582" t="s">
        <v>1448</v>
      </c>
      <c r="C53" s="488"/>
      <c r="D53" s="488"/>
      <c r="E53" s="579">
        <v>2270</v>
      </c>
      <c r="F53" s="580"/>
      <c r="G53" s="578"/>
    </row>
    <row r="54" spans="2:22" ht="13" thickBot="1" x14ac:dyDescent="0.3">
      <c r="B54" s="531" t="s">
        <v>1449</v>
      </c>
      <c r="C54" s="583"/>
      <c r="D54" s="583"/>
      <c r="E54" s="584">
        <v>4479</v>
      </c>
      <c r="F54" s="585"/>
      <c r="G54" s="586"/>
      <c r="V54" s="552"/>
    </row>
    <row r="55" spans="2:22" x14ac:dyDescent="0.25">
      <c r="V55" s="552"/>
    </row>
    <row r="57" spans="2:22" ht="13" x14ac:dyDescent="0.3">
      <c r="B57" s="184"/>
      <c r="V57" s="552"/>
    </row>
    <row r="58" spans="2:22" x14ac:dyDescent="0.25">
      <c r="V58" s="552"/>
    </row>
    <row r="59" spans="2:22" x14ac:dyDescent="0.25">
      <c r="B59" s="587"/>
      <c r="C59"/>
      <c r="E59" s="569"/>
      <c r="F59"/>
      <c r="G59"/>
    </row>
    <row r="60" spans="2:22" x14ac:dyDescent="0.25">
      <c r="C60"/>
      <c r="E60" s="569"/>
      <c r="F60"/>
      <c r="G60"/>
    </row>
    <row r="61" spans="2:22" ht="15.5" x14ac:dyDescent="0.35">
      <c r="B61" s="517"/>
      <c r="C61" s="518"/>
      <c r="D61" s="518"/>
      <c r="E61" s="519" t="s">
        <v>1412</v>
      </c>
      <c r="F61" s="520"/>
      <c r="G61" s="519"/>
      <c r="H61" s="520"/>
      <c r="I61" s="519"/>
      <c r="J61" s="520"/>
      <c r="K61" s="519"/>
      <c r="L61" s="521"/>
      <c r="M61" s="522" t="s">
        <v>1413</v>
      </c>
      <c r="N61" s="523"/>
      <c r="O61" s="523"/>
      <c r="P61" s="523"/>
      <c r="Q61" s="523"/>
      <c r="R61" s="523"/>
      <c r="S61" s="524"/>
    </row>
    <row r="62" spans="2:22" ht="15.5" x14ac:dyDescent="0.35">
      <c r="B62" s="517"/>
      <c r="C62" s="525" t="s">
        <v>1414</v>
      </c>
      <c r="D62" s="525" t="s">
        <v>1415</v>
      </c>
      <c r="E62" s="526" t="s">
        <v>1416</v>
      </c>
      <c r="F62" s="525"/>
      <c r="G62" s="527" t="s">
        <v>1417</v>
      </c>
      <c r="H62" s="525"/>
      <c r="I62" s="526" t="s">
        <v>1418</v>
      </c>
      <c r="J62" s="525"/>
      <c r="K62" s="526" t="s">
        <v>357</v>
      </c>
      <c r="L62" s="528"/>
      <c r="M62" s="529" t="s">
        <v>1416</v>
      </c>
      <c r="N62" s="525"/>
      <c r="O62" s="525"/>
      <c r="P62" s="527" t="s">
        <v>1417</v>
      </c>
      <c r="Q62" s="525"/>
      <c r="R62" s="530" t="s">
        <v>357</v>
      </c>
      <c r="S62" s="524"/>
    </row>
    <row r="63" spans="2:22" ht="16" thickBot="1" x14ac:dyDescent="0.4">
      <c r="B63" s="534"/>
      <c r="C63" s="535"/>
      <c r="D63" s="535"/>
      <c r="E63" s="535"/>
      <c r="F63" s="535"/>
      <c r="G63" s="535"/>
      <c r="H63" s="535"/>
      <c r="I63" s="535"/>
      <c r="J63" s="535"/>
      <c r="K63" s="535"/>
      <c r="L63" s="535"/>
      <c r="M63" s="536"/>
      <c r="N63" s="535"/>
      <c r="O63" s="535"/>
      <c r="P63" s="535"/>
      <c r="Q63" s="535"/>
      <c r="R63" s="535"/>
      <c r="S63" s="537"/>
    </row>
    <row r="64" spans="2:22" ht="15.5" x14ac:dyDescent="0.35">
      <c r="B64" s="540"/>
      <c r="C64" s="541"/>
      <c r="D64" s="541"/>
      <c r="E64" s="541"/>
      <c r="F64" s="541"/>
      <c r="G64" s="541"/>
      <c r="H64" s="541"/>
      <c r="I64" s="541"/>
      <c r="J64" s="541"/>
      <c r="K64" s="541"/>
      <c r="L64" s="542"/>
      <c r="M64" s="541"/>
      <c r="N64" s="541"/>
      <c r="O64" s="541"/>
      <c r="P64" s="541"/>
      <c r="Q64" s="541"/>
      <c r="R64" s="541"/>
      <c r="S64" s="542"/>
    </row>
    <row r="65" spans="2:19" ht="15.5" x14ac:dyDescent="0.35">
      <c r="B65" s="517"/>
      <c r="C65" s="518" t="s">
        <v>1419</v>
      </c>
      <c r="D65" s="543">
        <v>1</v>
      </c>
      <c r="E65" s="544">
        <v>25713.514999999999</v>
      </c>
      <c r="F65" s="545"/>
      <c r="G65" s="545">
        <f t="shared" ref="G65:G70" si="11">IF($M65&gt;$U$11,($E65-$U$11)*$W$11,"ERROR")</f>
        <v>2335.7210700000001</v>
      </c>
      <c r="H65" s="545"/>
      <c r="I65" s="545">
        <f t="shared" ref="I65:I70" si="12">$E65*$V$13</f>
        <v>6088.9603520000001</v>
      </c>
      <c r="J65" s="545"/>
      <c r="K65" s="545">
        <f t="shared" ref="K65:K70" si="13">E65+ROUND(G65,0)+ROUND(I65,0)</f>
        <v>34138.514999999999</v>
      </c>
      <c r="L65" s="546"/>
      <c r="M65" s="545">
        <f t="shared" ref="M65:M70" si="14">E65</f>
        <v>25713.514999999999</v>
      </c>
      <c r="N65" s="545"/>
      <c r="O65" s="545"/>
      <c r="P65" s="545">
        <f t="shared" ref="P65:P70" si="15">IF($M65&gt;$U$11,($M65-$U$11)*$W$11,"ERROR")</f>
        <v>2335.7210700000001</v>
      </c>
      <c r="Q65" s="545"/>
      <c r="R65" s="545">
        <f t="shared" ref="R65:R70" si="16">SUM(M65:P65)</f>
        <v>28049.236069999999</v>
      </c>
      <c r="S65" s="524"/>
    </row>
    <row r="66" spans="2:19" ht="15.5" x14ac:dyDescent="0.35">
      <c r="B66" s="549"/>
      <c r="C66" s="550"/>
      <c r="D66" s="543">
        <v>2</v>
      </c>
      <c r="E66" s="544">
        <v>27599.751000000004</v>
      </c>
      <c r="F66" s="545"/>
      <c r="G66" s="545">
        <f t="shared" si="11"/>
        <v>2596.0216380000006</v>
      </c>
      <c r="H66" s="545"/>
      <c r="I66" s="545">
        <f t="shared" si="12"/>
        <v>6535.6210368000011</v>
      </c>
      <c r="J66" s="545"/>
      <c r="K66" s="545">
        <f t="shared" si="13"/>
        <v>36731.751000000004</v>
      </c>
      <c r="L66" s="546"/>
      <c r="M66" s="545">
        <f t="shared" si="14"/>
        <v>27599.751000000004</v>
      </c>
      <c r="N66" s="545"/>
      <c r="O66" s="545"/>
      <c r="P66" s="545">
        <f t="shared" si="15"/>
        <v>2596.0216380000006</v>
      </c>
      <c r="Q66" s="545"/>
      <c r="R66" s="545">
        <f t="shared" si="16"/>
        <v>30195.772638000006</v>
      </c>
      <c r="S66" s="524"/>
    </row>
    <row r="67" spans="2:19" ht="15.5" x14ac:dyDescent="0.35">
      <c r="B67" s="549"/>
      <c r="C67" s="550"/>
      <c r="D67" s="543">
        <v>3</v>
      </c>
      <c r="E67" s="544">
        <v>29663.172000000002</v>
      </c>
      <c r="F67" s="545"/>
      <c r="G67" s="545">
        <f>IF($M67&gt;$U$11,($E67-$U$11)*$W$11,"ERROR")</f>
        <v>2880.7737360000006</v>
      </c>
      <c r="H67" s="545"/>
      <c r="I67" s="545">
        <f t="shared" si="12"/>
        <v>7024.2391296000005</v>
      </c>
      <c r="J67" s="545"/>
      <c r="K67" s="545">
        <f t="shared" si="13"/>
        <v>39568.172000000006</v>
      </c>
      <c r="L67" s="546"/>
      <c r="M67" s="545">
        <f t="shared" si="14"/>
        <v>29663.172000000002</v>
      </c>
      <c r="N67" s="545"/>
      <c r="O67" s="545"/>
      <c r="P67" s="545">
        <f t="shared" si="15"/>
        <v>2880.7737360000006</v>
      </c>
      <c r="Q67" s="545"/>
      <c r="R67" s="545">
        <f t="shared" si="16"/>
        <v>32543.945736000001</v>
      </c>
      <c r="S67" s="524"/>
    </row>
    <row r="68" spans="2:19" ht="15.5" x14ac:dyDescent="0.35">
      <c r="B68" s="549"/>
      <c r="C68" s="550"/>
      <c r="D68" s="543">
        <v>4</v>
      </c>
      <c r="E68" s="544">
        <v>31777.0615</v>
      </c>
      <c r="F68" s="545"/>
      <c r="G68" s="545">
        <f t="shared" si="11"/>
        <v>3172.490487</v>
      </c>
      <c r="H68" s="545"/>
      <c r="I68" s="545">
        <f t="shared" si="12"/>
        <v>7524.8081632000003</v>
      </c>
      <c r="J68" s="545"/>
      <c r="K68" s="545">
        <f t="shared" si="13"/>
        <v>42474.061499999996</v>
      </c>
      <c r="L68" s="546"/>
      <c r="M68" s="545">
        <f t="shared" si="14"/>
        <v>31777.0615</v>
      </c>
      <c r="N68" s="545"/>
      <c r="O68" s="545"/>
      <c r="P68" s="545">
        <f t="shared" si="15"/>
        <v>3172.490487</v>
      </c>
      <c r="Q68" s="545"/>
      <c r="R68" s="545">
        <f t="shared" si="16"/>
        <v>34949.551986999999</v>
      </c>
      <c r="S68" s="524"/>
    </row>
    <row r="69" spans="2:19" ht="15.5" x14ac:dyDescent="0.35">
      <c r="B69" s="549"/>
      <c r="C69" s="550"/>
      <c r="D69" s="543">
        <v>5</v>
      </c>
      <c r="E69" s="791">
        <f>34099.33-((34099.33-E68)*0.2)+E53</f>
        <v>35904.876300000004</v>
      </c>
      <c r="F69" s="545"/>
      <c r="G69" s="545">
        <f t="shared" si="11"/>
        <v>3742.1289294000007</v>
      </c>
      <c r="H69" s="545"/>
      <c r="I69" s="545">
        <f t="shared" si="12"/>
        <v>8502.2747078400007</v>
      </c>
      <c r="J69" s="545"/>
      <c r="K69" s="545">
        <f t="shared" si="13"/>
        <v>48148.876300000004</v>
      </c>
      <c r="L69" s="546"/>
      <c r="M69" s="545">
        <f t="shared" si="14"/>
        <v>35904.876300000004</v>
      </c>
      <c r="N69" s="545"/>
      <c r="O69" s="545"/>
      <c r="P69" s="545">
        <f t="shared" si="15"/>
        <v>3742.1289294000007</v>
      </c>
      <c r="Q69" s="545"/>
      <c r="R69" s="545">
        <f t="shared" si="16"/>
        <v>39647.005229400005</v>
      </c>
      <c r="S69" s="524"/>
    </row>
    <row r="70" spans="2:19" ht="15.5" x14ac:dyDescent="0.35">
      <c r="B70" s="549"/>
      <c r="C70" s="550"/>
      <c r="D70" s="543">
        <v>6</v>
      </c>
      <c r="E70" s="544">
        <v>36960.202499999999</v>
      </c>
      <c r="F70" s="545"/>
      <c r="G70" s="545">
        <f t="shared" si="11"/>
        <v>3887.7639450000001</v>
      </c>
      <c r="H70" s="545"/>
      <c r="I70" s="545">
        <f t="shared" si="12"/>
        <v>8752.1759519999996</v>
      </c>
      <c r="J70" s="545"/>
      <c r="K70" s="545">
        <f t="shared" si="13"/>
        <v>49600.202499999999</v>
      </c>
      <c r="L70" s="546"/>
      <c r="M70" s="545">
        <f t="shared" si="14"/>
        <v>36960.202499999999</v>
      </c>
      <c r="N70" s="545"/>
      <c r="O70" s="545"/>
      <c r="P70" s="545">
        <f t="shared" si="15"/>
        <v>3887.7639450000001</v>
      </c>
      <c r="Q70" s="545"/>
      <c r="R70" s="545">
        <f t="shared" si="16"/>
        <v>40847.966444999998</v>
      </c>
      <c r="S70" s="524"/>
    </row>
    <row r="71" spans="2:19" ht="15.5" x14ac:dyDescent="0.35">
      <c r="B71" s="553" t="s">
        <v>1424</v>
      </c>
      <c r="C71" s="550"/>
      <c r="D71" s="543"/>
      <c r="E71" s="544"/>
      <c r="F71" s="545"/>
      <c r="G71" s="545"/>
      <c r="H71" s="545"/>
      <c r="I71" s="545"/>
      <c r="J71" s="545"/>
      <c r="K71" s="545"/>
      <c r="L71" s="546"/>
      <c r="M71" s="554" t="s">
        <v>1425</v>
      </c>
      <c r="N71" s="545"/>
      <c r="O71" s="545"/>
      <c r="P71" s="545"/>
      <c r="Q71" s="545"/>
      <c r="R71" s="545"/>
      <c r="S71" s="524"/>
    </row>
    <row r="72" spans="2:19" ht="15.5" x14ac:dyDescent="0.35">
      <c r="B72" s="549"/>
      <c r="C72" s="550" t="s">
        <v>1426</v>
      </c>
      <c r="D72" s="543">
        <v>1</v>
      </c>
      <c r="E72" s="544">
        <v>38689.485000000001</v>
      </c>
      <c r="F72" s="545"/>
      <c r="G72" s="545">
        <f>IF($M72&gt;$U$11,($E72-$U$11)*$W$11,"ERROR")</f>
        <v>4126.4049300000006</v>
      </c>
      <c r="H72" s="545"/>
      <c r="I72" s="545">
        <f>$E72*$V$13</f>
        <v>9161.670048</v>
      </c>
      <c r="J72" s="545"/>
      <c r="K72" s="545">
        <f>E72+ROUND(G72,0)+ROUND(I72,0)</f>
        <v>51977.485000000001</v>
      </c>
      <c r="L72" s="546"/>
      <c r="M72" s="545">
        <f>E72</f>
        <v>38689.485000000001</v>
      </c>
      <c r="N72" s="545"/>
      <c r="O72" s="545"/>
      <c r="P72" s="545">
        <f>IF($M72&gt;$U$11,($M72-$U$11)*$W$11,"ERROR")</f>
        <v>4126.4049300000006</v>
      </c>
      <c r="Q72" s="545"/>
      <c r="R72" s="545">
        <f>SUM(M72:P72)</f>
        <v>42815.889930000005</v>
      </c>
      <c r="S72" s="524"/>
    </row>
    <row r="73" spans="2:19" ht="15.5" x14ac:dyDescent="0.35">
      <c r="B73" s="549"/>
      <c r="C73" s="550" t="s">
        <v>1428</v>
      </c>
      <c r="D73" s="543">
        <v>2</v>
      </c>
      <c r="E73" s="544">
        <v>40123.875</v>
      </c>
      <c r="F73" s="545"/>
      <c r="G73" s="545">
        <f>IF($M73&gt;$U$11,($E73-$U$11)*$W$11,"ERROR")</f>
        <v>4324.3507500000005</v>
      </c>
      <c r="H73" s="545"/>
      <c r="I73" s="545">
        <f>$E73*$V$13</f>
        <v>9501.3335999999999</v>
      </c>
      <c r="J73" s="545"/>
      <c r="K73" s="545">
        <f>E73+ROUND(G73,0)+ROUND(I73,0)</f>
        <v>53948.875</v>
      </c>
      <c r="L73" s="546"/>
      <c r="M73" s="545">
        <f>E73</f>
        <v>40123.875</v>
      </c>
      <c r="N73" s="545"/>
      <c r="O73" s="545"/>
      <c r="P73" s="545">
        <f>IF($M73&gt;$U$11,($M73-$U$11)*$W$11,"ERROR")</f>
        <v>4324.3507500000005</v>
      </c>
      <c r="Q73" s="545"/>
      <c r="R73" s="545">
        <f>SUM(M73:P73)</f>
        <v>44448.225749999998</v>
      </c>
      <c r="S73" s="524"/>
    </row>
    <row r="74" spans="2:19" ht="15.5" x14ac:dyDescent="0.35">
      <c r="B74" s="549"/>
      <c r="C74" s="550"/>
      <c r="D74" s="543">
        <v>3</v>
      </c>
      <c r="E74" s="544">
        <v>41603.474999999999</v>
      </c>
      <c r="F74" s="545"/>
      <c r="G74" s="545">
        <f>IF($M74&gt;$U$11,($E74-$U$11)*$W$11,"ERROR")</f>
        <v>4528.5355500000005</v>
      </c>
      <c r="H74" s="545"/>
      <c r="I74" s="545">
        <f>$E74*$V$13</f>
        <v>9851.7028800000007</v>
      </c>
      <c r="J74" s="545"/>
      <c r="K74" s="545">
        <f>E74+ROUND(G74,0)+ROUND(I74,0)</f>
        <v>55984.474999999999</v>
      </c>
      <c r="L74" s="546"/>
      <c r="M74" s="545">
        <f>E74</f>
        <v>41603.474999999999</v>
      </c>
      <c r="N74" s="545"/>
      <c r="O74" s="545"/>
      <c r="P74" s="545">
        <f>IF($M74&gt;$U$11,($M74-$U$11)*$W$11,"ERROR")</f>
        <v>4528.5355500000005</v>
      </c>
      <c r="Q74" s="545"/>
      <c r="R74" s="545">
        <f>SUM(M74:P74)</f>
        <v>46132.010549999999</v>
      </c>
      <c r="S74" s="524"/>
    </row>
    <row r="75" spans="2:19" ht="15.5" x14ac:dyDescent="0.35">
      <c r="B75" s="549"/>
      <c r="C75" s="550"/>
      <c r="D75" s="543"/>
      <c r="E75" s="544"/>
      <c r="F75" s="545"/>
      <c r="G75" s="545"/>
      <c r="H75" s="545"/>
      <c r="I75" s="545"/>
      <c r="J75" s="545"/>
      <c r="K75" s="545"/>
      <c r="L75" s="546"/>
      <c r="M75" s="545"/>
      <c r="N75" s="545"/>
      <c r="O75" s="545"/>
      <c r="P75" s="545"/>
      <c r="Q75" s="545"/>
      <c r="R75" s="545"/>
      <c r="S75" s="524"/>
    </row>
    <row r="76" spans="2:19" ht="15.5" x14ac:dyDescent="0.35">
      <c r="B76" s="553" t="s">
        <v>1431</v>
      </c>
      <c r="C76" s="550"/>
      <c r="D76" s="543"/>
      <c r="E76" s="544"/>
      <c r="F76" s="545"/>
      <c r="G76" s="545"/>
      <c r="H76" s="545"/>
      <c r="I76" s="545"/>
      <c r="J76" s="545"/>
      <c r="K76" s="545"/>
      <c r="L76" s="546"/>
      <c r="M76" s="554" t="s">
        <v>1425</v>
      </c>
      <c r="N76" s="545"/>
      <c r="O76" s="545"/>
      <c r="P76" s="545"/>
      <c r="Q76" s="545"/>
      <c r="R76" s="545"/>
      <c r="S76" s="524"/>
    </row>
    <row r="77" spans="2:19" ht="15.5" x14ac:dyDescent="0.35">
      <c r="B77" s="555"/>
      <c r="C77" s="550"/>
      <c r="D77" s="521"/>
      <c r="E77" s="544"/>
      <c r="F77" s="545"/>
      <c r="G77" s="545"/>
      <c r="H77" s="545"/>
      <c r="I77" s="545"/>
      <c r="J77" s="545"/>
      <c r="K77" s="545"/>
      <c r="L77" s="546"/>
      <c r="M77" s="545"/>
      <c r="N77" s="545"/>
      <c r="O77" s="545"/>
      <c r="P77" s="545"/>
      <c r="Q77" s="545"/>
      <c r="R77" s="545"/>
      <c r="S77" s="524"/>
    </row>
    <row r="78" spans="2:19" ht="15.5" x14ac:dyDescent="0.35">
      <c r="B78" s="556" t="s">
        <v>1434</v>
      </c>
      <c r="C78" s="550" t="s">
        <v>1435</v>
      </c>
      <c r="D78" s="557">
        <v>1</v>
      </c>
      <c r="E78" s="544">
        <v>18168.255000000001</v>
      </c>
      <c r="F78" s="545"/>
      <c r="G78" s="545">
        <f t="shared" ref="G78:G83" si="17">IF($M78&gt;$U$11,($E78-$U$11)*$W$11,"ERROR")</f>
        <v>1294.4751900000003</v>
      </c>
      <c r="H78" s="545"/>
      <c r="I78" s="545">
        <f t="shared" ref="I78:I83" si="18">$E78*$V$13</f>
        <v>4302.242784</v>
      </c>
      <c r="J78" s="545"/>
      <c r="K78" s="545">
        <f t="shared" ref="K78:K83" si="19">E78+ROUND(G78,0)+ROUND(I78,0)</f>
        <v>23764.255000000001</v>
      </c>
      <c r="L78" s="546"/>
      <c r="M78" s="545">
        <f t="shared" ref="M78:M83" si="20">E78</f>
        <v>18168.255000000001</v>
      </c>
      <c r="N78" s="545"/>
      <c r="O78" s="545"/>
      <c r="P78" s="545">
        <f t="shared" ref="P78:P83" si="21">IF($M78&gt;$U$11,($M78-$U$11)*$W$11,"ERROR")</f>
        <v>1294.4751900000003</v>
      </c>
      <c r="Q78" s="545"/>
      <c r="R78" s="545">
        <f t="shared" ref="R78:R83" si="22">SUM(M78:P78)</f>
        <v>19462.730190000002</v>
      </c>
      <c r="S78" s="524"/>
    </row>
    <row r="79" spans="2:19" ht="15.5" x14ac:dyDescent="0.35">
      <c r="B79" s="556" t="s">
        <v>1436</v>
      </c>
      <c r="C79" s="550" t="s">
        <v>1437</v>
      </c>
      <c r="D79" s="557">
        <v>2</v>
      </c>
      <c r="E79" s="544">
        <v>20281.822499999998</v>
      </c>
      <c r="F79" s="545"/>
      <c r="G79" s="545">
        <f t="shared" si="17"/>
        <v>1586.1475049999999</v>
      </c>
      <c r="H79" s="545"/>
      <c r="I79" s="545">
        <f t="shared" si="18"/>
        <v>4802.7355680000001</v>
      </c>
      <c r="J79" s="545"/>
      <c r="K79" s="545">
        <f t="shared" si="19"/>
        <v>26670.822499999998</v>
      </c>
      <c r="L79" s="546"/>
      <c r="M79" s="545">
        <f t="shared" si="20"/>
        <v>20281.822499999998</v>
      </c>
      <c r="N79" s="545"/>
      <c r="O79" s="545"/>
      <c r="P79" s="545">
        <f t="shared" si="21"/>
        <v>1586.1475049999999</v>
      </c>
      <c r="Q79" s="545"/>
      <c r="R79" s="545">
        <f t="shared" si="22"/>
        <v>21867.970004999999</v>
      </c>
      <c r="S79" s="524"/>
    </row>
    <row r="80" spans="2:19" ht="15.5" x14ac:dyDescent="0.35">
      <c r="B80" s="558"/>
      <c r="C80" s="550"/>
      <c r="D80" s="557">
        <v>3</v>
      </c>
      <c r="E80" s="544">
        <v>22393.334999999999</v>
      </c>
      <c r="F80" s="545"/>
      <c r="G80" s="545">
        <f t="shared" si="17"/>
        <v>1877.5362299999999</v>
      </c>
      <c r="H80" s="545"/>
      <c r="I80" s="545">
        <f t="shared" si="18"/>
        <v>5302.741728</v>
      </c>
      <c r="J80" s="545"/>
      <c r="K80" s="545">
        <f t="shared" si="19"/>
        <v>29574.334999999999</v>
      </c>
      <c r="L80" s="546"/>
      <c r="M80" s="545">
        <f t="shared" si="20"/>
        <v>22393.334999999999</v>
      </c>
      <c r="N80" s="545"/>
      <c r="O80" s="545"/>
      <c r="P80" s="545">
        <f t="shared" si="21"/>
        <v>1877.5362299999999</v>
      </c>
      <c r="Q80" s="545"/>
      <c r="R80" s="545">
        <f t="shared" si="22"/>
        <v>24270.871230000001</v>
      </c>
      <c r="S80" s="524"/>
    </row>
    <row r="81" spans="2:19" ht="15.5" x14ac:dyDescent="0.35">
      <c r="B81" s="558"/>
      <c r="C81" s="550"/>
      <c r="D81" s="557">
        <v>4</v>
      </c>
      <c r="E81" s="544">
        <v>24506.9025</v>
      </c>
      <c r="F81" s="545"/>
      <c r="G81" s="545">
        <f t="shared" si="17"/>
        <v>2169.2085450000004</v>
      </c>
      <c r="H81" s="545"/>
      <c r="I81" s="545">
        <f t="shared" si="18"/>
        <v>5803.234512</v>
      </c>
      <c r="J81" s="545"/>
      <c r="K81" s="545">
        <f t="shared" si="19"/>
        <v>32478.9025</v>
      </c>
      <c r="L81" s="546"/>
      <c r="M81" s="545">
        <f t="shared" si="20"/>
        <v>24506.9025</v>
      </c>
      <c r="N81" s="545"/>
      <c r="O81" s="545"/>
      <c r="P81" s="545">
        <f t="shared" si="21"/>
        <v>2169.2085450000004</v>
      </c>
      <c r="Q81" s="545"/>
      <c r="R81" s="545">
        <f t="shared" si="22"/>
        <v>26676.111045000001</v>
      </c>
      <c r="S81" s="524"/>
    </row>
    <row r="82" spans="2:19" ht="15.5" x14ac:dyDescent="0.35">
      <c r="B82" s="555"/>
      <c r="C82" s="550"/>
      <c r="D82" s="557">
        <v>5</v>
      </c>
      <c r="E82" s="544">
        <v>26621.497499999998</v>
      </c>
      <c r="F82" s="545"/>
      <c r="G82" s="545">
        <f t="shared" si="17"/>
        <v>2461.0226549999998</v>
      </c>
      <c r="H82" s="545"/>
      <c r="I82" s="545">
        <f t="shared" si="18"/>
        <v>6303.9706079999996</v>
      </c>
      <c r="J82" s="545"/>
      <c r="K82" s="545">
        <f t="shared" si="19"/>
        <v>35386.497499999998</v>
      </c>
      <c r="L82" s="546"/>
      <c r="M82" s="545">
        <f t="shared" si="20"/>
        <v>26621.497499999998</v>
      </c>
      <c r="N82" s="545"/>
      <c r="O82" s="545"/>
      <c r="P82" s="545">
        <f t="shared" si="21"/>
        <v>2461.0226549999998</v>
      </c>
      <c r="Q82" s="545"/>
      <c r="R82" s="545">
        <f t="shared" si="22"/>
        <v>29082.520154999998</v>
      </c>
      <c r="S82" s="524"/>
    </row>
    <row r="83" spans="2:19" ht="15.5" x14ac:dyDescent="0.35">
      <c r="B83" s="555"/>
      <c r="C83" s="550"/>
      <c r="D83" s="557">
        <v>6</v>
      </c>
      <c r="E83" s="544">
        <v>28734.037499999999</v>
      </c>
      <c r="F83" s="545"/>
      <c r="G83" s="545">
        <f t="shared" si="17"/>
        <v>2752.553175</v>
      </c>
      <c r="H83" s="545"/>
      <c r="I83" s="545">
        <f t="shared" si="18"/>
        <v>6804.2200800000001</v>
      </c>
      <c r="J83" s="545"/>
      <c r="K83" s="545">
        <f t="shared" si="19"/>
        <v>38291.037499999999</v>
      </c>
      <c r="L83" s="546"/>
      <c r="M83" s="545">
        <f t="shared" si="20"/>
        <v>28734.037499999999</v>
      </c>
      <c r="N83" s="545"/>
      <c r="O83" s="545"/>
      <c r="P83" s="545">
        <f t="shared" si="21"/>
        <v>2752.553175</v>
      </c>
      <c r="Q83" s="545"/>
      <c r="R83" s="545">
        <f t="shared" si="22"/>
        <v>31486.590674999999</v>
      </c>
      <c r="S83" s="524"/>
    </row>
    <row r="84" spans="2:19" ht="15.5" x14ac:dyDescent="0.35">
      <c r="B84" s="555"/>
      <c r="C84" s="550"/>
      <c r="D84" s="557"/>
      <c r="E84" s="559"/>
      <c r="F84" s="559"/>
      <c r="G84" s="559"/>
      <c r="H84" s="559"/>
      <c r="I84" s="559"/>
      <c r="J84" s="559"/>
      <c r="K84" s="559"/>
      <c r="L84" s="560"/>
      <c r="M84" s="559"/>
      <c r="N84" s="559"/>
      <c r="O84" s="559"/>
      <c r="P84" s="559"/>
      <c r="Q84" s="559"/>
      <c r="R84" s="559"/>
      <c r="S84" s="524"/>
    </row>
    <row r="85" spans="2:19" ht="15.5" x14ac:dyDescent="0.35">
      <c r="B85" s="555"/>
      <c r="C85" s="550"/>
      <c r="D85" s="557"/>
      <c r="E85" s="559"/>
      <c r="F85" s="559"/>
      <c r="G85" s="559"/>
      <c r="H85" s="559"/>
      <c r="I85" s="559"/>
      <c r="J85" s="559"/>
      <c r="K85" s="559"/>
      <c r="L85" s="560"/>
      <c r="M85" s="559"/>
      <c r="N85" s="559"/>
      <c r="O85" s="559"/>
      <c r="P85" s="559"/>
      <c r="Q85" s="559"/>
      <c r="R85" s="559"/>
      <c r="S85" s="524"/>
    </row>
    <row r="86" spans="2:19" ht="16" thickBot="1" x14ac:dyDescent="0.4">
      <c r="B86" s="561"/>
      <c r="C86" s="562"/>
      <c r="D86" s="563"/>
      <c r="E86" s="564"/>
      <c r="F86" s="564"/>
      <c r="G86" s="564"/>
      <c r="H86" s="564"/>
      <c r="I86" s="564"/>
      <c r="J86" s="564"/>
      <c r="K86" s="564"/>
      <c r="L86" s="565"/>
      <c r="M86" s="566"/>
      <c r="N86" s="564"/>
      <c r="O86" s="564"/>
      <c r="P86" s="564"/>
      <c r="Q86" s="564"/>
      <c r="R86" s="564"/>
      <c r="S86" s="537"/>
    </row>
    <row r="90" spans="2:19" ht="15.5" x14ac:dyDescent="0.35">
      <c r="B90" s="517"/>
      <c r="C90" s="518"/>
      <c r="D90" s="518"/>
      <c r="E90" s="519" t="s">
        <v>1412</v>
      </c>
      <c r="F90" s="520"/>
      <c r="G90" s="519"/>
      <c r="H90" s="520"/>
      <c r="I90" s="519"/>
      <c r="J90" s="520"/>
      <c r="K90" s="519"/>
      <c r="L90" s="521"/>
      <c r="M90" s="522" t="s">
        <v>1413</v>
      </c>
      <c r="N90" s="523"/>
      <c r="O90" s="523"/>
      <c r="P90" s="523"/>
      <c r="Q90" s="523"/>
      <c r="R90" s="523"/>
      <c r="S90" s="524"/>
    </row>
    <row r="91" spans="2:19" ht="15.5" x14ac:dyDescent="0.35">
      <c r="B91" s="517"/>
      <c r="C91" s="525" t="s">
        <v>1414</v>
      </c>
      <c r="D91" s="525" t="s">
        <v>1415</v>
      </c>
      <c r="E91" s="526" t="s">
        <v>1416</v>
      </c>
      <c r="F91" s="525"/>
      <c r="G91" s="527" t="s">
        <v>1417</v>
      </c>
      <c r="H91" s="525"/>
      <c r="I91" s="526" t="s">
        <v>1418</v>
      </c>
      <c r="J91" s="525"/>
      <c r="K91" s="526" t="s">
        <v>357</v>
      </c>
      <c r="L91" s="528"/>
      <c r="M91" s="529" t="s">
        <v>1416</v>
      </c>
      <c r="N91" s="525"/>
      <c r="O91" s="525"/>
      <c r="P91" s="527" t="s">
        <v>1417</v>
      </c>
      <c r="Q91" s="525"/>
      <c r="R91" s="530" t="s">
        <v>357</v>
      </c>
      <c r="S91" s="524"/>
    </row>
    <row r="92" spans="2:19" ht="16" thickBot="1" x14ac:dyDescent="0.4">
      <c r="B92" s="534"/>
      <c r="C92" s="535"/>
      <c r="D92" s="535"/>
      <c r="E92" s="535"/>
      <c r="F92" s="535"/>
      <c r="G92" s="535"/>
      <c r="H92" s="535"/>
      <c r="I92" s="535"/>
      <c r="J92" s="535"/>
      <c r="K92" s="535"/>
      <c r="L92" s="535"/>
      <c r="M92" s="536"/>
      <c r="N92" s="535"/>
      <c r="O92" s="535"/>
      <c r="P92" s="535"/>
      <c r="Q92" s="535"/>
      <c r="R92" s="535"/>
      <c r="S92" s="537"/>
    </row>
    <row r="93" spans="2:19" ht="15.5" x14ac:dyDescent="0.35">
      <c r="B93" s="540"/>
      <c r="C93" s="541"/>
      <c r="D93" s="541"/>
      <c r="E93" s="541"/>
      <c r="F93" s="541"/>
      <c r="G93" s="541"/>
      <c r="H93" s="541"/>
      <c r="I93" s="541"/>
      <c r="J93" s="541"/>
      <c r="K93" s="541"/>
      <c r="L93" s="542"/>
      <c r="M93" s="541"/>
      <c r="N93" s="541"/>
      <c r="O93" s="541"/>
      <c r="P93" s="541"/>
      <c r="Q93" s="541"/>
      <c r="R93" s="541"/>
      <c r="S93" s="542"/>
    </row>
    <row r="94" spans="2:19" ht="15.5" x14ac:dyDescent="0.35">
      <c r="B94" s="517"/>
      <c r="C94" s="518" t="s">
        <v>1419</v>
      </c>
      <c r="D94" s="543">
        <v>1</v>
      </c>
      <c r="E94" s="544">
        <v>25713.514999999999</v>
      </c>
      <c r="F94" s="545"/>
      <c r="G94" s="545">
        <f t="shared" ref="G94:G99" si="23">IF($M94&gt;$U$11,($E94-$U$11)*$W$11,"ERROR")</f>
        <v>2335.7210700000001</v>
      </c>
      <c r="H94" s="545"/>
      <c r="I94" s="545">
        <f t="shared" ref="I94:I99" si="24">$E94*$V$13</f>
        <v>6088.9603520000001</v>
      </c>
      <c r="J94" s="545"/>
      <c r="K94" s="545">
        <f t="shared" ref="K94:K99" si="25">E94+ROUND(G94,0)+ROUND(I94,0)</f>
        <v>34138.514999999999</v>
      </c>
      <c r="L94" s="546"/>
      <c r="M94" s="545">
        <f t="shared" ref="M94:M99" si="26">E94</f>
        <v>25713.514999999999</v>
      </c>
      <c r="N94" s="545"/>
      <c r="O94" s="545"/>
      <c r="P94" s="545">
        <f t="shared" ref="P94:P99" si="27">IF($M94&gt;$U$11,($M94-$U$11)*$W$11,"ERROR")</f>
        <v>2335.7210700000001</v>
      </c>
      <c r="Q94" s="545"/>
      <c r="R94" s="545">
        <f t="shared" ref="R94:R99" si="28">SUM(M94:P94)</f>
        <v>28049.236069999999</v>
      </c>
      <c r="S94" s="524"/>
    </row>
    <row r="95" spans="2:19" ht="15.5" x14ac:dyDescent="0.35">
      <c r="B95" s="549"/>
      <c r="C95" s="550"/>
      <c r="D95" s="543">
        <v>2</v>
      </c>
      <c r="E95" s="544">
        <v>27599.751000000004</v>
      </c>
      <c r="F95" s="545"/>
      <c r="G95" s="545">
        <f t="shared" si="23"/>
        <v>2596.0216380000006</v>
      </c>
      <c r="H95" s="545"/>
      <c r="I95" s="545">
        <f t="shared" si="24"/>
        <v>6535.6210368000011</v>
      </c>
      <c r="J95" s="545"/>
      <c r="K95" s="545">
        <f t="shared" si="25"/>
        <v>36731.751000000004</v>
      </c>
      <c r="L95" s="546"/>
      <c r="M95" s="545">
        <f t="shared" si="26"/>
        <v>27599.751000000004</v>
      </c>
      <c r="N95" s="545"/>
      <c r="O95" s="545"/>
      <c r="P95" s="545">
        <f t="shared" si="27"/>
        <v>2596.0216380000006</v>
      </c>
      <c r="Q95" s="545"/>
      <c r="R95" s="545">
        <f t="shared" si="28"/>
        <v>30195.772638000006</v>
      </c>
      <c r="S95" s="524"/>
    </row>
    <row r="96" spans="2:19" ht="15.5" x14ac:dyDescent="0.35">
      <c r="B96" s="549"/>
      <c r="C96" s="550"/>
      <c r="D96" s="543">
        <v>3</v>
      </c>
      <c r="E96" s="544">
        <v>29663.172000000002</v>
      </c>
      <c r="F96" s="545"/>
      <c r="G96" s="545">
        <f>IF($M96&gt;$U$11,($E96-$U$11)*$W$11,"ERROR")</f>
        <v>2880.7737360000006</v>
      </c>
      <c r="H96" s="545"/>
      <c r="I96" s="545">
        <f t="shared" si="24"/>
        <v>7024.2391296000005</v>
      </c>
      <c r="J96" s="545"/>
      <c r="K96" s="545">
        <f t="shared" si="25"/>
        <v>39568.172000000006</v>
      </c>
      <c r="L96" s="546"/>
      <c r="M96" s="545">
        <f t="shared" si="26"/>
        <v>29663.172000000002</v>
      </c>
      <c r="N96" s="545"/>
      <c r="O96" s="545"/>
      <c r="P96" s="545">
        <f t="shared" si="27"/>
        <v>2880.7737360000006</v>
      </c>
      <c r="Q96" s="545"/>
      <c r="R96" s="545">
        <f t="shared" si="28"/>
        <v>32543.945736000001</v>
      </c>
      <c r="S96" s="524"/>
    </row>
    <row r="97" spans="2:19" ht="15.5" x14ac:dyDescent="0.35">
      <c r="B97" s="549"/>
      <c r="C97" s="550"/>
      <c r="D97" s="543">
        <v>4</v>
      </c>
      <c r="E97" s="544">
        <v>31777.0615</v>
      </c>
      <c r="F97" s="545"/>
      <c r="G97" s="545">
        <f t="shared" si="23"/>
        <v>3172.490487</v>
      </c>
      <c r="H97" s="545"/>
      <c r="I97" s="545">
        <f t="shared" si="24"/>
        <v>7524.8081632000003</v>
      </c>
      <c r="J97" s="545"/>
      <c r="K97" s="545">
        <f t="shared" si="25"/>
        <v>42474.061499999996</v>
      </c>
      <c r="L97" s="546"/>
      <c r="M97" s="545">
        <f t="shared" si="26"/>
        <v>31777.0615</v>
      </c>
      <c r="N97" s="545"/>
      <c r="O97" s="545"/>
      <c r="P97" s="545">
        <f t="shared" si="27"/>
        <v>3172.490487</v>
      </c>
      <c r="Q97" s="545"/>
      <c r="R97" s="545">
        <f t="shared" si="28"/>
        <v>34949.551986999999</v>
      </c>
      <c r="S97" s="524"/>
    </row>
    <row r="98" spans="2:19" ht="15.5" x14ac:dyDescent="0.35">
      <c r="B98" s="549"/>
      <c r="C98" s="550"/>
      <c r="D98" s="543">
        <v>5</v>
      </c>
      <c r="E98" s="791">
        <f>34099.33-((34099.33-E97)*0.4)+E53</f>
        <v>35440.422599999998</v>
      </c>
      <c r="F98" s="545"/>
      <c r="G98" s="545">
        <f t="shared" si="23"/>
        <v>3678.0343188000002</v>
      </c>
      <c r="H98" s="545"/>
      <c r="I98" s="545">
        <f t="shared" si="24"/>
        <v>8392.2920716799999</v>
      </c>
      <c r="J98" s="545"/>
      <c r="K98" s="545">
        <f t="shared" si="25"/>
        <v>47510.422599999998</v>
      </c>
      <c r="L98" s="546"/>
      <c r="M98" s="545">
        <f t="shared" si="26"/>
        <v>35440.422599999998</v>
      </c>
      <c r="N98" s="545"/>
      <c r="O98" s="545"/>
      <c r="P98" s="545">
        <f t="shared" si="27"/>
        <v>3678.0343188000002</v>
      </c>
      <c r="Q98" s="545"/>
      <c r="R98" s="545">
        <f t="shared" si="28"/>
        <v>39118.456918799995</v>
      </c>
      <c r="S98" s="524"/>
    </row>
    <row r="99" spans="2:19" ht="15.5" x14ac:dyDescent="0.35">
      <c r="B99" s="549"/>
      <c r="C99" s="550"/>
      <c r="D99" s="543">
        <v>6</v>
      </c>
      <c r="E99" s="544">
        <v>36960.202499999999</v>
      </c>
      <c r="F99" s="545"/>
      <c r="G99" s="545">
        <f t="shared" si="23"/>
        <v>3887.7639450000001</v>
      </c>
      <c r="H99" s="545"/>
      <c r="I99" s="545">
        <f t="shared" si="24"/>
        <v>8752.1759519999996</v>
      </c>
      <c r="J99" s="545"/>
      <c r="K99" s="545">
        <f t="shared" si="25"/>
        <v>49600.202499999999</v>
      </c>
      <c r="L99" s="546"/>
      <c r="M99" s="545">
        <f t="shared" si="26"/>
        <v>36960.202499999999</v>
      </c>
      <c r="N99" s="545"/>
      <c r="O99" s="545"/>
      <c r="P99" s="545">
        <f t="shared" si="27"/>
        <v>3887.7639450000001</v>
      </c>
      <c r="Q99" s="545"/>
      <c r="R99" s="545">
        <f t="shared" si="28"/>
        <v>40847.966444999998</v>
      </c>
      <c r="S99" s="524"/>
    </row>
    <row r="100" spans="2:19" ht="15.5" x14ac:dyDescent="0.35">
      <c r="B100" s="553" t="s">
        <v>1424</v>
      </c>
      <c r="C100" s="550"/>
      <c r="D100" s="543"/>
      <c r="E100" s="544"/>
      <c r="F100" s="545"/>
      <c r="G100" s="545"/>
      <c r="H100" s="545"/>
      <c r="I100" s="545"/>
      <c r="J100" s="545"/>
      <c r="K100" s="545"/>
      <c r="L100" s="546"/>
      <c r="M100" s="554" t="s">
        <v>1425</v>
      </c>
      <c r="N100" s="545"/>
      <c r="O100" s="545"/>
      <c r="P100" s="545"/>
      <c r="Q100" s="545"/>
      <c r="R100" s="545"/>
      <c r="S100" s="524"/>
    </row>
    <row r="101" spans="2:19" ht="15.5" x14ac:dyDescent="0.35">
      <c r="B101" s="549"/>
      <c r="C101" s="550" t="s">
        <v>1426</v>
      </c>
      <c r="D101" s="543">
        <v>1</v>
      </c>
      <c r="E101" s="544">
        <v>38689.485000000001</v>
      </c>
      <c r="F101" s="545"/>
      <c r="G101" s="545">
        <f>IF($M101&gt;$U$11,($E101-$U$11)*$W$11,"ERROR")</f>
        <v>4126.4049300000006</v>
      </c>
      <c r="H101" s="545"/>
      <c r="I101" s="545">
        <f>$E101*$V$13</f>
        <v>9161.670048</v>
      </c>
      <c r="J101" s="545"/>
      <c r="K101" s="545">
        <f>E101+ROUND(G101,0)+ROUND(I101,0)</f>
        <v>51977.485000000001</v>
      </c>
      <c r="L101" s="546"/>
      <c r="M101" s="545">
        <f>E101</f>
        <v>38689.485000000001</v>
      </c>
      <c r="N101" s="545"/>
      <c r="O101" s="545"/>
      <c r="P101" s="545">
        <f>IF($M101&gt;$U$11,($M101-$U$11)*$W$11,"ERROR")</f>
        <v>4126.4049300000006</v>
      </c>
      <c r="Q101" s="545"/>
      <c r="R101" s="545">
        <f>SUM(M101:P101)</f>
        <v>42815.889930000005</v>
      </c>
      <c r="S101" s="524"/>
    </row>
    <row r="102" spans="2:19" ht="15.5" x14ac:dyDescent="0.35">
      <c r="B102" s="549"/>
      <c r="C102" s="550" t="s">
        <v>1428</v>
      </c>
      <c r="D102" s="543">
        <v>2</v>
      </c>
      <c r="E102" s="544">
        <v>40123.875</v>
      </c>
      <c r="F102" s="545"/>
      <c r="G102" s="545">
        <f>IF($M102&gt;$U$11,($E102-$U$11)*$W$11,"ERROR")</f>
        <v>4324.3507500000005</v>
      </c>
      <c r="H102" s="545"/>
      <c r="I102" s="545">
        <f>$E102*$V$13</f>
        <v>9501.3335999999999</v>
      </c>
      <c r="J102" s="545"/>
      <c r="K102" s="545">
        <f>E102+ROUND(G102,0)+ROUND(I102,0)</f>
        <v>53948.875</v>
      </c>
      <c r="L102" s="546"/>
      <c r="M102" s="545">
        <f>E102</f>
        <v>40123.875</v>
      </c>
      <c r="N102" s="545"/>
      <c r="O102" s="545"/>
      <c r="P102" s="545">
        <f>IF($M102&gt;$U$11,($M102-$U$11)*$W$11,"ERROR")</f>
        <v>4324.3507500000005</v>
      </c>
      <c r="Q102" s="545"/>
      <c r="R102" s="545">
        <f>SUM(M102:P102)</f>
        <v>44448.225749999998</v>
      </c>
      <c r="S102" s="524"/>
    </row>
    <row r="103" spans="2:19" ht="15.5" x14ac:dyDescent="0.35">
      <c r="B103" s="549"/>
      <c r="C103" s="550"/>
      <c r="D103" s="543">
        <v>3</v>
      </c>
      <c r="E103" s="544">
        <v>41603.474999999999</v>
      </c>
      <c r="F103" s="545"/>
      <c r="G103" s="545">
        <f>IF($M103&gt;$U$11,($E103-$U$11)*$W$11,"ERROR")</f>
        <v>4528.5355500000005</v>
      </c>
      <c r="H103" s="545"/>
      <c r="I103" s="545">
        <f>$E103*$V$13</f>
        <v>9851.7028800000007</v>
      </c>
      <c r="J103" s="545"/>
      <c r="K103" s="545">
        <f>E103+ROUND(G103,0)+ROUND(I103,0)</f>
        <v>55984.474999999999</v>
      </c>
      <c r="L103" s="546"/>
      <c r="M103" s="545">
        <f>E103</f>
        <v>41603.474999999999</v>
      </c>
      <c r="N103" s="545"/>
      <c r="O103" s="545"/>
      <c r="P103" s="545">
        <f>IF($M103&gt;$U$11,($M103-$U$11)*$W$11,"ERROR")</f>
        <v>4528.5355500000005</v>
      </c>
      <c r="Q103" s="545"/>
      <c r="R103" s="545">
        <f>SUM(M103:P103)</f>
        <v>46132.010549999999</v>
      </c>
      <c r="S103" s="524"/>
    </row>
    <row r="104" spans="2:19" ht="15.5" x14ac:dyDescent="0.35">
      <c r="B104" s="549"/>
      <c r="C104" s="550"/>
      <c r="D104" s="543"/>
      <c r="E104" s="544"/>
      <c r="F104" s="545"/>
      <c r="G104" s="545"/>
      <c r="H104" s="545"/>
      <c r="I104" s="545"/>
      <c r="J104" s="545"/>
      <c r="K104" s="545"/>
      <c r="L104" s="546"/>
      <c r="M104" s="545"/>
      <c r="N104" s="545"/>
      <c r="O104" s="545"/>
      <c r="P104" s="545"/>
      <c r="Q104" s="545"/>
      <c r="R104" s="545"/>
      <c r="S104" s="524"/>
    </row>
    <row r="105" spans="2:19" ht="15.5" x14ac:dyDescent="0.35">
      <c r="B105" s="553" t="s">
        <v>1431</v>
      </c>
      <c r="C105" s="550"/>
      <c r="D105" s="543"/>
      <c r="E105" s="544"/>
      <c r="F105" s="545"/>
      <c r="G105" s="545"/>
      <c r="H105" s="545"/>
      <c r="I105" s="545"/>
      <c r="J105" s="545"/>
      <c r="K105" s="545"/>
      <c r="L105" s="546"/>
      <c r="M105" s="554" t="s">
        <v>1425</v>
      </c>
      <c r="N105" s="545"/>
      <c r="O105" s="545"/>
      <c r="P105" s="545"/>
      <c r="Q105" s="545"/>
      <c r="R105" s="545"/>
      <c r="S105" s="524"/>
    </row>
    <row r="106" spans="2:19" ht="15.5" x14ac:dyDescent="0.35">
      <c r="B106" s="555"/>
      <c r="C106" s="550"/>
      <c r="D106" s="521"/>
      <c r="E106" s="544"/>
      <c r="F106" s="545"/>
      <c r="G106" s="545"/>
      <c r="H106" s="545"/>
      <c r="I106" s="545"/>
      <c r="J106" s="545"/>
      <c r="K106" s="545"/>
      <c r="L106" s="546"/>
      <c r="M106" s="545"/>
      <c r="N106" s="545"/>
      <c r="O106" s="545"/>
      <c r="P106" s="545"/>
      <c r="Q106" s="545"/>
      <c r="R106" s="545"/>
      <c r="S106" s="524"/>
    </row>
    <row r="107" spans="2:19" ht="15.5" x14ac:dyDescent="0.35">
      <c r="B107" s="556" t="s">
        <v>1434</v>
      </c>
      <c r="C107" s="550" t="s">
        <v>1435</v>
      </c>
      <c r="D107" s="557">
        <v>1</v>
      </c>
      <c r="E107" s="544">
        <v>18168.255000000001</v>
      </c>
      <c r="F107" s="545"/>
      <c r="G107" s="545">
        <f t="shared" ref="G107:G112" si="29">IF($M107&gt;$U$11,($E107-$U$11)*$W$11,"ERROR")</f>
        <v>1294.4751900000003</v>
      </c>
      <c r="H107" s="545"/>
      <c r="I107" s="545">
        <f t="shared" ref="I107:I112" si="30">$E107*$V$13</f>
        <v>4302.242784</v>
      </c>
      <c r="J107" s="545"/>
      <c r="K107" s="545">
        <f t="shared" ref="K107:K112" si="31">E107+ROUND(G107,0)+ROUND(I107,0)</f>
        <v>23764.255000000001</v>
      </c>
      <c r="L107" s="546"/>
      <c r="M107" s="545">
        <f t="shared" ref="M107:M112" si="32">E107</f>
        <v>18168.255000000001</v>
      </c>
      <c r="N107" s="545"/>
      <c r="O107" s="545"/>
      <c r="P107" s="545">
        <f t="shared" ref="P107:P112" si="33">IF($M107&gt;$U$11,($M107-$U$11)*$W$11,"ERROR")</f>
        <v>1294.4751900000003</v>
      </c>
      <c r="Q107" s="545"/>
      <c r="R107" s="545">
        <f t="shared" ref="R107:R112" si="34">SUM(M107:P107)</f>
        <v>19462.730190000002</v>
      </c>
      <c r="S107" s="524"/>
    </row>
    <row r="108" spans="2:19" ht="15.5" x14ac:dyDescent="0.35">
      <c r="B108" s="556" t="s">
        <v>1436</v>
      </c>
      <c r="C108" s="550" t="s">
        <v>1437</v>
      </c>
      <c r="D108" s="557">
        <v>2</v>
      </c>
      <c r="E108" s="544">
        <v>20281.822499999998</v>
      </c>
      <c r="F108" s="545"/>
      <c r="G108" s="545">
        <f t="shared" si="29"/>
        <v>1586.1475049999999</v>
      </c>
      <c r="H108" s="545"/>
      <c r="I108" s="545">
        <f t="shared" si="30"/>
        <v>4802.7355680000001</v>
      </c>
      <c r="J108" s="545"/>
      <c r="K108" s="545">
        <f t="shared" si="31"/>
        <v>26670.822499999998</v>
      </c>
      <c r="L108" s="546"/>
      <c r="M108" s="545">
        <f t="shared" si="32"/>
        <v>20281.822499999998</v>
      </c>
      <c r="N108" s="545"/>
      <c r="O108" s="545"/>
      <c r="P108" s="545">
        <f t="shared" si="33"/>
        <v>1586.1475049999999</v>
      </c>
      <c r="Q108" s="545"/>
      <c r="R108" s="545">
        <f t="shared" si="34"/>
        <v>21867.970004999999</v>
      </c>
      <c r="S108" s="524"/>
    </row>
    <row r="109" spans="2:19" ht="15.5" x14ac:dyDescent="0.35">
      <c r="B109" s="558"/>
      <c r="C109" s="550"/>
      <c r="D109" s="557">
        <v>3</v>
      </c>
      <c r="E109" s="544">
        <v>22393.334999999999</v>
      </c>
      <c r="F109" s="545"/>
      <c r="G109" s="545">
        <f t="shared" si="29"/>
        <v>1877.5362299999999</v>
      </c>
      <c r="H109" s="545"/>
      <c r="I109" s="545">
        <f t="shared" si="30"/>
        <v>5302.741728</v>
      </c>
      <c r="J109" s="545"/>
      <c r="K109" s="545">
        <f t="shared" si="31"/>
        <v>29574.334999999999</v>
      </c>
      <c r="L109" s="546"/>
      <c r="M109" s="545">
        <f t="shared" si="32"/>
        <v>22393.334999999999</v>
      </c>
      <c r="N109" s="545"/>
      <c r="O109" s="545"/>
      <c r="P109" s="545">
        <f t="shared" si="33"/>
        <v>1877.5362299999999</v>
      </c>
      <c r="Q109" s="545"/>
      <c r="R109" s="545">
        <f t="shared" si="34"/>
        <v>24270.871230000001</v>
      </c>
      <c r="S109" s="524"/>
    </row>
    <row r="110" spans="2:19" ht="15.5" x14ac:dyDescent="0.35">
      <c r="B110" s="558"/>
      <c r="C110" s="550"/>
      <c r="D110" s="557">
        <v>4</v>
      </c>
      <c r="E110" s="544">
        <v>24506.9025</v>
      </c>
      <c r="F110" s="545"/>
      <c r="G110" s="545">
        <f t="shared" si="29"/>
        <v>2169.2085450000004</v>
      </c>
      <c r="H110" s="545"/>
      <c r="I110" s="545">
        <f t="shared" si="30"/>
        <v>5803.234512</v>
      </c>
      <c r="J110" s="545"/>
      <c r="K110" s="545">
        <f t="shared" si="31"/>
        <v>32478.9025</v>
      </c>
      <c r="L110" s="546"/>
      <c r="M110" s="545">
        <f t="shared" si="32"/>
        <v>24506.9025</v>
      </c>
      <c r="N110" s="545"/>
      <c r="O110" s="545"/>
      <c r="P110" s="545">
        <f t="shared" si="33"/>
        <v>2169.2085450000004</v>
      </c>
      <c r="Q110" s="545"/>
      <c r="R110" s="545">
        <f t="shared" si="34"/>
        <v>26676.111045000001</v>
      </c>
      <c r="S110" s="524"/>
    </row>
    <row r="111" spans="2:19" ht="15.5" x14ac:dyDescent="0.35">
      <c r="B111" s="555"/>
      <c r="C111" s="550"/>
      <c r="D111" s="557">
        <v>5</v>
      </c>
      <c r="E111" s="544">
        <v>26621.497499999998</v>
      </c>
      <c r="F111" s="545"/>
      <c r="G111" s="545">
        <f t="shared" si="29"/>
        <v>2461.0226549999998</v>
      </c>
      <c r="H111" s="545"/>
      <c r="I111" s="545">
        <f t="shared" si="30"/>
        <v>6303.9706079999996</v>
      </c>
      <c r="J111" s="545"/>
      <c r="K111" s="545">
        <f t="shared" si="31"/>
        <v>35386.497499999998</v>
      </c>
      <c r="L111" s="546"/>
      <c r="M111" s="545">
        <f t="shared" si="32"/>
        <v>26621.497499999998</v>
      </c>
      <c r="N111" s="545"/>
      <c r="O111" s="545"/>
      <c r="P111" s="545">
        <f t="shared" si="33"/>
        <v>2461.0226549999998</v>
      </c>
      <c r="Q111" s="545"/>
      <c r="R111" s="545">
        <f t="shared" si="34"/>
        <v>29082.520154999998</v>
      </c>
      <c r="S111" s="524"/>
    </row>
    <row r="112" spans="2:19" ht="15.5" x14ac:dyDescent="0.35">
      <c r="B112" s="555"/>
      <c r="C112" s="550"/>
      <c r="D112" s="557">
        <v>6</v>
      </c>
      <c r="E112" s="544">
        <v>28734.037499999999</v>
      </c>
      <c r="F112" s="545"/>
      <c r="G112" s="545">
        <f t="shared" si="29"/>
        <v>2752.553175</v>
      </c>
      <c r="H112" s="545"/>
      <c r="I112" s="545">
        <f t="shared" si="30"/>
        <v>6804.2200800000001</v>
      </c>
      <c r="J112" s="545"/>
      <c r="K112" s="545">
        <f t="shared" si="31"/>
        <v>38291.037499999999</v>
      </c>
      <c r="L112" s="546"/>
      <c r="M112" s="545">
        <f t="shared" si="32"/>
        <v>28734.037499999999</v>
      </c>
      <c r="N112" s="545"/>
      <c r="O112" s="545"/>
      <c r="P112" s="545">
        <f t="shared" si="33"/>
        <v>2752.553175</v>
      </c>
      <c r="Q112" s="545"/>
      <c r="R112" s="545">
        <f t="shared" si="34"/>
        <v>31486.590674999999</v>
      </c>
      <c r="S112" s="524"/>
    </row>
    <row r="113" spans="2:19" ht="15.5" x14ac:dyDescent="0.35">
      <c r="B113" s="555"/>
      <c r="C113" s="550"/>
      <c r="D113" s="557"/>
      <c r="E113" s="559"/>
      <c r="F113" s="559"/>
      <c r="G113" s="559"/>
      <c r="H113" s="559"/>
      <c r="I113" s="559"/>
      <c r="J113" s="559"/>
      <c r="K113" s="559"/>
      <c r="L113" s="560"/>
      <c r="M113" s="559"/>
      <c r="N113" s="559"/>
      <c r="O113" s="559"/>
      <c r="P113" s="559"/>
      <c r="Q113" s="559"/>
      <c r="R113" s="559"/>
      <c r="S113" s="524"/>
    </row>
    <row r="114" spans="2:19" ht="15.5" x14ac:dyDescent="0.35">
      <c r="B114" s="555"/>
      <c r="C114" s="550"/>
      <c r="D114" s="557"/>
      <c r="E114" s="559"/>
      <c r="F114" s="559"/>
      <c r="G114" s="559"/>
      <c r="H114" s="559"/>
      <c r="I114" s="559"/>
      <c r="J114" s="559"/>
      <c r="K114" s="559"/>
      <c r="L114" s="560"/>
      <c r="M114" s="559"/>
      <c r="N114" s="559"/>
      <c r="O114" s="559"/>
      <c r="P114" s="559"/>
      <c r="Q114" s="559"/>
      <c r="R114" s="559"/>
      <c r="S114" s="524"/>
    </row>
    <row r="115" spans="2:19" ht="16" thickBot="1" x14ac:dyDescent="0.4">
      <c r="B115" s="561"/>
      <c r="C115" s="562"/>
      <c r="D115" s="563"/>
      <c r="E115" s="564"/>
      <c r="F115" s="564"/>
      <c r="G115" s="564"/>
      <c r="H115" s="564"/>
      <c r="I115" s="564"/>
      <c r="J115" s="564"/>
      <c r="K115" s="564"/>
      <c r="L115" s="565"/>
      <c r="M115" s="566"/>
      <c r="N115" s="564"/>
      <c r="O115" s="564"/>
      <c r="P115" s="564"/>
      <c r="Q115" s="564"/>
      <c r="R115" s="564"/>
      <c r="S115" s="537"/>
    </row>
    <row r="118" spans="2:19" ht="15.5" x14ac:dyDescent="0.35">
      <c r="B118" s="517"/>
      <c r="C118" s="518"/>
      <c r="D118" s="518"/>
      <c r="E118" s="519" t="s">
        <v>1412</v>
      </c>
      <c r="F118" s="520"/>
      <c r="G118" s="519"/>
      <c r="H118" s="520"/>
      <c r="I118" s="519"/>
      <c r="J118" s="520"/>
      <c r="K118" s="519"/>
      <c r="L118" s="521"/>
      <c r="M118" s="522" t="s">
        <v>1413</v>
      </c>
      <c r="N118" s="523"/>
      <c r="O118" s="523"/>
      <c r="P118" s="523"/>
      <c r="Q118" s="523"/>
      <c r="R118" s="523"/>
      <c r="S118" s="524"/>
    </row>
    <row r="119" spans="2:19" ht="15.5" x14ac:dyDescent="0.35">
      <c r="B119" s="517"/>
      <c r="C119" s="525" t="s">
        <v>1414</v>
      </c>
      <c r="D119" s="525" t="s">
        <v>1415</v>
      </c>
      <c r="E119" s="526" t="s">
        <v>1416</v>
      </c>
      <c r="F119" s="525"/>
      <c r="G119" s="527" t="s">
        <v>1417</v>
      </c>
      <c r="H119" s="525"/>
      <c r="I119" s="526" t="s">
        <v>1418</v>
      </c>
      <c r="J119" s="525"/>
      <c r="K119" s="526" t="s">
        <v>357</v>
      </c>
      <c r="L119" s="528"/>
      <c r="M119" s="529" t="s">
        <v>1416</v>
      </c>
      <c r="N119" s="525"/>
      <c r="O119" s="525"/>
      <c r="P119" s="527" t="s">
        <v>1417</v>
      </c>
      <c r="Q119" s="525"/>
      <c r="R119" s="530" t="s">
        <v>357</v>
      </c>
      <c r="S119" s="524"/>
    </row>
    <row r="120" spans="2:19" ht="16" thickBot="1" x14ac:dyDescent="0.4">
      <c r="B120" s="534"/>
      <c r="C120" s="535"/>
      <c r="D120" s="535"/>
      <c r="E120" s="535"/>
      <c r="F120" s="535"/>
      <c r="G120" s="535"/>
      <c r="H120" s="535"/>
      <c r="I120" s="535"/>
      <c r="J120" s="535"/>
      <c r="K120" s="535"/>
      <c r="L120" s="535"/>
      <c r="M120" s="536"/>
      <c r="N120" s="535"/>
      <c r="O120" s="535"/>
      <c r="P120" s="535"/>
      <c r="Q120" s="535"/>
      <c r="R120" s="535"/>
      <c r="S120" s="537"/>
    </row>
    <row r="121" spans="2:19" ht="15.5" x14ac:dyDescent="0.35">
      <c r="B121" s="540"/>
      <c r="C121" s="541"/>
      <c r="D121" s="541"/>
      <c r="E121" s="541"/>
      <c r="F121" s="541"/>
      <c r="G121" s="541"/>
      <c r="H121" s="541"/>
      <c r="I121" s="541"/>
      <c r="J121" s="541"/>
      <c r="K121" s="541"/>
      <c r="L121" s="542"/>
      <c r="M121" s="541"/>
      <c r="N121" s="541"/>
      <c r="O121" s="541"/>
      <c r="P121" s="541"/>
      <c r="Q121" s="541"/>
      <c r="R121" s="541"/>
      <c r="S121" s="542"/>
    </row>
    <row r="122" spans="2:19" ht="15.5" x14ac:dyDescent="0.35">
      <c r="B122" s="517"/>
      <c r="C122" s="518" t="s">
        <v>1419</v>
      </c>
      <c r="D122" s="543">
        <v>1</v>
      </c>
      <c r="E122" s="544">
        <v>25713.514999999999</v>
      </c>
      <c r="F122" s="545"/>
      <c r="G122" s="545">
        <f t="shared" ref="G122:G127" si="35">IF($M122&gt;$U$11,($E122-$U$11)*$W$11,"ERROR")</f>
        <v>2335.7210700000001</v>
      </c>
      <c r="H122" s="545"/>
      <c r="I122" s="545">
        <f t="shared" ref="I122:I127" si="36">$E122*$V$13</f>
        <v>6088.9603520000001</v>
      </c>
      <c r="J122" s="545"/>
      <c r="K122" s="545">
        <f t="shared" ref="K122:K127" si="37">E122+ROUND(G122,0)+ROUND(I122,0)</f>
        <v>34138.514999999999</v>
      </c>
      <c r="L122" s="546"/>
      <c r="M122" s="545">
        <f t="shared" ref="M122:M127" si="38">E122</f>
        <v>25713.514999999999</v>
      </c>
      <c r="N122" s="545"/>
      <c r="O122" s="545"/>
      <c r="P122" s="545">
        <f t="shared" ref="P122:P127" si="39">IF($M122&gt;$U$11,($M122-$U$11)*$W$11,"ERROR")</f>
        <v>2335.7210700000001</v>
      </c>
      <c r="Q122" s="545"/>
      <c r="R122" s="545">
        <f t="shared" ref="R122:R127" si="40">SUM(M122:P122)</f>
        <v>28049.236069999999</v>
      </c>
      <c r="S122" s="524"/>
    </row>
    <row r="123" spans="2:19" ht="15.5" x14ac:dyDescent="0.35">
      <c r="B123" s="549"/>
      <c r="C123" s="550"/>
      <c r="D123" s="543">
        <v>2</v>
      </c>
      <c r="E123" s="544">
        <v>27599.751000000004</v>
      </c>
      <c r="F123" s="545"/>
      <c r="G123" s="545">
        <f t="shared" si="35"/>
        <v>2596.0216380000006</v>
      </c>
      <c r="H123" s="545"/>
      <c r="I123" s="545">
        <f t="shared" si="36"/>
        <v>6535.6210368000011</v>
      </c>
      <c r="J123" s="545"/>
      <c r="K123" s="545">
        <f t="shared" si="37"/>
        <v>36731.751000000004</v>
      </c>
      <c r="L123" s="546"/>
      <c r="M123" s="545">
        <f t="shared" si="38"/>
        <v>27599.751000000004</v>
      </c>
      <c r="N123" s="545"/>
      <c r="O123" s="545"/>
      <c r="P123" s="545">
        <f t="shared" si="39"/>
        <v>2596.0216380000006</v>
      </c>
      <c r="Q123" s="545"/>
      <c r="R123" s="545">
        <f t="shared" si="40"/>
        <v>30195.772638000006</v>
      </c>
      <c r="S123" s="524"/>
    </row>
    <row r="124" spans="2:19" ht="15.5" x14ac:dyDescent="0.35">
      <c r="B124" s="549"/>
      <c r="C124" s="550"/>
      <c r="D124" s="543">
        <v>3</v>
      </c>
      <c r="E124" s="544">
        <v>29663.172000000002</v>
      </c>
      <c r="F124" s="545"/>
      <c r="G124" s="545">
        <f>IF($M124&gt;$U$11,($E124-$U$11)*$W$11,"ERROR")</f>
        <v>2880.7737360000006</v>
      </c>
      <c r="H124" s="545"/>
      <c r="I124" s="545">
        <f t="shared" si="36"/>
        <v>7024.2391296000005</v>
      </c>
      <c r="J124" s="545"/>
      <c r="K124" s="545">
        <f t="shared" si="37"/>
        <v>39568.172000000006</v>
      </c>
      <c r="L124" s="546"/>
      <c r="M124" s="545">
        <f t="shared" si="38"/>
        <v>29663.172000000002</v>
      </c>
      <c r="N124" s="545"/>
      <c r="O124" s="545"/>
      <c r="P124" s="545">
        <f t="shared" si="39"/>
        <v>2880.7737360000006</v>
      </c>
      <c r="Q124" s="545"/>
      <c r="R124" s="545">
        <f t="shared" si="40"/>
        <v>32543.945736000001</v>
      </c>
      <c r="S124" s="524"/>
    </row>
    <row r="125" spans="2:19" ht="15.5" x14ac:dyDescent="0.35">
      <c r="B125" s="549"/>
      <c r="C125" s="550"/>
      <c r="D125" s="543">
        <v>4</v>
      </c>
      <c r="E125" s="544">
        <v>31777.0615</v>
      </c>
      <c r="F125" s="545"/>
      <c r="G125" s="545">
        <f t="shared" si="35"/>
        <v>3172.490487</v>
      </c>
      <c r="H125" s="545"/>
      <c r="I125" s="545">
        <f t="shared" si="36"/>
        <v>7524.8081632000003</v>
      </c>
      <c r="J125" s="545"/>
      <c r="K125" s="545">
        <f t="shared" si="37"/>
        <v>42474.061499999996</v>
      </c>
      <c r="L125" s="546"/>
      <c r="M125" s="545">
        <f t="shared" si="38"/>
        <v>31777.0615</v>
      </c>
      <c r="N125" s="545"/>
      <c r="O125" s="545"/>
      <c r="P125" s="545">
        <f t="shared" si="39"/>
        <v>3172.490487</v>
      </c>
      <c r="Q125" s="545"/>
      <c r="R125" s="545">
        <f t="shared" si="40"/>
        <v>34949.551986999999</v>
      </c>
      <c r="S125" s="524"/>
    </row>
    <row r="126" spans="2:19" ht="15.5" x14ac:dyDescent="0.35">
      <c r="B126" s="549"/>
      <c r="C126" s="550"/>
      <c r="D126" s="543">
        <v>5</v>
      </c>
      <c r="E126" s="791">
        <f>34099.33-((34099.33-E125)*0.29)+E53</f>
        <v>35695.872134999998</v>
      </c>
      <c r="F126" s="545"/>
      <c r="G126" s="545">
        <f t="shared" si="35"/>
        <v>3713.28635463</v>
      </c>
      <c r="H126" s="545"/>
      <c r="I126" s="545">
        <f t="shared" si="36"/>
        <v>8452.7825215680004</v>
      </c>
      <c r="J126" s="545"/>
      <c r="K126" s="545">
        <f t="shared" si="37"/>
        <v>47861.872134999998</v>
      </c>
      <c r="L126" s="546"/>
      <c r="M126" s="545">
        <f t="shared" si="38"/>
        <v>35695.872134999998</v>
      </c>
      <c r="N126" s="545"/>
      <c r="O126" s="545"/>
      <c r="P126" s="545">
        <f t="shared" si="39"/>
        <v>3713.28635463</v>
      </c>
      <c r="Q126" s="545"/>
      <c r="R126" s="545">
        <f t="shared" si="40"/>
        <v>39409.158489629997</v>
      </c>
      <c r="S126" s="524"/>
    </row>
    <row r="127" spans="2:19" ht="15.5" x14ac:dyDescent="0.35">
      <c r="B127" s="549"/>
      <c r="C127" s="550"/>
      <c r="D127" s="543">
        <v>6</v>
      </c>
      <c r="E127" s="544">
        <v>36960.202499999999</v>
      </c>
      <c r="F127" s="545"/>
      <c r="G127" s="545">
        <f t="shared" si="35"/>
        <v>3887.7639450000001</v>
      </c>
      <c r="H127" s="545"/>
      <c r="I127" s="545">
        <f t="shared" si="36"/>
        <v>8752.1759519999996</v>
      </c>
      <c r="J127" s="545"/>
      <c r="K127" s="545">
        <f t="shared" si="37"/>
        <v>49600.202499999999</v>
      </c>
      <c r="L127" s="546"/>
      <c r="M127" s="545">
        <f t="shared" si="38"/>
        <v>36960.202499999999</v>
      </c>
      <c r="N127" s="545"/>
      <c r="O127" s="545"/>
      <c r="P127" s="545">
        <f t="shared" si="39"/>
        <v>3887.7639450000001</v>
      </c>
      <c r="Q127" s="545"/>
      <c r="R127" s="545">
        <f t="shared" si="40"/>
        <v>40847.966444999998</v>
      </c>
      <c r="S127" s="524"/>
    </row>
    <row r="128" spans="2:19" ht="15.5" x14ac:dyDescent="0.35">
      <c r="B128" s="553" t="s">
        <v>1424</v>
      </c>
      <c r="C128" s="550"/>
      <c r="D128" s="543"/>
      <c r="E128" s="544"/>
      <c r="F128" s="545"/>
      <c r="G128" s="545"/>
      <c r="H128" s="545"/>
      <c r="I128" s="545"/>
      <c r="J128" s="545"/>
      <c r="K128" s="545"/>
      <c r="L128" s="546"/>
      <c r="M128" s="554" t="s">
        <v>1425</v>
      </c>
      <c r="N128" s="545"/>
      <c r="O128" s="545"/>
      <c r="P128" s="545"/>
      <c r="Q128" s="545"/>
      <c r="R128" s="545"/>
      <c r="S128" s="524"/>
    </row>
    <row r="129" spans="2:19" ht="15.5" x14ac:dyDescent="0.35">
      <c r="B129" s="549"/>
      <c r="C129" s="550" t="s">
        <v>1426</v>
      </c>
      <c r="D129" s="543">
        <v>1</v>
      </c>
      <c r="E129" s="544">
        <v>38689.485000000001</v>
      </c>
      <c r="F129" s="545"/>
      <c r="G129" s="545">
        <f>IF($M129&gt;$U$11,($E129-$U$11)*$W$11,"ERROR")</f>
        <v>4126.4049300000006</v>
      </c>
      <c r="H129" s="545"/>
      <c r="I129" s="545">
        <f>$E129*$V$13</f>
        <v>9161.670048</v>
      </c>
      <c r="J129" s="545"/>
      <c r="K129" s="545">
        <f>E129+ROUND(G129,0)+ROUND(I129,0)</f>
        <v>51977.485000000001</v>
      </c>
      <c r="L129" s="546"/>
      <c r="M129" s="545">
        <f>E129</f>
        <v>38689.485000000001</v>
      </c>
      <c r="N129" s="545"/>
      <c r="O129" s="545"/>
      <c r="P129" s="545">
        <f>IF($M129&gt;$U$11,($M129-$U$11)*$W$11,"ERROR")</f>
        <v>4126.4049300000006</v>
      </c>
      <c r="Q129" s="545"/>
      <c r="R129" s="545">
        <f>SUM(M129:P129)</f>
        <v>42815.889930000005</v>
      </c>
      <c r="S129" s="524"/>
    </row>
    <row r="130" spans="2:19" ht="15.5" x14ac:dyDescent="0.35">
      <c r="B130" s="549"/>
      <c r="C130" s="550" t="s">
        <v>1428</v>
      </c>
      <c r="D130" s="543">
        <v>2</v>
      </c>
      <c r="E130" s="544">
        <v>40123.875</v>
      </c>
      <c r="F130" s="545"/>
      <c r="G130" s="545">
        <f>IF($M130&gt;$U$11,($E130-$U$11)*$W$11,"ERROR")</f>
        <v>4324.3507500000005</v>
      </c>
      <c r="H130" s="545"/>
      <c r="I130" s="545">
        <f>$E130*$V$13</f>
        <v>9501.3335999999999</v>
      </c>
      <c r="J130" s="545"/>
      <c r="K130" s="545">
        <f>E130+ROUND(G130,0)+ROUND(I130,0)</f>
        <v>53948.875</v>
      </c>
      <c r="L130" s="546"/>
      <c r="M130" s="545">
        <f>E130</f>
        <v>40123.875</v>
      </c>
      <c r="N130" s="545"/>
      <c r="O130" s="545"/>
      <c r="P130" s="545">
        <f>IF($M130&gt;$U$11,($M130-$U$11)*$W$11,"ERROR")</f>
        <v>4324.3507500000005</v>
      </c>
      <c r="Q130" s="545"/>
      <c r="R130" s="545">
        <f>SUM(M130:P130)</f>
        <v>44448.225749999998</v>
      </c>
      <c r="S130" s="524"/>
    </row>
    <row r="131" spans="2:19" ht="15.5" x14ac:dyDescent="0.35">
      <c r="B131" s="549"/>
      <c r="C131" s="550"/>
      <c r="D131" s="543">
        <v>3</v>
      </c>
      <c r="E131" s="544">
        <v>41603.474999999999</v>
      </c>
      <c r="F131" s="545"/>
      <c r="G131" s="545">
        <f>IF($M131&gt;$U$11,($E131-$U$11)*$W$11,"ERROR")</f>
        <v>4528.5355500000005</v>
      </c>
      <c r="H131" s="545"/>
      <c r="I131" s="545">
        <f>$E131*$V$13</f>
        <v>9851.7028800000007</v>
      </c>
      <c r="J131" s="545"/>
      <c r="K131" s="545">
        <f>E131+ROUND(G131,0)+ROUND(I131,0)</f>
        <v>55984.474999999999</v>
      </c>
      <c r="L131" s="546"/>
      <c r="M131" s="545">
        <f>E131</f>
        <v>41603.474999999999</v>
      </c>
      <c r="N131" s="545"/>
      <c r="O131" s="545"/>
      <c r="P131" s="545">
        <f>IF($M131&gt;$U$11,($M131-$U$11)*$W$11,"ERROR")</f>
        <v>4528.5355500000005</v>
      </c>
      <c r="Q131" s="545"/>
      <c r="R131" s="545">
        <f>SUM(M131:P131)</f>
        <v>46132.010549999999</v>
      </c>
      <c r="S131" s="524"/>
    </row>
    <row r="132" spans="2:19" ht="15.5" x14ac:dyDescent="0.35">
      <c r="B132" s="549"/>
      <c r="C132" s="550"/>
      <c r="D132" s="543"/>
      <c r="E132" s="544"/>
      <c r="F132" s="545"/>
      <c r="G132" s="545"/>
      <c r="H132" s="545"/>
      <c r="I132" s="545"/>
      <c r="J132" s="545"/>
      <c r="K132" s="545"/>
      <c r="L132" s="546"/>
      <c r="M132" s="545"/>
      <c r="N132" s="545"/>
      <c r="O132" s="545"/>
      <c r="P132" s="545"/>
      <c r="Q132" s="545"/>
      <c r="R132" s="545"/>
      <c r="S132" s="524"/>
    </row>
    <row r="133" spans="2:19" ht="15.5" x14ac:dyDescent="0.35">
      <c r="B133" s="553" t="s">
        <v>1431</v>
      </c>
      <c r="C133" s="550"/>
      <c r="D133" s="543"/>
      <c r="E133" s="544"/>
      <c r="F133" s="545"/>
      <c r="G133" s="545"/>
      <c r="H133" s="545"/>
      <c r="I133" s="545"/>
      <c r="J133" s="545"/>
      <c r="K133" s="545"/>
      <c r="L133" s="546"/>
      <c r="M133" s="554" t="s">
        <v>1425</v>
      </c>
      <c r="N133" s="545"/>
      <c r="O133" s="545"/>
      <c r="P133" s="545"/>
      <c r="Q133" s="545"/>
      <c r="R133" s="545"/>
      <c r="S133" s="524"/>
    </row>
    <row r="134" spans="2:19" ht="15.5" x14ac:dyDescent="0.35">
      <c r="B134" s="555"/>
      <c r="C134" s="550"/>
      <c r="D134" s="521"/>
      <c r="E134" s="544"/>
      <c r="F134" s="545"/>
      <c r="G134" s="545"/>
      <c r="H134" s="545"/>
      <c r="I134" s="545"/>
      <c r="J134" s="545"/>
      <c r="K134" s="545"/>
      <c r="L134" s="546"/>
      <c r="M134" s="545"/>
      <c r="N134" s="545"/>
      <c r="O134" s="545"/>
      <c r="P134" s="545"/>
      <c r="Q134" s="545"/>
      <c r="R134" s="545"/>
      <c r="S134" s="524"/>
    </row>
    <row r="135" spans="2:19" ht="15.5" x14ac:dyDescent="0.35">
      <c r="B135" s="556" t="s">
        <v>1434</v>
      </c>
      <c r="C135" s="550" t="s">
        <v>1435</v>
      </c>
      <c r="D135" s="557">
        <v>1</v>
      </c>
      <c r="E135" s="544">
        <v>18168.255000000001</v>
      </c>
      <c r="F135" s="545"/>
      <c r="G135" s="545">
        <f t="shared" ref="G135:G140" si="41">IF($M135&gt;$U$11,($E135-$U$11)*$W$11,"ERROR")</f>
        <v>1294.4751900000003</v>
      </c>
      <c r="H135" s="545"/>
      <c r="I135" s="545">
        <f t="shared" ref="I135:I140" si="42">$E135*$V$13</f>
        <v>4302.242784</v>
      </c>
      <c r="J135" s="545"/>
      <c r="K135" s="545">
        <f t="shared" ref="K135:K140" si="43">E135+ROUND(G135,0)+ROUND(I135,0)</f>
        <v>23764.255000000001</v>
      </c>
      <c r="L135" s="546"/>
      <c r="M135" s="545">
        <f t="shared" ref="M135:M140" si="44">E135</f>
        <v>18168.255000000001</v>
      </c>
      <c r="N135" s="545"/>
      <c r="O135" s="545"/>
      <c r="P135" s="545">
        <f t="shared" ref="P135:P140" si="45">IF($M135&gt;$U$11,($M135-$U$11)*$W$11,"ERROR")</f>
        <v>1294.4751900000003</v>
      </c>
      <c r="Q135" s="545"/>
      <c r="R135" s="545">
        <f t="shared" ref="R135:R140" si="46">SUM(M135:P135)</f>
        <v>19462.730190000002</v>
      </c>
      <c r="S135" s="524"/>
    </row>
    <row r="136" spans="2:19" ht="15.5" x14ac:dyDescent="0.35">
      <c r="B136" s="556" t="s">
        <v>1436</v>
      </c>
      <c r="C136" s="550" t="s">
        <v>1437</v>
      </c>
      <c r="D136" s="557">
        <v>2</v>
      </c>
      <c r="E136" s="544">
        <v>20281.822499999998</v>
      </c>
      <c r="F136" s="545"/>
      <c r="G136" s="545">
        <f t="shared" si="41"/>
        <v>1586.1475049999999</v>
      </c>
      <c r="H136" s="545"/>
      <c r="I136" s="545">
        <f t="shared" si="42"/>
        <v>4802.7355680000001</v>
      </c>
      <c r="J136" s="545"/>
      <c r="K136" s="545">
        <f t="shared" si="43"/>
        <v>26670.822499999998</v>
      </c>
      <c r="L136" s="546"/>
      <c r="M136" s="545">
        <f t="shared" si="44"/>
        <v>20281.822499999998</v>
      </c>
      <c r="N136" s="545"/>
      <c r="O136" s="545"/>
      <c r="P136" s="545">
        <f t="shared" si="45"/>
        <v>1586.1475049999999</v>
      </c>
      <c r="Q136" s="545"/>
      <c r="R136" s="545">
        <f t="shared" si="46"/>
        <v>21867.970004999999</v>
      </c>
      <c r="S136" s="524"/>
    </row>
    <row r="137" spans="2:19" ht="15.5" x14ac:dyDescent="0.35">
      <c r="B137" s="558"/>
      <c r="C137" s="550"/>
      <c r="D137" s="557">
        <v>3</v>
      </c>
      <c r="E137" s="544">
        <v>22393.334999999999</v>
      </c>
      <c r="F137" s="545"/>
      <c r="G137" s="545">
        <f t="shared" si="41"/>
        <v>1877.5362299999999</v>
      </c>
      <c r="H137" s="545"/>
      <c r="I137" s="545">
        <f t="shared" si="42"/>
        <v>5302.741728</v>
      </c>
      <c r="J137" s="545"/>
      <c r="K137" s="545">
        <f t="shared" si="43"/>
        <v>29574.334999999999</v>
      </c>
      <c r="L137" s="546"/>
      <c r="M137" s="545">
        <f t="shared" si="44"/>
        <v>22393.334999999999</v>
      </c>
      <c r="N137" s="545"/>
      <c r="O137" s="545"/>
      <c r="P137" s="545">
        <f t="shared" si="45"/>
        <v>1877.5362299999999</v>
      </c>
      <c r="Q137" s="545"/>
      <c r="R137" s="545">
        <f t="shared" si="46"/>
        <v>24270.871230000001</v>
      </c>
      <c r="S137" s="524"/>
    </row>
    <row r="138" spans="2:19" ht="15.5" x14ac:dyDescent="0.35">
      <c r="B138" s="558"/>
      <c r="C138" s="550"/>
      <c r="D138" s="557">
        <v>4</v>
      </c>
      <c r="E138" s="544">
        <v>24506.9025</v>
      </c>
      <c r="F138" s="545"/>
      <c r="G138" s="545">
        <f t="shared" si="41"/>
        <v>2169.2085450000004</v>
      </c>
      <c r="H138" s="545"/>
      <c r="I138" s="545">
        <f t="shared" si="42"/>
        <v>5803.234512</v>
      </c>
      <c r="J138" s="545"/>
      <c r="K138" s="545">
        <f t="shared" si="43"/>
        <v>32478.9025</v>
      </c>
      <c r="L138" s="546"/>
      <c r="M138" s="545">
        <f t="shared" si="44"/>
        <v>24506.9025</v>
      </c>
      <c r="N138" s="545"/>
      <c r="O138" s="545"/>
      <c r="P138" s="545">
        <f t="shared" si="45"/>
        <v>2169.2085450000004</v>
      </c>
      <c r="Q138" s="545"/>
      <c r="R138" s="545">
        <f t="shared" si="46"/>
        <v>26676.111045000001</v>
      </c>
      <c r="S138" s="524"/>
    </row>
    <row r="139" spans="2:19" ht="15.5" x14ac:dyDescent="0.35">
      <c r="B139" s="555"/>
      <c r="C139" s="550"/>
      <c r="D139" s="557">
        <v>5</v>
      </c>
      <c r="E139" s="544">
        <v>26621.497499999998</v>
      </c>
      <c r="F139" s="545"/>
      <c r="G139" s="545">
        <f t="shared" si="41"/>
        <v>2461.0226549999998</v>
      </c>
      <c r="H139" s="545"/>
      <c r="I139" s="545">
        <f t="shared" si="42"/>
        <v>6303.9706079999996</v>
      </c>
      <c r="J139" s="545"/>
      <c r="K139" s="545">
        <f t="shared" si="43"/>
        <v>35386.497499999998</v>
      </c>
      <c r="L139" s="546"/>
      <c r="M139" s="545">
        <f t="shared" si="44"/>
        <v>26621.497499999998</v>
      </c>
      <c r="N139" s="545"/>
      <c r="O139" s="545"/>
      <c r="P139" s="545">
        <f t="shared" si="45"/>
        <v>2461.0226549999998</v>
      </c>
      <c r="Q139" s="545"/>
      <c r="R139" s="545">
        <f t="shared" si="46"/>
        <v>29082.520154999998</v>
      </c>
      <c r="S139" s="524"/>
    </row>
    <row r="140" spans="2:19" ht="15.5" x14ac:dyDescent="0.35">
      <c r="B140" s="555"/>
      <c r="C140" s="550"/>
      <c r="D140" s="557">
        <v>6</v>
      </c>
      <c r="E140" s="544">
        <v>28734.037499999999</v>
      </c>
      <c r="F140" s="545"/>
      <c r="G140" s="545">
        <f t="shared" si="41"/>
        <v>2752.553175</v>
      </c>
      <c r="H140" s="545"/>
      <c r="I140" s="545">
        <f t="shared" si="42"/>
        <v>6804.2200800000001</v>
      </c>
      <c r="J140" s="545"/>
      <c r="K140" s="545">
        <f t="shared" si="43"/>
        <v>38291.037499999999</v>
      </c>
      <c r="L140" s="546"/>
      <c r="M140" s="545">
        <f t="shared" si="44"/>
        <v>28734.037499999999</v>
      </c>
      <c r="N140" s="545"/>
      <c r="O140" s="545"/>
      <c r="P140" s="545">
        <f t="shared" si="45"/>
        <v>2752.553175</v>
      </c>
      <c r="Q140" s="545"/>
      <c r="R140" s="545">
        <f t="shared" si="46"/>
        <v>31486.590674999999</v>
      </c>
      <c r="S140" s="524"/>
    </row>
    <row r="141" spans="2:19" ht="15.5" x14ac:dyDescent="0.35">
      <c r="B141" s="555"/>
      <c r="C141" s="550"/>
      <c r="D141" s="557"/>
      <c r="E141" s="559"/>
      <c r="F141" s="559"/>
      <c r="G141" s="559"/>
      <c r="H141" s="559"/>
      <c r="I141" s="559"/>
      <c r="J141" s="559"/>
      <c r="K141" s="559"/>
      <c r="L141" s="560"/>
      <c r="M141" s="559"/>
      <c r="N141" s="559"/>
      <c r="O141" s="559"/>
      <c r="P141" s="559"/>
      <c r="Q141" s="559"/>
      <c r="R141" s="559"/>
      <c r="S141" s="524"/>
    </row>
    <row r="142" spans="2:19" ht="15.5" x14ac:dyDescent="0.35">
      <c r="B142" s="555"/>
      <c r="C142" s="550"/>
      <c r="D142" s="557"/>
      <c r="E142" s="559"/>
      <c r="F142" s="559"/>
      <c r="G142" s="559"/>
      <c r="H142" s="559"/>
      <c r="I142" s="559"/>
      <c r="J142" s="559"/>
      <c r="K142" s="559"/>
      <c r="L142" s="560"/>
      <c r="M142" s="559"/>
      <c r="N142" s="559"/>
      <c r="O142" s="559"/>
      <c r="P142" s="559"/>
      <c r="Q142" s="559"/>
      <c r="R142" s="559"/>
      <c r="S142" s="524"/>
    </row>
    <row r="143" spans="2:19" ht="16" thickBot="1" x14ac:dyDescent="0.4">
      <c r="B143" s="561"/>
      <c r="C143" s="562"/>
      <c r="D143" s="563"/>
      <c r="E143" s="564"/>
      <c r="F143" s="564"/>
      <c r="G143" s="564"/>
      <c r="H143" s="564"/>
      <c r="I143" s="564"/>
      <c r="J143" s="564"/>
      <c r="K143" s="564"/>
      <c r="L143" s="565"/>
      <c r="M143" s="566"/>
      <c r="N143" s="564"/>
      <c r="O143" s="564"/>
      <c r="P143" s="564"/>
      <c r="Q143" s="564"/>
      <c r="R143" s="564"/>
      <c r="S143" s="537"/>
    </row>
    <row r="145" spans="2:19" ht="15.5" x14ac:dyDescent="0.35">
      <c r="B145" s="517"/>
      <c r="C145" s="518"/>
      <c r="D145" s="518"/>
      <c r="E145" s="519" t="s">
        <v>1412</v>
      </c>
      <c r="F145" s="520"/>
      <c r="G145" s="519"/>
      <c r="H145" s="520"/>
      <c r="I145" s="519"/>
      <c r="J145" s="520"/>
      <c r="K145" s="519"/>
      <c r="L145" s="521"/>
      <c r="M145" s="522" t="s">
        <v>1413</v>
      </c>
      <c r="N145" s="523"/>
      <c r="O145" s="523"/>
      <c r="P145" s="523"/>
      <c r="Q145" s="523"/>
      <c r="R145" s="523"/>
      <c r="S145" s="524"/>
    </row>
    <row r="146" spans="2:19" ht="15.5" x14ac:dyDescent="0.35">
      <c r="B146" s="517"/>
      <c r="C146" s="525" t="s">
        <v>1414</v>
      </c>
      <c r="D146" s="525" t="s">
        <v>1415</v>
      </c>
      <c r="E146" s="526" t="s">
        <v>1416</v>
      </c>
      <c r="F146" s="525"/>
      <c r="G146" s="527" t="s">
        <v>1417</v>
      </c>
      <c r="H146" s="525"/>
      <c r="I146" s="526" t="s">
        <v>1418</v>
      </c>
      <c r="J146" s="525"/>
      <c r="K146" s="526" t="s">
        <v>357</v>
      </c>
      <c r="L146" s="528"/>
      <c r="M146" s="529" t="s">
        <v>1416</v>
      </c>
      <c r="N146" s="525"/>
      <c r="O146" s="525"/>
      <c r="P146" s="527" t="s">
        <v>1417</v>
      </c>
      <c r="Q146" s="525"/>
      <c r="R146" s="530" t="s">
        <v>357</v>
      </c>
      <c r="S146" s="524"/>
    </row>
    <row r="147" spans="2:19" ht="16" thickBot="1" x14ac:dyDescent="0.4">
      <c r="B147" s="534"/>
      <c r="C147" s="535"/>
      <c r="D147" s="535"/>
      <c r="E147" s="535"/>
      <c r="F147" s="535"/>
      <c r="G147" s="535"/>
      <c r="H147" s="535"/>
      <c r="I147" s="535"/>
      <c r="J147" s="535"/>
      <c r="K147" s="535"/>
      <c r="L147" s="535"/>
      <c r="M147" s="536"/>
      <c r="N147" s="535"/>
      <c r="O147" s="535"/>
      <c r="P147" s="535"/>
      <c r="Q147" s="535"/>
      <c r="R147" s="535"/>
      <c r="S147" s="537"/>
    </row>
    <row r="148" spans="2:19" ht="15.5" x14ac:dyDescent="0.35">
      <c r="B148" s="540"/>
      <c r="C148" s="541"/>
      <c r="D148" s="541"/>
      <c r="E148" s="541"/>
      <c r="F148" s="541"/>
      <c r="G148" s="541"/>
      <c r="H148" s="541"/>
      <c r="I148" s="541"/>
      <c r="J148" s="541"/>
      <c r="K148" s="541"/>
      <c r="L148" s="542"/>
      <c r="M148" s="541"/>
      <c r="N148" s="541"/>
      <c r="O148" s="541"/>
      <c r="P148" s="541"/>
      <c r="Q148" s="541"/>
      <c r="R148" s="541"/>
      <c r="S148" s="542"/>
    </row>
    <row r="149" spans="2:19" ht="15.5" x14ac:dyDescent="0.35">
      <c r="B149" s="517"/>
      <c r="C149" s="518" t="s">
        <v>1419</v>
      </c>
      <c r="D149" s="543">
        <v>1</v>
      </c>
      <c r="E149" s="544">
        <v>25713.514999999999</v>
      </c>
      <c r="F149" s="545"/>
      <c r="G149" s="545">
        <f t="shared" ref="G149:G154" si="47">IF($M149&gt;$U$11,($E149-$U$11)*$W$11,"ERROR")</f>
        <v>2335.7210700000001</v>
      </c>
      <c r="H149" s="545"/>
      <c r="I149" s="545">
        <f t="shared" ref="I149:I154" si="48">$E149*$V$13</f>
        <v>6088.9603520000001</v>
      </c>
      <c r="J149" s="545"/>
      <c r="K149" s="545">
        <f t="shared" ref="K149:K154" si="49">E149+ROUND(G149,0)+ROUND(I149,0)</f>
        <v>34138.514999999999</v>
      </c>
      <c r="L149" s="546"/>
      <c r="M149" s="545">
        <f t="shared" ref="M149:M154" si="50">E149</f>
        <v>25713.514999999999</v>
      </c>
      <c r="N149" s="545"/>
      <c r="O149" s="545"/>
      <c r="P149" s="545">
        <f t="shared" ref="P149:P154" si="51">IF($M149&gt;$U$11,($M149-$U$11)*$W$11,"ERROR")</f>
        <v>2335.7210700000001</v>
      </c>
      <c r="Q149" s="545"/>
      <c r="R149" s="545">
        <f t="shared" ref="R149:R154" si="52">SUM(M149:P149)</f>
        <v>28049.236069999999</v>
      </c>
      <c r="S149" s="524"/>
    </row>
    <row r="150" spans="2:19" ht="15.5" x14ac:dyDescent="0.35">
      <c r="B150" s="549"/>
      <c r="C150" s="550"/>
      <c r="D150" s="543">
        <v>2</v>
      </c>
      <c r="E150" s="544">
        <v>27599.751000000004</v>
      </c>
      <c r="F150" s="545"/>
      <c r="G150" s="545">
        <f t="shared" si="47"/>
        <v>2596.0216380000006</v>
      </c>
      <c r="H150" s="545"/>
      <c r="I150" s="545">
        <f t="shared" si="48"/>
        <v>6535.6210368000011</v>
      </c>
      <c r="J150" s="545"/>
      <c r="K150" s="545">
        <f t="shared" si="49"/>
        <v>36731.751000000004</v>
      </c>
      <c r="L150" s="546"/>
      <c r="M150" s="545">
        <f t="shared" si="50"/>
        <v>27599.751000000004</v>
      </c>
      <c r="N150" s="545"/>
      <c r="O150" s="545"/>
      <c r="P150" s="545">
        <f t="shared" si="51"/>
        <v>2596.0216380000006</v>
      </c>
      <c r="Q150" s="545"/>
      <c r="R150" s="545">
        <f t="shared" si="52"/>
        <v>30195.772638000006</v>
      </c>
      <c r="S150" s="524"/>
    </row>
    <row r="151" spans="2:19" ht="15.5" x14ac:dyDescent="0.35">
      <c r="B151" s="549"/>
      <c r="C151" s="550"/>
      <c r="D151" s="543">
        <v>3</v>
      </c>
      <c r="E151" s="544">
        <v>29663.172000000002</v>
      </c>
      <c r="F151" s="545"/>
      <c r="G151" s="545">
        <f>IF($M151&gt;$U$11,($E151-$U$11)*$W$11,"ERROR")</f>
        <v>2880.7737360000006</v>
      </c>
      <c r="H151" s="545"/>
      <c r="I151" s="545">
        <f t="shared" si="48"/>
        <v>7024.2391296000005</v>
      </c>
      <c r="J151" s="545"/>
      <c r="K151" s="545">
        <f t="shared" si="49"/>
        <v>39568.172000000006</v>
      </c>
      <c r="L151" s="546"/>
      <c r="M151" s="545">
        <f t="shared" si="50"/>
        <v>29663.172000000002</v>
      </c>
      <c r="N151" s="545"/>
      <c r="O151" s="545"/>
      <c r="P151" s="545">
        <f t="shared" si="51"/>
        <v>2880.7737360000006</v>
      </c>
      <c r="Q151" s="545"/>
      <c r="R151" s="545">
        <f t="shared" si="52"/>
        <v>32543.945736000001</v>
      </c>
      <c r="S151" s="524"/>
    </row>
    <row r="152" spans="2:19" ht="15.5" x14ac:dyDescent="0.35">
      <c r="B152" s="549"/>
      <c r="C152" s="550"/>
      <c r="D152" s="543">
        <v>4</v>
      </c>
      <c r="E152" s="544">
        <v>31777.0615</v>
      </c>
      <c r="F152" s="545"/>
      <c r="G152" s="545">
        <f t="shared" si="47"/>
        <v>3172.490487</v>
      </c>
      <c r="H152" s="545"/>
      <c r="I152" s="545">
        <f t="shared" si="48"/>
        <v>7524.8081632000003</v>
      </c>
      <c r="J152" s="545"/>
      <c r="K152" s="545">
        <f t="shared" si="49"/>
        <v>42474.061499999996</v>
      </c>
      <c r="L152" s="546"/>
      <c r="M152" s="545">
        <f t="shared" si="50"/>
        <v>31777.0615</v>
      </c>
      <c r="N152" s="545"/>
      <c r="O152" s="545"/>
      <c r="P152" s="545">
        <f t="shared" si="51"/>
        <v>3172.490487</v>
      </c>
      <c r="Q152" s="545"/>
      <c r="R152" s="545">
        <f t="shared" si="52"/>
        <v>34949.551986999999</v>
      </c>
      <c r="S152" s="524"/>
    </row>
    <row r="153" spans="2:19" ht="15.5" x14ac:dyDescent="0.35">
      <c r="B153" s="549"/>
      <c r="C153" s="550"/>
      <c r="D153" s="543">
        <v>5</v>
      </c>
      <c r="E153" s="791">
        <f>34099.33-((34099.33-E152)*0.29)</f>
        <v>33425.872134999998</v>
      </c>
      <c r="F153" s="545"/>
      <c r="G153" s="545">
        <f t="shared" si="47"/>
        <v>3400.0263546299998</v>
      </c>
      <c r="H153" s="545"/>
      <c r="I153" s="545">
        <f t="shared" si="48"/>
        <v>7915.2465215679995</v>
      </c>
      <c r="J153" s="545"/>
      <c r="K153" s="545">
        <f t="shared" si="49"/>
        <v>44740.872134999998</v>
      </c>
      <c r="L153" s="546"/>
      <c r="M153" s="545">
        <f t="shared" si="50"/>
        <v>33425.872134999998</v>
      </c>
      <c r="N153" s="545"/>
      <c r="O153" s="545"/>
      <c r="P153" s="545">
        <f t="shared" si="51"/>
        <v>3400.0263546299998</v>
      </c>
      <c r="Q153" s="545"/>
      <c r="R153" s="545">
        <f t="shared" si="52"/>
        <v>36825.898489629995</v>
      </c>
      <c r="S153" s="524"/>
    </row>
    <row r="154" spans="2:19" ht="15.5" x14ac:dyDescent="0.35">
      <c r="B154" s="549"/>
      <c r="C154" s="550"/>
      <c r="D154" s="543">
        <v>6</v>
      </c>
      <c r="E154" s="544">
        <v>36960.202499999999</v>
      </c>
      <c r="F154" s="545"/>
      <c r="G154" s="545">
        <f t="shared" si="47"/>
        <v>3887.7639450000001</v>
      </c>
      <c r="H154" s="545"/>
      <c r="I154" s="545">
        <f t="shared" si="48"/>
        <v>8752.1759519999996</v>
      </c>
      <c r="J154" s="545"/>
      <c r="K154" s="545">
        <f t="shared" si="49"/>
        <v>49600.202499999999</v>
      </c>
      <c r="L154" s="546"/>
      <c r="M154" s="545">
        <f t="shared" si="50"/>
        <v>36960.202499999999</v>
      </c>
      <c r="N154" s="545"/>
      <c r="O154" s="545"/>
      <c r="P154" s="545">
        <f t="shared" si="51"/>
        <v>3887.7639450000001</v>
      </c>
      <c r="Q154" s="545"/>
      <c r="R154" s="545">
        <f t="shared" si="52"/>
        <v>40847.966444999998</v>
      </c>
      <c r="S154" s="524"/>
    </row>
    <row r="155" spans="2:19" ht="15.5" x14ac:dyDescent="0.35">
      <c r="B155" s="553" t="s">
        <v>1424</v>
      </c>
      <c r="C155" s="550"/>
      <c r="D155" s="543"/>
      <c r="E155" s="544"/>
      <c r="F155" s="545"/>
      <c r="G155" s="545"/>
      <c r="H155" s="545"/>
      <c r="I155" s="545"/>
      <c r="J155" s="545"/>
      <c r="K155" s="545"/>
      <c r="L155" s="546"/>
      <c r="M155" s="554" t="s">
        <v>1425</v>
      </c>
      <c r="N155" s="545"/>
      <c r="O155" s="545"/>
      <c r="P155" s="545"/>
      <c r="Q155" s="545"/>
      <c r="R155" s="545"/>
      <c r="S155" s="524"/>
    </row>
    <row r="156" spans="2:19" ht="15.5" x14ac:dyDescent="0.35">
      <c r="B156" s="549"/>
      <c r="C156" s="550" t="s">
        <v>1426</v>
      </c>
      <c r="D156" s="543">
        <v>1</v>
      </c>
      <c r="E156" s="544">
        <v>38689.485000000001</v>
      </c>
      <c r="F156" s="545"/>
      <c r="G156" s="545">
        <f>IF($M156&gt;$U$11,($E156-$U$11)*$W$11,"ERROR")</f>
        <v>4126.4049300000006</v>
      </c>
      <c r="H156" s="545"/>
      <c r="I156" s="545">
        <f>$E156*$V$13</f>
        <v>9161.670048</v>
      </c>
      <c r="J156" s="545"/>
      <c r="K156" s="545">
        <f>E156+ROUND(G156,0)+ROUND(I156,0)</f>
        <v>51977.485000000001</v>
      </c>
      <c r="L156" s="546"/>
      <c r="M156" s="545">
        <f>E156</f>
        <v>38689.485000000001</v>
      </c>
      <c r="N156" s="545"/>
      <c r="O156" s="545"/>
      <c r="P156" s="545">
        <f>IF($M156&gt;$U$11,($M156-$U$11)*$W$11,"ERROR")</f>
        <v>4126.4049300000006</v>
      </c>
      <c r="Q156" s="545"/>
      <c r="R156" s="545">
        <f>SUM(M156:P156)</f>
        <v>42815.889930000005</v>
      </c>
      <c r="S156" s="524"/>
    </row>
    <row r="157" spans="2:19" ht="15.5" x14ac:dyDescent="0.35">
      <c r="B157" s="549"/>
      <c r="C157" s="550" t="s">
        <v>1428</v>
      </c>
      <c r="D157" s="543">
        <v>2</v>
      </c>
      <c r="E157" s="544">
        <v>40123.875</v>
      </c>
      <c r="F157" s="545"/>
      <c r="G157" s="545">
        <f>IF($M157&gt;$U$11,($E157-$U$11)*$W$11,"ERROR")</f>
        <v>4324.3507500000005</v>
      </c>
      <c r="H157" s="545"/>
      <c r="I157" s="545">
        <f>$E157*$V$13</f>
        <v>9501.3335999999999</v>
      </c>
      <c r="J157" s="545"/>
      <c r="K157" s="545">
        <f>E157+ROUND(G157,0)+ROUND(I157,0)</f>
        <v>53948.875</v>
      </c>
      <c r="L157" s="546"/>
      <c r="M157" s="545">
        <f>E157</f>
        <v>40123.875</v>
      </c>
      <c r="N157" s="545"/>
      <c r="O157" s="545"/>
      <c r="P157" s="545">
        <f>IF($M157&gt;$U$11,($M157-$U$11)*$W$11,"ERROR")</f>
        <v>4324.3507500000005</v>
      </c>
      <c r="Q157" s="545"/>
      <c r="R157" s="545">
        <f>SUM(M157:P157)</f>
        <v>44448.225749999998</v>
      </c>
      <c r="S157" s="524"/>
    </row>
    <row r="158" spans="2:19" ht="15.5" x14ac:dyDescent="0.35">
      <c r="B158" s="549"/>
      <c r="C158" s="550"/>
      <c r="D158" s="543">
        <v>3</v>
      </c>
      <c r="E158" s="544">
        <v>41603.474999999999</v>
      </c>
      <c r="F158" s="545"/>
      <c r="G158" s="545">
        <f>IF($M158&gt;$U$11,($E158-$U$11)*$W$11,"ERROR")</f>
        <v>4528.5355500000005</v>
      </c>
      <c r="H158" s="545"/>
      <c r="I158" s="545">
        <f>$E158*$V$13</f>
        <v>9851.7028800000007</v>
      </c>
      <c r="J158" s="545"/>
      <c r="K158" s="545">
        <f>E158+ROUND(G158,0)+ROUND(I158,0)</f>
        <v>55984.474999999999</v>
      </c>
      <c r="L158" s="546"/>
      <c r="M158" s="545">
        <f>E158</f>
        <v>41603.474999999999</v>
      </c>
      <c r="N158" s="545"/>
      <c r="O158" s="545"/>
      <c r="P158" s="545">
        <f>IF($M158&gt;$U$11,($M158-$U$11)*$W$11,"ERROR")</f>
        <v>4528.5355500000005</v>
      </c>
      <c r="Q158" s="545"/>
      <c r="R158" s="545">
        <f>SUM(M158:P158)</f>
        <v>46132.010549999999</v>
      </c>
      <c r="S158" s="524"/>
    </row>
    <row r="159" spans="2:19" ht="15.5" x14ac:dyDescent="0.35">
      <c r="B159" s="549"/>
      <c r="C159" s="550"/>
      <c r="D159" s="543"/>
      <c r="E159" s="544"/>
      <c r="F159" s="545"/>
      <c r="G159" s="545"/>
      <c r="H159" s="545"/>
      <c r="I159" s="545"/>
      <c r="J159" s="545"/>
      <c r="K159" s="545"/>
      <c r="L159" s="546"/>
      <c r="M159" s="545"/>
      <c r="N159" s="545"/>
      <c r="O159" s="545"/>
      <c r="P159" s="545"/>
      <c r="Q159" s="545"/>
      <c r="R159" s="545"/>
      <c r="S159" s="524"/>
    </row>
    <row r="160" spans="2:19" ht="15.5" x14ac:dyDescent="0.35">
      <c r="B160" s="553" t="s">
        <v>1431</v>
      </c>
      <c r="C160" s="550"/>
      <c r="D160" s="543"/>
      <c r="E160" s="544"/>
      <c r="F160" s="545"/>
      <c r="G160" s="545"/>
      <c r="H160" s="545"/>
      <c r="I160" s="545"/>
      <c r="J160" s="545"/>
      <c r="K160" s="545"/>
      <c r="L160" s="546"/>
      <c r="M160" s="554" t="s">
        <v>1425</v>
      </c>
      <c r="N160" s="545"/>
      <c r="O160" s="545"/>
      <c r="P160" s="545"/>
      <c r="Q160" s="545"/>
      <c r="R160" s="545"/>
      <c r="S160" s="524"/>
    </row>
    <row r="161" spans="2:19" ht="15.5" x14ac:dyDescent="0.35">
      <c r="B161" s="555"/>
      <c r="C161" s="550"/>
      <c r="D161" s="521"/>
      <c r="E161" s="544"/>
      <c r="F161" s="545"/>
      <c r="G161" s="545"/>
      <c r="H161" s="545"/>
      <c r="I161" s="545"/>
      <c r="J161" s="545"/>
      <c r="K161" s="545"/>
      <c r="L161" s="546"/>
      <c r="M161" s="545"/>
      <c r="N161" s="545"/>
      <c r="O161" s="545"/>
      <c r="P161" s="545"/>
      <c r="Q161" s="545"/>
      <c r="R161" s="545"/>
      <c r="S161" s="524"/>
    </row>
    <row r="162" spans="2:19" ht="15.5" x14ac:dyDescent="0.35">
      <c r="B162" s="556" t="s">
        <v>1434</v>
      </c>
      <c r="C162" s="550" t="s">
        <v>1435</v>
      </c>
      <c r="D162" s="557">
        <v>1</v>
      </c>
      <c r="E162" s="544">
        <v>18168.255000000001</v>
      </c>
      <c r="F162" s="545"/>
      <c r="G162" s="545">
        <f t="shared" ref="G162:G167" si="53">IF($M162&gt;$U$11,($E162-$U$11)*$W$11,"ERROR")</f>
        <v>1294.4751900000003</v>
      </c>
      <c r="H162" s="545"/>
      <c r="I162" s="545">
        <f t="shared" ref="I162:I167" si="54">$E162*$V$13</f>
        <v>4302.242784</v>
      </c>
      <c r="J162" s="545"/>
      <c r="K162" s="545">
        <f t="shared" ref="K162:K167" si="55">E162+ROUND(G162,0)+ROUND(I162,0)</f>
        <v>23764.255000000001</v>
      </c>
      <c r="L162" s="546"/>
      <c r="M162" s="545">
        <f t="shared" ref="M162:M167" si="56">E162</f>
        <v>18168.255000000001</v>
      </c>
      <c r="N162" s="545"/>
      <c r="O162" s="545"/>
      <c r="P162" s="545">
        <f t="shared" ref="P162:P167" si="57">IF($M162&gt;$U$11,($M162-$U$11)*$W$11,"ERROR")</f>
        <v>1294.4751900000003</v>
      </c>
      <c r="Q162" s="545"/>
      <c r="R162" s="545">
        <f t="shared" ref="R162:R167" si="58">SUM(M162:P162)</f>
        <v>19462.730190000002</v>
      </c>
      <c r="S162" s="524"/>
    </row>
    <row r="163" spans="2:19" ht="15.5" x14ac:dyDescent="0.35">
      <c r="B163" s="556" t="s">
        <v>1436</v>
      </c>
      <c r="C163" s="550" t="s">
        <v>1437</v>
      </c>
      <c r="D163" s="557">
        <v>2</v>
      </c>
      <c r="E163" s="544">
        <v>20281.822499999998</v>
      </c>
      <c r="F163" s="545"/>
      <c r="G163" s="545">
        <f t="shared" si="53"/>
        <v>1586.1475049999999</v>
      </c>
      <c r="H163" s="545"/>
      <c r="I163" s="545">
        <f t="shared" si="54"/>
        <v>4802.7355680000001</v>
      </c>
      <c r="J163" s="545"/>
      <c r="K163" s="545">
        <f t="shared" si="55"/>
        <v>26670.822499999998</v>
      </c>
      <c r="L163" s="546"/>
      <c r="M163" s="545">
        <f t="shared" si="56"/>
        <v>20281.822499999998</v>
      </c>
      <c r="N163" s="545"/>
      <c r="O163" s="545"/>
      <c r="P163" s="545">
        <f t="shared" si="57"/>
        <v>1586.1475049999999</v>
      </c>
      <c r="Q163" s="545"/>
      <c r="R163" s="545">
        <f t="shared" si="58"/>
        <v>21867.970004999999</v>
      </c>
      <c r="S163" s="524"/>
    </row>
    <row r="164" spans="2:19" ht="15.5" x14ac:dyDescent="0.35">
      <c r="B164" s="558"/>
      <c r="C164" s="550"/>
      <c r="D164" s="557">
        <v>3</v>
      </c>
      <c r="E164" s="544">
        <v>22393.334999999999</v>
      </c>
      <c r="F164" s="545"/>
      <c r="G164" s="545">
        <f t="shared" si="53"/>
        <v>1877.5362299999999</v>
      </c>
      <c r="H164" s="545"/>
      <c r="I164" s="545">
        <f t="shared" si="54"/>
        <v>5302.741728</v>
      </c>
      <c r="J164" s="545"/>
      <c r="K164" s="545">
        <f t="shared" si="55"/>
        <v>29574.334999999999</v>
      </c>
      <c r="L164" s="546"/>
      <c r="M164" s="545">
        <f t="shared" si="56"/>
        <v>22393.334999999999</v>
      </c>
      <c r="N164" s="545"/>
      <c r="O164" s="545"/>
      <c r="P164" s="545">
        <f t="shared" si="57"/>
        <v>1877.5362299999999</v>
      </c>
      <c r="Q164" s="545"/>
      <c r="R164" s="545">
        <f t="shared" si="58"/>
        <v>24270.871230000001</v>
      </c>
      <c r="S164" s="524"/>
    </row>
    <row r="165" spans="2:19" ht="15.5" x14ac:dyDescent="0.35">
      <c r="B165" s="558"/>
      <c r="C165" s="550"/>
      <c r="D165" s="557">
        <v>4</v>
      </c>
      <c r="E165" s="544">
        <v>24506.9025</v>
      </c>
      <c r="F165" s="545"/>
      <c r="G165" s="545">
        <f t="shared" si="53"/>
        <v>2169.2085450000004</v>
      </c>
      <c r="H165" s="545"/>
      <c r="I165" s="545">
        <f t="shared" si="54"/>
        <v>5803.234512</v>
      </c>
      <c r="J165" s="545"/>
      <c r="K165" s="545">
        <f t="shared" si="55"/>
        <v>32478.9025</v>
      </c>
      <c r="L165" s="546"/>
      <c r="M165" s="545">
        <f t="shared" si="56"/>
        <v>24506.9025</v>
      </c>
      <c r="N165" s="545"/>
      <c r="O165" s="545"/>
      <c r="P165" s="545">
        <f t="shared" si="57"/>
        <v>2169.2085450000004</v>
      </c>
      <c r="Q165" s="545"/>
      <c r="R165" s="545">
        <f t="shared" si="58"/>
        <v>26676.111045000001</v>
      </c>
      <c r="S165" s="524"/>
    </row>
    <row r="166" spans="2:19" ht="15.5" x14ac:dyDescent="0.35">
      <c r="B166" s="555"/>
      <c r="C166" s="550"/>
      <c r="D166" s="557">
        <v>5</v>
      </c>
      <c r="E166" s="544">
        <v>26621.497499999998</v>
      </c>
      <c r="F166" s="545"/>
      <c r="G166" s="545">
        <f t="shared" si="53"/>
        <v>2461.0226549999998</v>
      </c>
      <c r="H166" s="545"/>
      <c r="I166" s="545">
        <f t="shared" si="54"/>
        <v>6303.9706079999996</v>
      </c>
      <c r="J166" s="545"/>
      <c r="K166" s="545">
        <f t="shared" si="55"/>
        <v>35386.497499999998</v>
      </c>
      <c r="L166" s="546"/>
      <c r="M166" s="545">
        <f t="shared" si="56"/>
        <v>26621.497499999998</v>
      </c>
      <c r="N166" s="545"/>
      <c r="O166" s="545"/>
      <c r="P166" s="545">
        <f t="shared" si="57"/>
        <v>2461.0226549999998</v>
      </c>
      <c r="Q166" s="545"/>
      <c r="R166" s="545">
        <f t="shared" si="58"/>
        <v>29082.520154999998</v>
      </c>
      <c r="S166" s="524"/>
    </row>
    <row r="167" spans="2:19" ht="15.5" x14ac:dyDescent="0.35">
      <c r="B167" s="555"/>
      <c r="C167" s="550"/>
      <c r="D167" s="557">
        <v>6</v>
      </c>
      <c r="E167" s="544">
        <v>28734.037499999999</v>
      </c>
      <c r="F167" s="545"/>
      <c r="G167" s="545">
        <f t="shared" si="53"/>
        <v>2752.553175</v>
      </c>
      <c r="H167" s="545"/>
      <c r="I167" s="545">
        <f t="shared" si="54"/>
        <v>6804.2200800000001</v>
      </c>
      <c r="J167" s="545"/>
      <c r="K167" s="545">
        <f t="shared" si="55"/>
        <v>38291.037499999999</v>
      </c>
      <c r="L167" s="546"/>
      <c r="M167" s="545">
        <f t="shared" si="56"/>
        <v>28734.037499999999</v>
      </c>
      <c r="N167" s="545"/>
      <c r="O167" s="545"/>
      <c r="P167" s="545">
        <f t="shared" si="57"/>
        <v>2752.553175</v>
      </c>
      <c r="Q167" s="545"/>
      <c r="R167" s="545">
        <f t="shared" si="58"/>
        <v>31486.590674999999</v>
      </c>
      <c r="S167" s="524"/>
    </row>
    <row r="168" spans="2:19" ht="15.5" x14ac:dyDescent="0.35">
      <c r="B168" s="555"/>
      <c r="C168" s="550"/>
      <c r="D168" s="557"/>
      <c r="E168" s="559"/>
      <c r="F168" s="559"/>
      <c r="G168" s="559"/>
      <c r="H168" s="559"/>
      <c r="I168" s="559"/>
      <c r="J168" s="559"/>
      <c r="K168" s="559"/>
      <c r="L168" s="560"/>
      <c r="M168" s="559"/>
      <c r="N168" s="559"/>
      <c r="O168" s="559"/>
      <c r="P168" s="559"/>
      <c r="Q168" s="559"/>
      <c r="R168" s="559"/>
      <c r="S168" s="524"/>
    </row>
    <row r="169" spans="2:19" ht="15.5" x14ac:dyDescent="0.35">
      <c r="B169" s="555"/>
      <c r="C169" s="550"/>
      <c r="D169" s="557"/>
      <c r="E169" s="559"/>
      <c r="F169" s="559"/>
      <c r="G169" s="559"/>
      <c r="H169" s="559"/>
      <c r="I169" s="559"/>
      <c r="J169" s="559"/>
      <c r="K169" s="559"/>
      <c r="L169" s="560"/>
      <c r="M169" s="559"/>
      <c r="N169" s="559"/>
      <c r="O169" s="559"/>
      <c r="P169" s="559"/>
      <c r="Q169" s="559"/>
      <c r="R169" s="559"/>
      <c r="S169" s="524"/>
    </row>
    <row r="170" spans="2:19" ht="16" thickBot="1" x14ac:dyDescent="0.4">
      <c r="B170" s="561"/>
      <c r="C170" s="562"/>
      <c r="D170" s="563"/>
      <c r="E170" s="564"/>
      <c r="F170" s="564"/>
      <c r="G170" s="564"/>
      <c r="H170" s="564"/>
      <c r="I170" s="564"/>
      <c r="J170" s="564"/>
      <c r="K170" s="564"/>
      <c r="L170" s="565"/>
      <c r="M170" s="566"/>
      <c r="N170" s="564"/>
      <c r="O170" s="564"/>
      <c r="P170" s="564"/>
      <c r="Q170" s="564"/>
      <c r="R170" s="564"/>
      <c r="S170" s="537"/>
    </row>
  </sheetData>
  <mergeCells count="3">
    <mergeCell ref="B3:S4"/>
    <mergeCell ref="B5:S5"/>
    <mergeCell ref="B6:S6"/>
  </mergeCell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FBB2D2-2B18-4BC3-88EE-8A57A7C35E0D}">
  <sheetPr>
    <tabColor rgb="FFFFFF00"/>
  </sheetPr>
  <dimension ref="A1:AB179"/>
  <sheetViews>
    <sheetView topLeftCell="A3" workbookViewId="0">
      <selection activeCell="G176" sqref="G176"/>
    </sheetView>
  </sheetViews>
  <sheetFormatPr defaultColWidth="8.26953125" defaultRowHeight="12.5" x14ac:dyDescent="0.25"/>
  <cols>
    <col min="1" max="1" width="11.453125" style="289" customWidth="1"/>
    <col min="2" max="2" width="9.54296875" style="289" customWidth="1"/>
    <col min="3" max="3" width="14.81640625" style="289" customWidth="1"/>
    <col min="4" max="4" width="8.81640625" style="289" customWidth="1"/>
    <col min="5" max="5" width="13.7265625" style="289" customWidth="1"/>
    <col min="6" max="6" width="4.1796875" style="289" customWidth="1"/>
    <col min="7" max="7" width="9.81640625" style="289" customWidth="1"/>
    <col min="8" max="8" width="3.81640625" style="289" customWidth="1"/>
    <col min="9" max="9" width="15.81640625" style="289" bestFit="1" customWidth="1"/>
    <col min="10" max="10" width="2.7265625" style="289" customWidth="1"/>
    <col min="11" max="11" width="10.453125" style="289" customWidth="1"/>
    <col min="12" max="12" width="2.26953125" style="289" customWidth="1"/>
    <col min="13" max="13" width="10.453125" style="289" customWidth="1"/>
    <col min="14" max="14" width="0.81640625" style="289" customWidth="1"/>
    <col min="15" max="15" width="1.453125" style="289" customWidth="1"/>
    <col min="16" max="16" width="11.1796875" style="289" customWidth="1"/>
    <col min="17" max="17" width="2.81640625" style="289" customWidth="1"/>
    <col min="18" max="18" width="9.81640625" style="289" bestFit="1" customWidth="1"/>
    <col min="19" max="19" width="2.26953125" style="289" customWidth="1"/>
    <col min="20" max="20" width="9.453125" style="289" customWidth="1"/>
    <col min="21" max="21" width="12.1796875" style="289" bestFit="1" customWidth="1"/>
    <col min="22" max="23" width="9.453125" style="289" customWidth="1"/>
    <col min="24" max="24" width="9.7265625" style="289" bestFit="1" customWidth="1"/>
    <col min="25" max="26" width="8.26953125" style="289"/>
    <col min="27" max="27" width="8.54296875" style="289" bestFit="1" customWidth="1"/>
    <col min="28" max="16384" width="8.26953125" style="289"/>
  </cols>
  <sheetData>
    <row r="1" spans="1:28" s="475" customFormat="1" ht="39.65" customHeight="1" thickBot="1" x14ac:dyDescent="0.35">
      <c r="A1" s="184" t="s">
        <v>1392</v>
      </c>
      <c r="B1" s="470" t="s">
        <v>1393</v>
      </c>
      <c r="C1" s="471"/>
      <c r="D1" s="471"/>
      <c r="E1" s="471"/>
      <c r="F1" s="472"/>
      <c r="G1" s="471"/>
      <c r="H1" s="471"/>
      <c r="I1" s="471"/>
      <c r="J1" s="471"/>
      <c r="K1" s="471"/>
      <c r="L1" s="471"/>
      <c r="M1" s="471"/>
      <c r="N1" s="471"/>
      <c r="O1" s="471"/>
      <c r="P1" s="471"/>
      <c r="Q1" s="471"/>
      <c r="R1" s="473" t="s">
        <v>854</v>
      </c>
      <c r="S1" s="474"/>
    </row>
    <row r="2" spans="1:28" s="475" customFormat="1" ht="12.65" customHeight="1" x14ac:dyDescent="0.3">
      <c r="A2" s="184"/>
      <c r="B2" s="476"/>
      <c r="C2" s="476"/>
      <c r="D2" s="476"/>
      <c r="E2" s="476"/>
      <c r="F2" s="477"/>
      <c r="G2" s="476"/>
      <c r="H2" s="476"/>
      <c r="I2" s="476"/>
      <c r="J2" s="476"/>
      <c r="K2" s="476"/>
      <c r="L2" s="476"/>
      <c r="M2" s="476"/>
      <c r="N2" s="476"/>
      <c r="O2" s="476"/>
      <c r="P2" s="476"/>
      <c r="Q2" s="476"/>
      <c r="R2" s="476"/>
      <c r="S2" s="476"/>
      <c r="U2" s="478"/>
    </row>
    <row r="3" spans="1:28" s="475" customFormat="1" ht="64.900000000000006" customHeight="1" x14ac:dyDescent="0.3">
      <c r="A3" s="184" t="s">
        <v>1394</v>
      </c>
      <c r="B3" s="1567" t="s">
        <v>1395</v>
      </c>
      <c r="C3" s="1568"/>
      <c r="D3" s="1568"/>
      <c r="E3" s="1568"/>
      <c r="F3" s="1568"/>
      <c r="G3" s="1568"/>
      <c r="H3" s="1568"/>
      <c r="I3" s="1568"/>
      <c r="J3" s="1568"/>
      <c r="K3" s="1568"/>
      <c r="L3" s="1568"/>
      <c r="M3" s="1568"/>
      <c r="N3" s="1568"/>
      <c r="O3" s="1568"/>
      <c r="P3" s="1568"/>
      <c r="Q3" s="1568"/>
      <c r="R3" s="1568"/>
      <c r="S3" s="1568"/>
      <c r="U3" s="478"/>
    </row>
    <row r="4" spans="1:28" s="475" customFormat="1" ht="18.649999999999999" customHeight="1" thickBot="1" x14ac:dyDescent="0.35">
      <c r="A4" s="184"/>
      <c r="B4" s="1568"/>
      <c r="C4" s="1568"/>
      <c r="D4" s="1568"/>
      <c r="E4" s="1568"/>
      <c r="F4" s="1568"/>
      <c r="G4" s="1568"/>
      <c r="H4" s="1568"/>
      <c r="I4" s="1568"/>
      <c r="J4" s="1568"/>
      <c r="K4" s="1568"/>
      <c r="L4" s="1568"/>
      <c r="M4" s="1568"/>
      <c r="N4" s="1568"/>
      <c r="O4" s="1568"/>
      <c r="P4" s="1568"/>
      <c r="Q4" s="1568"/>
      <c r="R4" s="1568"/>
      <c r="S4" s="1568"/>
      <c r="U4" s="478"/>
    </row>
    <row r="5" spans="1:28" s="482" customFormat="1" ht="16" x14ac:dyDescent="0.4">
      <c r="A5" s="184" t="s">
        <v>1396</v>
      </c>
      <c r="B5" s="1569" t="s">
        <v>1397</v>
      </c>
      <c r="C5" s="1569"/>
      <c r="D5" s="1569"/>
      <c r="E5" s="1569"/>
      <c r="F5" s="1569"/>
      <c r="G5" s="1569"/>
      <c r="H5" s="1569"/>
      <c r="I5" s="1569"/>
      <c r="J5" s="1569"/>
      <c r="K5" s="1569"/>
      <c r="L5" s="1569"/>
      <c r="M5" s="1569"/>
      <c r="N5" s="1569"/>
      <c r="O5" s="1569"/>
      <c r="P5" s="1570"/>
      <c r="Q5" s="1570"/>
      <c r="R5" s="1570"/>
      <c r="S5" s="1570"/>
      <c r="T5" s="184" t="s">
        <v>1398</v>
      </c>
      <c r="U5" s="479" t="s">
        <v>1399</v>
      </c>
      <c r="V5" s="480">
        <v>1</v>
      </c>
      <c r="W5" s="481">
        <v>2</v>
      </c>
      <c r="Y5" s="483"/>
      <c r="Z5" s="484" t="s">
        <v>1399</v>
      </c>
      <c r="AA5" s="485">
        <v>1</v>
      </c>
      <c r="AB5" s="486">
        <v>2</v>
      </c>
    </row>
    <row r="6" spans="1:28" ht="15.5" x14ac:dyDescent="0.45">
      <c r="A6" s="184" t="s">
        <v>1400</v>
      </c>
      <c r="B6" s="1571" t="s">
        <v>1401</v>
      </c>
      <c r="C6" s="1570"/>
      <c r="D6" s="1570"/>
      <c r="E6" s="1570"/>
      <c r="F6" s="1570"/>
      <c r="G6" s="1570"/>
      <c r="H6" s="1570"/>
      <c r="I6" s="1570"/>
      <c r="J6" s="1570"/>
      <c r="K6" s="1570"/>
      <c r="L6" s="1570"/>
      <c r="M6" s="1570"/>
      <c r="N6" s="1570"/>
      <c r="O6" s="1570"/>
      <c r="P6" s="1570"/>
      <c r="Q6" s="1570"/>
      <c r="R6" s="1570"/>
      <c r="S6" s="1570"/>
      <c r="U6" s="487">
        <v>0</v>
      </c>
      <c r="V6" s="488">
        <v>0</v>
      </c>
      <c r="W6" s="489">
        <v>0</v>
      </c>
      <c r="Y6" s="483"/>
      <c r="Z6" s="490">
        <v>0</v>
      </c>
      <c r="AA6" s="491">
        <v>0</v>
      </c>
      <c r="AB6" s="492">
        <v>0</v>
      </c>
    </row>
    <row r="7" spans="1:28" ht="16" thickBot="1" x14ac:dyDescent="0.5">
      <c r="A7" s="184"/>
      <c r="B7" s="493"/>
      <c r="C7" s="184"/>
      <c r="D7" s="184"/>
      <c r="E7" s="184"/>
      <c r="F7" s="184"/>
      <c r="G7" s="184"/>
      <c r="H7" s="184"/>
      <c r="I7" s="184"/>
      <c r="J7" s="184"/>
      <c r="K7" s="184"/>
      <c r="L7" s="184"/>
      <c r="M7" s="184"/>
      <c r="N7" s="184"/>
      <c r="O7" s="184"/>
      <c r="P7" s="184"/>
      <c r="Q7" s="184"/>
      <c r="R7" s="184"/>
      <c r="S7" s="184"/>
      <c r="U7" s="487"/>
      <c r="V7" s="488"/>
      <c r="W7" s="489"/>
      <c r="Y7" s="483" t="s">
        <v>1402</v>
      </c>
      <c r="Z7" s="490">
        <v>6240</v>
      </c>
      <c r="AA7" s="494">
        <v>0</v>
      </c>
      <c r="AB7" s="495">
        <v>0</v>
      </c>
    </row>
    <row r="8" spans="1:28" ht="15.5" x14ac:dyDescent="0.45">
      <c r="A8" s="184" t="s">
        <v>1403</v>
      </c>
      <c r="B8" s="496"/>
      <c r="C8" s="497" t="s">
        <v>1404</v>
      </c>
      <c r="D8" s="498"/>
      <c r="E8" s="497" t="s">
        <v>1405</v>
      </c>
      <c r="F8" s="498"/>
      <c r="G8" s="498"/>
      <c r="H8" s="498"/>
      <c r="I8" s="498"/>
      <c r="J8" s="498"/>
      <c r="K8" s="498"/>
      <c r="L8" s="498"/>
      <c r="M8" s="497" t="s">
        <v>1406</v>
      </c>
      <c r="N8" s="499"/>
      <c r="O8" s="499"/>
      <c r="P8" s="498"/>
      <c r="Q8" s="498"/>
      <c r="R8" s="498"/>
      <c r="S8" s="500"/>
      <c r="U8" s="487"/>
      <c r="V8" s="488"/>
      <c r="W8" s="489"/>
      <c r="Y8" s="1286" t="s">
        <v>1407</v>
      </c>
      <c r="Z8" s="490">
        <v>8788</v>
      </c>
      <c r="AA8" s="494">
        <v>0</v>
      </c>
      <c r="AB8" s="495">
        <v>0</v>
      </c>
    </row>
    <row r="9" spans="1:28" ht="15.5" x14ac:dyDescent="0.45">
      <c r="A9" s="184"/>
      <c r="B9" s="501"/>
      <c r="C9" s="502"/>
      <c r="D9" s="502"/>
      <c r="E9" s="503"/>
      <c r="F9" s="502"/>
      <c r="G9" s="502"/>
      <c r="H9" s="502"/>
      <c r="I9" s="502"/>
      <c r="J9" s="502"/>
      <c r="K9" s="502"/>
      <c r="L9" s="502"/>
      <c r="M9" s="502"/>
      <c r="N9" s="488"/>
      <c r="O9" s="502"/>
      <c r="P9" s="502"/>
      <c r="Q9" s="502"/>
      <c r="R9" s="502"/>
      <c r="S9" s="504"/>
      <c r="U9" s="487"/>
      <c r="V9" s="505"/>
      <c r="W9" s="506"/>
      <c r="Y9" s="507" t="s">
        <v>1408</v>
      </c>
      <c r="Z9" s="490">
        <v>50000</v>
      </c>
      <c r="AA9" s="494">
        <v>0</v>
      </c>
      <c r="AB9" s="495">
        <v>0.13800000000000001</v>
      </c>
    </row>
    <row r="10" spans="1:28" ht="16" thickBot="1" x14ac:dyDescent="0.5">
      <c r="A10" s="184"/>
      <c r="B10" s="508" t="s">
        <v>1409</v>
      </c>
      <c r="C10" s="509"/>
      <c r="D10" s="509"/>
      <c r="E10" s="509"/>
      <c r="F10" s="510"/>
      <c r="G10" s="509"/>
      <c r="H10" s="510"/>
      <c r="I10" s="509"/>
      <c r="J10" s="510"/>
      <c r="K10" s="509"/>
      <c r="L10" s="510"/>
      <c r="M10" s="510"/>
      <c r="N10" s="510"/>
      <c r="O10" s="510"/>
      <c r="P10" s="510"/>
      <c r="Q10" s="510"/>
      <c r="R10" s="510"/>
      <c r="S10" s="511"/>
      <c r="U10" s="487"/>
      <c r="V10" s="505"/>
      <c r="W10" s="506"/>
      <c r="Y10" s="483"/>
      <c r="Z10" s="490"/>
      <c r="AA10" s="494"/>
      <c r="AB10" s="495"/>
    </row>
    <row r="11" spans="1:28" ht="16" thickBot="1" x14ac:dyDescent="0.5">
      <c r="A11" s="184"/>
      <c r="B11" s="512"/>
      <c r="C11" s="513"/>
      <c r="D11" s="513"/>
      <c r="E11" s="513"/>
      <c r="F11" s="513"/>
      <c r="G11" s="513"/>
      <c r="H11" s="513"/>
      <c r="I11" s="513"/>
      <c r="J11" s="513"/>
      <c r="K11" s="513"/>
      <c r="L11" s="513"/>
      <c r="M11" s="513"/>
      <c r="N11" s="513"/>
      <c r="O11" s="513"/>
      <c r="P11" s="513"/>
      <c r="Q11" s="513"/>
      <c r="R11" s="513"/>
      <c r="S11" s="513"/>
      <c r="U11" s="487">
        <v>8788</v>
      </c>
      <c r="V11" s="505">
        <v>0</v>
      </c>
      <c r="W11" s="506">
        <v>0.13800000000000001</v>
      </c>
      <c r="Y11" s="483"/>
      <c r="Z11" s="514" t="s">
        <v>1410</v>
      </c>
      <c r="AA11" s="515">
        <v>0.23680000000000001</v>
      </c>
      <c r="AB11" s="516"/>
    </row>
    <row r="12" spans="1:28" ht="15.5" x14ac:dyDescent="0.35">
      <c r="A12" s="184" t="s">
        <v>1411</v>
      </c>
      <c r="B12" s="517"/>
      <c r="C12" s="518"/>
      <c r="D12" s="518"/>
      <c r="E12" s="519" t="s">
        <v>1412</v>
      </c>
      <c r="F12" s="520"/>
      <c r="G12" s="519"/>
      <c r="H12" s="520"/>
      <c r="I12" s="519"/>
      <c r="J12" s="520"/>
      <c r="K12" s="519"/>
      <c r="L12" s="521"/>
      <c r="M12" s="522" t="s">
        <v>1413</v>
      </c>
      <c r="N12" s="523"/>
      <c r="O12" s="523"/>
      <c r="P12" s="523"/>
      <c r="Q12" s="523"/>
      <c r="R12" s="523"/>
      <c r="S12" s="524"/>
      <c r="U12" s="487"/>
      <c r="V12" s="505"/>
      <c r="W12" s="506"/>
    </row>
    <row r="13" spans="1:28" ht="16" thickBot="1" x14ac:dyDescent="0.4">
      <c r="A13" s="184"/>
      <c r="B13" s="517"/>
      <c r="C13" s="525" t="s">
        <v>1414</v>
      </c>
      <c r="D13" s="525" t="s">
        <v>1415</v>
      </c>
      <c r="E13" s="526" t="s">
        <v>1416</v>
      </c>
      <c r="F13" s="525"/>
      <c r="G13" s="527" t="s">
        <v>1417</v>
      </c>
      <c r="H13" s="525"/>
      <c r="I13" s="526" t="s">
        <v>1418</v>
      </c>
      <c r="J13" s="525"/>
      <c r="K13" s="526" t="s">
        <v>357</v>
      </c>
      <c r="L13" s="528"/>
      <c r="M13" s="529" t="s">
        <v>1416</v>
      </c>
      <c r="N13" s="525"/>
      <c r="O13" s="525"/>
      <c r="P13" s="527" t="s">
        <v>1417</v>
      </c>
      <c r="Q13" s="525"/>
      <c r="R13" s="530" t="s">
        <v>357</v>
      </c>
      <c r="S13" s="524"/>
      <c r="U13" s="531" t="s">
        <v>1410</v>
      </c>
      <c r="V13" s="532">
        <v>0.23680000000000001</v>
      </c>
      <c r="W13" s="533"/>
    </row>
    <row r="14" spans="1:28" ht="16" thickBot="1" x14ac:dyDescent="0.4">
      <c r="A14" s="184"/>
      <c r="B14" s="534"/>
      <c r="C14" s="535"/>
      <c r="D14" s="535"/>
      <c r="E14" s="535"/>
      <c r="F14" s="535"/>
      <c r="G14" s="535"/>
      <c r="H14" s="535"/>
      <c r="I14" s="535"/>
      <c r="J14" s="535"/>
      <c r="K14" s="535"/>
      <c r="L14" s="535"/>
      <c r="M14" s="536"/>
      <c r="N14" s="535"/>
      <c r="O14" s="535"/>
      <c r="P14" s="535"/>
      <c r="Q14" s="535"/>
      <c r="R14" s="535"/>
      <c r="S14" s="537"/>
      <c r="U14" s="538"/>
      <c r="V14" s="539"/>
    </row>
    <row r="15" spans="1:28" ht="15.5" x14ac:dyDescent="0.35">
      <c r="A15" s="184"/>
      <c r="B15" s="540"/>
      <c r="C15" s="541"/>
      <c r="D15" s="541"/>
      <c r="E15" s="541"/>
      <c r="F15" s="541"/>
      <c r="G15" s="541"/>
      <c r="H15" s="541"/>
      <c r="I15" s="541"/>
      <c r="J15" s="541"/>
      <c r="K15" s="541"/>
      <c r="L15" s="542"/>
      <c r="M15" s="541"/>
      <c r="N15" s="541"/>
      <c r="O15" s="541"/>
      <c r="P15" s="541"/>
      <c r="Q15" s="541"/>
      <c r="R15" s="541"/>
      <c r="S15" s="542"/>
    </row>
    <row r="16" spans="1:28" ht="16.5" customHeight="1" x14ac:dyDescent="0.35">
      <c r="A16" s="184"/>
      <c r="B16" s="517"/>
      <c r="C16" s="518" t="s">
        <v>1419</v>
      </c>
      <c r="D16" s="543">
        <v>1</v>
      </c>
      <c r="E16" s="544">
        <v>25713.514999999999</v>
      </c>
      <c r="F16" s="545"/>
      <c r="G16" s="545">
        <f t="shared" ref="G16:G21" si="0">IF($M16&gt;$U$11,($E16-$U$11)*$W$11,"ERROR")</f>
        <v>2335.7210700000001</v>
      </c>
      <c r="H16" s="545"/>
      <c r="I16" s="545">
        <f t="shared" ref="I16:I21" si="1">$E16*$V$13</f>
        <v>6088.9603520000001</v>
      </c>
      <c r="J16" s="545"/>
      <c r="K16" s="545">
        <f>E16+ROUND(G16,0)+ROUND(I16,0)</f>
        <v>34138.514999999999</v>
      </c>
      <c r="L16" s="546"/>
      <c r="M16" s="545">
        <f t="shared" ref="M16:M21" si="2">E16</f>
        <v>25713.514999999999</v>
      </c>
      <c r="N16" s="545"/>
      <c r="O16" s="545"/>
      <c r="P16" s="545">
        <f t="shared" ref="P16:P21" si="3">IF($M16&gt;$U$11,($M16-$U$11)*$W$11,"ERROR")</f>
        <v>2335.7210700000001</v>
      </c>
      <c r="Q16" s="545"/>
      <c r="R16" s="545">
        <f t="shared" ref="R16:R21" si="4">SUM(M16:P16)</f>
        <v>28049.236069999999</v>
      </c>
      <c r="S16" s="524"/>
      <c r="U16" s="547"/>
      <c r="V16" s="548"/>
    </row>
    <row r="17" spans="1:22" ht="15.5" x14ac:dyDescent="0.35">
      <c r="A17" s="184"/>
      <c r="B17" s="549"/>
      <c r="C17" s="550"/>
      <c r="D17" s="543">
        <v>2</v>
      </c>
      <c r="E17" s="544">
        <v>27599.751000000004</v>
      </c>
      <c r="F17" s="545"/>
      <c r="G17" s="545">
        <f t="shared" si="0"/>
        <v>2596.0216380000006</v>
      </c>
      <c r="H17" s="545"/>
      <c r="I17" s="545">
        <f t="shared" si="1"/>
        <v>6535.6210368000011</v>
      </c>
      <c r="J17" s="545"/>
      <c r="K17" s="545">
        <f t="shared" ref="K17:K34" si="5">E17+ROUND(G17,0)+ROUND(I17,0)</f>
        <v>36731.751000000004</v>
      </c>
      <c r="L17" s="546"/>
      <c r="M17" s="545">
        <f t="shared" si="2"/>
        <v>27599.751000000004</v>
      </c>
      <c r="N17" s="545"/>
      <c r="O17" s="545"/>
      <c r="P17" s="545">
        <f t="shared" si="3"/>
        <v>2596.0216380000006</v>
      </c>
      <c r="Q17" s="545"/>
      <c r="R17" s="545">
        <f t="shared" si="4"/>
        <v>30195.772638000006</v>
      </c>
      <c r="S17" s="524"/>
      <c r="U17" s="547" t="s">
        <v>1420</v>
      </c>
      <c r="V17" s="548"/>
    </row>
    <row r="18" spans="1:22" ht="15.5" x14ac:dyDescent="0.35">
      <c r="A18" s="184"/>
      <c r="B18" s="549"/>
      <c r="C18" s="550"/>
      <c r="D18" s="543">
        <v>3</v>
      </c>
      <c r="E18" s="544">
        <v>29663.172000000002</v>
      </c>
      <c r="F18" s="545"/>
      <c r="G18" s="545">
        <f t="shared" si="0"/>
        <v>2880.7737360000006</v>
      </c>
      <c r="H18" s="545"/>
      <c r="I18" s="545">
        <f t="shared" si="1"/>
        <v>7024.2391296000005</v>
      </c>
      <c r="J18" s="545"/>
      <c r="K18" s="545">
        <f t="shared" si="5"/>
        <v>39568.172000000006</v>
      </c>
      <c r="L18" s="546"/>
      <c r="M18" s="545">
        <f t="shared" si="2"/>
        <v>29663.172000000002</v>
      </c>
      <c r="N18" s="545"/>
      <c r="O18" s="545"/>
      <c r="P18" s="545">
        <f t="shared" si="3"/>
        <v>2880.7737360000006</v>
      </c>
      <c r="Q18" s="545"/>
      <c r="R18" s="545">
        <f t="shared" si="4"/>
        <v>32543.945736000001</v>
      </c>
      <c r="S18" s="524"/>
      <c r="U18" s="547" t="s">
        <v>1421</v>
      </c>
      <c r="V18" s="548"/>
    </row>
    <row r="19" spans="1:22" ht="15.5" x14ac:dyDescent="0.35">
      <c r="A19" s="184"/>
      <c r="B19" s="549"/>
      <c r="C19" s="550"/>
      <c r="D19" s="543">
        <v>4</v>
      </c>
      <c r="E19" s="544">
        <f>31777.0615+E53</f>
        <v>34047.061499999996</v>
      </c>
      <c r="F19" s="545"/>
      <c r="G19" s="545">
        <f t="shared" si="0"/>
        <v>3485.7504869999998</v>
      </c>
      <c r="H19" s="545"/>
      <c r="I19" s="545">
        <f t="shared" si="1"/>
        <v>8062.3441631999995</v>
      </c>
      <c r="J19" s="545"/>
      <c r="K19" s="545">
        <f t="shared" si="5"/>
        <v>45595.061499999996</v>
      </c>
      <c r="L19" s="546"/>
      <c r="M19" s="545">
        <f t="shared" si="2"/>
        <v>34047.061499999996</v>
      </c>
      <c r="N19" s="545"/>
      <c r="O19" s="545"/>
      <c r="P19" s="545">
        <f t="shared" si="3"/>
        <v>3485.7504869999998</v>
      </c>
      <c r="Q19" s="545"/>
      <c r="R19" s="545">
        <f t="shared" si="4"/>
        <v>37532.811986999994</v>
      </c>
      <c r="S19" s="524"/>
      <c r="U19" s="547"/>
      <c r="V19" s="548"/>
    </row>
    <row r="20" spans="1:22" ht="15.5" x14ac:dyDescent="0.35">
      <c r="A20" s="184"/>
      <c r="B20" s="549"/>
      <c r="C20" s="550"/>
      <c r="D20" s="543">
        <v>5</v>
      </c>
      <c r="E20" s="544">
        <f>34099.33+E53</f>
        <v>36369.33</v>
      </c>
      <c r="F20" s="545"/>
      <c r="G20" s="545">
        <f t="shared" si="0"/>
        <v>3806.2235400000004</v>
      </c>
      <c r="H20" s="545"/>
      <c r="I20" s="545">
        <f t="shared" si="1"/>
        <v>8612.2573440000015</v>
      </c>
      <c r="J20" s="545"/>
      <c r="K20" s="545">
        <f t="shared" si="5"/>
        <v>48787.33</v>
      </c>
      <c r="L20" s="546"/>
      <c r="M20" s="545">
        <f t="shared" si="2"/>
        <v>36369.33</v>
      </c>
      <c r="N20" s="545"/>
      <c r="O20" s="545"/>
      <c r="P20" s="545">
        <f t="shared" si="3"/>
        <v>3806.2235400000004</v>
      </c>
      <c r="Q20" s="545"/>
      <c r="R20" s="545">
        <f t="shared" si="4"/>
        <v>40175.553540000001</v>
      </c>
      <c r="S20" s="524"/>
      <c r="T20" s="551"/>
      <c r="U20" s="547" t="s">
        <v>1422</v>
      </c>
      <c r="V20" s="552"/>
    </row>
    <row r="21" spans="1:22" ht="15.5" x14ac:dyDescent="0.35">
      <c r="A21" s="184"/>
      <c r="B21" s="549"/>
      <c r="C21" s="550"/>
      <c r="D21" s="543">
        <v>6</v>
      </c>
      <c r="E21" s="544">
        <v>36960.202499999999</v>
      </c>
      <c r="F21" s="545"/>
      <c r="G21" s="545">
        <f t="shared" si="0"/>
        <v>3887.7639450000001</v>
      </c>
      <c r="H21" s="545"/>
      <c r="I21" s="545">
        <f t="shared" si="1"/>
        <v>8752.1759519999996</v>
      </c>
      <c r="J21" s="545"/>
      <c r="K21" s="545">
        <f t="shared" si="5"/>
        <v>49600.202499999999</v>
      </c>
      <c r="L21" s="546"/>
      <c r="M21" s="545">
        <f t="shared" si="2"/>
        <v>36960.202499999999</v>
      </c>
      <c r="N21" s="545"/>
      <c r="O21" s="545"/>
      <c r="P21" s="545">
        <f t="shared" si="3"/>
        <v>3887.7639450000001</v>
      </c>
      <c r="Q21" s="545"/>
      <c r="R21" s="545">
        <f t="shared" si="4"/>
        <v>40847.966444999998</v>
      </c>
      <c r="S21" s="524"/>
      <c r="T21" s="551"/>
      <c r="U21" s="547" t="s">
        <v>1423</v>
      </c>
      <c r="V21" s="552"/>
    </row>
    <row r="22" spans="1:22" ht="15.5" x14ac:dyDescent="0.35">
      <c r="A22" s="184"/>
      <c r="B22" s="553" t="s">
        <v>1424</v>
      </c>
      <c r="C22" s="550"/>
      <c r="D22" s="543"/>
      <c r="E22" s="544"/>
      <c r="F22" s="545"/>
      <c r="G22" s="545"/>
      <c r="H22" s="545"/>
      <c r="I22" s="545"/>
      <c r="J22" s="545"/>
      <c r="K22" s="545"/>
      <c r="L22" s="546"/>
      <c r="M22" s="554" t="s">
        <v>1425</v>
      </c>
      <c r="N22" s="545"/>
      <c r="O22" s="545"/>
      <c r="P22" s="545"/>
      <c r="Q22" s="545"/>
      <c r="R22" s="545"/>
      <c r="S22" s="524"/>
      <c r="U22" s="547"/>
      <c r="V22" s="552"/>
    </row>
    <row r="23" spans="1:22" ht="15.5" x14ac:dyDescent="0.35">
      <c r="A23" s="184"/>
      <c r="B23" s="549"/>
      <c r="C23" s="550" t="s">
        <v>1426</v>
      </c>
      <c r="D23" s="543">
        <v>1</v>
      </c>
      <c r="E23" s="544">
        <v>38689.485000000001</v>
      </c>
      <c r="F23" s="545"/>
      <c r="G23" s="545">
        <f>IF($M23&gt;$U$11,($E23-$U$11)*$W$11,"ERROR")</f>
        <v>4126.4049300000006</v>
      </c>
      <c r="H23" s="545"/>
      <c r="I23" s="545">
        <f>$E23*$V$13</f>
        <v>9161.670048</v>
      </c>
      <c r="J23" s="545"/>
      <c r="K23" s="545">
        <f t="shared" si="5"/>
        <v>51977.485000000001</v>
      </c>
      <c r="L23" s="546"/>
      <c r="M23" s="545">
        <f>E23</f>
        <v>38689.485000000001</v>
      </c>
      <c r="N23" s="545"/>
      <c r="O23" s="545"/>
      <c r="P23" s="545">
        <f>IF($M23&gt;$U$11,($M23-$U$11)*$W$11,"ERROR")</f>
        <v>4126.4049300000006</v>
      </c>
      <c r="Q23" s="545"/>
      <c r="R23" s="545">
        <f>SUM(M23:P23)</f>
        <v>42815.889930000005</v>
      </c>
      <c r="S23" s="524"/>
      <c r="T23" s="551"/>
      <c r="U23" s="547" t="s">
        <v>1427</v>
      </c>
      <c r="V23" s="552"/>
    </row>
    <row r="24" spans="1:22" ht="15.5" x14ac:dyDescent="0.35">
      <c r="A24" s="184"/>
      <c r="B24" s="549"/>
      <c r="C24" s="550" t="s">
        <v>1428</v>
      </c>
      <c r="D24" s="543">
        <v>2</v>
      </c>
      <c r="E24" s="544">
        <v>40123.875</v>
      </c>
      <c r="F24" s="545"/>
      <c r="G24" s="545">
        <f>IF($M24&gt;$U$11,($E24-$U$11)*$W$11,"ERROR")</f>
        <v>4324.3507500000005</v>
      </c>
      <c r="H24" s="545"/>
      <c r="I24" s="545">
        <f>$E24*$V$13</f>
        <v>9501.3335999999999</v>
      </c>
      <c r="J24" s="545"/>
      <c r="K24" s="545">
        <f t="shared" si="5"/>
        <v>53948.875</v>
      </c>
      <c r="L24" s="546"/>
      <c r="M24" s="545">
        <f>E24</f>
        <v>40123.875</v>
      </c>
      <c r="N24" s="545"/>
      <c r="O24" s="545"/>
      <c r="P24" s="545">
        <f>IF($M24&gt;$U$11,($M24-$U$11)*$W$11,"ERROR")</f>
        <v>4324.3507500000005</v>
      </c>
      <c r="Q24" s="545"/>
      <c r="R24" s="545">
        <f>SUM(M24:P24)</f>
        <v>44448.225749999998</v>
      </c>
      <c r="S24" s="524"/>
      <c r="T24" s="551"/>
      <c r="U24" s="547" t="s">
        <v>1429</v>
      </c>
      <c r="V24" s="552"/>
    </row>
    <row r="25" spans="1:22" ht="15.5" x14ac:dyDescent="0.35">
      <c r="A25" s="184"/>
      <c r="B25" s="549"/>
      <c r="C25" s="550"/>
      <c r="D25" s="543">
        <v>3</v>
      </c>
      <c r="E25" s="544">
        <v>41603.474999999999</v>
      </c>
      <c r="F25" s="545"/>
      <c r="G25" s="545">
        <f>IF($M25&gt;$U$11,($E25-$U$11)*$W$11,"ERROR")</f>
        <v>4528.5355500000005</v>
      </c>
      <c r="H25" s="545"/>
      <c r="I25" s="545">
        <f>$E25*$V$13</f>
        <v>9851.7028800000007</v>
      </c>
      <c r="J25" s="545"/>
      <c r="K25" s="545">
        <f t="shared" si="5"/>
        <v>55984.474999999999</v>
      </c>
      <c r="L25" s="546"/>
      <c r="M25" s="545">
        <f>E25</f>
        <v>41603.474999999999</v>
      </c>
      <c r="N25" s="545"/>
      <c r="O25" s="545"/>
      <c r="P25" s="545">
        <f>IF($M25&gt;$U$11,($M25-$U$11)*$W$11,"ERROR")</f>
        <v>4528.5355500000005</v>
      </c>
      <c r="Q25" s="545"/>
      <c r="R25" s="545">
        <f>SUM(M25:P25)</f>
        <v>46132.010549999999</v>
      </c>
      <c r="S25" s="524"/>
      <c r="T25" s="551"/>
      <c r="U25" s="547"/>
      <c r="V25" s="552"/>
    </row>
    <row r="26" spans="1:22" ht="15.5" x14ac:dyDescent="0.35">
      <c r="A26" s="184"/>
      <c r="B26" s="549"/>
      <c r="C26" s="550"/>
      <c r="D26" s="543"/>
      <c r="E26" s="544"/>
      <c r="F26" s="545"/>
      <c r="G26" s="545"/>
      <c r="H26" s="545"/>
      <c r="I26" s="545"/>
      <c r="J26" s="545"/>
      <c r="K26" s="545"/>
      <c r="L26" s="546"/>
      <c r="M26" s="545"/>
      <c r="N26" s="545"/>
      <c r="O26" s="545"/>
      <c r="P26" s="545"/>
      <c r="Q26" s="545"/>
      <c r="R26" s="545"/>
      <c r="S26" s="524"/>
      <c r="T26" s="551"/>
      <c r="U26" s="547" t="s">
        <v>1430</v>
      </c>
    </row>
    <row r="27" spans="1:22" ht="15.5" x14ac:dyDescent="0.35">
      <c r="A27" s="184"/>
      <c r="B27" s="553" t="s">
        <v>1431</v>
      </c>
      <c r="C27" s="550"/>
      <c r="D27" s="543"/>
      <c r="E27" s="544"/>
      <c r="F27" s="545"/>
      <c r="G27" s="545"/>
      <c r="H27" s="545"/>
      <c r="I27" s="545"/>
      <c r="J27" s="545"/>
      <c r="K27" s="545"/>
      <c r="L27" s="546"/>
      <c r="M27" s="554" t="s">
        <v>1425</v>
      </c>
      <c r="N27" s="545"/>
      <c r="O27" s="545"/>
      <c r="P27" s="545"/>
      <c r="Q27" s="545"/>
      <c r="R27" s="545"/>
      <c r="S27" s="524"/>
      <c r="T27" s="551"/>
      <c r="U27" s="547" t="s">
        <v>1432</v>
      </c>
      <c r="V27" s="552"/>
    </row>
    <row r="28" spans="1:22" ht="15.5" x14ac:dyDescent="0.35">
      <c r="A28" s="184"/>
      <c r="B28" s="555"/>
      <c r="C28" s="550"/>
      <c r="D28" s="521"/>
      <c r="E28" s="544"/>
      <c r="F28" s="545"/>
      <c r="G28" s="545"/>
      <c r="H28" s="545"/>
      <c r="I28" s="545"/>
      <c r="J28" s="545"/>
      <c r="K28" s="545"/>
      <c r="L28" s="546"/>
      <c r="M28" s="545"/>
      <c r="N28" s="545"/>
      <c r="O28" s="545"/>
      <c r="P28" s="545"/>
      <c r="Q28" s="545"/>
      <c r="R28" s="545"/>
      <c r="S28" s="524"/>
      <c r="T28" s="551"/>
      <c r="U28" s="547" t="s">
        <v>1433</v>
      </c>
      <c r="V28" s="552"/>
    </row>
    <row r="29" spans="1:22" ht="15.5" x14ac:dyDescent="0.35">
      <c r="A29" s="184"/>
      <c r="B29" s="556" t="s">
        <v>1434</v>
      </c>
      <c r="C29" s="550" t="s">
        <v>1435</v>
      </c>
      <c r="D29" s="557">
        <v>1</v>
      </c>
      <c r="E29" s="544">
        <v>18168.255000000001</v>
      </c>
      <c r="F29" s="545"/>
      <c r="G29" s="545">
        <f t="shared" ref="G29:G34" si="6">IF($M29&gt;$U$11,($E29-$U$11)*$W$11,"ERROR")</f>
        <v>1294.4751900000003</v>
      </c>
      <c r="H29" s="545"/>
      <c r="I29" s="545">
        <f t="shared" ref="I29:I34" si="7">$E29*$V$13</f>
        <v>4302.242784</v>
      </c>
      <c r="J29" s="545"/>
      <c r="K29" s="545">
        <f t="shared" si="5"/>
        <v>23764.255000000001</v>
      </c>
      <c r="L29" s="546"/>
      <c r="M29" s="545">
        <f t="shared" ref="M29:M34" si="8">E29</f>
        <v>18168.255000000001</v>
      </c>
      <c r="N29" s="545"/>
      <c r="O29" s="545"/>
      <c r="P29" s="545">
        <f t="shared" ref="P29:P34" si="9">IF($M29&gt;$U$11,($M29-$U$11)*$W$11,"ERROR")</f>
        <v>1294.4751900000003</v>
      </c>
      <c r="Q29" s="545"/>
      <c r="R29" s="545">
        <f t="shared" ref="R29:R34" si="10">SUM(M29:P29)</f>
        <v>19462.730190000002</v>
      </c>
      <c r="S29" s="524"/>
      <c r="T29" s="551"/>
      <c r="U29" s="547"/>
      <c r="V29" s="552"/>
    </row>
    <row r="30" spans="1:22" ht="15.5" x14ac:dyDescent="0.35">
      <c r="A30" s="184"/>
      <c r="B30" s="556" t="s">
        <v>1436</v>
      </c>
      <c r="C30" s="550" t="s">
        <v>1437</v>
      </c>
      <c r="D30" s="557">
        <v>2</v>
      </c>
      <c r="E30" s="544">
        <v>20281.822499999998</v>
      </c>
      <c r="F30" s="545"/>
      <c r="G30" s="545">
        <f t="shared" si="6"/>
        <v>1586.1475049999999</v>
      </c>
      <c r="H30" s="545"/>
      <c r="I30" s="545">
        <f t="shared" si="7"/>
        <v>4802.7355680000001</v>
      </c>
      <c r="J30" s="545"/>
      <c r="K30" s="545">
        <f t="shared" si="5"/>
        <v>26670.822499999998</v>
      </c>
      <c r="L30" s="546"/>
      <c r="M30" s="545">
        <f t="shared" si="8"/>
        <v>20281.822499999998</v>
      </c>
      <c r="N30" s="545"/>
      <c r="O30" s="545"/>
      <c r="P30" s="545">
        <f t="shared" si="9"/>
        <v>1586.1475049999999</v>
      </c>
      <c r="Q30" s="545"/>
      <c r="R30" s="545">
        <f t="shared" si="10"/>
        <v>21867.970004999999</v>
      </c>
      <c r="S30" s="524"/>
      <c r="T30" s="551"/>
      <c r="U30" s="547"/>
      <c r="V30" s="552"/>
    </row>
    <row r="31" spans="1:22" ht="15.5" x14ac:dyDescent="0.35">
      <c r="A31" s="184"/>
      <c r="B31" s="558"/>
      <c r="C31" s="550"/>
      <c r="D31" s="557">
        <v>3</v>
      </c>
      <c r="E31" s="544">
        <v>22393.334999999999</v>
      </c>
      <c r="F31" s="545"/>
      <c r="G31" s="545">
        <f t="shared" si="6"/>
        <v>1877.5362299999999</v>
      </c>
      <c r="H31" s="545"/>
      <c r="I31" s="545">
        <f t="shared" si="7"/>
        <v>5302.741728</v>
      </c>
      <c r="J31" s="545"/>
      <c r="K31" s="545">
        <f t="shared" si="5"/>
        <v>29574.334999999999</v>
      </c>
      <c r="L31" s="546"/>
      <c r="M31" s="545">
        <f t="shared" si="8"/>
        <v>22393.334999999999</v>
      </c>
      <c r="N31" s="545"/>
      <c r="O31" s="545"/>
      <c r="P31" s="545">
        <f t="shared" si="9"/>
        <v>1877.5362299999999</v>
      </c>
      <c r="Q31" s="545"/>
      <c r="R31" s="545">
        <f t="shared" si="10"/>
        <v>24270.871230000001</v>
      </c>
      <c r="S31" s="524"/>
      <c r="T31" s="551"/>
      <c r="U31" s="547"/>
    </row>
    <row r="32" spans="1:22" ht="15.5" x14ac:dyDescent="0.35">
      <c r="A32" s="184"/>
      <c r="B32" s="558"/>
      <c r="C32" s="550"/>
      <c r="D32" s="557">
        <v>4</v>
      </c>
      <c r="E32" s="544">
        <v>24506.9025</v>
      </c>
      <c r="F32" s="545"/>
      <c r="G32" s="545">
        <f t="shared" si="6"/>
        <v>2169.2085450000004</v>
      </c>
      <c r="H32" s="545"/>
      <c r="I32" s="545">
        <f t="shared" si="7"/>
        <v>5803.234512</v>
      </c>
      <c r="J32" s="545"/>
      <c r="K32" s="545">
        <f t="shared" si="5"/>
        <v>32478.9025</v>
      </c>
      <c r="L32" s="546"/>
      <c r="M32" s="545">
        <f t="shared" si="8"/>
        <v>24506.9025</v>
      </c>
      <c r="N32" s="545"/>
      <c r="O32" s="545"/>
      <c r="P32" s="545">
        <f t="shared" si="9"/>
        <v>2169.2085450000004</v>
      </c>
      <c r="Q32" s="545"/>
      <c r="R32" s="545">
        <f t="shared" si="10"/>
        <v>26676.111045000001</v>
      </c>
      <c r="S32" s="524"/>
      <c r="T32" s="551"/>
      <c r="U32" s="547"/>
    </row>
    <row r="33" spans="1:22" ht="15.5" x14ac:dyDescent="0.35">
      <c r="A33" s="184"/>
      <c r="B33" s="555"/>
      <c r="C33" s="550"/>
      <c r="D33" s="557">
        <v>5</v>
      </c>
      <c r="E33" s="544">
        <v>26621.497499999998</v>
      </c>
      <c r="F33" s="545"/>
      <c r="G33" s="545">
        <f t="shared" si="6"/>
        <v>2461.0226549999998</v>
      </c>
      <c r="H33" s="545"/>
      <c r="I33" s="545">
        <f t="shared" si="7"/>
        <v>6303.9706079999996</v>
      </c>
      <c r="J33" s="545"/>
      <c r="K33" s="545">
        <f t="shared" si="5"/>
        <v>35386.497499999998</v>
      </c>
      <c r="L33" s="546"/>
      <c r="M33" s="545">
        <f t="shared" si="8"/>
        <v>26621.497499999998</v>
      </c>
      <c r="N33" s="545"/>
      <c r="O33" s="545"/>
      <c r="P33" s="545">
        <f t="shared" si="9"/>
        <v>2461.0226549999998</v>
      </c>
      <c r="Q33" s="545"/>
      <c r="R33" s="545">
        <f t="shared" si="10"/>
        <v>29082.520154999998</v>
      </c>
      <c r="S33" s="524"/>
      <c r="T33" s="551"/>
      <c r="U33" s="547"/>
      <c r="V33" s="552"/>
    </row>
    <row r="34" spans="1:22" ht="15.5" x14ac:dyDescent="0.35">
      <c r="A34" s="184"/>
      <c r="B34" s="555"/>
      <c r="C34" s="550"/>
      <c r="D34" s="557">
        <v>6</v>
      </c>
      <c r="E34" s="544">
        <v>28734.037499999999</v>
      </c>
      <c r="F34" s="545"/>
      <c r="G34" s="545">
        <f t="shared" si="6"/>
        <v>2752.553175</v>
      </c>
      <c r="H34" s="545"/>
      <c r="I34" s="545">
        <f t="shared" si="7"/>
        <v>6804.2200800000001</v>
      </c>
      <c r="J34" s="545"/>
      <c r="K34" s="545">
        <f t="shared" si="5"/>
        <v>38291.037499999999</v>
      </c>
      <c r="L34" s="546"/>
      <c r="M34" s="545">
        <f t="shared" si="8"/>
        <v>28734.037499999999</v>
      </c>
      <c r="N34" s="545"/>
      <c r="O34" s="545"/>
      <c r="P34" s="545">
        <f t="shared" si="9"/>
        <v>2752.553175</v>
      </c>
      <c r="Q34" s="545"/>
      <c r="R34" s="545">
        <f t="shared" si="10"/>
        <v>31486.590674999999</v>
      </c>
      <c r="S34" s="524"/>
      <c r="T34" s="551"/>
      <c r="U34" s="547"/>
      <c r="V34" s="552"/>
    </row>
    <row r="35" spans="1:22" ht="15.5" x14ac:dyDescent="0.35">
      <c r="A35" s="184"/>
      <c r="B35" s="555"/>
      <c r="C35" s="550"/>
      <c r="D35" s="557"/>
      <c r="E35" s="559"/>
      <c r="F35" s="559"/>
      <c r="G35" s="559"/>
      <c r="H35" s="559"/>
      <c r="I35" s="559"/>
      <c r="J35" s="559"/>
      <c r="K35" s="559"/>
      <c r="L35" s="560"/>
      <c r="M35" s="559"/>
      <c r="N35" s="559"/>
      <c r="O35" s="559"/>
      <c r="P35" s="559"/>
      <c r="Q35" s="559"/>
      <c r="R35" s="559"/>
      <c r="S35" s="524"/>
      <c r="T35" s="551"/>
      <c r="U35" s="547"/>
      <c r="V35" s="552"/>
    </row>
    <row r="36" spans="1:22" ht="15.5" x14ac:dyDescent="0.35">
      <c r="A36" s="184"/>
      <c r="B36" s="555"/>
      <c r="C36" s="550"/>
      <c r="D36" s="557"/>
      <c r="E36" s="559"/>
      <c r="F36" s="559"/>
      <c r="G36" s="559"/>
      <c r="H36" s="559"/>
      <c r="I36" s="559"/>
      <c r="J36" s="559"/>
      <c r="K36" s="559"/>
      <c r="L36" s="560"/>
      <c r="M36" s="559"/>
      <c r="N36" s="559"/>
      <c r="O36" s="559"/>
      <c r="P36" s="559"/>
      <c r="Q36" s="559"/>
      <c r="R36" s="559"/>
      <c r="S36" s="524"/>
      <c r="T36" s="551"/>
      <c r="U36" s="547"/>
      <c r="V36" s="552"/>
    </row>
    <row r="37" spans="1:22" ht="16" thickBot="1" x14ac:dyDescent="0.4">
      <c r="A37" s="184"/>
      <c r="B37" s="561"/>
      <c r="C37" s="562"/>
      <c r="D37" s="563"/>
      <c r="E37" s="564"/>
      <c r="F37" s="564"/>
      <c r="G37" s="564"/>
      <c r="H37" s="564"/>
      <c r="I37" s="564"/>
      <c r="J37" s="564"/>
      <c r="K37" s="564"/>
      <c r="L37" s="565"/>
      <c r="M37" s="566"/>
      <c r="N37" s="564"/>
      <c r="O37" s="564"/>
      <c r="P37" s="564"/>
      <c r="Q37" s="564"/>
      <c r="R37" s="564"/>
      <c r="S37" s="537"/>
      <c r="T37" s="551"/>
      <c r="U37" s="547"/>
    </row>
    <row r="38" spans="1:22" ht="13.5" thickBot="1" x14ac:dyDescent="0.35">
      <c r="A38" s="184"/>
      <c r="B38" s="567"/>
      <c r="C38" s="538"/>
      <c r="D38" s="568"/>
      <c r="E38" s="569"/>
      <c r="F38" s="569"/>
      <c r="G38" s="569"/>
      <c r="H38" s="569"/>
      <c r="I38" s="569"/>
      <c r="J38" s="569"/>
      <c r="K38" s="569"/>
      <c r="L38" s="569"/>
      <c r="M38" s="569"/>
      <c r="N38" s="569"/>
      <c r="O38" s="569"/>
      <c r="P38" s="569"/>
      <c r="Q38" s="569"/>
      <c r="R38" s="569"/>
      <c r="T38" s="551"/>
    </row>
    <row r="39" spans="1:22" ht="13" x14ac:dyDescent="0.3">
      <c r="A39" s="184" t="s">
        <v>1438</v>
      </c>
      <c r="B39" s="570" t="s">
        <v>1439</v>
      </c>
      <c r="C39" s="571"/>
      <c r="D39" s="572"/>
      <c r="E39" s="573"/>
      <c r="F39" s="573"/>
      <c r="G39" s="574"/>
      <c r="H39" s="569"/>
      <c r="I39" s="569"/>
      <c r="J39" s="569"/>
      <c r="K39" s="569"/>
      <c r="L39" s="569"/>
      <c r="M39" s="569"/>
      <c r="N39" s="569"/>
      <c r="O39" s="569"/>
      <c r="P39" s="569"/>
      <c r="Q39" s="569"/>
      <c r="R39" s="569"/>
      <c r="T39" s="551"/>
    </row>
    <row r="40" spans="1:22" x14ac:dyDescent="0.25">
      <c r="B40" s="487"/>
      <c r="C40" s="575"/>
      <c r="D40" s="576"/>
      <c r="E40" s="577"/>
      <c r="F40" s="577"/>
      <c r="G40" s="578"/>
      <c r="T40" s="551"/>
    </row>
    <row r="41" spans="1:22" x14ac:dyDescent="0.25">
      <c r="B41" s="487" t="s">
        <v>1440</v>
      </c>
      <c r="C41" s="575"/>
      <c r="D41" s="576"/>
      <c r="E41" s="577"/>
      <c r="F41" s="577"/>
      <c r="G41" s="578"/>
      <c r="H41" s="289" t="s">
        <v>1441</v>
      </c>
      <c r="T41" s="551"/>
    </row>
    <row r="42" spans="1:22" x14ac:dyDescent="0.25">
      <c r="B42" s="487" t="s">
        <v>1442</v>
      </c>
      <c r="C42" s="575"/>
      <c r="D42" s="576"/>
      <c r="E42" s="579">
        <v>571</v>
      </c>
      <c r="F42" s="577"/>
      <c r="G42" s="578"/>
      <c r="T42" s="551"/>
    </row>
    <row r="43" spans="1:22" x14ac:dyDescent="0.25">
      <c r="B43" s="487" t="s">
        <v>1443</v>
      </c>
      <c r="C43" s="575"/>
      <c r="D43" s="576"/>
      <c r="E43" s="579">
        <v>2833</v>
      </c>
      <c r="F43" s="577"/>
      <c r="G43" s="578"/>
    </row>
    <row r="44" spans="1:22" x14ac:dyDescent="0.25">
      <c r="B44" s="487"/>
      <c r="C44" s="575"/>
      <c r="D44" s="576"/>
      <c r="E44" s="579"/>
      <c r="F44" s="577"/>
      <c r="G44" s="578"/>
    </row>
    <row r="45" spans="1:22" x14ac:dyDescent="0.25">
      <c r="B45" s="487" t="s">
        <v>1444</v>
      </c>
      <c r="C45" s="580"/>
      <c r="D45" s="488"/>
      <c r="E45" s="579"/>
      <c r="F45" s="580"/>
      <c r="G45" s="581"/>
      <c r="H45" s="289" t="s">
        <v>1445</v>
      </c>
    </row>
    <row r="46" spans="1:22" x14ac:dyDescent="0.25">
      <c r="B46" s="487" t="s">
        <v>1442</v>
      </c>
      <c r="C46" s="580"/>
      <c r="D46" s="488"/>
      <c r="E46" s="579">
        <v>2873</v>
      </c>
      <c r="F46" s="580"/>
      <c r="G46" s="578"/>
    </row>
    <row r="47" spans="1:22" x14ac:dyDescent="0.25">
      <c r="B47" s="487" t="s">
        <v>1443</v>
      </c>
      <c r="C47" s="580"/>
      <c r="D47" s="488"/>
      <c r="E47" s="579">
        <v>7017</v>
      </c>
      <c r="F47" s="580"/>
      <c r="G47" s="578"/>
    </row>
    <row r="48" spans="1:22" x14ac:dyDescent="0.25">
      <c r="B48" s="487"/>
      <c r="C48" s="580"/>
      <c r="D48" s="488"/>
      <c r="E48" s="579"/>
      <c r="F48" s="580"/>
      <c r="G48" s="578"/>
    </row>
    <row r="49" spans="2:22" x14ac:dyDescent="0.25">
      <c r="B49" s="487" t="s">
        <v>1446</v>
      </c>
      <c r="C49" s="580"/>
      <c r="D49" s="488"/>
      <c r="E49" s="579"/>
      <c r="F49" s="580"/>
      <c r="G49" s="578"/>
      <c r="H49" s="289" t="s">
        <v>1447</v>
      </c>
    </row>
    <row r="50" spans="2:22" x14ac:dyDescent="0.25">
      <c r="B50" s="582" t="s">
        <v>1442</v>
      </c>
      <c r="C50" s="488"/>
      <c r="D50" s="488"/>
      <c r="E50" s="579">
        <v>8291</v>
      </c>
      <c r="F50" s="580"/>
      <c r="G50" s="578"/>
      <c r="V50" s="552"/>
    </row>
    <row r="51" spans="2:22" x14ac:dyDescent="0.25">
      <c r="B51" s="582" t="s">
        <v>1443</v>
      </c>
      <c r="C51" s="488"/>
      <c r="D51" s="488"/>
      <c r="E51" s="579">
        <v>14030</v>
      </c>
      <c r="F51" s="580"/>
      <c r="G51" s="578"/>
      <c r="V51" s="552"/>
    </row>
    <row r="52" spans="2:22" x14ac:dyDescent="0.25">
      <c r="B52" s="582"/>
      <c r="C52" s="488"/>
      <c r="D52" s="488"/>
      <c r="E52" s="579"/>
      <c r="F52" s="580"/>
      <c r="G52" s="578"/>
    </row>
    <row r="53" spans="2:22" x14ac:dyDescent="0.25">
      <c r="B53" s="582" t="s">
        <v>1448</v>
      </c>
      <c r="C53" s="488"/>
      <c r="D53" s="488"/>
      <c r="E53" s="579">
        <v>2270</v>
      </c>
      <c r="F53" s="580"/>
      <c r="G53" s="578"/>
    </row>
    <row r="54" spans="2:22" ht="13" thickBot="1" x14ac:dyDescent="0.3">
      <c r="B54" s="531" t="s">
        <v>1449</v>
      </c>
      <c r="C54" s="583"/>
      <c r="D54" s="583"/>
      <c r="E54" s="584">
        <v>4479</v>
      </c>
      <c r="F54" s="585"/>
      <c r="G54" s="586"/>
      <c r="V54" s="552"/>
    </row>
    <row r="55" spans="2:22" x14ac:dyDescent="0.25">
      <c r="V55" s="552"/>
    </row>
    <row r="57" spans="2:22" ht="13" x14ac:dyDescent="0.3">
      <c r="B57" s="184"/>
      <c r="V57" s="552"/>
    </row>
    <row r="58" spans="2:22" x14ac:dyDescent="0.25">
      <c r="V58" s="552"/>
    </row>
    <row r="59" spans="2:22" x14ac:dyDescent="0.25">
      <c r="B59" s="587"/>
      <c r="C59"/>
      <c r="E59" s="569"/>
      <c r="F59"/>
      <c r="G59"/>
    </row>
    <row r="60" spans="2:22" x14ac:dyDescent="0.25">
      <c r="C60"/>
      <c r="E60" s="569"/>
      <c r="F60"/>
      <c r="G60"/>
    </row>
    <row r="61" spans="2:22" ht="15.5" x14ac:dyDescent="0.35">
      <c r="B61" s="517"/>
      <c r="C61" s="518"/>
      <c r="D61" s="518"/>
      <c r="E61" s="519" t="s">
        <v>1412</v>
      </c>
      <c r="F61" s="520"/>
      <c r="G61" s="519"/>
      <c r="H61" s="520"/>
      <c r="I61" s="519"/>
      <c r="J61" s="520"/>
      <c r="K61" s="519"/>
      <c r="L61" s="521"/>
      <c r="M61" s="522" t="s">
        <v>1413</v>
      </c>
      <c r="N61" s="523"/>
      <c r="O61" s="523"/>
      <c r="P61" s="523"/>
      <c r="Q61" s="523"/>
      <c r="R61" s="523"/>
      <c r="S61" s="524"/>
    </row>
    <row r="62" spans="2:22" ht="15.5" x14ac:dyDescent="0.35">
      <c r="B62" s="517"/>
      <c r="C62" s="525" t="s">
        <v>1414</v>
      </c>
      <c r="D62" s="525" t="s">
        <v>1415</v>
      </c>
      <c r="E62" s="526" t="s">
        <v>1416</v>
      </c>
      <c r="F62" s="525"/>
      <c r="G62" s="527" t="s">
        <v>1417</v>
      </c>
      <c r="H62" s="525"/>
      <c r="I62" s="526" t="s">
        <v>1418</v>
      </c>
      <c r="J62" s="525"/>
      <c r="K62" s="526" t="s">
        <v>357</v>
      </c>
      <c r="L62" s="528"/>
      <c r="M62" s="529" t="s">
        <v>1416</v>
      </c>
      <c r="N62" s="525"/>
      <c r="O62" s="525"/>
      <c r="P62" s="527" t="s">
        <v>1417</v>
      </c>
      <c r="Q62" s="525"/>
      <c r="R62" s="530" t="s">
        <v>357</v>
      </c>
      <c r="S62" s="524"/>
    </row>
    <row r="63" spans="2:22" ht="16" thickBot="1" x14ac:dyDescent="0.4">
      <c r="B63" s="534"/>
      <c r="C63" s="535"/>
      <c r="D63" s="535"/>
      <c r="E63" s="535"/>
      <c r="F63" s="535"/>
      <c r="G63" s="535"/>
      <c r="H63" s="535"/>
      <c r="I63" s="535"/>
      <c r="J63" s="535"/>
      <c r="K63" s="535"/>
      <c r="L63" s="535"/>
      <c r="M63" s="536"/>
      <c r="N63" s="535"/>
      <c r="O63" s="535"/>
      <c r="P63" s="535"/>
      <c r="Q63" s="535"/>
      <c r="R63" s="535"/>
      <c r="S63" s="537"/>
    </row>
    <row r="64" spans="2:22" ht="15.5" x14ac:dyDescent="0.35">
      <c r="B64" s="540"/>
      <c r="C64" s="541"/>
      <c r="D64" s="541"/>
      <c r="E64" s="541"/>
      <c r="F64" s="541"/>
      <c r="G64" s="541"/>
      <c r="H64" s="541"/>
      <c r="I64" s="541"/>
      <c r="J64" s="541"/>
      <c r="K64" s="541"/>
      <c r="L64" s="542"/>
      <c r="M64" s="541"/>
      <c r="N64" s="541"/>
      <c r="O64" s="541"/>
      <c r="P64" s="541"/>
      <c r="Q64" s="541"/>
      <c r="R64" s="541"/>
      <c r="S64" s="542"/>
    </row>
    <row r="65" spans="2:19" ht="15.5" x14ac:dyDescent="0.35">
      <c r="B65" s="517"/>
      <c r="C65" s="518" t="s">
        <v>1419</v>
      </c>
      <c r="D65" s="543">
        <v>1</v>
      </c>
      <c r="E65" s="544">
        <v>25713.514999999999</v>
      </c>
      <c r="F65" s="545"/>
      <c r="G65" s="545">
        <f t="shared" ref="G65:G70" si="11">IF($M65&gt;$U$11,($E65-$U$11)*$W$11,"ERROR")</f>
        <v>2335.7210700000001</v>
      </c>
      <c r="H65" s="545"/>
      <c r="I65" s="545">
        <f t="shared" ref="I65:I70" si="12">$E65*$V$13</f>
        <v>6088.9603520000001</v>
      </c>
      <c r="J65" s="545"/>
      <c r="K65" s="545">
        <f t="shared" ref="K65:K70" si="13">E65+ROUND(G65,0)+ROUND(I65,0)</f>
        <v>34138.514999999999</v>
      </c>
      <c r="L65" s="546"/>
      <c r="M65" s="545">
        <f t="shared" ref="M65:M70" si="14">E65</f>
        <v>25713.514999999999</v>
      </c>
      <c r="N65" s="545"/>
      <c r="O65" s="545"/>
      <c r="P65" s="545">
        <f t="shared" ref="P65:P70" si="15">IF($M65&gt;$U$11,($M65-$U$11)*$W$11,"ERROR")</f>
        <v>2335.7210700000001</v>
      </c>
      <c r="Q65" s="545"/>
      <c r="R65" s="545">
        <f t="shared" ref="R65:R70" si="16">SUM(M65:P65)</f>
        <v>28049.236069999999</v>
      </c>
      <c r="S65" s="524"/>
    </row>
    <row r="66" spans="2:19" ht="15.5" x14ac:dyDescent="0.35">
      <c r="B66" s="549"/>
      <c r="C66" s="550"/>
      <c r="D66" s="543">
        <v>2</v>
      </c>
      <c r="E66" s="544">
        <v>27599.751000000004</v>
      </c>
      <c r="F66" s="545"/>
      <c r="G66" s="545">
        <f t="shared" si="11"/>
        <v>2596.0216380000006</v>
      </c>
      <c r="H66" s="545"/>
      <c r="I66" s="545">
        <f t="shared" si="12"/>
        <v>6535.6210368000011</v>
      </c>
      <c r="J66" s="545"/>
      <c r="K66" s="545">
        <f t="shared" si="13"/>
        <v>36731.751000000004</v>
      </c>
      <c r="L66" s="546"/>
      <c r="M66" s="545">
        <f t="shared" si="14"/>
        <v>27599.751000000004</v>
      </c>
      <c r="N66" s="545"/>
      <c r="O66" s="545"/>
      <c r="P66" s="545">
        <f t="shared" si="15"/>
        <v>2596.0216380000006</v>
      </c>
      <c r="Q66" s="545"/>
      <c r="R66" s="545">
        <f t="shared" si="16"/>
        <v>30195.772638000006</v>
      </c>
      <c r="S66" s="524"/>
    </row>
    <row r="67" spans="2:19" ht="15.5" x14ac:dyDescent="0.35">
      <c r="B67" s="549"/>
      <c r="C67" s="550"/>
      <c r="D67" s="543">
        <v>3</v>
      </c>
      <c r="E67" s="544">
        <v>29663.172000000002</v>
      </c>
      <c r="F67" s="545"/>
      <c r="G67" s="545">
        <f>IF($M67&gt;$U$11,($E67-$U$11)*$W$11,"ERROR")</f>
        <v>2880.7737360000006</v>
      </c>
      <c r="H67" s="545"/>
      <c r="I67" s="545">
        <f t="shared" si="12"/>
        <v>7024.2391296000005</v>
      </c>
      <c r="J67" s="545"/>
      <c r="K67" s="545">
        <f t="shared" si="13"/>
        <v>39568.172000000006</v>
      </c>
      <c r="L67" s="546"/>
      <c r="M67" s="545">
        <f t="shared" si="14"/>
        <v>29663.172000000002</v>
      </c>
      <c r="N67" s="545"/>
      <c r="O67" s="545"/>
      <c r="P67" s="545">
        <f t="shared" si="15"/>
        <v>2880.7737360000006</v>
      </c>
      <c r="Q67" s="545"/>
      <c r="R67" s="545">
        <f t="shared" si="16"/>
        <v>32543.945736000001</v>
      </c>
      <c r="S67" s="524"/>
    </row>
    <row r="68" spans="2:19" ht="15.5" x14ac:dyDescent="0.35">
      <c r="B68" s="549"/>
      <c r="C68" s="550"/>
      <c r="D68" s="543">
        <v>4</v>
      </c>
      <c r="E68" s="544">
        <v>31777.0615</v>
      </c>
      <c r="F68" s="545"/>
      <c r="G68" s="545">
        <f t="shared" si="11"/>
        <v>3172.490487</v>
      </c>
      <c r="H68" s="545"/>
      <c r="I68" s="545">
        <f t="shared" si="12"/>
        <v>7524.8081632000003</v>
      </c>
      <c r="J68" s="545"/>
      <c r="K68" s="545">
        <f t="shared" si="13"/>
        <v>42474.061499999996</v>
      </c>
      <c r="L68" s="546"/>
      <c r="M68" s="545">
        <f t="shared" si="14"/>
        <v>31777.0615</v>
      </c>
      <c r="N68" s="545"/>
      <c r="O68" s="545"/>
      <c r="P68" s="545">
        <f t="shared" si="15"/>
        <v>3172.490487</v>
      </c>
      <c r="Q68" s="545"/>
      <c r="R68" s="545">
        <f t="shared" si="16"/>
        <v>34949.551986999999</v>
      </c>
      <c r="S68" s="524"/>
    </row>
    <row r="69" spans="2:19" ht="15.5" x14ac:dyDescent="0.35">
      <c r="B69" s="549"/>
      <c r="C69" s="550"/>
      <c r="D69" s="543">
        <v>5</v>
      </c>
      <c r="E69" s="791">
        <f>34099.33-((34099.33-E68)*0.2)+E53</f>
        <v>35904.876300000004</v>
      </c>
      <c r="F69" s="545"/>
      <c r="G69" s="545">
        <f t="shared" si="11"/>
        <v>3742.1289294000007</v>
      </c>
      <c r="H69" s="545"/>
      <c r="I69" s="545">
        <f t="shared" si="12"/>
        <v>8502.2747078400007</v>
      </c>
      <c r="J69" s="545"/>
      <c r="K69" s="545">
        <f t="shared" si="13"/>
        <v>48148.876300000004</v>
      </c>
      <c r="L69" s="546"/>
      <c r="M69" s="545">
        <f t="shared" si="14"/>
        <v>35904.876300000004</v>
      </c>
      <c r="N69" s="545"/>
      <c r="O69" s="545"/>
      <c r="P69" s="545">
        <f t="shared" si="15"/>
        <v>3742.1289294000007</v>
      </c>
      <c r="Q69" s="545"/>
      <c r="R69" s="545">
        <f t="shared" si="16"/>
        <v>39647.005229400005</v>
      </c>
      <c r="S69" s="524"/>
    </row>
    <row r="70" spans="2:19" ht="15.5" x14ac:dyDescent="0.35">
      <c r="B70" s="549"/>
      <c r="C70" s="550"/>
      <c r="D70" s="543">
        <v>6</v>
      </c>
      <c r="E70" s="544">
        <v>36960.202499999999</v>
      </c>
      <c r="F70" s="545"/>
      <c r="G70" s="545">
        <f t="shared" si="11"/>
        <v>3887.7639450000001</v>
      </c>
      <c r="H70" s="545"/>
      <c r="I70" s="545">
        <f t="shared" si="12"/>
        <v>8752.1759519999996</v>
      </c>
      <c r="J70" s="545"/>
      <c r="K70" s="545">
        <f t="shared" si="13"/>
        <v>49600.202499999999</v>
      </c>
      <c r="L70" s="546"/>
      <c r="M70" s="545">
        <f t="shared" si="14"/>
        <v>36960.202499999999</v>
      </c>
      <c r="N70" s="545"/>
      <c r="O70" s="545"/>
      <c r="P70" s="545">
        <f t="shared" si="15"/>
        <v>3887.7639450000001</v>
      </c>
      <c r="Q70" s="545"/>
      <c r="R70" s="545">
        <f t="shared" si="16"/>
        <v>40847.966444999998</v>
      </c>
      <c r="S70" s="524"/>
    </row>
    <row r="71" spans="2:19" ht="15.5" x14ac:dyDescent="0.35">
      <c r="B71" s="553" t="s">
        <v>1424</v>
      </c>
      <c r="C71" s="550"/>
      <c r="D71" s="543"/>
      <c r="E71" s="544"/>
      <c r="F71" s="545"/>
      <c r="G71" s="545"/>
      <c r="H71" s="545"/>
      <c r="I71" s="545"/>
      <c r="J71" s="545"/>
      <c r="K71" s="545"/>
      <c r="L71" s="546"/>
      <c r="M71" s="554" t="s">
        <v>1425</v>
      </c>
      <c r="N71" s="545"/>
      <c r="O71" s="545"/>
      <c r="P71" s="545"/>
      <c r="Q71" s="545"/>
      <c r="R71" s="545"/>
      <c r="S71" s="524"/>
    </row>
    <row r="72" spans="2:19" ht="15.5" x14ac:dyDescent="0.35">
      <c r="B72" s="549"/>
      <c r="C72" s="550" t="s">
        <v>1426</v>
      </c>
      <c r="D72" s="543">
        <v>1</v>
      </c>
      <c r="E72" s="544">
        <v>38689.485000000001</v>
      </c>
      <c r="F72" s="545"/>
      <c r="G72" s="545">
        <f>IF($M72&gt;$U$11,($E72-$U$11)*$W$11,"ERROR")</f>
        <v>4126.4049300000006</v>
      </c>
      <c r="H72" s="545"/>
      <c r="I72" s="545">
        <f>$E72*$V$13</f>
        <v>9161.670048</v>
      </c>
      <c r="J72" s="545"/>
      <c r="K72" s="545">
        <f>E72+ROUND(G72,0)+ROUND(I72,0)</f>
        <v>51977.485000000001</v>
      </c>
      <c r="L72" s="546"/>
      <c r="M72" s="545">
        <f>E72</f>
        <v>38689.485000000001</v>
      </c>
      <c r="N72" s="545"/>
      <c r="O72" s="545"/>
      <c r="P72" s="545">
        <f>IF($M72&gt;$U$11,($M72-$U$11)*$W$11,"ERROR")</f>
        <v>4126.4049300000006</v>
      </c>
      <c r="Q72" s="545"/>
      <c r="R72" s="545">
        <f>SUM(M72:P72)</f>
        <v>42815.889930000005</v>
      </c>
      <c r="S72" s="524"/>
    </row>
    <row r="73" spans="2:19" ht="15.5" x14ac:dyDescent="0.35">
      <c r="B73" s="549"/>
      <c r="C73" s="550" t="s">
        <v>1428</v>
      </c>
      <c r="D73" s="543">
        <v>2</v>
      </c>
      <c r="E73" s="544">
        <v>40123.875</v>
      </c>
      <c r="F73" s="545"/>
      <c r="G73" s="545">
        <f>IF($M73&gt;$U$11,($E73-$U$11)*$W$11,"ERROR")</f>
        <v>4324.3507500000005</v>
      </c>
      <c r="H73" s="545"/>
      <c r="I73" s="545">
        <f>$E73*$V$13</f>
        <v>9501.3335999999999</v>
      </c>
      <c r="J73" s="545"/>
      <c r="K73" s="545">
        <f>E73+ROUND(G73,0)+ROUND(I73,0)</f>
        <v>53948.875</v>
      </c>
      <c r="L73" s="546"/>
      <c r="M73" s="545">
        <f>E73</f>
        <v>40123.875</v>
      </c>
      <c r="N73" s="545"/>
      <c r="O73" s="545"/>
      <c r="P73" s="545">
        <f>IF($M73&gt;$U$11,($M73-$U$11)*$W$11,"ERROR")</f>
        <v>4324.3507500000005</v>
      </c>
      <c r="Q73" s="545"/>
      <c r="R73" s="545">
        <f>SUM(M73:P73)</f>
        <v>44448.225749999998</v>
      </c>
      <c r="S73" s="524"/>
    </row>
    <row r="74" spans="2:19" ht="15.5" x14ac:dyDescent="0.35">
      <c r="B74" s="549"/>
      <c r="C74" s="550"/>
      <c r="D74" s="543">
        <v>3</v>
      </c>
      <c r="E74" s="544">
        <v>41603.474999999999</v>
      </c>
      <c r="F74" s="545"/>
      <c r="G74" s="545">
        <f>IF($M74&gt;$U$11,($E74-$U$11)*$W$11,"ERROR")</f>
        <v>4528.5355500000005</v>
      </c>
      <c r="H74" s="545"/>
      <c r="I74" s="545">
        <f>$E74*$V$13</f>
        <v>9851.7028800000007</v>
      </c>
      <c r="J74" s="545"/>
      <c r="K74" s="545">
        <f>E74+ROUND(G74,0)+ROUND(I74,0)</f>
        <v>55984.474999999999</v>
      </c>
      <c r="L74" s="546"/>
      <c r="M74" s="545">
        <f>E74</f>
        <v>41603.474999999999</v>
      </c>
      <c r="N74" s="545"/>
      <c r="O74" s="545"/>
      <c r="P74" s="545">
        <f>IF($M74&gt;$U$11,($M74-$U$11)*$W$11,"ERROR")</f>
        <v>4528.5355500000005</v>
      </c>
      <c r="Q74" s="545"/>
      <c r="R74" s="545">
        <f>SUM(M74:P74)</f>
        <v>46132.010549999999</v>
      </c>
      <c r="S74" s="524"/>
    </row>
    <row r="75" spans="2:19" ht="15.5" x14ac:dyDescent="0.35">
      <c r="B75" s="549"/>
      <c r="C75" s="550"/>
      <c r="D75" s="543"/>
      <c r="E75" s="544"/>
      <c r="F75" s="545"/>
      <c r="G75" s="545"/>
      <c r="H75" s="545"/>
      <c r="I75" s="545"/>
      <c r="J75" s="545"/>
      <c r="K75" s="545"/>
      <c r="L75" s="546"/>
      <c r="M75" s="545"/>
      <c r="N75" s="545"/>
      <c r="O75" s="545"/>
      <c r="P75" s="545"/>
      <c r="Q75" s="545"/>
      <c r="R75" s="545"/>
      <c r="S75" s="524"/>
    </row>
    <row r="76" spans="2:19" ht="15.5" x14ac:dyDescent="0.35">
      <c r="B76" s="553" t="s">
        <v>1431</v>
      </c>
      <c r="C76" s="550"/>
      <c r="D76" s="543"/>
      <c r="E76" s="544"/>
      <c r="F76" s="545"/>
      <c r="G76" s="545"/>
      <c r="H76" s="545"/>
      <c r="I76" s="545"/>
      <c r="J76" s="545"/>
      <c r="K76" s="545"/>
      <c r="L76" s="546"/>
      <c r="M76" s="554" t="s">
        <v>1425</v>
      </c>
      <c r="N76" s="545"/>
      <c r="O76" s="545"/>
      <c r="P76" s="545"/>
      <c r="Q76" s="545"/>
      <c r="R76" s="545"/>
      <c r="S76" s="524"/>
    </row>
    <row r="77" spans="2:19" ht="15.5" x14ac:dyDescent="0.35">
      <c r="B77" s="555"/>
      <c r="C77" s="550"/>
      <c r="D77" s="521"/>
      <c r="E77" s="544"/>
      <c r="F77" s="545"/>
      <c r="G77" s="545"/>
      <c r="H77" s="545"/>
      <c r="I77" s="545"/>
      <c r="J77" s="545"/>
      <c r="K77" s="545"/>
      <c r="L77" s="546"/>
      <c r="M77" s="545"/>
      <c r="N77" s="545"/>
      <c r="O77" s="545"/>
      <c r="P77" s="545"/>
      <c r="Q77" s="545"/>
      <c r="R77" s="545"/>
      <c r="S77" s="524"/>
    </row>
    <row r="78" spans="2:19" ht="15.5" x14ac:dyDescent="0.35">
      <c r="B78" s="556" t="s">
        <v>1434</v>
      </c>
      <c r="C78" s="550" t="s">
        <v>1435</v>
      </c>
      <c r="D78" s="557">
        <v>1</v>
      </c>
      <c r="E78" s="544">
        <v>18168.255000000001</v>
      </c>
      <c r="F78" s="545"/>
      <c r="G78" s="545">
        <f t="shared" ref="G78:G83" si="17">IF($M78&gt;$U$11,($E78-$U$11)*$W$11,"ERROR")</f>
        <v>1294.4751900000003</v>
      </c>
      <c r="H78" s="545"/>
      <c r="I78" s="545">
        <f t="shared" ref="I78:I83" si="18">$E78*$V$13</f>
        <v>4302.242784</v>
      </c>
      <c r="J78" s="545"/>
      <c r="K78" s="545">
        <f t="shared" ref="K78:K83" si="19">E78+ROUND(G78,0)+ROUND(I78,0)</f>
        <v>23764.255000000001</v>
      </c>
      <c r="L78" s="546"/>
      <c r="M78" s="545">
        <f t="shared" ref="M78:M83" si="20">E78</f>
        <v>18168.255000000001</v>
      </c>
      <c r="N78" s="545"/>
      <c r="O78" s="545"/>
      <c r="P78" s="545">
        <f t="shared" ref="P78:P83" si="21">IF($M78&gt;$U$11,($M78-$U$11)*$W$11,"ERROR")</f>
        <v>1294.4751900000003</v>
      </c>
      <c r="Q78" s="545"/>
      <c r="R78" s="545">
        <f t="shared" ref="R78:R83" si="22">SUM(M78:P78)</f>
        <v>19462.730190000002</v>
      </c>
      <c r="S78" s="524"/>
    </row>
    <row r="79" spans="2:19" ht="15.5" x14ac:dyDescent="0.35">
      <c r="B79" s="556" t="s">
        <v>1436</v>
      </c>
      <c r="C79" s="550" t="s">
        <v>1437</v>
      </c>
      <c r="D79" s="557">
        <v>2</v>
      </c>
      <c r="E79" s="544">
        <v>20281.822499999998</v>
      </c>
      <c r="F79" s="545"/>
      <c r="G79" s="545">
        <f t="shared" si="17"/>
        <v>1586.1475049999999</v>
      </c>
      <c r="H79" s="545"/>
      <c r="I79" s="545">
        <f t="shared" si="18"/>
        <v>4802.7355680000001</v>
      </c>
      <c r="J79" s="545"/>
      <c r="K79" s="545">
        <f t="shared" si="19"/>
        <v>26670.822499999998</v>
      </c>
      <c r="L79" s="546"/>
      <c r="M79" s="545">
        <f t="shared" si="20"/>
        <v>20281.822499999998</v>
      </c>
      <c r="N79" s="545"/>
      <c r="O79" s="545"/>
      <c r="P79" s="545">
        <f t="shared" si="21"/>
        <v>1586.1475049999999</v>
      </c>
      <c r="Q79" s="545"/>
      <c r="R79" s="545">
        <f t="shared" si="22"/>
        <v>21867.970004999999</v>
      </c>
      <c r="S79" s="524"/>
    </row>
    <row r="80" spans="2:19" ht="15.5" x14ac:dyDescent="0.35">
      <c r="B80" s="558"/>
      <c r="C80" s="550"/>
      <c r="D80" s="557">
        <v>3</v>
      </c>
      <c r="E80" s="544">
        <v>22393.334999999999</v>
      </c>
      <c r="F80" s="545"/>
      <c r="G80" s="545">
        <f t="shared" si="17"/>
        <v>1877.5362299999999</v>
      </c>
      <c r="H80" s="545"/>
      <c r="I80" s="545">
        <f t="shared" si="18"/>
        <v>5302.741728</v>
      </c>
      <c r="J80" s="545"/>
      <c r="K80" s="545">
        <f t="shared" si="19"/>
        <v>29574.334999999999</v>
      </c>
      <c r="L80" s="546"/>
      <c r="M80" s="545">
        <f t="shared" si="20"/>
        <v>22393.334999999999</v>
      </c>
      <c r="N80" s="545"/>
      <c r="O80" s="545"/>
      <c r="P80" s="545">
        <f t="shared" si="21"/>
        <v>1877.5362299999999</v>
      </c>
      <c r="Q80" s="545"/>
      <c r="R80" s="545">
        <f t="shared" si="22"/>
        <v>24270.871230000001</v>
      </c>
      <c r="S80" s="524"/>
    </row>
    <row r="81" spans="2:19" ht="15.5" x14ac:dyDescent="0.35">
      <c r="B81" s="558"/>
      <c r="C81" s="550"/>
      <c r="D81" s="557">
        <v>4</v>
      </c>
      <c r="E81" s="544">
        <v>24506.9025</v>
      </c>
      <c r="F81" s="545"/>
      <c r="G81" s="545">
        <f t="shared" si="17"/>
        <v>2169.2085450000004</v>
      </c>
      <c r="H81" s="545"/>
      <c r="I81" s="545">
        <f t="shared" si="18"/>
        <v>5803.234512</v>
      </c>
      <c r="J81" s="545"/>
      <c r="K81" s="545">
        <f t="shared" si="19"/>
        <v>32478.9025</v>
      </c>
      <c r="L81" s="546"/>
      <c r="M81" s="545">
        <f t="shared" si="20"/>
        <v>24506.9025</v>
      </c>
      <c r="N81" s="545"/>
      <c r="O81" s="545"/>
      <c r="P81" s="545">
        <f t="shared" si="21"/>
        <v>2169.2085450000004</v>
      </c>
      <c r="Q81" s="545"/>
      <c r="R81" s="545">
        <f t="shared" si="22"/>
        <v>26676.111045000001</v>
      </c>
      <c r="S81" s="524"/>
    </row>
    <row r="82" spans="2:19" ht="15.5" x14ac:dyDescent="0.35">
      <c r="B82" s="555"/>
      <c r="C82" s="550"/>
      <c r="D82" s="557">
        <v>5</v>
      </c>
      <c r="E82" s="544">
        <v>26621.497499999998</v>
      </c>
      <c r="F82" s="545"/>
      <c r="G82" s="545">
        <f t="shared" si="17"/>
        <v>2461.0226549999998</v>
      </c>
      <c r="H82" s="545"/>
      <c r="I82" s="545">
        <f t="shared" si="18"/>
        <v>6303.9706079999996</v>
      </c>
      <c r="J82" s="545"/>
      <c r="K82" s="545">
        <f t="shared" si="19"/>
        <v>35386.497499999998</v>
      </c>
      <c r="L82" s="546"/>
      <c r="M82" s="545">
        <f t="shared" si="20"/>
        <v>26621.497499999998</v>
      </c>
      <c r="N82" s="545"/>
      <c r="O82" s="545"/>
      <c r="P82" s="545">
        <f t="shared" si="21"/>
        <v>2461.0226549999998</v>
      </c>
      <c r="Q82" s="545"/>
      <c r="R82" s="545">
        <f t="shared" si="22"/>
        <v>29082.520154999998</v>
      </c>
      <c r="S82" s="524"/>
    </row>
    <row r="83" spans="2:19" ht="15.5" x14ac:dyDescent="0.35">
      <c r="B83" s="555"/>
      <c r="C83" s="550"/>
      <c r="D83" s="557">
        <v>6</v>
      </c>
      <c r="E83" s="544">
        <v>28734.037499999999</v>
      </c>
      <c r="F83" s="545"/>
      <c r="G83" s="545">
        <f t="shared" si="17"/>
        <v>2752.553175</v>
      </c>
      <c r="H83" s="545"/>
      <c r="I83" s="545">
        <f t="shared" si="18"/>
        <v>6804.2200800000001</v>
      </c>
      <c r="J83" s="545"/>
      <c r="K83" s="545">
        <f t="shared" si="19"/>
        <v>38291.037499999999</v>
      </c>
      <c r="L83" s="546"/>
      <c r="M83" s="545">
        <f t="shared" si="20"/>
        <v>28734.037499999999</v>
      </c>
      <c r="N83" s="545"/>
      <c r="O83" s="545"/>
      <c r="P83" s="545">
        <f t="shared" si="21"/>
        <v>2752.553175</v>
      </c>
      <c r="Q83" s="545"/>
      <c r="R83" s="545">
        <f t="shared" si="22"/>
        <v>31486.590674999999</v>
      </c>
      <c r="S83" s="524"/>
    </row>
    <row r="84" spans="2:19" ht="15.5" x14ac:dyDescent="0.35">
      <c r="B84" s="555"/>
      <c r="C84" s="550"/>
      <c r="D84" s="557"/>
      <c r="E84" s="559"/>
      <c r="F84" s="559"/>
      <c r="G84" s="559"/>
      <c r="H84" s="559"/>
      <c r="I84" s="559"/>
      <c r="J84" s="559"/>
      <c r="K84" s="559"/>
      <c r="L84" s="560"/>
      <c r="M84" s="559"/>
      <c r="N84" s="559"/>
      <c r="O84" s="559"/>
      <c r="P84" s="559"/>
      <c r="Q84" s="559"/>
      <c r="R84" s="559"/>
      <c r="S84" s="524"/>
    </row>
    <row r="85" spans="2:19" ht="15.5" x14ac:dyDescent="0.35">
      <c r="B85" s="555"/>
      <c r="C85" s="550"/>
      <c r="D85" s="557"/>
      <c r="E85" s="559"/>
      <c r="F85" s="559"/>
      <c r="G85" s="559"/>
      <c r="H85" s="559"/>
      <c r="I85" s="559"/>
      <c r="J85" s="559"/>
      <c r="K85" s="559"/>
      <c r="L85" s="560"/>
      <c r="M85" s="559"/>
      <c r="N85" s="559"/>
      <c r="O85" s="559"/>
      <c r="P85" s="559"/>
      <c r="Q85" s="559"/>
      <c r="R85" s="559"/>
      <c r="S85" s="524"/>
    </row>
    <row r="86" spans="2:19" ht="16" thickBot="1" x14ac:dyDescent="0.4">
      <c r="B86" s="561"/>
      <c r="C86" s="562"/>
      <c r="D86" s="563"/>
      <c r="E86" s="564"/>
      <c r="F86" s="564"/>
      <c r="G86" s="564"/>
      <c r="H86" s="564"/>
      <c r="I86" s="564"/>
      <c r="J86" s="564"/>
      <c r="K86" s="564"/>
      <c r="L86" s="565"/>
      <c r="M86" s="566"/>
      <c r="N86" s="564"/>
      <c r="O86" s="564"/>
      <c r="P86" s="564"/>
      <c r="Q86" s="564"/>
      <c r="R86" s="564"/>
      <c r="S86" s="537"/>
    </row>
    <row r="90" spans="2:19" ht="15.5" x14ac:dyDescent="0.35">
      <c r="B90" s="517"/>
      <c r="C90" s="518"/>
      <c r="D90" s="518"/>
      <c r="E90" s="519" t="s">
        <v>1412</v>
      </c>
      <c r="F90" s="520"/>
      <c r="G90" s="519"/>
      <c r="H90" s="520"/>
      <c r="I90" s="519"/>
      <c r="J90" s="520"/>
      <c r="K90" s="519"/>
      <c r="L90" s="521"/>
      <c r="M90" s="522" t="s">
        <v>1413</v>
      </c>
      <c r="N90" s="523"/>
      <c r="O90" s="523"/>
      <c r="P90" s="523"/>
      <c r="Q90" s="523"/>
      <c r="R90" s="523"/>
      <c r="S90" s="524"/>
    </row>
    <row r="91" spans="2:19" ht="15.5" x14ac:dyDescent="0.35">
      <c r="B91" s="517"/>
      <c r="C91" s="525" t="s">
        <v>1414</v>
      </c>
      <c r="D91" s="525" t="s">
        <v>1415</v>
      </c>
      <c r="E91" s="526" t="s">
        <v>1416</v>
      </c>
      <c r="F91" s="525"/>
      <c r="G91" s="527" t="s">
        <v>1417</v>
      </c>
      <c r="H91" s="525"/>
      <c r="I91" s="526" t="s">
        <v>1418</v>
      </c>
      <c r="J91" s="525"/>
      <c r="K91" s="526" t="s">
        <v>357</v>
      </c>
      <c r="L91" s="528"/>
      <c r="M91" s="529" t="s">
        <v>1416</v>
      </c>
      <c r="N91" s="525"/>
      <c r="O91" s="525"/>
      <c r="P91" s="527" t="s">
        <v>1417</v>
      </c>
      <c r="Q91" s="525"/>
      <c r="R91" s="530" t="s">
        <v>357</v>
      </c>
      <c r="S91" s="524"/>
    </row>
    <row r="92" spans="2:19" ht="16" thickBot="1" x14ac:dyDescent="0.4">
      <c r="B92" s="534"/>
      <c r="C92" s="535"/>
      <c r="D92" s="535"/>
      <c r="E92" s="535"/>
      <c r="F92" s="535"/>
      <c r="G92" s="535"/>
      <c r="H92" s="535"/>
      <c r="I92" s="535"/>
      <c r="J92" s="535"/>
      <c r="K92" s="535"/>
      <c r="L92" s="535"/>
      <c r="M92" s="536"/>
      <c r="N92" s="535"/>
      <c r="O92" s="535"/>
      <c r="P92" s="535"/>
      <c r="Q92" s="535"/>
      <c r="R92" s="535"/>
      <c r="S92" s="537"/>
    </row>
    <row r="93" spans="2:19" ht="15.5" x14ac:dyDescent="0.35">
      <c r="B93" s="540"/>
      <c r="C93" s="541"/>
      <c r="D93" s="541"/>
      <c r="E93" s="541"/>
      <c r="F93" s="541"/>
      <c r="G93" s="541"/>
      <c r="H93" s="541"/>
      <c r="I93" s="541"/>
      <c r="J93" s="541"/>
      <c r="K93" s="541"/>
      <c r="L93" s="542"/>
      <c r="M93" s="541"/>
      <c r="N93" s="541"/>
      <c r="O93" s="541"/>
      <c r="P93" s="541"/>
      <c r="Q93" s="541"/>
      <c r="R93" s="541"/>
      <c r="S93" s="542"/>
    </row>
    <row r="94" spans="2:19" ht="15.5" x14ac:dyDescent="0.35">
      <c r="B94" s="517"/>
      <c r="C94" s="518" t="s">
        <v>1419</v>
      </c>
      <c r="D94" s="543">
        <v>1</v>
      </c>
      <c r="E94" s="544">
        <v>25713.514999999999</v>
      </c>
      <c r="F94" s="545"/>
      <c r="G94" s="545">
        <f t="shared" ref="G94:G99" si="23">IF($M94&gt;$U$11,($E94-$U$11)*$W$11,"ERROR")</f>
        <v>2335.7210700000001</v>
      </c>
      <c r="H94" s="545"/>
      <c r="I94" s="545">
        <f t="shared" ref="I94:I99" si="24">$E94*$V$13</f>
        <v>6088.9603520000001</v>
      </c>
      <c r="J94" s="545"/>
      <c r="K94" s="545">
        <f t="shared" ref="K94:K99" si="25">E94+ROUND(G94,0)+ROUND(I94,0)</f>
        <v>34138.514999999999</v>
      </c>
      <c r="L94" s="546"/>
      <c r="M94" s="545">
        <f t="shared" ref="M94:M99" si="26">E94</f>
        <v>25713.514999999999</v>
      </c>
      <c r="N94" s="545"/>
      <c r="O94" s="545"/>
      <c r="P94" s="545">
        <f t="shared" ref="P94:P99" si="27">IF($M94&gt;$U$11,($M94-$U$11)*$W$11,"ERROR")</f>
        <v>2335.7210700000001</v>
      </c>
      <c r="Q94" s="545"/>
      <c r="R94" s="545">
        <f t="shared" ref="R94:R99" si="28">SUM(M94:P94)</f>
        <v>28049.236069999999</v>
      </c>
      <c r="S94" s="524"/>
    </row>
    <row r="95" spans="2:19" ht="15.5" x14ac:dyDescent="0.35">
      <c r="B95" s="549"/>
      <c r="C95" s="550"/>
      <c r="D95" s="543">
        <v>2</v>
      </c>
      <c r="E95" s="544">
        <v>27599.751000000004</v>
      </c>
      <c r="F95" s="545"/>
      <c r="G95" s="545">
        <f t="shared" si="23"/>
        <v>2596.0216380000006</v>
      </c>
      <c r="H95" s="545"/>
      <c r="I95" s="545">
        <f t="shared" si="24"/>
        <v>6535.6210368000011</v>
      </c>
      <c r="J95" s="545"/>
      <c r="K95" s="545">
        <f t="shared" si="25"/>
        <v>36731.751000000004</v>
      </c>
      <c r="L95" s="546"/>
      <c r="M95" s="545">
        <f t="shared" si="26"/>
        <v>27599.751000000004</v>
      </c>
      <c r="N95" s="545"/>
      <c r="O95" s="545"/>
      <c r="P95" s="545">
        <f t="shared" si="27"/>
        <v>2596.0216380000006</v>
      </c>
      <c r="Q95" s="545"/>
      <c r="R95" s="545">
        <f t="shared" si="28"/>
        <v>30195.772638000006</v>
      </c>
      <c r="S95" s="524"/>
    </row>
    <row r="96" spans="2:19" ht="15.5" x14ac:dyDescent="0.35">
      <c r="B96" s="549"/>
      <c r="C96" s="550"/>
      <c r="D96" s="543">
        <v>3</v>
      </c>
      <c r="E96" s="544">
        <v>29663.172000000002</v>
      </c>
      <c r="F96" s="545"/>
      <c r="G96" s="545">
        <f>IF($M96&gt;$U$11,($E96-$U$11)*$W$11,"ERROR")</f>
        <v>2880.7737360000006</v>
      </c>
      <c r="H96" s="545"/>
      <c r="I96" s="545">
        <f t="shared" si="24"/>
        <v>7024.2391296000005</v>
      </c>
      <c r="J96" s="545"/>
      <c r="K96" s="545">
        <f t="shared" si="25"/>
        <v>39568.172000000006</v>
      </c>
      <c r="L96" s="546"/>
      <c r="M96" s="545">
        <f t="shared" si="26"/>
        <v>29663.172000000002</v>
      </c>
      <c r="N96" s="545"/>
      <c r="O96" s="545"/>
      <c r="P96" s="545">
        <f t="shared" si="27"/>
        <v>2880.7737360000006</v>
      </c>
      <c r="Q96" s="545"/>
      <c r="R96" s="545">
        <f t="shared" si="28"/>
        <v>32543.945736000001</v>
      </c>
      <c r="S96" s="524"/>
    </row>
    <row r="97" spans="2:19" ht="15.5" x14ac:dyDescent="0.35">
      <c r="B97" s="549"/>
      <c r="C97" s="550"/>
      <c r="D97" s="543">
        <v>4</v>
      </c>
      <c r="E97" s="544">
        <v>31777.0615</v>
      </c>
      <c r="F97" s="545"/>
      <c r="G97" s="545">
        <f t="shared" si="23"/>
        <v>3172.490487</v>
      </c>
      <c r="H97" s="545"/>
      <c r="I97" s="545">
        <f t="shared" si="24"/>
        <v>7524.8081632000003</v>
      </c>
      <c r="J97" s="545"/>
      <c r="K97" s="545">
        <f t="shared" si="25"/>
        <v>42474.061499999996</v>
      </c>
      <c r="L97" s="546"/>
      <c r="M97" s="545">
        <f t="shared" si="26"/>
        <v>31777.0615</v>
      </c>
      <c r="N97" s="545"/>
      <c r="O97" s="545"/>
      <c r="P97" s="545">
        <f t="shared" si="27"/>
        <v>3172.490487</v>
      </c>
      <c r="Q97" s="545"/>
      <c r="R97" s="545">
        <f t="shared" si="28"/>
        <v>34949.551986999999</v>
      </c>
      <c r="S97" s="524"/>
    </row>
    <row r="98" spans="2:19" ht="15.5" x14ac:dyDescent="0.35">
      <c r="B98" s="549"/>
      <c r="C98" s="550"/>
      <c r="D98" s="543">
        <v>5</v>
      </c>
      <c r="E98" s="791">
        <f>34099.33-((34099.33-E97)*0.4)+E53</f>
        <v>35440.422599999998</v>
      </c>
      <c r="F98" s="545"/>
      <c r="G98" s="545">
        <f t="shared" si="23"/>
        <v>3678.0343188000002</v>
      </c>
      <c r="H98" s="545"/>
      <c r="I98" s="545">
        <f t="shared" si="24"/>
        <v>8392.2920716799999</v>
      </c>
      <c r="J98" s="545"/>
      <c r="K98" s="545">
        <f t="shared" si="25"/>
        <v>47510.422599999998</v>
      </c>
      <c r="L98" s="546"/>
      <c r="M98" s="545">
        <f t="shared" si="26"/>
        <v>35440.422599999998</v>
      </c>
      <c r="N98" s="545"/>
      <c r="O98" s="545"/>
      <c r="P98" s="545">
        <f t="shared" si="27"/>
        <v>3678.0343188000002</v>
      </c>
      <c r="Q98" s="545"/>
      <c r="R98" s="545">
        <f t="shared" si="28"/>
        <v>39118.456918799995</v>
      </c>
      <c r="S98" s="524"/>
    </row>
    <row r="99" spans="2:19" ht="15.5" x14ac:dyDescent="0.35">
      <c r="B99" s="549"/>
      <c r="C99" s="550"/>
      <c r="D99" s="543">
        <v>6</v>
      </c>
      <c r="E99" s="544">
        <v>36960.202499999999</v>
      </c>
      <c r="F99" s="545"/>
      <c r="G99" s="545">
        <f t="shared" si="23"/>
        <v>3887.7639450000001</v>
      </c>
      <c r="H99" s="545"/>
      <c r="I99" s="545">
        <f t="shared" si="24"/>
        <v>8752.1759519999996</v>
      </c>
      <c r="J99" s="545"/>
      <c r="K99" s="545">
        <f t="shared" si="25"/>
        <v>49600.202499999999</v>
      </c>
      <c r="L99" s="546"/>
      <c r="M99" s="545">
        <f t="shared" si="26"/>
        <v>36960.202499999999</v>
      </c>
      <c r="N99" s="545"/>
      <c r="O99" s="545"/>
      <c r="P99" s="545">
        <f t="shared" si="27"/>
        <v>3887.7639450000001</v>
      </c>
      <c r="Q99" s="545"/>
      <c r="R99" s="545">
        <f t="shared" si="28"/>
        <v>40847.966444999998</v>
      </c>
      <c r="S99" s="524"/>
    </row>
    <row r="100" spans="2:19" ht="15.5" x14ac:dyDescent="0.35">
      <c r="B100" s="553" t="s">
        <v>1424</v>
      </c>
      <c r="C100" s="550"/>
      <c r="D100" s="543"/>
      <c r="E100" s="544"/>
      <c r="F100" s="545"/>
      <c r="G100" s="545"/>
      <c r="H100" s="545"/>
      <c r="I100" s="545"/>
      <c r="J100" s="545"/>
      <c r="K100" s="545"/>
      <c r="L100" s="546"/>
      <c r="M100" s="554" t="s">
        <v>1425</v>
      </c>
      <c r="N100" s="545"/>
      <c r="O100" s="545"/>
      <c r="P100" s="545"/>
      <c r="Q100" s="545"/>
      <c r="R100" s="545"/>
      <c r="S100" s="524"/>
    </row>
    <row r="101" spans="2:19" ht="15.5" x14ac:dyDescent="0.35">
      <c r="B101" s="549"/>
      <c r="C101" s="550" t="s">
        <v>1426</v>
      </c>
      <c r="D101" s="543">
        <v>1</v>
      </c>
      <c r="E101" s="544">
        <v>38689.485000000001</v>
      </c>
      <c r="F101" s="545"/>
      <c r="G101" s="545">
        <f>IF($M101&gt;$U$11,($E101-$U$11)*$W$11,"ERROR")</f>
        <v>4126.4049300000006</v>
      </c>
      <c r="H101" s="545"/>
      <c r="I101" s="545">
        <f>$E101*$V$13</f>
        <v>9161.670048</v>
      </c>
      <c r="J101" s="545"/>
      <c r="K101" s="545">
        <f>E101+ROUND(G101,0)+ROUND(I101,0)</f>
        <v>51977.485000000001</v>
      </c>
      <c r="L101" s="546"/>
      <c r="M101" s="545">
        <f>E101</f>
        <v>38689.485000000001</v>
      </c>
      <c r="N101" s="545"/>
      <c r="O101" s="545"/>
      <c r="P101" s="545">
        <f>IF($M101&gt;$U$11,($M101-$U$11)*$W$11,"ERROR")</f>
        <v>4126.4049300000006</v>
      </c>
      <c r="Q101" s="545"/>
      <c r="R101" s="545">
        <f>SUM(M101:P101)</f>
        <v>42815.889930000005</v>
      </c>
      <c r="S101" s="524"/>
    </row>
    <row r="102" spans="2:19" ht="15.5" x14ac:dyDescent="0.35">
      <c r="B102" s="549"/>
      <c r="C102" s="550" t="s">
        <v>1428</v>
      </c>
      <c r="D102" s="543">
        <v>2</v>
      </c>
      <c r="E102" s="544">
        <v>40123.875</v>
      </c>
      <c r="F102" s="545"/>
      <c r="G102" s="545">
        <f>IF($M102&gt;$U$11,($E102-$U$11)*$W$11,"ERROR")</f>
        <v>4324.3507500000005</v>
      </c>
      <c r="H102" s="545"/>
      <c r="I102" s="545">
        <f>$E102*$V$13</f>
        <v>9501.3335999999999</v>
      </c>
      <c r="J102" s="545"/>
      <c r="K102" s="545">
        <f>E102+ROUND(G102,0)+ROUND(I102,0)</f>
        <v>53948.875</v>
      </c>
      <c r="L102" s="546"/>
      <c r="M102" s="545">
        <f>E102</f>
        <v>40123.875</v>
      </c>
      <c r="N102" s="545"/>
      <c r="O102" s="545"/>
      <c r="P102" s="545">
        <f>IF($M102&gt;$U$11,($M102-$U$11)*$W$11,"ERROR")</f>
        <v>4324.3507500000005</v>
      </c>
      <c r="Q102" s="545"/>
      <c r="R102" s="545">
        <f>SUM(M102:P102)</f>
        <v>44448.225749999998</v>
      </c>
      <c r="S102" s="524"/>
    </row>
    <row r="103" spans="2:19" ht="15.5" x14ac:dyDescent="0.35">
      <c r="B103" s="549"/>
      <c r="C103" s="550"/>
      <c r="D103" s="543">
        <v>3</v>
      </c>
      <c r="E103" s="544">
        <v>41603.474999999999</v>
      </c>
      <c r="F103" s="545"/>
      <c r="G103" s="545">
        <f>IF($M103&gt;$U$11,($E103-$U$11)*$W$11,"ERROR")</f>
        <v>4528.5355500000005</v>
      </c>
      <c r="H103" s="545"/>
      <c r="I103" s="545">
        <f>$E103*$V$13</f>
        <v>9851.7028800000007</v>
      </c>
      <c r="J103" s="545"/>
      <c r="K103" s="545">
        <f>E103+ROUND(G103,0)+ROUND(I103,0)</f>
        <v>55984.474999999999</v>
      </c>
      <c r="L103" s="546"/>
      <c r="M103" s="545">
        <f>E103</f>
        <v>41603.474999999999</v>
      </c>
      <c r="N103" s="545"/>
      <c r="O103" s="545"/>
      <c r="P103" s="545">
        <f>IF($M103&gt;$U$11,($M103-$U$11)*$W$11,"ERROR")</f>
        <v>4528.5355500000005</v>
      </c>
      <c r="Q103" s="545"/>
      <c r="R103" s="545">
        <f>SUM(M103:P103)</f>
        <v>46132.010549999999</v>
      </c>
      <c r="S103" s="524"/>
    </row>
    <row r="104" spans="2:19" ht="15.5" x14ac:dyDescent="0.35">
      <c r="B104" s="549"/>
      <c r="C104" s="550"/>
      <c r="D104" s="543"/>
      <c r="E104" s="544"/>
      <c r="F104" s="545"/>
      <c r="G104" s="545"/>
      <c r="H104" s="545"/>
      <c r="I104" s="545"/>
      <c r="J104" s="545"/>
      <c r="K104" s="545"/>
      <c r="L104" s="546"/>
      <c r="M104" s="545"/>
      <c r="N104" s="545"/>
      <c r="O104" s="545"/>
      <c r="P104" s="545"/>
      <c r="Q104" s="545"/>
      <c r="R104" s="545"/>
      <c r="S104" s="524"/>
    </row>
    <row r="105" spans="2:19" ht="15.5" x14ac:dyDescent="0.35">
      <c r="B105" s="553" t="s">
        <v>1431</v>
      </c>
      <c r="C105" s="550"/>
      <c r="D105" s="543"/>
      <c r="E105" s="544"/>
      <c r="F105" s="545"/>
      <c r="G105" s="545"/>
      <c r="H105" s="545"/>
      <c r="I105" s="545"/>
      <c r="J105" s="545"/>
      <c r="K105" s="545"/>
      <c r="L105" s="546"/>
      <c r="M105" s="554" t="s">
        <v>1425</v>
      </c>
      <c r="N105" s="545"/>
      <c r="O105" s="545"/>
      <c r="P105" s="545"/>
      <c r="Q105" s="545"/>
      <c r="R105" s="545"/>
      <c r="S105" s="524"/>
    </row>
    <row r="106" spans="2:19" ht="15.5" x14ac:dyDescent="0.35">
      <c r="B106" s="555"/>
      <c r="C106" s="550"/>
      <c r="D106" s="521"/>
      <c r="E106" s="544"/>
      <c r="F106" s="545"/>
      <c r="G106" s="545"/>
      <c r="H106" s="545"/>
      <c r="I106" s="545"/>
      <c r="J106" s="545"/>
      <c r="K106" s="545"/>
      <c r="L106" s="546"/>
      <c r="M106" s="545"/>
      <c r="N106" s="545"/>
      <c r="O106" s="545"/>
      <c r="P106" s="545"/>
      <c r="Q106" s="545"/>
      <c r="R106" s="545"/>
      <c r="S106" s="524"/>
    </row>
    <row r="107" spans="2:19" ht="15.5" x14ac:dyDescent="0.35">
      <c r="B107" s="556" t="s">
        <v>1434</v>
      </c>
      <c r="C107" s="550" t="s">
        <v>1435</v>
      </c>
      <c r="D107" s="557">
        <v>1</v>
      </c>
      <c r="E107" s="544">
        <v>18168.255000000001</v>
      </c>
      <c r="F107" s="545"/>
      <c r="G107" s="545">
        <f t="shared" ref="G107:G112" si="29">IF($M107&gt;$U$11,($E107-$U$11)*$W$11,"ERROR")</f>
        <v>1294.4751900000003</v>
      </c>
      <c r="H107" s="545"/>
      <c r="I107" s="545">
        <f t="shared" ref="I107:I112" si="30">$E107*$V$13</f>
        <v>4302.242784</v>
      </c>
      <c r="J107" s="545"/>
      <c r="K107" s="545">
        <f t="shared" ref="K107:K112" si="31">E107+ROUND(G107,0)+ROUND(I107,0)</f>
        <v>23764.255000000001</v>
      </c>
      <c r="L107" s="546"/>
      <c r="M107" s="545">
        <f t="shared" ref="M107:M112" si="32">E107</f>
        <v>18168.255000000001</v>
      </c>
      <c r="N107" s="545"/>
      <c r="O107" s="545"/>
      <c r="P107" s="545">
        <f t="shared" ref="P107:P112" si="33">IF($M107&gt;$U$11,($M107-$U$11)*$W$11,"ERROR")</f>
        <v>1294.4751900000003</v>
      </c>
      <c r="Q107" s="545"/>
      <c r="R107" s="545">
        <f t="shared" ref="R107:R112" si="34">SUM(M107:P107)</f>
        <v>19462.730190000002</v>
      </c>
      <c r="S107" s="524"/>
    </row>
    <row r="108" spans="2:19" ht="15.5" x14ac:dyDescent="0.35">
      <c r="B108" s="556" t="s">
        <v>1436</v>
      </c>
      <c r="C108" s="550" t="s">
        <v>1437</v>
      </c>
      <c r="D108" s="557">
        <v>2</v>
      </c>
      <c r="E108" s="544">
        <v>20281.822499999998</v>
      </c>
      <c r="F108" s="545"/>
      <c r="G108" s="545">
        <f t="shared" si="29"/>
        <v>1586.1475049999999</v>
      </c>
      <c r="H108" s="545"/>
      <c r="I108" s="545">
        <f t="shared" si="30"/>
        <v>4802.7355680000001</v>
      </c>
      <c r="J108" s="545"/>
      <c r="K108" s="545">
        <f t="shared" si="31"/>
        <v>26670.822499999998</v>
      </c>
      <c r="L108" s="546"/>
      <c r="M108" s="545">
        <f t="shared" si="32"/>
        <v>20281.822499999998</v>
      </c>
      <c r="N108" s="545"/>
      <c r="O108" s="545"/>
      <c r="P108" s="545">
        <f t="shared" si="33"/>
        <v>1586.1475049999999</v>
      </c>
      <c r="Q108" s="545"/>
      <c r="R108" s="545">
        <f t="shared" si="34"/>
        <v>21867.970004999999</v>
      </c>
      <c r="S108" s="524"/>
    </row>
    <row r="109" spans="2:19" ht="15.5" x14ac:dyDescent="0.35">
      <c r="B109" s="558"/>
      <c r="C109" s="550"/>
      <c r="D109" s="557">
        <v>3</v>
      </c>
      <c r="E109" s="544">
        <v>22393.334999999999</v>
      </c>
      <c r="F109" s="545"/>
      <c r="G109" s="545">
        <f t="shared" si="29"/>
        <v>1877.5362299999999</v>
      </c>
      <c r="H109" s="545"/>
      <c r="I109" s="545">
        <f t="shared" si="30"/>
        <v>5302.741728</v>
      </c>
      <c r="J109" s="545"/>
      <c r="K109" s="545">
        <f t="shared" si="31"/>
        <v>29574.334999999999</v>
      </c>
      <c r="L109" s="546"/>
      <c r="M109" s="545">
        <f t="shared" si="32"/>
        <v>22393.334999999999</v>
      </c>
      <c r="N109" s="545"/>
      <c r="O109" s="545"/>
      <c r="P109" s="545">
        <f t="shared" si="33"/>
        <v>1877.5362299999999</v>
      </c>
      <c r="Q109" s="545"/>
      <c r="R109" s="545">
        <f t="shared" si="34"/>
        <v>24270.871230000001</v>
      </c>
      <c r="S109" s="524"/>
    </row>
    <row r="110" spans="2:19" ht="15.5" x14ac:dyDescent="0.35">
      <c r="B110" s="558"/>
      <c r="C110" s="550"/>
      <c r="D110" s="557">
        <v>4</v>
      </c>
      <c r="E110" s="544">
        <v>24506.9025</v>
      </c>
      <c r="F110" s="545"/>
      <c r="G110" s="545">
        <f t="shared" si="29"/>
        <v>2169.2085450000004</v>
      </c>
      <c r="H110" s="545"/>
      <c r="I110" s="545">
        <f t="shared" si="30"/>
        <v>5803.234512</v>
      </c>
      <c r="J110" s="545"/>
      <c r="K110" s="545">
        <f t="shared" si="31"/>
        <v>32478.9025</v>
      </c>
      <c r="L110" s="546"/>
      <c r="M110" s="545">
        <f t="shared" si="32"/>
        <v>24506.9025</v>
      </c>
      <c r="N110" s="545"/>
      <c r="O110" s="545"/>
      <c r="P110" s="545">
        <f t="shared" si="33"/>
        <v>2169.2085450000004</v>
      </c>
      <c r="Q110" s="545"/>
      <c r="R110" s="545">
        <f t="shared" si="34"/>
        <v>26676.111045000001</v>
      </c>
      <c r="S110" s="524"/>
    </row>
    <row r="111" spans="2:19" ht="15.5" x14ac:dyDescent="0.35">
      <c r="B111" s="555"/>
      <c r="C111" s="550"/>
      <c r="D111" s="557">
        <v>5</v>
      </c>
      <c r="E111" s="544">
        <v>26621.497499999998</v>
      </c>
      <c r="F111" s="545"/>
      <c r="G111" s="545">
        <f t="shared" si="29"/>
        <v>2461.0226549999998</v>
      </c>
      <c r="H111" s="545"/>
      <c r="I111" s="545">
        <f t="shared" si="30"/>
        <v>6303.9706079999996</v>
      </c>
      <c r="J111" s="545"/>
      <c r="K111" s="545">
        <f t="shared" si="31"/>
        <v>35386.497499999998</v>
      </c>
      <c r="L111" s="546"/>
      <c r="M111" s="545">
        <f t="shared" si="32"/>
        <v>26621.497499999998</v>
      </c>
      <c r="N111" s="545"/>
      <c r="O111" s="545"/>
      <c r="P111" s="545">
        <f t="shared" si="33"/>
        <v>2461.0226549999998</v>
      </c>
      <c r="Q111" s="545"/>
      <c r="R111" s="545">
        <f t="shared" si="34"/>
        <v>29082.520154999998</v>
      </c>
      <c r="S111" s="524"/>
    </row>
    <row r="112" spans="2:19" ht="15.5" x14ac:dyDescent="0.35">
      <c r="B112" s="555"/>
      <c r="C112" s="550"/>
      <c r="D112" s="557">
        <v>6</v>
      </c>
      <c r="E112" s="544">
        <v>28734.037499999999</v>
      </c>
      <c r="F112" s="545"/>
      <c r="G112" s="545">
        <f t="shared" si="29"/>
        <v>2752.553175</v>
      </c>
      <c r="H112" s="545"/>
      <c r="I112" s="545">
        <f t="shared" si="30"/>
        <v>6804.2200800000001</v>
      </c>
      <c r="J112" s="545"/>
      <c r="K112" s="545">
        <f t="shared" si="31"/>
        <v>38291.037499999999</v>
      </c>
      <c r="L112" s="546"/>
      <c r="M112" s="545">
        <f t="shared" si="32"/>
        <v>28734.037499999999</v>
      </c>
      <c r="N112" s="545"/>
      <c r="O112" s="545"/>
      <c r="P112" s="545">
        <f t="shared" si="33"/>
        <v>2752.553175</v>
      </c>
      <c r="Q112" s="545"/>
      <c r="R112" s="545">
        <f t="shared" si="34"/>
        <v>31486.590674999999</v>
      </c>
      <c r="S112" s="524"/>
    </row>
    <row r="113" spans="2:19" ht="15.5" x14ac:dyDescent="0.35">
      <c r="B113" s="555"/>
      <c r="C113" s="550"/>
      <c r="D113" s="557"/>
      <c r="E113" s="559"/>
      <c r="F113" s="559"/>
      <c r="G113" s="559"/>
      <c r="H113" s="559"/>
      <c r="I113" s="559"/>
      <c r="J113" s="559"/>
      <c r="K113" s="559"/>
      <c r="L113" s="560"/>
      <c r="M113" s="559"/>
      <c r="N113" s="559"/>
      <c r="O113" s="559"/>
      <c r="P113" s="559"/>
      <c r="Q113" s="559"/>
      <c r="R113" s="559"/>
      <c r="S113" s="524"/>
    </row>
    <row r="114" spans="2:19" ht="15.5" x14ac:dyDescent="0.35">
      <c r="B114" s="555"/>
      <c r="C114" s="550"/>
      <c r="D114" s="557"/>
      <c r="E114" s="559"/>
      <c r="F114" s="559"/>
      <c r="G114" s="559"/>
      <c r="H114" s="559"/>
      <c r="I114" s="559"/>
      <c r="J114" s="559"/>
      <c r="K114" s="559"/>
      <c r="L114" s="560"/>
      <c r="M114" s="559"/>
      <c r="N114" s="559"/>
      <c r="O114" s="559"/>
      <c r="P114" s="559"/>
      <c r="Q114" s="559"/>
      <c r="R114" s="559"/>
      <c r="S114" s="524"/>
    </row>
    <row r="115" spans="2:19" ht="16" thickBot="1" x14ac:dyDescent="0.4">
      <c r="B115" s="561"/>
      <c r="C115" s="562"/>
      <c r="D115" s="563"/>
      <c r="E115" s="564"/>
      <c r="F115" s="564"/>
      <c r="G115" s="564"/>
      <c r="H115" s="564"/>
      <c r="I115" s="564"/>
      <c r="J115" s="564"/>
      <c r="K115" s="564"/>
      <c r="L115" s="565"/>
      <c r="M115" s="566"/>
      <c r="N115" s="564"/>
      <c r="O115" s="564"/>
      <c r="P115" s="564"/>
      <c r="Q115" s="564"/>
      <c r="R115" s="564"/>
      <c r="S115" s="537"/>
    </row>
    <row r="118" spans="2:19" ht="15.5" x14ac:dyDescent="0.35">
      <c r="B118" s="517"/>
      <c r="C118" s="518"/>
      <c r="D118" s="518"/>
      <c r="E118" s="519" t="s">
        <v>1412</v>
      </c>
      <c r="F118" s="520"/>
      <c r="G118" s="519"/>
      <c r="H118" s="520"/>
      <c r="I118" s="519"/>
      <c r="J118" s="520"/>
      <c r="K118" s="519"/>
      <c r="L118" s="521"/>
      <c r="M118" s="522" t="s">
        <v>1413</v>
      </c>
      <c r="N118" s="523"/>
      <c r="O118" s="523"/>
      <c r="P118" s="523"/>
      <c r="Q118" s="523"/>
      <c r="R118" s="523"/>
      <c r="S118" s="524"/>
    </row>
    <row r="119" spans="2:19" ht="15.5" x14ac:dyDescent="0.35">
      <c r="B119" s="517"/>
      <c r="C119" s="525" t="s">
        <v>1414</v>
      </c>
      <c r="D119" s="525" t="s">
        <v>1415</v>
      </c>
      <c r="E119" s="526" t="s">
        <v>1416</v>
      </c>
      <c r="F119" s="525"/>
      <c r="G119" s="527" t="s">
        <v>1417</v>
      </c>
      <c r="H119" s="525"/>
      <c r="I119" s="526" t="s">
        <v>1418</v>
      </c>
      <c r="J119" s="525"/>
      <c r="K119" s="526" t="s">
        <v>357</v>
      </c>
      <c r="L119" s="528"/>
      <c r="M119" s="529" t="s">
        <v>1416</v>
      </c>
      <c r="N119" s="525"/>
      <c r="O119" s="525"/>
      <c r="P119" s="527" t="s">
        <v>1417</v>
      </c>
      <c r="Q119" s="525"/>
      <c r="R119" s="530" t="s">
        <v>357</v>
      </c>
      <c r="S119" s="524"/>
    </row>
    <row r="120" spans="2:19" ht="16" thickBot="1" x14ac:dyDescent="0.4">
      <c r="B120" s="534"/>
      <c r="C120" s="535"/>
      <c r="D120" s="535"/>
      <c r="E120" s="535"/>
      <c r="F120" s="535"/>
      <c r="G120" s="535"/>
      <c r="H120" s="535"/>
      <c r="I120" s="535"/>
      <c r="J120" s="535"/>
      <c r="K120" s="535"/>
      <c r="L120" s="535"/>
      <c r="M120" s="536"/>
      <c r="N120" s="535"/>
      <c r="O120" s="535"/>
      <c r="P120" s="535"/>
      <c r="Q120" s="535"/>
      <c r="R120" s="535"/>
      <c r="S120" s="537"/>
    </row>
    <row r="121" spans="2:19" ht="15.5" x14ac:dyDescent="0.35">
      <c r="B121" s="540"/>
      <c r="C121" s="541"/>
      <c r="D121" s="541"/>
      <c r="E121" s="541"/>
      <c r="F121" s="541"/>
      <c r="G121" s="541"/>
      <c r="H121" s="541"/>
      <c r="I121" s="541"/>
      <c r="J121" s="541"/>
      <c r="K121" s="541"/>
      <c r="L121" s="542"/>
      <c r="M121" s="541"/>
      <c r="N121" s="541"/>
      <c r="O121" s="541"/>
      <c r="P121" s="541"/>
      <c r="Q121" s="541"/>
      <c r="R121" s="541"/>
      <c r="S121" s="542"/>
    </row>
    <row r="122" spans="2:19" ht="15.5" x14ac:dyDescent="0.35">
      <c r="B122" s="517"/>
      <c r="C122" s="518" t="s">
        <v>1419</v>
      </c>
      <c r="D122" s="543">
        <v>1</v>
      </c>
      <c r="E122" s="544">
        <v>25713.514999999999</v>
      </c>
      <c r="F122" s="545"/>
      <c r="G122" s="545">
        <f t="shared" ref="G122:G127" si="35">IF($M122&gt;$U$11,($E122-$U$11)*$W$11,"ERROR")</f>
        <v>2335.7210700000001</v>
      </c>
      <c r="H122" s="545"/>
      <c r="I122" s="545">
        <f t="shared" ref="I122:I127" si="36">$E122*$V$13</f>
        <v>6088.9603520000001</v>
      </c>
      <c r="J122" s="545"/>
      <c r="K122" s="545">
        <f t="shared" ref="K122:K127" si="37">E122+ROUND(G122,0)+ROUND(I122,0)</f>
        <v>34138.514999999999</v>
      </c>
      <c r="L122" s="546"/>
      <c r="M122" s="545">
        <f t="shared" ref="M122:M127" si="38">E122</f>
        <v>25713.514999999999</v>
      </c>
      <c r="N122" s="545"/>
      <c r="O122" s="545"/>
      <c r="P122" s="545">
        <f t="shared" ref="P122:P127" si="39">IF($M122&gt;$U$11,($M122-$U$11)*$W$11,"ERROR")</f>
        <v>2335.7210700000001</v>
      </c>
      <c r="Q122" s="545"/>
      <c r="R122" s="545">
        <f t="shared" ref="R122:R127" si="40">SUM(M122:P122)</f>
        <v>28049.236069999999</v>
      </c>
      <c r="S122" s="524"/>
    </row>
    <row r="123" spans="2:19" ht="15.5" x14ac:dyDescent="0.35">
      <c r="B123" s="549"/>
      <c r="C123" s="550"/>
      <c r="D123" s="543">
        <v>2</v>
      </c>
      <c r="E123" s="544">
        <v>27599.751000000004</v>
      </c>
      <c r="F123" s="545"/>
      <c r="G123" s="545">
        <f t="shared" si="35"/>
        <v>2596.0216380000006</v>
      </c>
      <c r="H123" s="545"/>
      <c r="I123" s="545">
        <f t="shared" si="36"/>
        <v>6535.6210368000011</v>
      </c>
      <c r="J123" s="545"/>
      <c r="K123" s="545">
        <f t="shared" si="37"/>
        <v>36731.751000000004</v>
      </c>
      <c r="L123" s="546"/>
      <c r="M123" s="545">
        <f t="shared" si="38"/>
        <v>27599.751000000004</v>
      </c>
      <c r="N123" s="545"/>
      <c r="O123" s="545"/>
      <c r="P123" s="545">
        <f t="shared" si="39"/>
        <v>2596.0216380000006</v>
      </c>
      <c r="Q123" s="545"/>
      <c r="R123" s="545">
        <f t="shared" si="40"/>
        <v>30195.772638000006</v>
      </c>
      <c r="S123" s="524"/>
    </row>
    <row r="124" spans="2:19" ht="15.5" x14ac:dyDescent="0.35">
      <c r="B124" s="549"/>
      <c r="C124" s="550"/>
      <c r="D124" s="543">
        <v>3</v>
      </c>
      <c r="E124" s="544">
        <v>29663.172000000002</v>
      </c>
      <c r="F124" s="545"/>
      <c r="G124" s="545">
        <f>IF($M124&gt;$U$11,($E124-$U$11)*$W$11,"ERROR")</f>
        <v>2880.7737360000006</v>
      </c>
      <c r="H124" s="545"/>
      <c r="I124" s="545">
        <f t="shared" si="36"/>
        <v>7024.2391296000005</v>
      </c>
      <c r="J124" s="545"/>
      <c r="K124" s="545">
        <f t="shared" si="37"/>
        <v>39568.172000000006</v>
      </c>
      <c r="L124" s="546"/>
      <c r="M124" s="545">
        <f t="shared" si="38"/>
        <v>29663.172000000002</v>
      </c>
      <c r="N124" s="545"/>
      <c r="O124" s="545"/>
      <c r="P124" s="545">
        <f t="shared" si="39"/>
        <v>2880.7737360000006</v>
      </c>
      <c r="Q124" s="545"/>
      <c r="R124" s="545">
        <f t="shared" si="40"/>
        <v>32543.945736000001</v>
      </c>
      <c r="S124" s="524"/>
    </row>
    <row r="125" spans="2:19" ht="15.5" x14ac:dyDescent="0.35">
      <c r="B125" s="549"/>
      <c r="C125" s="550"/>
      <c r="D125" s="543">
        <v>4</v>
      </c>
      <c r="E125" s="544">
        <v>31777.0615</v>
      </c>
      <c r="F125" s="545"/>
      <c r="G125" s="545">
        <f t="shared" si="35"/>
        <v>3172.490487</v>
      </c>
      <c r="H125" s="545"/>
      <c r="I125" s="545">
        <f t="shared" si="36"/>
        <v>7524.8081632000003</v>
      </c>
      <c r="J125" s="545"/>
      <c r="K125" s="545">
        <f t="shared" si="37"/>
        <v>42474.061499999996</v>
      </c>
      <c r="L125" s="546"/>
      <c r="M125" s="545">
        <f t="shared" si="38"/>
        <v>31777.0615</v>
      </c>
      <c r="N125" s="545"/>
      <c r="O125" s="545"/>
      <c r="P125" s="545">
        <f t="shared" si="39"/>
        <v>3172.490487</v>
      </c>
      <c r="Q125" s="545"/>
      <c r="R125" s="545">
        <f t="shared" si="40"/>
        <v>34949.551986999999</v>
      </c>
      <c r="S125" s="524"/>
    </row>
    <row r="126" spans="2:19" ht="15.5" x14ac:dyDescent="0.35">
      <c r="B126" s="549"/>
      <c r="C126" s="550"/>
      <c r="D126" s="543">
        <v>5</v>
      </c>
      <c r="E126" s="791">
        <f>34099.33-((34099.33-$E$125)*0.29)+$E$53</f>
        <v>35695.872134999998</v>
      </c>
      <c r="F126" s="545"/>
      <c r="G126" s="545">
        <f t="shared" si="35"/>
        <v>3713.28635463</v>
      </c>
      <c r="H126" s="545"/>
      <c r="I126" s="545">
        <f t="shared" si="36"/>
        <v>8452.7825215680004</v>
      </c>
      <c r="J126" s="545"/>
      <c r="K126" s="545">
        <f t="shared" si="37"/>
        <v>47861.872134999998</v>
      </c>
      <c r="L126" s="546"/>
      <c r="M126" s="545">
        <f t="shared" si="38"/>
        <v>35695.872134999998</v>
      </c>
      <c r="N126" s="545"/>
      <c r="O126" s="545"/>
      <c r="P126" s="545">
        <f t="shared" si="39"/>
        <v>3713.28635463</v>
      </c>
      <c r="Q126" s="545"/>
      <c r="R126" s="545">
        <f t="shared" si="40"/>
        <v>39409.158489629997</v>
      </c>
      <c r="S126" s="524"/>
    </row>
    <row r="127" spans="2:19" ht="15.5" x14ac:dyDescent="0.35">
      <c r="B127" s="549"/>
      <c r="C127" s="550"/>
      <c r="D127" s="543">
        <v>6</v>
      </c>
      <c r="E127" s="544">
        <v>36960.202499999999</v>
      </c>
      <c r="F127" s="545"/>
      <c r="G127" s="545">
        <f t="shared" si="35"/>
        <v>3887.7639450000001</v>
      </c>
      <c r="H127" s="545"/>
      <c r="I127" s="545">
        <f t="shared" si="36"/>
        <v>8752.1759519999996</v>
      </c>
      <c r="J127" s="545"/>
      <c r="K127" s="545">
        <f t="shared" si="37"/>
        <v>49600.202499999999</v>
      </c>
      <c r="L127" s="546"/>
      <c r="M127" s="545">
        <f t="shared" si="38"/>
        <v>36960.202499999999</v>
      </c>
      <c r="N127" s="545"/>
      <c r="O127" s="545"/>
      <c r="P127" s="545">
        <f t="shared" si="39"/>
        <v>3887.7639450000001</v>
      </c>
      <c r="Q127" s="545"/>
      <c r="R127" s="545">
        <f t="shared" si="40"/>
        <v>40847.966444999998</v>
      </c>
      <c r="S127" s="524"/>
    </row>
    <row r="128" spans="2:19" ht="15.5" x14ac:dyDescent="0.35">
      <c r="B128" s="553" t="s">
        <v>1424</v>
      </c>
      <c r="C128" s="550"/>
      <c r="D128" s="543"/>
      <c r="E128" s="544"/>
      <c r="F128" s="545"/>
      <c r="G128" s="545"/>
      <c r="H128" s="545"/>
      <c r="I128" s="545"/>
      <c r="J128" s="545"/>
      <c r="K128" s="545"/>
      <c r="L128" s="546"/>
      <c r="M128" s="554" t="s">
        <v>1425</v>
      </c>
      <c r="N128" s="545"/>
      <c r="O128" s="545"/>
      <c r="P128" s="545"/>
      <c r="Q128" s="545"/>
      <c r="R128" s="545"/>
      <c r="S128" s="524"/>
    </row>
    <row r="129" spans="2:19" ht="15.5" x14ac:dyDescent="0.35">
      <c r="B129" s="549"/>
      <c r="C129" s="550" t="s">
        <v>1426</v>
      </c>
      <c r="D129" s="543">
        <v>1</v>
      </c>
      <c r="E129" s="544">
        <v>38689.485000000001</v>
      </c>
      <c r="F129" s="545"/>
      <c r="G129" s="545">
        <f>IF($M129&gt;$U$11,($E129-$U$11)*$W$11,"ERROR")</f>
        <v>4126.4049300000006</v>
      </c>
      <c r="H129" s="545"/>
      <c r="I129" s="545">
        <f>$E129*$V$13</f>
        <v>9161.670048</v>
      </c>
      <c r="J129" s="545"/>
      <c r="K129" s="545">
        <f>E129+ROUND(G129,0)+ROUND(I129,0)</f>
        <v>51977.485000000001</v>
      </c>
      <c r="L129" s="546"/>
      <c r="M129" s="545">
        <f>E129</f>
        <v>38689.485000000001</v>
      </c>
      <c r="N129" s="545"/>
      <c r="O129" s="545"/>
      <c r="P129" s="545">
        <f>IF($M129&gt;$U$11,($M129-$U$11)*$W$11,"ERROR")</f>
        <v>4126.4049300000006</v>
      </c>
      <c r="Q129" s="545"/>
      <c r="R129" s="545">
        <f>SUM(M129:P129)</f>
        <v>42815.889930000005</v>
      </c>
      <c r="S129" s="524"/>
    </row>
    <row r="130" spans="2:19" ht="15.5" x14ac:dyDescent="0.35">
      <c r="B130" s="549"/>
      <c r="C130" s="550" t="s">
        <v>1428</v>
      </c>
      <c r="D130" s="543">
        <v>2</v>
      </c>
      <c r="E130" s="544">
        <v>40123.875</v>
      </c>
      <c r="F130" s="545"/>
      <c r="G130" s="545">
        <f>IF($M130&gt;$U$11,($E130-$U$11)*$W$11,"ERROR")</f>
        <v>4324.3507500000005</v>
      </c>
      <c r="H130" s="545"/>
      <c r="I130" s="545">
        <f>$E130*$V$13</f>
        <v>9501.3335999999999</v>
      </c>
      <c r="J130" s="545"/>
      <c r="K130" s="545">
        <f>E130+ROUND(G130,0)+ROUND(I130,0)</f>
        <v>53948.875</v>
      </c>
      <c r="L130" s="546"/>
      <c r="M130" s="545">
        <f>E130</f>
        <v>40123.875</v>
      </c>
      <c r="N130" s="545"/>
      <c r="O130" s="545"/>
      <c r="P130" s="545">
        <f>IF($M130&gt;$U$11,($M130-$U$11)*$W$11,"ERROR")</f>
        <v>4324.3507500000005</v>
      </c>
      <c r="Q130" s="545"/>
      <c r="R130" s="545">
        <f>SUM(M130:P130)</f>
        <v>44448.225749999998</v>
      </c>
      <c r="S130" s="524"/>
    </row>
    <row r="131" spans="2:19" ht="15.5" x14ac:dyDescent="0.35">
      <c r="B131" s="549"/>
      <c r="C131" s="550"/>
      <c r="D131" s="543">
        <v>3</v>
      </c>
      <c r="E131" s="544">
        <v>41603.474999999999</v>
      </c>
      <c r="F131" s="545"/>
      <c r="G131" s="545">
        <f>IF($M131&gt;$U$11,($E131-$U$11)*$W$11,"ERROR")</f>
        <v>4528.5355500000005</v>
      </c>
      <c r="H131" s="545"/>
      <c r="I131" s="545">
        <f>$E131*$V$13</f>
        <v>9851.7028800000007</v>
      </c>
      <c r="J131" s="545"/>
      <c r="K131" s="545">
        <f>E131+ROUND(G131,0)+ROUND(I131,0)</f>
        <v>55984.474999999999</v>
      </c>
      <c r="L131" s="546"/>
      <c r="M131" s="545">
        <f>E131</f>
        <v>41603.474999999999</v>
      </c>
      <c r="N131" s="545"/>
      <c r="O131" s="545"/>
      <c r="P131" s="545">
        <f>IF($M131&gt;$U$11,($M131-$U$11)*$W$11,"ERROR")</f>
        <v>4528.5355500000005</v>
      </c>
      <c r="Q131" s="545"/>
      <c r="R131" s="545">
        <f>SUM(M131:P131)</f>
        <v>46132.010549999999</v>
      </c>
      <c r="S131" s="524"/>
    </row>
    <row r="132" spans="2:19" ht="15.5" x14ac:dyDescent="0.35">
      <c r="B132" s="549"/>
      <c r="C132" s="550"/>
      <c r="D132" s="543"/>
      <c r="E132" s="544"/>
      <c r="F132" s="545"/>
      <c r="G132" s="545"/>
      <c r="H132" s="545"/>
      <c r="I132" s="545"/>
      <c r="J132" s="545"/>
      <c r="K132" s="545"/>
      <c r="L132" s="546"/>
      <c r="M132" s="545"/>
      <c r="N132" s="545"/>
      <c r="O132" s="545"/>
      <c r="P132" s="545"/>
      <c r="Q132" s="545"/>
      <c r="R132" s="545"/>
      <c r="S132" s="524"/>
    </row>
    <row r="133" spans="2:19" ht="15.5" x14ac:dyDescent="0.35">
      <c r="B133" s="553" t="s">
        <v>1431</v>
      </c>
      <c r="C133" s="550"/>
      <c r="D133" s="543"/>
      <c r="E133" s="544"/>
      <c r="F133" s="545"/>
      <c r="G133" s="545"/>
      <c r="H133" s="545"/>
      <c r="I133" s="545"/>
      <c r="J133" s="545"/>
      <c r="K133" s="545"/>
      <c r="L133" s="546"/>
      <c r="M133" s="554" t="s">
        <v>1425</v>
      </c>
      <c r="N133" s="545"/>
      <c r="O133" s="545"/>
      <c r="P133" s="545"/>
      <c r="Q133" s="545"/>
      <c r="R133" s="545"/>
      <c r="S133" s="524"/>
    </row>
    <row r="134" spans="2:19" ht="15.5" x14ac:dyDescent="0.35">
      <c r="B134" s="555"/>
      <c r="C134" s="550"/>
      <c r="D134" s="521"/>
      <c r="E134" s="544"/>
      <c r="F134" s="545"/>
      <c r="G134" s="545"/>
      <c r="H134" s="545"/>
      <c r="I134" s="545"/>
      <c r="J134" s="545"/>
      <c r="K134" s="545"/>
      <c r="L134" s="546"/>
      <c r="M134" s="545"/>
      <c r="N134" s="545"/>
      <c r="O134" s="545"/>
      <c r="P134" s="545"/>
      <c r="Q134" s="545"/>
      <c r="R134" s="545"/>
      <c r="S134" s="524"/>
    </row>
    <row r="135" spans="2:19" ht="15.5" x14ac:dyDescent="0.35">
      <c r="B135" s="556" t="s">
        <v>1434</v>
      </c>
      <c r="C135" s="550" t="s">
        <v>1435</v>
      </c>
      <c r="D135" s="557">
        <v>1</v>
      </c>
      <c r="E135" s="544">
        <v>18168.255000000001</v>
      </c>
      <c r="F135" s="545"/>
      <c r="G135" s="545">
        <f t="shared" ref="G135:G140" si="41">IF($M135&gt;$U$11,($E135-$U$11)*$W$11,"ERROR")</f>
        <v>1294.4751900000003</v>
      </c>
      <c r="H135" s="545"/>
      <c r="I135" s="545">
        <f t="shared" ref="I135:I140" si="42">$E135*$V$13</f>
        <v>4302.242784</v>
      </c>
      <c r="J135" s="545"/>
      <c r="K135" s="545">
        <f t="shared" ref="K135:K140" si="43">E135+ROUND(G135,0)+ROUND(I135,0)</f>
        <v>23764.255000000001</v>
      </c>
      <c r="L135" s="546"/>
      <c r="M135" s="545">
        <f t="shared" ref="M135:M140" si="44">E135</f>
        <v>18168.255000000001</v>
      </c>
      <c r="N135" s="545"/>
      <c r="O135" s="545"/>
      <c r="P135" s="545">
        <f t="shared" ref="P135:P140" si="45">IF($M135&gt;$U$11,($M135-$U$11)*$W$11,"ERROR")</f>
        <v>1294.4751900000003</v>
      </c>
      <c r="Q135" s="545"/>
      <c r="R135" s="545">
        <f t="shared" ref="R135:R140" si="46">SUM(M135:P135)</f>
        <v>19462.730190000002</v>
      </c>
      <c r="S135" s="524"/>
    </row>
    <row r="136" spans="2:19" ht="15.5" x14ac:dyDescent="0.35">
      <c r="B136" s="556" t="s">
        <v>1436</v>
      </c>
      <c r="C136" s="550" t="s">
        <v>1437</v>
      </c>
      <c r="D136" s="557">
        <v>2</v>
      </c>
      <c r="E136" s="544">
        <v>20281.822499999998</v>
      </c>
      <c r="F136" s="545"/>
      <c r="G136" s="545">
        <f t="shared" si="41"/>
        <v>1586.1475049999999</v>
      </c>
      <c r="H136" s="545"/>
      <c r="I136" s="545">
        <f t="shared" si="42"/>
        <v>4802.7355680000001</v>
      </c>
      <c r="J136" s="545"/>
      <c r="K136" s="545">
        <f t="shared" si="43"/>
        <v>26670.822499999998</v>
      </c>
      <c r="L136" s="546"/>
      <c r="M136" s="545">
        <f t="shared" si="44"/>
        <v>20281.822499999998</v>
      </c>
      <c r="N136" s="545"/>
      <c r="O136" s="545"/>
      <c r="P136" s="545">
        <f t="shared" si="45"/>
        <v>1586.1475049999999</v>
      </c>
      <c r="Q136" s="545"/>
      <c r="R136" s="545">
        <f t="shared" si="46"/>
        <v>21867.970004999999</v>
      </c>
      <c r="S136" s="524"/>
    </row>
    <row r="137" spans="2:19" ht="15.5" x14ac:dyDescent="0.35">
      <c r="B137" s="558"/>
      <c r="C137" s="550"/>
      <c r="D137" s="557">
        <v>3</v>
      </c>
      <c r="E137" s="544">
        <v>22393.334999999999</v>
      </c>
      <c r="F137" s="545"/>
      <c r="G137" s="545">
        <f t="shared" si="41"/>
        <v>1877.5362299999999</v>
      </c>
      <c r="H137" s="545"/>
      <c r="I137" s="545">
        <f t="shared" si="42"/>
        <v>5302.741728</v>
      </c>
      <c r="J137" s="545"/>
      <c r="K137" s="545">
        <f t="shared" si="43"/>
        <v>29574.334999999999</v>
      </c>
      <c r="L137" s="546"/>
      <c r="M137" s="545">
        <f t="shared" si="44"/>
        <v>22393.334999999999</v>
      </c>
      <c r="N137" s="545"/>
      <c r="O137" s="545"/>
      <c r="P137" s="545">
        <f t="shared" si="45"/>
        <v>1877.5362299999999</v>
      </c>
      <c r="Q137" s="545"/>
      <c r="R137" s="545">
        <f t="shared" si="46"/>
        <v>24270.871230000001</v>
      </c>
      <c r="S137" s="524"/>
    </row>
    <row r="138" spans="2:19" ht="15.5" x14ac:dyDescent="0.35">
      <c r="B138" s="558"/>
      <c r="C138" s="550"/>
      <c r="D138" s="557">
        <v>4</v>
      </c>
      <c r="E138" s="544">
        <v>24506.9025</v>
      </c>
      <c r="F138" s="545"/>
      <c r="G138" s="545">
        <f t="shared" si="41"/>
        <v>2169.2085450000004</v>
      </c>
      <c r="H138" s="545"/>
      <c r="I138" s="545">
        <f t="shared" si="42"/>
        <v>5803.234512</v>
      </c>
      <c r="J138" s="545"/>
      <c r="K138" s="545">
        <f t="shared" si="43"/>
        <v>32478.9025</v>
      </c>
      <c r="L138" s="546"/>
      <c r="M138" s="545">
        <f t="shared" si="44"/>
        <v>24506.9025</v>
      </c>
      <c r="N138" s="545"/>
      <c r="O138" s="545"/>
      <c r="P138" s="545">
        <f t="shared" si="45"/>
        <v>2169.2085450000004</v>
      </c>
      <c r="Q138" s="545"/>
      <c r="R138" s="545">
        <f t="shared" si="46"/>
        <v>26676.111045000001</v>
      </c>
      <c r="S138" s="524"/>
    </row>
    <row r="139" spans="2:19" ht="15.5" x14ac:dyDescent="0.35">
      <c r="B139" s="555"/>
      <c r="C139" s="550"/>
      <c r="D139" s="557">
        <v>5</v>
      </c>
      <c r="E139" s="544">
        <v>26621.497499999998</v>
      </c>
      <c r="F139" s="545"/>
      <c r="G139" s="545">
        <f t="shared" si="41"/>
        <v>2461.0226549999998</v>
      </c>
      <c r="H139" s="545"/>
      <c r="I139" s="545">
        <f t="shared" si="42"/>
        <v>6303.9706079999996</v>
      </c>
      <c r="J139" s="545"/>
      <c r="K139" s="545">
        <f t="shared" si="43"/>
        <v>35386.497499999998</v>
      </c>
      <c r="L139" s="546"/>
      <c r="M139" s="545">
        <f t="shared" si="44"/>
        <v>26621.497499999998</v>
      </c>
      <c r="N139" s="545"/>
      <c r="O139" s="545"/>
      <c r="P139" s="545">
        <f t="shared" si="45"/>
        <v>2461.0226549999998</v>
      </c>
      <c r="Q139" s="545"/>
      <c r="R139" s="545">
        <f t="shared" si="46"/>
        <v>29082.520154999998</v>
      </c>
      <c r="S139" s="524"/>
    </row>
    <row r="140" spans="2:19" ht="15.5" x14ac:dyDescent="0.35">
      <c r="B140" s="555"/>
      <c r="C140" s="550"/>
      <c r="D140" s="557">
        <v>6</v>
      </c>
      <c r="E140" s="544">
        <v>28734.037499999999</v>
      </c>
      <c r="F140" s="545"/>
      <c r="G140" s="545">
        <f t="shared" si="41"/>
        <v>2752.553175</v>
      </c>
      <c r="H140" s="545"/>
      <c r="I140" s="545">
        <f t="shared" si="42"/>
        <v>6804.2200800000001</v>
      </c>
      <c r="J140" s="545"/>
      <c r="K140" s="545">
        <f t="shared" si="43"/>
        <v>38291.037499999999</v>
      </c>
      <c r="L140" s="546"/>
      <c r="M140" s="545">
        <f t="shared" si="44"/>
        <v>28734.037499999999</v>
      </c>
      <c r="N140" s="545"/>
      <c r="O140" s="545"/>
      <c r="P140" s="545">
        <f t="shared" si="45"/>
        <v>2752.553175</v>
      </c>
      <c r="Q140" s="545"/>
      <c r="R140" s="545">
        <f t="shared" si="46"/>
        <v>31486.590674999999</v>
      </c>
      <c r="S140" s="524"/>
    </row>
    <row r="141" spans="2:19" ht="15.5" x14ac:dyDescent="0.35">
      <c r="B141" s="555"/>
      <c r="C141" s="550"/>
      <c r="D141" s="557"/>
      <c r="E141" s="559"/>
      <c r="F141" s="559"/>
      <c r="G141" s="559"/>
      <c r="H141" s="559"/>
      <c r="I141" s="559"/>
      <c r="J141" s="559"/>
      <c r="K141" s="559"/>
      <c r="L141" s="560"/>
      <c r="M141" s="559"/>
      <c r="N141" s="559"/>
      <c r="O141" s="559"/>
      <c r="P141" s="559"/>
      <c r="Q141" s="559"/>
      <c r="R141" s="559"/>
      <c r="S141" s="524"/>
    </row>
    <row r="142" spans="2:19" ht="15.5" x14ac:dyDescent="0.35">
      <c r="B142" s="555"/>
      <c r="C142" s="550"/>
      <c r="D142" s="557"/>
      <c r="E142" s="559"/>
      <c r="F142" s="559"/>
      <c r="G142" s="559"/>
      <c r="H142" s="559"/>
      <c r="I142" s="559"/>
      <c r="J142" s="559"/>
      <c r="K142" s="559"/>
      <c r="L142" s="560"/>
      <c r="M142" s="559"/>
      <c r="N142" s="559"/>
      <c r="O142" s="559"/>
      <c r="P142" s="559"/>
      <c r="Q142" s="559"/>
      <c r="R142" s="559"/>
      <c r="S142" s="524"/>
    </row>
    <row r="143" spans="2:19" ht="16" thickBot="1" x14ac:dyDescent="0.4">
      <c r="B143" s="561"/>
      <c r="C143" s="562"/>
      <c r="D143" s="563"/>
      <c r="E143" s="564"/>
      <c r="F143" s="564"/>
      <c r="G143" s="564"/>
      <c r="H143" s="564"/>
      <c r="I143" s="564"/>
      <c r="J143" s="564"/>
      <c r="K143" s="564"/>
      <c r="L143" s="565"/>
      <c r="M143" s="566"/>
      <c r="N143" s="564"/>
      <c r="O143" s="564"/>
      <c r="P143" s="564"/>
      <c r="Q143" s="564"/>
      <c r="R143" s="564"/>
      <c r="S143" s="537"/>
    </row>
    <row r="145" spans="2:24" ht="15.5" x14ac:dyDescent="0.35">
      <c r="B145" s="517"/>
      <c r="C145" s="518"/>
      <c r="D145" s="518"/>
      <c r="E145" s="519" t="s">
        <v>1412</v>
      </c>
      <c r="F145" s="520"/>
      <c r="G145" s="519"/>
      <c r="H145" s="520"/>
      <c r="I145" s="519"/>
      <c r="J145" s="520"/>
      <c r="K145" s="519"/>
      <c r="L145" s="521"/>
      <c r="M145" s="522" t="s">
        <v>1413</v>
      </c>
      <c r="N145" s="523"/>
      <c r="O145" s="523"/>
      <c r="P145" s="523"/>
      <c r="Q145" s="523"/>
      <c r="R145" s="523"/>
      <c r="S145" s="524"/>
    </row>
    <row r="146" spans="2:24" ht="15.5" x14ac:dyDescent="0.35">
      <c r="B146" s="517"/>
      <c r="C146" s="525" t="s">
        <v>1414</v>
      </c>
      <c r="D146" s="525" t="s">
        <v>1415</v>
      </c>
      <c r="E146" s="526" t="s">
        <v>1416</v>
      </c>
      <c r="F146" s="525"/>
      <c r="G146" s="527" t="s">
        <v>1417</v>
      </c>
      <c r="H146" s="525"/>
      <c r="I146" s="526" t="s">
        <v>1418</v>
      </c>
      <c r="J146" s="525"/>
      <c r="K146" s="526" t="s">
        <v>357</v>
      </c>
      <c r="L146" s="528"/>
      <c r="M146" s="529" t="s">
        <v>1416</v>
      </c>
      <c r="N146" s="525"/>
      <c r="O146" s="525"/>
      <c r="P146" s="527" t="s">
        <v>1417</v>
      </c>
      <c r="Q146" s="525"/>
      <c r="R146" s="530" t="s">
        <v>357</v>
      </c>
      <c r="S146" s="524"/>
    </row>
    <row r="147" spans="2:24" ht="16" thickBot="1" x14ac:dyDescent="0.4">
      <c r="B147" s="534"/>
      <c r="C147" s="535"/>
      <c r="D147" s="535"/>
      <c r="E147" s="535"/>
      <c r="F147" s="535"/>
      <c r="G147" s="535"/>
      <c r="H147" s="535"/>
      <c r="I147" s="535"/>
      <c r="J147" s="535"/>
      <c r="K147" s="535"/>
      <c r="L147" s="535"/>
      <c r="M147" s="536"/>
      <c r="N147" s="535"/>
      <c r="O147" s="535"/>
      <c r="P147" s="535"/>
      <c r="Q147" s="535"/>
      <c r="R147" s="535"/>
      <c r="S147" s="537"/>
    </row>
    <row r="148" spans="2:24" ht="15.5" x14ac:dyDescent="0.35">
      <c r="B148" s="540"/>
      <c r="C148" s="541"/>
      <c r="D148" s="541"/>
      <c r="E148" s="541"/>
      <c r="F148" s="541"/>
      <c r="G148" s="541"/>
      <c r="H148" s="541"/>
      <c r="I148" s="541"/>
      <c r="J148" s="541"/>
      <c r="K148" s="541"/>
      <c r="L148" s="542"/>
      <c r="M148" s="541"/>
      <c r="N148" s="541"/>
      <c r="O148" s="541"/>
      <c r="P148" s="541"/>
      <c r="Q148" s="541"/>
      <c r="R148" s="541"/>
      <c r="S148" s="542"/>
    </row>
    <row r="149" spans="2:24" ht="15.5" x14ac:dyDescent="0.35">
      <c r="B149" s="517"/>
      <c r="C149" s="518" t="s">
        <v>1419</v>
      </c>
      <c r="D149" s="543">
        <v>1</v>
      </c>
      <c r="E149" s="544">
        <v>25713.514999999999</v>
      </c>
      <c r="F149" s="545"/>
      <c r="G149" s="545">
        <f t="shared" ref="G149:G154" si="47">IF($M149&gt;$U$11,($E149-$U$11)*$W$11,"ERROR")</f>
        <v>2335.7210700000001</v>
      </c>
      <c r="H149" s="545"/>
      <c r="I149" s="545">
        <f t="shared" ref="I149:I154" si="48">$E149*$V$13</f>
        <v>6088.9603520000001</v>
      </c>
      <c r="J149" s="545"/>
      <c r="K149" s="545">
        <f t="shared" ref="K149:K154" si="49">E149+ROUND(G149,0)+ROUND(I149,0)</f>
        <v>34138.514999999999</v>
      </c>
      <c r="L149" s="546"/>
      <c r="M149" s="545">
        <f t="shared" ref="M149:M154" si="50">E149</f>
        <v>25713.514999999999</v>
      </c>
      <c r="N149" s="545"/>
      <c r="O149" s="545"/>
      <c r="P149" s="545">
        <f t="shared" ref="P149:P154" si="51">IF($M149&gt;$U$11,($M149-$U$11)*$W$11,"ERROR")</f>
        <v>2335.7210700000001</v>
      </c>
      <c r="Q149" s="545"/>
      <c r="R149" s="545">
        <f t="shared" ref="R149:R154" si="52">SUM(M149:P149)</f>
        <v>28049.236069999999</v>
      </c>
      <c r="S149" s="524"/>
    </row>
    <row r="150" spans="2:24" ht="15.5" x14ac:dyDescent="0.35">
      <c r="B150" s="549"/>
      <c r="C150" s="550"/>
      <c r="D150" s="543">
        <v>2</v>
      </c>
      <c r="E150" s="544">
        <v>27599.751000000004</v>
      </c>
      <c r="F150" s="545"/>
      <c r="G150" s="545">
        <f t="shared" si="47"/>
        <v>2596.0216380000006</v>
      </c>
      <c r="H150" s="545"/>
      <c r="I150" s="545">
        <f t="shared" si="48"/>
        <v>6535.6210368000011</v>
      </c>
      <c r="J150" s="545"/>
      <c r="K150" s="545">
        <f t="shared" si="49"/>
        <v>36731.751000000004</v>
      </c>
      <c r="L150" s="546"/>
      <c r="M150" s="545">
        <f t="shared" si="50"/>
        <v>27599.751000000004</v>
      </c>
      <c r="N150" s="545"/>
      <c r="O150" s="545"/>
      <c r="P150" s="545">
        <f t="shared" si="51"/>
        <v>2596.0216380000006</v>
      </c>
      <c r="Q150" s="545"/>
      <c r="R150" s="545">
        <f t="shared" si="52"/>
        <v>30195.772638000006</v>
      </c>
      <c r="S150" s="524"/>
    </row>
    <row r="151" spans="2:24" ht="15.5" x14ac:dyDescent="0.35">
      <c r="B151" s="549"/>
      <c r="C151" s="550"/>
      <c r="D151" s="543">
        <v>3</v>
      </c>
      <c r="E151" s="544">
        <v>29663.172000000002</v>
      </c>
      <c r="F151" s="545"/>
      <c r="G151" s="545">
        <f>IF($M151&gt;$U$11,($E151-$U$11)*$W$11,"ERROR")</f>
        <v>2880.7737360000006</v>
      </c>
      <c r="H151" s="545"/>
      <c r="I151" s="545">
        <f t="shared" si="48"/>
        <v>7024.2391296000005</v>
      </c>
      <c r="J151" s="545"/>
      <c r="K151" s="545">
        <f t="shared" si="49"/>
        <v>39568.172000000006</v>
      </c>
      <c r="L151" s="546"/>
      <c r="M151" s="545">
        <f t="shared" si="50"/>
        <v>29663.172000000002</v>
      </c>
      <c r="N151" s="545"/>
      <c r="O151" s="545"/>
      <c r="P151" s="545">
        <f t="shared" si="51"/>
        <v>2880.7737360000006</v>
      </c>
      <c r="Q151" s="545"/>
      <c r="R151" s="545">
        <f t="shared" si="52"/>
        <v>32543.945736000001</v>
      </c>
      <c r="S151" s="524"/>
    </row>
    <row r="152" spans="2:24" ht="15.5" x14ac:dyDescent="0.35">
      <c r="B152" s="549"/>
      <c r="C152" s="550"/>
      <c r="D152" s="543">
        <v>4</v>
      </c>
      <c r="E152" s="544">
        <v>31777.0615</v>
      </c>
      <c r="F152" s="545"/>
      <c r="G152" s="545">
        <f t="shared" si="47"/>
        <v>3172.490487</v>
      </c>
      <c r="H152" s="545"/>
      <c r="I152" s="545">
        <f t="shared" si="48"/>
        <v>7524.8081632000003</v>
      </c>
      <c r="J152" s="545"/>
      <c r="K152" s="545">
        <f t="shared" si="49"/>
        <v>42474.061499999996</v>
      </c>
      <c r="L152" s="546"/>
      <c r="M152" s="545">
        <f t="shared" si="50"/>
        <v>31777.0615</v>
      </c>
      <c r="N152" s="545"/>
      <c r="O152" s="545"/>
      <c r="P152" s="545">
        <f t="shared" si="51"/>
        <v>3172.490487</v>
      </c>
      <c r="Q152" s="545"/>
      <c r="R152" s="545">
        <f t="shared" si="52"/>
        <v>34949.551986999999</v>
      </c>
      <c r="S152" s="524"/>
      <c r="X152" s="1070"/>
    </row>
    <row r="153" spans="2:24" ht="15.5" x14ac:dyDescent="0.35">
      <c r="B153" s="549"/>
      <c r="C153" s="550"/>
      <c r="D153" s="543">
        <v>5</v>
      </c>
      <c r="E153" s="791">
        <f>(34099.33-((34099.33-E152)*0.29))*1.02</f>
        <v>34094.3895777</v>
      </c>
      <c r="F153" s="545"/>
      <c r="G153" s="545">
        <f t="shared" si="47"/>
        <v>3492.2817617226001</v>
      </c>
      <c r="H153" s="545"/>
      <c r="I153" s="545">
        <f t="shared" si="48"/>
        <v>8073.5514519993603</v>
      </c>
      <c r="J153" s="545"/>
      <c r="K153" s="545">
        <f t="shared" si="49"/>
        <v>45660.3895777</v>
      </c>
      <c r="L153" s="546"/>
      <c r="M153" s="545">
        <f t="shared" si="50"/>
        <v>34094.3895777</v>
      </c>
      <c r="N153" s="545"/>
      <c r="O153" s="545"/>
      <c r="P153" s="545">
        <f t="shared" si="51"/>
        <v>3492.2817617226001</v>
      </c>
      <c r="Q153" s="545"/>
      <c r="R153" s="545">
        <f t="shared" si="52"/>
        <v>37586.671339422603</v>
      </c>
      <c r="S153" s="524"/>
      <c r="U153" s="482"/>
      <c r="X153" s="1066"/>
    </row>
    <row r="154" spans="2:24" ht="15.5" x14ac:dyDescent="0.35">
      <c r="B154" s="549"/>
      <c r="C154" s="550"/>
      <c r="D154" s="543">
        <v>6</v>
      </c>
      <c r="E154" s="544">
        <v>36960.202499999999</v>
      </c>
      <c r="F154" s="545"/>
      <c r="G154" s="545">
        <f t="shared" si="47"/>
        <v>3887.7639450000001</v>
      </c>
      <c r="H154" s="545"/>
      <c r="I154" s="545">
        <f t="shared" si="48"/>
        <v>8752.1759519999996</v>
      </c>
      <c r="J154" s="545"/>
      <c r="K154" s="545">
        <f t="shared" si="49"/>
        <v>49600.202499999999</v>
      </c>
      <c r="L154" s="546"/>
      <c r="M154" s="545">
        <f t="shared" si="50"/>
        <v>36960.202499999999</v>
      </c>
      <c r="N154" s="545"/>
      <c r="O154" s="545"/>
      <c r="P154" s="545">
        <f t="shared" si="51"/>
        <v>3887.7639450000001</v>
      </c>
      <c r="Q154" s="545"/>
      <c r="R154" s="545">
        <f t="shared" si="52"/>
        <v>40847.966444999998</v>
      </c>
      <c r="S154" s="524"/>
    </row>
    <row r="155" spans="2:24" ht="15.5" x14ac:dyDescent="0.35">
      <c r="B155" s="553" t="s">
        <v>1424</v>
      </c>
      <c r="C155" s="550"/>
      <c r="D155" s="543"/>
      <c r="E155" s="544"/>
      <c r="F155" s="545"/>
      <c r="G155" s="545"/>
      <c r="H155" s="545"/>
      <c r="I155" s="545"/>
      <c r="J155" s="545"/>
      <c r="K155" s="545"/>
      <c r="L155" s="546"/>
      <c r="M155" s="554" t="s">
        <v>1425</v>
      </c>
      <c r="N155" s="545"/>
      <c r="O155" s="545"/>
      <c r="P155" s="545"/>
      <c r="Q155" s="545"/>
      <c r="R155" s="545"/>
      <c r="S155" s="524"/>
    </row>
    <row r="156" spans="2:24" ht="15.5" x14ac:dyDescent="0.35">
      <c r="B156" s="549"/>
      <c r="C156" s="550" t="s">
        <v>1426</v>
      </c>
      <c r="D156" s="543">
        <v>1</v>
      </c>
      <c r="E156" s="544">
        <v>38689.485000000001</v>
      </c>
      <c r="F156" s="545"/>
      <c r="G156" s="545">
        <f>IF($M156&gt;$U$11,($E156-$U$11)*$W$11,"ERROR")</f>
        <v>4126.4049300000006</v>
      </c>
      <c r="H156" s="545"/>
      <c r="I156" s="545">
        <f>$E156*$V$13</f>
        <v>9161.670048</v>
      </c>
      <c r="J156" s="545"/>
      <c r="K156" s="545">
        <f>E156+ROUND(G156,0)+ROUND(I156,0)</f>
        <v>51977.485000000001</v>
      </c>
      <c r="L156" s="546"/>
      <c r="M156" s="545">
        <f>E156</f>
        <v>38689.485000000001</v>
      </c>
      <c r="N156" s="545"/>
      <c r="O156" s="545"/>
      <c r="P156" s="545">
        <f>IF($M156&gt;$U$11,($M156-$U$11)*$W$11,"ERROR")</f>
        <v>4126.4049300000006</v>
      </c>
      <c r="Q156" s="545"/>
      <c r="R156" s="545">
        <f>SUM(M156:P156)</f>
        <v>42815.889930000005</v>
      </c>
      <c r="S156" s="524"/>
    </row>
    <row r="157" spans="2:24" ht="15.5" x14ac:dyDescent="0.35">
      <c r="B157" s="549"/>
      <c r="C157" s="550" t="s">
        <v>1428</v>
      </c>
      <c r="D157" s="543">
        <v>2</v>
      </c>
      <c r="E157" s="544">
        <v>40123.875</v>
      </c>
      <c r="F157" s="545"/>
      <c r="G157" s="545">
        <f>IF($M157&gt;$U$11,($E157-$U$11)*$W$11,"ERROR")</f>
        <v>4324.3507500000005</v>
      </c>
      <c r="H157" s="545"/>
      <c r="I157" s="545">
        <f>$E157*$V$13</f>
        <v>9501.3335999999999</v>
      </c>
      <c r="J157" s="545"/>
      <c r="K157" s="545">
        <f>E157+ROUND(G157,0)+ROUND(I157,0)</f>
        <v>53948.875</v>
      </c>
      <c r="L157" s="546"/>
      <c r="M157" s="545">
        <f>E157</f>
        <v>40123.875</v>
      </c>
      <c r="N157" s="545"/>
      <c r="O157" s="545"/>
      <c r="P157" s="545">
        <f>IF($M157&gt;$U$11,($M157-$U$11)*$W$11,"ERROR")</f>
        <v>4324.3507500000005</v>
      </c>
      <c r="Q157" s="545"/>
      <c r="R157" s="545">
        <f>SUM(M157:P157)</f>
        <v>44448.225749999998</v>
      </c>
      <c r="S157" s="524"/>
    </row>
    <row r="158" spans="2:24" ht="15.5" x14ac:dyDescent="0.35">
      <c r="B158" s="549"/>
      <c r="C158" s="550"/>
      <c r="D158" s="543">
        <v>3</v>
      </c>
      <c r="E158" s="544">
        <v>41603.474999999999</v>
      </c>
      <c r="F158" s="545"/>
      <c r="G158" s="545">
        <f>IF($M158&gt;$U$11,($E158-$U$11)*$W$11,"ERROR")</f>
        <v>4528.5355500000005</v>
      </c>
      <c r="H158" s="545"/>
      <c r="I158" s="545">
        <f>$E158*$V$13</f>
        <v>9851.7028800000007</v>
      </c>
      <c r="J158" s="545"/>
      <c r="K158" s="545">
        <f>E158+ROUND(G158,0)+ROUND(I158,0)</f>
        <v>55984.474999999999</v>
      </c>
      <c r="L158" s="546"/>
      <c r="M158" s="545">
        <f>E158</f>
        <v>41603.474999999999</v>
      </c>
      <c r="N158" s="545"/>
      <c r="O158" s="545"/>
      <c r="P158" s="545">
        <f>IF($M158&gt;$U$11,($M158-$U$11)*$W$11,"ERROR")</f>
        <v>4528.5355500000005</v>
      </c>
      <c r="Q158" s="545"/>
      <c r="R158" s="545">
        <f>SUM(M158:P158)</f>
        <v>46132.010549999999</v>
      </c>
      <c r="S158" s="524"/>
    </row>
    <row r="159" spans="2:24" ht="15.5" x14ac:dyDescent="0.35">
      <c r="B159" s="549"/>
      <c r="C159" s="550"/>
      <c r="D159" s="543"/>
      <c r="E159" s="544"/>
      <c r="F159" s="545"/>
      <c r="G159" s="545"/>
      <c r="H159" s="545"/>
      <c r="I159" s="545"/>
      <c r="J159" s="545"/>
      <c r="K159" s="545"/>
      <c r="L159" s="546"/>
      <c r="M159" s="545"/>
      <c r="N159" s="545"/>
      <c r="O159" s="545"/>
      <c r="P159" s="545"/>
      <c r="Q159" s="545"/>
      <c r="R159" s="545"/>
      <c r="S159" s="524"/>
    </row>
    <row r="160" spans="2:24" ht="15.5" x14ac:dyDescent="0.35">
      <c r="B160" s="553" t="s">
        <v>1431</v>
      </c>
      <c r="C160" s="550"/>
      <c r="D160" s="543"/>
      <c r="E160" s="544"/>
      <c r="F160" s="545"/>
      <c r="G160" s="545"/>
      <c r="H160" s="545"/>
      <c r="I160" s="545"/>
      <c r="J160" s="545"/>
      <c r="K160" s="545"/>
      <c r="L160" s="546"/>
      <c r="M160" s="554" t="s">
        <v>1425</v>
      </c>
      <c r="N160" s="545"/>
      <c r="O160" s="545"/>
      <c r="P160" s="545"/>
      <c r="Q160" s="545"/>
      <c r="R160" s="545"/>
      <c r="S160" s="524"/>
    </row>
    <row r="161" spans="2:22" ht="15.5" x14ac:dyDescent="0.35">
      <c r="B161" s="555"/>
      <c r="C161" s="550"/>
      <c r="D161" s="521"/>
      <c r="E161" s="544"/>
      <c r="F161" s="545"/>
      <c r="G161" s="545"/>
      <c r="H161" s="545"/>
      <c r="I161" s="545"/>
      <c r="J161" s="545"/>
      <c r="K161" s="545"/>
      <c r="L161" s="546"/>
      <c r="M161" s="545"/>
      <c r="N161" s="545"/>
      <c r="O161" s="545"/>
      <c r="P161" s="545"/>
      <c r="Q161" s="545"/>
      <c r="R161" s="545"/>
      <c r="S161" s="524"/>
    </row>
    <row r="162" spans="2:22" ht="15.5" x14ac:dyDescent="0.35">
      <c r="B162" s="556" t="s">
        <v>1434</v>
      </c>
      <c r="C162" s="550" t="s">
        <v>1435</v>
      </c>
      <c r="D162" s="557">
        <v>1</v>
      </c>
      <c r="E162" s="544">
        <v>18168.255000000001</v>
      </c>
      <c r="F162" s="545"/>
      <c r="G162" s="545">
        <f t="shared" ref="G162:G167" si="53">IF($M162&gt;$U$11,($E162-$U$11)*$W$11,"ERROR")</f>
        <v>1294.4751900000003</v>
      </c>
      <c r="H162" s="545"/>
      <c r="I162" s="545">
        <f t="shared" ref="I162:I167" si="54">$E162*$V$13</f>
        <v>4302.242784</v>
      </c>
      <c r="J162" s="545"/>
      <c r="K162" s="545">
        <f t="shared" ref="K162:K167" si="55">E162+ROUND(G162,0)+ROUND(I162,0)</f>
        <v>23764.255000000001</v>
      </c>
      <c r="L162" s="546"/>
      <c r="M162" s="545">
        <f t="shared" ref="M162:M167" si="56">E162</f>
        <v>18168.255000000001</v>
      </c>
      <c r="N162" s="545"/>
      <c r="O162" s="545"/>
      <c r="P162" s="545">
        <f t="shared" ref="P162:P167" si="57">IF($M162&gt;$U$11,($M162-$U$11)*$W$11,"ERROR")</f>
        <v>1294.4751900000003</v>
      </c>
      <c r="Q162" s="545"/>
      <c r="R162" s="545">
        <f t="shared" ref="R162:R167" si="58">SUM(M162:P162)</f>
        <v>19462.730190000002</v>
      </c>
      <c r="S162" s="524"/>
    </row>
    <row r="163" spans="2:22" ht="15.5" x14ac:dyDescent="0.35">
      <c r="B163" s="556" t="s">
        <v>1436</v>
      </c>
      <c r="C163" s="550" t="s">
        <v>1437</v>
      </c>
      <c r="D163" s="557">
        <v>2</v>
      </c>
      <c r="E163" s="544">
        <v>20281.822499999998</v>
      </c>
      <c r="F163" s="545"/>
      <c r="G163" s="545">
        <f t="shared" si="53"/>
        <v>1586.1475049999999</v>
      </c>
      <c r="H163" s="545"/>
      <c r="I163" s="545">
        <f t="shared" si="54"/>
        <v>4802.7355680000001</v>
      </c>
      <c r="J163" s="545"/>
      <c r="K163" s="545">
        <f t="shared" si="55"/>
        <v>26670.822499999998</v>
      </c>
      <c r="L163" s="546"/>
      <c r="M163" s="545">
        <f t="shared" si="56"/>
        <v>20281.822499999998</v>
      </c>
      <c r="N163" s="545"/>
      <c r="O163" s="545"/>
      <c r="P163" s="545">
        <f t="shared" si="57"/>
        <v>1586.1475049999999</v>
      </c>
      <c r="Q163" s="545"/>
      <c r="R163" s="545">
        <f t="shared" si="58"/>
        <v>21867.970004999999</v>
      </c>
      <c r="S163" s="524"/>
    </row>
    <row r="164" spans="2:22" ht="15.5" x14ac:dyDescent="0.35">
      <c r="B164" s="558"/>
      <c r="C164" s="550"/>
      <c r="D164" s="557">
        <v>3</v>
      </c>
      <c r="E164" s="544">
        <v>22393.334999999999</v>
      </c>
      <c r="F164" s="545"/>
      <c r="G164" s="545">
        <f t="shared" si="53"/>
        <v>1877.5362299999999</v>
      </c>
      <c r="H164" s="545"/>
      <c r="I164" s="545">
        <f t="shared" si="54"/>
        <v>5302.741728</v>
      </c>
      <c r="J164" s="545"/>
      <c r="K164" s="545">
        <f t="shared" si="55"/>
        <v>29574.334999999999</v>
      </c>
      <c r="L164" s="546"/>
      <c r="M164" s="545">
        <f t="shared" si="56"/>
        <v>22393.334999999999</v>
      </c>
      <c r="N164" s="545"/>
      <c r="O164" s="545"/>
      <c r="P164" s="545">
        <f t="shared" si="57"/>
        <v>1877.5362299999999</v>
      </c>
      <c r="Q164" s="545"/>
      <c r="R164" s="545">
        <f t="shared" si="58"/>
        <v>24270.871230000001</v>
      </c>
      <c r="S164" s="524"/>
    </row>
    <row r="165" spans="2:22" ht="15.5" x14ac:dyDescent="0.35">
      <c r="B165" s="558"/>
      <c r="C165" s="550"/>
      <c r="D165" s="557">
        <v>4</v>
      </c>
      <c r="E165" s="544">
        <v>24506.9025</v>
      </c>
      <c r="F165" s="545"/>
      <c r="G165" s="545">
        <f t="shared" si="53"/>
        <v>2169.2085450000004</v>
      </c>
      <c r="H165" s="545"/>
      <c r="I165" s="545">
        <f t="shared" si="54"/>
        <v>5803.234512</v>
      </c>
      <c r="J165" s="545"/>
      <c r="K165" s="545">
        <f t="shared" si="55"/>
        <v>32478.9025</v>
      </c>
      <c r="L165" s="546"/>
      <c r="M165" s="545">
        <f t="shared" si="56"/>
        <v>24506.9025</v>
      </c>
      <c r="N165" s="545"/>
      <c r="O165" s="545"/>
      <c r="P165" s="545">
        <f t="shared" si="57"/>
        <v>2169.2085450000004</v>
      </c>
      <c r="Q165" s="545"/>
      <c r="R165" s="545">
        <f t="shared" si="58"/>
        <v>26676.111045000001</v>
      </c>
      <c r="S165" s="524"/>
    </row>
    <row r="166" spans="2:22" ht="15.5" x14ac:dyDescent="0.35">
      <c r="B166" s="555"/>
      <c r="C166" s="550"/>
      <c r="D166" s="557">
        <v>5</v>
      </c>
      <c r="E166" s="544">
        <v>26621.497499999998</v>
      </c>
      <c r="F166" s="545"/>
      <c r="G166" s="545">
        <f t="shared" si="53"/>
        <v>2461.0226549999998</v>
      </c>
      <c r="H166" s="545"/>
      <c r="I166" s="545">
        <f t="shared" si="54"/>
        <v>6303.9706079999996</v>
      </c>
      <c r="J166" s="545"/>
      <c r="K166" s="545">
        <f t="shared" si="55"/>
        <v>35386.497499999998</v>
      </c>
      <c r="L166" s="546"/>
      <c r="M166" s="545">
        <f t="shared" si="56"/>
        <v>26621.497499999998</v>
      </c>
      <c r="N166" s="545"/>
      <c r="O166" s="545"/>
      <c r="P166" s="545">
        <f t="shared" si="57"/>
        <v>2461.0226549999998</v>
      </c>
      <c r="Q166" s="545"/>
      <c r="R166" s="545">
        <f t="shared" si="58"/>
        <v>29082.520154999998</v>
      </c>
      <c r="S166" s="524"/>
    </row>
    <row r="167" spans="2:22" ht="15.5" x14ac:dyDescent="0.35">
      <c r="B167" s="555"/>
      <c r="C167" s="550"/>
      <c r="D167" s="557">
        <v>6</v>
      </c>
      <c r="E167" s="544">
        <v>28734.037499999999</v>
      </c>
      <c r="F167" s="545"/>
      <c r="G167" s="545">
        <f t="shared" si="53"/>
        <v>2752.553175</v>
      </c>
      <c r="H167" s="545"/>
      <c r="I167" s="545">
        <f t="shared" si="54"/>
        <v>6804.2200800000001</v>
      </c>
      <c r="J167" s="545"/>
      <c r="K167" s="545">
        <f t="shared" si="55"/>
        <v>38291.037499999999</v>
      </c>
      <c r="L167" s="546"/>
      <c r="M167" s="545">
        <f t="shared" si="56"/>
        <v>28734.037499999999</v>
      </c>
      <c r="N167" s="545"/>
      <c r="O167" s="545"/>
      <c r="P167" s="545">
        <f t="shared" si="57"/>
        <v>2752.553175</v>
      </c>
      <c r="Q167" s="545"/>
      <c r="R167" s="545">
        <f t="shared" si="58"/>
        <v>31486.590674999999</v>
      </c>
      <c r="S167" s="524"/>
    </row>
    <row r="168" spans="2:22" ht="15.5" x14ac:dyDescent="0.35">
      <c r="B168" s="555"/>
      <c r="C168" s="550"/>
      <c r="D168" s="557"/>
      <c r="E168" s="559"/>
      <c r="F168" s="559"/>
      <c r="G168" s="559"/>
      <c r="H168" s="559"/>
      <c r="I168" s="559"/>
      <c r="J168" s="559"/>
      <c r="K168" s="559"/>
      <c r="L168" s="560"/>
      <c r="M168" s="559"/>
      <c r="N168" s="559"/>
      <c r="O168" s="559"/>
      <c r="P168" s="559"/>
      <c r="Q168" s="559"/>
      <c r="R168" s="559"/>
      <c r="S168" s="524"/>
    </row>
    <row r="169" spans="2:22" ht="15.5" x14ac:dyDescent="0.35">
      <c r="B169" s="555"/>
      <c r="C169" s="550"/>
      <c r="D169" s="557"/>
      <c r="E169" s="559"/>
      <c r="F169" s="559"/>
      <c r="G169" s="559"/>
      <c r="H169" s="559"/>
      <c r="I169" s="559"/>
      <c r="J169" s="559"/>
      <c r="K169" s="559"/>
      <c r="L169" s="560"/>
      <c r="M169" s="559"/>
      <c r="N169" s="559"/>
      <c r="O169" s="559"/>
      <c r="P169" s="559"/>
      <c r="Q169" s="559"/>
      <c r="R169" s="559"/>
      <c r="S169" s="524"/>
    </row>
    <row r="170" spans="2:22" ht="16" thickBot="1" x14ac:dyDescent="0.4">
      <c r="B170" s="561"/>
      <c r="C170" s="562"/>
      <c r="D170" s="563"/>
      <c r="E170" s="564"/>
      <c r="F170" s="564"/>
      <c r="G170" s="564"/>
      <c r="H170" s="564"/>
      <c r="I170" s="564"/>
      <c r="J170" s="564"/>
      <c r="K170" s="564"/>
      <c r="L170" s="565"/>
      <c r="M170" s="566"/>
      <c r="N170" s="564"/>
      <c r="O170" s="564"/>
      <c r="P170" s="564"/>
      <c r="Q170" s="564"/>
      <c r="R170" s="564"/>
      <c r="S170" s="537"/>
    </row>
    <row r="172" spans="2:22" ht="15.5" x14ac:dyDescent="0.35">
      <c r="B172" s="549"/>
      <c r="C172" s="550"/>
      <c r="D172" s="543">
        <v>5</v>
      </c>
      <c r="E172" s="791">
        <f>E126+(E126*2%)</f>
        <v>36409.789577700001</v>
      </c>
      <c r="F172" s="545"/>
      <c r="G172" s="545">
        <f t="shared" ref="G172" si="59">IF($M172&gt;$U$11,($E172-$U$11)*$W$11,"ERROR")</f>
        <v>3811.8069617226006</v>
      </c>
      <c r="H172" s="545"/>
      <c r="I172" s="545">
        <f>$E172*$V$13</f>
        <v>8621.8381719993613</v>
      </c>
      <c r="J172" s="545"/>
      <c r="K172" s="545">
        <f t="shared" ref="K172" si="60">E172+ROUND(G172,0)+ROUND(I172,0)</f>
        <v>48843.789577700001</v>
      </c>
      <c r="L172" s="546"/>
      <c r="M172" s="545">
        <f t="shared" ref="M172" si="61">E172</f>
        <v>36409.789577700001</v>
      </c>
      <c r="N172" s="545"/>
      <c r="O172" s="545"/>
      <c r="P172" s="545">
        <f t="shared" ref="P172:P174" si="62">IF($M172&gt;$U$11,($M172-$U$11)*$W$11,"ERROR")</f>
        <v>3811.8069617226006</v>
      </c>
      <c r="Q172" s="545"/>
      <c r="R172" s="545">
        <f t="shared" ref="R172" si="63">SUM(M172:P172)</f>
        <v>40221.5965394226</v>
      </c>
      <c r="S172" s="524"/>
      <c r="U172" s="588" t="s">
        <v>1450</v>
      </c>
      <c r="V172" s="588"/>
    </row>
    <row r="173" spans="2:22" ht="15.5" x14ac:dyDescent="0.35">
      <c r="U173" s="588"/>
      <c r="V173" s="588"/>
    </row>
    <row r="174" spans="2:22" ht="15.5" x14ac:dyDescent="0.35">
      <c r="E174" s="791">
        <f>E172</f>
        <v>36409.789577700001</v>
      </c>
      <c r="F174" s="545"/>
      <c r="G174" s="545">
        <f>IF($M174&gt;$U$11,($E174-$U$11)*($W$11+0.0125),"ERROR")</f>
        <v>4157.0793314438506</v>
      </c>
      <c r="H174" s="545"/>
      <c r="I174" s="545">
        <f>$E174*$V$13</f>
        <v>8621.8381719993613</v>
      </c>
      <c r="J174" s="545"/>
      <c r="K174" s="545">
        <f t="shared" ref="K174" si="64">E174+ROUND(G174,0)+ROUND(I174,0)</f>
        <v>49188.789577700001</v>
      </c>
      <c r="L174" s="546"/>
      <c r="M174" s="545">
        <f t="shared" ref="M174" si="65">E174</f>
        <v>36409.789577700001</v>
      </c>
      <c r="N174" s="545"/>
      <c r="O174" s="545"/>
      <c r="P174" s="545">
        <f t="shared" si="62"/>
        <v>3811.8069617226006</v>
      </c>
      <c r="Q174" s="545"/>
      <c r="R174" s="545">
        <f t="shared" ref="R174" si="66">SUM(M174:P174)</f>
        <v>40221.5965394226</v>
      </c>
      <c r="V174" s="588"/>
    </row>
    <row r="176" spans="2:22" ht="15.5" x14ac:dyDescent="0.35">
      <c r="G176" s="1124">
        <f>G174-G172</f>
        <v>345.27236972125002</v>
      </c>
      <c r="I176" s="588" t="s">
        <v>1451</v>
      </c>
    </row>
    <row r="178" spans="7:7" x14ac:dyDescent="0.25">
      <c r="G178" s="1125"/>
    </row>
    <row r="179" spans="7:7" x14ac:dyDescent="0.25">
      <c r="G179" s="1123"/>
    </row>
  </sheetData>
  <mergeCells count="3">
    <mergeCell ref="B3:S4"/>
    <mergeCell ref="B5:S5"/>
    <mergeCell ref="B6:S6"/>
  </mergeCells>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3158E-3DF9-40EB-9436-9C246B94DC6F}">
  <sheetPr>
    <tabColor rgb="FFFFFF00"/>
  </sheetPr>
  <dimension ref="A1:AB66"/>
  <sheetViews>
    <sheetView topLeftCell="A18" workbookViewId="0">
      <selection activeCell="Z12" sqref="Z12"/>
    </sheetView>
  </sheetViews>
  <sheetFormatPr defaultColWidth="8.26953125" defaultRowHeight="12.5" x14ac:dyDescent="0.25"/>
  <cols>
    <col min="1" max="1" width="11.453125" style="289" customWidth="1"/>
    <col min="2" max="2" width="9.54296875" style="289" customWidth="1"/>
    <col min="3" max="3" width="14.81640625" style="289" customWidth="1"/>
    <col min="4" max="4" width="8.81640625" style="289" customWidth="1"/>
    <col min="5" max="5" width="13.7265625" style="289" customWidth="1"/>
    <col min="6" max="6" width="4.1796875" style="289" customWidth="1"/>
    <col min="7" max="7" width="9.81640625" style="289" customWidth="1"/>
    <col min="8" max="8" width="3.81640625" style="289" customWidth="1"/>
    <col min="9" max="9" width="15.81640625" style="289" bestFit="1" customWidth="1"/>
    <col min="10" max="10" width="2.7265625" style="289" customWidth="1"/>
    <col min="11" max="11" width="10.453125" style="289" customWidth="1"/>
    <col min="12" max="12" width="2.26953125" style="289" customWidth="1"/>
    <col min="13" max="13" width="10.453125" style="289" customWidth="1"/>
    <col min="14" max="14" width="0.81640625" style="289" customWidth="1"/>
    <col min="15" max="15" width="1.453125" style="289" customWidth="1"/>
    <col min="16" max="16" width="11.1796875" style="289" customWidth="1"/>
    <col min="17" max="17" width="2.81640625" style="289" customWidth="1"/>
    <col min="18" max="18" width="9.81640625" style="289" bestFit="1" customWidth="1"/>
    <col min="19" max="19" width="2.26953125" style="289" customWidth="1"/>
    <col min="20" max="20" width="9.453125" style="289" customWidth="1"/>
    <col min="21" max="21" width="12.1796875" style="289" bestFit="1" customWidth="1"/>
    <col min="22" max="23" width="9.453125" style="289" customWidth="1"/>
    <col min="24" max="26" width="8.26953125" style="289"/>
    <col min="27" max="27" width="8.54296875" style="289" bestFit="1" customWidth="1"/>
    <col min="28" max="16384" width="8.26953125" style="289"/>
  </cols>
  <sheetData>
    <row r="1" spans="1:28" s="475" customFormat="1" ht="39.65" customHeight="1" thickBot="1" x14ac:dyDescent="0.35">
      <c r="A1" s="184" t="s">
        <v>1392</v>
      </c>
      <c r="B1" s="470" t="s">
        <v>1452</v>
      </c>
      <c r="C1" s="471"/>
      <c r="D1" s="471"/>
      <c r="E1" s="471"/>
      <c r="F1" s="472"/>
      <c r="G1" s="471"/>
      <c r="H1" s="471"/>
      <c r="I1" s="471"/>
      <c r="J1" s="471"/>
      <c r="K1" s="471"/>
      <c r="L1" s="471"/>
      <c r="M1" s="471"/>
      <c r="N1" s="471"/>
      <c r="O1" s="471"/>
      <c r="P1" s="471"/>
      <c r="Q1" s="471"/>
      <c r="R1" s="473" t="s">
        <v>854</v>
      </c>
      <c r="S1" s="474"/>
    </row>
    <row r="2" spans="1:28" s="475" customFormat="1" ht="12.65" customHeight="1" x14ac:dyDescent="0.3">
      <c r="A2" s="184"/>
      <c r="B2" s="476"/>
      <c r="C2" s="476"/>
      <c r="D2" s="476"/>
      <c r="E2" s="476"/>
      <c r="F2" s="477"/>
      <c r="G2" s="476"/>
      <c r="H2" s="476"/>
      <c r="I2" s="476"/>
      <c r="J2" s="476"/>
      <c r="K2" s="476"/>
      <c r="L2" s="476"/>
      <c r="M2" s="476"/>
      <c r="N2" s="476"/>
      <c r="O2" s="476"/>
      <c r="P2" s="476"/>
      <c r="Q2" s="476"/>
      <c r="R2" s="476"/>
      <c r="S2" s="476"/>
      <c r="U2" s="478"/>
    </row>
    <row r="3" spans="1:28" s="475" customFormat="1" ht="64.900000000000006" customHeight="1" x14ac:dyDescent="0.3">
      <c r="A3" s="184" t="s">
        <v>1394</v>
      </c>
      <c r="B3" s="1567" t="s">
        <v>1395</v>
      </c>
      <c r="C3" s="1568"/>
      <c r="D3" s="1568"/>
      <c r="E3" s="1568"/>
      <c r="F3" s="1568"/>
      <c r="G3" s="1568"/>
      <c r="H3" s="1568"/>
      <c r="I3" s="1568"/>
      <c r="J3" s="1568"/>
      <c r="K3" s="1568"/>
      <c r="L3" s="1568"/>
      <c r="M3" s="1568"/>
      <c r="N3" s="1568"/>
      <c r="O3" s="1568"/>
      <c r="P3" s="1568"/>
      <c r="Q3" s="1568"/>
      <c r="R3" s="1568"/>
      <c r="S3" s="1568"/>
      <c r="U3" s="478"/>
    </row>
    <row r="4" spans="1:28" s="475" customFormat="1" ht="18.649999999999999" customHeight="1" thickBot="1" x14ac:dyDescent="0.35">
      <c r="A4" s="184"/>
      <c r="B4" s="1568"/>
      <c r="C4" s="1568"/>
      <c r="D4" s="1568"/>
      <c r="E4" s="1568"/>
      <c r="F4" s="1568"/>
      <c r="G4" s="1568"/>
      <c r="H4" s="1568"/>
      <c r="I4" s="1568"/>
      <c r="J4" s="1568"/>
      <c r="K4" s="1568"/>
      <c r="L4" s="1568"/>
      <c r="M4" s="1568"/>
      <c r="N4" s="1568"/>
      <c r="O4" s="1568"/>
      <c r="P4" s="1568"/>
      <c r="Q4" s="1568"/>
      <c r="R4" s="1568"/>
      <c r="S4" s="1568"/>
      <c r="U4" s="478"/>
    </row>
    <row r="5" spans="1:28" s="482" customFormat="1" ht="16" x14ac:dyDescent="0.4">
      <c r="A5" s="184" t="s">
        <v>1396</v>
      </c>
      <c r="B5" s="1569" t="s">
        <v>1453</v>
      </c>
      <c r="C5" s="1569"/>
      <c r="D5" s="1569"/>
      <c r="E5" s="1569"/>
      <c r="F5" s="1569"/>
      <c r="G5" s="1569"/>
      <c r="H5" s="1569"/>
      <c r="I5" s="1569"/>
      <c r="J5" s="1569"/>
      <c r="K5" s="1569"/>
      <c r="L5" s="1569"/>
      <c r="M5" s="1569"/>
      <c r="N5" s="1569"/>
      <c r="O5" s="1569"/>
      <c r="P5" s="1570"/>
      <c r="Q5" s="1570"/>
      <c r="R5" s="1570"/>
      <c r="S5" s="1570"/>
      <c r="T5" s="184" t="s">
        <v>1398</v>
      </c>
      <c r="U5" s="479" t="s">
        <v>1399</v>
      </c>
      <c r="V5" s="480">
        <v>1</v>
      </c>
      <c r="W5" s="481">
        <v>2</v>
      </c>
      <c r="Y5" s="483"/>
      <c r="Z5" s="1283"/>
      <c r="AA5" s="1283"/>
      <c r="AB5" s="1283"/>
    </row>
    <row r="6" spans="1:28" ht="15.5" x14ac:dyDescent="0.45">
      <c r="A6" s="184" t="s">
        <v>1400</v>
      </c>
      <c r="B6" s="1572" t="s">
        <v>1454</v>
      </c>
      <c r="C6" s="1569"/>
      <c r="D6" s="1569"/>
      <c r="E6" s="1569"/>
      <c r="F6" s="1569"/>
      <c r="G6" s="1569"/>
      <c r="H6" s="1569"/>
      <c r="I6" s="1569"/>
      <c r="J6" s="1569"/>
      <c r="K6" s="1569"/>
      <c r="L6" s="1569"/>
      <c r="M6" s="1569"/>
      <c r="N6" s="1569"/>
      <c r="O6" s="1569"/>
      <c r="P6" s="1570"/>
      <c r="Q6" s="1570"/>
      <c r="R6" s="1570"/>
      <c r="S6" s="1570"/>
      <c r="U6" s="487">
        <v>0</v>
      </c>
      <c r="V6" s="488">
        <v>0</v>
      </c>
      <c r="W6" s="489">
        <v>0</v>
      </c>
      <c r="Y6" s="483"/>
      <c r="Z6" s="1284"/>
      <c r="AA6" s="1284"/>
      <c r="AB6" s="1284"/>
    </row>
    <row r="7" spans="1:28" ht="16" thickBot="1" x14ac:dyDescent="0.5">
      <c r="B7" s="493"/>
      <c r="C7" s="184"/>
      <c r="D7" s="184"/>
      <c r="E7" s="184"/>
      <c r="F7" s="184"/>
      <c r="G7" s="184"/>
      <c r="H7" s="184"/>
      <c r="I7" s="184"/>
      <c r="J7" s="184"/>
      <c r="K7" s="184"/>
      <c r="L7" s="184"/>
      <c r="M7" s="184"/>
      <c r="N7" s="184"/>
      <c r="O7" s="184"/>
      <c r="P7" s="184"/>
      <c r="Q7" s="184"/>
      <c r="R7" s="184"/>
      <c r="S7" s="184"/>
      <c r="U7" s="487"/>
      <c r="V7" s="488"/>
      <c r="W7" s="489"/>
      <c r="Y7" s="483"/>
      <c r="Z7" s="1284"/>
      <c r="AA7" s="1285"/>
      <c r="AB7" s="1285"/>
    </row>
    <row r="8" spans="1:28" ht="15.5" x14ac:dyDescent="0.45">
      <c r="A8" s="184" t="s">
        <v>1403</v>
      </c>
      <c r="B8" s="496"/>
      <c r="C8" s="497" t="s">
        <v>1404</v>
      </c>
      <c r="D8" s="498"/>
      <c r="E8" s="497" t="s">
        <v>1455</v>
      </c>
      <c r="F8" s="498"/>
      <c r="G8" s="498"/>
      <c r="H8" s="498"/>
      <c r="I8" s="498"/>
      <c r="J8" s="498"/>
      <c r="K8" s="498"/>
      <c r="L8" s="498"/>
      <c r="M8" s="497" t="s">
        <v>1456</v>
      </c>
      <c r="N8" s="499"/>
      <c r="O8" s="499"/>
      <c r="P8" s="498"/>
      <c r="Q8" s="498"/>
      <c r="R8" s="498"/>
      <c r="S8" s="500"/>
      <c r="U8" s="487"/>
      <c r="V8" s="488"/>
      <c r="W8" s="489"/>
      <c r="Y8" s="1286"/>
      <c r="Z8" s="1284"/>
      <c r="AA8" s="1285"/>
      <c r="AB8" s="1285"/>
    </row>
    <row r="9" spans="1:28" ht="15.5" x14ac:dyDescent="0.45">
      <c r="A9" s="184"/>
      <c r="B9" s="501"/>
      <c r="C9" s="502"/>
      <c r="D9" s="502"/>
      <c r="E9" s="503"/>
      <c r="F9" s="502"/>
      <c r="G9" s="502"/>
      <c r="H9" s="502"/>
      <c r="I9" s="502"/>
      <c r="J9" s="502"/>
      <c r="K9" s="502"/>
      <c r="L9" s="502"/>
      <c r="M9" s="502"/>
      <c r="N9" s="488"/>
      <c r="O9" s="502"/>
      <c r="P9" s="502"/>
      <c r="Q9" s="502"/>
      <c r="R9" s="502"/>
      <c r="S9" s="504"/>
      <c r="U9" s="487"/>
      <c r="V9" s="505"/>
      <c r="W9" s="506"/>
      <c r="Y9" s="507"/>
      <c r="Z9" s="1284"/>
      <c r="AA9" s="1285"/>
      <c r="AB9" s="1285"/>
    </row>
    <row r="10" spans="1:28" ht="16" thickBot="1" x14ac:dyDescent="0.5">
      <c r="A10" s="184"/>
      <c r="B10" s="508" t="s">
        <v>1457</v>
      </c>
      <c r="C10" s="509"/>
      <c r="D10" s="509"/>
      <c r="E10" s="509"/>
      <c r="F10" s="510"/>
      <c r="G10" s="509"/>
      <c r="H10" s="510"/>
      <c r="I10" s="509"/>
      <c r="J10" s="510"/>
      <c r="K10" s="509"/>
      <c r="L10" s="510"/>
      <c r="M10" s="510"/>
      <c r="N10" s="510"/>
      <c r="O10" s="510"/>
      <c r="P10" s="510"/>
      <c r="Q10" s="510"/>
      <c r="R10" s="510"/>
      <c r="S10" s="511"/>
      <c r="U10" s="487"/>
      <c r="V10" s="505"/>
      <c r="W10" s="506"/>
      <c r="Y10" s="483"/>
      <c r="Z10" s="1284"/>
      <c r="AA10" s="1285"/>
      <c r="AB10" s="1285"/>
    </row>
    <row r="11" spans="1:28" ht="16" thickBot="1" x14ac:dyDescent="0.5">
      <c r="B11" s="512"/>
      <c r="C11" s="513"/>
      <c r="D11" s="513"/>
      <c r="E11" s="513"/>
      <c r="F11" s="513"/>
      <c r="G11" s="513"/>
      <c r="H11" s="513"/>
      <c r="I11" s="513"/>
      <c r="J11" s="513"/>
      <c r="K11" s="513"/>
      <c r="L11" s="513"/>
      <c r="M11" s="513"/>
      <c r="N11" s="513"/>
      <c r="O11" s="513"/>
      <c r="P11" s="513"/>
      <c r="Q11" s="513"/>
      <c r="R11" s="513"/>
      <c r="S11" s="513"/>
      <c r="U11" s="487">
        <v>9100</v>
      </c>
      <c r="V11" s="505">
        <v>0</v>
      </c>
      <c r="W11" s="506">
        <v>0.15049999999999999</v>
      </c>
      <c r="Y11" s="483"/>
      <c r="Z11" s="1287"/>
      <c r="AA11" s="1285"/>
      <c r="AB11" s="1284"/>
    </row>
    <row r="12" spans="1:28" ht="15.5" x14ac:dyDescent="0.35">
      <c r="A12" s="184" t="s">
        <v>1411</v>
      </c>
      <c r="B12" s="517"/>
      <c r="C12" s="518"/>
      <c r="D12" s="518"/>
      <c r="E12" s="519" t="s">
        <v>1412</v>
      </c>
      <c r="F12" s="520"/>
      <c r="G12" s="519"/>
      <c r="H12" s="520"/>
      <c r="I12" s="519"/>
      <c r="J12" s="520"/>
      <c r="K12" s="519"/>
      <c r="L12" s="521"/>
      <c r="M12" s="522" t="s">
        <v>1413</v>
      </c>
      <c r="N12" s="523"/>
      <c r="O12" s="523"/>
      <c r="P12" s="523"/>
      <c r="Q12" s="523"/>
      <c r="R12" s="523"/>
      <c r="S12" s="524"/>
      <c r="U12" s="487"/>
      <c r="V12" s="505"/>
      <c r="W12" s="506"/>
    </row>
    <row r="13" spans="1:28" ht="16" thickBot="1" x14ac:dyDescent="0.4">
      <c r="A13" s="184"/>
      <c r="B13" s="517"/>
      <c r="C13" s="525" t="s">
        <v>1414</v>
      </c>
      <c r="D13" s="525" t="s">
        <v>1415</v>
      </c>
      <c r="E13" s="526" t="s">
        <v>1416</v>
      </c>
      <c r="F13" s="525"/>
      <c r="G13" s="527" t="s">
        <v>1417</v>
      </c>
      <c r="H13" s="525"/>
      <c r="I13" s="526" t="s">
        <v>1418</v>
      </c>
      <c r="J13" s="525"/>
      <c r="K13" s="526" t="s">
        <v>357</v>
      </c>
      <c r="L13" s="528"/>
      <c r="M13" s="529" t="s">
        <v>1416</v>
      </c>
      <c r="N13" s="525"/>
      <c r="O13" s="525"/>
      <c r="P13" s="527" t="s">
        <v>1417</v>
      </c>
      <c r="Q13" s="525"/>
      <c r="R13" s="530" t="s">
        <v>357</v>
      </c>
      <c r="S13" s="524"/>
      <c r="U13" s="531" t="s">
        <v>1410</v>
      </c>
      <c r="V13" s="532">
        <v>0.23680000000000001</v>
      </c>
      <c r="W13" s="533"/>
    </row>
    <row r="14" spans="1:28" ht="16" thickBot="1" x14ac:dyDescent="0.4">
      <c r="A14" s="184"/>
      <c r="B14" s="534"/>
      <c r="C14" s="535"/>
      <c r="D14" s="535"/>
      <c r="E14" s="535"/>
      <c r="F14" s="535"/>
      <c r="G14" s="535"/>
      <c r="H14" s="535"/>
      <c r="I14" s="535"/>
      <c r="J14" s="535"/>
      <c r="K14" s="535"/>
      <c r="L14" s="535"/>
      <c r="M14" s="536"/>
      <c r="N14" s="535"/>
      <c r="O14" s="535"/>
      <c r="P14" s="535"/>
      <c r="Q14" s="535"/>
      <c r="R14" s="535"/>
      <c r="S14" s="537"/>
      <c r="U14" s="538"/>
      <c r="V14" s="539"/>
    </row>
    <row r="15" spans="1:28" ht="15.5" x14ac:dyDescent="0.35">
      <c r="A15" s="184"/>
      <c r="B15" s="540"/>
      <c r="C15" s="541"/>
      <c r="D15" s="541"/>
      <c r="E15" s="541"/>
      <c r="F15" s="541"/>
      <c r="G15" s="541"/>
      <c r="H15" s="541"/>
      <c r="I15" s="541"/>
      <c r="J15" s="541"/>
      <c r="K15" s="541"/>
      <c r="L15" s="542"/>
      <c r="M15" s="541"/>
      <c r="N15" s="541"/>
      <c r="O15" s="541"/>
      <c r="P15" s="541"/>
      <c r="Q15" s="541"/>
      <c r="R15" s="541"/>
      <c r="S15" s="542"/>
    </row>
    <row r="16" spans="1:28" ht="16.5" customHeight="1" x14ac:dyDescent="0.35">
      <c r="A16" s="184"/>
      <c r="B16" s="517"/>
      <c r="C16" s="518" t="s">
        <v>1419</v>
      </c>
      <c r="D16" s="543">
        <v>1</v>
      </c>
      <c r="E16" s="545">
        <v>28000</v>
      </c>
      <c r="F16" s="545"/>
      <c r="G16" s="545">
        <f t="shared" ref="G16:G21" si="0">IF($M16&gt;$U$11,($E16-$U$11)*$W$11,"ERROR")</f>
        <v>2844.45</v>
      </c>
      <c r="H16" s="545"/>
      <c r="I16" s="545">
        <f t="shared" ref="I16:I21" si="1">$E16*$V$13</f>
        <v>6630.4000000000005</v>
      </c>
      <c r="J16" s="545"/>
      <c r="K16" s="545">
        <f>E16+ROUND(G16,0)+ROUND(I16,0)</f>
        <v>37474</v>
      </c>
      <c r="L16" s="546"/>
      <c r="M16" s="545">
        <f t="shared" ref="M16:M21" si="2">E16</f>
        <v>28000</v>
      </c>
      <c r="N16" s="545"/>
      <c r="O16" s="545"/>
      <c r="P16" s="545">
        <f t="shared" ref="P16:P21" si="3">IF($M16&gt;$U$11,($M16-$U$11)*$W$11,"ERROR")</f>
        <v>2844.45</v>
      </c>
      <c r="Q16" s="545"/>
      <c r="R16" s="545">
        <f t="shared" ref="R16:R21" si="4">SUM(M16:P16)</f>
        <v>30844.45</v>
      </c>
      <c r="S16" s="524"/>
      <c r="U16" s="547"/>
      <c r="V16" s="548"/>
    </row>
    <row r="17" spans="1:22" ht="15.5" x14ac:dyDescent="0.35">
      <c r="A17" s="184"/>
      <c r="B17" s="549"/>
      <c r="C17" s="550"/>
      <c r="D17" s="543">
        <v>2</v>
      </c>
      <c r="E17" s="545">
        <v>29800</v>
      </c>
      <c r="F17" s="545"/>
      <c r="G17" s="545">
        <f t="shared" si="0"/>
        <v>3115.35</v>
      </c>
      <c r="H17" s="545"/>
      <c r="I17" s="545">
        <f t="shared" si="1"/>
        <v>7056.64</v>
      </c>
      <c r="J17" s="545"/>
      <c r="K17" s="545">
        <f t="shared" ref="K17:K34" si="5">E17+ROUND(G17,0)+ROUND(I17,0)</f>
        <v>39972</v>
      </c>
      <c r="L17" s="546"/>
      <c r="M17" s="545">
        <f t="shared" si="2"/>
        <v>29800</v>
      </c>
      <c r="N17" s="545"/>
      <c r="O17" s="545"/>
      <c r="P17" s="545">
        <f t="shared" si="3"/>
        <v>3115.35</v>
      </c>
      <c r="Q17" s="545"/>
      <c r="R17" s="545">
        <f t="shared" si="4"/>
        <v>32915.35</v>
      </c>
      <c r="S17" s="524"/>
      <c r="U17" s="547" t="s">
        <v>1420</v>
      </c>
      <c r="V17" s="548"/>
    </row>
    <row r="18" spans="1:22" ht="15.5" x14ac:dyDescent="0.35">
      <c r="A18" s="184"/>
      <c r="B18" s="549"/>
      <c r="C18" s="550"/>
      <c r="D18" s="543">
        <v>3</v>
      </c>
      <c r="E18" s="545">
        <v>31750</v>
      </c>
      <c r="F18" s="545"/>
      <c r="G18" s="545">
        <f t="shared" si="0"/>
        <v>3408.8249999999998</v>
      </c>
      <c r="H18" s="545"/>
      <c r="I18" s="545">
        <f t="shared" si="1"/>
        <v>7518.4000000000005</v>
      </c>
      <c r="J18" s="545"/>
      <c r="K18" s="545">
        <f t="shared" si="5"/>
        <v>42677</v>
      </c>
      <c r="L18" s="546"/>
      <c r="M18" s="545">
        <f t="shared" si="2"/>
        <v>31750</v>
      </c>
      <c r="N18" s="545"/>
      <c r="O18" s="545"/>
      <c r="P18" s="545">
        <f t="shared" si="3"/>
        <v>3408.8249999999998</v>
      </c>
      <c r="Q18" s="545"/>
      <c r="R18" s="545">
        <f t="shared" si="4"/>
        <v>35158.824999999997</v>
      </c>
      <c r="S18" s="524"/>
      <c r="U18" s="547" t="s">
        <v>1421</v>
      </c>
      <c r="V18" s="548"/>
    </row>
    <row r="19" spans="1:22" ht="15.5" x14ac:dyDescent="0.35">
      <c r="A19" s="184"/>
      <c r="B19" s="549"/>
      <c r="C19" s="550"/>
      <c r="D19" s="543">
        <v>4</v>
      </c>
      <c r="E19" s="545">
        <v>33850</v>
      </c>
      <c r="F19" s="545"/>
      <c r="G19" s="545">
        <f t="shared" si="0"/>
        <v>3724.875</v>
      </c>
      <c r="H19" s="545"/>
      <c r="I19" s="545">
        <f t="shared" si="1"/>
        <v>8015.68</v>
      </c>
      <c r="J19" s="545"/>
      <c r="K19" s="545">
        <f t="shared" si="5"/>
        <v>45591</v>
      </c>
      <c r="L19" s="546"/>
      <c r="M19" s="545">
        <f t="shared" si="2"/>
        <v>33850</v>
      </c>
      <c r="N19" s="545"/>
      <c r="O19" s="545"/>
      <c r="P19" s="545">
        <f t="shared" si="3"/>
        <v>3724.875</v>
      </c>
      <c r="Q19" s="545"/>
      <c r="R19" s="545">
        <f t="shared" si="4"/>
        <v>37574.875</v>
      </c>
      <c r="S19" s="524"/>
      <c r="U19" s="547"/>
      <c r="V19" s="548"/>
    </row>
    <row r="20" spans="1:22" ht="15.5" x14ac:dyDescent="0.35">
      <c r="A20" s="184"/>
      <c r="B20" s="549"/>
      <c r="C20" s="550"/>
      <c r="D20" s="543">
        <v>5</v>
      </c>
      <c r="E20" s="545">
        <v>35990</v>
      </c>
      <c r="F20" s="545"/>
      <c r="G20" s="545">
        <f t="shared" si="0"/>
        <v>4046.9449999999997</v>
      </c>
      <c r="H20" s="545"/>
      <c r="I20" s="545">
        <f t="shared" si="1"/>
        <v>8522.4320000000007</v>
      </c>
      <c r="J20" s="545"/>
      <c r="K20" s="545">
        <f t="shared" si="5"/>
        <v>48559</v>
      </c>
      <c r="L20" s="546"/>
      <c r="M20" s="545">
        <f t="shared" si="2"/>
        <v>35990</v>
      </c>
      <c r="N20" s="545"/>
      <c r="O20" s="545"/>
      <c r="P20" s="545">
        <f t="shared" si="3"/>
        <v>4046.9449999999997</v>
      </c>
      <c r="Q20" s="545"/>
      <c r="R20" s="545">
        <f t="shared" si="4"/>
        <v>40036.945</v>
      </c>
      <c r="S20" s="524"/>
      <c r="T20" s="551"/>
      <c r="U20" s="547" t="s">
        <v>1422</v>
      </c>
      <c r="V20" s="552"/>
    </row>
    <row r="21" spans="1:22" ht="15.5" x14ac:dyDescent="0.35">
      <c r="A21" s="184"/>
      <c r="B21" s="549"/>
      <c r="C21" s="550"/>
      <c r="D21" s="543">
        <v>6</v>
      </c>
      <c r="E21" s="545">
        <v>38810</v>
      </c>
      <c r="F21" s="545"/>
      <c r="G21" s="545">
        <f t="shared" si="0"/>
        <v>4471.3549999999996</v>
      </c>
      <c r="H21" s="545"/>
      <c r="I21" s="545">
        <f t="shared" si="1"/>
        <v>9190.2080000000005</v>
      </c>
      <c r="J21" s="545"/>
      <c r="K21" s="545">
        <f t="shared" si="5"/>
        <v>52471</v>
      </c>
      <c r="L21" s="546"/>
      <c r="M21" s="545">
        <f t="shared" si="2"/>
        <v>38810</v>
      </c>
      <c r="N21" s="545"/>
      <c r="O21" s="545"/>
      <c r="P21" s="545">
        <f t="shared" si="3"/>
        <v>4471.3549999999996</v>
      </c>
      <c r="Q21" s="545"/>
      <c r="R21" s="545">
        <f t="shared" si="4"/>
        <v>43281.354999999996</v>
      </c>
      <c r="S21" s="524"/>
      <c r="T21" s="551"/>
      <c r="U21" s="547" t="s">
        <v>1458</v>
      </c>
      <c r="V21" s="552"/>
    </row>
    <row r="22" spans="1:22" ht="15.5" x14ac:dyDescent="0.35">
      <c r="A22" s="184"/>
      <c r="B22" s="553" t="s">
        <v>1424</v>
      </c>
      <c r="C22" s="550"/>
      <c r="D22" s="543"/>
      <c r="E22" s="545"/>
      <c r="F22" s="545"/>
      <c r="G22" s="545"/>
      <c r="H22" s="545"/>
      <c r="I22" s="545"/>
      <c r="J22" s="545"/>
      <c r="K22" s="545"/>
      <c r="L22" s="546"/>
      <c r="M22" s="554" t="s">
        <v>1425</v>
      </c>
      <c r="N22" s="545"/>
      <c r="O22" s="545"/>
      <c r="P22" s="545"/>
      <c r="Q22" s="545"/>
      <c r="R22" s="545"/>
      <c r="S22" s="524"/>
      <c r="U22" s="547"/>
      <c r="V22" s="552"/>
    </row>
    <row r="23" spans="1:22" ht="15.5" x14ac:dyDescent="0.35">
      <c r="A23" s="184"/>
      <c r="B23" s="549"/>
      <c r="C23" s="550" t="s">
        <v>1426</v>
      </c>
      <c r="D23" s="543">
        <v>1</v>
      </c>
      <c r="E23" s="545">
        <v>40625</v>
      </c>
      <c r="F23" s="545"/>
      <c r="G23" s="545">
        <f>IF($M23&gt;$U$11,($E23-$U$11)*$W$11,"ERROR")</f>
        <v>4744.5124999999998</v>
      </c>
      <c r="H23" s="545"/>
      <c r="I23" s="545">
        <f>$E23*$V$13</f>
        <v>9620</v>
      </c>
      <c r="J23" s="545"/>
      <c r="K23" s="545">
        <f t="shared" si="5"/>
        <v>54990</v>
      </c>
      <c r="L23" s="546"/>
      <c r="M23" s="545">
        <f>E23</f>
        <v>40625</v>
      </c>
      <c r="N23" s="545"/>
      <c r="O23" s="545"/>
      <c r="P23" s="545">
        <f>IF($M23&gt;$U$11,($M23-$U$11)*$W$11,"ERROR")</f>
        <v>4744.5124999999998</v>
      </c>
      <c r="Q23" s="545"/>
      <c r="R23" s="545">
        <f>SUM(M23:P23)</f>
        <v>45369.512499999997</v>
      </c>
      <c r="S23" s="524"/>
      <c r="T23" s="551"/>
      <c r="U23" s="547" t="s">
        <v>1427</v>
      </c>
      <c r="V23" s="552"/>
    </row>
    <row r="24" spans="1:22" ht="15.5" x14ac:dyDescent="0.35">
      <c r="A24" s="184"/>
      <c r="B24" s="549"/>
      <c r="C24" s="550" t="s">
        <v>1428</v>
      </c>
      <c r="D24" s="543">
        <v>2</v>
      </c>
      <c r="E24" s="545">
        <v>42131</v>
      </c>
      <c r="F24" s="545"/>
      <c r="G24" s="545">
        <f>IF($M24&gt;$U$11,($E24-$U$11)*$W$11,"ERROR")</f>
        <v>4971.1655000000001</v>
      </c>
      <c r="H24" s="545"/>
      <c r="I24" s="545">
        <f>$E24*$V$13</f>
        <v>9976.6208000000006</v>
      </c>
      <c r="J24" s="545"/>
      <c r="K24" s="545">
        <f t="shared" si="5"/>
        <v>57079</v>
      </c>
      <c r="L24" s="546"/>
      <c r="M24" s="545">
        <f>E24</f>
        <v>42131</v>
      </c>
      <c r="N24" s="545"/>
      <c r="O24" s="545"/>
      <c r="P24" s="545">
        <f>IF($M24&gt;$U$11,($M24-$U$11)*$W$11,"ERROR")</f>
        <v>4971.1655000000001</v>
      </c>
      <c r="Q24" s="545"/>
      <c r="R24" s="545">
        <f>SUM(M24:P24)</f>
        <v>47102.165500000003</v>
      </c>
      <c r="S24" s="524"/>
      <c r="T24" s="551"/>
      <c r="U24" s="547" t="s">
        <v>1459</v>
      </c>
      <c r="V24" s="552"/>
    </row>
    <row r="25" spans="1:22" ht="15.5" x14ac:dyDescent="0.35">
      <c r="A25" s="184"/>
      <c r="B25" s="549"/>
      <c r="C25" s="550"/>
      <c r="D25" s="543">
        <v>3</v>
      </c>
      <c r="E25" s="545">
        <v>43685</v>
      </c>
      <c r="F25" s="545"/>
      <c r="G25" s="545">
        <f>IF($M25&gt;$U$11,($E25-$U$11)*$W$11,"ERROR")</f>
        <v>5205.0424999999996</v>
      </c>
      <c r="H25" s="545"/>
      <c r="I25" s="545">
        <f>$E25*$V$13</f>
        <v>10344.608</v>
      </c>
      <c r="J25" s="545"/>
      <c r="K25" s="545">
        <f t="shared" si="5"/>
        <v>59235</v>
      </c>
      <c r="L25" s="546"/>
      <c r="M25" s="545">
        <f>E25</f>
        <v>43685</v>
      </c>
      <c r="N25" s="545"/>
      <c r="O25" s="545"/>
      <c r="P25" s="545">
        <f>IF($M25&gt;$U$11,($M25-$U$11)*$W$11,"ERROR")</f>
        <v>5205.0424999999996</v>
      </c>
      <c r="Q25" s="545"/>
      <c r="R25" s="545">
        <f>SUM(M25:P25)</f>
        <v>48890.042499999996</v>
      </c>
      <c r="S25" s="524"/>
      <c r="T25" s="551"/>
      <c r="U25" s="547"/>
      <c r="V25" s="552"/>
    </row>
    <row r="26" spans="1:22" ht="15.5" x14ac:dyDescent="0.35">
      <c r="A26" s="184"/>
      <c r="B26" s="549"/>
      <c r="C26" s="550"/>
      <c r="D26" s="543"/>
      <c r="E26" s="545"/>
      <c r="F26" s="545"/>
      <c r="G26" s="545"/>
      <c r="H26" s="545"/>
      <c r="I26" s="545"/>
      <c r="J26" s="545"/>
      <c r="K26" s="545"/>
      <c r="L26" s="546"/>
      <c r="M26" s="545"/>
      <c r="N26" s="545"/>
      <c r="O26" s="545"/>
      <c r="P26" s="545"/>
      <c r="Q26" s="545"/>
      <c r="R26" s="545"/>
      <c r="S26" s="524"/>
      <c r="T26" s="551"/>
      <c r="U26" s="547" t="s">
        <v>1430</v>
      </c>
    </row>
    <row r="27" spans="1:22" ht="15.5" x14ac:dyDescent="0.35">
      <c r="A27" s="184"/>
      <c r="B27" s="553" t="s">
        <v>1431</v>
      </c>
      <c r="C27" s="550"/>
      <c r="D27" s="543"/>
      <c r="E27" s="545"/>
      <c r="F27" s="545"/>
      <c r="G27" s="545"/>
      <c r="H27" s="545"/>
      <c r="I27" s="545"/>
      <c r="J27" s="545"/>
      <c r="K27" s="545"/>
      <c r="L27" s="546"/>
      <c r="M27" s="554" t="s">
        <v>1425</v>
      </c>
      <c r="N27" s="545"/>
      <c r="O27" s="545"/>
      <c r="P27" s="545"/>
      <c r="Q27" s="545"/>
      <c r="R27" s="545"/>
      <c r="S27" s="524"/>
      <c r="T27" s="551"/>
      <c r="U27" s="547" t="s">
        <v>1432</v>
      </c>
      <c r="V27" s="552"/>
    </row>
    <row r="28" spans="1:22" ht="15.5" x14ac:dyDescent="0.35">
      <c r="A28" s="184"/>
      <c r="B28" s="555"/>
      <c r="C28" s="550"/>
      <c r="D28" s="521"/>
      <c r="E28" s="545"/>
      <c r="F28" s="545"/>
      <c r="G28" s="545"/>
      <c r="H28" s="545"/>
      <c r="I28" s="545"/>
      <c r="J28" s="545"/>
      <c r="K28" s="545"/>
      <c r="L28" s="546"/>
      <c r="M28" s="545"/>
      <c r="N28" s="545"/>
      <c r="O28" s="545"/>
      <c r="P28" s="545"/>
      <c r="Q28" s="545"/>
      <c r="R28" s="545"/>
      <c r="S28" s="524"/>
      <c r="T28" s="551"/>
      <c r="U28" s="547" t="s">
        <v>1460</v>
      </c>
      <c r="V28" s="552"/>
    </row>
    <row r="29" spans="1:22" ht="15.5" x14ac:dyDescent="0.35">
      <c r="A29" s="184"/>
      <c r="B29" s="556" t="s">
        <v>1434</v>
      </c>
      <c r="C29" s="550" t="s">
        <v>1435</v>
      </c>
      <c r="D29" s="557">
        <v>1</v>
      </c>
      <c r="E29" s="545">
        <v>19340</v>
      </c>
      <c r="F29" s="545"/>
      <c r="G29" s="545">
        <f t="shared" ref="G29:G34" si="6">IF($M29&gt;$U$11,($E29-$U$11)*$W$11,"ERROR")</f>
        <v>1541.12</v>
      </c>
      <c r="H29" s="545"/>
      <c r="I29" s="545">
        <f t="shared" ref="I29:I34" si="7">$E29*$V$13</f>
        <v>4579.7120000000004</v>
      </c>
      <c r="J29" s="545"/>
      <c r="K29" s="545">
        <f t="shared" si="5"/>
        <v>25461</v>
      </c>
      <c r="L29" s="546"/>
      <c r="M29" s="545">
        <f t="shared" ref="M29:M34" si="8">E29</f>
        <v>19340</v>
      </c>
      <c r="N29" s="545"/>
      <c r="O29" s="545"/>
      <c r="P29" s="545">
        <f t="shared" ref="P29:P34" si="9">IF($M29&gt;$U$11,($M29-$U$11)*$W$11,"ERROR")</f>
        <v>1541.12</v>
      </c>
      <c r="Q29" s="545"/>
      <c r="R29" s="545">
        <f t="shared" ref="R29:R34" si="10">SUM(M29:P29)</f>
        <v>20881.12</v>
      </c>
      <c r="S29" s="524"/>
      <c r="T29" s="551"/>
      <c r="U29" s="547"/>
      <c r="V29" s="552"/>
    </row>
    <row r="30" spans="1:22" ht="15.5" x14ac:dyDescent="0.35">
      <c r="A30" s="184"/>
      <c r="B30" s="556" t="s">
        <v>1436</v>
      </c>
      <c r="C30" s="550" t="s">
        <v>1437</v>
      </c>
      <c r="D30" s="557">
        <v>2</v>
      </c>
      <c r="E30" s="545">
        <v>21559</v>
      </c>
      <c r="F30" s="545"/>
      <c r="G30" s="545">
        <f t="shared" si="6"/>
        <v>1875.0794999999998</v>
      </c>
      <c r="H30" s="545"/>
      <c r="I30" s="545">
        <f t="shared" si="7"/>
        <v>5105.1711999999998</v>
      </c>
      <c r="J30" s="545"/>
      <c r="K30" s="545">
        <f t="shared" si="5"/>
        <v>28539</v>
      </c>
      <c r="L30" s="546"/>
      <c r="M30" s="545">
        <f t="shared" si="8"/>
        <v>21559</v>
      </c>
      <c r="N30" s="545"/>
      <c r="O30" s="545"/>
      <c r="P30" s="545">
        <f t="shared" si="9"/>
        <v>1875.0794999999998</v>
      </c>
      <c r="Q30" s="545"/>
      <c r="R30" s="545">
        <f t="shared" si="10"/>
        <v>23434.0795</v>
      </c>
      <c r="S30" s="524"/>
      <c r="T30" s="551"/>
      <c r="U30" s="547"/>
      <c r="V30" s="552"/>
    </row>
    <row r="31" spans="1:22" ht="15.5" x14ac:dyDescent="0.35">
      <c r="A31" s="184"/>
      <c r="B31" s="558"/>
      <c r="C31" s="550"/>
      <c r="D31" s="557">
        <v>3</v>
      </c>
      <c r="E31" s="545">
        <v>23777</v>
      </c>
      <c r="F31" s="545"/>
      <c r="G31" s="545">
        <f t="shared" si="6"/>
        <v>2208.8885</v>
      </c>
      <c r="H31" s="545"/>
      <c r="I31" s="545">
        <f t="shared" si="7"/>
        <v>5630.3936000000003</v>
      </c>
      <c r="J31" s="545"/>
      <c r="K31" s="545">
        <f t="shared" si="5"/>
        <v>31616</v>
      </c>
      <c r="L31" s="546"/>
      <c r="M31" s="545">
        <f t="shared" si="8"/>
        <v>23777</v>
      </c>
      <c r="N31" s="545"/>
      <c r="O31" s="545"/>
      <c r="P31" s="545">
        <f t="shared" si="9"/>
        <v>2208.8885</v>
      </c>
      <c r="Q31" s="545"/>
      <c r="R31" s="545">
        <f t="shared" si="10"/>
        <v>25985.888500000001</v>
      </c>
      <c r="S31" s="524"/>
      <c r="T31" s="551"/>
      <c r="U31" s="547"/>
    </row>
    <row r="32" spans="1:22" ht="15.5" x14ac:dyDescent="0.35">
      <c r="A32" s="184"/>
      <c r="B32" s="558"/>
      <c r="C32" s="550"/>
      <c r="D32" s="557">
        <v>4</v>
      </c>
      <c r="E32" s="545">
        <v>25733</v>
      </c>
      <c r="F32" s="545"/>
      <c r="G32" s="545">
        <f t="shared" si="6"/>
        <v>2503.2664999999997</v>
      </c>
      <c r="H32" s="545"/>
      <c r="I32" s="545">
        <f t="shared" si="7"/>
        <v>6093.5744000000004</v>
      </c>
      <c r="J32" s="545"/>
      <c r="K32" s="545">
        <f t="shared" si="5"/>
        <v>34330</v>
      </c>
      <c r="L32" s="546"/>
      <c r="M32" s="545">
        <f t="shared" si="8"/>
        <v>25733</v>
      </c>
      <c r="N32" s="545"/>
      <c r="O32" s="545"/>
      <c r="P32" s="545">
        <f t="shared" si="9"/>
        <v>2503.2664999999997</v>
      </c>
      <c r="Q32" s="545"/>
      <c r="R32" s="545">
        <f t="shared" si="10"/>
        <v>28236.266499999998</v>
      </c>
      <c r="S32" s="524"/>
      <c r="T32" s="551"/>
      <c r="U32" s="547"/>
    </row>
    <row r="33" spans="1:22" ht="15.5" x14ac:dyDescent="0.35">
      <c r="A33" s="184"/>
      <c r="B33" s="555"/>
      <c r="C33" s="550"/>
      <c r="D33" s="557">
        <v>5</v>
      </c>
      <c r="E33" s="545">
        <v>27954</v>
      </c>
      <c r="F33" s="545"/>
      <c r="G33" s="545">
        <f t="shared" si="6"/>
        <v>2837.527</v>
      </c>
      <c r="H33" s="545"/>
      <c r="I33" s="545">
        <f t="shared" si="7"/>
        <v>6619.5072</v>
      </c>
      <c r="J33" s="545"/>
      <c r="K33" s="545">
        <f t="shared" si="5"/>
        <v>37412</v>
      </c>
      <c r="L33" s="546"/>
      <c r="M33" s="545">
        <f t="shared" si="8"/>
        <v>27954</v>
      </c>
      <c r="N33" s="545"/>
      <c r="O33" s="545"/>
      <c r="P33" s="545">
        <f t="shared" si="9"/>
        <v>2837.527</v>
      </c>
      <c r="Q33" s="545"/>
      <c r="R33" s="545">
        <f t="shared" si="10"/>
        <v>30791.527000000002</v>
      </c>
      <c r="S33" s="524"/>
      <c r="T33" s="551"/>
      <c r="U33" s="547"/>
      <c r="V33" s="552"/>
    </row>
    <row r="34" spans="1:22" ht="15.5" x14ac:dyDescent="0.35">
      <c r="A34" s="184"/>
      <c r="B34" s="555"/>
      <c r="C34" s="550"/>
      <c r="D34" s="557">
        <v>6</v>
      </c>
      <c r="E34" s="545">
        <v>30172</v>
      </c>
      <c r="F34" s="545"/>
      <c r="G34" s="545">
        <f t="shared" si="6"/>
        <v>3171.3359999999998</v>
      </c>
      <c r="H34" s="545"/>
      <c r="I34" s="545">
        <f t="shared" si="7"/>
        <v>7144.7296000000006</v>
      </c>
      <c r="J34" s="545"/>
      <c r="K34" s="545">
        <f t="shared" si="5"/>
        <v>40488</v>
      </c>
      <c r="L34" s="546"/>
      <c r="M34" s="545">
        <f t="shared" si="8"/>
        <v>30172</v>
      </c>
      <c r="N34" s="545"/>
      <c r="O34" s="545"/>
      <c r="P34" s="545">
        <f t="shared" si="9"/>
        <v>3171.3359999999998</v>
      </c>
      <c r="Q34" s="545"/>
      <c r="R34" s="545">
        <f t="shared" si="10"/>
        <v>33343.336000000003</v>
      </c>
      <c r="S34" s="524"/>
      <c r="T34" s="551"/>
      <c r="U34" s="547"/>
      <c r="V34" s="552"/>
    </row>
    <row r="35" spans="1:22" ht="15.5" x14ac:dyDescent="0.35">
      <c r="A35" s="184"/>
      <c r="B35" s="555"/>
      <c r="C35" s="550"/>
      <c r="D35" s="557"/>
      <c r="E35" s="559"/>
      <c r="F35" s="559"/>
      <c r="G35" s="559"/>
      <c r="H35" s="559"/>
      <c r="I35" s="559"/>
      <c r="J35" s="559"/>
      <c r="K35" s="559"/>
      <c r="L35" s="560"/>
      <c r="M35" s="559"/>
      <c r="N35" s="559"/>
      <c r="O35" s="559"/>
      <c r="P35" s="559"/>
      <c r="Q35" s="559"/>
      <c r="R35" s="559"/>
      <c r="S35" s="524"/>
      <c r="T35" s="551"/>
      <c r="U35" s="547"/>
      <c r="V35" s="552"/>
    </row>
    <row r="36" spans="1:22" ht="15.5" x14ac:dyDescent="0.35">
      <c r="A36" s="184"/>
      <c r="B36" s="555"/>
      <c r="C36" s="550"/>
      <c r="D36" s="557"/>
      <c r="E36" s="559"/>
      <c r="F36" s="559"/>
      <c r="G36" s="559"/>
      <c r="H36" s="559"/>
      <c r="I36" s="559"/>
      <c r="J36" s="559"/>
      <c r="K36" s="559"/>
      <c r="L36" s="560"/>
      <c r="M36" s="559"/>
      <c r="N36" s="559"/>
      <c r="O36" s="559"/>
      <c r="P36" s="559"/>
      <c r="Q36" s="559"/>
      <c r="R36" s="559"/>
      <c r="S36" s="524"/>
      <c r="T36" s="551"/>
      <c r="U36" s="547"/>
      <c r="V36" s="552"/>
    </row>
    <row r="37" spans="1:22" ht="16" thickBot="1" x14ac:dyDescent="0.4">
      <c r="A37" s="184"/>
      <c r="B37" s="561"/>
      <c r="C37" s="562"/>
      <c r="D37" s="563"/>
      <c r="E37" s="564"/>
      <c r="F37" s="564"/>
      <c r="G37" s="564"/>
      <c r="H37" s="564"/>
      <c r="I37" s="564"/>
      <c r="J37" s="564"/>
      <c r="K37" s="564"/>
      <c r="L37" s="565"/>
      <c r="M37" s="566"/>
      <c r="N37" s="564"/>
      <c r="O37" s="564"/>
      <c r="P37" s="564"/>
      <c r="Q37" s="564"/>
      <c r="R37" s="564"/>
      <c r="S37" s="537"/>
      <c r="T37" s="551"/>
      <c r="U37" s="547"/>
    </row>
    <row r="38" spans="1:22" ht="13.5" thickBot="1" x14ac:dyDescent="0.35">
      <c r="B38" s="567"/>
      <c r="C38" s="538"/>
      <c r="D38" s="568"/>
      <c r="E38" s="569"/>
      <c r="F38" s="569"/>
      <c r="G38" s="569"/>
      <c r="H38" s="569"/>
      <c r="I38" s="569"/>
      <c r="J38" s="569"/>
      <c r="K38" s="569"/>
      <c r="L38" s="569"/>
      <c r="M38" s="569"/>
      <c r="N38" s="569"/>
      <c r="O38" s="569"/>
      <c r="P38" s="569"/>
      <c r="Q38" s="569"/>
      <c r="R38" s="569"/>
      <c r="T38" s="551"/>
    </row>
    <row r="39" spans="1:22" ht="13" x14ac:dyDescent="0.3">
      <c r="A39" s="184" t="s">
        <v>1438</v>
      </c>
      <c r="B39" s="570" t="s">
        <v>1439</v>
      </c>
      <c r="C39" s="571"/>
      <c r="D39" s="572"/>
      <c r="E39" s="573"/>
      <c r="F39" s="573"/>
      <c r="G39" s="574"/>
      <c r="H39" s="569"/>
      <c r="I39" s="569"/>
      <c r="J39" s="569"/>
      <c r="K39" s="569"/>
      <c r="L39" s="569"/>
      <c r="M39" s="569"/>
      <c r="N39" s="569"/>
      <c r="O39" s="569"/>
      <c r="P39" s="569"/>
      <c r="Q39" s="569"/>
      <c r="R39" s="569"/>
      <c r="T39" s="551"/>
    </row>
    <row r="40" spans="1:22" x14ac:dyDescent="0.25">
      <c r="B40" s="487"/>
      <c r="C40" s="575"/>
      <c r="D40" s="576"/>
      <c r="E40" s="577"/>
      <c r="F40" s="577"/>
      <c r="G40" s="578"/>
      <c r="T40" s="551"/>
    </row>
    <row r="41" spans="1:22" x14ac:dyDescent="0.25">
      <c r="B41" s="487" t="s">
        <v>1440</v>
      </c>
      <c r="C41" s="575"/>
      <c r="D41" s="576"/>
      <c r="E41" s="577"/>
      <c r="F41" s="577"/>
      <c r="G41" s="578"/>
      <c r="H41" s="289" t="s">
        <v>1441</v>
      </c>
      <c r="T41" s="551"/>
    </row>
    <row r="42" spans="1:22" x14ac:dyDescent="0.25">
      <c r="B42" s="487" t="s">
        <v>1442</v>
      </c>
      <c r="C42" s="575"/>
      <c r="D42" s="576"/>
      <c r="E42" s="579">
        <v>600</v>
      </c>
      <c r="F42" s="577"/>
      <c r="G42" s="578"/>
      <c r="T42" s="551"/>
    </row>
    <row r="43" spans="1:22" x14ac:dyDescent="0.25">
      <c r="B43" s="487" t="s">
        <v>1443</v>
      </c>
      <c r="C43" s="575"/>
      <c r="D43" s="576"/>
      <c r="E43" s="579">
        <v>2975</v>
      </c>
      <c r="F43" s="577"/>
      <c r="G43" s="578"/>
    </row>
    <row r="44" spans="1:22" x14ac:dyDescent="0.25">
      <c r="B44" s="487"/>
      <c r="C44" s="575"/>
      <c r="D44" s="576"/>
      <c r="E44" s="579"/>
      <c r="F44" s="577"/>
      <c r="G44" s="578"/>
    </row>
    <row r="45" spans="1:22" x14ac:dyDescent="0.25">
      <c r="B45" s="487" t="s">
        <v>1444</v>
      </c>
      <c r="C45" s="580"/>
      <c r="D45" s="488"/>
      <c r="E45" s="579"/>
      <c r="F45" s="580"/>
      <c r="G45" s="581"/>
      <c r="H45" s="289" t="s">
        <v>1445</v>
      </c>
    </row>
    <row r="46" spans="1:22" x14ac:dyDescent="0.25">
      <c r="B46" s="487" t="s">
        <v>1442</v>
      </c>
      <c r="C46" s="580"/>
      <c r="D46" s="488"/>
      <c r="E46" s="579">
        <v>3017</v>
      </c>
      <c r="F46" s="580"/>
      <c r="G46" s="578"/>
    </row>
    <row r="47" spans="1:22" x14ac:dyDescent="0.25">
      <c r="B47" s="487" t="s">
        <v>1443</v>
      </c>
      <c r="C47" s="580"/>
      <c r="D47" s="488"/>
      <c r="E47" s="579">
        <v>7368</v>
      </c>
      <c r="F47" s="580"/>
      <c r="G47" s="578"/>
    </row>
    <row r="48" spans="1:22" x14ac:dyDescent="0.25">
      <c r="B48" s="487"/>
      <c r="C48" s="580"/>
      <c r="D48" s="488"/>
      <c r="E48" s="579"/>
      <c r="F48" s="580"/>
      <c r="G48" s="578"/>
    </row>
    <row r="49" spans="2:22" x14ac:dyDescent="0.25">
      <c r="B49" s="487" t="s">
        <v>1446</v>
      </c>
      <c r="C49" s="580"/>
      <c r="D49" s="488"/>
      <c r="E49" s="579"/>
      <c r="F49" s="580"/>
      <c r="G49" s="578"/>
      <c r="H49" s="289" t="s">
        <v>1447</v>
      </c>
    </row>
    <row r="50" spans="2:22" x14ac:dyDescent="0.25">
      <c r="B50" s="582" t="s">
        <v>1442</v>
      </c>
      <c r="C50" s="488"/>
      <c r="D50" s="488"/>
      <c r="E50" s="579">
        <v>8706</v>
      </c>
      <c r="F50" s="580"/>
      <c r="G50" s="578"/>
      <c r="V50" s="552"/>
    </row>
    <row r="51" spans="2:22" x14ac:dyDescent="0.25">
      <c r="B51" s="582" t="s">
        <v>1443</v>
      </c>
      <c r="C51" s="488"/>
      <c r="D51" s="488"/>
      <c r="E51" s="579">
        <v>14732</v>
      </c>
      <c r="F51" s="580"/>
      <c r="G51" s="578"/>
      <c r="V51" s="552"/>
    </row>
    <row r="52" spans="2:22" x14ac:dyDescent="0.25">
      <c r="B52" s="582"/>
      <c r="C52" s="488"/>
      <c r="D52" s="488"/>
      <c r="E52" s="579"/>
      <c r="F52" s="580"/>
      <c r="G52" s="578"/>
    </row>
    <row r="53" spans="2:22" x14ac:dyDescent="0.25">
      <c r="B53" s="582" t="s">
        <v>1448</v>
      </c>
      <c r="C53" s="488"/>
      <c r="D53" s="488"/>
      <c r="E53" s="579">
        <v>2384</v>
      </c>
      <c r="F53" s="580"/>
      <c r="G53" s="578"/>
    </row>
    <row r="54" spans="2:22" ht="13" thickBot="1" x14ac:dyDescent="0.3">
      <c r="B54" s="531" t="s">
        <v>1449</v>
      </c>
      <c r="C54" s="583"/>
      <c r="D54" s="583"/>
      <c r="E54" s="584">
        <v>4703</v>
      </c>
      <c r="F54" s="585"/>
      <c r="G54" s="586"/>
      <c r="V54" s="552"/>
    </row>
    <row r="55" spans="2:22" x14ac:dyDescent="0.25">
      <c r="V55" s="552"/>
    </row>
    <row r="57" spans="2:22" ht="13" x14ac:dyDescent="0.3">
      <c r="B57" s="184"/>
      <c r="V57" s="552"/>
    </row>
    <row r="58" spans="2:22" x14ac:dyDescent="0.25">
      <c r="V58" s="552"/>
    </row>
    <row r="59" spans="2:22" x14ac:dyDescent="0.25">
      <c r="B59" s="587"/>
      <c r="C59"/>
      <c r="E59" s="569"/>
      <c r="F59"/>
      <c r="G59"/>
    </row>
    <row r="60" spans="2:22" x14ac:dyDescent="0.25">
      <c r="C60"/>
      <c r="E60" s="569"/>
      <c r="F60"/>
      <c r="G60"/>
    </row>
    <row r="61" spans="2:22" x14ac:dyDescent="0.25">
      <c r="D61" s="403"/>
    </row>
    <row r="62" spans="2:22" x14ac:dyDescent="0.25">
      <c r="D62" s="403"/>
    </row>
    <row r="63" spans="2:22" x14ac:dyDescent="0.25">
      <c r="D63" s="403"/>
    </row>
    <row r="64" spans="2:22" x14ac:dyDescent="0.25">
      <c r="D64" s="403"/>
    </row>
    <row r="65" spans="4:4" x14ac:dyDescent="0.25">
      <c r="D65" s="403"/>
    </row>
    <row r="66" spans="4:4" x14ac:dyDescent="0.25">
      <c r="D66" s="403"/>
    </row>
  </sheetData>
  <mergeCells count="3">
    <mergeCell ref="B3:S4"/>
    <mergeCell ref="B5:S5"/>
    <mergeCell ref="B6:S6"/>
  </mergeCell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C000"/>
  </sheetPr>
  <dimension ref="A1:BG72"/>
  <sheetViews>
    <sheetView topLeftCell="A14" workbookViewId="0">
      <selection activeCell="F40" sqref="F40"/>
    </sheetView>
  </sheetViews>
  <sheetFormatPr defaultColWidth="8.54296875" defaultRowHeight="15.5" x14ac:dyDescent="0.35"/>
  <cols>
    <col min="1" max="1" width="9.453125" style="482" customWidth="1"/>
    <col min="2" max="2" width="4.81640625" style="482" customWidth="1"/>
    <col min="3" max="3" width="16.54296875" style="482" customWidth="1"/>
    <col min="4" max="4" width="8.453125" style="482" customWidth="1"/>
    <col min="5" max="5" width="7.453125" style="482" customWidth="1"/>
    <col min="6" max="6" width="10.453125" style="482" customWidth="1"/>
    <col min="7" max="7" width="3.1796875" style="482" customWidth="1"/>
    <col min="8" max="8" width="8.54296875" style="482" bestFit="1" customWidth="1"/>
    <col min="9" max="9" width="3.1796875" style="482" customWidth="1"/>
    <col min="10" max="10" width="9.26953125" style="482" bestFit="1" customWidth="1"/>
    <col min="11" max="11" width="3.1796875" style="482" customWidth="1"/>
    <col min="12" max="12" width="12.7265625" style="482" bestFit="1" customWidth="1"/>
    <col min="13" max="13" width="3.1796875" style="482" customWidth="1"/>
    <col min="14" max="14" width="10.54296875" style="482" customWidth="1"/>
    <col min="15" max="17" width="3.1796875" style="482" customWidth="1"/>
    <col min="18" max="18" width="8.453125" style="482" customWidth="1"/>
    <col min="19" max="19" width="3.1796875" style="482" customWidth="1"/>
    <col min="20" max="20" width="11.453125" style="482" customWidth="1"/>
    <col min="21" max="21" width="3.1796875" style="482" customWidth="1"/>
    <col min="22" max="22" width="20.54296875" style="482" customWidth="1"/>
    <col min="23" max="25" width="9.81640625" style="482" customWidth="1"/>
    <col min="26" max="16384" width="8.54296875" style="482"/>
  </cols>
  <sheetData>
    <row r="1" spans="1:59" s="595" customFormat="1" ht="21.5" thickTop="1" x14ac:dyDescent="0.5">
      <c r="A1" s="588"/>
      <c r="B1" s="589" t="s">
        <v>1461</v>
      </c>
      <c r="C1" s="590"/>
      <c r="D1" s="590"/>
      <c r="E1" s="590"/>
      <c r="F1" s="590"/>
      <c r="G1" s="591"/>
      <c r="H1" s="590"/>
      <c r="I1" s="590"/>
      <c r="J1" s="590"/>
      <c r="K1" s="590"/>
      <c r="L1" s="590"/>
      <c r="M1" s="590"/>
      <c r="N1" s="590"/>
      <c r="O1" s="590"/>
      <c r="P1" s="590"/>
      <c r="Q1" s="590"/>
      <c r="R1" s="590"/>
      <c r="S1" s="590"/>
      <c r="T1" s="590"/>
      <c r="U1" s="592"/>
      <c r="V1" s="588"/>
      <c r="W1" s="593"/>
      <c r="X1" s="588"/>
      <c r="Y1" s="588"/>
      <c r="Z1" s="588"/>
      <c r="AA1" s="588"/>
      <c r="AB1" s="594"/>
      <c r="AC1" s="594"/>
      <c r="AD1" s="594"/>
      <c r="AE1" s="594"/>
      <c r="AF1" s="594"/>
      <c r="AG1" s="594"/>
      <c r="AH1" s="594"/>
      <c r="AI1" s="594"/>
      <c r="AJ1" s="594"/>
      <c r="AK1" s="594"/>
      <c r="AL1" s="594"/>
      <c r="AM1" s="594"/>
      <c r="AN1" s="594"/>
      <c r="AO1" s="594"/>
      <c r="AP1" s="594"/>
      <c r="AQ1" s="594"/>
      <c r="AR1" s="594"/>
      <c r="AS1" s="594"/>
      <c r="AT1" s="594"/>
      <c r="AU1" s="594"/>
      <c r="AV1" s="594"/>
      <c r="AW1" s="594"/>
      <c r="AX1" s="594"/>
      <c r="AY1" s="594"/>
      <c r="AZ1" s="594"/>
      <c r="BA1" s="594"/>
      <c r="BB1" s="594"/>
      <c r="BC1" s="594"/>
      <c r="BD1" s="594"/>
      <c r="BE1" s="594"/>
      <c r="BF1" s="594"/>
      <c r="BG1" s="594"/>
    </row>
    <row r="2" spans="1:59" s="595" customFormat="1" ht="21.5" thickBot="1" x14ac:dyDescent="0.55000000000000004">
      <c r="A2" s="596" t="s">
        <v>1392</v>
      </c>
      <c r="B2" s="597" t="s">
        <v>1462</v>
      </c>
      <c r="C2" s="598"/>
      <c r="D2" s="598"/>
      <c r="E2" s="598"/>
      <c r="F2" s="598"/>
      <c r="G2" s="599"/>
      <c r="H2" s="598"/>
      <c r="I2" s="598"/>
      <c r="J2" s="598"/>
      <c r="K2" s="598"/>
      <c r="L2" s="598"/>
      <c r="M2" s="598"/>
      <c r="N2" s="598"/>
      <c r="O2" s="598"/>
      <c r="P2" s="598"/>
      <c r="Q2" s="598"/>
      <c r="R2" s="598"/>
      <c r="S2" s="598"/>
      <c r="T2" s="598"/>
      <c r="U2" s="600"/>
      <c r="V2" s="588"/>
      <c r="W2" s="593"/>
      <c r="X2" s="588"/>
      <c r="Y2" s="588"/>
      <c r="Z2" s="588"/>
      <c r="AA2" s="588"/>
      <c r="AB2" s="594"/>
      <c r="AC2" s="594"/>
      <c r="AD2" s="594"/>
      <c r="AE2" s="594"/>
      <c r="AF2" s="594"/>
      <c r="AG2" s="594"/>
      <c r="AH2" s="594"/>
      <c r="AI2" s="594"/>
      <c r="AJ2" s="594"/>
      <c r="AK2" s="594"/>
      <c r="AL2" s="594"/>
      <c r="AM2" s="594"/>
      <c r="AN2" s="594"/>
      <c r="AO2" s="594"/>
      <c r="AP2" s="594"/>
      <c r="AQ2" s="594"/>
      <c r="AR2" s="594"/>
      <c r="AS2" s="594"/>
      <c r="AT2" s="594"/>
      <c r="AU2" s="594"/>
      <c r="AV2" s="594"/>
      <c r="AW2" s="594"/>
      <c r="AX2" s="594"/>
      <c r="AY2" s="594"/>
      <c r="AZ2" s="594"/>
      <c r="BA2" s="594"/>
      <c r="BB2" s="594"/>
      <c r="BC2" s="594"/>
      <c r="BD2" s="594"/>
      <c r="BE2" s="594"/>
      <c r="BF2" s="594"/>
      <c r="BG2" s="594"/>
    </row>
    <row r="3" spans="1:59" s="595" customFormat="1" ht="21.75" customHeight="1" x14ac:dyDescent="0.5">
      <c r="A3" s="596" t="s">
        <v>1394</v>
      </c>
      <c r="B3" s="601" t="s">
        <v>1463</v>
      </c>
      <c r="C3" s="602"/>
      <c r="D3" s="602"/>
      <c r="E3" s="602"/>
      <c r="F3" s="602"/>
      <c r="G3" s="603"/>
      <c r="H3" s="602"/>
      <c r="I3" s="602"/>
      <c r="J3" s="602"/>
      <c r="K3" s="602"/>
      <c r="L3" s="602"/>
      <c r="M3" s="602"/>
      <c r="N3" s="602"/>
      <c r="O3" s="602"/>
      <c r="P3" s="602"/>
      <c r="Q3" s="602"/>
      <c r="R3" s="602"/>
      <c r="S3" s="602"/>
      <c r="T3" s="602"/>
      <c r="U3" s="604"/>
      <c r="V3" s="588"/>
      <c r="W3" s="593"/>
      <c r="X3" s="588"/>
      <c r="Y3" s="588"/>
      <c r="Z3" s="588"/>
      <c r="AA3" s="588"/>
      <c r="AB3" s="594"/>
      <c r="AC3" s="594"/>
      <c r="AD3" s="594"/>
      <c r="AE3" s="594"/>
      <c r="AF3" s="594"/>
      <c r="AG3" s="594"/>
      <c r="AH3" s="594"/>
      <c r="AI3" s="594"/>
      <c r="AJ3" s="594"/>
      <c r="AK3" s="594"/>
      <c r="AL3" s="594"/>
      <c r="AM3" s="594"/>
      <c r="AN3" s="594"/>
      <c r="AO3" s="594"/>
      <c r="AP3" s="594"/>
      <c r="AQ3" s="594"/>
      <c r="AR3" s="594"/>
      <c r="AS3" s="594"/>
      <c r="AT3" s="594"/>
      <c r="AU3" s="594"/>
      <c r="AV3" s="594"/>
      <c r="AW3" s="594"/>
      <c r="AX3" s="594"/>
      <c r="AY3" s="594"/>
      <c r="AZ3" s="594"/>
      <c r="BA3" s="594"/>
      <c r="BB3" s="594"/>
      <c r="BC3" s="594"/>
      <c r="BD3" s="594"/>
      <c r="BE3" s="594"/>
      <c r="BF3" s="594"/>
      <c r="BG3" s="594"/>
    </row>
    <row r="4" spans="1:59" s="595" customFormat="1" ht="21.75" customHeight="1" x14ac:dyDescent="0.5">
      <c r="A4" s="596"/>
      <c r="B4" s="605"/>
      <c r="C4" s="606"/>
      <c r="D4" s="606"/>
      <c r="E4" s="606"/>
      <c r="F4" s="606"/>
      <c r="G4" s="607"/>
      <c r="H4" s="606"/>
      <c r="I4" s="606"/>
      <c r="J4" s="606"/>
      <c r="K4" s="606"/>
      <c r="L4" s="606"/>
      <c r="M4" s="606"/>
      <c r="N4" s="606"/>
      <c r="O4" s="606"/>
      <c r="P4" s="606"/>
      <c r="Q4" s="606"/>
      <c r="R4" s="606"/>
      <c r="S4" s="606"/>
      <c r="T4" s="606"/>
      <c r="U4" s="608"/>
      <c r="V4" s="588"/>
      <c r="W4" s="593"/>
      <c r="X4" s="588"/>
      <c r="Y4" s="588"/>
      <c r="Z4" s="588"/>
      <c r="AA4" s="588"/>
      <c r="AB4" s="594"/>
      <c r="AC4" s="594"/>
      <c r="AD4" s="594"/>
      <c r="AE4" s="594"/>
      <c r="AF4" s="594"/>
      <c r="AG4" s="594"/>
      <c r="AH4" s="594"/>
      <c r="AI4" s="594"/>
      <c r="AJ4" s="594"/>
      <c r="AK4" s="594"/>
      <c r="AL4" s="594"/>
      <c r="AM4" s="594"/>
      <c r="AN4" s="594"/>
      <c r="AO4" s="594"/>
      <c r="AP4" s="594"/>
      <c r="AQ4" s="594"/>
      <c r="AR4" s="594"/>
      <c r="AS4" s="594"/>
      <c r="AT4" s="594"/>
      <c r="AU4" s="594"/>
      <c r="AV4" s="594"/>
      <c r="AW4" s="594"/>
      <c r="AX4" s="594"/>
      <c r="AY4" s="594"/>
      <c r="AZ4" s="594"/>
      <c r="BA4" s="594"/>
      <c r="BB4" s="594"/>
      <c r="BC4" s="594"/>
      <c r="BD4" s="594"/>
      <c r="BE4" s="594"/>
      <c r="BF4" s="594"/>
      <c r="BG4" s="594"/>
    </row>
    <row r="5" spans="1:59" s="595" customFormat="1" ht="21.75" customHeight="1" x14ac:dyDescent="0.5">
      <c r="A5" s="596"/>
      <c r="B5" s="609" t="s">
        <v>1464</v>
      </c>
      <c r="C5" s="606"/>
      <c r="D5" s="606"/>
      <c r="E5" s="606"/>
      <c r="F5" s="606"/>
      <c r="G5" s="607"/>
      <c r="H5" s="606"/>
      <c r="I5" s="606"/>
      <c r="J5" s="606"/>
      <c r="K5" s="606"/>
      <c r="L5" s="606"/>
      <c r="M5" s="606"/>
      <c r="N5" s="606"/>
      <c r="O5" s="606"/>
      <c r="P5" s="606"/>
      <c r="Q5" s="606"/>
      <c r="R5" s="606"/>
      <c r="S5" s="606"/>
      <c r="T5" s="606"/>
      <c r="U5" s="608"/>
      <c r="V5" s="588" t="s">
        <v>861</v>
      </c>
      <c r="W5" s="593"/>
      <c r="X5" s="588"/>
      <c r="Y5" s="588"/>
      <c r="Z5" s="588"/>
      <c r="AA5" s="588"/>
      <c r="AB5" s="594"/>
      <c r="AC5" s="594"/>
      <c r="AD5" s="594"/>
      <c r="AE5" s="594"/>
      <c r="AF5" s="594"/>
      <c r="AG5" s="594"/>
      <c r="AH5" s="594"/>
      <c r="AI5" s="594"/>
      <c r="AJ5" s="594"/>
      <c r="AK5" s="594"/>
      <c r="AL5" s="594"/>
      <c r="AM5" s="594"/>
      <c r="AN5" s="594"/>
      <c r="AO5" s="594"/>
      <c r="AP5" s="594"/>
      <c r="AQ5" s="594"/>
      <c r="AR5" s="594"/>
      <c r="AS5" s="594"/>
      <c r="AT5" s="594"/>
      <c r="AU5" s="594"/>
      <c r="AV5" s="594"/>
      <c r="AW5" s="594"/>
      <c r="AX5" s="594"/>
      <c r="AY5" s="594"/>
      <c r="AZ5" s="594"/>
      <c r="BA5" s="594"/>
      <c r="BB5" s="594"/>
      <c r="BC5" s="594"/>
      <c r="BD5" s="594"/>
      <c r="BE5" s="594"/>
      <c r="BF5" s="594"/>
      <c r="BG5" s="594"/>
    </row>
    <row r="6" spans="1:59" s="595" customFormat="1" ht="21.75" customHeight="1" x14ac:dyDescent="0.5">
      <c r="A6" s="596"/>
      <c r="B6" s="609" t="s">
        <v>1465</v>
      </c>
      <c r="C6" s="610"/>
      <c r="D6" s="610"/>
      <c r="E6" s="610"/>
      <c r="F6" s="610"/>
      <c r="G6" s="610"/>
      <c r="H6" s="610"/>
      <c r="I6" s="610"/>
      <c r="J6" s="610"/>
      <c r="K6" s="610"/>
      <c r="L6" s="610"/>
      <c r="M6" s="610"/>
      <c r="N6" s="610"/>
      <c r="O6" s="610"/>
      <c r="P6" s="610"/>
      <c r="Q6" s="610"/>
      <c r="R6" s="610"/>
      <c r="S6" s="610"/>
      <c r="T6" s="610"/>
      <c r="U6" s="611"/>
      <c r="V6" s="588"/>
      <c r="W6" s="588"/>
      <c r="X6" s="588"/>
      <c r="Y6" s="588"/>
      <c r="Z6" s="588"/>
      <c r="AA6" s="588"/>
      <c r="AB6" s="594"/>
      <c r="AC6" s="594"/>
      <c r="AD6" s="594"/>
      <c r="AE6" s="594"/>
      <c r="AF6" s="594"/>
      <c r="AG6" s="594"/>
      <c r="AH6" s="594"/>
      <c r="AI6" s="594"/>
      <c r="AJ6" s="594"/>
      <c r="AK6" s="594"/>
      <c r="AL6" s="594"/>
      <c r="AM6" s="594"/>
      <c r="AN6" s="594"/>
      <c r="AO6" s="594"/>
      <c r="AP6" s="594"/>
      <c r="AQ6" s="594"/>
      <c r="AR6" s="594"/>
      <c r="AS6" s="594"/>
      <c r="AT6" s="594"/>
      <c r="AU6" s="594"/>
      <c r="AV6" s="594"/>
      <c r="AW6" s="594"/>
      <c r="AX6" s="594"/>
      <c r="AY6" s="594"/>
      <c r="AZ6" s="594"/>
      <c r="BA6" s="594"/>
      <c r="BB6" s="594"/>
      <c r="BC6" s="594"/>
      <c r="BD6" s="594"/>
      <c r="BE6" s="594"/>
      <c r="BF6" s="594"/>
      <c r="BG6" s="594"/>
    </row>
    <row r="7" spans="1:59" s="595" customFormat="1" ht="21.75" customHeight="1" x14ac:dyDescent="0.5">
      <c r="A7" s="596"/>
      <c r="B7" s="609" t="s">
        <v>1466</v>
      </c>
      <c r="C7" s="610"/>
      <c r="D7" s="610"/>
      <c r="E7" s="610"/>
      <c r="F7" s="610"/>
      <c r="G7" s="610"/>
      <c r="H7" s="610"/>
      <c r="I7" s="610"/>
      <c r="J7" s="610"/>
      <c r="K7" s="610"/>
      <c r="L7" s="610"/>
      <c r="M7" s="610"/>
      <c r="N7" s="610"/>
      <c r="O7" s="610"/>
      <c r="P7" s="610"/>
      <c r="Q7" s="610"/>
      <c r="R7" s="610"/>
      <c r="S7" s="610"/>
      <c r="T7" s="610"/>
      <c r="U7" s="611"/>
      <c r="V7" s="588"/>
      <c r="W7" s="612"/>
      <c r="X7" s="612"/>
      <c r="Y7" s="612"/>
      <c r="Z7" s="588"/>
      <c r="AA7" s="588"/>
      <c r="AB7" s="594"/>
      <c r="AC7" s="594"/>
      <c r="AD7" s="594"/>
      <c r="AE7" s="594"/>
      <c r="AF7" s="594"/>
      <c r="AG7" s="594"/>
      <c r="AH7" s="594"/>
      <c r="AI7" s="594"/>
      <c r="AJ7" s="594"/>
      <c r="AK7" s="594"/>
      <c r="AL7" s="594"/>
      <c r="AM7" s="594"/>
      <c r="AN7" s="594"/>
      <c r="AO7" s="594"/>
      <c r="AP7" s="594"/>
      <c r="AQ7" s="594"/>
      <c r="AR7" s="594"/>
      <c r="AS7" s="594"/>
      <c r="AT7" s="594"/>
      <c r="AU7" s="594"/>
      <c r="AV7" s="594"/>
      <c r="AW7" s="594"/>
      <c r="AX7" s="594"/>
      <c r="AY7" s="594"/>
      <c r="AZ7" s="594"/>
      <c r="BA7" s="594"/>
      <c r="BB7" s="594"/>
      <c r="BC7" s="594"/>
      <c r="BD7" s="594"/>
      <c r="BE7" s="594"/>
      <c r="BF7" s="594"/>
      <c r="BG7" s="594"/>
    </row>
    <row r="8" spans="1:59" s="595" customFormat="1" ht="21.75" customHeight="1" thickBot="1" x14ac:dyDescent="0.55000000000000004">
      <c r="A8" s="596"/>
      <c r="B8" s="613" t="s">
        <v>1467</v>
      </c>
      <c r="C8" s="614"/>
      <c r="D8" s="614"/>
      <c r="E8" s="614"/>
      <c r="F8" s="614"/>
      <c r="G8" s="614"/>
      <c r="H8" s="614"/>
      <c r="I8" s="614"/>
      <c r="J8" s="614"/>
      <c r="K8" s="614"/>
      <c r="L8" s="614"/>
      <c r="M8" s="614"/>
      <c r="N8" s="614"/>
      <c r="O8" s="614"/>
      <c r="P8" s="614"/>
      <c r="Q8" s="614"/>
      <c r="R8" s="614"/>
      <c r="S8" s="614"/>
      <c r="T8" s="614"/>
      <c r="U8" s="615"/>
      <c r="V8" s="588"/>
      <c r="W8" s="612"/>
      <c r="X8" s="612"/>
      <c r="Y8" s="612"/>
      <c r="Z8" s="588"/>
      <c r="AA8" s="588"/>
      <c r="AB8" s="594"/>
      <c r="AC8" s="594"/>
      <c r="AD8" s="594"/>
      <c r="AE8" s="594"/>
      <c r="AF8" s="594"/>
      <c r="AG8" s="594"/>
      <c r="AH8" s="594"/>
      <c r="AI8" s="594"/>
      <c r="AJ8" s="594"/>
      <c r="AK8" s="594"/>
      <c r="AL8" s="594"/>
      <c r="AM8" s="594"/>
      <c r="AN8" s="594"/>
      <c r="AO8" s="594"/>
      <c r="AP8" s="594"/>
      <c r="AQ8" s="594"/>
      <c r="AR8" s="594"/>
      <c r="AS8" s="594"/>
      <c r="AT8" s="594"/>
      <c r="AU8" s="594"/>
      <c r="AV8" s="594"/>
      <c r="AW8" s="594"/>
      <c r="AX8" s="594"/>
      <c r="AY8" s="594"/>
      <c r="AZ8" s="594"/>
      <c r="BA8" s="594"/>
      <c r="BB8" s="594"/>
      <c r="BC8" s="594"/>
      <c r="BD8" s="594"/>
      <c r="BE8" s="594"/>
      <c r="BF8" s="594"/>
      <c r="BG8" s="594"/>
    </row>
    <row r="9" spans="1:59" s="595" customFormat="1" ht="21.75" customHeight="1" x14ac:dyDescent="0.5">
      <c r="A9" s="596" t="s">
        <v>1396</v>
      </c>
      <c r="B9" s="570"/>
      <c r="C9" s="1573" t="s">
        <v>1404</v>
      </c>
      <c r="D9" s="1573"/>
      <c r="E9" s="499"/>
      <c r="F9" s="571" t="s">
        <v>1468</v>
      </c>
      <c r="G9" s="499"/>
      <c r="H9" s="499"/>
      <c r="I9" s="499"/>
      <c r="J9" s="499"/>
      <c r="K9" s="499"/>
      <c r="L9" s="499"/>
      <c r="M9" s="499"/>
      <c r="N9" s="499"/>
      <c r="O9" s="616" t="s">
        <v>1469</v>
      </c>
      <c r="P9" s="617"/>
      <c r="Q9" s="617"/>
      <c r="R9" s="618"/>
      <c r="S9" s="618"/>
      <c r="T9" s="618"/>
      <c r="U9" s="619"/>
      <c r="V9" s="596" t="s">
        <v>1400</v>
      </c>
      <c r="W9" s="620" t="s">
        <v>1399</v>
      </c>
      <c r="X9" s="621">
        <v>1</v>
      </c>
      <c r="Y9" s="622">
        <v>2</v>
      </c>
      <c r="Z9" s="588"/>
      <c r="AA9" s="588"/>
      <c r="AB9" s="594"/>
      <c r="AC9" s="594"/>
      <c r="AD9" s="594"/>
      <c r="AE9" s="594"/>
      <c r="AF9" s="594"/>
      <c r="AG9" s="594"/>
      <c r="AH9" s="594"/>
      <c r="AI9" s="594"/>
      <c r="AJ9" s="594"/>
      <c r="AK9" s="594"/>
      <c r="AL9" s="594"/>
      <c r="AM9" s="594"/>
      <c r="AN9" s="594"/>
      <c r="AO9" s="594"/>
      <c r="AP9" s="594"/>
      <c r="AQ9" s="594"/>
      <c r="AR9" s="594"/>
      <c r="AS9" s="594"/>
      <c r="AT9" s="594"/>
      <c r="AU9" s="594"/>
      <c r="AV9" s="594"/>
      <c r="AW9" s="594"/>
      <c r="AX9" s="594"/>
      <c r="AY9" s="594"/>
      <c r="AZ9" s="594"/>
      <c r="BA9" s="594"/>
      <c r="BB9" s="594"/>
      <c r="BC9" s="594"/>
      <c r="BD9" s="594"/>
      <c r="BE9" s="594"/>
      <c r="BF9" s="594"/>
      <c r="BG9" s="594"/>
    </row>
    <row r="10" spans="1:59" s="627" customFormat="1" x14ac:dyDescent="0.45">
      <c r="A10" s="623"/>
      <c r="B10" s="487"/>
      <c r="C10" s="488">
        <f>$W$10</f>
        <v>0</v>
      </c>
      <c r="D10" s="488">
        <f>W12</f>
        <v>8788</v>
      </c>
      <c r="E10" s="488"/>
      <c r="F10" s="624" t="s">
        <v>1470</v>
      </c>
      <c r="G10" s="488"/>
      <c r="H10" s="488"/>
      <c r="I10" s="488"/>
      <c r="J10" s="488"/>
      <c r="K10" s="488"/>
      <c r="L10" s="488"/>
      <c r="M10" s="488"/>
      <c r="N10" s="488"/>
      <c r="O10" s="488"/>
      <c r="P10" s="488"/>
      <c r="Q10" s="488"/>
      <c r="R10" s="488"/>
      <c r="S10" s="488"/>
      <c r="T10" s="488"/>
      <c r="U10" s="489"/>
      <c r="V10" s="625"/>
      <c r="W10" s="487">
        <v>0</v>
      </c>
      <c r="X10" s="488">
        <v>0</v>
      </c>
      <c r="Y10" s="489">
        <v>0</v>
      </c>
      <c r="Z10" s="625"/>
      <c r="AA10" s="625"/>
      <c r="AB10" s="626"/>
      <c r="AC10" s="626"/>
      <c r="AD10" s="626"/>
      <c r="AE10" s="626"/>
      <c r="AF10" s="626"/>
      <c r="AG10" s="626"/>
      <c r="AH10" s="626"/>
      <c r="AI10" s="626"/>
      <c r="AJ10" s="626"/>
      <c r="AK10" s="626"/>
      <c r="AL10" s="626"/>
      <c r="AM10" s="626"/>
      <c r="AN10" s="626"/>
      <c r="AO10" s="626"/>
      <c r="AP10" s="626"/>
      <c r="AQ10" s="626"/>
      <c r="AR10" s="626"/>
      <c r="AS10" s="626"/>
      <c r="AT10" s="626"/>
      <c r="AU10" s="626"/>
      <c r="AV10" s="626"/>
      <c r="AW10" s="626"/>
      <c r="AX10" s="626"/>
      <c r="AY10" s="626"/>
      <c r="AZ10" s="626"/>
      <c r="BA10" s="626"/>
      <c r="BB10" s="626"/>
      <c r="BC10" s="626"/>
      <c r="BD10" s="626"/>
      <c r="BE10" s="626"/>
      <c r="BF10" s="626"/>
      <c r="BG10" s="626"/>
    </row>
    <row r="11" spans="1:59" s="627" customFormat="1" x14ac:dyDescent="0.45">
      <c r="A11" s="623"/>
      <c r="B11" s="487"/>
      <c r="C11" s="488">
        <f>W12</f>
        <v>8788</v>
      </c>
      <c r="D11" s="488" t="s">
        <v>1471</v>
      </c>
      <c r="E11" s="488"/>
      <c r="F11" s="624" t="s">
        <v>1472</v>
      </c>
      <c r="G11" s="488"/>
      <c r="H11" s="628">
        <f>$Y$12*100</f>
        <v>13.8</v>
      </c>
      <c r="I11" s="628" t="s">
        <v>1473</v>
      </c>
      <c r="J11" s="488"/>
      <c r="K11" s="488"/>
      <c r="L11" s="628"/>
      <c r="M11" s="629"/>
      <c r="N11" s="488"/>
      <c r="O11" s="488"/>
      <c r="P11" s="488"/>
      <c r="Q11" s="488"/>
      <c r="R11" s="630"/>
      <c r="S11" s="488"/>
      <c r="T11" s="631"/>
      <c r="U11" s="632"/>
      <c r="V11" s="633" t="s">
        <v>1402</v>
      </c>
      <c r="W11" s="487">
        <v>6240</v>
      </c>
      <c r="X11" s="505">
        <v>0</v>
      </c>
      <c r="Y11" s="506"/>
      <c r="Z11" s="625"/>
      <c r="AA11" s="625"/>
      <c r="AB11" s="626"/>
      <c r="AC11" s="626"/>
      <c r="AD11" s="626"/>
      <c r="AE11" s="626"/>
      <c r="AF11" s="626"/>
      <c r="AG11" s="626"/>
      <c r="AH11" s="626"/>
      <c r="AI11" s="626"/>
      <c r="AJ11" s="626"/>
      <c r="AK11" s="626"/>
      <c r="AL11" s="626"/>
      <c r="AM11" s="626"/>
      <c r="AN11" s="626"/>
      <c r="AO11" s="626"/>
      <c r="AP11" s="626"/>
      <c r="AQ11" s="626"/>
      <c r="AR11" s="626"/>
      <c r="AS11" s="626"/>
      <c r="AT11" s="626"/>
      <c r="AU11" s="626"/>
      <c r="AV11" s="626"/>
      <c r="AW11" s="626"/>
      <c r="AX11" s="626"/>
      <c r="AY11" s="626"/>
      <c r="AZ11" s="626"/>
      <c r="BA11" s="626"/>
      <c r="BB11" s="626"/>
      <c r="BC11" s="626"/>
      <c r="BD11" s="626"/>
      <c r="BE11" s="626"/>
      <c r="BF11" s="626"/>
      <c r="BG11" s="626"/>
    </row>
    <row r="12" spans="1:59" s="627" customFormat="1" ht="16" thickBot="1" x14ac:dyDescent="0.5">
      <c r="A12" s="623"/>
      <c r="B12" s="634"/>
      <c r="C12" s="583"/>
      <c r="D12" s="583"/>
      <c r="E12" s="583"/>
      <c r="F12" s="583"/>
      <c r="G12" s="635"/>
      <c r="H12" s="636"/>
      <c r="I12" s="635"/>
      <c r="J12" s="583"/>
      <c r="K12" s="637"/>
      <c r="L12" s="638"/>
      <c r="M12" s="637"/>
      <c r="N12" s="583"/>
      <c r="O12" s="583"/>
      <c r="P12" s="639"/>
      <c r="Q12" s="583"/>
      <c r="R12" s="640"/>
      <c r="S12" s="583"/>
      <c r="T12" s="583"/>
      <c r="U12" s="533"/>
      <c r="V12" s="633" t="s">
        <v>1407</v>
      </c>
      <c r="W12" s="487">
        <v>8788</v>
      </c>
      <c r="X12" s="505">
        <v>0</v>
      </c>
      <c r="Y12" s="506">
        <v>0.13800000000000001</v>
      </c>
      <c r="Z12" s="625"/>
      <c r="AA12" s="625"/>
      <c r="AB12" s="626"/>
      <c r="AC12" s="626"/>
      <c r="AD12" s="626"/>
      <c r="AE12" s="626"/>
      <c r="AF12" s="626"/>
      <c r="AG12" s="626"/>
      <c r="AH12" s="626"/>
      <c r="AI12" s="626"/>
      <c r="AJ12" s="626"/>
      <c r="AK12" s="626"/>
      <c r="AL12" s="626"/>
      <c r="AM12" s="626"/>
      <c r="AN12" s="626"/>
      <c r="AO12" s="626"/>
      <c r="AP12" s="626"/>
      <c r="AQ12" s="626"/>
      <c r="AR12" s="626"/>
      <c r="AS12" s="626"/>
      <c r="AT12" s="626"/>
      <c r="AU12" s="626"/>
      <c r="AV12" s="626"/>
      <c r="AW12" s="626"/>
      <c r="AX12" s="626"/>
      <c r="AY12" s="626"/>
      <c r="AZ12" s="626"/>
      <c r="BA12" s="626"/>
      <c r="BB12" s="626"/>
      <c r="BC12" s="626"/>
      <c r="BD12" s="626"/>
      <c r="BE12" s="626"/>
      <c r="BF12" s="626"/>
      <c r="BG12" s="626"/>
    </row>
    <row r="13" spans="1:59" s="627" customFormat="1" ht="17" thickBot="1" x14ac:dyDescent="0.5">
      <c r="A13" s="596"/>
      <c r="B13" s="641"/>
      <c r="C13" s="642"/>
      <c r="D13" s="642"/>
      <c r="E13" s="643"/>
      <c r="F13" s="642"/>
      <c r="G13" s="643"/>
      <c r="H13" s="642"/>
      <c r="I13" s="643"/>
      <c r="J13" s="642"/>
      <c r="K13" s="643"/>
      <c r="L13" s="642"/>
      <c r="M13" s="643"/>
      <c r="N13" s="643"/>
      <c r="O13" s="643"/>
      <c r="P13" s="643"/>
      <c r="Q13" s="643"/>
      <c r="R13" s="643"/>
      <c r="S13" s="643"/>
      <c r="T13" s="643"/>
      <c r="U13" s="643"/>
      <c r="V13" s="633" t="s">
        <v>1474</v>
      </c>
      <c r="W13" s="487">
        <v>50000</v>
      </c>
      <c r="X13" s="505">
        <v>0</v>
      </c>
      <c r="Y13" s="489"/>
      <c r="Z13" s="625"/>
      <c r="AA13" s="625"/>
      <c r="AB13" s="626"/>
      <c r="AC13" s="626"/>
      <c r="AD13" s="626"/>
      <c r="AE13" s="626"/>
      <c r="AF13" s="626"/>
      <c r="AG13" s="626"/>
      <c r="AH13" s="626"/>
      <c r="AI13" s="626"/>
      <c r="AJ13" s="626"/>
      <c r="AK13" s="626"/>
      <c r="AL13" s="626"/>
      <c r="AM13" s="626"/>
      <c r="AN13" s="626"/>
      <c r="AO13" s="626"/>
      <c r="AP13" s="626"/>
      <c r="AQ13" s="626"/>
      <c r="AR13" s="626"/>
      <c r="AS13" s="626"/>
      <c r="AT13" s="626"/>
      <c r="AU13" s="626"/>
      <c r="AV13" s="626"/>
      <c r="AW13" s="626"/>
      <c r="AX13" s="626"/>
      <c r="AY13" s="626"/>
      <c r="AZ13" s="626"/>
      <c r="BA13" s="626"/>
      <c r="BB13" s="626"/>
      <c r="BC13" s="626"/>
      <c r="BD13" s="626"/>
      <c r="BE13" s="626"/>
      <c r="BF13" s="626"/>
      <c r="BG13" s="626"/>
    </row>
    <row r="14" spans="1:59" s="627" customFormat="1" ht="17.5" thickTop="1" thickBot="1" x14ac:dyDescent="0.5">
      <c r="A14" s="184"/>
      <c r="B14" s="644"/>
      <c r="C14" s="644"/>
      <c r="D14" s="644"/>
      <c r="E14" s="644"/>
      <c r="F14" s="645"/>
      <c r="G14" s="644"/>
      <c r="H14" s="644"/>
      <c r="I14" s="644"/>
      <c r="J14" s="644"/>
      <c r="K14" s="644"/>
      <c r="L14" s="644"/>
      <c r="M14" s="644"/>
      <c r="N14" s="644"/>
      <c r="O14" s="644"/>
      <c r="P14" s="644"/>
      <c r="Q14" s="644"/>
      <c r="R14" s="644"/>
      <c r="S14" s="644"/>
      <c r="T14" s="644"/>
      <c r="U14" s="644"/>
      <c r="V14" s="625"/>
      <c r="W14" s="487"/>
      <c r="X14" s="505"/>
      <c r="Y14" s="506"/>
      <c r="Z14" s="625"/>
      <c r="AA14" s="625"/>
      <c r="AB14" s="626"/>
      <c r="AC14" s="626"/>
      <c r="AD14" s="626"/>
      <c r="AE14" s="626"/>
      <c r="AF14" s="626"/>
      <c r="AG14" s="626"/>
      <c r="AH14" s="626"/>
      <c r="AI14" s="626"/>
      <c r="AJ14" s="626"/>
      <c r="AK14" s="626"/>
      <c r="AL14" s="626"/>
      <c r="AM14" s="626"/>
      <c r="AN14" s="626"/>
      <c r="AO14" s="626"/>
      <c r="AP14" s="626"/>
      <c r="AQ14" s="626"/>
      <c r="AR14" s="626"/>
      <c r="AS14" s="626"/>
      <c r="AT14" s="626"/>
      <c r="AU14" s="626"/>
      <c r="AV14" s="626"/>
      <c r="AW14" s="626"/>
      <c r="AX14" s="626"/>
      <c r="AY14" s="626"/>
      <c r="AZ14" s="626"/>
      <c r="BA14" s="626"/>
      <c r="BB14" s="626"/>
      <c r="BC14" s="626"/>
      <c r="BD14" s="626"/>
      <c r="BE14" s="626"/>
      <c r="BF14" s="626"/>
      <c r="BG14" s="626"/>
    </row>
    <row r="15" spans="1:59" s="627" customFormat="1" ht="18.75" customHeight="1" thickTop="1" thickBot="1" x14ac:dyDescent="0.5">
      <c r="A15" s="596" t="s">
        <v>1398</v>
      </c>
      <c r="B15" s="1574" t="s">
        <v>1475</v>
      </c>
      <c r="C15" s="1575"/>
      <c r="D15" s="1575"/>
      <c r="E15" s="1575"/>
      <c r="F15" s="1575"/>
      <c r="G15" s="1575"/>
      <c r="H15" s="1575"/>
      <c r="I15" s="1575"/>
      <c r="J15" s="1575"/>
      <c r="K15" s="1575"/>
      <c r="L15" s="1575"/>
      <c r="M15" s="1576"/>
      <c r="N15" s="1577" t="s">
        <v>1476</v>
      </c>
      <c r="O15" s="1578"/>
      <c r="P15" s="1578"/>
      <c r="Q15" s="1578"/>
      <c r="R15" s="1578"/>
      <c r="S15" s="1578"/>
      <c r="T15" s="1578"/>
      <c r="U15" s="1579"/>
      <c r="V15" s="625"/>
      <c r="W15" s="646" t="s">
        <v>1410</v>
      </c>
      <c r="X15" s="532">
        <v>0.249</v>
      </c>
      <c r="Y15" s="533"/>
      <c r="Z15" s="625"/>
      <c r="AA15" s="625"/>
      <c r="AB15" s="626"/>
      <c r="AC15" s="626"/>
      <c r="AD15" s="626"/>
      <c r="AE15" s="626"/>
      <c r="AF15" s="626"/>
      <c r="AG15" s="626"/>
      <c r="AH15" s="626"/>
      <c r="AI15" s="626"/>
      <c r="AJ15" s="626"/>
      <c r="AK15" s="626"/>
      <c r="AL15" s="626"/>
      <c r="AM15" s="626"/>
      <c r="AN15" s="626"/>
      <c r="AO15" s="626"/>
      <c r="AP15" s="626"/>
      <c r="AQ15" s="626"/>
      <c r="AR15" s="626"/>
      <c r="AS15" s="626"/>
      <c r="AT15" s="626"/>
      <c r="AU15" s="626"/>
      <c r="AV15" s="626"/>
      <c r="AW15" s="626"/>
      <c r="AX15" s="626"/>
      <c r="AY15" s="626"/>
      <c r="AZ15" s="626"/>
      <c r="BA15" s="626"/>
      <c r="BB15" s="626"/>
      <c r="BC15" s="626"/>
      <c r="BD15" s="626"/>
      <c r="BE15" s="626"/>
      <c r="BF15" s="626"/>
      <c r="BG15" s="626"/>
    </row>
    <row r="16" spans="1:59" x14ac:dyDescent="0.35">
      <c r="A16" s="588"/>
      <c r="B16" s="647"/>
      <c r="C16" s="648" t="s">
        <v>1477</v>
      </c>
      <c r="D16" s="648" t="s">
        <v>1415</v>
      </c>
      <c r="E16" s="648"/>
      <c r="F16" s="649" t="s">
        <v>1478</v>
      </c>
      <c r="G16" s="648"/>
      <c r="H16" s="649" t="s">
        <v>1417</v>
      </c>
      <c r="I16" s="648"/>
      <c r="J16" s="649" t="s">
        <v>1410</v>
      </c>
      <c r="K16" s="648"/>
      <c r="L16" s="649" t="s">
        <v>1479</v>
      </c>
      <c r="M16" s="650"/>
      <c r="N16" s="651" t="s">
        <v>1478</v>
      </c>
      <c r="O16" s="648"/>
      <c r="P16" s="648"/>
      <c r="Q16" s="648"/>
      <c r="R16" s="649" t="s">
        <v>1417</v>
      </c>
      <c r="S16" s="648"/>
      <c r="T16" s="652" t="s">
        <v>1479</v>
      </c>
      <c r="U16" s="653"/>
      <c r="V16" s="588"/>
      <c r="W16" s="588"/>
      <c r="X16" s="588"/>
      <c r="Y16" s="588"/>
      <c r="Z16" s="588"/>
      <c r="AA16" s="588"/>
      <c r="AB16" s="588"/>
      <c r="AC16" s="588"/>
      <c r="AD16" s="588"/>
      <c r="AE16" s="588"/>
      <c r="AF16" s="588"/>
      <c r="AG16" s="588"/>
      <c r="AH16" s="588"/>
      <c r="AI16" s="588"/>
      <c r="AJ16" s="588"/>
      <c r="AK16" s="588"/>
      <c r="AL16" s="588"/>
      <c r="AM16" s="588"/>
      <c r="AN16" s="588"/>
      <c r="AO16" s="588"/>
      <c r="AP16" s="588"/>
      <c r="AQ16" s="588"/>
      <c r="AR16" s="588"/>
      <c r="AS16" s="588"/>
      <c r="AT16" s="588"/>
      <c r="AU16" s="588"/>
      <c r="AV16" s="588"/>
      <c r="AW16" s="588"/>
      <c r="AX16" s="588"/>
      <c r="AY16" s="588"/>
      <c r="AZ16" s="588"/>
      <c r="BA16" s="588"/>
      <c r="BB16" s="588"/>
      <c r="BC16" s="588"/>
      <c r="BD16" s="588"/>
      <c r="BE16" s="588"/>
      <c r="BF16" s="588"/>
      <c r="BG16" s="588"/>
    </row>
    <row r="17" spans="1:59" ht="16" customHeight="1" thickBot="1" x14ac:dyDescent="0.4">
      <c r="A17" s="588"/>
      <c r="B17" s="654"/>
      <c r="C17" s="655"/>
      <c r="D17" s="655"/>
      <c r="E17" s="655"/>
      <c r="F17" s="655"/>
      <c r="G17" s="655"/>
      <c r="H17" s="655"/>
      <c r="I17" s="655"/>
      <c r="J17" s="655"/>
      <c r="K17" s="655"/>
      <c r="L17" s="655"/>
      <c r="M17" s="655"/>
      <c r="N17" s="656"/>
      <c r="O17" s="655"/>
      <c r="P17" s="655"/>
      <c r="Q17" s="655"/>
      <c r="R17" s="655"/>
      <c r="S17" s="655"/>
      <c r="T17" s="655"/>
      <c r="U17" s="657"/>
      <c r="V17" s="588"/>
      <c r="W17" s="588"/>
      <c r="X17" s="658"/>
      <c r="Y17" s="588"/>
      <c r="Z17" s="588"/>
      <c r="AA17" s="588"/>
      <c r="AB17" s="588"/>
      <c r="AC17" s="588"/>
      <c r="AD17" s="588"/>
      <c r="AE17" s="588"/>
      <c r="AF17" s="588"/>
      <c r="AG17" s="588"/>
      <c r="AH17" s="588"/>
      <c r="AI17" s="588"/>
      <c r="AJ17" s="588"/>
      <c r="AK17" s="588"/>
      <c r="AL17" s="588"/>
      <c r="AM17" s="588"/>
      <c r="AN17" s="588"/>
      <c r="AO17" s="588"/>
      <c r="AP17" s="588"/>
      <c r="AQ17" s="588"/>
      <c r="AR17" s="588"/>
      <c r="AS17" s="588"/>
      <c r="AT17" s="588"/>
      <c r="AU17" s="588"/>
      <c r="AV17" s="588"/>
      <c r="AW17" s="588"/>
      <c r="AX17" s="588"/>
      <c r="AY17" s="588"/>
      <c r="AZ17" s="588"/>
      <c r="BA17" s="588"/>
      <c r="BB17" s="588"/>
      <c r="BC17" s="588"/>
      <c r="BD17" s="588"/>
      <c r="BE17" s="588"/>
      <c r="BF17" s="588"/>
      <c r="BG17" s="588"/>
    </row>
    <row r="18" spans="1:59" ht="16" customHeight="1" x14ac:dyDescent="0.35">
      <c r="A18" s="588"/>
      <c r="B18" s="517"/>
      <c r="C18" s="659" t="s">
        <v>1480</v>
      </c>
      <c r="D18" s="660"/>
      <c r="E18" s="661"/>
      <c r="F18" s="662"/>
      <c r="G18" s="662"/>
      <c r="H18" s="662"/>
      <c r="I18" s="662"/>
      <c r="J18" s="662"/>
      <c r="K18" s="662"/>
      <c r="L18" s="662"/>
      <c r="M18" s="662"/>
      <c r="N18" s="663"/>
      <c r="O18" s="662"/>
      <c r="P18" s="662"/>
      <c r="Q18" s="662"/>
      <c r="R18" s="662"/>
      <c r="S18" s="662"/>
      <c r="T18" s="662"/>
      <c r="U18" s="524"/>
      <c r="V18" s="588"/>
      <c r="W18" s="588"/>
      <c r="X18" s="658"/>
      <c r="Y18" s="588"/>
      <c r="Z18" s="588"/>
      <c r="AA18" s="588"/>
      <c r="AB18" s="588"/>
      <c r="AC18" s="588"/>
      <c r="AD18" s="588"/>
      <c r="AE18" s="588"/>
      <c r="AF18" s="588"/>
      <c r="AG18" s="588"/>
      <c r="AH18" s="588"/>
      <c r="AI18" s="588"/>
      <c r="AJ18" s="588"/>
      <c r="AK18" s="588"/>
      <c r="AL18" s="588"/>
      <c r="AM18" s="588"/>
      <c r="AN18" s="588"/>
      <c r="AO18" s="588"/>
      <c r="AP18" s="588"/>
      <c r="AQ18" s="588"/>
      <c r="AR18" s="588"/>
      <c r="AS18" s="588"/>
      <c r="AT18" s="588"/>
      <c r="AU18" s="588"/>
      <c r="AV18" s="588"/>
      <c r="AW18" s="588"/>
      <c r="AX18" s="588"/>
      <c r="AY18" s="588"/>
      <c r="AZ18" s="588"/>
      <c r="BA18" s="588"/>
      <c r="BB18" s="588"/>
      <c r="BC18" s="588"/>
      <c r="BD18" s="588"/>
      <c r="BE18" s="588"/>
      <c r="BF18" s="588"/>
      <c r="BG18" s="588"/>
    </row>
    <row r="19" spans="1:59" ht="16" customHeight="1" x14ac:dyDescent="0.35">
      <c r="A19" s="588"/>
      <c r="B19" s="517"/>
      <c r="C19" s="664" t="s">
        <v>1481</v>
      </c>
      <c r="D19" s="660"/>
      <c r="E19" s="661"/>
      <c r="F19" s="662"/>
      <c r="G19" s="662"/>
      <c r="H19" s="662"/>
      <c r="I19" s="662"/>
      <c r="J19" s="662"/>
      <c r="K19" s="662"/>
      <c r="L19" s="662"/>
      <c r="M19" s="662"/>
      <c r="N19" s="663"/>
      <c r="O19" s="662"/>
      <c r="P19" s="662"/>
      <c r="Q19" s="662"/>
      <c r="R19" s="662"/>
      <c r="S19" s="662"/>
      <c r="T19" s="662"/>
      <c r="U19" s="524"/>
      <c r="V19" s="588"/>
      <c r="W19" s="665" t="s">
        <v>1482</v>
      </c>
      <c r="X19" s="588"/>
      <c r="Y19" s="588"/>
      <c r="Z19" s="588"/>
      <c r="AA19" s="588"/>
      <c r="AB19" s="588"/>
      <c r="AC19" s="588"/>
      <c r="AD19" s="588"/>
      <c r="AE19" s="588"/>
      <c r="AF19" s="588"/>
      <c r="AG19" s="588"/>
      <c r="AH19" s="588"/>
      <c r="AI19" s="588"/>
      <c r="AJ19" s="588"/>
      <c r="AK19" s="588"/>
      <c r="AL19" s="588"/>
      <c r="AM19" s="588"/>
      <c r="AN19" s="588"/>
      <c r="AO19" s="588"/>
      <c r="AP19" s="588"/>
      <c r="AQ19" s="588"/>
      <c r="AR19" s="588"/>
      <c r="AS19" s="588"/>
      <c r="AT19" s="588"/>
      <c r="AU19" s="588"/>
      <c r="AV19" s="588"/>
      <c r="AW19" s="588"/>
      <c r="AX19" s="588"/>
      <c r="AY19" s="588"/>
      <c r="AZ19" s="588"/>
      <c r="BA19" s="588"/>
      <c r="BB19" s="588"/>
      <c r="BC19" s="588"/>
      <c r="BD19" s="588"/>
      <c r="BE19" s="588"/>
      <c r="BF19" s="588"/>
      <c r="BG19" s="588"/>
    </row>
    <row r="20" spans="1:59" ht="16" customHeight="1" x14ac:dyDescent="0.35">
      <c r="A20" s="588"/>
      <c r="B20" s="549"/>
      <c r="C20" s="664" t="s">
        <v>1483</v>
      </c>
      <c r="D20" s="664">
        <v>6</v>
      </c>
      <c r="E20" s="661"/>
      <c r="F20" s="662">
        <f>SUM([24]Sheet2!E21*195/229)</f>
        <v>15693.895906113539</v>
      </c>
      <c r="G20" s="662"/>
      <c r="H20" s="662">
        <f t="shared" ref="H20:H38" si="0">IF($F20&gt;$W$12,($F20-$W$12)*$Y$12,"ERROR")</f>
        <v>953.0136350436685</v>
      </c>
      <c r="I20" s="662"/>
      <c r="J20" s="662">
        <f t="shared" ref="J20:J41" si="1">$F20*$X$15</f>
        <v>3907.7800806222713</v>
      </c>
      <c r="K20" s="662"/>
      <c r="L20" s="662">
        <f t="shared" ref="L20:L39" si="2">F20+ROUND(H20,0)+ROUND(J20,0)</f>
        <v>20554.895906113539</v>
      </c>
      <c r="M20" s="662"/>
      <c r="N20" s="663">
        <f t="shared" ref="N20:N39" si="3">F20</f>
        <v>15693.895906113539</v>
      </c>
      <c r="O20" s="662"/>
      <c r="P20" s="662"/>
      <c r="Q20" s="662"/>
      <c r="R20" s="662">
        <f t="shared" ref="R20:R39" si="4">IF($N20&gt;$W$12,($N20-$W$12)*$Y$12,"ERROR")</f>
        <v>953.0136350436685</v>
      </c>
      <c r="S20" s="662"/>
      <c r="T20" s="662">
        <f t="shared" ref="T20:T39" si="5">SUM(N20:R20)</f>
        <v>16646.909541157209</v>
      </c>
      <c r="U20" s="524"/>
      <c r="V20" s="666"/>
      <c r="W20" s="665" t="s">
        <v>1421</v>
      </c>
      <c r="X20" s="588"/>
      <c r="Y20" s="588"/>
      <c r="Z20" s="588"/>
      <c r="AA20" s="588"/>
      <c r="AB20" s="588"/>
      <c r="AC20" s="588"/>
      <c r="AD20" s="588"/>
      <c r="AE20" s="588"/>
      <c r="AF20" s="588"/>
      <c r="AG20" s="588"/>
      <c r="AH20" s="588"/>
      <c r="AI20" s="588"/>
      <c r="AJ20" s="588"/>
      <c r="AK20" s="588"/>
      <c r="AL20" s="588"/>
      <c r="AM20" s="588"/>
      <c r="AN20" s="588"/>
      <c r="AO20" s="588"/>
      <c r="AP20" s="588"/>
      <c r="AQ20" s="588"/>
      <c r="AR20" s="588"/>
      <c r="AS20" s="588"/>
      <c r="AT20" s="588"/>
      <c r="AU20" s="588"/>
      <c r="AV20" s="588"/>
      <c r="AW20" s="588"/>
      <c r="AX20" s="588"/>
      <c r="AY20" s="588"/>
      <c r="AZ20" s="588"/>
      <c r="BA20" s="588"/>
      <c r="BB20" s="588"/>
      <c r="BC20" s="588"/>
      <c r="BD20" s="588"/>
      <c r="BE20" s="588"/>
      <c r="BF20" s="588"/>
      <c r="BG20" s="588"/>
    </row>
    <row r="21" spans="1:59" ht="16" customHeight="1" x14ac:dyDescent="0.35">
      <c r="A21" s="588"/>
      <c r="B21" s="549"/>
      <c r="C21" s="664" t="s">
        <v>1480</v>
      </c>
      <c r="D21" s="664">
        <v>7</v>
      </c>
      <c r="E21" s="661"/>
      <c r="F21" s="662">
        <f>SUM([24]Sheet2!E22*195/229)</f>
        <v>15805.888919213976</v>
      </c>
      <c r="G21" s="662"/>
      <c r="H21" s="662">
        <f t="shared" si="0"/>
        <v>968.46867085152871</v>
      </c>
      <c r="I21" s="662"/>
      <c r="J21" s="662">
        <f t="shared" si="1"/>
        <v>3935.6663408842801</v>
      </c>
      <c r="K21" s="662"/>
      <c r="L21" s="662">
        <f t="shared" si="2"/>
        <v>20709.888919213976</v>
      </c>
      <c r="M21" s="662"/>
      <c r="N21" s="663">
        <f t="shared" si="3"/>
        <v>15805.888919213976</v>
      </c>
      <c r="O21" s="662"/>
      <c r="P21" s="662"/>
      <c r="Q21" s="662"/>
      <c r="R21" s="662">
        <f t="shared" si="4"/>
        <v>968.46867085152871</v>
      </c>
      <c r="S21" s="662"/>
      <c r="T21" s="662">
        <f t="shared" si="5"/>
        <v>16774.357590065505</v>
      </c>
      <c r="U21" s="524"/>
      <c r="V21" s="666"/>
      <c r="W21" s="665"/>
      <c r="X21" s="588"/>
      <c r="Y21" s="588"/>
      <c r="Z21" s="588"/>
      <c r="AA21" s="588"/>
      <c r="AB21" s="588"/>
      <c r="AC21" s="588"/>
      <c r="AD21" s="588"/>
      <c r="AE21" s="588"/>
      <c r="AF21" s="588"/>
      <c r="AG21" s="588"/>
      <c r="AH21" s="588"/>
      <c r="AI21" s="588"/>
      <c r="AJ21" s="588"/>
      <c r="AK21" s="588"/>
      <c r="AL21" s="588"/>
      <c r="AM21" s="588"/>
      <c r="AN21" s="588"/>
      <c r="AO21" s="588"/>
      <c r="AP21" s="588"/>
      <c r="AQ21" s="588"/>
      <c r="AR21" s="588"/>
      <c r="AS21" s="588"/>
      <c r="AT21" s="588"/>
      <c r="AU21" s="588"/>
      <c r="AV21" s="588"/>
      <c r="AW21" s="588"/>
      <c r="AX21" s="588"/>
      <c r="AY21" s="588"/>
      <c r="AZ21" s="588"/>
      <c r="BA21" s="588"/>
      <c r="BB21" s="588"/>
      <c r="BC21" s="588"/>
      <c r="BD21" s="588"/>
      <c r="BE21" s="588"/>
      <c r="BF21" s="588"/>
      <c r="BG21" s="588"/>
    </row>
    <row r="22" spans="1:59" ht="16" customHeight="1" x14ac:dyDescent="0.35">
      <c r="A22" s="588"/>
      <c r="B22" s="549"/>
      <c r="C22" s="664" t="s">
        <v>1480</v>
      </c>
      <c r="D22" s="664">
        <v>8</v>
      </c>
      <c r="E22" s="661"/>
      <c r="F22" s="662">
        <f>SUM([24]Sheet2!E23*195/229)</f>
        <v>16115.619596069871</v>
      </c>
      <c r="G22" s="662"/>
      <c r="H22" s="662">
        <f t="shared" si="0"/>
        <v>1011.2115042576423</v>
      </c>
      <c r="I22" s="662"/>
      <c r="J22" s="662">
        <f t="shared" si="1"/>
        <v>4012.7892794213981</v>
      </c>
      <c r="K22" s="662"/>
      <c r="L22" s="662">
        <f t="shared" si="2"/>
        <v>21139.619596069871</v>
      </c>
      <c r="M22" s="662"/>
      <c r="N22" s="663">
        <f t="shared" si="3"/>
        <v>16115.619596069871</v>
      </c>
      <c r="O22" s="662"/>
      <c r="P22" s="662"/>
      <c r="Q22" s="662"/>
      <c r="R22" s="662">
        <f t="shared" si="4"/>
        <v>1011.2115042576423</v>
      </c>
      <c r="S22" s="662"/>
      <c r="T22" s="662">
        <f t="shared" si="5"/>
        <v>17126.831100327512</v>
      </c>
      <c r="U22" s="524"/>
      <c r="V22" s="666"/>
      <c r="W22" s="665" t="s">
        <v>1422</v>
      </c>
      <c r="X22" s="588"/>
      <c r="Y22" s="588"/>
      <c r="Z22" s="588"/>
      <c r="AA22" s="588"/>
      <c r="AB22" s="588"/>
      <c r="AC22" s="588"/>
      <c r="AD22" s="588"/>
      <c r="AE22" s="588"/>
      <c r="AF22" s="588"/>
      <c r="AG22" s="588"/>
      <c r="AH22" s="588"/>
      <c r="AI22" s="588"/>
      <c r="AJ22" s="588"/>
      <c r="AK22" s="588"/>
      <c r="AL22" s="588"/>
      <c r="AM22" s="588"/>
      <c r="AN22" s="588"/>
      <c r="AO22" s="588"/>
      <c r="AP22" s="588"/>
      <c r="AQ22" s="588"/>
      <c r="AR22" s="588"/>
      <c r="AS22" s="588"/>
      <c r="AT22" s="588"/>
      <c r="AU22" s="588"/>
      <c r="AV22" s="588"/>
      <c r="AW22" s="588"/>
      <c r="AX22" s="588"/>
      <c r="AY22" s="588"/>
      <c r="AZ22" s="588"/>
      <c r="BA22" s="588"/>
      <c r="BB22" s="588"/>
      <c r="BC22" s="588"/>
      <c r="BD22" s="588"/>
      <c r="BE22" s="588"/>
      <c r="BF22" s="588"/>
      <c r="BG22" s="588"/>
    </row>
    <row r="23" spans="1:59" ht="16" customHeight="1" x14ac:dyDescent="0.35">
      <c r="A23" s="588"/>
      <c r="B23" s="549"/>
      <c r="C23" s="667" t="s">
        <v>1480</v>
      </c>
      <c r="D23" s="667">
        <v>9</v>
      </c>
      <c r="E23" s="668"/>
      <c r="F23" s="669">
        <f>SUM([24]Sheet2!E24*195/229)</f>
        <v>16462.972925764192</v>
      </c>
      <c r="G23" s="669"/>
      <c r="H23" s="669">
        <f t="shared" si="0"/>
        <v>1059.1462637554587</v>
      </c>
      <c r="I23" s="669"/>
      <c r="J23" s="669">
        <f t="shared" si="1"/>
        <v>4099.280258515284</v>
      </c>
      <c r="K23" s="669"/>
      <c r="L23" s="669">
        <f t="shared" si="2"/>
        <v>21620.972925764192</v>
      </c>
      <c r="M23" s="669"/>
      <c r="N23" s="670">
        <f t="shared" si="3"/>
        <v>16462.972925764192</v>
      </c>
      <c r="O23" s="669"/>
      <c r="P23" s="669"/>
      <c r="Q23" s="669"/>
      <c r="R23" s="669">
        <f t="shared" si="4"/>
        <v>1059.1462637554587</v>
      </c>
      <c r="S23" s="669"/>
      <c r="T23" s="669">
        <f t="shared" si="5"/>
        <v>17522.11918951965</v>
      </c>
      <c r="U23" s="524"/>
      <c r="V23" s="588"/>
      <c r="W23" s="665" t="s">
        <v>1423</v>
      </c>
      <c r="X23" s="588"/>
      <c r="Y23" s="588"/>
      <c r="Z23" s="588"/>
      <c r="AA23" s="588"/>
      <c r="AB23" s="588"/>
      <c r="AC23" s="588"/>
      <c r="AD23" s="588"/>
      <c r="AE23" s="588"/>
      <c r="AF23" s="588"/>
      <c r="AG23" s="588"/>
      <c r="AH23" s="588"/>
      <c r="AI23" s="588"/>
      <c r="AJ23" s="588"/>
      <c r="AK23" s="588"/>
      <c r="AL23" s="588"/>
      <c r="AM23" s="588"/>
      <c r="AN23" s="588"/>
      <c r="AO23" s="588"/>
      <c r="AP23" s="588"/>
      <c r="AQ23" s="588"/>
      <c r="AR23" s="588"/>
      <c r="AS23" s="588"/>
      <c r="AT23" s="588"/>
      <c r="AU23" s="588"/>
      <c r="AV23" s="588"/>
      <c r="AW23" s="588"/>
      <c r="AX23" s="588"/>
      <c r="AY23" s="588"/>
      <c r="AZ23" s="588"/>
      <c r="BA23" s="588"/>
      <c r="BB23" s="588"/>
      <c r="BC23" s="588"/>
      <c r="BD23" s="588"/>
      <c r="BE23" s="588"/>
      <c r="BF23" s="588"/>
      <c r="BG23" s="588"/>
    </row>
    <row r="24" spans="1:59" ht="16" customHeight="1" x14ac:dyDescent="0.35">
      <c r="A24" s="588"/>
      <c r="B24" s="549"/>
      <c r="C24" s="664" t="s">
        <v>1484</v>
      </c>
      <c r="D24" s="664">
        <v>12</v>
      </c>
      <c r="E24" s="661"/>
      <c r="F24" s="662">
        <f>SUM([24]Sheet2!E27*195/229)</f>
        <v>17381.665611353714</v>
      </c>
      <c r="G24" s="662"/>
      <c r="H24" s="662">
        <f t="shared" si="0"/>
        <v>1185.9258543668127</v>
      </c>
      <c r="I24" s="662"/>
      <c r="J24" s="662">
        <f t="shared" si="1"/>
        <v>4328.0347372270744</v>
      </c>
      <c r="K24" s="662"/>
      <c r="L24" s="662">
        <f t="shared" si="2"/>
        <v>22895.665611353714</v>
      </c>
      <c r="M24" s="662"/>
      <c r="N24" s="663">
        <f t="shared" si="3"/>
        <v>17381.665611353714</v>
      </c>
      <c r="O24" s="662"/>
      <c r="P24" s="662"/>
      <c r="Q24" s="662"/>
      <c r="R24" s="662">
        <f t="shared" si="4"/>
        <v>1185.9258543668127</v>
      </c>
      <c r="S24" s="662"/>
      <c r="T24" s="662">
        <f t="shared" si="5"/>
        <v>18567.591465720525</v>
      </c>
      <c r="U24" s="524"/>
      <c r="V24" s="666"/>
      <c r="W24" s="665"/>
      <c r="X24" s="588"/>
      <c r="Y24" s="588"/>
      <c r="Z24" s="588"/>
      <c r="AA24" s="588"/>
      <c r="AB24" s="588"/>
      <c r="AC24" s="588"/>
      <c r="AD24" s="588"/>
      <c r="AE24" s="588"/>
      <c r="AF24" s="588"/>
      <c r="AG24" s="588"/>
      <c r="AH24" s="588"/>
      <c r="AI24" s="588"/>
      <c r="AJ24" s="588"/>
      <c r="AK24" s="588"/>
      <c r="AL24" s="588"/>
      <c r="AM24" s="588"/>
      <c r="AN24" s="588"/>
      <c r="AO24" s="588"/>
      <c r="AP24" s="588"/>
      <c r="AQ24" s="588"/>
      <c r="AR24" s="588"/>
      <c r="AS24" s="588"/>
      <c r="AT24" s="588"/>
      <c r="AU24" s="588"/>
      <c r="AV24" s="588"/>
      <c r="AW24" s="588"/>
      <c r="AX24" s="588"/>
      <c r="AY24" s="588"/>
      <c r="AZ24" s="588"/>
      <c r="BA24" s="588"/>
      <c r="BB24" s="588"/>
      <c r="BC24" s="588"/>
      <c r="BD24" s="588"/>
      <c r="BE24" s="588"/>
      <c r="BF24" s="588"/>
      <c r="BG24" s="588"/>
    </row>
    <row r="25" spans="1:59" ht="16" customHeight="1" x14ac:dyDescent="0.35">
      <c r="A25" s="588"/>
      <c r="B25" s="549"/>
      <c r="C25" s="664" t="s">
        <v>1485</v>
      </c>
      <c r="D25" s="664">
        <v>13</v>
      </c>
      <c r="E25" s="661"/>
      <c r="F25" s="662">
        <f>SUM([24]Sheet2!E28*195/229)</f>
        <v>17799.889519650656</v>
      </c>
      <c r="G25" s="662"/>
      <c r="H25" s="662">
        <f t="shared" si="0"/>
        <v>1243.6407537117907</v>
      </c>
      <c r="I25" s="662"/>
      <c r="J25" s="662">
        <f t="shared" si="1"/>
        <v>4432.1724903930135</v>
      </c>
      <c r="K25" s="662"/>
      <c r="L25" s="662">
        <f t="shared" si="2"/>
        <v>23475.889519650656</v>
      </c>
      <c r="M25" s="662"/>
      <c r="N25" s="663">
        <f t="shared" si="3"/>
        <v>17799.889519650656</v>
      </c>
      <c r="O25" s="662"/>
      <c r="P25" s="662"/>
      <c r="Q25" s="662"/>
      <c r="R25" s="662">
        <f t="shared" si="4"/>
        <v>1243.6407537117907</v>
      </c>
      <c r="S25" s="662"/>
      <c r="T25" s="662">
        <f t="shared" si="5"/>
        <v>19043.530273362448</v>
      </c>
      <c r="U25" s="524"/>
      <c r="V25" s="666"/>
      <c r="W25" s="665" t="s">
        <v>1427</v>
      </c>
      <c r="X25" s="588"/>
      <c r="Y25" s="588"/>
      <c r="Z25" s="588"/>
      <c r="AA25" s="588"/>
      <c r="AB25" s="588"/>
      <c r="AC25" s="588"/>
      <c r="AD25" s="588"/>
      <c r="AE25" s="588"/>
      <c r="AF25" s="588"/>
      <c r="AG25" s="588"/>
      <c r="AH25" s="588"/>
      <c r="AI25" s="588"/>
      <c r="AJ25" s="588"/>
      <c r="AK25" s="588"/>
      <c r="AL25" s="588"/>
      <c r="AM25" s="588"/>
      <c r="AN25" s="588"/>
      <c r="AO25" s="588"/>
      <c r="AP25" s="588"/>
      <c r="AQ25" s="588"/>
      <c r="AR25" s="588"/>
      <c r="AS25" s="588"/>
      <c r="AT25" s="588"/>
      <c r="AU25" s="588"/>
      <c r="AV25" s="588"/>
      <c r="AW25" s="588"/>
      <c r="AX25" s="588"/>
      <c r="AY25" s="588"/>
      <c r="AZ25" s="588"/>
      <c r="BA25" s="588"/>
      <c r="BB25" s="588"/>
      <c r="BC25" s="588"/>
      <c r="BD25" s="588"/>
      <c r="BE25" s="588"/>
      <c r="BF25" s="588"/>
      <c r="BG25" s="588"/>
    </row>
    <row r="26" spans="1:59" ht="16" customHeight="1" x14ac:dyDescent="0.35">
      <c r="A26" s="588"/>
      <c r="B26" s="549"/>
      <c r="C26" s="664" t="s">
        <v>1480</v>
      </c>
      <c r="D26" s="664">
        <v>14</v>
      </c>
      <c r="E26" s="661"/>
      <c r="F26" s="662">
        <f>SUM([24]Sheet2!E29*195/229)</f>
        <v>18504.220578602624</v>
      </c>
      <c r="G26" s="662"/>
      <c r="H26" s="662">
        <f t="shared" si="0"/>
        <v>1340.8384398471624</v>
      </c>
      <c r="I26" s="662"/>
      <c r="J26" s="662">
        <f t="shared" si="1"/>
        <v>4607.550924072053</v>
      </c>
      <c r="K26" s="662"/>
      <c r="L26" s="662">
        <f t="shared" si="2"/>
        <v>24453.220578602624</v>
      </c>
      <c r="M26" s="671"/>
      <c r="N26" s="662">
        <f t="shared" si="3"/>
        <v>18504.220578602624</v>
      </c>
      <c r="O26" s="662"/>
      <c r="P26" s="662"/>
      <c r="Q26" s="662"/>
      <c r="R26" s="662">
        <f t="shared" si="4"/>
        <v>1340.8384398471624</v>
      </c>
      <c r="S26" s="662"/>
      <c r="T26" s="662">
        <f t="shared" si="5"/>
        <v>19845.059018449785</v>
      </c>
      <c r="U26" s="524"/>
      <c r="V26" s="666"/>
      <c r="W26" s="665" t="s">
        <v>1429</v>
      </c>
      <c r="X26" s="588"/>
      <c r="Y26" s="588"/>
      <c r="Z26" s="588"/>
      <c r="AA26" s="588"/>
      <c r="AB26" s="588"/>
      <c r="AC26" s="588"/>
      <c r="AD26" s="588"/>
      <c r="AE26" s="588"/>
      <c r="AF26" s="588"/>
      <c r="AG26" s="588"/>
      <c r="AH26" s="588"/>
      <c r="AI26" s="588"/>
      <c r="AJ26" s="588"/>
      <c r="AK26" s="588"/>
      <c r="AL26" s="588"/>
      <c r="AM26" s="588"/>
      <c r="AN26" s="588"/>
      <c r="AO26" s="588"/>
      <c r="AP26" s="588"/>
      <c r="AQ26" s="588"/>
      <c r="AR26" s="588"/>
      <c r="AS26" s="588"/>
      <c r="AT26" s="588"/>
      <c r="AU26" s="588"/>
      <c r="AV26" s="588"/>
      <c r="AW26" s="588"/>
      <c r="AX26" s="588"/>
      <c r="AY26" s="588"/>
      <c r="AZ26" s="588"/>
      <c r="BA26" s="588"/>
      <c r="BB26" s="588"/>
      <c r="BC26" s="588"/>
      <c r="BD26" s="588"/>
      <c r="BE26" s="588"/>
      <c r="BF26" s="588"/>
      <c r="BG26" s="588"/>
    </row>
    <row r="27" spans="1:59" ht="16" customHeight="1" x14ac:dyDescent="0.35">
      <c r="A27" s="588"/>
      <c r="B27" s="549"/>
      <c r="C27" s="667" t="s">
        <v>1480</v>
      </c>
      <c r="D27" s="667">
        <v>15</v>
      </c>
      <c r="E27" s="668"/>
      <c r="F27" s="669">
        <f>SUM([24]Sheet2!E30*195/229)</f>
        <v>19276.797379912667</v>
      </c>
      <c r="G27" s="669"/>
      <c r="H27" s="669">
        <f t="shared" si="0"/>
        <v>1447.454038427948</v>
      </c>
      <c r="I27" s="669"/>
      <c r="J27" s="669">
        <f t="shared" si="1"/>
        <v>4799.9225475982539</v>
      </c>
      <c r="K27" s="669"/>
      <c r="L27" s="669">
        <f t="shared" si="2"/>
        <v>25523.797379912667</v>
      </c>
      <c r="M27" s="669"/>
      <c r="N27" s="670">
        <f t="shared" si="3"/>
        <v>19276.797379912667</v>
      </c>
      <c r="O27" s="669"/>
      <c r="P27" s="669"/>
      <c r="Q27" s="669"/>
      <c r="R27" s="669">
        <f t="shared" si="4"/>
        <v>1447.454038427948</v>
      </c>
      <c r="S27" s="669"/>
      <c r="T27" s="669">
        <f t="shared" si="5"/>
        <v>20724.251418340617</v>
      </c>
      <c r="U27" s="524"/>
      <c r="V27" s="666"/>
      <c r="W27" s="665"/>
      <c r="X27" s="588"/>
      <c r="Y27" s="588"/>
      <c r="Z27" s="588"/>
      <c r="AA27" s="588"/>
      <c r="AB27" s="588"/>
      <c r="AC27" s="588"/>
      <c r="AD27" s="588"/>
      <c r="AE27" s="588"/>
      <c r="AF27" s="588"/>
      <c r="AG27" s="588"/>
      <c r="AH27" s="588"/>
      <c r="AI27" s="588"/>
      <c r="AJ27" s="588"/>
      <c r="AK27" s="588"/>
      <c r="AL27" s="588"/>
      <c r="AM27" s="588"/>
      <c r="AN27" s="588"/>
      <c r="AO27" s="588"/>
      <c r="AP27" s="588"/>
      <c r="AQ27" s="588"/>
      <c r="AR27" s="588"/>
      <c r="AS27" s="588"/>
      <c r="AT27" s="588"/>
      <c r="AU27" s="588"/>
      <c r="AV27" s="588"/>
      <c r="AW27" s="588"/>
      <c r="AX27" s="588"/>
      <c r="AY27" s="588"/>
      <c r="AZ27" s="588"/>
      <c r="BA27" s="588"/>
      <c r="BB27" s="588"/>
      <c r="BC27" s="588"/>
      <c r="BD27" s="588"/>
      <c r="BE27" s="588"/>
      <c r="BF27" s="588"/>
      <c r="BG27" s="588"/>
    </row>
    <row r="28" spans="1:59" ht="16" customHeight="1" x14ac:dyDescent="0.35">
      <c r="A28" s="588"/>
      <c r="B28" s="549"/>
      <c r="C28" s="664" t="s">
        <v>1486</v>
      </c>
      <c r="D28" s="664">
        <v>15</v>
      </c>
      <c r="E28" s="661"/>
      <c r="F28" s="662">
        <f>SUM([24]Sheet2!E30*195/229)</f>
        <v>19276.797379912667</v>
      </c>
      <c r="G28" s="662"/>
      <c r="H28" s="662">
        <f t="shared" si="0"/>
        <v>1447.454038427948</v>
      </c>
      <c r="I28" s="662"/>
      <c r="J28" s="662">
        <f t="shared" si="1"/>
        <v>4799.9225475982539</v>
      </c>
      <c r="K28" s="662"/>
      <c r="L28" s="662">
        <f t="shared" si="2"/>
        <v>25523.797379912667</v>
      </c>
      <c r="M28" s="662"/>
      <c r="N28" s="663">
        <f t="shared" si="3"/>
        <v>19276.797379912667</v>
      </c>
      <c r="O28" s="662"/>
      <c r="P28" s="662"/>
      <c r="Q28" s="662"/>
      <c r="R28" s="662">
        <f t="shared" si="4"/>
        <v>1447.454038427948</v>
      </c>
      <c r="S28" s="662"/>
      <c r="T28" s="662">
        <f t="shared" si="5"/>
        <v>20724.251418340617</v>
      </c>
      <c r="U28" s="524"/>
      <c r="V28" s="666"/>
      <c r="W28" s="665" t="s">
        <v>1430</v>
      </c>
      <c r="X28" s="588"/>
      <c r="Y28" s="588"/>
      <c r="Z28" s="588"/>
      <c r="AA28" s="588"/>
      <c r="AB28" s="588"/>
      <c r="AC28" s="588"/>
      <c r="AD28" s="588"/>
      <c r="AE28" s="588"/>
      <c r="AF28" s="588"/>
      <c r="AG28" s="588"/>
      <c r="AH28" s="588"/>
      <c r="AI28" s="588"/>
      <c r="AJ28" s="588"/>
      <c r="AK28" s="588"/>
      <c r="AL28" s="588"/>
      <c r="AM28" s="588"/>
      <c r="AN28" s="588"/>
      <c r="AO28" s="588"/>
      <c r="AP28" s="588"/>
      <c r="AQ28" s="588"/>
      <c r="AR28" s="588"/>
      <c r="AS28" s="588"/>
      <c r="AT28" s="588"/>
      <c r="AU28" s="588"/>
      <c r="AV28" s="588"/>
      <c r="AW28" s="588"/>
      <c r="AX28" s="588"/>
      <c r="AY28" s="588"/>
      <c r="AZ28" s="588"/>
      <c r="BA28" s="588"/>
      <c r="BB28" s="588"/>
      <c r="BC28" s="588"/>
      <c r="BD28" s="588"/>
      <c r="BE28" s="588"/>
      <c r="BF28" s="588"/>
      <c r="BG28" s="588"/>
    </row>
    <row r="29" spans="1:59" ht="16" customHeight="1" x14ac:dyDescent="0.35">
      <c r="A29" s="588"/>
      <c r="B29" s="549"/>
      <c r="C29" s="664" t="s">
        <v>1487</v>
      </c>
      <c r="D29" s="664">
        <v>16</v>
      </c>
      <c r="E29" s="661"/>
      <c r="F29" s="662">
        <f>SUM([24]Sheet2!E31*195/229)</f>
        <v>20045.874399563323</v>
      </c>
      <c r="G29" s="662"/>
      <c r="H29" s="662">
        <f t="shared" si="0"/>
        <v>1553.5866671397387</v>
      </c>
      <c r="I29" s="662"/>
      <c r="J29" s="662">
        <f t="shared" si="1"/>
        <v>4991.4227254912676</v>
      </c>
      <c r="K29" s="662"/>
      <c r="L29" s="662">
        <f t="shared" si="2"/>
        <v>26590.874399563323</v>
      </c>
      <c r="M29" s="662"/>
      <c r="N29" s="663">
        <f t="shared" si="3"/>
        <v>20045.874399563323</v>
      </c>
      <c r="O29" s="662"/>
      <c r="P29" s="662"/>
      <c r="Q29" s="662"/>
      <c r="R29" s="662">
        <f t="shared" si="4"/>
        <v>1553.5866671397387</v>
      </c>
      <c r="S29" s="662"/>
      <c r="T29" s="662">
        <f t="shared" si="5"/>
        <v>21599.461066703061</v>
      </c>
      <c r="U29" s="524"/>
      <c r="V29" s="666"/>
      <c r="W29" s="665" t="s">
        <v>1432</v>
      </c>
      <c r="X29" s="588"/>
      <c r="Y29" s="588"/>
      <c r="Z29" s="588"/>
      <c r="AA29" s="588"/>
      <c r="AB29" s="588"/>
      <c r="AC29" s="588"/>
      <c r="AD29" s="588"/>
      <c r="AE29" s="588"/>
      <c r="AF29" s="588"/>
      <c r="AG29" s="588"/>
      <c r="AH29" s="588"/>
      <c r="AI29" s="588"/>
      <c r="AJ29" s="588"/>
      <c r="AK29" s="588"/>
      <c r="AL29" s="588"/>
      <c r="AM29" s="588"/>
      <c r="AN29" s="588"/>
      <c r="AO29" s="588"/>
      <c r="AP29" s="588"/>
      <c r="AQ29" s="588"/>
      <c r="AR29" s="588"/>
      <c r="AS29" s="588"/>
      <c r="AT29" s="588"/>
      <c r="AU29" s="588"/>
      <c r="AV29" s="588"/>
      <c r="AW29" s="588"/>
      <c r="AX29" s="588"/>
      <c r="AY29" s="588"/>
      <c r="AZ29" s="588"/>
      <c r="BA29" s="588"/>
      <c r="BB29" s="588"/>
      <c r="BC29" s="588"/>
      <c r="BD29" s="588"/>
      <c r="BE29" s="588"/>
      <c r="BF29" s="588"/>
      <c r="BG29" s="588"/>
    </row>
    <row r="30" spans="1:59" ht="16" customHeight="1" x14ac:dyDescent="0.35">
      <c r="A30" s="588"/>
      <c r="B30" s="549"/>
      <c r="C30" s="664" t="s">
        <v>1488</v>
      </c>
      <c r="D30" s="664">
        <v>17</v>
      </c>
      <c r="E30" s="661"/>
      <c r="F30" s="662">
        <f>SUM([24]Sheet2!E32*195/229)</f>
        <v>20720.457314410483</v>
      </c>
      <c r="G30" s="662"/>
      <c r="H30" s="662">
        <f t="shared" si="0"/>
        <v>1646.6791093886468</v>
      </c>
      <c r="I30" s="662"/>
      <c r="J30" s="662">
        <f t="shared" si="1"/>
        <v>5159.39387128821</v>
      </c>
      <c r="K30" s="662"/>
      <c r="L30" s="662">
        <f t="shared" si="2"/>
        <v>27526.457314410483</v>
      </c>
      <c r="M30" s="662"/>
      <c r="N30" s="663">
        <f t="shared" si="3"/>
        <v>20720.457314410483</v>
      </c>
      <c r="O30" s="662"/>
      <c r="P30" s="662"/>
      <c r="Q30" s="662"/>
      <c r="R30" s="662">
        <f t="shared" si="4"/>
        <v>1646.6791093886468</v>
      </c>
      <c r="S30" s="662"/>
      <c r="T30" s="662">
        <f t="shared" si="5"/>
        <v>22367.136423799129</v>
      </c>
      <c r="U30" s="524"/>
      <c r="V30" s="666"/>
      <c r="W30" s="665" t="s">
        <v>1433</v>
      </c>
      <c r="X30" s="588"/>
      <c r="Y30" s="588"/>
      <c r="Z30" s="588"/>
      <c r="AA30" s="588"/>
      <c r="AB30" s="588"/>
      <c r="AC30" s="588"/>
      <c r="AD30" s="588"/>
      <c r="AE30" s="588"/>
      <c r="AF30" s="588"/>
      <c r="AG30" s="588"/>
      <c r="AH30" s="588"/>
      <c r="AI30" s="588"/>
      <c r="AJ30" s="588"/>
      <c r="AK30" s="588"/>
      <c r="AL30" s="588"/>
      <c r="AM30" s="588"/>
      <c r="AN30" s="588"/>
      <c r="AO30" s="588"/>
      <c r="AP30" s="588"/>
      <c r="AQ30" s="588"/>
      <c r="AR30" s="588"/>
      <c r="AS30" s="588"/>
      <c r="AT30" s="588"/>
      <c r="AU30" s="588"/>
      <c r="AV30" s="588"/>
      <c r="AW30" s="588"/>
      <c r="AX30" s="588"/>
      <c r="AY30" s="588"/>
      <c r="AZ30" s="588"/>
      <c r="BA30" s="588"/>
      <c r="BB30" s="588"/>
      <c r="BC30" s="588"/>
      <c r="BD30" s="588"/>
      <c r="BE30" s="588"/>
      <c r="BF30" s="588"/>
      <c r="BG30" s="588"/>
    </row>
    <row r="31" spans="1:59" ht="16" customHeight="1" x14ac:dyDescent="0.35">
      <c r="A31" s="588"/>
      <c r="B31" s="549"/>
      <c r="C31" s="667" t="s">
        <v>1480</v>
      </c>
      <c r="D31" s="667">
        <v>18</v>
      </c>
      <c r="E31" s="668"/>
      <c r="F31" s="669">
        <f>SUM([24]Sheet2!E33*195/229)</f>
        <v>21393.290338427945</v>
      </c>
      <c r="G31" s="669"/>
      <c r="H31" s="669">
        <f t="shared" si="0"/>
        <v>1739.5300667030565</v>
      </c>
      <c r="I31" s="669"/>
      <c r="J31" s="669">
        <f t="shared" si="1"/>
        <v>5326.9292942685579</v>
      </c>
      <c r="K31" s="669"/>
      <c r="L31" s="669">
        <f t="shared" si="2"/>
        <v>28460.290338427945</v>
      </c>
      <c r="M31" s="669"/>
      <c r="N31" s="670">
        <f t="shared" si="3"/>
        <v>21393.290338427945</v>
      </c>
      <c r="O31" s="669"/>
      <c r="P31" s="669"/>
      <c r="Q31" s="669"/>
      <c r="R31" s="669">
        <f t="shared" si="4"/>
        <v>1739.5300667030565</v>
      </c>
      <c r="S31" s="669"/>
      <c r="T31" s="669">
        <f t="shared" si="5"/>
        <v>23132.820405131002</v>
      </c>
      <c r="U31" s="524"/>
      <c r="V31" s="666"/>
      <c r="W31" s="588"/>
      <c r="X31" s="588"/>
      <c r="Y31" s="588"/>
      <c r="Z31" s="588"/>
      <c r="AA31" s="588"/>
      <c r="AB31" s="588"/>
      <c r="AC31" s="588"/>
      <c r="AD31" s="588"/>
      <c r="AE31" s="588"/>
      <c r="AF31" s="588"/>
      <c r="AG31" s="588"/>
      <c r="AH31" s="588"/>
      <c r="AI31" s="588"/>
      <c r="AJ31" s="588"/>
      <c r="AK31" s="588"/>
      <c r="AL31" s="588"/>
      <c r="AM31" s="588"/>
      <c r="AN31" s="588"/>
      <c r="AO31" s="588"/>
      <c r="AP31" s="588"/>
      <c r="AQ31" s="588"/>
      <c r="AR31" s="588"/>
      <c r="AS31" s="588"/>
      <c r="AT31" s="588"/>
      <c r="AU31" s="588"/>
      <c r="AV31" s="588"/>
      <c r="AW31" s="588"/>
      <c r="AX31" s="588"/>
      <c r="AY31" s="588"/>
      <c r="AZ31" s="588"/>
      <c r="BA31" s="588"/>
      <c r="BB31" s="588"/>
      <c r="BC31" s="588"/>
      <c r="BD31" s="588"/>
      <c r="BE31" s="588"/>
      <c r="BF31" s="588"/>
      <c r="BG31" s="588"/>
    </row>
    <row r="32" spans="1:59" ht="16" customHeight="1" x14ac:dyDescent="0.35">
      <c r="A32" s="588"/>
      <c r="B32" s="549"/>
      <c r="C32" s="664" t="s">
        <v>1489</v>
      </c>
      <c r="D32" s="664">
        <v>18</v>
      </c>
      <c r="E32" s="661"/>
      <c r="F32" s="662">
        <f>SUM([24]Sheet2!E33*195/229)</f>
        <v>21393.290338427945</v>
      </c>
      <c r="G32" s="662"/>
      <c r="H32" s="662">
        <f t="shared" si="0"/>
        <v>1739.5300667030565</v>
      </c>
      <c r="I32" s="662"/>
      <c r="J32" s="662">
        <f t="shared" si="1"/>
        <v>5326.9292942685579</v>
      </c>
      <c r="K32" s="662"/>
      <c r="L32" s="662">
        <f>F32+ROUND(H32,0)+ROUND(J32,0)</f>
        <v>28460.290338427945</v>
      </c>
      <c r="M32" s="662"/>
      <c r="N32" s="663">
        <f>F32</f>
        <v>21393.290338427945</v>
      </c>
      <c r="O32" s="662"/>
      <c r="P32" s="662"/>
      <c r="Q32" s="662"/>
      <c r="R32" s="662">
        <f t="shared" si="4"/>
        <v>1739.5300667030565</v>
      </c>
      <c r="S32" s="662"/>
      <c r="T32" s="662">
        <f>SUM(N32:R32)</f>
        <v>23132.820405131002</v>
      </c>
      <c r="U32" s="524"/>
      <c r="V32" s="666"/>
      <c r="W32" s="588"/>
      <c r="X32" s="588"/>
      <c r="Y32" s="588"/>
      <c r="Z32" s="588"/>
      <c r="AA32" s="588"/>
      <c r="AB32" s="588"/>
      <c r="AC32" s="588"/>
      <c r="AD32" s="588"/>
      <c r="AE32" s="588"/>
      <c r="AF32" s="588"/>
      <c r="AG32" s="588"/>
      <c r="AH32" s="588"/>
      <c r="AI32" s="588"/>
      <c r="AJ32" s="588"/>
      <c r="AK32" s="588"/>
      <c r="AL32" s="588"/>
      <c r="AM32" s="588"/>
      <c r="AN32" s="588"/>
      <c r="AO32" s="588"/>
      <c r="AP32" s="588"/>
      <c r="AQ32" s="588"/>
      <c r="AR32" s="588"/>
      <c r="AS32" s="588"/>
      <c r="AT32" s="588"/>
      <c r="AU32" s="588"/>
      <c r="AV32" s="588"/>
      <c r="AW32" s="588"/>
      <c r="AX32" s="588"/>
      <c r="AY32" s="588"/>
      <c r="AZ32" s="588"/>
      <c r="BA32" s="588"/>
      <c r="BB32" s="588"/>
      <c r="BC32" s="588"/>
      <c r="BD32" s="588"/>
      <c r="BE32" s="588"/>
      <c r="BF32" s="588"/>
      <c r="BG32" s="588"/>
    </row>
    <row r="33" spans="1:59" ht="16" customHeight="1" x14ac:dyDescent="0.35">
      <c r="A33" s="588"/>
      <c r="B33" s="549"/>
      <c r="C33" s="664" t="s">
        <v>1490</v>
      </c>
      <c r="D33" s="664">
        <v>19</v>
      </c>
      <c r="E33" s="661"/>
      <c r="F33" s="662">
        <f>SUM([24]Sheet2!E34*195/229)</f>
        <v>22131.744268558956</v>
      </c>
      <c r="G33" s="662"/>
      <c r="H33" s="662">
        <f t="shared" si="0"/>
        <v>1841.4367090611361</v>
      </c>
      <c r="I33" s="662"/>
      <c r="J33" s="662">
        <f t="shared" si="1"/>
        <v>5510.8043228711804</v>
      </c>
      <c r="K33" s="662"/>
      <c r="L33" s="662">
        <f>F33+ROUND(H33,0)+ROUND(J33,0)</f>
        <v>29483.744268558956</v>
      </c>
      <c r="M33" s="662"/>
      <c r="N33" s="663">
        <f>F33</f>
        <v>22131.744268558956</v>
      </c>
      <c r="O33" s="662"/>
      <c r="P33" s="662"/>
      <c r="Q33" s="662"/>
      <c r="R33" s="662">
        <f t="shared" si="4"/>
        <v>1841.4367090611361</v>
      </c>
      <c r="S33" s="662"/>
      <c r="T33" s="662">
        <f>SUM(N33:R33)</f>
        <v>23973.180977620093</v>
      </c>
      <c r="U33" s="524"/>
      <c r="V33" s="666"/>
      <c r="W33" s="588"/>
      <c r="X33" s="588"/>
      <c r="Y33" s="588"/>
      <c r="Z33" s="588"/>
      <c r="AA33" s="588"/>
      <c r="AB33" s="588"/>
      <c r="AC33" s="588"/>
      <c r="AD33" s="588"/>
      <c r="AE33" s="588"/>
      <c r="AF33" s="588"/>
      <c r="AG33" s="588"/>
      <c r="AH33" s="588"/>
      <c r="AI33" s="588"/>
      <c r="AJ33" s="588"/>
      <c r="AK33" s="588"/>
      <c r="AL33" s="588"/>
      <c r="AM33" s="588"/>
      <c r="AN33" s="588"/>
      <c r="AO33" s="588"/>
      <c r="AP33" s="588"/>
      <c r="AQ33" s="588"/>
      <c r="AR33" s="588"/>
      <c r="AS33" s="588"/>
      <c r="AT33" s="588"/>
      <c r="AU33" s="588"/>
      <c r="AV33" s="588"/>
      <c r="AW33" s="588"/>
      <c r="AX33" s="588"/>
      <c r="AY33" s="588"/>
      <c r="AZ33" s="588"/>
      <c r="BA33" s="588"/>
      <c r="BB33" s="588"/>
      <c r="BC33" s="588"/>
      <c r="BD33" s="588"/>
      <c r="BE33" s="588"/>
      <c r="BF33" s="588"/>
      <c r="BG33" s="588"/>
    </row>
    <row r="34" spans="1:59" ht="16" customHeight="1" x14ac:dyDescent="0.35">
      <c r="A34" s="588"/>
      <c r="B34" s="549"/>
      <c r="C34" s="664" t="s">
        <v>1491</v>
      </c>
      <c r="D34" s="664">
        <v>20</v>
      </c>
      <c r="E34" s="661"/>
      <c r="F34" s="662">
        <f>SUM([24]Sheet2!E35*195/229)</f>
        <v>22808.077074235811</v>
      </c>
      <c r="G34" s="662"/>
      <c r="H34" s="662">
        <f t="shared" si="0"/>
        <v>1934.7706362445422</v>
      </c>
      <c r="I34" s="662"/>
      <c r="J34" s="662">
        <f t="shared" si="1"/>
        <v>5679.2111914847164</v>
      </c>
      <c r="K34" s="662"/>
      <c r="L34" s="662">
        <f>F34+ROUND(H34,0)+ROUND(J34,0)</f>
        <v>30422.077074235811</v>
      </c>
      <c r="M34" s="662"/>
      <c r="N34" s="663">
        <f>F34</f>
        <v>22808.077074235811</v>
      </c>
      <c r="O34" s="662"/>
      <c r="P34" s="662"/>
      <c r="Q34" s="662"/>
      <c r="R34" s="662">
        <f t="shared" si="4"/>
        <v>1934.7706362445422</v>
      </c>
      <c r="S34" s="662"/>
      <c r="T34" s="662">
        <f>SUM(N34:R34)</f>
        <v>24742.847710480353</v>
      </c>
      <c r="U34" s="524"/>
      <c r="V34" s="666"/>
      <c r="W34" s="588"/>
      <c r="X34" s="588"/>
      <c r="Y34" s="588"/>
      <c r="Z34" s="588"/>
      <c r="AA34" s="588"/>
      <c r="AB34" s="588"/>
      <c r="AC34" s="588"/>
      <c r="AD34" s="588"/>
      <c r="AE34" s="588"/>
      <c r="AF34" s="588"/>
      <c r="AG34" s="588"/>
      <c r="AH34" s="588"/>
      <c r="AI34" s="588"/>
      <c r="AJ34" s="588"/>
      <c r="AK34" s="588"/>
      <c r="AL34" s="588"/>
      <c r="AM34" s="588"/>
      <c r="AN34" s="588"/>
      <c r="AO34" s="588"/>
      <c r="AP34" s="588"/>
      <c r="AQ34" s="588"/>
      <c r="AR34" s="588"/>
      <c r="AS34" s="588"/>
      <c r="AT34" s="588"/>
      <c r="AU34" s="588"/>
      <c r="AV34" s="588"/>
      <c r="AW34" s="588"/>
      <c r="AX34" s="588"/>
      <c r="AY34" s="588"/>
      <c r="AZ34" s="588"/>
      <c r="BA34" s="588"/>
      <c r="BB34" s="588"/>
      <c r="BC34" s="588"/>
      <c r="BD34" s="588"/>
      <c r="BE34" s="588"/>
      <c r="BF34" s="588"/>
      <c r="BG34" s="588"/>
    </row>
    <row r="35" spans="1:59" ht="16" customHeight="1" x14ac:dyDescent="0.35">
      <c r="A35" s="588"/>
      <c r="B35" s="549"/>
      <c r="C35" s="667" t="s">
        <v>1480</v>
      </c>
      <c r="D35" s="667">
        <v>21</v>
      </c>
      <c r="E35" s="668"/>
      <c r="F35" s="669">
        <f>SUM([24]Sheet2!E36*195/229)</f>
        <v>23612.151910480352</v>
      </c>
      <c r="G35" s="669"/>
      <c r="H35" s="669">
        <f t="shared" si="0"/>
        <v>2045.7329636462887</v>
      </c>
      <c r="I35" s="669"/>
      <c r="J35" s="669">
        <f t="shared" si="1"/>
        <v>5879.425825709608</v>
      </c>
      <c r="K35" s="669"/>
      <c r="L35" s="669">
        <f>F35+ROUND(H35,0)+ROUND(J35,0)</f>
        <v>31537.151910480352</v>
      </c>
      <c r="M35" s="669"/>
      <c r="N35" s="670">
        <f>F35</f>
        <v>23612.151910480352</v>
      </c>
      <c r="O35" s="669"/>
      <c r="P35" s="669"/>
      <c r="Q35" s="669"/>
      <c r="R35" s="669">
        <f t="shared" si="4"/>
        <v>2045.7329636462887</v>
      </c>
      <c r="S35" s="669"/>
      <c r="T35" s="669">
        <f>SUM(N35:R35)</f>
        <v>25657.884874126641</v>
      </c>
      <c r="U35" s="524"/>
      <c r="V35" s="666"/>
      <c r="W35" s="588"/>
      <c r="X35" s="588"/>
      <c r="Y35" s="588"/>
      <c r="Z35" s="588"/>
      <c r="AA35" s="588"/>
      <c r="AB35" s="588"/>
      <c r="AC35" s="588"/>
      <c r="AD35" s="588"/>
      <c r="AE35" s="588"/>
      <c r="AF35" s="588"/>
      <c r="AG35" s="588"/>
      <c r="AH35" s="588"/>
      <c r="AI35" s="588"/>
      <c r="AJ35" s="588"/>
      <c r="AK35" s="588"/>
      <c r="AL35" s="588"/>
      <c r="AM35" s="588"/>
      <c r="AN35" s="588"/>
      <c r="AO35" s="588"/>
      <c r="AP35" s="588"/>
      <c r="AQ35" s="588"/>
      <c r="AR35" s="588"/>
      <c r="AS35" s="588"/>
      <c r="AT35" s="588"/>
      <c r="AU35" s="588"/>
      <c r="AV35" s="588"/>
      <c r="AW35" s="588"/>
      <c r="AX35" s="588"/>
      <c r="AY35" s="588"/>
      <c r="AZ35" s="588"/>
      <c r="BA35" s="588"/>
      <c r="BB35" s="588"/>
      <c r="BC35" s="588"/>
      <c r="BD35" s="588"/>
      <c r="BE35" s="588"/>
      <c r="BF35" s="588"/>
      <c r="BG35" s="588"/>
    </row>
    <row r="36" spans="1:59" ht="16" customHeight="1" x14ac:dyDescent="0.35">
      <c r="A36" s="588"/>
      <c r="B36" s="549"/>
      <c r="C36" s="664" t="s">
        <v>1492</v>
      </c>
      <c r="D36" s="664">
        <v>21</v>
      </c>
      <c r="E36" s="661"/>
      <c r="F36" s="662">
        <f>SUM([24]Sheet2!E36*195/226)</f>
        <v>23925.587555309736</v>
      </c>
      <c r="G36" s="662"/>
      <c r="H36" s="662">
        <f t="shared" si="0"/>
        <v>2088.9870826327437</v>
      </c>
      <c r="I36" s="662"/>
      <c r="J36" s="662">
        <f t="shared" si="1"/>
        <v>5957.471301272124</v>
      </c>
      <c r="K36" s="662"/>
      <c r="L36" s="662">
        <f t="shared" si="2"/>
        <v>31971.587555309736</v>
      </c>
      <c r="M36" s="662"/>
      <c r="N36" s="663">
        <f t="shared" si="3"/>
        <v>23925.587555309736</v>
      </c>
      <c r="O36" s="662"/>
      <c r="P36" s="662"/>
      <c r="Q36" s="662"/>
      <c r="R36" s="662">
        <f t="shared" si="4"/>
        <v>2088.9870826327437</v>
      </c>
      <c r="S36" s="662"/>
      <c r="T36" s="662">
        <f t="shared" si="5"/>
        <v>26014.574637942478</v>
      </c>
      <c r="U36" s="524"/>
      <c r="V36" s="666"/>
      <c r="W36" s="588"/>
      <c r="X36" s="588"/>
      <c r="Y36" s="588"/>
      <c r="Z36" s="588"/>
      <c r="AA36" s="588"/>
      <c r="AB36" s="588"/>
      <c r="AC36" s="588"/>
      <c r="AD36" s="588"/>
      <c r="AE36" s="588"/>
      <c r="AF36" s="588"/>
      <c r="AG36" s="588"/>
      <c r="AH36" s="588"/>
      <c r="AI36" s="588"/>
      <c r="AJ36" s="588"/>
      <c r="AK36" s="588"/>
      <c r="AL36" s="588"/>
      <c r="AM36" s="588"/>
      <c r="AN36" s="588"/>
      <c r="AO36" s="588"/>
      <c r="AP36" s="588"/>
      <c r="AQ36" s="588"/>
      <c r="AR36" s="588"/>
      <c r="AS36" s="588"/>
      <c r="AT36" s="588"/>
      <c r="AU36" s="588"/>
      <c r="AV36" s="588"/>
      <c r="AW36" s="588"/>
      <c r="AX36" s="588"/>
      <c r="AY36" s="588"/>
      <c r="AZ36" s="588"/>
      <c r="BA36" s="588"/>
      <c r="BB36" s="588"/>
      <c r="BC36" s="588"/>
      <c r="BD36" s="588"/>
      <c r="BE36" s="588"/>
      <c r="BF36" s="588"/>
      <c r="BG36" s="588"/>
    </row>
    <row r="37" spans="1:59" ht="16" customHeight="1" x14ac:dyDescent="0.35">
      <c r="A37" s="588"/>
      <c r="B37" s="549"/>
      <c r="C37" s="664" t="s">
        <v>1493</v>
      </c>
      <c r="D37" s="664">
        <v>22</v>
      </c>
      <c r="E37" s="661"/>
      <c r="F37" s="662">
        <f>SUM([24]Sheet2!E37*195/226)</f>
        <v>24739.44939159292</v>
      </c>
      <c r="G37" s="662"/>
      <c r="H37" s="662">
        <f t="shared" si="0"/>
        <v>2201.3000160398233</v>
      </c>
      <c r="I37" s="662"/>
      <c r="J37" s="662">
        <f t="shared" si="1"/>
        <v>6160.1228985066373</v>
      </c>
      <c r="K37" s="662"/>
      <c r="L37" s="662">
        <f t="shared" si="2"/>
        <v>33100.44939159292</v>
      </c>
      <c r="M37" s="662"/>
      <c r="N37" s="663">
        <f t="shared" si="3"/>
        <v>24739.44939159292</v>
      </c>
      <c r="O37" s="662"/>
      <c r="P37" s="662"/>
      <c r="Q37" s="662"/>
      <c r="R37" s="662">
        <f t="shared" si="4"/>
        <v>2201.3000160398233</v>
      </c>
      <c r="S37" s="662"/>
      <c r="T37" s="662">
        <f t="shared" si="5"/>
        <v>26940.749407632742</v>
      </c>
      <c r="U37" s="524"/>
      <c r="V37" s="666"/>
      <c r="W37" s="588"/>
      <c r="X37" s="588"/>
      <c r="Y37" s="588"/>
      <c r="Z37" s="588"/>
      <c r="AA37" s="588"/>
      <c r="AB37" s="588"/>
      <c r="AC37" s="588"/>
      <c r="AD37" s="588"/>
      <c r="AE37" s="588"/>
      <c r="AF37" s="588"/>
      <c r="AG37" s="588"/>
      <c r="AH37" s="588"/>
      <c r="AI37" s="588"/>
      <c r="AJ37" s="588"/>
      <c r="AK37" s="588"/>
      <c r="AL37" s="588"/>
      <c r="AM37" s="588"/>
      <c r="AN37" s="588"/>
      <c r="AO37" s="588"/>
      <c r="AP37" s="588"/>
      <c r="AQ37" s="588"/>
      <c r="AR37" s="588"/>
      <c r="AS37" s="588"/>
      <c r="AT37" s="588"/>
      <c r="AU37" s="588"/>
      <c r="AV37" s="588"/>
      <c r="AW37" s="588"/>
      <c r="AX37" s="588"/>
      <c r="AY37" s="588"/>
      <c r="AZ37" s="588"/>
      <c r="BA37" s="588"/>
      <c r="BB37" s="588"/>
      <c r="BC37" s="588"/>
      <c r="BD37" s="588"/>
      <c r="BE37" s="588"/>
      <c r="BF37" s="588"/>
      <c r="BG37" s="588"/>
    </row>
    <row r="38" spans="1:59" ht="16" customHeight="1" x14ac:dyDescent="0.35">
      <c r="A38" s="588"/>
      <c r="B38" s="549"/>
      <c r="C38" s="664" t="s">
        <v>1494</v>
      </c>
      <c r="D38" s="664">
        <v>23</v>
      </c>
      <c r="E38" s="661"/>
      <c r="F38" s="662">
        <f>SUM([24]Sheet2!E38*195/226)</f>
        <v>25815.732909292037</v>
      </c>
      <c r="G38" s="662"/>
      <c r="H38" s="662">
        <f t="shared" si="0"/>
        <v>2349.8271414823012</v>
      </c>
      <c r="I38" s="662"/>
      <c r="J38" s="662">
        <f t="shared" si="1"/>
        <v>6428.1174944137174</v>
      </c>
      <c r="K38" s="662"/>
      <c r="L38" s="662">
        <f>F38+ROUND(H38,0)+ROUND(J38,0)</f>
        <v>34593.732909292041</v>
      </c>
      <c r="M38" s="662"/>
      <c r="N38" s="663">
        <f>F38</f>
        <v>25815.732909292037</v>
      </c>
      <c r="O38" s="662"/>
      <c r="P38" s="662"/>
      <c r="Q38" s="662"/>
      <c r="R38" s="662">
        <f t="shared" si="4"/>
        <v>2349.8271414823012</v>
      </c>
      <c r="S38" s="662"/>
      <c r="T38" s="662">
        <f>SUM(N38:R38)</f>
        <v>28165.560050774337</v>
      </c>
      <c r="U38" s="524"/>
      <c r="V38" s="666"/>
      <c r="W38" s="588"/>
      <c r="X38" s="588"/>
      <c r="Y38" s="588"/>
      <c r="Z38" s="588"/>
      <c r="AA38" s="588"/>
      <c r="AB38" s="588"/>
      <c r="AC38" s="588"/>
      <c r="AD38" s="588"/>
      <c r="AE38" s="588"/>
      <c r="AF38" s="588"/>
      <c r="AG38" s="588"/>
      <c r="AH38" s="588"/>
      <c r="AI38" s="588"/>
      <c r="AJ38" s="588"/>
      <c r="AK38" s="588"/>
      <c r="AL38" s="588"/>
      <c r="AM38" s="588"/>
      <c r="AN38" s="588"/>
      <c r="AO38" s="588"/>
      <c r="AP38" s="588"/>
      <c r="AQ38" s="588"/>
      <c r="AR38" s="588"/>
      <c r="AS38" s="588"/>
      <c r="AT38" s="588"/>
      <c r="AU38" s="588"/>
      <c r="AV38" s="588"/>
      <c r="AW38" s="588"/>
      <c r="AX38" s="588"/>
      <c r="AY38" s="588"/>
      <c r="AZ38" s="588"/>
      <c r="BA38" s="588"/>
      <c r="BB38" s="588"/>
      <c r="BC38" s="588"/>
      <c r="BD38" s="588"/>
      <c r="BE38" s="588"/>
      <c r="BF38" s="588"/>
      <c r="BG38" s="588"/>
    </row>
    <row r="39" spans="1:59" ht="16" customHeight="1" x14ac:dyDescent="0.35">
      <c r="A39" s="588"/>
      <c r="B39" s="549"/>
      <c r="C39" s="664" t="s">
        <v>1480</v>
      </c>
      <c r="D39" s="664">
        <v>24</v>
      </c>
      <c r="E39" s="661"/>
      <c r="F39" s="662">
        <f>SUM([24]Sheet2!E39*195/226)</f>
        <v>26793.608296460181</v>
      </c>
      <c r="G39" s="662"/>
      <c r="H39" s="662">
        <f>IF($F39&gt;$W$12,($F39-$W$12)*$Y$12,"ERROR")</f>
        <v>2484.7739449115052</v>
      </c>
      <c r="I39" s="662"/>
      <c r="J39" s="662">
        <f t="shared" si="1"/>
        <v>6671.6084658185855</v>
      </c>
      <c r="K39" s="662"/>
      <c r="L39" s="662">
        <f t="shared" si="2"/>
        <v>35950.608296460181</v>
      </c>
      <c r="M39" s="662"/>
      <c r="N39" s="663">
        <f t="shared" si="3"/>
        <v>26793.608296460181</v>
      </c>
      <c r="O39" s="662"/>
      <c r="P39" s="662"/>
      <c r="Q39" s="662"/>
      <c r="R39" s="662">
        <f t="shared" si="4"/>
        <v>2484.7739449115052</v>
      </c>
      <c r="S39" s="662"/>
      <c r="T39" s="662">
        <f t="shared" si="5"/>
        <v>29278.382241371684</v>
      </c>
      <c r="U39" s="524"/>
      <c r="V39" s="666"/>
      <c r="W39" s="588"/>
      <c r="X39" s="588"/>
      <c r="Y39" s="588"/>
      <c r="Z39" s="588"/>
      <c r="AA39" s="588"/>
      <c r="AB39" s="588"/>
      <c r="AC39" s="588"/>
      <c r="AD39" s="588"/>
      <c r="AE39" s="588"/>
      <c r="AF39" s="588"/>
      <c r="AG39" s="588"/>
      <c r="AH39" s="588"/>
      <c r="AI39" s="588"/>
      <c r="AJ39" s="588"/>
      <c r="AK39" s="588"/>
      <c r="AL39" s="588"/>
      <c r="AM39" s="588"/>
      <c r="AN39" s="588"/>
      <c r="AO39" s="588"/>
      <c r="AP39" s="588"/>
      <c r="AQ39" s="588"/>
      <c r="AR39" s="588"/>
      <c r="AS39" s="588"/>
      <c r="AT39" s="588"/>
      <c r="AU39" s="588"/>
      <c r="AV39" s="588"/>
      <c r="AW39" s="588"/>
      <c r="AX39" s="588"/>
      <c r="AY39" s="588"/>
      <c r="AZ39" s="588"/>
      <c r="BA39" s="588"/>
      <c r="BB39" s="588"/>
      <c r="BC39" s="588"/>
      <c r="BD39" s="588"/>
      <c r="BE39" s="588"/>
      <c r="BF39" s="588"/>
      <c r="BG39" s="588"/>
    </row>
    <row r="40" spans="1:59" ht="16" customHeight="1" thickBot="1" x14ac:dyDescent="0.4">
      <c r="A40" s="588" t="s">
        <v>1495</v>
      </c>
      <c r="B40" s="672"/>
      <c r="C40" s="848" t="s">
        <v>1496</v>
      </c>
      <c r="D40" s="883">
        <v>0.6</v>
      </c>
      <c r="E40" s="849"/>
      <c r="F40" s="850">
        <f>F24-((F24-F23)*40%)</f>
        <v>17014.188537117905</v>
      </c>
      <c r="G40" s="851"/>
      <c r="H40" s="852">
        <f>IF($F40&gt;$W$12,($F40-$W$12)*$Y$12,"ERROR")</f>
        <v>1135.214018122271</v>
      </c>
      <c r="I40" s="852"/>
      <c r="J40" s="852">
        <f t="shared" si="1"/>
        <v>4236.5329457423586</v>
      </c>
      <c r="K40" s="852"/>
      <c r="L40" s="852">
        <f>F40+ROUND(H40,0)+ROUND(J40,0)</f>
        <v>22386.188537117905</v>
      </c>
      <c r="M40" s="564"/>
      <c r="N40" s="674"/>
      <c r="O40" s="564"/>
      <c r="P40" s="564"/>
      <c r="Q40" s="564"/>
      <c r="R40" s="564"/>
      <c r="S40" s="564"/>
      <c r="T40" s="564"/>
      <c r="U40" s="537"/>
      <c r="V40" s="666"/>
      <c r="W40" s="588"/>
      <c r="X40" s="588"/>
      <c r="Y40" s="588"/>
      <c r="Z40" s="588"/>
      <c r="AA40" s="588"/>
      <c r="AB40" s="588"/>
      <c r="AC40" s="588"/>
      <c r="AD40" s="588"/>
      <c r="AE40" s="588"/>
      <c r="AF40" s="588"/>
      <c r="AG40" s="588"/>
      <c r="AH40" s="588"/>
      <c r="AI40" s="588"/>
      <c r="AJ40" s="588"/>
      <c r="AK40" s="588"/>
      <c r="AL40" s="588"/>
      <c r="AM40" s="588"/>
      <c r="AN40" s="588"/>
      <c r="AO40" s="588"/>
      <c r="AP40" s="588"/>
      <c r="AQ40" s="588"/>
      <c r="AR40" s="588"/>
      <c r="AS40" s="588"/>
      <c r="AT40" s="588"/>
      <c r="AU40" s="588"/>
      <c r="AV40" s="588"/>
      <c r="AW40" s="588"/>
      <c r="AX40" s="588"/>
      <c r="AY40" s="588"/>
      <c r="AZ40" s="588"/>
      <c r="BA40" s="588"/>
      <c r="BB40" s="588"/>
      <c r="BC40" s="588"/>
      <c r="BD40" s="588"/>
      <c r="BE40" s="588"/>
      <c r="BF40" s="588"/>
      <c r="BG40" s="588"/>
    </row>
    <row r="41" spans="1:59" ht="16" customHeight="1" thickBot="1" x14ac:dyDescent="0.4">
      <c r="A41" s="588"/>
      <c r="B41" s="588"/>
      <c r="C41" s="848" t="s">
        <v>1496</v>
      </c>
      <c r="D41" s="883">
        <v>0.7</v>
      </c>
      <c r="E41" s="849"/>
      <c r="F41" s="850">
        <f>F24-((F24-F23)*30%)</f>
        <v>17106.057805676857</v>
      </c>
      <c r="G41" s="851"/>
      <c r="H41" s="852">
        <f>IF($F41&gt;$W$12,($F41-$W$12)*$Y$12,"ERROR")</f>
        <v>1147.8919771834064</v>
      </c>
      <c r="I41" s="852"/>
      <c r="J41" s="852">
        <f t="shared" si="1"/>
        <v>4259.4083936135376</v>
      </c>
      <c r="K41" s="852"/>
      <c r="L41" s="852">
        <f>F41+ROUND(H41,0)+ROUND(J41,0)</f>
        <v>22513.057805676857</v>
      </c>
      <c r="M41" s="564"/>
      <c r="N41" s="588"/>
      <c r="O41" s="588"/>
      <c r="P41" s="588"/>
      <c r="Q41" s="588"/>
      <c r="R41" s="588"/>
      <c r="S41" s="588"/>
      <c r="T41" s="588"/>
      <c r="U41" s="588"/>
      <c r="V41" s="666"/>
      <c r="W41" s="588"/>
      <c r="X41" s="588"/>
      <c r="Y41" s="588"/>
      <c r="Z41" s="588"/>
      <c r="AA41" s="588"/>
      <c r="AB41" s="588"/>
      <c r="AC41" s="588"/>
      <c r="AD41" s="588"/>
      <c r="AE41" s="588"/>
      <c r="AF41" s="588"/>
      <c r="AG41" s="588"/>
      <c r="AH41" s="588"/>
      <c r="AI41" s="588"/>
      <c r="AJ41" s="588"/>
      <c r="AK41" s="588"/>
      <c r="AL41" s="588"/>
      <c r="AM41" s="588"/>
      <c r="AN41" s="588"/>
      <c r="AO41" s="588"/>
      <c r="AP41" s="588"/>
      <c r="AQ41" s="588"/>
      <c r="AR41" s="588"/>
      <c r="AS41" s="588"/>
      <c r="AT41" s="588"/>
      <c r="AU41" s="588"/>
      <c r="AV41" s="588"/>
      <c r="AW41" s="588"/>
      <c r="AX41" s="588"/>
      <c r="AY41" s="588"/>
      <c r="AZ41" s="588"/>
      <c r="BA41" s="588"/>
      <c r="BB41" s="588"/>
      <c r="BC41" s="588"/>
      <c r="BD41" s="588"/>
      <c r="BE41" s="588"/>
      <c r="BF41" s="588"/>
      <c r="BG41" s="588"/>
    </row>
    <row r="42" spans="1:59" ht="16" customHeight="1" x14ac:dyDescent="0.35">
      <c r="A42" s="588"/>
      <c r="B42" s="588"/>
      <c r="C42" s="588"/>
      <c r="D42" s="588"/>
      <c r="E42" s="588"/>
      <c r="F42" s="588"/>
      <c r="G42" s="588"/>
      <c r="H42" s="588"/>
      <c r="I42" s="588"/>
      <c r="J42" s="588"/>
      <c r="K42" s="588"/>
      <c r="L42" s="588"/>
      <c r="M42" s="588"/>
      <c r="N42" s="588"/>
      <c r="O42" s="588"/>
      <c r="P42" s="588"/>
      <c r="Q42" s="588"/>
      <c r="R42" s="588"/>
      <c r="S42" s="588"/>
      <c r="T42" s="588"/>
      <c r="U42" s="588"/>
      <c r="V42" s="588"/>
      <c r="W42" s="588"/>
      <c r="X42" s="588"/>
      <c r="Y42" s="588"/>
      <c r="Z42" s="588"/>
      <c r="AA42" s="588"/>
      <c r="AB42" s="588"/>
      <c r="AC42" s="588"/>
      <c r="AD42" s="588"/>
      <c r="AE42" s="588"/>
      <c r="AF42" s="588"/>
      <c r="AG42" s="588"/>
      <c r="AH42" s="588"/>
      <c r="AI42" s="588"/>
      <c r="AJ42" s="588"/>
      <c r="AK42" s="588"/>
      <c r="AL42" s="588"/>
      <c r="AM42" s="588"/>
      <c r="AN42" s="588"/>
      <c r="AO42" s="588"/>
      <c r="AP42" s="588"/>
      <c r="AQ42" s="588"/>
      <c r="AR42" s="588"/>
      <c r="AS42" s="588"/>
      <c r="AT42" s="588"/>
      <c r="AU42" s="588"/>
      <c r="AV42" s="588"/>
      <c r="AW42" s="588"/>
      <c r="AX42" s="588"/>
      <c r="AY42" s="588"/>
      <c r="AZ42" s="588"/>
      <c r="BA42" s="588"/>
      <c r="BB42" s="588"/>
      <c r="BC42" s="588"/>
      <c r="BD42" s="588"/>
      <c r="BE42" s="588"/>
      <c r="BF42" s="588"/>
      <c r="BG42" s="588"/>
    </row>
    <row r="43" spans="1:59" ht="18" thickBot="1" x14ac:dyDescent="0.4">
      <c r="A43" s="588"/>
      <c r="B43" s="588"/>
      <c r="C43" s="588"/>
      <c r="D43" s="588"/>
      <c r="E43" s="588"/>
      <c r="F43" s="810">
        <f>F24-((F24-F23)*50%)</f>
        <v>16922.319268558953</v>
      </c>
      <c r="G43" s="564"/>
      <c r="H43" s="809">
        <f>IF($F43&gt;$W$12,($F43-$W$12)*$Y$12,"ERROR")</f>
        <v>1122.5360590611356</v>
      </c>
      <c r="I43" s="809"/>
      <c r="J43" s="809">
        <f t="shared" ref="J43" si="6">$F43*$X$15</f>
        <v>4213.6574978711797</v>
      </c>
      <c r="K43" s="809"/>
      <c r="L43" s="809">
        <f>F43+ROUND(H43,0)+ROUND(J43,0)</f>
        <v>22259.319268558953</v>
      </c>
      <c r="M43" s="588"/>
      <c r="N43" s="588"/>
      <c r="O43" s="588"/>
      <c r="P43" s="588"/>
      <c r="Q43" s="588"/>
      <c r="R43" s="588"/>
      <c r="S43" s="588"/>
      <c r="T43" s="588"/>
      <c r="U43" s="588"/>
      <c r="V43" s="588"/>
      <c r="W43" s="588"/>
      <c r="X43" s="588"/>
      <c r="Y43" s="588"/>
      <c r="Z43" s="588"/>
      <c r="AA43" s="588"/>
      <c r="AB43" s="588"/>
      <c r="AC43" s="588"/>
      <c r="AD43" s="588"/>
      <c r="AE43" s="588"/>
      <c r="AF43" s="588"/>
      <c r="AG43" s="588"/>
      <c r="AH43" s="588"/>
      <c r="AI43" s="588"/>
      <c r="AJ43" s="588"/>
      <c r="AK43" s="588"/>
      <c r="AL43" s="588"/>
      <c r="AM43" s="588"/>
      <c r="AN43" s="588"/>
      <c r="AO43" s="588"/>
      <c r="AP43" s="588"/>
      <c r="AQ43" s="588"/>
      <c r="AR43" s="588"/>
      <c r="AS43" s="588"/>
      <c r="AT43" s="588"/>
      <c r="AU43" s="588"/>
      <c r="AV43" s="588"/>
      <c r="AW43" s="588"/>
      <c r="AX43" s="588"/>
      <c r="AY43" s="588"/>
      <c r="AZ43" s="588"/>
      <c r="BA43" s="588"/>
      <c r="BB43" s="588"/>
      <c r="BC43" s="588"/>
      <c r="BD43" s="588"/>
      <c r="BE43" s="588"/>
      <c r="BF43" s="588"/>
      <c r="BG43" s="588"/>
    </row>
    <row r="44" spans="1:59" x14ac:dyDescent="0.35">
      <c r="A44" s="588"/>
      <c r="B44" s="588"/>
      <c r="C44" s="588"/>
      <c r="D44" s="588"/>
      <c r="E44" s="588"/>
      <c r="F44" s="588"/>
      <c r="G44" s="588"/>
      <c r="H44" s="588"/>
      <c r="I44" s="588"/>
      <c r="J44" s="588"/>
      <c r="K44" s="588"/>
      <c r="L44" s="588"/>
      <c r="M44" s="588"/>
      <c r="N44" s="588"/>
      <c r="O44" s="588"/>
      <c r="P44" s="588"/>
      <c r="Q44" s="588"/>
      <c r="R44" s="588"/>
      <c r="S44" s="588"/>
      <c r="T44" s="588"/>
      <c r="U44" s="588"/>
      <c r="V44" s="588"/>
      <c r="W44" s="588"/>
      <c r="X44" s="588"/>
      <c r="Y44" s="588"/>
      <c r="Z44" s="588"/>
      <c r="AA44" s="588"/>
      <c r="AB44" s="588"/>
      <c r="AC44" s="588"/>
      <c r="AD44" s="588"/>
      <c r="AE44" s="588"/>
      <c r="AF44" s="588"/>
      <c r="AG44" s="588"/>
      <c r="AH44" s="588"/>
      <c r="AI44" s="588"/>
      <c r="AJ44" s="588"/>
      <c r="AK44" s="588"/>
      <c r="AL44" s="588"/>
      <c r="AM44" s="588"/>
      <c r="AN44" s="588"/>
      <c r="AO44" s="588"/>
      <c r="AP44" s="588"/>
      <c r="AQ44" s="588"/>
      <c r="AR44" s="588"/>
      <c r="AS44" s="588"/>
      <c r="AT44" s="588"/>
      <c r="AU44" s="588"/>
      <c r="AV44" s="588"/>
      <c r="AW44" s="588"/>
      <c r="AX44" s="588"/>
      <c r="AY44" s="588"/>
      <c r="AZ44" s="588"/>
      <c r="BA44" s="588"/>
      <c r="BB44" s="588"/>
      <c r="BC44" s="588"/>
      <c r="BD44" s="588"/>
      <c r="BE44" s="588"/>
      <c r="BF44" s="588"/>
      <c r="BG44" s="588"/>
    </row>
    <row r="45" spans="1:59" x14ac:dyDescent="0.35">
      <c r="A45" s="588"/>
      <c r="B45" s="588"/>
      <c r="C45" s="588"/>
      <c r="D45" s="588"/>
      <c r="E45" s="588"/>
      <c r="F45" s="588"/>
      <c r="G45" s="588"/>
      <c r="H45" s="588"/>
      <c r="I45" s="588"/>
      <c r="J45" s="588"/>
      <c r="K45" s="588"/>
      <c r="L45" s="588"/>
      <c r="M45" s="588"/>
      <c r="N45" s="588"/>
      <c r="O45" s="588"/>
      <c r="P45" s="588"/>
      <c r="Q45" s="588"/>
      <c r="R45" s="588"/>
      <c r="S45" s="588"/>
      <c r="T45" s="588"/>
      <c r="U45" s="588"/>
      <c r="V45" s="588"/>
      <c r="W45" s="588"/>
      <c r="X45" s="588"/>
      <c r="Y45" s="588"/>
      <c r="Z45" s="588"/>
      <c r="AA45" s="588"/>
      <c r="AB45" s="588"/>
      <c r="AC45" s="588"/>
      <c r="AD45" s="588"/>
      <c r="AE45" s="588"/>
      <c r="AF45" s="588"/>
      <c r="AG45" s="588"/>
      <c r="AH45" s="588"/>
      <c r="AI45" s="588"/>
      <c r="AJ45" s="588"/>
      <c r="AK45" s="588"/>
      <c r="AL45" s="588"/>
      <c r="AM45" s="588"/>
      <c r="AN45" s="588"/>
      <c r="AO45" s="588"/>
      <c r="AP45" s="588"/>
      <c r="AQ45" s="588"/>
      <c r="AR45" s="588"/>
      <c r="AS45" s="588"/>
      <c r="AT45" s="588"/>
      <c r="AU45" s="588"/>
      <c r="AV45" s="588"/>
      <c r="AW45" s="588"/>
      <c r="AX45" s="588"/>
      <c r="AY45" s="588"/>
      <c r="AZ45" s="588"/>
      <c r="BA45" s="588"/>
      <c r="BB45" s="588"/>
      <c r="BC45" s="588"/>
      <c r="BD45" s="588"/>
      <c r="BE45" s="588"/>
      <c r="BF45" s="588"/>
      <c r="BG45" s="588"/>
    </row>
    <row r="46" spans="1:59" x14ac:dyDescent="0.35">
      <c r="A46" s="588"/>
      <c r="B46" s="588"/>
      <c r="C46" s="588"/>
      <c r="D46" s="588"/>
      <c r="E46" s="588"/>
      <c r="F46" s="588"/>
      <c r="G46" s="588"/>
      <c r="H46" s="588"/>
      <c r="I46" s="588"/>
      <c r="J46" s="588"/>
      <c r="K46" s="588"/>
      <c r="L46" s="588"/>
      <c r="M46" s="588"/>
      <c r="N46" s="588"/>
      <c r="O46" s="588"/>
      <c r="P46" s="588"/>
      <c r="Q46" s="588"/>
      <c r="R46" s="588"/>
      <c r="S46" s="588"/>
      <c r="T46" s="588"/>
      <c r="U46" s="588"/>
      <c r="V46" s="588"/>
      <c r="W46" s="588"/>
      <c r="X46" s="588"/>
      <c r="Y46" s="588"/>
      <c r="Z46" s="588"/>
      <c r="AA46" s="588"/>
      <c r="AB46" s="588"/>
      <c r="AC46" s="588"/>
      <c r="AD46" s="588"/>
      <c r="AE46" s="588"/>
      <c r="AF46" s="588"/>
      <c r="AG46" s="588"/>
      <c r="AH46" s="588"/>
      <c r="AI46" s="588"/>
      <c r="AJ46" s="588"/>
      <c r="AK46" s="588"/>
      <c r="AL46" s="588"/>
      <c r="AM46" s="588"/>
      <c r="AN46" s="588"/>
      <c r="AO46" s="588"/>
      <c r="AP46" s="588"/>
      <c r="AQ46" s="588"/>
      <c r="AR46" s="588"/>
      <c r="AS46" s="588"/>
      <c r="AT46" s="588"/>
      <c r="AU46" s="588"/>
      <c r="AV46" s="588"/>
      <c r="AW46" s="588"/>
      <c r="AX46" s="588"/>
      <c r="AY46" s="588"/>
      <c r="AZ46" s="588"/>
      <c r="BA46" s="588"/>
      <c r="BB46" s="588"/>
      <c r="BC46" s="588"/>
      <c r="BD46" s="588"/>
      <c r="BE46" s="588"/>
      <c r="BF46" s="588"/>
      <c r="BG46" s="588"/>
    </row>
    <row r="47" spans="1:59" x14ac:dyDescent="0.35">
      <c r="A47" s="588"/>
      <c r="B47" s="588"/>
      <c r="C47" s="588"/>
      <c r="D47" s="588"/>
      <c r="E47" s="588"/>
      <c r="F47" s="588"/>
      <c r="G47" s="588"/>
      <c r="H47" s="588"/>
      <c r="I47" s="588"/>
      <c r="J47" s="588"/>
      <c r="K47" s="588"/>
      <c r="L47" s="588"/>
      <c r="M47" s="588"/>
      <c r="N47" s="588"/>
      <c r="O47" s="588"/>
      <c r="P47" s="588"/>
      <c r="Q47" s="588"/>
      <c r="R47" s="588"/>
      <c r="S47" s="588"/>
      <c r="T47" s="588"/>
      <c r="U47" s="588"/>
      <c r="V47" s="588"/>
      <c r="W47" s="588"/>
      <c r="X47" s="588"/>
      <c r="Y47" s="588"/>
      <c r="Z47" s="588"/>
      <c r="AA47" s="588"/>
      <c r="AB47" s="588"/>
      <c r="AC47" s="588"/>
      <c r="AD47" s="588"/>
      <c r="AE47" s="588"/>
      <c r="AF47" s="588"/>
      <c r="AG47" s="588"/>
      <c r="AH47" s="588"/>
      <c r="AI47" s="588"/>
      <c r="AJ47" s="588"/>
      <c r="AK47" s="588"/>
      <c r="AL47" s="588"/>
      <c r="AM47" s="588"/>
      <c r="AN47" s="588"/>
      <c r="AO47" s="588"/>
      <c r="AP47" s="588"/>
      <c r="AQ47" s="588"/>
      <c r="AR47" s="588"/>
      <c r="AS47" s="588"/>
      <c r="AT47" s="588"/>
      <c r="AU47" s="588"/>
      <c r="AV47" s="588"/>
      <c r="AW47" s="588"/>
      <c r="AX47" s="588"/>
      <c r="AY47" s="588"/>
      <c r="AZ47" s="588"/>
      <c r="BA47" s="588"/>
      <c r="BB47" s="588"/>
      <c r="BC47" s="588"/>
      <c r="BD47" s="588"/>
      <c r="BE47" s="588"/>
      <c r="BF47" s="588"/>
      <c r="BG47" s="588"/>
    </row>
    <row r="48" spans="1:59" x14ac:dyDescent="0.35">
      <c r="A48" s="588"/>
      <c r="B48" s="588"/>
      <c r="C48" s="588"/>
      <c r="D48" s="588"/>
      <c r="E48" s="588"/>
      <c r="F48" s="588"/>
      <c r="G48" s="588"/>
      <c r="H48" s="588"/>
      <c r="I48" s="588"/>
      <c r="J48" s="588"/>
      <c r="K48" s="588"/>
      <c r="L48" s="588"/>
      <c r="M48" s="588"/>
      <c r="N48" s="588"/>
      <c r="O48" s="588"/>
      <c r="P48" s="588"/>
      <c r="Q48" s="588"/>
      <c r="R48" s="588"/>
      <c r="S48" s="588"/>
      <c r="T48" s="588"/>
      <c r="U48" s="588"/>
      <c r="V48" s="588"/>
      <c r="W48" s="588"/>
      <c r="X48" s="588"/>
      <c r="Y48" s="588"/>
      <c r="Z48" s="588"/>
      <c r="AA48" s="588"/>
      <c r="AB48" s="588"/>
      <c r="AC48" s="588"/>
      <c r="AD48" s="588"/>
      <c r="AE48" s="588"/>
      <c r="AF48" s="588"/>
      <c r="AG48" s="588"/>
      <c r="AH48" s="588"/>
      <c r="AI48" s="588"/>
      <c r="AJ48" s="588"/>
      <c r="AK48" s="588"/>
      <c r="AL48" s="588"/>
      <c r="AM48" s="588"/>
      <c r="AN48" s="588"/>
      <c r="AO48" s="588"/>
      <c r="AP48" s="588"/>
      <c r="AQ48" s="588"/>
      <c r="AR48" s="588"/>
      <c r="AS48" s="588"/>
      <c r="AT48" s="588"/>
      <c r="AU48" s="588"/>
      <c r="AV48" s="588"/>
      <c r="AW48" s="588"/>
      <c r="AX48" s="588"/>
      <c r="AY48" s="588"/>
      <c r="AZ48" s="588"/>
      <c r="BA48" s="588"/>
      <c r="BB48" s="588"/>
      <c r="BC48" s="588"/>
      <c r="BD48" s="588"/>
      <c r="BE48" s="588"/>
      <c r="BF48" s="588"/>
      <c r="BG48" s="588"/>
    </row>
    <row r="49" spans="1:59" x14ac:dyDescent="0.35">
      <c r="A49" s="588"/>
      <c r="B49" s="588"/>
      <c r="C49" s="588"/>
      <c r="D49" s="588"/>
      <c r="E49" s="588"/>
      <c r="F49" s="588"/>
      <c r="G49" s="588"/>
      <c r="H49" s="588"/>
      <c r="I49" s="588"/>
      <c r="J49" s="588"/>
      <c r="K49" s="588"/>
      <c r="L49" s="588"/>
      <c r="M49" s="588"/>
      <c r="N49" s="588"/>
      <c r="O49" s="588"/>
      <c r="P49" s="588"/>
      <c r="Q49" s="588"/>
      <c r="R49" s="588"/>
      <c r="S49" s="588"/>
      <c r="T49" s="588"/>
      <c r="U49" s="588"/>
      <c r="V49" s="588"/>
      <c r="W49" s="588"/>
      <c r="X49" s="588"/>
      <c r="Y49" s="588"/>
      <c r="Z49" s="588"/>
      <c r="AA49" s="588"/>
      <c r="AB49" s="588"/>
      <c r="AC49" s="588"/>
      <c r="AD49" s="588"/>
      <c r="AE49" s="588"/>
      <c r="AF49" s="588"/>
      <c r="AG49" s="588"/>
      <c r="AH49" s="588"/>
      <c r="AI49" s="588"/>
      <c r="AJ49" s="588"/>
      <c r="AK49" s="588"/>
      <c r="AL49" s="588"/>
      <c r="AM49" s="588"/>
      <c r="AN49" s="588"/>
      <c r="AO49" s="588"/>
      <c r="AP49" s="588"/>
      <c r="AQ49" s="588"/>
      <c r="AR49" s="588"/>
      <c r="AS49" s="588"/>
      <c r="AT49" s="588"/>
      <c r="AU49" s="588"/>
      <c r="AV49" s="588"/>
      <c r="AW49" s="588"/>
      <c r="AX49" s="588"/>
      <c r="AY49" s="588"/>
      <c r="AZ49" s="588"/>
      <c r="BA49" s="588"/>
      <c r="BB49" s="588"/>
      <c r="BC49" s="588"/>
      <c r="BD49" s="588"/>
      <c r="BE49" s="588"/>
      <c r="BF49" s="588"/>
      <c r="BG49" s="588"/>
    </row>
    <row r="50" spans="1:59" x14ac:dyDescent="0.35">
      <c r="A50" s="588"/>
      <c r="B50" s="588"/>
      <c r="C50" s="588"/>
      <c r="D50" s="588"/>
      <c r="E50" s="588"/>
      <c r="F50" s="588"/>
      <c r="G50" s="588"/>
      <c r="H50" s="588"/>
      <c r="I50" s="588"/>
      <c r="J50" s="588"/>
      <c r="K50" s="588"/>
      <c r="L50" s="588"/>
      <c r="M50" s="588"/>
      <c r="N50" s="588"/>
      <c r="O50" s="588"/>
      <c r="P50" s="588"/>
      <c r="Q50" s="588"/>
      <c r="R50" s="588"/>
      <c r="S50" s="588"/>
      <c r="T50" s="588"/>
      <c r="U50" s="588"/>
      <c r="V50" s="588"/>
      <c r="W50" s="588"/>
      <c r="X50" s="588"/>
      <c r="Y50" s="588"/>
      <c r="Z50" s="588"/>
      <c r="AA50" s="588"/>
      <c r="AB50" s="588"/>
      <c r="AC50" s="588"/>
      <c r="AD50" s="588"/>
      <c r="AE50" s="588"/>
      <c r="AF50" s="588"/>
      <c r="AG50" s="588"/>
      <c r="AH50" s="588"/>
      <c r="AI50" s="588"/>
      <c r="AJ50" s="588"/>
      <c r="AK50" s="588"/>
      <c r="AL50" s="588"/>
      <c r="AM50" s="588"/>
      <c r="AN50" s="588"/>
      <c r="AO50" s="588"/>
      <c r="AP50" s="588"/>
      <c r="AQ50" s="588"/>
      <c r="AR50" s="588"/>
      <c r="AS50" s="588"/>
      <c r="AT50" s="588"/>
      <c r="AU50" s="588"/>
      <c r="AV50" s="588"/>
      <c r="AW50" s="588"/>
      <c r="AX50" s="588"/>
      <c r="AY50" s="588"/>
      <c r="AZ50" s="588"/>
      <c r="BA50" s="588"/>
      <c r="BB50" s="588"/>
      <c r="BC50" s="588"/>
      <c r="BD50" s="588"/>
      <c r="BE50" s="588"/>
      <c r="BF50" s="588"/>
      <c r="BG50" s="588"/>
    </row>
    <row r="51" spans="1:59" x14ac:dyDescent="0.35">
      <c r="A51" s="588"/>
      <c r="B51" s="588"/>
      <c r="C51" s="588"/>
      <c r="D51" s="588"/>
      <c r="E51" s="588"/>
      <c r="F51" s="588"/>
      <c r="G51" s="588"/>
      <c r="H51" s="588"/>
      <c r="I51" s="588"/>
      <c r="J51" s="588"/>
      <c r="K51" s="588"/>
      <c r="L51" s="588"/>
      <c r="M51" s="588"/>
      <c r="N51" s="588"/>
      <c r="O51" s="588"/>
      <c r="P51" s="588"/>
      <c r="Q51" s="588"/>
      <c r="R51" s="588"/>
      <c r="S51" s="588"/>
      <c r="T51" s="588"/>
      <c r="U51" s="588"/>
      <c r="V51" s="588"/>
      <c r="W51" s="588"/>
      <c r="X51" s="588"/>
      <c r="Y51" s="588"/>
      <c r="Z51" s="588"/>
      <c r="AA51" s="588"/>
      <c r="AB51" s="588"/>
      <c r="AC51" s="588"/>
      <c r="AD51" s="588"/>
      <c r="AE51" s="588"/>
      <c r="AF51" s="588"/>
      <c r="AG51" s="588"/>
      <c r="AH51" s="588"/>
      <c r="AI51" s="588"/>
      <c r="AJ51" s="588"/>
      <c r="AK51" s="588"/>
      <c r="AL51" s="588"/>
      <c r="AM51" s="588"/>
      <c r="AN51" s="588"/>
      <c r="AO51" s="588"/>
      <c r="AP51" s="588"/>
      <c r="AQ51" s="588"/>
      <c r="AR51" s="588"/>
      <c r="AS51" s="588"/>
      <c r="AT51" s="588"/>
      <c r="AU51" s="588"/>
      <c r="AV51" s="588"/>
      <c r="AW51" s="588"/>
      <c r="AX51" s="588"/>
      <c r="AY51" s="588"/>
      <c r="AZ51" s="588"/>
      <c r="BA51" s="588"/>
      <c r="BB51" s="588"/>
      <c r="BC51" s="588"/>
      <c r="BD51" s="588"/>
      <c r="BE51" s="588"/>
      <c r="BF51" s="588"/>
      <c r="BG51" s="588"/>
    </row>
    <row r="52" spans="1:59" x14ac:dyDescent="0.35">
      <c r="A52" s="588"/>
      <c r="B52" s="588"/>
      <c r="C52" s="588"/>
      <c r="D52" s="588"/>
      <c r="E52" s="588"/>
      <c r="F52" s="588"/>
      <c r="G52" s="588"/>
      <c r="H52" s="588"/>
      <c r="I52" s="588"/>
      <c r="J52" s="588"/>
      <c r="K52" s="588"/>
      <c r="L52" s="588"/>
      <c r="M52" s="588"/>
      <c r="N52" s="588"/>
      <c r="O52" s="588"/>
      <c r="P52" s="588"/>
      <c r="Q52" s="588"/>
      <c r="R52" s="588"/>
      <c r="S52" s="588"/>
      <c r="T52" s="588"/>
      <c r="U52" s="588"/>
      <c r="V52" s="588"/>
      <c r="W52" s="588"/>
      <c r="X52" s="588"/>
      <c r="Y52" s="588"/>
      <c r="Z52" s="588"/>
      <c r="AA52" s="588"/>
      <c r="AB52" s="588"/>
      <c r="AC52" s="588"/>
      <c r="AD52" s="588"/>
      <c r="AE52" s="588"/>
      <c r="AF52" s="588"/>
      <c r="AG52" s="588"/>
      <c r="AH52" s="588"/>
      <c r="AI52" s="588"/>
      <c r="AJ52" s="588"/>
      <c r="AK52" s="588"/>
      <c r="AL52" s="588"/>
      <c r="AM52" s="588"/>
      <c r="AN52" s="588"/>
      <c r="AO52" s="588"/>
      <c r="AP52" s="588"/>
      <c r="AQ52" s="588"/>
      <c r="AR52" s="588"/>
      <c r="AS52" s="588"/>
      <c r="AT52" s="588"/>
      <c r="AU52" s="588"/>
      <c r="AV52" s="588"/>
      <c r="AW52" s="588"/>
      <c r="AX52" s="588"/>
      <c r="AY52" s="588"/>
      <c r="AZ52" s="588"/>
      <c r="BA52" s="588"/>
      <c r="BB52" s="588"/>
      <c r="BC52" s="588"/>
      <c r="BD52" s="588"/>
      <c r="BE52" s="588"/>
      <c r="BF52" s="588"/>
      <c r="BG52" s="588"/>
    </row>
    <row r="53" spans="1:59" x14ac:dyDescent="0.35">
      <c r="A53" s="588"/>
      <c r="B53" s="588"/>
      <c r="C53" s="588"/>
      <c r="D53" s="588"/>
      <c r="E53" s="588"/>
      <c r="F53" s="588"/>
      <c r="G53" s="588"/>
      <c r="H53" s="588"/>
      <c r="I53" s="588"/>
      <c r="J53" s="588"/>
      <c r="K53" s="588"/>
      <c r="L53" s="588"/>
      <c r="M53" s="588"/>
      <c r="N53" s="588"/>
      <c r="O53" s="588"/>
      <c r="P53" s="588"/>
      <c r="Q53" s="588"/>
      <c r="R53" s="588"/>
      <c r="S53" s="588"/>
      <c r="T53" s="588"/>
      <c r="U53" s="588"/>
      <c r="V53" s="588"/>
      <c r="W53" s="588"/>
      <c r="X53" s="588"/>
      <c r="Y53" s="588"/>
      <c r="Z53" s="588"/>
      <c r="AA53" s="588"/>
      <c r="AB53" s="588"/>
      <c r="AC53" s="588"/>
      <c r="AD53" s="588"/>
      <c r="AE53" s="588"/>
      <c r="AF53" s="588"/>
      <c r="AG53" s="588"/>
      <c r="AH53" s="588"/>
      <c r="AI53" s="588"/>
      <c r="AJ53" s="588"/>
      <c r="AK53" s="588"/>
      <c r="AL53" s="588"/>
      <c r="AM53" s="588"/>
      <c r="AN53" s="588"/>
      <c r="AO53" s="588"/>
      <c r="AP53" s="588"/>
      <c r="AQ53" s="588"/>
      <c r="AR53" s="588"/>
      <c r="AS53" s="588"/>
      <c r="AT53" s="588"/>
      <c r="AU53" s="588"/>
      <c r="AV53" s="588"/>
      <c r="AW53" s="588"/>
      <c r="AX53" s="588"/>
      <c r="AY53" s="588"/>
      <c r="AZ53" s="588"/>
      <c r="BA53" s="588"/>
      <c r="BB53" s="588"/>
      <c r="BC53" s="588"/>
      <c r="BD53" s="588"/>
      <c r="BE53" s="588"/>
      <c r="BF53" s="588"/>
      <c r="BG53" s="588"/>
    </row>
    <row r="54" spans="1:59" x14ac:dyDescent="0.35">
      <c r="A54" s="588"/>
      <c r="B54" s="588"/>
      <c r="C54" s="588"/>
      <c r="D54" s="588"/>
      <c r="E54" s="588"/>
      <c r="F54" s="588"/>
      <c r="G54" s="588"/>
      <c r="H54" s="588"/>
      <c r="I54" s="588"/>
      <c r="J54" s="588"/>
      <c r="K54" s="588"/>
      <c r="L54" s="588"/>
      <c r="M54" s="588"/>
      <c r="N54" s="588"/>
      <c r="O54" s="588"/>
      <c r="P54" s="588"/>
      <c r="Q54" s="588"/>
      <c r="R54" s="588"/>
      <c r="S54" s="588"/>
      <c r="T54" s="588"/>
      <c r="U54" s="588"/>
      <c r="V54" s="588"/>
      <c r="W54" s="588"/>
      <c r="X54" s="588"/>
      <c r="Y54" s="588"/>
      <c r="Z54" s="588"/>
      <c r="AA54" s="588"/>
      <c r="AB54" s="588"/>
      <c r="AC54" s="588"/>
      <c r="AD54" s="588"/>
      <c r="AE54" s="588"/>
      <c r="AF54" s="588"/>
      <c r="AG54" s="588"/>
      <c r="AH54" s="588"/>
      <c r="AI54" s="588"/>
      <c r="AJ54" s="588"/>
      <c r="AK54" s="588"/>
      <c r="AL54" s="588"/>
      <c r="AM54" s="588"/>
      <c r="AN54" s="588"/>
      <c r="AO54" s="588"/>
      <c r="AP54" s="588"/>
      <c r="AQ54" s="588"/>
      <c r="AR54" s="588"/>
      <c r="AS54" s="588"/>
      <c r="AT54" s="588"/>
      <c r="AU54" s="588"/>
      <c r="AV54" s="588"/>
      <c r="AW54" s="588"/>
      <c r="AX54" s="588"/>
      <c r="AY54" s="588"/>
      <c r="AZ54" s="588"/>
      <c r="BA54" s="588"/>
      <c r="BB54" s="588"/>
      <c r="BC54" s="588"/>
      <c r="BD54" s="588"/>
      <c r="BE54" s="588"/>
      <c r="BF54" s="588"/>
      <c r="BG54" s="588"/>
    </row>
    <row r="55" spans="1:59" x14ac:dyDescent="0.35">
      <c r="A55" s="588"/>
      <c r="B55" s="588"/>
      <c r="C55" s="588"/>
      <c r="D55" s="588"/>
      <c r="E55" s="588"/>
      <c r="F55" s="588"/>
      <c r="G55" s="588"/>
      <c r="H55" s="588"/>
      <c r="I55" s="588"/>
      <c r="J55" s="588"/>
      <c r="K55" s="588"/>
      <c r="L55" s="588"/>
      <c r="M55" s="588"/>
      <c r="N55" s="588"/>
      <c r="O55" s="588"/>
      <c r="P55" s="588"/>
      <c r="Q55" s="588"/>
      <c r="R55" s="588"/>
      <c r="S55" s="588"/>
      <c r="T55" s="588"/>
      <c r="U55" s="588"/>
      <c r="V55" s="588"/>
      <c r="W55" s="588"/>
      <c r="X55" s="588"/>
      <c r="Y55" s="588"/>
      <c r="Z55" s="588"/>
      <c r="AA55" s="588"/>
      <c r="AB55" s="588"/>
      <c r="AC55" s="588"/>
      <c r="AD55" s="588"/>
      <c r="AE55" s="588"/>
      <c r="AF55" s="588"/>
      <c r="AG55" s="588"/>
      <c r="AH55" s="588"/>
      <c r="AI55" s="588"/>
      <c r="AJ55" s="588"/>
      <c r="AK55" s="588"/>
      <c r="AL55" s="588"/>
      <c r="AM55" s="588"/>
      <c r="AN55" s="588"/>
      <c r="AO55" s="588"/>
      <c r="AP55" s="588"/>
      <c r="AQ55" s="588"/>
      <c r="AR55" s="588"/>
      <c r="AS55" s="588"/>
      <c r="AT55" s="588"/>
      <c r="AU55" s="588"/>
      <c r="AV55" s="588"/>
      <c r="AW55" s="588"/>
      <c r="AX55" s="588"/>
      <c r="AY55" s="588"/>
      <c r="AZ55" s="588"/>
      <c r="BA55" s="588"/>
      <c r="BB55" s="588"/>
      <c r="BC55" s="588"/>
      <c r="BD55" s="588"/>
      <c r="BE55" s="588"/>
      <c r="BF55" s="588"/>
      <c r="BG55" s="588"/>
    </row>
    <row r="56" spans="1:59" x14ac:dyDescent="0.35">
      <c r="A56" s="588"/>
      <c r="B56" s="588"/>
      <c r="C56" s="588"/>
      <c r="D56" s="588"/>
      <c r="E56" s="588"/>
      <c r="F56" s="588"/>
      <c r="G56" s="588"/>
      <c r="H56" s="588"/>
      <c r="I56" s="588"/>
      <c r="J56" s="588"/>
      <c r="K56" s="588"/>
      <c r="L56" s="588"/>
      <c r="M56" s="588"/>
      <c r="N56" s="588"/>
      <c r="O56" s="588"/>
      <c r="P56" s="588"/>
      <c r="Q56" s="588"/>
      <c r="R56" s="588"/>
      <c r="S56" s="588"/>
      <c r="T56" s="588"/>
      <c r="U56" s="588"/>
      <c r="V56" s="588"/>
      <c r="W56" s="588"/>
      <c r="X56" s="588"/>
      <c r="Y56" s="588"/>
      <c r="Z56" s="588"/>
      <c r="AA56" s="588"/>
      <c r="AB56" s="588"/>
      <c r="AC56" s="588"/>
      <c r="AD56" s="588"/>
      <c r="AE56" s="588"/>
      <c r="AF56" s="588"/>
      <c r="AG56" s="588"/>
      <c r="AH56" s="588"/>
      <c r="AI56" s="588"/>
      <c r="AJ56" s="588"/>
      <c r="AK56" s="588"/>
      <c r="AL56" s="588"/>
      <c r="AM56" s="588"/>
      <c r="AN56" s="588"/>
      <c r="AO56" s="588"/>
      <c r="AP56" s="588"/>
      <c r="AQ56" s="588"/>
      <c r="AR56" s="588"/>
      <c r="AS56" s="588"/>
      <c r="AT56" s="588"/>
      <c r="AU56" s="588"/>
      <c r="AV56" s="588"/>
      <c r="AW56" s="588"/>
      <c r="AX56" s="588"/>
      <c r="AY56" s="588"/>
      <c r="AZ56" s="588"/>
      <c r="BA56" s="588"/>
      <c r="BB56" s="588"/>
      <c r="BC56" s="588"/>
      <c r="BD56" s="588"/>
      <c r="BE56" s="588"/>
      <c r="BF56" s="588"/>
      <c r="BG56" s="588"/>
    </row>
    <row r="57" spans="1:59" x14ac:dyDescent="0.35">
      <c r="A57" s="588"/>
      <c r="B57" s="588"/>
      <c r="C57" s="588"/>
      <c r="D57" s="588"/>
      <c r="E57" s="588"/>
      <c r="F57" s="588"/>
      <c r="G57" s="588"/>
      <c r="H57" s="588"/>
      <c r="I57" s="588"/>
      <c r="J57" s="588"/>
      <c r="K57" s="588"/>
      <c r="L57" s="588"/>
      <c r="M57" s="588"/>
      <c r="N57" s="588"/>
      <c r="O57" s="588"/>
      <c r="P57" s="588"/>
      <c r="Q57" s="588"/>
      <c r="R57" s="588"/>
      <c r="S57" s="588"/>
      <c r="T57" s="588"/>
      <c r="U57" s="588"/>
      <c r="V57" s="588"/>
      <c r="W57" s="588"/>
      <c r="X57" s="588"/>
      <c r="Y57" s="588"/>
      <c r="Z57" s="588"/>
      <c r="AA57" s="588"/>
      <c r="AB57" s="588"/>
      <c r="AC57" s="588"/>
      <c r="AD57" s="588"/>
      <c r="AE57" s="588"/>
      <c r="AF57" s="588"/>
      <c r="AG57" s="588"/>
      <c r="AH57" s="588"/>
      <c r="AI57" s="588"/>
      <c r="AJ57" s="588"/>
      <c r="AK57" s="588"/>
      <c r="AL57" s="588"/>
      <c r="AM57" s="588"/>
      <c r="AN57" s="588"/>
      <c r="AO57" s="588"/>
      <c r="AP57" s="588"/>
      <c r="AQ57" s="588"/>
      <c r="AR57" s="588"/>
      <c r="AS57" s="588"/>
      <c r="AT57" s="588"/>
      <c r="AU57" s="588"/>
      <c r="AV57" s="588"/>
      <c r="AW57" s="588"/>
      <c r="AX57" s="588"/>
      <c r="AY57" s="588"/>
      <c r="AZ57" s="588"/>
      <c r="BA57" s="588"/>
      <c r="BB57" s="588"/>
      <c r="BC57" s="588"/>
      <c r="BD57" s="588"/>
      <c r="BE57" s="588"/>
      <c r="BF57" s="588"/>
      <c r="BG57" s="588"/>
    </row>
    <row r="58" spans="1:59" x14ac:dyDescent="0.35">
      <c r="A58" s="588"/>
      <c r="B58" s="588"/>
      <c r="C58" s="588"/>
      <c r="D58" s="588"/>
      <c r="E58" s="588"/>
      <c r="F58" s="588"/>
      <c r="G58" s="588"/>
      <c r="H58" s="588"/>
      <c r="I58" s="588"/>
      <c r="J58" s="588"/>
      <c r="K58" s="588"/>
      <c r="L58" s="588"/>
      <c r="M58" s="588"/>
      <c r="N58" s="588"/>
      <c r="O58" s="588"/>
      <c r="P58" s="588"/>
      <c r="Q58" s="588"/>
      <c r="R58" s="588"/>
      <c r="S58" s="588"/>
      <c r="T58" s="588"/>
      <c r="U58" s="588"/>
      <c r="V58" s="588"/>
      <c r="W58" s="588"/>
      <c r="X58" s="588"/>
      <c r="Y58" s="588"/>
      <c r="Z58" s="588"/>
      <c r="AA58" s="588"/>
      <c r="AB58" s="588"/>
      <c r="AC58" s="588"/>
      <c r="AD58" s="588"/>
      <c r="AE58" s="588"/>
      <c r="AF58" s="588"/>
      <c r="AG58" s="588"/>
      <c r="AH58" s="588"/>
      <c r="AI58" s="588"/>
      <c r="AJ58" s="588"/>
      <c r="AK58" s="588"/>
      <c r="AL58" s="588"/>
      <c r="AM58" s="588"/>
      <c r="AN58" s="588"/>
      <c r="AO58" s="588"/>
      <c r="AP58" s="588"/>
      <c r="AQ58" s="588"/>
      <c r="AR58" s="588"/>
      <c r="AS58" s="588"/>
      <c r="AT58" s="588"/>
      <c r="AU58" s="588"/>
      <c r="AV58" s="588"/>
      <c r="AW58" s="588"/>
      <c r="AX58" s="588"/>
      <c r="AY58" s="588"/>
      <c r="AZ58" s="588"/>
      <c r="BA58" s="588"/>
      <c r="BB58" s="588"/>
      <c r="BC58" s="588"/>
      <c r="BD58" s="588"/>
      <c r="BE58" s="588"/>
      <c r="BF58" s="588"/>
      <c r="BG58" s="588"/>
    </row>
    <row r="59" spans="1:59" x14ac:dyDescent="0.35">
      <c r="A59" s="588"/>
      <c r="B59" s="588"/>
      <c r="C59" s="588"/>
      <c r="D59" s="588"/>
      <c r="E59" s="588"/>
      <c r="F59" s="588"/>
      <c r="G59" s="588"/>
      <c r="H59" s="588"/>
      <c r="I59" s="588"/>
      <c r="J59" s="588"/>
      <c r="K59" s="588"/>
      <c r="L59" s="588"/>
      <c r="M59" s="588"/>
      <c r="N59" s="588"/>
      <c r="O59" s="588"/>
      <c r="P59" s="588"/>
      <c r="Q59" s="588"/>
      <c r="R59" s="588"/>
      <c r="S59" s="588"/>
      <c r="T59" s="588"/>
      <c r="U59" s="588"/>
      <c r="V59" s="588"/>
      <c r="W59" s="588"/>
      <c r="X59" s="588"/>
      <c r="Y59" s="588"/>
      <c r="Z59" s="588"/>
      <c r="AA59" s="588"/>
      <c r="AB59" s="588"/>
      <c r="AC59" s="588"/>
      <c r="AD59" s="588"/>
      <c r="AE59" s="588"/>
      <c r="AF59" s="588"/>
      <c r="AG59" s="588"/>
      <c r="AH59" s="588"/>
      <c r="AI59" s="588"/>
      <c r="AJ59" s="588"/>
      <c r="AK59" s="588"/>
      <c r="AL59" s="588"/>
      <c r="AM59" s="588"/>
      <c r="AN59" s="588"/>
      <c r="AO59" s="588"/>
      <c r="AP59" s="588"/>
      <c r="AQ59" s="588"/>
      <c r="AR59" s="588"/>
      <c r="AS59" s="588"/>
      <c r="AT59" s="588"/>
      <c r="AU59" s="588"/>
      <c r="AV59" s="588"/>
      <c r="AW59" s="588"/>
      <c r="AX59" s="588"/>
      <c r="AY59" s="588"/>
      <c r="AZ59" s="588"/>
      <c r="BA59" s="588"/>
      <c r="BB59" s="588"/>
      <c r="BC59" s="588"/>
      <c r="BD59" s="588"/>
      <c r="BE59" s="588"/>
      <c r="BF59" s="588"/>
      <c r="BG59" s="588"/>
    </row>
    <row r="60" spans="1:59" x14ac:dyDescent="0.35">
      <c r="A60" s="588"/>
      <c r="B60" s="588"/>
      <c r="C60" s="588"/>
      <c r="D60" s="588"/>
      <c r="E60" s="588"/>
      <c r="F60" s="588"/>
      <c r="G60" s="588"/>
      <c r="H60" s="588"/>
      <c r="I60" s="588"/>
      <c r="J60" s="588"/>
      <c r="K60" s="588"/>
      <c r="L60" s="588"/>
      <c r="M60" s="588"/>
      <c r="N60" s="588"/>
      <c r="O60" s="588"/>
      <c r="P60" s="588"/>
      <c r="Q60" s="588"/>
      <c r="R60" s="588"/>
      <c r="S60" s="588"/>
      <c r="T60" s="588"/>
      <c r="U60" s="588"/>
      <c r="V60" s="588"/>
      <c r="W60" s="588"/>
      <c r="X60" s="588"/>
      <c r="Y60" s="588"/>
      <c r="Z60" s="588"/>
      <c r="AA60" s="588"/>
      <c r="AB60" s="588"/>
      <c r="AC60" s="588"/>
      <c r="AD60" s="588"/>
      <c r="AE60" s="588"/>
      <c r="AF60" s="588"/>
      <c r="AG60" s="588"/>
      <c r="AH60" s="588"/>
      <c r="AI60" s="588"/>
      <c r="AJ60" s="588"/>
      <c r="AK60" s="588"/>
      <c r="AL60" s="588"/>
      <c r="AM60" s="588"/>
      <c r="AN60" s="588"/>
      <c r="AO60" s="588"/>
      <c r="AP60" s="588"/>
      <c r="AQ60" s="588"/>
      <c r="AR60" s="588"/>
      <c r="AS60" s="588"/>
      <c r="AT60" s="588"/>
      <c r="AU60" s="588"/>
      <c r="AV60" s="588"/>
      <c r="AW60" s="588"/>
      <c r="AX60" s="588"/>
      <c r="AY60" s="588"/>
      <c r="AZ60" s="588"/>
      <c r="BA60" s="588"/>
      <c r="BB60" s="588"/>
      <c r="BC60" s="588"/>
      <c r="BD60" s="588"/>
      <c r="BE60" s="588"/>
      <c r="BF60" s="588"/>
      <c r="BG60" s="588"/>
    </row>
    <row r="61" spans="1:59" x14ac:dyDescent="0.35">
      <c r="A61" s="588"/>
      <c r="B61" s="588"/>
      <c r="C61" s="588"/>
      <c r="D61" s="588"/>
      <c r="E61" s="588"/>
      <c r="F61" s="588"/>
      <c r="G61" s="588"/>
      <c r="H61" s="588"/>
      <c r="I61" s="588"/>
      <c r="J61" s="588"/>
      <c r="K61" s="588"/>
      <c r="L61" s="588"/>
      <c r="M61" s="588"/>
      <c r="N61" s="588"/>
      <c r="O61" s="588"/>
      <c r="P61" s="588"/>
      <c r="Q61" s="588"/>
      <c r="R61" s="588"/>
      <c r="S61" s="588"/>
      <c r="T61" s="588"/>
      <c r="U61" s="588"/>
      <c r="V61" s="588"/>
      <c r="W61" s="588"/>
      <c r="X61" s="588"/>
      <c r="Y61" s="588"/>
      <c r="Z61" s="588"/>
      <c r="AA61" s="588"/>
      <c r="AB61" s="588"/>
      <c r="AC61" s="588"/>
      <c r="AD61" s="588"/>
      <c r="AE61" s="588"/>
      <c r="AF61" s="588"/>
      <c r="AG61" s="588"/>
      <c r="AH61" s="588"/>
      <c r="AI61" s="588"/>
      <c r="AJ61" s="588"/>
      <c r="AK61" s="588"/>
      <c r="AL61" s="588"/>
      <c r="AM61" s="588"/>
      <c r="AN61" s="588"/>
      <c r="AO61" s="588"/>
      <c r="AP61" s="588"/>
      <c r="AQ61" s="588"/>
      <c r="AR61" s="588"/>
      <c r="AS61" s="588"/>
      <c r="AT61" s="588"/>
      <c r="AU61" s="588"/>
      <c r="AV61" s="588"/>
      <c r="AW61" s="588"/>
      <c r="AX61" s="588"/>
      <c r="AY61" s="588"/>
      <c r="AZ61" s="588"/>
      <c r="BA61" s="588"/>
      <c r="BB61" s="588"/>
      <c r="BC61" s="588"/>
      <c r="BD61" s="588"/>
      <c r="BE61" s="588"/>
      <c r="BF61" s="588"/>
      <c r="BG61" s="588"/>
    </row>
    <row r="62" spans="1:59" x14ac:dyDescent="0.35">
      <c r="A62" s="588"/>
      <c r="B62" s="588"/>
      <c r="C62" s="588"/>
      <c r="D62" s="588"/>
      <c r="E62" s="588"/>
      <c r="F62" s="588"/>
      <c r="G62" s="588"/>
      <c r="H62" s="588"/>
      <c r="I62" s="588"/>
      <c r="J62" s="588"/>
      <c r="K62" s="588"/>
      <c r="L62" s="588"/>
      <c r="M62" s="588"/>
      <c r="N62" s="588"/>
      <c r="O62" s="588"/>
      <c r="P62" s="588"/>
      <c r="Q62" s="588"/>
      <c r="R62" s="588"/>
      <c r="S62" s="588"/>
      <c r="T62" s="588"/>
      <c r="U62" s="588"/>
      <c r="V62" s="588"/>
      <c r="W62" s="588"/>
      <c r="X62" s="588"/>
      <c r="Y62" s="588"/>
      <c r="Z62" s="588"/>
      <c r="AA62" s="588"/>
      <c r="AB62" s="588"/>
      <c r="AC62" s="588"/>
      <c r="AD62" s="588"/>
      <c r="AE62" s="588"/>
      <c r="AF62" s="588"/>
      <c r="AG62" s="588"/>
      <c r="AH62" s="588"/>
      <c r="AI62" s="588"/>
      <c r="AJ62" s="588"/>
      <c r="AK62" s="588"/>
      <c r="AL62" s="588"/>
      <c r="AM62" s="588"/>
      <c r="AN62" s="588"/>
      <c r="AO62" s="588"/>
      <c r="AP62" s="588"/>
      <c r="AQ62" s="588"/>
      <c r="AR62" s="588"/>
      <c r="AS62" s="588"/>
      <c r="AT62" s="588"/>
      <c r="AU62" s="588"/>
      <c r="AV62" s="588"/>
      <c r="AW62" s="588"/>
      <c r="AX62" s="588"/>
      <c r="AY62" s="588"/>
      <c r="AZ62" s="588"/>
      <c r="BA62" s="588"/>
      <c r="BB62" s="588"/>
      <c r="BC62" s="588"/>
      <c r="BD62" s="588"/>
      <c r="BE62" s="588"/>
      <c r="BF62" s="588"/>
      <c r="BG62" s="588"/>
    </row>
    <row r="63" spans="1:59" x14ac:dyDescent="0.35">
      <c r="A63" s="588"/>
      <c r="B63" s="588"/>
      <c r="C63" s="588"/>
      <c r="D63" s="588"/>
      <c r="E63" s="588"/>
      <c r="F63" s="588"/>
      <c r="G63" s="588"/>
      <c r="H63" s="588"/>
      <c r="I63" s="588"/>
      <c r="J63" s="588"/>
      <c r="K63" s="588"/>
      <c r="L63" s="588"/>
      <c r="M63" s="588"/>
      <c r="N63" s="588"/>
      <c r="O63" s="588"/>
      <c r="P63" s="588"/>
      <c r="Q63" s="588"/>
      <c r="R63" s="588"/>
      <c r="S63" s="588"/>
      <c r="T63" s="588"/>
      <c r="U63" s="588"/>
      <c r="V63" s="588"/>
      <c r="W63" s="588"/>
      <c r="X63" s="588"/>
      <c r="Y63" s="588"/>
      <c r="Z63" s="588"/>
      <c r="AA63" s="588"/>
      <c r="AB63" s="588"/>
      <c r="AC63" s="588"/>
      <c r="AD63" s="588"/>
      <c r="AE63" s="588"/>
      <c r="AF63" s="588"/>
      <c r="AG63" s="588"/>
      <c r="AH63" s="588"/>
      <c r="AI63" s="588"/>
      <c r="AJ63" s="588"/>
      <c r="AK63" s="588"/>
      <c r="AL63" s="588"/>
      <c r="AM63" s="588"/>
      <c r="AN63" s="588"/>
      <c r="AO63" s="588"/>
      <c r="AP63" s="588"/>
      <c r="AQ63" s="588"/>
      <c r="AR63" s="588"/>
      <c r="AS63" s="588"/>
      <c r="AT63" s="588"/>
      <c r="AU63" s="588"/>
      <c r="AV63" s="588"/>
      <c r="AW63" s="588"/>
      <c r="AX63" s="588"/>
      <c r="AY63" s="588"/>
      <c r="AZ63" s="588"/>
      <c r="BA63" s="588"/>
      <c r="BB63" s="588"/>
      <c r="BC63" s="588"/>
      <c r="BD63" s="588"/>
      <c r="BE63" s="588"/>
      <c r="BF63" s="588"/>
      <c r="BG63" s="588"/>
    </row>
    <row r="64" spans="1:59" x14ac:dyDescent="0.35">
      <c r="A64" s="588"/>
      <c r="B64" s="588"/>
      <c r="C64" s="588"/>
      <c r="D64" s="588"/>
      <c r="E64" s="588"/>
      <c r="F64" s="588"/>
      <c r="G64" s="588"/>
      <c r="H64" s="588"/>
      <c r="I64" s="588"/>
      <c r="J64" s="588"/>
      <c r="K64" s="588"/>
      <c r="L64" s="588"/>
      <c r="M64" s="588"/>
      <c r="N64" s="588"/>
      <c r="O64" s="588"/>
      <c r="P64" s="588"/>
      <c r="Q64" s="588"/>
      <c r="R64" s="588"/>
      <c r="S64" s="588"/>
      <c r="T64" s="588"/>
      <c r="U64" s="588"/>
      <c r="V64" s="588"/>
      <c r="W64" s="588"/>
      <c r="X64" s="588"/>
      <c r="Y64" s="588"/>
      <c r="Z64" s="588"/>
      <c r="AA64" s="588"/>
      <c r="AB64" s="588"/>
      <c r="AC64" s="588"/>
      <c r="AD64" s="588"/>
      <c r="AE64" s="588"/>
      <c r="AF64" s="588"/>
      <c r="AG64" s="588"/>
      <c r="AH64" s="588"/>
      <c r="AI64" s="588"/>
      <c r="AJ64" s="588"/>
      <c r="AK64" s="588"/>
      <c r="AL64" s="588"/>
      <c r="AM64" s="588"/>
      <c r="AN64" s="588"/>
      <c r="AO64" s="588"/>
      <c r="AP64" s="588"/>
      <c r="AQ64" s="588"/>
      <c r="AR64" s="588"/>
      <c r="AS64" s="588"/>
      <c r="AT64" s="588"/>
      <c r="AU64" s="588"/>
      <c r="AV64" s="588"/>
      <c r="AW64" s="588"/>
      <c r="AX64" s="588"/>
      <c r="AY64" s="588"/>
      <c r="AZ64" s="588"/>
      <c r="BA64" s="588"/>
      <c r="BB64" s="588"/>
      <c r="BC64" s="588"/>
      <c r="BD64" s="588"/>
      <c r="BE64" s="588"/>
      <c r="BF64" s="588"/>
      <c r="BG64" s="588"/>
    </row>
    <row r="65" spans="1:59" x14ac:dyDescent="0.35">
      <c r="A65" s="588"/>
      <c r="B65" s="588"/>
      <c r="C65" s="588"/>
      <c r="D65" s="588"/>
      <c r="E65" s="588"/>
      <c r="F65" s="588"/>
      <c r="G65" s="588"/>
      <c r="H65" s="588"/>
      <c r="I65" s="588"/>
      <c r="J65" s="588"/>
      <c r="K65" s="588"/>
      <c r="L65" s="588"/>
      <c r="M65" s="588"/>
      <c r="N65" s="588"/>
      <c r="O65" s="588"/>
      <c r="P65" s="588"/>
      <c r="Q65" s="588"/>
      <c r="R65" s="588"/>
      <c r="S65" s="588"/>
      <c r="T65" s="588"/>
      <c r="U65" s="588"/>
      <c r="V65" s="588"/>
      <c r="W65" s="588"/>
      <c r="X65" s="588"/>
      <c r="Y65" s="588"/>
      <c r="Z65" s="588"/>
      <c r="AA65" s="588"/>
      <c r="AB65" s="588"/>
      <c r="AC65" s="588"/>
      <c r="AD65" s="588"/>
      <c r="AE65" s="588"/>
      <c r="AF65" s="588"/>
      <c r="AG65" s="588"/>
      <c r="AH65" s="588"/>
      <c r="AI65" s="588"/>
      <c r="AJ65" s="588"/>
      <c r="AK65" s="588"/>
      <c r="AL65" s="588"/>
      <c r="AM65" s="588"/>
      <c r="AN65" s="588"/>
      <c r="AO65" s="588"/>
      <c r="AP65" s="588"/>
      <c r="AQ65" s="588"/>
      <c r="AR65" s="588"/>
      <c r="AS65" s="588"/>
      <c r="AT65" s="588"/>
      <c r="AU65" s="588"/>
      <c r="AV65" s="588"/>
      <c r="AW65" s="588"/>
      <c r="AX65" s="588"/>
      <c r="AY65" s="588"/>
      <c r="AZ65" s="588"/>
      <c r="BA65" s="588"/>
      <c r="BB65" s="588"/>
      <c r="BC65" s="588"/>
      <c r="BD65" s="588"/>
      <c r="BE65" s="588"/>
      <c r="BF65" s="588"/>
      <c r="BG65" s="588"/>
    </row>
    <row r="66" spans="1:59" x14ac:dyDescent="0.35">
      <c r="A66" s="588"/>
      <c r="B66" s="588"/>
      <c r="C66" s="588"/>
      <c r="D66" s="588"/>
      <c r="E66" s="588"/>
      <c r="F66" s="588"/>
      <c r="G66" s="588"/>
      <c r="H66" s="588"/>
      <c r="I66" s="588"/>
      <c r="J66" s="588"/>
      <c r="K66" s="588"/>
      <c r="L66" s="588"/>
      <c r="M66" s="588"/>
      <c r="N66" s="588"/>
      <c r="O66" s="588"/>
      <c r="P66" s="588"/>
      <c r="Q66" s="588"/>
      <c r="R66" s="588"/>
      <c r="S66" s="588"/>
      <c r="T66" s="588"/>
      <c r="U66" s="588"/>
      <c r="V66" s="588"/>
      <c r="W66" s="588"/>
      <c r="X66" s="588"/>
      <c r="Y66" s="588"/>
      <c r="Z66" s="588"/>
      <c r="AA66" s="588"/>
      <c r="AB66" s="588"/>
      <c r="AC66" s="588"/>
      <c r="AD66" s="588"/>
      <c r="AE66" s="588"/>
      <c r="AF66" s="588"/>
      <c r="AG66" s="588"/>
      <c r="AH66" s="588"/>
      <c r="AI66" s="588"/>
      <c r="AJ66" s="588"/>
      <c r="AK66" s="588"/>
      <c r="AL66" s="588"/>
      <c r="AM66" s="588"/>
      <c r="AN66" s="588"/>
      <c r="AO66" s="588"/>
      <c r="AP66" s="588"/>
      <c r="AQ66" s="588"/>
      <c r="AR66" s="588"/>
      <c r="AS66" s="588"/>
      <c r="AT66" s="588"/>
      <c r="AU66" s="588"/>
      <c r="AV66" s="588"/>
      <c r="AW66" s="588"/>
      <c r="AX66" s="588"/>
      <c r="AY66" s="588"/>
      <c r="AZ66" s="588"/>
      <c r="BA66" s="588"/>
      <c r="BB66" s="588"/>
      <c r="BC66" s="588"/>
      <c r="BD66" s="588"/>
      <c r="BE66" s="588"/>
      <c r="BF66" s="588"/>
      <c r="BG66" s="588"/>
    </row>
    <row r="67" spans="1:59" x14ac:dyDescent="0.35">
      <c r="A67" s="588"/>
      <c r="B67" s="588"/>
      <c r="C67" s="588"/>
      <c r="D67" s="588"/>
      <c r="E67" s="588"/>
      <c r="F67" s="588"/>
      <c r="G67" s="588"/>
      <c r="H67" s="588"/>
      <c r="I67" s="588"/>
      <c r="J67" s="588"/>
      <c r="K67" s="588"/>
      <c r="L67" s="588"/>
      <c r="M67" s="588"/>
      <c r="N67" s="588"/>
      <c r="O67" s="588"/>
      <c r="P67" s="588"/>
      <c r="Q67" s="588"/>
      <c r="R67" s="588"/>
      <c r="S67" s="588"/>
      <c r="T67" s="588"/>
      <c r="U67" s="588"/>
      <c r="V67" s="588"/>
      <c r="W67" s="588"/>
      <c r="X67" s="588"/>
      <c r="Y67" s="588"/>
      <c r="Z67" s="588"/>
      <c r="AA67" s="588"/>
      <c r="AB67" s="588"/>
      <c r="AC67" s="588"/>
      <c r="AD67" s="588"/>
      <c r="AE67" s="588"/>
      <c r="AF67" s="588"/>
      <c r="AG67" s="588"/>
      <c r="AH67" s="588"/>
      <c r="AI67" s="588"/>
      <c r="AJ67" s="588"/>
      <c r="AK67" s="588"/>
      <c r="AL67" s="588"/>
      <c r="AM67" s="588"/>
      <c r="AN67" s="588"/>
      <c r="AO67" s="588"/>
      <c r="AP67" s="588"/>
      <c r="AQ67" s="588"/>
      <c r="AR67" s="588"/>
      <c r="AS67" s="588"/>
      <c r="AT67" s="588"/>
      <c r="AU67" s="588"/>
      <c r="AV67" s="588"/>
      <c r="AW67" s="588"/>
      <c r="AX67" s="588"/>
      <c r="AY67" s="588"/>
      <c r="AZ67" s="588"/>
      <c r="BA67" s="588"/>
      <c r="BB67" s="588"/>
      <c r="BC67" s="588"/>
      <c r="BD67" s="588"/>
      <c r="BE67" s="588"/>
      <c r="BF67" s="588"/>
      <c r="BG67" s="588"/>
    </row>
    <row r="68" spans="1:59" x14ac:dyDescent="0.35">
      <c r="A68" s="588"/>
      <c r="B68" s="588"/>
      <c r="C68" s="588"/>
      <c r="D68" s="588"/>
      <c r="E68" s="588"/>
      <c r="F68" s="588"/>
      <c r="G68" s="588"/>
      <c r="H68" s="588"/>
      <c r="I68" s="588"/>
      <c r="J68" s="588"/>
      <c r="K68" s="588"/>
      <c r="L68" s="588"/>
      <c r="M68" s="588"/>
      <c r="N68" s="588"/>
      <c r="O68" s="588"/>
      <c r="P68" s="588"/>
      <c r="Q68" s="588"/>
      <c r="R68" s="588"/>
      <c r="S68" s="588"/>
      <c r="T68" s="588"/>
      <c r="U68" s="588"/>
      <c r="V68" s="588"/>
      <c r="W68" s="588"/>
      <c r="X68" s="588"/>
      <c r="Y68" s="588"/>
      <c r="Z68" s="588"/>
      <c r="AA68" s="588"/>
      <c r="AB68" s="588"/>
      <c r="AC68" s="588"/>
      <c r="AD68" s="588"/>
      <c r="AE68" s="588"/>
      <c r="AF68" s="588"/>
      <c r="AG68" s="588"/>
      <c r="AH68" s="588"/>
      <c r="AI68" s="588"/>
      <c r="AJ68" s="588"/>
      <c r="AK68" s="588"/>
      <c r="AL68" s="588"/>
      <c r="AM68" s="588"/>
      <c r="AN68" s="588"/>
      <c r="AO68" s="588"/>
      <c r="AP68" s="588"/>
      <c r="AQ68" s="588"/>
      <c r="AR68" s="588"/>
      <c r="AS68" s="588"/>
      <c r="AT68" s="588"/>
      <c r="AU68" s="588"/>
      <c r="AV68" s="588"/>
      <c r="AW68" s="588"/>
      <c r="AX68" s="588"/>
      <c r="AY68" s="588"/>
      <c r="AZ68" s="588"/>
      <c r="BA68" s="588"/>
      <c r="BB68" s="588"/>
      <c r="BC68" s="588"/>
      <c r="BD68" s="588"/>
      <c r="BE68" s="588"/>
      <c r="BF68" s="588"/>
      <c r="BG68" s="588"/>
    </row>
    <row r="69" spans="1:59" x14ac:dyDescent="0.35">
      <c r="A69" s="588"/>
      <c r="B69" s="588"/>
      <c r="C69" s="588"/>
      <c r="D69" s="588"/>
      <c r="E69" s="588"/>
      <c r="F69" s="588"/>
      <c r="G69" s="588"/>
      <c r="H69" s="588"/>
      <c r="I69" s="588"/>
      <c r="J69" s="588"/>
      <c r="K69" s="588"/>
      <c r="L69" s="588"/>
      <c r="M69" s="588"/>
      <c r="N69" s="588"/>
      <c r="O69" s="588"/>
      <c r="P69" s="588"/>
      <c r="Q69" s="588"/>
      <c r="R69" s="588"/>
      <c r="S69" s="588"/>
      <c r="T69" s="588"/>
      <c r="U69" s="588"/>
      <c r="V69" s="588"/>
      <c r="W69" s="588"/>
      <c r="X69" s="588"/>
      <c r="Y69" s="588"/>
      <c r="Z69" s="588"/>
      <c r="AA69" s="588"/>
      <c r="AB69" s="588"/>
      <c r="AC69" s="588"/>
      <c r="AD69" s="588"/>
      <c r="AE69" s="588"/>
      <c r="AF69" s="588"/>
      <c r="AG69" s="588"/>
      <c r="AH69" s="588"/>
      <c r="AI69" s="588"/>
      <c r="AJ69" s="588"/>
      <c r="AK69" s="588"/>
      <c r="AL69" s="588"/>
      <c r="AM69" s="588"/>
      <c r="AN69" s="588"/>
      <c r="AO69" s="588"/>
      <c r="AP69" s="588"/>
      <c r="AQ69" s="588"/>
      <c r="AR69" s="588"/>
      <c r="AS69" s="588"/>
      <c r="AT69" s="588"/>
      <c r="AU69" s="588"/>
      <c r="AV69" s="588"/>
      <c r="AW69" s="588"/>
      <c r="AX69" s="588"/>
      <c r="AY69" s="588"/>
      <c r="AZ69" s="588"/>
      <c r="BA69" s="588"/>
      <c r="BB69" s="588"/>
      <c r="BC69" s="588"/>
      <c r="BD69" s="588"/>
      <c r="BE69" s="588"/>
      <c r="BF69" s="588"/>
      <c r="BG69" s="588"/>
    </row>
    <row r="70" spans="1:59" x14ac:dyDescent="0.35">
      <c r="A70" s="588"/>
      <c r="B70" s="588"/>
      <c r="C70" s="588"/>
      <c r="D70" s="588"/>
      <c r="E70" s="588"/>
      <c r="F70" s="588"/>
      <c r="G70" s="588"/>
      <c r="H70" s="588"/>
      <c r="I70" s="588"/>
      <c r="J70" s="588"/>
      <c r="K70" s="588"/>
      <c r="L70" s="588"/>
      <c r="M70" s="588"/>
      <c r="N70" s="588"/>
      <c r="O70" s="588"/>
      <c r="P70" s="588"/>
      <c r="Q70" s="588"/>
      <c r="R70" s="588"/>
      <c r="S70" s="588"/>
      <c r="T70" s="588"/>
      <c r="U70" s="588"/>
      <c r="V70" s="588"/>
      <c r="W70" s="588"/>
      <c r="X70" s="588"/>
      <c r="Y70" s="588"/>
      <c r="Z70" s="588"/>
      <c r="AA70" s="588"/>
      <c r="AB70" s="588"/>
      <c r="AC70" s="588"/>
      <c r="AD70" s="588"/>
      <c r="AE70" s="588"/>
      <c r="AF70" s="588"/>
      <c r="AG70" s="588"/>
      <c r="AH70" s="588"/>
      <c r="AI70" s="588"/>
      <c r="AJ70" s="588"/>
      <c r="AK70" s="588"/>
      <c r="AL70" s="588"/>
      <c r="AM70" s="588"/>
      <c r="AN70" s="588"/>
      <c r="AO70" s="588"/>
      <c r="AP70" s="588"/>
      <c r="AQ70" s="588"/>
      <c r="AR70" s="588"/>
      <c r="AS70" s="588"/>
      <c r="AT70" s="588"/>
      <c r="AU70" s="588"/>
      <c r="AV70" s="588"/>
      <c r="AW70" s="588"/>
      <c r="AX70" s="588"/>
      <c r="AY70" s="588"/>
      <c r="AZ70" s="588"/>
      <c r="BA70" s="588"/>
      <c r="BB70" s="588"/>
      <c r="BC70" s="588"/>
      <c r="BD70" s="588"/>
      <c r="BE70" s="588"/>
      <c r="BF70" s="588"/>
      <c r="BG70" s="588"/>
    </row>
    <row r="71" spans="1:59" x14ac:dyDescent="0.35">
      <c r="A71" s="588"/>
      <c r="B71" s="588"/>
      <c r="C71" s="588"/>
      <c r="D71" s="588"/>
      <c r="E71" s="588"/>
      <c r="F71" s="588"/>
      <c r="G71" s="588"/>
      <c r="H71" s="588"/>
      <c r="I71" s="588"/>
      <c r="J71" s="588"/>
      <c r="K71" s="588"/>
      <c r="L71" s="588"/>
      <c r="M71" s="588"/>
      <c r="N71" s="588"/>
      <c r="O71" s="588"/>
      <c r="P71" s="588"/>
      <c r="Q71" s="588"/>
      <c r="R71" s="588"/>
      <c r="S71" s="588"/>
      <c r="T71" s="588"/>
      <c r="U71" s="588"/>
      <c r="V71" s="588"/>
      <c r="W71" s="588"/>
      <c r="X71" s="588"/>
      <c r="Y71" s="588"/>
      <c r="Z71" s="588"/>
      <c r="AA71" s="588"/>
      <c r="AB71" s="588"/>
      <c r="AC71" s="588"/>
      <c r="AD71" s="588"/>
      <c r="AE71" s="588"/>
      <c r="AF71" s="588"/>
      <c r="AG71" s="588"/>
      <c r="AH71" s="588"/>
      <c r="AI71" s="588"/>
      <c r="AJ71" s="588"/>
      <c r="AK71" s="588"/>
      <c r="AL71" s="588"/>
      <c r="AM71" s="588"/>
      <c r="AN71" s="588"/>
      <c r="AO71" s="588"/>
      <c r="AP71" s="588"/>
      <c r="AQ71" s="588"/>
      <c r="AR71" s="588"/>
      <c r="AS71" s="588"/>
      <c r="AT71" s="588"/>
      <c r="AU71" s="588"/>
      <c r="AV71" s="588"/>
      <c r="AW71" s="588"/>
      <c r="AX71" s="588"/>
      <c r="AY71" s="588"/>
      <c r="AZ71" s="588"/>
      <c r="BA71" s="588"/>
      <c r="BB71" s="588"/>
      <c r="BC71" s="588"/>
      <c r="BD71" s="588"/>
      <c r="BE71" s="588"/>
      <c r="BF71" s="588"/>
      <c r="BG71" s="588"/>
    </row>
    <row r="72" spans="1:59" x14ac:dyDescent="0.35">
      <c r="A72" s="588"/>
      <c r="B72" s="588"/>
      <c r="C72" s="588"/>
      <c r="D72" s="588"/>
      <c r="E72" s="588"/>
      <c r="F72" s="588"/>
      <c r="G72" s="588"/>
      <c r="H72" s="588"/>
      <c r="I72" s="588"/>
      <c r="J72" s="588"/>
      <c r="K72" s="588"/>
      <c r="L72" s="588"/>
      <c r="M72" s="588"/>
      <c r="N72" s="588"/>
      <c r="O72" s="588"/>
      <c r="P72" s="588"/>
      <c r="Q72" s="588"/>
      <c r="R72" s="588"/>
      <c r="S72" s="588"/>
      <c r="T72" s="588"/>
      <c r="U72" s="588"/>
      <c r="V72" s="588"/>
      <c r="W72" s="588"/>
      <c r="X72" s="588"/>
      <c r="Y72" s="588"/>
      <c r="Z72" s="588"/>
      <c r="AA72" s="588"/>
      <c r="AB72" s="588"/>
      <c r="AC72" s="588"/>
      <c r="AD72" s="588"/>
      <c r="AE72" s="588"/>
      <c r="AF72" s="588"/>
      <c r="AG72" s="588"/>
      <c r="AH72" s="588"/>
      <c r="AI72" s="588"/>
      <c r="AJ72" s="588"/>
      <c r="AK72" s="588"/>
      <c r="AL72" s="588"/>
      <c r="AM72" s="588"/>
      <c r="AN72" s="588"/>
      <c r="AO72" s="588"/>
      <c r="AP72" s="588"/>
      <c r="AQ72" s="588"/>
      <c r="AR72" s="588"/>
      <c r="AS72" s="588"/>
      <c r="AT72" s="588"/>
      <c r="AU72" s="588"/>
      <c r="AV72" s="588"/>
      <c r="AW72" s="588"/>
      <c r="AX72" s="588"/>
      <c r="AY72" s="588"/>
      <c r="AZ72" s="588"/>
      <c r="BA72" s="588"/>
      <c r="BB72" s="588"/>
      <c r="BC72" s="588"/>
      <c r="BD72" s="588"/>
      <c r="BE72" s="588"/>
      <c r="BF72" s="588"/>
      <c r="BG72" s="588"/>
    </row>
  </sheetData>
  <mergeCells count="3">
    <mergeCell ref="C9:D9"/>
    <mergeCell ref="B15:M15"/>
    <mergeCell ref="N15:U15"/>
  </mergeCells>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1D00A-E5E6-49B7-8526-F944C6A34675}">
  <sheetPr>
    <tabColor rgb="FFFFFF00"/>
  </sheetPr>
  <dimension ref="A1:BG72"/>
  <sheetViews>
    <sheetView topLeftCell="A12" workbookViewId="0">
      <selection activeCell="F40" sqref="F40"/>
    </sheetView>
  </sheetViews>
  <sheetFormatPr defaultColWidth="8.54296875" defaultRowHeight="15.5" x14ac:dyDescent="0.35"/>
  <cols>
    <col min="1" max="1" width="9.453125" style="482" customWidth="1"/>
    <col min="2" max="2" width="4.81640625" style="482" customWidth="1"/>
    <col min="3" max="3" width="16.54296875" style="482" customWidth="1"/>
    <col min="4" max="4" width="8.453125" style="482" customWidth="1"/>
    <col min="5" max="5" width="7.453125" style="482" customWidth="1"/>
    <col min="6" max="6" width="10.453125" style="482" customWidth="1"/>
    <col min="7" max="7" width="3.1796875" style="482" customWidth="1"/>
    <col min="8" max="8" width="8.54296875" style="482" bestFit="1"/>
    <col min="9" max="9" width="3.1796875" style="482" customWidth="1"/>
    <col min="10" max="10" width="9.26953125" style="482" bestFit="1" customWidth="1"/>
    <col min="11" max="11" width="3.1796875" style="482" customWidth="1"/>
    <col min="12" max="12" width="12.7265625" style="482" bestFit="1" customWidth="1"/>
    <col min="13" max="13" width="3.1796875" style="482" customWidth="1"/>
    <col min="14" max="14" width="10.54296875" style="482" customWidth="1"/>
    <col min="15" max="17" width="3.1796875" style="482" customWidth="1"/>
    <col min="18" max="18" width="8.453125" style="482" customWidth="1"/>
    <col min="19" max="19" width="3.1796875" style="482" customWidth="1"/>
    <col min="20" max="20" width="11.453125" style="482" customWidth="1"/>
    <col min="21" max="21" width="3.1796875" style="482" customWidth="1"/>
    <col min="22" max="22" width="20.54296875" style="482" customWidth="1"/>
    <col min="23" max="25" width="9.81640625" style="482" customWidth="1"/>
    <col min="26" max="16384" width="8.54296875" style="482"/>
  </cols>
  <sheetData>
    <row r="1" spans="1:59" s="595" customFormat="1" ht="21.5" thickTop="1" x14ac:dyDescent="0.5">
      <c r="A1" s="588"/>
      <c r="B1" s="589" t="s">
        <v>1461</v>
      </c>
      <c r="C1" s="590"/>
      <c r="D1" s="590"/>
      <c r="E1" s="590"/>
      <c r="F1" s="590"/>
      <c r="G1" s="591"/>
      <c r="H1" s="590"/>
      <c r="I1" s="590"/>
      <c r="J1" s="590"/>
      <c r="K1" s="590"/>
      <c r="L1" s="590"/>
      <c r="M1" s="590"/>
      <c r="N1" s="590"/>
      <c r="O1" s="590"/>
      <c r="P1" s="590"/>
      <c r="Q1" s="590"/>
      <c r="R1" s="590"/>
      <c r="S1" s="590"/>
      <c r="T1" s="590"/>
      <c r="U1" s="592"/>
      <c r="V1" s="588"/>
      <c r="W1" s="593"/>
      <c r="X1" s="588"/>
      <c r="Y1" s="588"/>
      <c r="Z1" s="588"/>
      <c r="AA1" s="588"/>
      <c r="AB1" s="594"/>
      <c r="AC1" s="594"/>
      <c r="AD1" s="594"/>
      <c r="AE1" s="594"/>
      <c r="AF1" s="594"/>
      <c r="AG1" s="594"/>
      <c r="AH1" s="594"/>
      <c r="AI1" s="594"/>
      <c r="AJ1" s="594"/>
      <c r="AK1" s="594"/>
      <c r="AL1" s="594"/>
      <c r="AM1" s="594"/>
      <c r="AN1" s="594"/>
      <c r="AO1" s="594"/>
      <c r="AP1" s="594"/>
      <c r="AQ1" s="594"/>
      <c r="AR1" s="594"/>
      <c r="AS1" s="594"/>
      <c r="AT1" s="594"/>
      <c r="AU1" s="594"/>
      <c r="AV1" s="594"/>
      <c r="AW1" s="594"/>
      <c r="AX1" s="594"/>
      <c r="AY1" s="594"/>
      <c r="AZ1" s="594"/>
      <c r="BA1" s="594"/>
      <c r="BB1" s="594"/>
      <c r="BC1" s="594"/>
      <c r="BD1" s="594"/>
      <c r="BE1" s="594"/>
      <c r="BF1" s="594"/>
      <c r="BG1" s="594"/>
    </row>
    <row r="2" spans="1:59" s="595" customFormat="1" ht="21.5" thickBot="1" x14ac:dyDescent="0.55000000000000004">
      <c r="A2" s="596" t="s">
        <v>1392</v>
      </c>
      <c r="B2" s="597" t="s">
        <v>1462</v>
      </c>
      <c r="C2" s="598"/>
      <c r="D2" s="598"/>
      <c r="E2" s="598"/>
      <c r="F2" s="598"/>
      <c r="G2" s="599"/>
      <c r="H2" s="598"/>
      <c r="I2" s="598"/>
      <c r="J2" s="598"/>
      <c r="K2" s="598"/>
      <c r="L2" s="598"/>
      <c r="M2" s="598"/>
      <c r="N2" s="598"/>
      <c r="O2" s="598"/>
      <c r="P2" s="598"/>
      <c r="Q2" s="598"/>
      <c r="R2" s="598"/>
      <c r="S2" s="598"/>
      <c r="T2" s="598"/>
      <c r="U2" s="600"/>
      <c r="V2" s="588"/>
      <c r="W2" s="593"/>
      <c r="X2" s="588"/>
      <c r="Y2" s="588"/>
      <c r="Z2" s="588"/>
      <c r="AA2" s="588"/>
      <c r="AB2" s="594"/>
      <c r="AC2" s="594"/>
      <c r="AD2" s="594"/>
      <c r="AE2" s="594"/>
      <c r="AF2" s="594"/>
      <c r="AG2" s="594"/>
      <c r="AH2" s="594"/>
      <c r="AI2" s="594"/>
      <c r="AJ2" s="594"/>
      <c r="AK2" s="594"/>
      <c r="AL2" s="594"/>
      <c r="AM2" s="594"/>
      <c r="AN2" s="594"/>
      <c r="AO2" s="594"/>
      <c r="AP2" s="594"/>
      <c r="AQ2" s="594"/>
      <c r="AR2" s="594"/>
      <c r="AS2" s="594"/>
      <c r="AT2" s="594"/>
      <c r="AU2" s="594"/>
      <c r="AV2" s="594"/>
      <c r="AW2" s="594"/>
      <c r="AX2" s="594"/>
      <c r="AY2" s="594"/>
      <c r="AZ2" s="594"/>
      <c r="BA2" s="594"/>
      <c r="BB2" s="594"/>
      <c r="BC2" s="594"/>
      <c r="BD2" s="594"/>
      <c r="BE2" s="594"/>
      <c r="BF2" s="594"/>
      <c r="BG2" s="594"/>
    </row>
    <row r="3" spans="1:59" s="595" customFormat="1" ht="21.75" customHeight="1" x14ac:dyDescent="0.5">
      <c r="A3" s="596" t="s">
        <v>1394</v>
      </c>
      <c r="B3" s="601" t="s">
        <v>1463</v>
      </c>
      <c r="C3" s="602"/>
      <c r="D3" s="602"/>
      <c r="E3" s="602"/>
      <c r="F3" s="602"/>
      <c r="G3" s="603"/>
      <c r="H3" s="602"/>
      <c r="I3" s="602"/>
      <c r="J3" s="602"/>
      <c r="K3" s="602"/>
      <c r="L3" s="602"/>
      <c r="M3" s="602"/>
      <c r="N3" s="602"/>
      <c r="O3" s="602"/>
      <c r="P3" s="602"/>
      <c r="Q3" s="602"/>
      <c r="R3" s="602"/>
      <c r="S3" s="602"/>
      <c r="T3" s="602"/>
      <c r="U3" s="604"/>
      <c r="V3" s="588"/>
      <c r="W3" s="593"/>
      <c r="X3" s="588"/>
      <c r="Y3" s="588"/>
      <c r="Z3" s="588"/>
      <c r="AA3" s="588"/>
      <c r="AB3" s="594"/>
      <c r="AC3" s="594"/>
      <c r="AD3" s="594"/>
      <c r="AE3" s="594"/>
      <c r="AF3" s="594"/>
      <c r="AG3" s="594"/>
      <c r="AH3" s="594"/>
      <c r="AI3" s="594"/>
      <c r="AJ3" s="594"/>
      <c r="AK3" s="594"/>
      <c r="AL3" s="594"/>
      <c r="AM3" s="594"/>
      <c r="AN3" s="594"/>
      <c r="AO3" s="594"/>
      <c r="AP3" s="594"/>
      <c r="AQ3" s="594"/>
      <c r="AR3" s="594"/>
      <c r="AS3" s="594"/>
      <c r="AT3" s="594"/>
      <c r="AU3" s="594"/>
      <c r="AV3" s="594"/>
      <c r="AW3" s="594"/>
      <c r="AX3" s="594"/>
      <c r="AY3" s="594"/>
      <c r="AZ3" s="594"/>
      <c r="BA3" s="594"/>
      <c r="BB3" s="594"/>
      <c r="BC3" s="594"/>
      <c r="BD3" s="594"/>
      <c r="BE3" s="594"/>
      <c r="BF3" s="594"/>
      <c r="BG3" s="594"/>
    </row>
    <row r="4" spans="1:59" s="595" customFormat="1" ht="21.75" customHeight="1" x14ac:dyDescent="0.5">
      <c r="A4" s="596"/>
      <c r="B4" s="605"/>
      <c r="C4" s="606"/>
      <c r="D4" s="606"/>
      <c r="E4" s="606"/>
      <c r="F4" s="606"/>
      <c r="G4" s="607"/>
      <c r="H4" s="606"/>
      <c r="I4" s="606"/>
      <c r="J4" s="606"/>
      <c r="K4" s="606"/>
      <c r="L4" s="606"/>
      <c r="M4" s="606"/>
      <c r="N4" s="606"/>
      <c r="O4" s="606"/>
      <c r="P4" s="606"/>
      <c r="Q4" s="606"/>
      <c r="R4" s="606"/>
      <c r="S4" s="606"/>
      <c r="T4" s="606"/>
      <c r="U4" s="608"/>
      <c r="V4" s="588"/>
      <c r="W4" s="593"/>
      <c r="X4" s="588"/>
      <c r="Y4" s="588"/>
      <c r="Z4" s="588"/>
      <c r="AA4" s="588"/>
      <c r="AB4" s="594"/>
      <c r="AC4" s="594"/>
      <c r="AD4" s="594"/>
      <c r="AE4" s="594"/>
      <c r="AF4" s="594"/>
      <c r="AG4" s="594"/>
      <c r="AH4" s="594"/>
      <c r="AI4" s="594"/>
      <c r="AJ4" s="594"/>
      <c r="AK4" s="594"/>
      <c r="AL4" s="594"/>
      <c r="AM4" s="594"/>
      <c r="AN4" s="594"/>
      <c r="AO4" s="594"/>
      <c r="AP4" s="594"/>
      <c r="AQ4" s="594"/>
      <c r="AR4" s="594"/>
      <c r="AS4" s="594"/>
      <c r="AT4" s="594"/>
      <c r="AU4" s="594"/>
      <c r="AV4" s="594"/>
      <c r="AW4" s="594"/>
      <c r="AX4" s="594"/>
      <c r="AY4" s="594"/>
      <c r="AZ4" s="594"/>
      <c r="BA4" s="594"/>
      <c r="BB4" s="594"/>
      <c r="BC4" s="594"/>
      <c r="BD4" s="594"/>
      <c r="BE4" s="594"/>
      <c r="BF4" s="594"/>
      <c r="BG4" s="594"/>
    </row>
    <row r="5" spans="1:59" s="595" customFormat="1" ht="21.75" customHeight="1" x14ac:dyDescent="0.5">
      <c r="A5" s="596"/>
      <c r="B5" s="609" t="s">
        <v>1464</v>
      </c>
      <c r="C5" s="606"/>
      <c r="D5" s="606"/>
      <c r="E5" s="606"/>
      <c r="F5" s="606"/>
      <c r="G5" s="607"/>
      <c r="H5" s="606"/>
      <c r="I5" s="606"/>
      <c r="J5" s="606"/>
      <c r="K5" s="606"/>
      <c r="L5" s="606"/>
      <c r="M5" s="606"/>
      <c r="N5" s="606"/>
      <c r="O5" s="606"/>
      <c r="P5" s="606"/>
      <c r="Q5" s="606"/>
      <c r="R5" s="606"/>
      <c r="S5" s="606"/>
      <c r="T5" s="606"/>
      <c r="U5" s="608"/>
      <c r="V5" s="588" t="s">
        <v>861</v>
      </c>
      <c r="W5" s="593"/>
      <c r="X5" s="588"/>
      <c r="Y5" s="588"/>
      <c r="Z5" s="588"/>
      <c r="AA5" s="588"/>
      <c r="AB5" s="594"/>
      <c r="AC5" s="594"/>
      <c r="AD5" s="594"/>
      <c r="AE5" s="594"/>
      <c r="AF5" s="594"/>
      <c r="AG5" s="594"/>
      <c r="AH5" s="594"/>
      <c r="AI5" s="594"/>
      <c r="AJ5" s="594"/>
      <c r="AK5" s="594"/>
      <c r="AL5" s="594"/>
      <c r="AM5" s="594"/>
      <c r="AN5" s="594"/>
      <c r="AO5" s="594"/>
      <c r="AP5" s="594"/>
      <c r="AQ5" s="594"/>
      <c r="AR5" s="594"/>
      <c r="AS5" s="594"/>
      <c r="AT5" s="594"/>
      <c r="AU5" s="594"/>
      <c r="AV5" s="594"/>
      <c r="AW5" s="594"/>
      <c r="AX5" s="594"/>
      <c r="AY5" s="594"/>
      <c r="AZ5" s="594"/>
      <c r="BA5" s="594"/>
      <c r="BB5" s="594"/>
      <c r="BC5" s="594"/>
      <c r="BD5" s="594"/>
      <c r="BE5" s="594"/>
      <c r="BF5" s="594"/>
      <c r="BG5" s="594"/>
    </row>
    <row r="6" spans="1:59" s="595" customFormat="1" ht="21.75" customHeight="1" x14ac:dyDescent="0.5">
      <c r="A6" s="596"/>
      <c r="B6" s="609" t="s">
        <v>1465</v>
      </c>
      <c r="C6" s="610"/>
      <c r="D6" s="610"/>
      <c r="E6" s="610"/>
      <c r="F6" s="610"/>
      <c r="G6" s="610"/>
      <c r="H6" s="610"/>
      <c r="I6" s="610"/>
      <c r="J6" s="610"/>
      <c r="K6" s="610"/>
      <c r="L6" s="610"/>
      <c r="M6" s="610"/>
      <c r="N6" s="610"/>
      <c r="O6" s="610"/>
      <c r="P6" s="610"/>
      <c r="Q6" s="610"/>
      <c r="R6" s="610"/>
      <c r="S6" s="610"/>
      <c r="T6" s="610"/>
      <c r="U6" s="611"/>
      <c r="V6" s="588"/>
      <c r="W6" s="588"/>
      <c r="X6" s="588"/>
      <c r="Y6" s="588"/>
      <c r="Z6" s="588"/>
      <c r="AA6" s="588"/>
      <c r="AB6" s="594"/>
      <c r="AC6" s="594"/>
      <c r="AD6" s="594"/>
      <c r="AE6" s="594"/>
      <c r="AF6" s="594"/>
      <c r="AG6" s="594"/>
      <c r="AH6" s="594"/>
      <c r="AI6" s="594"/>
      <c r="AJ6" s="594"/>
      <c r="AK6" s="594"/>
      <c r="AL6" s="594"/>
      <c r="AM6" s="594"/>
      <c r="AN6" s="594"/>
      <c r="AO6" s="594"/>
      <c r="AP6" s="594"/>
      <c r="AQ6" s="594"/>
      <c r="AR6" s="594"/>
      <c r="AS6" s="594"/>
      <c r="AT6" s="594"/>
      <c r="AU6" s="594"/>
      <c r="AV6" s="594"/>
      <c r="AW6" s="594"/>
      <c r="AX6" s="594"/>
      <c r="AY6" s="594"/>
      <c r="AZ6" s="594"/>
      <c r="BA6" s="594"/>
      <c r="BB6" s="594"/>
      <c r="BC6" s="594"/>
      <c r="BD6" s="594"/>
      <c r="BE6" s="594"/>
      <c r="BF6" s="594"/>
      <c r="BG6" s="594"/>
    </row>
    <row r="7" spans="1:59" s="595" customFormat="1" ht="21.75" customHeight="1" x14ac:dyDescent="0.5">
      <c r="A7" s="596"/>
      <c r="B7" s="609" t="s">
        <v>1466</v>
      </c>
      <c r="C7" s="610"/>
      <c r="D7" s="610"/>
      <c r="E7" s="610"/>
      <c r="F7" s="610"/>
      <c r="G7" s="610"/>
      <c r="H7" s="610"/>
      <c r="I7" s="610"/>
      <c r="J7" s="610"/>
      <c r="K7" s="610"/>
      <c r="L7" s="610"/>
      <c r="M7" s="610"/>
      <c r="N7" s="610"/>
      <c r="O7" s="610"/>
      <c r="P7" s="610"/>
      <c r="Q7" s="610"/>
      <c r="R7" s="610"/>
      <c r="S7" s="610"/>
      <c r="T7" s="610"/>
      <c r="U7" s="611"/>
      <c r="V7" s="588"/>
      <c r="W7" s="612"/>
      <c r="X7" s="612"/>
      <c r="Y7" s="612"/>
      <c r="Z7" s="588"/>
      <c r="AA7" s="588"/>
      <c r="AB7" s="594"/>
      <c r="AC7" s="594"/>
      <c r="AD7" s="594"/>
      <c r="AE7" s="594"/>
      <c r="AF7" s="594"/>
      <c r="AG7" s="594"/>
      <c r="AH7" s="594"/>
      <c r="AI7" s="594"/>
      <c r="AJ7" s="594"/>
      <c r="AK7" s="594"/>
      <c r="AL7" s="594"/>
      <c r="AM7" s="594"/>
      <c r="AN7" s="594"/>
      <c r="AO7" s="594"/>
      <c r="AP7" s="594"/>
      <c r="AQ7" s="594"/>
      <c r="AR7" s="594"/>
      <c r="AS7" s="594"/>
      <c r="AT7" s="594"/>
      <c r="AU7" s="594"/>
      <c r="AV7" s="594"/>
      <c r="AW7" s="594"/>
      <c r="AX7" s="594"/>
      <c r="AY7" s="594"/>
      <c r="AZ7" s="594"/>
      <c r="BA7" s="594"/>
      <c r="BB7" s="594"/>
      <c r="BC7" s="594"/>
      <c r="BD7" s="594"/>
      <c r="BE7" s="594"/>
      <c r="BF7" s="594"/>
      <c r="BG7" s="594"/>
    </row>
    <row r="8" spans="1:59" s="595" customFormat="1" ht="21.75" customHeight="1" thickBot="1" x14ac:dyDescent="0.55000000000000004">
      <c r="A8" s="596"/>
      <c r="B8" s="613" t="s">
        <v>1467</v>
      </c>
      <c r="C8" s="614"/>
      <c r="D8" s="614"/>
      <c r="E8" s="614"/>
      <c r="F8" s="614"/>
      <c r="G8" s="614"/>
      <c r="H8" s="614"/>
      <c r="I8" s="614"/>
      <c r="J8" s="614"/>
      <c r="K8" s="614"/>
      <c r="L8" s="614"/>
      <c r="M8" s="614"/>
      <c r="N8" s="614"/>
      <c r="O8" s="614"/>
      <c r="P8" s="614"/>
      <c r="Q8" s="614"/>
      <c r="R8" s="614"/>
      <c r="S8" s="614"/>
      <c r="T8" s="614"/>
      <c r="U8" s="615"/>
      <c r="V8" s="588"/>
      <c r="W8" s="612"/>
      <c r="X8" s="612"/>
      <c r="Y8" s="612"/>
      <c r="Z8" s="588"/>
      <c r="AA8" s="588"/>
      <c r="AB8" s="594"/>
      <c r="AC8" s="594"/>
      <c r="AD8" s="594"/>
      <c r="AE8" s="594"/>
      <c r="AF8" s="594"/>
      <c r="AG8" s="594"/>
      <c r="AH8" s="594"/>
      <c r="AI8" s="594"/>
      <c r="AJ8" s="594"/>
      <c r="AK8" s="594"/>
      <c r="AL8" s="594"/>
      <c r="AM8" s="594"/>
      <c r="AN8" s="594"/>
      <c r="AO8" s="594"/>
      <c r="AP8" s="594"/>
      <c r="AQ8" s="594"/>
      <c r="AR8" s="594"/>
      <c r="AS8" s="594"/>
      <c r="AT8" s="594"/>
      <c r="AU8" s="594"/>
      <c r="AV8" s="594"/>
      <c r="AW8" s="594"/>
      <c r="AX8" s="594"/>
      <c r="AY8" s="594"/>
      <c r="AZ8" s="594"/>
      <c r="BA8" s="594"/>
      <c r="BB8" s="594"/>
      <c r="BC8" s="594"/>
      <c r="BD8" s="594"/>
      <c r="BE8" s="594"/>
      <c r="BF8" s="594"/>
      <c r="BG8" s="594"/>
    </row>
    <row r="9" spans="1:59" s="595" customFormat="1" ht="21.75" customHeight="1" x14ac:dyDescent="0.5">
      <c r="A9" s="596" t="s">
        <v>1396</v>
      </c>
      <c r="B9" s="570"/>
      <c r="C9" s="1573" t="s">
        <v>1404</v>
      </c>
      <c r="D9" s="1573"/>
      <c r="E9" s="499"/>
      <c r="F9" s="571" t="s">
        <v>1468</v>
      </c>
      <c r="G9" s="499"/>
      <c r="H9" s="499"/>
      <c r="I9" s="499"/>
      <c r="J9" s="499"/>
      <c r="K9" s="499"/>
      <c r="L9" s="499"/>
      <c r="M9" s="499"/>
      <c r="N9" s="499"/>
      <c r="O9" s="616" t="s">
        <v>1469</v>
      </c>
      <c r="P9" s="617"/>
      <c r="Q9" s="617"/>
      <c r="R9" s="618"/>
      <c r="S9" s="618"/>
      <c r="T9" s="618"/>
      <c r="U9" s="619"/>
      <c r="V9" s="596" t="s">
        <v>1400</v>
      </c>
      <c r="W9" s="620" t="s">
        <v>1399</v>
      </c>
      <c r="X9" s="621">
        <v>1</v>
      </c>
      <c r="Y9" s="622">
        <v>2</v>
      </c>
      <c r="Z9" s="588"/>
      <c r="AA9" s="588"/>
      <c r="AB9" s="594"/>
      <c r="AC9" s="594"/>
      <c r="AD9" s="594"/>
      <c r="AE9" s="594"/>
      <c r="AF9" s="594"/>
      <c r="AG9" s="594"/>
      <c r="AH9" s="594"/>
      <c r="AI9" s="594"/>
      <c r="AJ9" s="594"/>
      <c r="AK9" s="594"/>
      <c r="AL9" s="594"/>
      <c r="AM9" s="594"/>
      <c r="AN9" s="594"/>
      <c r="AO9" s="594"/>
      <c r="AP9" s="594"/>
      <c r="AQ9" s="594"/>
      <c r="AR9" s="594"/>
      <c r="AS9" s="594"/>
      <c r="AT9" s="594"/>
      <c r="AU9" s="594"/>
      <c r="AV9" s="594"/>
      <c r="AW9" s="594"/>
      <c r="AX9" s="594"/>
      <c r="AY9" s="594"/>
      <c r="AZ9" s="594"/>
      <c r="BA9" s="594"/>
      <c r="BB9" s="594"/>
      <c r="BC9" s="594"/>
      <c r="BD9" s="594"/>
      <c r="BE9" s="594"/>
      <c r="BF9" s="594"/>
      <c r="BG9" s="594"/>
    </row>
    <row r="10" spans="1:59" s="627" customFormat="1" x14ac:dyDescent="0.45">
      <c r="A10" s="623"/>
      <c r="B10" s="487"/>
      <c r="C10" s="488">
        <f>$W$10</f>
        <v>0</v>
      </c>
      <c r="D10" s="488">
        <f>W12</f>
        <v>8788</v>
      </c>
      <c r="E10" s="488"/>
      <c r="F10" s="624" t="s">
        <v>1470</v>
      </c>
      <c r="G10" s="488"/>
      <c r="H10" s="488"/>
      <c r="I10" s="488"/>
      <c r="J10" s="488"/>
      <c r="K10" s="488"/>
      <c r="L10" s="488"/>
      <c r="M10" s="488"/>
      <c r="N10" s="488"/>
      <c r="O10" s="488"/>
      <c r="P10" s="488"/>
      <c r="Q10" s="488"/>
      <c r="R10" s="488"/>
      <c r="S10" s="488"/>
      <c r="T10" s="488"/>
      <c r="U10" s="489"/>
      <c r="V10" s="625"/>
      <c r="W10" s="487">
        <v>0</v>
      </c>
      <c r="X10" s="488">
        <v>0</v>
      </c>
      <c r="Y10" s="489">
        <v>0</v>
      </c>
      <c r="Z10" s="625"/>
      <c r="AA10" s="625"/>
      <c r="AB10" s="626"/>
      <c r="AC10" s="626"/>
      <c r="AD10" s="626"/>
      <c r="AE10" s="626"/>
      <c r="AF10" s="626"/>
      <c r="AG10" s="626"/>
      <c r="AH10" s="626"/>
      <c r="AI10" s="626"/>
      <c r="AJ10" s="626"/>
      <c r="AK10" s="626"/>
      <c r="AL10" s="626"/>
      <c r="AM10" s="626"/>
      <c r="AN10" s="626"/>
      <c r="AO10" s="626"/>
      <c r="AP10" s="626"/>
      <c r="AQ10" s="626"/>
      <c r="AR10" s="626"/>
      <c r="AS10" s="626"/>
      <c r="AT10" s="626"/>
      <c r="AU10" s="626"/>
      <c r="AV10" s="626"/>
      <c r="AW10" s="626"/>
      <c r="AX10" s="626"/>
      <c r="AY10" s="626"/>
      <c r="AZ10" s="626"/>
      <c r="BA10" s="626"/>
      <c r="BB10" s="626"/>
      <c r="BC10" s="626"/>
      <c r="BD10" s="626"/>
      <c r="BE10" s="626"/>
      <c r="BF10" s="626"/>
      <c r="BG10" s="626"/>
    </row>
    <row r="11" spans="1:59" s="627" customFormat="1" x14ac:dyDescent="0.45">
      <c r="A11" s="623"/>
      <c r="B11" s="487"/>
      <c r="C11" s="488">
        <f>W12</f>
        <v>8788</v>
      </c>
      <c r="D11" s="488" t="s">
        <v>1471</v>
      </c>
      <c r="E11" s="488"/>
      <c r="F11" s="624" t="s">
        <v>1472</v>
      </c>
      <c r="G11" s="488"/>
      <c r="H11" s="628">
        <f>$Y$12*100</f>
        <v>13.8</v>
      </c>
      <c r="I11" s="628" t="s">
        <v>1473</v>
      </c>
      <c r="J11" s="488"/>
      <c r="K11" s="488"/>
      <c r="L11" s="628"/>
      <c r="M11" s="629"/>
      <c r="N11" s="488"/>
      <c r="O11" s="488"/>
      <c r="P11" s="488"/>
      <c r="Q11" s="488"/>
      <c r="R11" s="630"/>
      <c r="S11" s="488"/>
      <c r="T11" s="631"/>
      <c r="U11" s="632"/>
      <c r="V11" s="633" t="s">
        <v>1402</v>
      </c>
      <c r="W11" s="487">
        <v>6240</v>
      </c>
      <c r="X11" s="505">
        <v>0</v>
      </c>
      <c r="Y11" s="506"/>
      <c r="Z11" s="625"/>
      <c r="AA11" s="625"/>
      <c r="AB11" s="626"/>
      <c r="AC11" s="626"/>
      <c r="AD11" s="626"/>
      <c r="AE11" s="626"/>
      <c r="AF11" s="626"/>
      <c r="AG11" s="626"/>
      <c r="AH11" s="626"/>
      <c r="AI11" s="626"/>
      <c r="AJ11" s="626"/>
      <c r="AK11" s="626"/>
      <c r="AL11" s="626"/>
      <c r="AM11" s="626"/>
      <c r="AN11" s="626"/>
      <c r="AO11" s="626"/>
      <c r="AP11" s="626"/>
      <c r="AQ11" s="626"/>
      <c r="AR11" s="626"/>
      <c r="AS11" s="626"/>
      <c r="AT11" s="626"/>
      <c r="AU11" s="626"/>
      <c r="AV11" s="626"/>
      <c r="AW11" s="626"/>
      <c r="AX11" s="626"/>
      <c r="AY11" s="626"/>
      <c r="AZ11" s="626"/>
      <c r="BA11" s="626"/>
      <c r="BB11" s="626"/>
      <c r="BC11" s="626"/>
      <c r="BD11" s="626"/>
      <c r="BE11" s="626"/>
      <c r="BF11" s="626"/>
      <c r="BG11" s="626"/>
    </row>
    <row r="12" spans="1:59" s="627" customFormat="1" ht="16" thickBot="1" x14ac:dyDescent="0.5">
      <c r="A12" s="623"/>
      <c r="B12" s="634"/>
      <c r="C12" s="583"/>
      <c r="D12" s="583"/>
      <c r="E12" s="583"/>
      <c r="F12" s="583"/>
      <c r="G12" s="635"/>
      <c r="H12" s="636"/>
      <c r="I12" s="635"/>
      <c r="J12" s="583"/>
      <c r="K12" s="637"/>
      <c r="L12" s="638"/>
      <c r="M12" s="637"/>
      <c r="N12" s="583"/>
      <c r="O12" s="583"/>
      <c r="P12" s="639"/>
      <c r="Q12" s="583"/>
      <c r="R12" s="640"/>
      <c r="S12" s="583"/>
      <c r="T12" s="583"/>
      <c r="U12" s="533"/>
      <c r="V12" s="633" t="s">
        <v>1407</v>
      </c>
      <c r="W12" s="487">
        <v>8788</v>
      </c>
      <c r="X12" s="505">
        <v>0</v>
      </c>
      <c r="Y12" s="506">
        <v>0.13800000000000001</v>
      </c>
      <c r="Z12" s="625"/>
      <c r="AA12" s="625"/>
      <c r="AB12" s="626"/>
      <c r="AC12" s="626"/>
      <c r="AD12" s="626"/>
      <c r="AE12" s="626"/>
      <c r="AF12" s="626"/>
      <c r="AG12" s="626"/>
      <c r="AH12" s="626"/>
      <c r="AI12" s="626"/>
      <c r="AJ12" s="626"/>
      <c r="AK12" s="626"/>
      <c r="AL12" s="626"/>
      <c r="AM12" s="626"/>
      <c r="AN12" s="626"/>
      <c r="AO12" s="626"/>
      <c r="AP12" s="626"/>
      <c r="AQ12" s="626"/>
      <c r="AR12" s="626"/>
      <c r="AS12" s="626"/>
      <c r="AT12" s="626"/>
      <c r="AU12" s="626"/>
      <c r="AV12" s="626"/>
      <c r="AW12" s="626"/>
      <c r="AX12" s="626"/>
      <c r="AY12" s="626"/>
      <c r="AZ12" s="626"/>
      <c r="BA12" s="626"/>
      <c r="BB12" s="626"/>
      <c r="BC12" s="626"/>
      <c r="BD12" s="626"/>
      <c r="BE12" s="626"/>
      <c r="BF12" s="626"/>
      <c r="BG12" s="626"/>
    </row>
    <row r="13" spans="1:59" s="627" customFormat="1" ht="17" thickBot="1" x14ac:dyDescent="0.5">
      <c r="A13" s="596"/>
      <c r="B13" s="641"/>
      <c r="C13" s="642"/>
      <c r="D13" s="642"/>
      <c r="E13" s="643"/>
      <c r="F13" s="642"/>
      <c r="G13" s="643"/>
      <c r="H13" s="642"/>
      <c r="I13" s="643"/>
      <c r="J13" s="642"/>
      <c r="K13" s="643"/>
      <c r="L13" s="642"/>
      <c r="M13" s="643"/>
      <c r="N13" s="643"/>
      <c r="O13" s="643"/>
      <c r="P13" s="643"/>
      <c r="Q13" s="643"/>
      <c r="R13" s="643"/>
      <c r="S13" s="643"/>
      <c r="T13" s="643"/>
      <c r="U13" s="643"/>
      <c r="V13" s="633" t="s">
        <v>1474</v>
      </c>
      <c r="W13" s="487">
        <v>50000</v>
      </c>
      <c r="X13" s="505">
        <v>0</v>
      </c>
      <c r="Y13" s="489"/>
      <c r="Z13" s="625"/>
      <c r="AA13" s="625"/>
      <c r="AB13" s="626"/>
      <c r="AC13" s="626"/>
      <c r="AD13" s="626"/>
      <c r="AE13" s="626"/>
      <c r="AF13" s="626"/>
      <c r="AG13" s="626"/>
      <c r="AH13" s="626"/>
      <c r="AI13" s="626"/>
      <c r="AJ13" s="626"/>
      <c r="AK13" s="626"/>
      <c r="AL13" s="626"/>
      <c r="AM13" s="626"/>
      <c r="AN13" s="626"/>
      <c r="AO13" s="626"/>
      <c r="AP13" s="626"/>
      <c r="AQ13" s="626"/>
      <c r="AR13" s="626"/>
      <c r="AS13" s="626"/>
      <c r="AT13" s="626"/>
      <c r="AU13" s="626"/>
      <c r="AV13" s="626"/>
      <c r="AW13" s="626"/>
      <c r="AX13" s="626"/>
      <c r="AY13" s="626"/>
      <c r="AZ13" s="626"/>
      <c r="BA13" s="626"/>
      <c r="BB13" s="626"/>
      <c r="BC13" s="626"/>
      <c r="BD13" s="626"/>
      <c r="BE13" s="626"/>
      <c r="BF13" s="626"/>
      <c r="BG13" s="626"/>
    </row>
    <row r="14" spans="1:59" s="627" customFormat="1" ht="17.5" thickTop="1" thickBot="1" x14ac:dyDescent="0.5">
      <c r="A14" s="184"/>
      <c r="B14" s="644"/>
      <c r="C14" s="644"/>
      <c r="D14" s="644"/>
      <c r="E14" s="644"/>
      <c r="F14" s="645"/>
      <c r="G14" s="644"/>
      <c r="H14" s="644"/>
      <c r="I14" s="644"/>
      <c r="J14" s="644"/>
      <c r="K14" s="644"/>
      <c r="L14" s="644"/>
      <c r="M14" s="644"/>
      <c r="N14" s="644"/>
      <c r="O14" s="644"/>
      <c r="P14" s="644"/>
      <c r="Q14" s="644"/>
      <c r="R14" s="644"/>
      <c r="S14" s="644"/>
      <c r="T14" s="644"/>
      <c r="U14" s="644"/>
      <c r="V14" s="625"/>
      <c r="W14" s="487"/>
      <c r="X14" s="505"/>
      <c r="Y14" s="506"/>
      <c r="Z14" s="625"/>
      <c r="AA14" s="625"/>
      <c r="AB14" s="626"/>
      <c r="AC14" s="626"/>
      <c r="AD14" s="626"/>
      <c r="AE14" s="626"/>
      <c r="AF14" s="626"/>
      <c r="AG14" s="626"/>
      <c r="AH14" s="626"/>
      <c r="AI14" s="626"/>
      <c r="AJ14" s="626"/>
      <c r="AK14" s="626"/>
      <c r="AL14" s="626"/>
      <c r="AM14" s="626"/>
      <c r="AN14" s="626"/>
      <c r="AO14" s="626"/>
      <c r="AP14" s="626"/>
      <c r="AQ14" s="626"/>
      <c r="AR14" s="626"/>
      <c r="AS14" s="626"/>
      <c r="AT14" s="626"/>
      <c r="AU14" s="626"/>
      <c r="AV14" s="626"/>
      <c r="AW14" s="626"/>
      <c r="AX14" s="626"/>
      <c r="AY14" s="626"/>
      <c r="AZ14" s="626"/>
      <c r="BA14" s="626"/>
      <c r="BB14" s="626"/>
      <c r="BC14" s="626"/>
      <c r="BD14" s="626"/>
      <c r="BE14" s="626"/>
      <c r="BF14" s="626"/>
      <c r="BG14" s="626"/>
    </row>
    <row r="15" spans="1:59" s="627" customFormat="1" ht="18.75" customHeight="1" thickTop="1" thickBot="1" x14ac:dyDescent="0.5">
      <c r="A15" s="596" t="s">
        <v>1398</v>
      </c>
      <c r="B15" s="1574" t="s">
        <v>1475</v>
      </c>
      <c r="C15" s="1575"/>
      <c r="D15" s="1575"/>
      <c r="E15" s="1575"/>
      <c r="F15" s="1575"/>
      <c r="G15" s="1575"/>
      <c r="H15" s="1575"/>
      <c r="I15" s="1575"/>
      <c r="J15" s="1575"/>
      <c r="K15" s="1575"/>
      <c r="L15" s="1575"/>
      <c r="M15" s="1576"/>
      <c r="N15" s="1577" t="s">
        <v>1476</v>
      </c>
      <c r="O15" s="1578"/>
      <c r="P15" s="1578"/>
      <c r="Q15" s="1578"/>
      <c r="R15" s="1578"/>
      <c r="S15" s="1578"/>
      <c r="T15" s="1578"/>
      <c r="U15" s="1579"/>
      <c r="V15" s="625"/>
      <c r="W15" s="646" t="s">
        <v>1410</v>
      </c>
      <c r="X15" s="1065">
        <v>0.26900000000000002</v>
      </c>
      <c r="Y15" s="533"/>
      <c r="Z15" s="625"/>
      <c r="AA15" s="625"/>
      <c r="AB15" s="626"/>
      <c r="AC15" s="626"/>
      <c r="AD15" s="626"/>
      <c r="AE15" s="626"/>
      <c r="AF15" s="626"/>
      <c r="AG15" s="626"/>
      <c r="AH15" s="626"/>
      <c r="AI15" s="626"/>
      <c r="AJ15" s="626"/>
      <c r="AK15" s="626"/>
      <c r="AL15" s="626"/>
      <c r="AM15" s="626"/>
      <c r="AN15" s="626"/>
      <c r="AO15" s="626"/>
      <c r="AP15" s="626"/>
      <c r="AQ15" s="626"/>
      <c r="AR15" s="626"/>
      <c r="AS15" s="626"/>
      <c r="AT15" s="626"/>
      <c r="AU15" s="626"/>
      <c r="AV15" s="626"/>
      <c r="AW15" s="626"/>
      <c r="AX15" s="626"/>
      <c r="AY15" s="626"/>
      <c r="AZ15" s="626"/>
      <c r="BA15" s="626"/>
      <c r="BB15" s="626"/>
      <c r="BC15" s="626"/>
      <c r="BD15" s="626"/>
      <c r="BE15" s="626"/>
      <c r="BF15" s="626"/>
      <c r="BG15" s="626"/>
    </row>
    <row r="16" spans="1:59" x14ac:dyDescent="0.35">
      <c r="A16" s="588"/>
      <c r="B16" s="647"/>
      <c r="C16" s="648" t="s">
        <v>1477</v>
      </c>
      <c r="D16" s="648" t="s">
        <v>1415</v>
      </c>
      <c r="E16" s="648"/>
      <c r="F16" s="649" t="s">
        <v>1478</v>
      </c>
      <c r="G16" s="648"/>
      <c r="H16" s="649" t="s">
        <v>1417</v>
      </c>
      <c r="I16" s="648"/>
      <c r="J16" s="649" t="s">
        <v>1410</v>
      </c>
      <c r="K16" s="648"/>
      <c r="L16" s="649" t="s">
        <v>1479</v>
      </c>
      <c r="M16" s="650"/>
      <c r="N16" s="651" t="s">
        <v>1478</v>
      </c>
      <c r="O16" s="648"/>
      <c r="P16" s="648"/>
      <c r="Q16" s="648"/>
      <c r="R16" s="649" t="s">
        <v>1417</v>
      </c>
      <c r="S16" s="648"/>
      <c r="T16" s="652" t="s">
        <v>1479</v>
      </c>
      <c r="U16" s="653"/>
      <c r="V16" s="588"/>
      <c r="W16" s="588"/>
      <c r="X16" s="588"/>
      <c r="Y16" s="588"/>
      <c r="Z16" s="588"/>
      <c r="AA16" s="588"/>
      <c r="AB16" s="588"/>
      <c r="AC16" s="588"/>
      <c r="AD16" s="588"/>
      <c r="AE16" s="588"/>
      <c r="AF16" s="588"/>
      <c r="AG16" s="588"/>
      <c r="AH16" s="588"/>
      <c r="AI16" s="588"/>
      <c r="AJ16" s="588"/>
      <c r="AK16" s="588"/>
      <c r="AL16" s="588"/>
      <c r="AM16" s="588"/>
      <c r="AN16" s="588"/>
      <c r="AO16" s="588"/>
      <c r="AP16" s="588"/>
      <c r="AQ16" s="588"/>
      <c r="AR16" s="588"/>
      <c r="AS16" s="588"/>
      <c r="AT16" s="588"/>
      <c r="AU16" s="588"/>
      <c r="AV16" s="588"/>
      <c r="AW16" s="588"/>
      <c r="AX16" s="588"/>
      <c r="AY16" s="588"/>
      <c r="AZ16" s="588"/>
      <c r="BA16" s="588"/>
      <c r="BB16" s="588"/>
      <c r="BC16" s="588"/>
      <c r="BD16" s="588"/>
      <c r="BE16" s="588"/>
      <c r="BF16" s="588"/>
      <c r="BG16" s="588"/>
    </row>
    <row r="17" spans="1:59" ht="16" customHeight="1" thickBot="1" x14ac:dyDescent="0.4">
      <c r="A17" s="588"/>
      <c r="B17" s="654"/>
      <c r="C17" s="655"/>
      <c r="D17" s="655"/>
      <c r="E17" s="655"/>
      <c r="F17" s="655"/>
      <c r="G17" s="655"/>
      <c r="H17" s="655"/>
      <c r="I17" s="655"/>
      <c r="J17" s="655"/>
      <c r="K17" s="655"/>
      <c r="L17" s="655"/>
      <c r="M17" s="655"/>
      <c r="N17" s="656"/>
      <c r="O17" s="655"/>
      <c r="P17" s="655"/>
      <c r="Q17" s="655"/>
      <c r="R17" s="655"/>
      <c r="S17" s="655"/>
      <c r="T17" s="655"/>
      <c r="U17" s="657"/>
      <c r="V17" s="588"/>
      <c r="W17" s="588"/>
      <c r="X17" s="658"/>
      <c r="Y17" s="588"/>
      <c r="Z17" s="588"/>
      <c r="AA17" s="588"/>
      <c r="AB17" s="588"/>
      <c r="AC17" s="588"/>
      <c r="AD17" s="588"/>
      <c r="AE17" s="588"/>
      <c r="AF17" s="588"/>
      <c r="AG17" s="588"/>
      <c r="AH17" s="588"/>
      <c r="AI17" s="588"/>
      <c r="AJ17" s="588"/>
      <c r="AK17" s="588"/>
      <c r="AL17" s="588"/>
      <c r="AM17" s="588"/>
      <c r="AN17" s="588"/>
      <c r="AO17" s="588"/>
      <c r="AP17" s="588"/>
      <c r="AQ17" s="588"/>
      <c r="AR17" s="588"/>
      <c r="AS17" s="588"/>
      <c r="AT17" s="588"/>
      <c r="AU17" s="588"/>
      <c r="AV17" s="588"/>
      <c r="AW17" s="588"/>
      <c r="AX17" s="588"/>
      <c r="AY17" s="588"/>
      <c r="AZ17" s="588"/>
      <c r="BA17" s="588"/>
      <c r="BB17" s="588"/>
      <c r="BC17" s="588"/>
      <c r="BD17" s="588"/>
      <c r="BE17" s="588"/>
      <c r="BF17" s="588"/>
      <c r="BG17" s="588"/>
    </row>
    <row r="18" spans="1:59" ht="16" customHeight="1" x14ac:dyDescent="0.35">
      <c r="A18" s="588"/>
      <c r="B18" s="517"/>
      <c r="C18" s="659" t="s">
        <v>1480</v>
      </c>
      <c r="D18" s="660"/>
      <c r="E18" s="661"/>
      <c r="F18" s="662"/>
      <c r="G18" s="662"/>
      <c r="H18" s="662"/>
      <c r="I18" s="662"/>
      <c r="J18" s="662"/>
      <c r="K18" s="662"/>
      <c r="L18" s="662"/>
      <c r="M18" s="662"/>
      <c r="N18" s="663"/>
      <c r="O18" s="662"/>
      <c r="P18" s="662"/>
      <c r="Q18" s="662"/>
      <c r="R18" s="662"/>
      <c r="S18" s="662"/>
      <c r="T18" s="662"/>
      <c r="U18" s="524"/>
      <c r="V18" s="588"/>
      <c r="W18" s="588"/>
      <c r="X18" s="658"/>
      <c r="Y18" s="588"/>
      <c r="Z18" s="588"/>
      <c r="AA18" s="588"/>
      <c r="AB18" s="588"/>
      <c r="AC18" s="588"/>
      <c r="AD18" s="588"/>
      <c r="AE18" s="588"/>
      <c r="AF18" s="588"/>
      <c r="AG18" s="588"/>
      <c r="AH18" s="588"/>
      <c r="AI18" s="588"/>
      <c r="AJ18" s="588"/>
      <c r="AK18" s="588"/>
      <c r="AL18" s="588"/>
      <c r="AM18" s="588"/>
      <c r="AN18" s="588"/>
      <c r="AO18" s="588"/>
      <c r="AP18" s="588"/>
      <c r="AQ18" s="588"/>
      <c r="AR18" s="588"/>
      <c r="AS18" s="588"/>
      <c r="AT18" s="588"/>
      <c r="AU18" s="588"/>
      <c r="AV18" s="588"/>
      <c r="AW18" s="588"/>
      <c r="AX18" s="588"/>
      <c r="AY18" s="588"/>
      <c r="AZ18" s="588"/>
      <c r="BA18" s="588"/>
      <c r="BB18" s="588"/>
      <c r="BC18" s="588"/>
      <c r="BD18" s="588"/>
      <c r="BE18" s="588"/>
      <c r="BF18" s="588"/>
      <c r="BG18" s="588"/>
    </row>
    <row r="19" spans="1:59" ht="16" customHeight="1" x14ac:dyDescent="0.35">
      <c r="A19" s="588"/>
      <c r="B19" s="517"/>
      <c r="C19" s="664" t="s">
        <v>1481</v>
      </c>
      <c r="D19" s="660"/>
      <c r="E19" s="661"/>
      <c r="F19" s="662"/>
      <c r="G19" s="662"/>
      <c r="H19" s="662"/>
      <c r="I19" s="662"/>
      <c r="J19" s="662"/>
      <c r="K19" s="662"/>
      <c r="L19" s="662"/>
      <c r="M19" s="662"/>
      <c r="N19" s="663"/>
      <c r="O19" s="662"/>
      <c r="P19" s="662"/>
      <c r="Q19" s="662"/>
      <c r="R19" s="662"/>
      <c r="S19" s="662"/>
      <c r="T19" s="662"/>
      <c r="U19" s="524"/>
      <c r="V19" s="588"/>
      <c r="W19" s="665" t="s">
        <v>1482</v>
      </c>
      <c r="X19" s="588"/>
      <c r="Y19" s="588"/>
      <c r="Z19" s="588"/>
      <c r="AA19" s="588"/>
      <c r="AB19" s="588"/>
      <c r="AC19" s="588"/>
      <c r="AD19" s="588"/>
      <c r="AE19" s="588"/>
      <c r="AF19" s="588"/>
      <c r="AG19" s="588"/>
      <c r="AH19" s="588"/>
      <c r="AI19" s="588"/>
      <c r="AJ19" s="588"/>
      <c r="AK19" s="588"/>
      <c r="AL19" s="588"/>
      <c r="AM19" s="588"/>
      <c r="AN19" s="588"/>
      <c r="AO19" s="588"/>
      <c r="AP19" s="588"/>
      <c r="AQ19" s="588"/>
      <c r="AR19" s="588"/>
      <c r="AS19" s="588"/>
      <c r="AT19" s="588"/>
      <c r="AU19" s="588"/>
      <c r="AV19" s="588"/>
      <c r="AW19" s="588"/>
      <c r="AX19" s="588"/>
      <c r="AY19" s="588"/>
      <c r="AZ19" s="588"/>
      <c r="BA19" s="588"/>
      <c r="BB19" s="588"/>
      <c r="BC19" s="588"/>
      <c r="BD19" s="588"/>
      <c r="BE19" s="588"/>
      <c r="BF19" s="588"/>
      <c r="BG19" s="588"/>
    </row>
    <row r="20" spans="1:59" ht="16" customHeight="1" x14ac:dyDescent="0.35">
      <c r="A20" s="588"/>
      <c r="B20" s="549"/>
      <c r="C20" s="664" t="s">
        <v>1483</v>
      </c>
      <c r="D20" s="664">
        <v>6</v>
      </c>
      <c r="E20" s="661"/>
      <c r="F20" s="662">
        <f>SUM([24]Sheet2!E21*195/229)</f>
        <v>15693.895906113539</v>
      </c>
      <c r="G20" s="662"/>
      <c r="H20" s="662">
        <f t="shared" ref="H20:H38" si="0">IF($F20&gt;$W$12,($F20-$W$12)*$Y$12,"ERROR")</f>
        <v>953.0136350436685</v>
      </c>
      <c r="I20" s="662"/>
      <c r="J20" s="662">
        <f t="shared" ref="J20:J41" si="1">$F20*$X$15</f>
        <v>4221.6579987445421</v>
      </c>
      <c r="K20" s="662"/>
      <c r="L20" s="662">
        <f t="shared" ref="L20:L39" si="2">F20+ROUND(H20,0)+ROUND(J20,0)</f>
        <v>20868.895906113539</v>
      </c>
      <c r="M20" s="662"/>
      <c r="N20" s="663">
        <f t="shared" ref="N20:N39" si="3">F20</f>
        <v>15693.895906113539</v>
      </c>
      <c r="O20" s="662"/>
      <c r="P20" s="662"/>
      <c r="Q20" s="662"/>
      <c r="R20" s="662">
        <f t="shared" ref="R20:R39" si="4">IF($N20&gt;$W$12,($N20-$W$12)*$Y$12,"ERROR")</f>
        <v>953.0136350436685</v>
      </c>
      <c r="S20" s="662"/>
      <c r="T20" s="662">
        <f t="shared" ref="T20:T39" si="5">SUM(N20:R20)</f>
        <v>16646.909541157209</v>
      </c>
      <c r="U20" s="524"/>
      <c r="V20" s="666"/>
      <c r="W20" s="665" t="s">
        <v>1421</v>
      </c>
      <c r="X20" s="588"/>
      <c r="Y20" s="588"/>
      <c r="Z20" s="588"/>
      <c r="AA20" s="588"/>
      <c r="AB20" s="588"/>
      <c r="AC20" s="588"/>
      <c r="AD20" s="588"/>
      <c r="AE20" s="588"/>
      <c r="AF20" s="588"/>
      <c r="AG20" s="588"/>
      <c r="AH20" s="588"/>
      <c r="AI20" s="588"/>
      <c r="AJ20" s="588"/>
      <c r="AK20" s="588"/>
      <c r="AL20" s="588"/>
      <c r="AM20" s="588"/>
      <c r="AN20" s="588"/>
      <c r="AO20" s="588"/>
      <c r="AP20" s="588"/>
      <c r="AQ20" s="588"/>
      <c r="AR20" s="588"/>
      <c r="AS20" s="588"/>
      <c r="AT20" s="588"/>
      <c r="AU20" s="588"/>
      <c r="AV20" s="588"/>
      <c r="AW20" s="588"/>
      <c r="AX20" s="588"/>
      <c r="AY20" s="588"/>
      <c r="AZ20" s="588"/>
      <c r="BA20" s="588"/>
      <c r="BB20" s="588"/>
      <c r="BC20" s="588"/>
      <c r="BD20" s="588"/>
      <c r="BE20" s="588"/>
      <c r="BF20" s="588"/>
      <c r="BG20" s="588"/>
    </row>
    <row r="21" spans="1:59" ht="16" customHeight="1" x14ac:dyDescent="0.35">
      <c r="A21" s="588"/>
      <c r="B21" s="549"/>
      <c r="C21" s="664" t="s">
        <v>1480</v>
      </c>
      <c r="D21" s="664">
        <v>7</v>
      </c>
      <c r="E21" s="661"/>
      <c r="F21" s="662">
        <f>SUM([24]Sheet2!E22*195/229)</f>
        <v>15805.888919213976</v>
      </c>
      <c r="G21" s="662"/>
      <c r="H21" s="662">
        <f t="shared" si="0"/>
        <v>968.46867085152871</v>
      </c>
      <c r="I21" s="662"/>
      <c r="J21" s="662">
        <f t="shared" si="1"/>
        <v>4251.7841192685601</v>
      </c>
      <c r="K21" s="662"/>
      <c r="L21" s="662">
        <f t="shared" si="2"/>
        <v>21025.888919213976</v>
      </c>
      <c r="M21" s="662"/>
      <c r="N21" s="663">
        <f t="shared" si="3"/>
        <v>15805.888919213976</v>
      </c>
      <c r="O21" s="662"/>
      <c r="P21" s="662"/>
      <c r="Q21" s="662"/>
      <c r="R21" s="662">
        <f t="shared" si="4"/>
        <v>968.46867085152871</v>
      </c>
      <c r="S21" s="662"/>
      <c r="T21" s="662">
        <f t="shared" si="5"/>
        <v>16774.357590065505</v>
      </c>
      <c r="U21" s="524"/>
      <c r="V21" s="666"/>
      <c r="W21" s="665"/>
      <c r="X21" s="588"/>
      <c r="Y21" s="588"/>
      <c r="Z21" s="588"/>
      <c r="AA21" s="588"/>
      <c r="AB21" s="588"/>
      <c r="AC21" s="588"/>
      <c r="AD21" s="588"/>
      <c r="AE21" s="588"/>
      <c r="AF21" s="588"/>
      <c r="AG21" s="588"/>
      <c r="AH21" s="588"/>
      <c r="AI21" s="588"/>
      <c r="AJ21" s="588"/>
      <c r="AK21" s="588"/>
      <c r="AL21" s="588"/>
      <c r="AM21" s="588"/>
      <c r="AN21" s="588"/>
      <c r="AO21" s="588"/>
      <c r="AP21" s="588"/>
      <c r="AQ21" s="588"/>
      <c r="AR21" s="588"/>
      <c r="AS21" s="588"/>
      <c r="AT21" s="588"/>
      <c r="AU21" s="588"/>
      <c r="AV21" s="588"/>
      <c r="AW21" s="588"/>
      <c r="AX21" s="588"/>
      <c r="AY21" s="588"/>
      <c r="AZ21" s="588"/>
      <c r="BA21" s="588"/>
      <c r="BB21" s="588"/>
      <c r="BC21" s="588"/>
      <c r="BD21" s="588"/>
      <c r="BE21" s="588"/>
      <c r="BF21" s="588"/>
      <c r="BG21" s="588"/>
    </row>
    <row r="22" spans="1:59" ht="16" customHeight="1" x14ac:dyDescent="0.35">
      <c r="A22" s="588"/>
      <c r="B22" s="549"/>
      <c r="C22" s="664" t="s">
        <v>1480</v>
      </c>
      <c r="D22" s="664">
        <v>8</v>
      </c>
      <c r="E22" s="661"/>
      <c r="F22" s="662">
        <f>SUM([24]Sheet2!E23*195/229)</f>
        <v>16115.619596069871</v>
      </c>
      <c r="G22" s="662"/>
      <c r="H22" s="662">
        <f t="shared" si="0"/>
        <v>1011.2115042576423</v>
      </c>
      <c r="I22" s="662"/>
      <c r="J22" s="662">
        <f t="shared" si="1"/>
        <v>4335.1016713427953</v>
      </c>
      <c r="K22" s="662"/>
      <c r="L22" s="662">
        <f t="shared" si="2"/>
        <v>21461.619596069871</v>
      </c>
      <c r="M22" s="662"/>
      <c r="N22" s="663">
        <f t="shared" si="3"/>
        <v>16115.619596069871</v>
      </c>
      <c r="O22" s="662"/>
      <c r="P22" s="662"/>
      <c r="Q22" s="662"/>
      <c r="R22" s="662">
        <f t="shared" si="4"/>
        <v>1011.2115042576423</v>
      </c>
      <c r="S22" s="662"/>
      <c r="T22" s="662">
        <f t="shared" si="5"/>
        <v>17126.831100327512</v>
      </c>
      <c r="U22" s="524"/>
      <c r="V22" s="666"/>
      <c r="W22" s="665" t="s">
        <v>1422</v>
      </c>
      <c r="X22" s="588"/>
      <c r="Y22" s="588"/>
      <c r="Z22" s="588"/>
      <c r="AA22" s="588"/>
      <c r="AB22" s="588"/>
      <c r="AC22" s="588"/>
      <c r="AD22" s="588"/>
      <c r="AE22" s="588"/>
      <c r="AF22" s="588"/>
      <c r="AG22" s="588"/>
      <c r="AH22" s="588"/>
      <c r="AI22" s="588"/>
      <c r="AJ22" s="588"/>
      <c r="AK22" s="588"/>
      <c r="AL22" s="588"/>
      <c r="AM22" s="588"/>
      <c r="AN22" s="588"/>
      <c r="AO22" s="588"/>
      <c r="AP22" s="588"/>
      <c r="AQ22" s="588"/>
      <c r="AR22" s="588"/>
      <c r="AS22" s="588"/>
      <c r="AT22" s="588"/>
      <c r="AU22" s="588"/>
      <c r="AV22" s="588"/>
      <c r="AW22" s="588"/>
      <c r="AX22" s="588"/>
      <c r="AY22" s="588"/>
      <c r="AZ22" s="588"/>
      <c r="BA22" s="588"/>
      <c r="BB22" s="588"/>
      <c r="BC22" s="588"/>
      <c r="BD22" s="588"/>
      <c r="BE22" s="588"/>
      <c r="BF22" s="588"/>
      <c r="BG22" s="588"/>
    </row>
    <row r="23" spans="1:59" ht="16" customHeight="1" x14ac:dyDescent="0.35">
      <c r="A23" s="588"/>
      <c r="B23" s="549"/>
      <c r="C23" s="667" t="s">
        <v>1480</v>
      </c>
      <c r="D23" s="667">
        <v>9</v>
      </c>
      <c r="E23" s="668"/>
      <c r="F23" s="669">
        <f>SUM([24]Sheet2!E24*195/229)</f>
        <v>16462.972925764192</v>
      </c>
      <c r="G23" s="669"/>
      <c r="H23" s="669">
        <f t="shared" si="0"/>
        <v>1059.1462637554587</v>
      </c>
      <c r="I23" s="669"/>
      <c r="J23" s="669">
        <f t="shared" si="1"/>
        <v>4428.5397170305678</v>
      </c>
      <c r="K23" s="669"/>
      <c r="L23" s="669">
        <f t="shared" si="2"/>
        <v>21950.972925764192</v>
      </c>
      <c r="M23" s="669"/>
      <c r="N23" s="670">
        <f t="shared" si="3"/>
        <v>16462.972925764192</v>
      </c>
      <c r="O23" s="669"/>
      <c r="P23" s="669"/>
      <c r="Q23" s="669"/>
      <c r="R23" s="669">
        <f t="shared" si="4"/>
        <v>1059.1462637554587</v>
      </c>
      <c r="S23" s="669"/>
      <c r="T23" s="669">
        <f t="shared" si="5"/>
        <v>17522.11918951965</v>
      </c>
      <c r="U23" s="524"/>
      <c r="V23" s="588"/>
      <c r="W23" s="665" t="s">
        <v>1423</v>
      </c>
      <c r="X23" s="588"/>
      <c r="Y23" s="588"/>
      <c r="Z23" s="588"/>
      <c r="AA23" s="588"/>
      <c r="AB23" s="588"/>
      <c r="AC23" s="588"/>
      <c r="AD23" s="588"/>
      <c r="AE23" s="588"/>
      <c r="AF23" s="588"/>
      <c r="AG23" s="588"/>
      <c r="AH23" s="588"/>
      <c r="AI23" s="588"/>
      <c r="AJ23" s="588"/>
      <c r="AK23" s="588"/>
      <c r="AL23" s="588"/>
      <c r="AM23" s="588"/>
      <c r="AN23" s="588"/>
      <c r="AO23" s="588"/>
      <c r="AP23" s="588"/>
      <c r="AQ23" s="588"/>
      <c r="AR23" s="588"/>
      <c r="AS23" s="588"/>
      <c r="AT23" s="588"/>
      <c r="AU23" s="588"/>
      <c r="AV23" s="588"/>
      <c r="AW23" s="588"/>
      <c r="AX23" s="588"/>
      <c r="AY23" s="588"/>
      <c r="AZ23" s="588"/>
      <c r="BA23" s="588"/>
      <c r="BB23" s="588"/>
      <c r="BC23" s="588"/>
      <c r="BD23" s="588"/>
      <c r="BE23" s="588"/>
      <c r="BF23" s="588"/>
      <c r="BG23" s="588"/>
    </row>
    <row r="24" spans="1:59" ht="16" customHeight="1" x14ac:dyDescent="0.35">
      <c r="A24" s="588"/>
      <c r="B24" s="549"/>
      <c r="C24" s="664" t="s">
        <v>1484</v>
      </c>
      <c r="D24" s="664">
        <v>12</v>
      </c>
      <c r="E24" s="661"/>
      <c r="F24" s="662">
        <f>SUM([24]Sheet2!E27*195/229)</f>
        <v>17381.665611353714</v>
      </c>
      <c r="G24" s="662"/>
      <c r="H24" s="662">
        <f t="shared" si="0"/>
        <v>1185.9258543668127</v>
      </c>
      <c r="I24" s="662"/>
      <c r="J24" s="662">
        <f t="shared" si="1"/>
        <v>4675.6680494541497</v>
      </c>
      <c r="K24" s="662"/>
      <c r="L24" s="662">
        <f t="shared" si="2"/>
        <v>23243.665611353714</v>
      </c>
      <c r="M24" s="662"/>
      <c r="N24" s="663">
        <f t="shared" si="3"/>
        <v>17381.665611353714</v>
      </c>
      <c r="O24" s="662"/>
      <c r="P24" s="662"/>
      <c r="Q24" s="662"/>
      <c r="R24" s="662">
        <f t="shared" si="4"/>
        <v>1185.9258543668127</v>
      </c>
      <c r="S24" s="662"/>
      <c r="T24" s="662">
        <f t="shared" si="5"/>
        <v>18567.591465720525</v>
      </c>
      <c r="U24" s="524"/>
      <c r="V24" s="666"/>
      <c r="W24" s="665"/>
      <c r="X24" s="588"/>
      <c r="Y24" s="588"/>
      <c r="Z24" s="588"/>
      <c r="AA24" s="588"/>
      <c r="AB24" s="588"/>
      <c r="AC24" s="588"/>
      <c r="AD24" s="588"/>
      <c r="AE24" s="588"/>
      <c r="AF24" s="588"/>
      <c r="AG24" s="588"/>
      <c r="AH24" s="588"/>
      <c r="AI24" s="588"/>
      <c r="AJ24" s="588"/>
      <c r="AK24" s="588"/>
      <c r="AL24" s="588"/>
      <c r="AM24" s="588"/>
      <c r="AN24" s="588"/>
      <c r="AO24" s="588"/>
      <c r="AP24" s="588"/>
      <c r="AQ24" s="588"/>
      <c r="AR24" s="588"/>
      <c r="AS24" s="588"/>
      <c r="AT24" s="588"/>
      <c r="AU24" s="588"/>
      <c r="AV24" s="588"/>
      <c r="AW24" s="588"/>
      <c r="AX24" s="588"/>
      <c r="AY24" s="588"/>
      <c r="AZ24" s="588"/>
      <c r="BA24" s="588"/>
      <c r="BB24" s="588"/>
      <c r="BC24" s="588"/>
      <c r="BD24" s="588"/>
      <c r="BE24" s="588"/>
      <c r="BF24" s="588"/>
      <c r="BG24" s="588"/>
    </row>
    <row r="25" spans="1:59" ht="16" customHeight="1" x14ac:dyDescent="0.35">
      <c r="A25" s="588"/>
      <c r="B25" s="549"/>
      <c r="C25" s="664" t="s">
        <v>1485</v>
      </c>
      <c r="D25" s="664">
        <v>13</v>
      </c>
      <c r="E25" s="661"/>
      <c r="F25" s="662">
        <f>SUM([24]Sheet2!E28*195/229)</f>
        <v>17799.889519650656</v>
      </c>
      <c r="G25" s="662"/>
      <c r="H25" s="662">
        <f t="shared" si="0"/>
        <v>1243.6407537117907</v>
      </c>
      <c r="I25" s="662"/>
      <c r="J25" s="662">
        <f t="shared" si="1"/>
        <v>4788.1702807860265</v>
      </c>
      <c r="K25" s="662"/>
      <c r="L25" s="662">
        <f t="shared" si="2"/>
        <v>23831.889519650656</v>
      </c>
      <c r="M25" s="662"/>
      <c r="N25" s="663">
        <f t="shared" si="3"/>
        <v>17799.889519650656</v>
      </c>
      <c r="O25" s="662"/>
      <c r="P25" s="662"/>
      <c r="Q25" s="662"/>
      <c r="R25" s="662">
        <f t="shared" si="4"/>
        <v>1243.6407537117907</v>
      </c>
      <c r="S25" s="662"/>
      <c r="T25" s="662">
        <f t="shared" si="5"/>
        <v>19043.530273362448</v>
      </c>
      <c r="U25" s="524"/>
      <c r="V25" s="666"/>
      <c r="W25" s="665" t="s">
        <v>1427</v>
      </c>
      <c r="X25" s="588"/>
      <c r="Y25" s="588"/>
      <c r="Z25" s="588"/>
      <c r="AA25" s="588"/>
      <c r="AB25" s="588"/>
      <c r="AC25" s="588"/>
      <c r="AD25" s="588"/>
      <c r="AE25" s="588"/>
      <c r="AF25" s="588"/>
      <c r="AG25" s="588"/>
      <c r="AH25" s="588"/>
      <c r="AI25" s="588"/>
      <c r="AJ25" s="588"/>
      <c r="AK25" s="588"/>
      <c r="AL25" s="588"/>
      <c r="AM25" s="588"/>
      <c r="AN25" s="588"/>
      <c r="AO25" s="588"/>
      <c r="AP25" s="588"/>
      <c r="AQ25" s="588"/>
      <c r="AR25" s="588"/>
      <c r="AS25" s="588"/>
      <c r="AT25" s="588"/>
      <c r="AU25" s="588"/>
      <c r="AV25" s="588"/>
      <c r="AW25" s="588"/>
      <c r="AX25" s="588"/>
      <c r="AY25" s="588"/>
      <c r="AZ25" s="588"/>
      <c r="BA25" s="588"/>
      <c r="BB25" s="588"/>
      <c r="BC25" s="588"/>
      <c r="BD25" s="588"/>
      <c r="BE25" s="588"/>
      <c r="BF25" s="588"/>
      <c r="BG25" s="588"/>
    </row>
    <row r="26" spans="1:59" ht="16" customHeight="1" x14ac:dyDescent="0.35">
      <c r="A26" s="588"/>
      <c r="B26" s="549"/>
      <c r="C26" s="664" t="s">
        <v>1480</v>
      </c>
      <c r="D26" s="664">
        <v>14</v>
      </c>
      <c r="E26" s="661"/>
      <c r="F26" s="662">
        <f>SUM([24]Sheet2!E29*195/229)</f>
        <v>18504.220578602624</v>
      </c>
      <c r="G26" s="662"/>
      <c r="H26" s="662">
        <f t="shared" si="0"/>
        <v>1340.8384398471624</v>
      </c>
      <c r="I26" s="662"/>
      <c r="J26" s="662">
        <f t="shared" si="1"/>
        <v>4977.6353356441059</v>
      </c>
      <c r="K26" s="662"/>
      <c r="L26" s="662">
        <f t="shared" si="2"/>
        <v>24823.220578602624</v>
      </c>
      <c r="M26" s="671"/>
      <c r="N26" s="662">
        <f t="shared" si="3"/>
        <v>18504.220578602624</v>
      </c>
      <c r="O26" s="662"/>
      <c r="P26" s="662"/>
      <c r="Q26" s="662"/>
      <c r="R26" s="662">
        <f t="shared" si="4"/>
        <v>1340.8384398471624</v>
      </c>
      <c r="S26" s="662"/>
      <c r="T26" s="662">
        <f t="shared" si="5"/>
        <v>19845.059018449785</v>
      </c>
      <c r="U26" s="524"/>
      <c r="V26" s="666"/>
      <c r="W26" s="665" t="s">
        <v>1429</v>
      </c>
      <c r="X26" s="588"/>
      <c r="Y26" s="588"/>
      <c r="Z26" s="588"/>
      <c r="AA26" s="588"/>
      <c r="AB26" s="588"/>
      <c r="AC26" s="588"/>
      <c r="AD26" s="588"/>
      <c r="AE26" s="588"/>
      <c r="AF26" s="588"/>
      <c r="AG26" s="588"/>
      <c r="AH26" s="588"/>
      <c r="AI26" s="588"/>
      <c r="AJ26" s="588"/>
      <c r="AK26" s="588"/>
      <c r="AL26" s="588"/>
      <c r="AM26" s="588"/>
      <c r="AN26" s="588"/>
      <c r="AO26" s="588"/>
      <c r="AP26" s="588"/>
      <c r="AQ26" s="588"/>
      <c r="AR26" s="588"/>
      <c r="AS26" s="588"/>
      <c r="AT26" s="588"/>
      <c r="AU26" s="588"/>
      <c r="AV26" s="588"/>
      <c r="AW26" s="588"/>
      <c r="AX26" s="588"/>
      <c r="AY26" s="588"/>
      <c r="AZ26" s="588"/>
      <c r="BA26" s="588"/>
      <c r="BB26" s="588"/>
      <c r="BC26" s="588"/>
      <c r="BD26" s="588"/>
      <c r="BE26" s="588"/>
      <c r="BF26" s="588"/>
      <c r="BG26" s="588"/>
    </row>
    <row r="27" spans="1:59" ht="16" customHeight="1" x14ac:dyDescent="0.35">
      <c r="A27" s="588"/>
      <c r="B27" s="549"/>
      <c r="C27" s="667" t="s">
        <v>1480</v>
      </c>
      <c r="D27" s="667">
        <v>15</v>
      </c>
      <c r="E27" s="668"/>
      <c r="F27" s="669">
        <f>SUM([24]Sheet2!E30*195/229)</f>
        <v>19276.797379912667</v>
      </c>
      <c r="G27" s="669"/>
      <c r="H27" s="669">
        <f t="shared" si="0"/>
        <v>1447.454038427948</v>
      </c>
      <c r="I27" s="669"/>
      <c r="J27" s="669">
        <f t="shared" si="1"/>
        <v>5185.458495196508</v>
      </c>
      <c r="K27" s="669"/>
      <c r="L27" s="669">
        <f t="shared" si="2"/>
        <v>25908.797379912667</v>
      </c>
      <c r="M27" s="669"/>
      <c r="N27" s="670">
        <f t="shared" si="3"/>
        <v>19276.797379912667</v>
      </c>
      <c r="O27" s="669"/>
      <c r="P27" s="669"/>
      <c r="Q27" s="669"/>
      <c r="R27" s="669">
        <f t="shared" si="4"/>
        <v>1447.454038427948</v>
      </c>
      <c r="S27" s="669"/>
      <c r="T27" s="669">
        <f t="shared" si="5"/>
        <v>20724.251418340617</v>
      </c>
      <c r="U27" s="524"/>
      <c r="V27" s="666"/>
      <c r="W27" s="665"/>
      <c r="X27" s="588"/>
      <c r="Y27" s="588"/>
      <c r="Z27" s="588"/>
      <c r="AA27" s="588"/>
      <c r="AB27" s="588"/>
      <c r="AC27" s="588"/>
      <c r="AD27" s="588"/>
      <c r="AE27" s="588"/>
      <c r="AF27" s="588"/>
      <c r="AG27" s="588"/>
      <c r="AH27" s="588"/>
      <c r="AI27" s="588"/>
      <c r="AJ27" s="588"/>
      <c r="AK27" s="588"/>
      <c r="AL27" s="588"/>
      <c r="AM27" s="588"/>
      <c r="AN27" s="588"/>
      <c r="AO27" s="588"/>
      <c r="AP27" s="588"/>
      <c r="AQ27" s="588"/>
      <c r="AR27" s="588"/>
      <c r="AS27" s="588"/>
      <c r="AT27" s="588"/>
      <c r="AU27" s="588"/>
      <c r="AV27" s="588"/>
      <c r="AW27" s="588"/>
      <c r="AX27" s="588"/>
      <c r="AY27" s="588"/>
      <c r="AZ27" s="588"/>
      <c r="BA27" s="588"/>
      <c r="BB27" s="588"/>
      <c r="BC27" s="588"/>
      <c r="BD27" s="588"/>
      <c r="BE27" s="588"/>
      <c r="BF27" s="588"/>
      <c r="BG27" s="588"/>
    </row>
    <row r="28" spans="1:59" ht="16" customHeight="1" x14ac:dyDescent="0.35">
      <c r="A28" s="588"/>
      <c r="B28" s="549"/>
      <c r="C28" s="664" t="s">
        <v>1486</v>
      </c>
      <c r="D28" s="664">
        <v>15</v>
      </c>
      <c r="E28" s="661"/>
      <c r="F28" s="662">
        <f>SUM([24]Sheet2!E30*195/229)</f>
        <v>19276.797379912667</v>
      </c>
      <c r="G28" s="662"/>
      <c r="H28" s="662">
        <f t="shared" si="0"/>
        <v>1447.454038427948</v>
      </c>
      <c r="I28" s="662"/>
      <c r="J28" s="662">
        <f t="shared" si="1"/>
        <v>5185.458495196508</v>
      </c>
      <c r="K28" s="662"/>
      <c r="L28" s="662">
        <f t="shared" si="2"/>
        <v>25908.797379912667</v>
      </c>
      <c r="M28" s="662"/>
      <c r="N28" s="663">
        <f t="shared" si="3"/>
        <v>19276.797379912667</v>
      </c>
      <c r="O28" s="662"/>
      <c r="P28" s="662"/>
      <c r="Q28" s="662"/>
      <c r="R28" s="662">
        <f t="shared" si="4"/>
        <v>1447.454038427948</v>
      </c>
      <c r="S28" s="662"/>
      <c r="T28" s="662">
        <f t="shared" si="5"/>
        <v>20724.251418340617</v>
      </c>
      <c r="U28" s="524"/>
      <c r="V28" s="666"/>
      <c r="W28" s="665" t="s">
        <v>1430</v>
      </c>
      <c r="X28" s="588"/>
      <c r="Y28" s="588"/>
      <c r="Z28" s="588"/>
      <c r="AA28" s="588"/>
      <c r="AB28" s="588"/>
      <c r="AC28" s="588"/>
      <c r="AD28" s="588"/>
      <c r="AE28" s="588"/>
      <c r="AF28" s="588"/>
      <c r="AG28" s="588"/>
      <c r="AH28" s="588"/>
      <c r="AI28" s="588"/>
      <c r="AJ28" s="588"/>
      <c r="AK28" s="588"/>
      <c r="AL28" s="588"/>
      <c r="AM28" s="588"/>
      <c r="AN28" s="588"/>
      <c r="AO28" s="588"/>
      <c r="AP28" s="588"/>
      <c r="AQ28" s="588"/>
      <c r="AR28" s="588"/>
      <c r="AS28" s="588"/>
      <c r="AT28" s="588"/>
      <c r="AU28" s="588"/>
      <c r="AV28" s="588"/>
      <c r="AW28" s="588"/>
      <c r="AX28" s="588"/>
      <c r="AY28" s="588"/>
      <c r="AZ28" s="588"/>
      <c r="BA28" s="588"/>
      <c r="BB28" s="588"/>
      <c r="BC28" s="588"/>
      <c r="BD28" s="588"/>
      <c r="BE28" s="588"/>
      <c r="BF28" s="588"/>
      <c r="BG28" s="588"/>
    </row>
    <row r="29" spans="1:59" ht="16" customHeight="1" x14ac:dyDescent="0.35">
      <c r="A29" s="588"/>
      <c r="B29" s="549"/>
      <c r="C29" s="664" t="s">
        <v>1487</v>
      </c>
      <c r="D29" s="664">
        <v>16</v>
      </c>
      <c r="E29" s="661"/>
      <c r="F29" s="662">
        <f>SUM([24]Sheet2!E31*195/229)</f>
        <v>20045.874399563323</v>
      </c>
      <c r="G29" s="662"/>
      <c r="H29" s="662">
        <f t="shared" si="0"/>
        <v>1553.5866671397387</v>
      </c>
      <c r="I29" s="662"/>
      <c r="J29" s="662">
        <f t="shared" si="1"/>
        <v>5392.3402134825346</v>
      </c>
      <c r="K29" s="662"/>
      <c r="L29" s="662">
        <f t="shared" si="2"/>
        <v>26991.874399563323</v>
      </c>
      <c r="M29" s="662"/>
      <c r="N29" s="663">
        <f t="shared" si="3"/>
        <v>20045.874399563323</v>
      </c>
      <c r="O29" s="662"/>
      <c r="P29" s="662"/>
      <c r="Q29" s="662"/>
      <c r="R29" s="662">
        <f t="shared" si="4"/>
        <v>1553.5866671397387</v>
      </c>
      <c r="S29" s="662"/>
      <c r="T29" s="662">
        <f t="shared" si="5"/>
        <v>21599.461066703061</v>
      </c>
      <c r="U29" s="524"/>
      <c r="V29" s="666"/>
      <c r="W29" s="665" t="s">
        <v>1432</v>
      </c>
      <c r="X29" s="588"/>
      <c r="Y29" s="588"/>
      <c r="Z29" s="588"/>
      <c r="AA29" s="588"/>
      <c r="AB29" s="588"/>
      <c r="AC29" s="588"/>
      <c r="AD29" s="588"/>
      <c r="AE29" s="588"/>
      <c r="AF29" s="588"/>
      <c r="AG29" s="588"/>
      <c r="AH29" s="588"/>
      <c r="AI29" s="588"/>
      <c r="AJ29" s="588"/>
      <c r="AK29" s="588"/>
      <c r="AL29" s="588"/>
      <c r="AM29" s="588"/>
      <c r="AN29" s="588"/>
      <c r="AO29" s="588"/>
      <c r="AP29" s="588"/>
      <c r="AQ29" s="588"/>
      <c r="AR29" s="588"/>
      <c r="AS29" s="588"/>
      <c r="AT29" s="588"/>
      <c r="AU29" s="588"/>
      <c r="AV29" s="588"/>
      <c r="AW29" s="588"/>
      <c r="AX29" s="588"/>
      <c r="AY29" s="588"/>
      <c r="AZ29" s="588"/>
      <c r="BA29" s="588"/>
      <c r="BB29" s="588"/>
      <c r="BC29" s="588"/>
      <c r="BD29" s="588"/>
      <c r="BE29" s="588"/>
      <c r="BF29" s="588"/>
      <c r="BG29" s="588"/>
    </row>
    <row r="30" spans="1:59" ht="16" customHeight="1" x14ac:dyDescent="0.35">
      <c r="A30" s="588"/>
      <c r="B30" s="549"/>
      <c r="C30" s="664" t="s">
        <v>1488</v>
      </c>
      <c r="D30" s="664">
        <v>17</v>
      </c>
      <c r="E30" s="661"/>
      <c r="F30" s="662">
        <f>SUM([24]Sheet2!E32*195/229)</f>
        <v>20720.457314410483</v>
      </c>
      <c r="G30" s="662"/>
      <c r="H30" s="662">
        <f t="shared" si="0"/>
        <v>1646.6791093886468</v>
      </c>
      <c r="I30" s="662"/>
      <c r="J30" s="662">
        <f t="shared" si="1"/>
        <v>5573.8030175764206</v>
      </c>
      <c r="K30" s="662"/>
      <c r="L30" s="662">
        <f t="shared" si="2"/>
        <v>27941.457314410483</v>
      </c>
      <c r="M30" s="662"/>
      <c r="N30" s="663">
        <f t="shared" si="3"/>
        <v>20720.457314410483</v>
      </c>
      <c r="O30" s="662"/>
      <c r="P30" s="662"/>
      <c r="Q30" s="662"/>
      <c r="R30" s="662">
        <f t="shared" si="4"/>
        <v>1646.6791093886468</v>
      </c>
      <c r="S30" s="662"/>
      <c r="T30" s="662">
        <f t="shared" si="5"/>
        <v>22367.136423799129</v>
      </c>
      <c r="U30" s="524"/>
      <c r="V30" s="666"/>
      <c r="W30" s="665" t="s">
        <v>1433</v>
      </c>
      <c r="X30" s="588"/>
      <c r="Y30" s="588"/>
      <c r="Z30" s="588"/>
      <c r="AA30" s="588"/>
      <c r="AB30" s="588"/>
      <c r="AC30" s="588"/>
      <c r="AD30" s="588"/>
      <c r="AE30" s="588"/>
      <c r="AF30" s="588"/>
      <c r="AG30" s="588"/>
      <c r="AH30" s="588"/>
      <c r="AI30" s="588"/>
      <c r="AJ30" s="588"/>
      <c r="AK30" s="588"/>
      <c r="AL30" s="588"/>
      <c r="AM30" s="588"/>
      <c r="AN30" s="588"/>
      <c r="AO30" s="588"/>
      <c r="AP30" s="588"/>
      <c r="AQ30" s="588"/>
      <c r="AR30" s="588"/>
      <c r="AS30" s="588"/>
      <c r="AT30" s="588"/>
      <c r="AU30" s="588"/>
      <c r="AV30" s="588"/>
      <c r="AW30" s="588"/>
      <c r="AX30" s="588"/>
      <c r="AY30" s="588"/>
      <c r="AZ30" s="588"/>
      <c r="BA30" s="588"/>
      <c r="BB30" s="588"/>
      <c r="BC30" s="588"/>
      <c r="BD30" s="588"/>
      <c r="BE30" s="588"/>
      <c r="BF30" s="588"/>
      <c r="BG30" s="588"/>
    </row>
    <row r="31" spans="1:59" ht="16" customHeight="1" x14ac:dyDescent="0.35">
      <c r="A31" s="588"/>
      <c r="B31" s="549"/>
      <c r="C31" s="667" t="s">
        <v>1480</v>
      </c>
      <c r="D31" s="667">
        <v>18</v>
      </c>
      <c r="E31" s="668"/>
      <c r="F31" s="669">
        <f>SUM([24]Sheet2!E33*195/229)</f>
        <v>21393.290338427945</v>
      </c>
      <c r="G31" s="669"/>
      <c r="H31" s="669">
        <f t="shared" si="0"/>
        <v>1739.5300667030565</v>
      </c>
      <c r="I31" s="669"/>
      <c r="J31" s="669">
        <f t="shared" si="1"/>
        <v>5754.795101037118</v>
      </c>
      <c r="K31" s="669"/>
      <c r="L31" s="669">
        <f t="shared" si="2"/>
        <v>28888.290338427945</v>
      </c>
      <c r="M31" s="669"/>
      <c r="N31" s="670">
        <f t="shared" si="3"/>
        <v>21393.290338427945</v>
      </c>
      <c r="O31" s="669"/>
      <c r="P31" s="669"/>
      <c r="Q31" s="669"/>
      <c r="R31" s="669">
        <f t="shared" si="4"/>
        <v>1739.5300667030565</v>
      </c>
      <c r="S31" s="669"/>
      <c r="T31" s="669">
        <f t="shared" si="5"/>
        <v>23132.820405131002</v>
      </c>
      <c r="U31" s="524"/>
      <c r="V31" s="666"/>
      <c r="W31" s="588"/>
      <c r="X31" s="588"/>
      <c r="Y31" s="588"/>
      <c r="Z31" s="588"/>
      <c r="AA31" s="588"/>
      <c r="AB31" s="588"/>
      <c r="AC31" s="588"/>
      <c r="AD31" s="588"/>
      <c r="AE31" s="588"/>
      <c r="AF31" s="588"/>
      <c r="AG31" s="588"/>
      <c r="AH31" s="588"/>
      <c r="AI31" s="588"/>
      <c r="AJ31" s="588"/>
      <c r="AK31" s="588"/>
      <c r="AL31" s="588"/>
      <c r="AM31" s="588"/>
      <c r="AN31" s="588"/>
      <c r="AO31" s="588"/>
      <c r="AP31" s="588"/>
      <c r="AQ31" s="588"/>
      <c r="AR31" s="588"/>
      <c r="AS31" s="588"/>
      <c r="AT31" s="588"/>
      <c r="AU31" s="588"/>
      <c r="AV31" s="588"/>
      <c r="AW31" s="588"/>
      <c r="AX31" s="588"/>
      <c r="AY31" s="588"/>
      <c r="AZ31" s="588"/>
      <c r="BA31" s="588"/>
      <c r="BB31" s="588"/>
      <c r="BC31" s="588"/>
      <c r="BD31" s="588"/>
      <c r="BE31" s="588"/>
      <c r="BF31" s="588"/>
      <c r="BG31" s="588"/>
    </row>
    <row r="32" spans="1:59" ht="16" customHeight="1" x14ac:dyDescent="0.35">
      <c r="A32" s="588"/>
      <c r="B32" s="549"/>
      <c r="C32" s="664" t="s">
        <v>1489</v>
      </c>
      <c r="D32" s="664">
        <v>18</v>
      </c>
      <c r="E32" s="661"/>
      <c r="F32" s="662">
        <f>SUM([24]Sheet2!E33*195/229)</f>
        <v>21393.290338427945</v>
      </c>
      <c r="G32" s="662"/>
      <c r="H32" s="662">
        <f t="shared" si="0"/>
        <v>1739.5300667030565</v>
      </c>
      <c r="I32" s="662"/>
      <c r="J32" s="662">
        <f t="shared" si="1"/>
        <v>5754.795101037118</v>
      </c>
      <c r="K32" s="662"/>
      <c r="L32" s="662">
        <f>F32+ROUND(H32,0)+ROUND(J32,0)</f>
        <v>28888.290338427945</v>
      </c>
      <c r="M32" s="662"/>
      <c r="N32" s="663">
        <f>F32</f>
        <v>21393.290338427945</v>
      </c>
      <c r="O32" s="662"/>
      <c r="P32" s="662"/>
      <c r="Q32" s="662"/>
      <c r="R32" s="662">
        <f t="shared" si="4"/>
        <v>1739.5300667030565</v>
      </c>
      <c r="S32" s="662"/>
      <c r="T32" s="662">
        <f>SUM(N32:R32)</f>
        <v>23132.820405131002</v>
      </c>
      <c r="U32" s="524"/>
      <c r="V32" s="666"/>
      <c r="W32" s="588"/>
      <c r="X32" s="588"/>
      <c r="Y32" s="588"/>
      <c r="Z32" s="588"/>
      <c r="AA32" s="588"/>
      <c r="AB32" s="588"/>
      <c r="AC32" s="588"/>
      <c r="AD32" s="588"/>
      <c r="AE32" s="588"/>
      <c r="AF32" s="588"/>
      <c r="AG32" s="588"/>
      <c r="AH32" s="588"/>
      <c r="AI32" s="588"/>
      <c r="AJ32" s="588"/>
      <c r="AK32" s="588"/>
      <c r="AL32" s="588"/>
      <c r="AM32" s="588"/>
      <c r="AN32" s="588"/>
      <c r="AO32" s="588"/>
      <c r="AP32" s="588"/>
      <c r="AQ32" s="588"/>
      <c r="AR32" s="588"/>
      <c r="AS32" s="588"/>
      <c r="AT32" s="588"/>
      <c r="AU32" s="588"/>
      <c r="AV32" s="588"/>
      <c r="AW32" s="588"/>
      <c r="AX32" s="588"/>
      <c r="AY32" s="588"/>
      <c r="AZ32" s="588"/>
      <c r="BA32" s="588"/>
      <c r="BB32" s="588"/>
      <c r="BC32" s="588"/>
      <c r="BD32" s="588"/>
      <c r="BE32" s="588"/>
      <c r="BF32" s="588"/>
      <c r="BG32" s="588"/>
    </row>
    <row r="33" spans="1:59" ht="16" customHeight="1" x14ac:dyDescent="0.35">
      <c r="A33" s="588"/>
      <c r="B33" s="549"/>
      <c r="C33" s="664" t="s">
        <v>1490</v>
      </c>
      <c r="D33" s="664">
        <v>19</v>
      </c>
      <c r="E33" s="661"/>
      <c r="F33" s="662">
        <f>SUM([24]Sheet2!E34*195/229)</f>
        <v>22131.744268558956</v>
      </c>
      <c r="G33" s="662"/>
      <c r="H33" s="662">
        <f t="shared" si="0"/>
        <v>1841.4367090611361</v>
      </c>
      <c r="I33" s="662"/>
      <c r="J33" s="662">
        <f t="shared" si="1"/>
        <v>5953.4392082423592</v>
      </c>
      <c r="K33" s="662"/>
      <c r="L33" s="662">
        <f>F33+ROUND(H33,0)+ROUND(J33,0)</f>
        <v>29925.744268558956</v>
      </c>
      <c r="M33" s="662"/>
      <c r="N33" s="663">
        <f>F33</f>
        <v>22131.744268558956</v>
      </c>
      <c r="O33" s="662"/>
      <c r="P33" s="662"/>
      <c r="Q33" s="662"/>
      <c r="R33" s="662">
        <f t="shared" si="4"/>
        <v>1841.4367090611361</v>
      </c>
      <c r="S33" s="662"/>
      <c r="T33" s="662">
        <f>SUM(N33:R33)</f>
        <v>23973.180977620093</v>
      </c>
      <c r="U33" s="524"/>
      <c r="V33" s="666"/>
      <c r="W33" s="588"/>
      <c r="X33" s="588"/>
      <c r="Y33" s="588"/>
      <c r="Z33" s="588"/>
      <c r="AA33" s="588"/>
      <c r="AB33" s="588"/>
      <c r="AC33" s="588"/>
      <c r="AD33" s="588"/>
      <c r="AE33" s="588"/>
      <c r="AF33" s="588"/>
      <c r="AG33" s="588"/>
      <c r="AH33" s="588"/>
      <c r="AI33" s="588"/>
      <c r="AJ33" s="588"/>
      <c r="AK33" s="588"/>
      <c r="AL33" s="588"/>
      <c r="AM33" s="588"/>
      <c r="AN33" s="588"/>
      <c r="AO33" s="588"/>
      <c r="AP33" s="588"/>
      <c r="AQ33" s="588"/>
      <c r="AR33" s="588"/>
      <c r="AS33" s="588"/>
      <c r="AT33" s="588"/>
      <c r="AU33" s="588"/>
      <c r="AV33" s="588"/>
      <c r="AW33" s="588"/>
      <c r="AX33" s="588"/>
      <c r="AY33" s="588"/>
      <c r="AZ33" s="588"/>
      <c r="BA33" s="588"/>
      <c r="BB33" s="588"/>
      <c r="BC33" s="588"/>
      <c r="BD33" s="588"/>
      <c r="BE33" s="588"/>
      <c r="BF33" s="588"/>
      <c r="BG33" s="588"/>
    </row>
    <row r="34" spans="1:59" ht="16" customHeight="1" x14ac:dyDescent="0.35">
      <c r="A34" s="588"/>
      <c r="B34" s="549"/>
      <c r="C34" s="664" t="s">
        <v>1491</v>
      </c>
      <c r="D34" s="664">
        <v>20</v>
      </c>
      <c r="E34" s="661"/>
      <c r="F34" s="662">
        <f>SUM([24]Sheet2!E35*195/229)</f>
        <v>22808.077074235811</v>
      </c>
      <c r="G34" s="662"/>
      <c r="H34" s="662">
        <f t="shared" si="0"/>
        <v>1934.7706362445422</v>
      </c>
      <c r="I34" s="662"/>
      <c r="J34" s="662">
        <f t="shared" si="1"/>
        <v>6135.3727329694339</v>
      </c>
      <c r="K34" s="662"/>
      <c r="L34" s="662">
        <f>F34+ROUND(H34,0)+ROUND(J34,0)</f>
        <v>30878.077074235811</v>
      </c>
      <c r="M34" s="662"/>
      <c r="N34" s="663">
        <f>F34</f>
        <v>22808.077074235811</v>
      </c>
      <c r="O34" s="662"/>
      <c r="P34" s="662"/>
      <c r="Q34" s="662"/>
      <c r="R34" s="662">
        <f t="shared" si="4"/>
        <v>1934.7706362445422</v>
      </c>
      <c r="S34" s="662"/>
      <c r="T34" s="662">
        <f>SUM(N34:R34)</f>
        <v>24742.847710480353</v>
      </c>
      <c r="U34" s="524"/>
      <c r="V34" s="666"/>
      <c r="W34" s="588"/>
      <c r="X34" s="588"/>
      <c r="Y34" s="588"/>
      <c r="Z34" s="588"/>
      <c r="AA34" s="588"/>
      <c r="AB34" s="588"/>
      <c r="AC34" s="588"/>
      <c r="AD34" s="588"/>
      <c r="AE34" s="588"/>
      <c r="AF34" s="588"/>
      <c r="AG34" s="588"/>
      <c r="AH34" s="588"/>
      <c r="AI34" s="588"/>
      <c r="AJ34" s="588"/>
      <c r="AK34" s="588"/>
      <c r="AL34" s="588"/>
      <c r="AM34" s="588"/>
      <c r="AN34" s="588"/>
      <c r="AO34" s="588"/>
      <c r="AP34" s="588"/>
      <c r="AQ34" s="588"/>
      <c r="AR34" s="588"/>
      <c r="AS34" s="588"/>
      <c r="AT34" s="588"/>
      <c r="AU34" s="588"/>
      <c r="AV34" s="588"/>
      <c r="AW34" s="588"/>
      <c r="AX34" s="588"/>
      <c r="AY34" s="588"/>
      <c r="AZ34" s="588"/>
      <c r="BA34" s="588"/>
      <c r="BB34" s="588"/>
      <c r="BC34" s="588"/>
      <c r="BD34" s="588"/>
      <c r="BE34" s="588"/>
      <c r="BF34" s="588"/>
      <c r="BG34" s="588"/>
    </row>
    <row r="35" spans="1:59" ht="16" customHeight="1" x14ac:dyDescent="0.35">
      <c r="A35" s="588"/>
      <c r="B35" s="549"/>
      <c r="C35" s="667" t="s">
        <v>1480</v>
      </c>
      <c r="D35" s="667">
        <v>21</v>
      </c>
      <c r="E35" s="668"/>
      <c r="F35" s="669">
        <f>SUM([24]Sheet2!E36*195/229)</f>
        <v>23612.151910480352</v>
      </c>
      <c r="G35" s="669"/>
      <c r="H35" s="669">
        <f t="shared" si="0"/>
        <v>2045.7329636462887</v>
      </c>
      <c r="I35" s="669"/>
      <c r="J35" s="669">
        <f t="shared" si="1"/>
        <v>6351.6688639192153</v>
      </c>
      <c r="K35" s="669"/>
      <c r="L35" s="669">
        <f>F35+ROUND(H35,0)+ROUND(J35,0)</f>
        <v>32010.151910480352</v>
      </c>
      <c r="M35" s="669"/>
      <c r="N35" s="670">
        <f>F35</f>
        <v>23612.151910480352</v>
      </c>
      <c r="O35" s="669"/>
      <c r="P35" s="669"/>
      <c r="Q35" s="669"/>
      <c r="R35" s="669">
        <f t="shared" si="4"/>
        <v>2045.7329636462887</v>
      </c>
      <c r="S35" s="669"/>
      <c r="T35" s="669">
        <f>SUM(N35:R35)</f>
        <v>25657.884874126641</v>
      </c>
      <c r="U35" s="524"/>
      <c r="V35" s="666"/>
      <c r="W35" s="588"/>
      <c r="X35" s="588"/>
      <c r="Y35" s="588"/>
      <c r="Z35" s="588"/>
      <c r="AA35" s="588"/>
      <c r="AB35" s="588"/>
      <c r="AC35" s="588"/>
      <c r="AD35" s="588"/>
      <c r="AE35" s="588"/>
      <c r="AF35" s="588"/>
      <c r="AG35" s="588"/>
      <c r="AH35" s="588"/>
      <c r="AI35" s="588"/>
      <c r="AJ35" s="588"/>
      <c r="AK35" s="588"/>
      <c r="AL35" s="588"/>
      <c r="AM35" s="588"/>
      <c r="AN35" s="588"/>
      <c r="AO35" s="588"/>
      <c r="AP35" s="588"/>
      <c r="AQ35" s="588"/>
      <c r="AR35" s="588"/>
      <c r="AS35" s="588"/>
      <c r="AT35" s="588"/>
      <c r="AU35" s="588"/>
      <c r="AV35" s="588"/>
      <c r="AW35" s="588"/>
      <c r="AX35" s="588"/>
      <c r="AY35" s="588"/>
      <c r="AZ35" s="588"/>
      <c r="BA35" s="588"/>
      <c r="BB35" s="588"/>
      <c r="BC35" s="588"/>
      <c r="BD35" s="588"/>
      <c r="BE35" s="588"/>
      <c r="BF35" s="588"/>
      <c r="BG35" s="588"/>
    </row>
    <row r="36" spans="1:59" ht="16" customHeight="1" x14ac:dyDescent="0.35">
      <c r="A36" s="588"/>
      <c r="B36" s="549"/>
      <c r="C36" s="664" t="s">
        <v>1492</v>
      </c>
      <c r="D36" s="664">
        <v>21</v>
      </c>
      <c r="E36" s="661"/>
      <c r="F36" s="662">
        <f>SUM([24]Sheet2!E36*195/226)</f>
        <v>23925.587555309736</v>
      </c>
      <c r="G36" s="662"/>
      <c r="H36" s="662">
        <f t="shared" si="0"/>
        <v>2088.9870826327437</v>
      </c>
      <c r="I36" s="662"/>
      <c r="J36" s="662">
        <f t="shared" si="1"/>
        <v>6435.9830523783194</v>
      </c>
      <c r="K36" s="662"/>
      <c r="L36" s="662">
        <f t="shared" si="2"/>
        <v>32450.587555309736</v>
      </c>
      <c r="M36" s="662"/>
      <c r="N36" s="663">
        <f t="shared" si="3"/>
        <v>23925.587555309736</v>
      </c>
      <c r="O36" s="662"/>
      <c r="P36" s="662"/>
      <c r="Q36" s="662"/>
      <c r="R36" s="662">
        <f t="shared" si="4"/>
        <v>2088.9870826327437</v>
      </c>
      <c r="S36" s="662"/>
      <c r="T36" s="662">
        <f t="shared" si="5"/>
        <v>26014.574637942478</v>
      </c>
      <c r="U36" s="524"/>
      <c r="V36" s="666"/>
      <c r="W36" s="588"/>
      <c r="X36" s="588"/>
      <c r="Y36" s="588"/>
      <c r="Z36" s="588"/>
      <c r="AA36" s="588"/>
      <c r="AB36" s="588"/>
      <c r="AC36" s="588"/>
      <c r="AD36" s="588"/>
      <c r="AE36" s="588"/>
      <c r="AF36" s="588"/>
      <c r="AG36" s="588"/>
      <c r="AH36" s="588"/>
      <c r="AI36" s="588"/>
      <c r="AJ36" s="588"/>
      <c r="AK36" s="588"/>
      <c r="AL36" s="588"/>
      <c r="AM36" s="588"/>
      <c r="AN36" s="588"/>
      <c r="AO36" s="588"/>
      <c r="AP36" s="588"/>
      <c r="AQ36" s="588"/>
      <c r="AR36" s="588"/>
      <c r="AS36" s="588"/>
      <c r="AT36" s="588"/>
      <c r="AU36" s="588"/>
      <c r="AV36" s="588"/>
      <c r="AW36" s="588"/>
      <c r="AX36" s="588"/>
      <c r="AY36" s="588"/>
      <c r="AZ36" s="588"/>
      <c r="BA36" s="588"/>
      <c r="BB36" s="588"/>
      <c r="BC36" s="588"/>
      <c r="BD36" s="588"/>
      <c r="BE36" s="588"/>
      <c r="BF36" s="588"/>
      <c r="BG36" s="588"/>
    </row>
    <row r="37" spans="1:59" ht="16" customHeight="1" x14ac:dyDescent="0.35">
      <c r="A37" s="588"/>
      <c r="B37" s="549"/>
      <c r="C37" s="664" t="s">
        <v>1493</v>
      </c>
      <c r="D37" s="664">
        <v>22</v>
      </c>
      <c r="E37" s="661"/>
      <c r="F37" s="662">
        <f>SUM([24]Sheet2!E37*195/226)</f>
        <v>24739.44939159292</v>
      </c>
      <c r="G37" s="662"/>
      <c r="H37" s="662">
        <f t="shared" si="0"/>
        <v>2201.3000160398233</v>
      </c>
      <c r="I37" s="662"/>
      <c r="J37" s="662">
        <f t="shared" si="1"/>
        <v>6654.9118863384956</v>
      </c>
      <c r="K37" s="662"/>
      <c r="L37" s="662">
        <f t="shared" si="2"/>
        <v>33595.44939159292</v>
      </c>
      <c r="M37" s="662"/>
      <c r="N37" s="663">
        <f t="shared" si="3"/>
        <v>24739.44939159292</v>
      </c>
      <c r="O37" s="662"/>
      <c r="P37" s="662"/>
      <c r="Q37" s="662"/>
      <c r="R37" s="662">
        <f t="shared" si="4"/>
        <v>2201.3000160398233</v>
      </c>
      <c r="S37" s="662"/>
      <c r="T37" s="662">
        <f t="shared" si="5"/>
        <v>26940.749407632742</v>
      </c>
      <c r="U37" s="524"/>
      <c r="V37" s="666"/>
      <c r="W37" s="588"/>
      <c r="X37" s="588"/>
      <c r="Y37" s="588"/>
      <c r="Z37" s="588"/>
      <c r="AA37" s="588"/>
      <c r="AB37" s="588"/>
      <c r="AC37" s="588"/>
      <c r="AD37" s="588"/>
      <c r="AE37" s="588"/>
      <c r="AF37" s="588"/>
      <c r="AG37" s="588"/>
      <c r="AH37" s="588"/>
      <c r="AI37" s="588"/>
      <c r="AJ37" s="588"/>
      <c r="AK37" s="588"/>
      <c r="AL37" s="588"/>
      <c r="AM37" s="588"/>
      <c r="AN37" s="588"/>
      <c r="AO37" s="588"/>
      <c r="AP37" s="588"/>
      <c r="AQ37" s="588"/>
      <c r="AR37" s="588"/>
      <c r="AS37" s="588"/>
      <c r="AT37" s="588"/>
      <c r="AU37" s="588"/>
      <c r="AV37" s="588"/>
      <c r="AW37" s="588"/>
      <c r="AX37" s="588"/>
      <c r="AY37" s="588"/>
      <c r="AZ37" s="588"/>
      <c r="BA37" s="588"/>
      <c r="BB37" s="588"/>
      <c r="BC37" s="588"/>
      <c r="BD37" s="588"/>
      <c r="BE37" s="588"/>
      <c r="BF37" s="588"/>
      <c r="BG37" s="588"/>
    </row>
    <row r="38" spans="1:59" ht="16" customHeight="1" x14ac:dyDescent="0.35">
      <c r="A38" s="588"/>
      <c r="B38" s="549"/>
      <c r="C38" s="664" t="s">
        <v>1494</v>
      </c>
      <c r="D38" s="664">
        <v>23</v>
      </c>
      <c r="E38" s="661"/>
      <c r="F38" s="662">
        <f>SUM([24]Sheet2!E38*195/226)</f>
        <v>25815.732909292037</v>
      </c>
      <c r="G38" s="662"/>
      <c r="H38" s="662">
        <f t="shared" si="0"/>
        <v>2349.8271414823012</v>
      </c>
      <c r="I38" s="662"/>
      <c r="J38" s="662">
        <f t="shared" si="1"/>
        <v>6944.4321525995583</v>
      </c>
      <c r="K38" s="662"/>
      <c r="L38" s="662">
        <f>F38+ROUND(H38,0)+ROUND(J38,0)</f>
        <v>35109.732909292041</v>
      </c>
      <c r="M38" s="662"/>
      <c r="N38" s="663">
        <f>F38</f>
        <v>25815.732909292037</v>
      </c>
      <c r="O38" s="662"/>
      <c r="P38" s="662"/>
      <c r="Q38" s="662"/>
      <c r="R38" s="662">
        <f t="shared" si="4"/>
        <v>2349.8271414823012</v>
      </c>
      <c r="S38" s="662"/>
      <c r="T38" s="662">
        <f>SUM(N38:R38)</f>
        <v>28165.560050774337</v>
      </c>
      <c r="U38" s="524"/>
      <c r="V38" s="666"/>
      <c r="W38" s="588"/>
      <c r="X38" s="588"/>
      <c r="Y38" s="588"/>
      <c r="Z38" s="588"/>
      <c r="AA38" s="588"/>
      <c r="AB38" s="588"/>
      <c r="AC38" s="588"/>
      <c r="AD38" s="588"/>
      <c r="AE38" s="588"/>
      <c r="AF38" s="588"/>
      <c r="AG38" s="588"/>
      <c r="AH38" s="588"/>
      <c r="AI38" s="588"/>
      <c r="AJ38" s="588"/>
      <c r="AK38" s="588"/>
      <c r="AL38" s="588"/>
      <c r="AM38" s="588"/>
      <c r="AN38" s="588"/>
      <c r="AO38" s="588"/>
      <c r="AP38" s="588"/>
      <c r="AQ38" s="588"/>
      <c r="AR38" s="588"/>
      <c r="AS38" s="588"/>
      <c r="AT38" s="588"/>
      <c r="AU38" s="588"/>
      <c r="AV38" s="588"/>
      <c r="AW38" s="588"/>
      <c r="AX38" s="588"/>
      <c r="AY38" s="588"/>
      <c r="AZ38" s="588"/>
      <c r="BA38" s="588"/>
      <c r="BB38" s="588"/>
      <c r="BC38" s="588"/>
      <c r="BD38" s="588"/>
      <c r="BE38" s="588"/>
      <c r="BF38" s="588"/>
      <c r="BG38" s="588"/>
    </row>
    <row r="39" spans="1:59" ht="16" customHeight="1" x14ac:dyDescent="0.35">
      <c r="A39" s="588"/>
      <c r="B39" s="549"/>
      <c r="C39" s="664" t="s">
        <v>1480</v>
      </c>
      <c r="D39" s="664">
        <v>24</v>
      </c>
      <c r="E39" s="661"/>
      <c r="F39" s="662">
        <f>SUM([24]Sheet2!E39*195/226)</f>
        <v>26793.608296460181</v>
      </c>
      <c r="G39" s="662"/>
      <c r="H39" s="662">
        <f>IF($F39&gt;$W$12,($F39-$W$12)*$Y$12,"ERROR")</f>
        <v>2484.7739449115052</v>
      </c>
      <c r="I39" s="662"/>
      <c r="J39" s="662">
        <f t="shared" si="1"/>
        <v>7207.4806317477887</v>
      </c>
      <c r="K39" s="662"/>
      <c r="L39" s="662">
        <f t="shared" si="2"/>
        <v>36485.608296460181</v>
      </c>
      <c r="M39" s="662"/>
      <c r="N39" s="663">
        <f t="shared" si="3"/>
        <v>26793.608296460181</v>
      </c>
      <c r="O39" s="662"/>
      <c r="P39" s="662"/>
      <c r="Q39" s="662"/>
      <c r="R39" s="662">
        <f t="shared" si="4"/>
        <v>2484.7739449115052</v>
      </c>
      <c r="S39" s="662"/>
      <c r="T39" s="662">
        <f t="shared" si="5"/>
        <v>29278.382241371684</v>
      </c>
      <c r="U39" s="524"/>
      <c r="V39" s="666"/>
      <c r="W39" s="588"/>
      <c r="X39" s="588"/>
      <c r="Y39" s="588"/>
      <c r="Z39" s="588"/>
      <c r="AA39" s="588"/>
      <c r="AB39" s="588"/>
      <c r="AC39" s="588"/>
      <c r="AD39" s="588"/>
      <c r="AE39" s="588"/>
      <c r="AF39" s="588"/>
      <c r="AG39" s="588"/>
      <c r="AH39" s="588"/>
      <c r="AI39" s="588"/>
      <c r="AJ39" s="588"/>
      <c r="AK39" s="588"/>
      <c r="AL39" s="588"/>
      <c r="AM39" s="588"/>
      <c r="AN39" s="588"/>
      <c r="AO39" s="588"/>
      <c r="AP39" s="588"/>
      <c r="AQ39" s="588"/>
      <c r="AR39" s="588"/>
      <c r="AS39" s="588"/>
      <c r="AT39" s="588"/>
      <c r="AU39" s="588"/>
      <c r="AV39" s="588"/>
      <c r="AW39" s="588"/>
      <c r="AX39" s="588"/>
      <c r="AY39" s="588"/>
      <c r="AZ39" s="588"/>
      <c r="BA39" s="588"/>
      <c r="BB39" s="588"/>
      <c r="BC39" s="588"/>
      <c r="BD39" s="588"/>
      <c r="BE39" s="588"/>
      <c r="BF39" s="588"/>
      <c r="BG39" s="588"/>
    </row>
    <row r="40" spans="1:59" ht="16" customHeight="1" thickBot="1" x14ac:dyDescent="0.4">
      <c r="A40" s="588" t="s">
        <v>1495</v>
      </c>
      <c r="B40" s="672"/>
      <c r="C40" s="848" t="s">
        <v>1496</v>
      </c>
      <c r="D40" s="883">
        <v>0.6</v>
      </c>
      <c r="E40" s="849"/>
      <c r="F40" s="850">
        <f>$F$24-(($F$24-$F$23)*40%)</f>
        <v>17014.188537117905</v>
      </c>
      <c r="G40" s="851"/>
      <c r="H40" s="852">
        <f>IF($F40&gt;$W$12,($F40-$W$12)*$Y$12,"ERROR")</f>
        <v>1135.214018122271</v>
      </c>
      <c r="I40" s="852"/>
      <c r="J40" s="852">
        <f t="shared" si="1"/>
        <v>4576.8167164847164</v>
      </c>
      <c r="K40" s="852"/>
      <c r="L40" s="852">
        <f>F40+ROUND(H40,0)+ROUND(J40,0)</f>
        <v>22726.188537117905</v>
      </c>
      <c r="M40" s="564"/>
      <c r="N40" s="674"/>
      <c r="O40" s="564"/>
      <c r="P40" s="564"/>
      <c r="Q40" s="564"/>
      <c r="R40" s="564"/>
      <c r="S40" s="564"/>
      <c r="T40" s="564"/>
      <c r="U40" s="537"/>
      <c r="V40" s="666"/>
      <c r="W40" s="588"/>
      <c r="X40" s="588"/>
      <c r="Y40" s="588"/>
      <c r="Z40" s="588"/>
      <c r="AA40" s="588"/>
      <c r="AB40" s="588"/>
      <c r="AC40" s="588"/>
      <c r="AD40" s="588"/>
      <c r="AE40" s="588"/>
      <c r="AF40" s="588"/>
      <c r="AG40" s="588"/>
      <c r="AH40" s="588"/>
      <c r="AI40" s="588"/>
      <c r="AJ40" s="588"/>
      <c r="AK40" s="588"/>
      <c r="AL40" s="588"/>
      <c r="AM40" s="588"/>
      <c r="AN40" s="588"/>
      <c r="AO40" s="588"/>
      <c r="AP40" s="588"/>
      <c r="AQ40" s="588"/>
      <c r="AR40" s="588"/>
      <c r="AS40" s="588"/>
      <c r="AT40" s="588"/>
      <c r="AU40" s="588"/>
      <c r="AV40" s="588"/>
      <c r="AW40" s="588"/>
      <c r="AX40" s="588"/>
      <c r="AY40" s="588"/>
      <c r="AZ40" s="588"/>
      <c r="BA40" s="588"/>
      <c r="BB40" s="588"/>
      <c r="BC40" s="588"/>
      <c r="BD40" s="588"/>
      <c r="BE40" s="588"/>
      <c r="BF40" s="588"/>
      <c r="BG40" s="588"/>
    </row>
    <row r="41" spans="1:59" ht="16" customHeight="1" thickBot="1" x14ac:dyDescent="0.4">
      <c r="A41" s="588"/>
      <c r="B41" s="588"/>
      <c r="C41" s="848" t="s">
        <v>1496</v>
      </c>
      <c r="D41" s="883">
        <v>0.7</v>
      </c>
      <c r="E41" s="849"/>
      <c r="F41" s="850">
        <f>F24-((F24-F23)*30%)</f>
        <v>17106.057805676857</v>
      </c>
      <c r="G41" s="851"/>
      <c r="H41" s="852">
        <f>IF($F41&gt;$W$12,($F41-$W$12)*$Y$12,"ERROR")</f>
        <v>1147.8919771834064</v>
      </c>
      <c r="I41" s="852"/>
      <c r="J41" s="852">
        <f t="shared" si="1"/>
        <v>4601.5295497270745</v>
      </c>
      <c r="K41" s="852"/>
      <c r="L41" s="852">
        <f>F41+ROUND(H41,0)+ROUND(J41,0)</f>
        <v>22856.057805676857</v>
      </c>
      <c r="M41" s="564"/>
      <c r="N41" s="588"/>
      <c r="O41" s="588"/>
      <c r="P41" s="588"/>
      <c r="Q41" s="588"/>
      <c r="R41" s="588"/>
      <c r="S41" s="588"/>
      <c r="T41" s="588"/>
      <c r="U41" s="588"/>
      <c r="V41" s="666"/>
      <c r="W41" s="588"/>
      <c r="X41" s="588"/>
      <c r="Y41" s="588"/>
      <c r="Z41" s="588"/>
      <c r="AA41" s="588"/>
      <c r="AB41" s="588"/>
      <c r="AC41" s="588"/>
      <c r="AD41" s="588"/>
      <c r="AE41" s="588"/>
      <c r="AF41" s="588"/>
      <c r="AG41" s="588"/>
      <c r="AH41" s="588"/>
      <c r="AI41" s="588"/>
      <c r="AJ41" s="588"/>
      <c r="AK41" s="588"/>
      <c r="AL41" s="588"/>
      <c r="AM41" s="588"/>
      <c r="AN41" s="588"/>
      <c r="AO41" s="588"/>
      <c r="AP41" s="588"/>
      <c r="AQ41" s="588"/>
      <c r="AR41" s="588"/>
      <c r="AS41" s="588"/>
      <c r="AT41" s="588"/>
      <c r="AU41" s="588"/>
      <c r="AV41" s="588"/>
      <c r="AW41" s="588"/>
      <c r="AX41" s="588"/>
      <c r="AY41" s="588"/>
      <c r="AZ41" s="588"/>
      <c r="BA41" s="588"/>
      <c r="BB41" s="588"/>
      <c r="BC41" s="588"/>
      <c r="BD41" s="588"/>
      <c r="BE41" s="588"/>
      <c r="BF41" s="588"/>
      <c r="BG41" s="588"/>
    </row>
    <row r="42" spans="1:59" ht="16" customHeight="1" x14ac:dyDescent="0.35">
      <c r="A42" s="588"/>
      <c r="B42" s="588"/>
      <c r="C42" s="588"/>
      <c r="D42" s="588"/>
      <c r="E42" s="588"/>
      <c r="F42" s="588"/>
      <c r="G42" s="588"/>
      <c r="H42" s="588"/>
      <c r="I42" s="588"/>
      <c r="J42" s="588"/>
      <c r="K42" s="588"/>
      <c r="L42" s="588"/>
      <c r="M42" s="588"/>
      <c r="N42" s="588"/>
      <c r="O42" s="588"/>
      <c r="P42" s="588"/>
      <c r="Q42" s="588"/>
      <c r="R42" s="588"/>
      <c r="S42" s="588"/>
      <c r="T42" s="588"/>
      <c r="U42" s="588"/>
      <c r="V42" s="588"/>
      <c r="W42" s="588"/>
      <c r="X42" s="588"/>
      <c r="Y42" s="588"/>
      <c r="Z42" s="588"/>
      <c r="AA42" s="588"/>
      <c r="AB42" s="588"/>
      <c r="AC42" s="588"/>
      <c r="AD42" s="588"/>
      <c r="AE42" s="588"/>
      <c r="AF42" s="588"/>
      <c r="AG42" s="588"/>
      <c r="AH42" s="588"/>
      <c r="AI42" s="588"/>
      <c r="AJ42" s="588"/>
      <c r="AK42" s="588"/>
      <c r="AL42" s="588"/>
      <c r="AM42" s="588"/>
      <c r="AN42" s="588"/>
      <c r="AO42" s="588"/>
      <c r="AP42" s="588"/>
      <c r="AQ42" s="588"/>
      <c r="AR42" s="588"/>
      <c r="AS42" s="588"/>
      <c r="AT42" s="588"/>
      <c r="AU42" s="588"/>
      <c r="AV42" s="588"/>
      <c r="AW42" s="588"/>
      <c r="AX42" s="588"/>
      <c r="AY42" s="588"/>
      <c r="AZ42" s="588"/>
      <c r="BA42" s="588"/>
      <c r="BB42" s="588"/>
      <c r="BC42" s="588"/>
      <c r="BD42" s="588"/>
      <c r="BE42" s="588"/>
      <c r="BF42" s="588"/>
      <c r="BG42" s="588"/>
    </row>
    <row r="43" spans="1:59" ht="18" thickBot="1" x14ac:dyDescent="0.4">
      <c r="A43" s="588"/>
      <c r="B43" s="588"/>
      <c r="C43" s="588"/>
      <c r="D43" s="588"/>
      <c r="E43" s="588"/>
      <c r="F43" s="810">
        <f>F24-((F24-F23)*50%)</f>
        <v>16922.319268558953</v>
      </c>
      <c r="G43" s="564"/>
      <c r="H43" s="809">
        <f>IF($F43&gt;$W$12,($F43-$W$12)*$Y$12,"ERROR")</f>
        <v>1122.5360590611356</v>
      </c>
      <c r="I43" s="809"/>
      <c r="J43" s="809">
        <f>$F43*$X$15</f>
        <v>4552.1038832423583</v>
      </c>
      <c r="K43" s="809"/>
      <c r="L43" s="809">
        <f>F43+ROUND(H43,0)+ROUND(J43,0)</f>
        <v>22597.319268558953</v>
      </c>
      <c r="M43" s="588"/>
      <c r="N43" s="588"/>
      <c r="O43" s="588"/>
      <c r="P43" s="588"/>
      <c r="Q43" s="588"/>
      <c r="R43" s="588"/>
      <c r="S43" s="588"/>
      <c r="T43" s="588"/>
      <c r="U43" s="588"/>
      <c r="V43" s="588"/>
      <c r="W43" s="588"/>
      <c r="X43" s="588"/>
      <c r="Y43" s="588"/>
      <c r="Z43" s="588"/>
      <c r="AA43" s="588"/>
      <c r="AB43" s="588"/>
      <c r="AC43" s="588"/>
      <c r="AD43" s="588"/>
      <c r="AE43" s="588"/>
      <c r="AF43" s="588"/>
      <c r="AG43" s="588"/>
      <c r="AH43" s="588"/>
      <c r="AI43" s="588"/>
      <c r="AJ43" s="588"/>
      <c r="AK43" s="588"/>
      <c r="AL43" s="588"/>
      <c r="AM43" s="588"/>
      <c r="AN43" s="588"/>
      <c r="AO43" s="588"/>
      <c r="AP43" s="588"/>
      <c r="AQ43" s="588"/>
      <c r="AR43" s="588"/>
      <c r="AS43" s="588"/>
      <c r="AT43" s="588"/>
      <c r="AU43" s="588"/>
      <c r="AV43" s="588"/>
      <c r="AW43" s="588"/>
      <c r="AX43" s="588"/>
      <c r="AY43" s="588"/>
      <c r="AZ43" s="588"/>
      <c r="BA43" s="588"/>
      <c r="BB43" s="588"/>
      <c r="BC43" s="588"/>
      <c r="BD43" s="588"/>
      <c r="BE43" s="588"/>
      <c r="BF43" s="588"/>
      <c r="BG43" s="588"/>
    </row>
    <row r="44" spans="1:59" x14ac:dyDescent="0.35">
      <c r="A44" s="588"/>
      <c r="B44" s="588"/>
      <c r="C44" s="588"/>
      <c r="D44" s="588"/>
      <c r="E44" s="588"/>
      <c r="F44" s="588"/>
      <c r="G44" s="588"/>
      <c r="H44" s="588"/>
      <c r="I44" s="588"/>
      <c r="J44" s="588"/>
      <c r="K44" s="588"/>
      <c r="L44" s="588"/>
      <c r="M44" s="588"/>
      <c r="N44" s="588"/>
      <c r="O44" s="588"/>
      <c r="P44" s="588"/>
      <c r="Q44" s="588"/>
      <c r="R44" s="588"/>
      <c r="S44" s="588"/>
      <c r="T44" s="588"/>
      <c r="U44" s="588"/>
      <c r="V44" s="588"/>
      <c r="W44" s="588"/>
      <c r="X44" s="588"/>
      <c r="Y44" s="588"/>
      <c r="Z44" s="588"/>
      <c r="AA44" s="588"/>
      <c r="AB44" s="588"/>
      <c r="AC44" s="588"/>
      <c r="AD44" s="588"/>
      <c r="AE44" s="588"/>
      <c r="AF44" s="588"/>
      <c r="AG44" s="588"/>
      <c r="AH44" s="588"/>
      <c r="AI44" s="588"/>
      <c r="AJ44" s="588"/>
      <c r="AK44" s="588"/>
      <c r="AL44" s="588"/>
      <c r="AM44" s="588"/>
      <c r="AN44" s="588"/>
      <c r="AO44" s="588"/>
      <c r="AP44" s="588"/>
      <c r="AQ44" s="588"/>
      <c r="AR44" s="588"/>
      <c r="AS44" s="588"/>
      <c r="AT44" s="588"/>
      <c r="AU44" s="588"/>
      <c r="AV44" s="588"/>
      <c r="AW44" s="588"/>
      <c r="AX44" s="588"/>
      <c r="AY44" s="588"/>
      <c r="AZ44" s="588"/>
      <c r="BA44" s="588"/>
      <c r="BB44" s="588"/>
      <c r="BC44" s="588"/>
      <c r="BD44" s="588"/>
      <c r="BE44" s="588"/>
      <c r="BF44" s="588"/>
      <c r="BG44" s="588"/>
    </row>
    <row r="45" spans="1:59" ht="18" thickBot="1" x14ac:dyDescent="0.4">
      <c r="A45" s="588"/>
      <c r="B45" s="588"/>
      <c r="C45" s="588"/>
      <c r="D45" s="588"/>
      <c r="E45" s="588"/>
      <c r="F45" s="850">
        <f>F40+(F40*2%)</f>
        <v>17354.472307860262</v>
      </c>
      <c r="G45" s="851"/>
      <c r="H45" s="852">
        <f>IF($F45&gt;$W$12,($F45-$W$12)*$Y$12,"ERROR")</f>
        <v>1182.1731784847163</v>
      </c>
      <c r="I45" s="852"/>
      <c r="J45" s="852">
        <f>$F45*$X$15</f>
        <v>4668.3530508144104</v>
      </c>
      <c r="K45" s="852"/>
      <c r="L45" s="852">
        <f>F45+ROUND(H45,0)+ROUND(J45,0)</f>
        <v>23204.472307860262</v>
      </c>
      <c r="M45" s="588"/>
      <c r="N45" s="588"/>
      <c r="O45" s="588"/>
      <c r="P45" s="588"/>
      <c r="Q45" s="588" t="s">
        <v>1497</v>
      </c>
      <c r="R45" s="588"/>
      <c r="S45" s="588"/>
      <c r="T45" s="588"/>
      <c r="U45" s="588"/>
      <c r="V45" s="588"/>
      <c r="W45" s="588"/>
      <c r="X45" s="588"/>
      <c r="Y45" s="588"/>
      <c r="Z45" s="588"/>
      <c r="AA45" s="588"/>
      <c r="AB45" s="588"/>
      <c r="AC45" s="588"/>
      <c r="AD45" s="588"/>
      <c r="AE45" s="588"/>
      <c r="AF45" s="588"/>
      <c r="AG45" s="588"/>
      <c r="AH45" s="588"/>
      <c r="AI45" s="588"/>
      <c r="AJ45" s="588"/>
      <c r="AK45" s="588"/>
      <c r="AL45" s="588"/>
      <c r="AM45" s="588"/>
      <c r="AN45" s="588"/>
      <c r="AO45" s="588"/>
      <c r="AP45" s="588"/>
      <c r="AQ45" s="588"/>
      <c r="AR45" s="588"/>
      <c r="AS45" s="588"/>
      <c r="AT45" s="588"/>
      <c r="AU45" s="588"/>
      <c r="AV45" s="588"/>
      <c r="AW45" s="588"/>
      <c r="AX45" s="588"/>
      <c r="AY45" s="588"/>
      <c r="AZ45" s="588"/>
      <c r="BA45" s="588"/>
      <c r="BB45" s="588"/>
      <c r="BC45" s="588"/>
      <c r="BD45" s="588"/>
      <c r="BE45" s="588"/>
      <c r="BF45" s="588"/>
      <c r="BG45" s="588"/>
    </row>
    <row r="46" spans="1:59" x14ac:dyDescent="0.35">
      <c r="A46" s="588"/>
      <c r="B46" s="588"/>
      <c r="C46" s="588"/>
      <c r="D46" s="588"/>
      <c r="E46" s="588"/>
      <c r="F46" s="588"/>
      <c r="G46" s="588"/>
      <c r="H46" s="588"/>
      <c r="I46" s="588"/>
      <c r="J46" s="588"/>
      <c r="K46" s="588"/>
      <c r="L46" s="588"/>
      <c r="M46" s="588"/>
      <c r="N46" s="588"/>
      <c r="O46" s="588"/>
      <c r="P46" s="588"/>
      <c r="Q46" s="588"/>
      <c r="R46" s="588"/>
      <c r="S46" s="588"/>
      <c r="T46" s="588"/>
      <c r="U46" s="588"/>
      <c r="V46" s="588"/>
      <c r="W46" s="588"/>
      <c r="X46" s="588"/>
      <c r="Y46" s="588"/>
      <c r="Z46" s="588"/>
      <c r="AA46" s="588"/>
      <c r="AB46" s="588"/>
      <c r="AC46" s="588"/>
      <c r="AD46" s="588"/>
      <c r="AE46" s="588"/>
      <c r="AF46" s="588"/>
      <c r="AG46" s="588"/>
      <c r="AH46" s="588"/>
      <c r="AI46" s="588"/>
      <c r="AJ46" s="588"/>
      <c r="AK46" s="588"/>
      <c r="AL46" s="588"/>
      <c r="AM46" s="588"/>
      <c r="AN46" s="588"/>
      <c r="AO46" s="588"/>
      <c r="AP46" s="588"/>
      <c r="AQ46" s="588"/>
      <c r="AR46" s="588"/>
      <c r="AS46" s="588"/>
      <c r="AT46" s="588"/>
      <c r="AU46" s="588"/>
      <c r="AV46" s="588"/>
      <c r="AW46" s="588"/>
      <c r="AX46" s="588"/>
      <c r="AY46" s="588"/>
      <c r="AZ46" s="588"/>
      <c r="BA46" s="588"/>
      <c r="BB46" s="588"/>
      <c r="BC46" s="588"/>
      <c r="BD46" s="588"/>
      <c r="BE46" s="588"/>
      <c r="BF46" s="588"/>
      <c r="BG46" s="588"/>
    </row>
    <row r="47" spans="1:59" ht="18" thickBot="1" x14ac:dyDescent="0.4">
      <c r="A47" s="588"/>
      <c r="B47" s="588"/>
      <c r="C47" s="588"/>
      <c r="D47" s="588"/>
      <c r="E47" s="588"/>
      <c r="F47" s="850">
        <f>F45</f>
        <v>17354.472307860262</v>
      </c>
      <c r="G47" s="851"/>
      <c r="H47" s="852">
        <f>IF($F47&gt;$W$12,($F47-$W$12)*($Y$12+0.0125),"ERROR")</f>
        <v>1289.2540823329696</v>
      </c>
      <c r="I47" s="852"/>
      <c r="J47" s="852">
        <f>$F47*$X$15</f>
        <v>4668.3530508144104</v>
      </c>
      <c r="K47" s="852"/>
      <c r="L47" s="852">
        <f>F47+ROUND(H47,0)+ROUND(J47,0)</f>
        <v>23311.472307860262</v>
      </c>
      <c r="M47" s="588"/>
      <c r="N47" s="588"/>
      <c r="O47" s="588"/>
      <c r="P47" s="588"/>
      <c r="S47" s="588"/>
      <c r="T47" s="588"/>
      <c r="U47" s="588"/>
      <c r="V47" s="588"/>
      <c r="W47" s="588"/>
      <c r="X47" s="588"/>
      <c r="Y47" s="588"/>
      <c r="Z47" s="588"/>
      <c r="AA47" s="588"/>
      <c r="AB47" s="588"/>
      <c r="AC47" s="588"/>
      <c r="AD47" s="588"/>
      <c r="AE47" s="588"/>
      <c r="AF47" s="588"/>
      <c r="AG47" s="588"/>
      <c r="AH47" s="588"/>
      <c r="AI47" s="588"/>
      <c r="AJ47" s="588"/>
      <c r="AK47" s="588"/>
      <c r="AL47" s="588"/>
      <c r="AM47" s="588"/>
      <c r="AN47" s="588"/>
      <c r="AO47" s="588"/>
      <c r="AP47" s="588"/>
      <c r="AQ47" s="588"/>
      <c r="AR47" s="588"/>
      <c r="AS47" s="588"/>
      <c r="AT47" s="588"/>
      <c r="AU47" s="588"/>
      <c r="AV47" s="588"/>
      <c r="AW47" s="588"/>
      <c r="AX47" s="588"/>
      <c r="AY47" s="588"/>
      <c r="AZ47" s="588"/>
      <c r="BA47" s="588"/>
      <c r="BB47" s="588"/>
      <c r="BC47" s="588"/>
      <c r="BD47" s="588"/>
      <c r="BE47" s="588"/>
      <c r="BF47" s="588"/>
      <c r="BG47" s="588"/>
    </row>
    <row r="48" spans="1:59" x14ac:dyDescent="0.35">
      <c r="A48" s="588"/>
      <c r="B48" s="588"/>
      <c r="C48" s="588"/>
      <c r="D48" s="588"/>
      <c r="E48" s="588"/>
      <c r="F48" s="588"/>
      <c r="G48" s="588"/>
      <c r="H48" s="588"/>
      <c r="I48" s="588"/>
      <c r="J48" s="588"/>
      <c r="K48" s="588"/>
      <c r="L48" s="588"/>
      <c r="M48" s="588"/>
      <c r="N48" s="588"/>
      <c r="O48" s="588"/>
      <c r="P48" s="588"/>
      <c r="Q48" s="588"/>
      <c r="R48" s="588"/>
      <c r="S48" s="588"/>
      <c r="T48" s="588"/>
      <c r="U48" s="588"/>
      <c r="V48" s="588"/>
      <c r="W48" s="588"/>
      <c r="X48" s="588"/>
      <c r="Y48" s="588"/>
      <c r="Z48" s="588"/>
      <c r="AA48" s="588"/>
      <c r="AB48" s="588"/>
      <c r="AC48" s="588"/>
      <c r="AD48" s="588"/>
      <c r="AE48" s="588"/>
      <c r="AF48" s="588"/>
      <c r="AG48" s="588"/>
      <c r="AH48" s="588"/>
      <c r="AI48" s="588"/>
      <c r="AJ48" s="588"/>
      <c r="AK48" s="588"/>
      <c r="AL48" s="588"/>
      <c r="AM48" s="588"/>
      <c r="AN48" s="588"/>
      <c r="AO48" s="588"/>
      <c r="AP48" s="588"/>
      <c r="AQ48" s="588"/>
      <c r="AR48" s="588"/>
      <c r="AS48" s="588"/>
      <c r="AT48" s="588"/>
      <c r="AU48" s="588"/>
      <c r="AV48" s="588"/>
      <c r="AW48" s="588"/>
      <c r="AX48" s="588"/>
      <c r="AY48" s="588"/>
      <c r="AZ48" s="588"/>
      <c r="BA48" s="588"/>
      <c r="BB48" s="588"/>
      <c r="BC48" s="588"/>
      <c r="BD48" s="588"/>
      <c r="BE48" s="588"/>
      <c r="BF48" s="588"/>
      <c r="BG48" s="588"/>
    </row>
    <row r="49" spans="1:59" x14ac:dyDescent="0.35">
      <c r="A49" s="588"/>
      <c r="B49" s="588"/>
      <c r="C49" s="588"/>
      <c r="D49" s="588"/>
      <c r="E49" s="588"/>
      <c r="F49" s="588"/>
      <c r="G49" s="588"/>
      <c r="H49" s="1126">
        <f>H47-H45</f>
        <v>107.08090384825323</v>
      </c>
      <c r="I49" s="588"/>
      <c r="J49" s="588" t="s">
        <v>1451</v>
      </c>
      <c r="K49" s="588"/>
      <c r="L49" s="588"/>
      <c r="M49" s="588"/>
      <c r="N49" s="588"/>
      <c r="O49" s="588"/>
      <c r="P49" s="588"/>
      <c r="Q49" s="588"/>
      <c r="R49" s="588"/>
      <c r="S49" s="588"/>
      <c r="T49" s="588"/>
      <c r="U49" s="588"/>
      <c r="V49" s="588"/>
      <c r="W49" s="588"/>
      <c r="X49" s="588"/>
      <c r="Y49" s="588"/>
      <c r="Z49" s="588"/>
      <c r="AA49" s="588"/>
      <c r="AB49" s="588"/>
      <c r="AC49" s="588"/>
      <c r="AD49" s="588"/>
      <c r="AE49" s="588"/>
      <c r="AF49" s="588"/>
      <c r="AG49" s="588"/>
      <c r="AH49" s="588"/>
      <c r="AI49" s="588"/>
      <c r="AJ49" s="588"/>
      <c r="AK49" s="588"/>
      <c r="AL49" s="588"/>
      <c r="AM49" s="588"/>
      <c r="AN49" s="588"/>
      <c r="AO49" s="588"/>
      <c r="AP49" s="588"/>
      <c r="AQ49" s="588"/>
      <c r="AR49" s="588"/>
      <c r="AS49" s="588"/>
      <c r="AT49" s="588"/>
      <c r="AU49" s="588"/>
      <c r="AV49" s="588"/>
      <c r="AW49" s="588"/>
      <c r="AX49" s="588"/>
      <c r="AY49" s="588"/>
      <c r="AZ49" s="588"/>
      <c r="BA49" s="588"/>
      <c r="BB49" s="588"/>
      <c r="BC49" s="588"/>
      <c r="BD49" s="588"/>
      <c r="BE49" s="588"/>
      <c r="BF49" s="588"/>
      <c r="BG49" s="588"/>
    </row>
    <row r="50" spans="1:59" x14ac:dyDescent="0.35">
      <c r="A50" s="588"/>
      <c r="B50" s="588"/>
      <c r="C50" s="588"/>
      <c r="D50" s="588"/>
      <c r="E50" s="588"/>
      <c r="F50" s="588"/>
      <c r="G50" s="588"/>
      <c r="H50" s="588"/>
      <c r="I50" s="588"/>
      <c r="J50" s="588"/>
      <c r="K50" s="588"/>
      <c r="L50" s="588"/>
      <c r="M50" s="588"/>
      <c r="N50" s="588"/>
      <c r="O50" s="588"/>
      <c r="P50" s="588"/>
      <c r="Q50" s="588"/>
      <c r="R50" s="588"/>
      <c r="S50" s="588"/>
      <c r="T50" s="588"/>
      <c r="U50" s="588"/>
      <c r="V50" s="588"/>
      <c r="W50" s="588"/>
      <c r="X50" s="588"/>
      <c r="Y50" s="588"/>
      <c r="Z50" s="588"/>
      <c r="AA50" s="588"/>
      <c r="AB50" s="588"/>
      <c r="AC50" s="588"/>
      <c r="AD50" s="588"/>
      <c r="AE50" s="588"/>
      <c r="AF50" s="588"/>
      <c r="AG50" s="588"/>
      <c r="AH50" s="588"/>
      <c r="AI50" s="588"/>
      <c r="AJ50" s="588"/>
      <c r="AK50" s="588"/>
      <c r="AL50" s="588"/>
      <c r="AM50" s="588"/>
      <c r="AN50" s="588"/>
      <c r="AO50" s="588"/>
      <c r="AP50" s="588"/>
      <c r="AQ50" s="588"/>
      <c r="AR50" s="588"/>
      <c r="AS50" s="588"/>
      <c r="AT50" s="588"/>
      <c r="AU50" s="588"/>
      <c r="AV50" s="588"/>
      <c r="AW50" s="588"/>
      <c r="AX50" s="588"/>
      <c r="AY50" s="588"/>
      <c r="AZ50" s="588"/>
      <c r="BA50" s="588"/>
      <c r="BB50" s="588"/>
      <c r="BC50" s="588"/>
      <c r="BD50" s="588"/>
      <c r="BE50" s="588"/>
      <c r="BF50" s="588"/>
      <c r="BG50" s="588"/>
    </row>
    <row r="51" spans="1:59" x14ac:dyDescent="0.35">
      <c r="A51" s="588"/>
      <c r="B51" s="588"/>
      <c r="C51" s="588"/>
      <c r="D51" s="588"/>
      <c r="E51" s="588"/>
      <c r="F51" s="588"/>
      <c r="G51" s="588"/>
      <c r="H51" s="588"/>
      <c r="I51" s="588"/>
      <c r="J51" s="588"/>
      <c r="K51" s="588"/>
      <c r="L51" s="588"/>
      <c r="M51" s="588"/>
      <c r="N51" s="588"/>
      <c r="O51" s="588"/>
      <c r="P51" s="588"/>
      <c r="Q51" s="588"/>
      <c r="R51" s="588"/>
      <c r="S51" s="588"/>
      <c r="T51" s="588"/>
      <c r="U51" s="588"/>
      <c r="V51" s="588"/>
      <c r="W51" s="588"/>
      <c r="X51" s="588"/>
      <c r="Y51" s="588"/>
      <c r="Z51" s="588"/>
      <c r="AA51" s="588"/>
      <c r="AB51" s="588"/>
      <c r="AC51" s="588"/>
      <c r="AD51" s="588"/>
      <c r="AE51" s="588"/>
      <c r="AF51" s="588"/>
      <c r="AG51" s="588"/>
      <c r="AH51" s="588"/>
      <c r="AI51" s="588"/>
      <c r="AJ51" s="588"/>
      <c r="AK51" s="588"/>
      <c r="AL51" s="588"/>
      <c r="AM51" s="588"/>
      <c r="AN51" s="588"/>
      <c r="AO51" s="588"/>
      <c r="AP51" s="588"/>
      <c r="AQ51" s="588"/>
      <c r="AR51" s="588"/>
      <c r="AS51" s="588"/>
      <c r="AT51" s="588"/>
      <c r="AU51" s="588"/>
      <c r="AV51" s="588"/>
      <c r="AW51" s="588"/>
      <c r="AX51" s="588"/>
      <c r="AY51" s="588"/>
      <c r="AZ51" s="588"/>
      <c r="BA51" s="588"/>
      <c r="BB51" s="588"/>
      <c r="BC51" s="588"/>
      <c r="BD51" s="588"/>
      <c r="BE51" s="588"/>
      <c r="BF51" s="588"/>
      <c r="BG51" s="588"/>
    </row>
    <row r="52" spans="1:59" x14ac:dyDescent="0.35">
      <c r="A52" s="588"/>
      <c r="B52" s="588"/>
      <c r="C52" s="588"/>
      <c r="D52" s="588"/>
      <c r="E52" s="588"/>
      <c r="F52" s="588"/>
      <c r="G52" s="588"/>
      <c r="H52" s="588"/>
      <c r="I52" s="588"/>
      <c r="J52" s="588"/>
      <c r="K52" s="588"/>
      <c r="L52" s="588"/>
      <c r="M52" s="588"/>
      <c r="N52" s="588"/>
      <c r="O52" s="588"/>
      <c r="P52" s="588"/>
      <c r="Q52" s="588"/>
      <c r="R52" s="588"/>
      <c r="S52" s="588"/>
      <c r="T52" s="588"/>
      <c r="U52" s="588"/>
      <c r="V52" s="588"/>
      <c r="W52" s="588"/>
      <c r="X52" s="588"/>
      <c r="Y52" s="588"/>
      <c r="Z52" s="588"/>
      <c r="AA52" s="588"/>
      <c r="AB52" s="588"/>
      <c r="AC52" s="588"/>
      <c r="AD52" s="588"/>
      <c r="AE52" s="588"/>
      <c r="AF52" s="588"/>
      <c r="AG52" s="588"/>
      <c r="AH52" s="588"/>
      <c r="AI52" s="588"/>
      <c r="AJ52" s="588"/>
      <c r="AK52" s="588"/>
      <c r="AL52" s="588"/>
      <c r="AM52" s="588"/>
      <c r="AN52" s="588"/>
      <c r="AO52" s="588"/>
      <c r="AP52" s="588"/>
      <c r="AQ52" s="588"/>
      <c r="AR52" s="588"/>
      <c r="AS52" s="588"/>
      <c r="AT52" s="588"/>
      <c r="AU52" s="588"/>
      <c r="AV52" s="588"/>
      <c r="AW52" s="588"/>
      <c r="AX52" s="588"/>
      <c r="AY52" s="588"/>
      <c r="AZ52" s="588"/>
      <c r="BA52" s="588"/>
      <c r="BB52" s="588"/>
      <c r="BC52" s="588"/>
      <c r="BD52" s="588"/>
      <c r="BE52" s="588"/>
      <c r="BF52" s="588"/>
      <c r="BG52" s="588"/>
    </row>
    <row r="53" spans="1:59" x14ac:dyDescent="0.35">
      <c r="A53" s="588"/>
      <c r="B53" s="588"/>
      <c r="C53" s="588"/>
      <c r="D53" s="588"/>
      <c r="E53" s="588"/>
      <c r="F53" s="588"/>
      <c r="G53" s="588"/>
      <c r="H53" s="588"/>
      <c r="I53" s="588"/>
      <c r="J53" s="588"/>
      <c r="K53" s="588"/>
      <c r="L53" s="588"/>
      <c r="M53" s="588"/>
      <c r="N53" s="588"/>
      <c r="O53" s="588"/>
      <c r="P53" s="588"/>
      <c r="Q53" s="588"/>
      <c r="R53" s="588"/>
      <c r="S53" s="588"/>
      <c r="T53" s="588"/>
      <c r="U53" s="588"/>
      <c r="V53" s="588"/>
      <c r="W53" s="588"/>
      <c r="X53" s="588"/>
      <c r="Y53" s="588"/>
      <c r="Z53" s="588"/>
      <c r="AA53" s="588"/>
      <c r="AB53" s="588"/>
      <c r="AC53" s="588"/>
      <c r="AD53" s="588"/>
      <c r="AE53" s="588"/>
      <c r="AF53" s="588"/>
      <c r="AG53" s="588"/>
      <c r="AH53" s="588"/>
      <c r="AI53" s="588"/>
      <c r="AJ53" s="588"/>
      <c r="AK53" s="588"/>
      <c r="AL53" s="588"/>
      <c r="AM53" s="588"/>
      <c r="AN53" s="588"/>
      <c r="AO53" s="588"/>
      <c r="AP53" s="588"/>
      <c r="AQ53" s="588"/>
      <c r="AR53" s="588"/>
      <c r="AS53" s="588"/>
      <c r="AT53" s="588"/>
      <c r="AU53" s="588"/>
      <c r="AV53" s="588"/>
      <c r="AW53" s="588"/>
      <c r="AX53" s="588"/>
      <c r="AY53" s="588"/>
      <c r="AZ53" s="588"/>
      <c r="BA53" s="588"/>
      <c r="BB53" s="588"/>
      <c r="BC53" s="588"/>
      <c r="BD53" s="588"/>
      <c r="BE53" s="588"/>
      <c r="BF53" s="588"/>
      <c r="BG53" s="588"/>
    </row>
    <row r="54" spans="1:59" x14ac:dyDescent="0.35">
      <c r="A54" s="588"/>
      <c r="B54" s="588"/>
      <c r="C54" s="588"/>
      <c r="D54" s="588"/>
      <c r="E54" s="588"/>
      <c r="F54" s="588"/>
      <c r="G54" s="588"/>
      <c r="H54" s="588"/>
      <c r="I54" s="588"/>
      <c r="J54" s="588"/>
      <c r="K54" s="588"/>
      <c r="L54" s="588"/>
      <c r="M54" s="588"/>
      <c r="N54" s="588"/>
      <c r="O54" s="588"/>
      <c r="P54" s="588"/>
      <c r="Q54" s="588"/>
      <c r="R54" s="588"/>
      <c r="S54" s="588"/>
      <c r="T54" s="588"/>
      <c r="U54" s="588"/>
      <c r="V54" s="588"/>
      <c r="W54" s="588"/>
      <c r="X54" s="588"/>
      <c r="Y54" s="588"/>
      <c r="Z54" s="588"/>
      <c r="AA54" s="588"/>
      <c r="AB54" s="588"/>
      <c r="AC54" s="588"/>
      <c r="AD54" s="588"/>
      <c r="AE54" s="588"/>
      <c r="AF54" s="588"/>
      <c r="AG54" s="588"/>
      <c r="AH54" s="588"/>
      <c r="AI54" s="588"/>
      <c r="AJ54" s="588"/>
      <c r="AK54" s="588"/>
      <c r="AL54" s="588"/>
      <c r="AM54" s="588"/>
      <c r="AN54" s="588"/>
      <c r="AO54" s="588"/>
      <c r="AP54" s="588"/>
      <c r="AQ54" s="588"/>
      <c r="AR54" s="588"/>
      <c r="AS54" s="588"/>
      <c r="AT54" s="588"/>
      <c r="AU54" s="588"/>
      <c r="AV54" s="588"/>
      <c r="AW54" s="588"/>
      <c r="AX54" s="588"/>
      <c r="AY54" s="588"/>
      <c r="AZ54" s="588"/>
      <c r="BA54" s="588"/>
      <c r="BB54" s="588"/>
      <c r="BC54" s="588"/>
      <c r="BD54" s="588"/>
      <c r="BE54" s="588"/>
      <c r="BF54" s="588"/>
      <c r="BG54" s="588"/>
    </row>
    <row r="55" spans="1:59" x14ac:dyDescent="0.35">
      <c r="A55" s="588"/>
      <c r="B55" s="588"/>
      <c r="C55" s="588"/>
      <c r="D55" s="588"/>
      <c r="E55" s="588"/>
      <c r="F55" s="588"/>
      <c r="G55" s="588"/>
      <c r="H55" s="588"/>
      <c r="I55" s="588"/>
      <c r="J55" s="588"/>
      <c r="K55" s="588"/>
      <c r="L55" s="588"/>
      <c r="M55" s="588"/>
      <c r="N55" s="588"/>
      <c r="O55" s="588"/>
      <c r="P55" s="588"/>
      <c r="Q55" s="588"/>
      <c r="R55" s="588"/>
      <c r="S55" s="588"/>
      <c r="T55" s="588"/>
      <c r="U55" s="588"/>
      <c r="V55" s="588"/>
      <c r="W55" s="588"/>
      <c r="X55" s="588"/>
      <c r="Y55" s="588"/>
      <c r="Z55" s="588"/>
      <c r="AA55" s="588"/>
      <c r="AB55" s="588"/>
      <c r="AC55" s="588"/>
      <c r="AD55" s="588"/>
      <c r="AE55" s="588"/>
      <c r="AF55" s="588"/>
      <c r="AG55" s="588"/>
      <c r="AH55" s="588"/>
      <c r="AI55" s="588"/>
      <c r="AJ55" s="588"/>
      <c r="AK55" s="588"/>
      <c r="AL55" s="588"/>
      <c r="AM55" s="588"/>
      <c r="AN55" s="588"/>
      <c r="AO55" s="588"/>
      <c r="AP55" s="588"/>
      <c r="AQ55" s="588"/>
      <c r="AR55" s="588"/>
      <c r="AS55" s="588"/>
      <c r="AT55" s="588"/>
      <c r="AU55" s="588"/>
      <c r="AV55" s="588"/>
      <c r="AW55" s="588"/>
      <c r="AX55" s="588"/>
      <c r="AY55" s="588"/>
      <c r="AZ55" s="588"/>
      <c r="BA55" s="588"/>
      <c r="BB55" s="588"/>
      <c r="BC55" s="588"/>
      <c r="BD55" s="588"/>
      <c r="BE55" s="588"/>
      <c r="BF55" s="588"/>
      <c r="BG55" s="588"/>
    </row>
    <row r="56" spans="1:59" x14ac:dyDescent="0.35">
      <c r="A56" s="588"/>
      <c r="B56" s="588"/>
      <c r="C56" s="588"/>
      <c r="D56" s="588"/>
      <c r="E56" s="588"/>
      <c r="F56" s="588"/>
      <c r="G56" s="588"/>
      <c r="H56" s="588"/>
      <c r="I56" s="588"/>
      <c r="J56" s="588"/>
      <c r="K56" s="588"/>
      <c r="L56" s="588"/>
      <c r="M56" s="588"/>
      <c r="N56" s="588"/>
      <c r="O56" s="588"/>
      <c r="P56" s="588"/>
      <c r="Q56" s="588"/>
      <c r="R56" s="588"/>
      <c r="S56" s="588"/>
      <c r="T56" s="588"/>
      <c r="U56" s="588"/>
      <c r="V56" s="588"/>
      <c r="W56" s="588"/>
      <c r="X56" s="588"/>
      <c r="Y56" s="588"/>
      <c r="Z56" s="588"/>
      <c r="AA56" s="588"/>
      <c r="AB56" s="588"/>
      <c r="AC56" s="588"/>
      <c r="AD56" s="588"/>
      <c r="AE56" s="588"/>
      <c r="AF56" s="588"/>
      <c r="AG56" s="588"/>
      <c r="AH56" s="588"/>
      <c r="AI56" s="588"/>
      <c r="AJ56" s="588"/>
      <c r="AK56" s="588"/>
      <c r="AL56" s="588"/>
      <c r="AM56" s="588"/>
      <c r="AN56" s="588"/>
      <c r="AO56" s="588"/>
      <c r="AP56" s="588"/>
      <c r="AQ56" s="588"/>
      <c r="AR56" s="588"/>
      <c r="AS56" s="588"/>
      <c r="AT56" s="588"/>
      <c r="AU56" s="588"/>
      <c r="AV56" s="588"/>
      <c r="AW56" s="588"/>
      <c r="AX56" s="588"/>
      <c r="AY56" s="588"/>
      <c r="AZ56" s="588"/>
      <c r="BA56" s="588"/>
      <c r="BB56" s="588"/>
      <c r="BC56" s="588"/>
      <c r="BD56" s="588"/>
      <c r="BE56" s="588"/>
      <c r="BF56" s="588"/>
      <c r="BG56" s="588"/>
    </row>
    <row r="57" spans="1:59" x14ac:dyDescent="0.35">
      <c r="A57" s="588"/>
      <c r="B57" s="588"/>
      <c r="C57" s="588"/>
      <c r="D57" s="588"/>
      <c r="E57" s="588"/>
      <c r="F57" s="588"/>
      <c r="G57" s="588"/>
      <c r="H57" s="588"/>
      <c r="I57" s="588"/>
      <c r="J57" s="588"/>
      <c r="K57" s="588"/>
      <c r="L57" s="588"/>
      <c r="M57" s="588"/>
      <c r="N57" s="588"/>
      <c r="O57" s="588"/>
      <c r="P57" s="588"/>
      <c r="Q57" s="588"/>
      <c r="R57" s="588"/>
      <c r="S57" s="588"/>
      <c r="T57" s="588"/>
      <c r="U57" s="588"/>
      <c r="V57" s="588"/>
      <c r="W57" s="588"/>
      <c r="X57" s="588"/>
      <c r="Y57" s="588"/>
      <c r="Z57" s="588"/>
      <c r="AA57" s="588"/>
      <c r="AB57" s="588"/>
      <c r="AC57" s="588"/>
      <c r="AD57" s="588"/>
      <c r="AE57" s="588"/>
      <c r="AF57" s="588"/>
      <c r="AG57" s="588"/>
      <c r="AH57" s="588"/>
      <c r="AI57" s="588"/>
      <c r="AJ57" s="588"/>
      <c r="AK57" s="588"/>
      <c r="AL57" s="588"/>
      <c r="AM57" s="588"/>
      <c r="AN57" s="588"/>
      <c r="AO57" s="588"/>
      <c r="AP57" s="588"/>
      <c r="AQ57" s="588"/>
      <c r="AR57" s="588"/>
      <c r="AS57" s="588"/>
      <c r="AT57" s="588"/>
      <c r="AU57" s="588"/>
      <c r="AV57" s="588"/>
      <c r="AW57" s="588"/>
      <c r="AX57" s="588"/>
      <c r="AY57" s="588"/>
      <c r="AZ57" s="588"/>
      <c r="BA57" s="588"/>
      <c r="BB57" s="588"/>
      <c r="BC57" s="588"/>
      <c r="BD57" s="588"/>
      <c r="BE57" s="588"/>
      <c r="BF57" s="588"/>
      <c r="BG57" s="588"/>
    </row>
    <row r="58" spans="1:59" x14ac:dyDescent="0.35">
      <c r="A58" s="588"/>
      <c r="B58" s="588"/>
      <c r="C58" s="588"/>
      <c r="D58" s="588"/>
      <c r="E58" s="588"/>
      <c r="F58" s="588"/>
      <c r="G58" s="588"/>
      <c r="H58" s="588"/>
      <c r="I58" s="588"/>
      <c r="J58" s="588"/>
      <c r="K58" s="588"/>
      <c r="L58" s="588"/>
      <c r="M58" s="588"/>
      <c r="N58" s="588"/>
      <c r="O58" s="588"/>
      <c r="P58" s="588"/>
      <c r="Q58" s="588"/>
      <c r="R58" s="588"/>
      <c r="S58" s="588"/>
      <c r="T58" s="588"/>
      <c r="U58" s="588"/>
      <c r="V58" s="588"/>
      <c r="W58" s="588"/>
      <c r="X58" s="588"/>
      <c r="Y58" s="588"/>
      <c r="Z58" s="588"/>
      <c r="AA58" s="588"/>
      <c r="AB58" s="588"/>
      <c r="AC58" s="588"/>
      <c r="AD58" s="588"/>
      <c r="AE58" s="588"/>
      <c r="AF58" s="588"/>
      <c r="AG58" s="588"/>
      <c r="AH58" s="588"/>
      <c r="AI58" s="588"/>
      <c r="AJ58" s="588"/>
      <c r="AK58" s="588"/>
      <c r="AL58" s="588"/>
      <c r="AM58" s="588"/>
      <c r="AN58" s="588"/>
      <c r="AO58" s="588"/>
      <c r="AP58" s="588"/>
      <c r="AQ58" s="588"/>
      <c r="AR58" s="588"/>
      <c r="AS58" s="588"/>
      <c r="AT58" s="588"/>
      <c r="AU58" s="588"/>
      <c r="AV58" s="588"/>
      <c r="AW58" s="588"/>
      <c r="AX58" s="588"/>
      <c r="AY58" s="588"/>
      <c r="AZ58" s="588"/>
      <c r="BA58" s="588"/>
      <c r="BB58" s="588"/>
      <c r="BC58" s="588"/>
      <c r="BD58" s="588"/>
      <c r="BE58" s="588"/>
      <c r="BF58" s="588"/>
      <c r="BG58" s="588"/>
    </row>
    <row r="59" spans="1:59" x14ac:dyDescent="0.35">
      <c r="A59" s="588"/>
      <c r="B59" s="588"/>
      <c r="C59" s="588"/>
      <c r="D59" s="588"/>
      <c r="E59" s="588"/>
      <c r="F59" s="588"/>
      <c r="G59" s="588"/>
      <c r="H59" s="588"/>
      <c r="I59" s="588"/>
      <c r="J59" s="588"/>
      <c r="K59" s="588"/>
      <c r="L59" s="588"/>
      <c r="M59" s="588"/>
      <c r="N59" s="588"/>
      <c r="O59" s="588"/>
      <c r="P59" s="588"/>
      <c r="Q59" s="588"/>
      <c r="R59" s="588"/>
      <c r="S59" s="588"/>
      <c r="T59" s="588"/>
      <c r="U59" s="588"/>
      <c r="V59" s="588"/>
      <c r="W59" s="588"/>
      <c r="X59" s="588"/>
      <c r="Y59" s="588"/>
      <c r="Z59" s="588"/>
      <c r="AA59" s="588"/>
      <c r="AB59" s="588"/>
      <c r="AC59" s="588"/>
      <c r="AD59" s="588"/>
      <c r="AE59" s="588"/>
      <c r="AF59" s="588"/>
      <c r="AG59" s="588"/>
      <c r="AH59" s="588"/>
      <c r="AI59" s="588"/>
      <c r="AJ59" s="588"/>
      <c r="AK59" s="588"/>
      <c r="AL59" s="588"/>
      <c r="AM59" s="588"/>
      <c r="AN59" s="588"/>
      <c r="AO59" s="588"/>
      <c r="AP59" s="588"/>
      <c r="AQ59" s="588"/>
      <c r="AR59" s="588"/>
      <c r="AS59" s="588"/>
      <c r="AT59" s="588"/>
      <c r="AU59" s="588"/>
      <c r="AV59" s="588"/>
      <c r="AW59" s="588"/>
      <c r="AX59" s="588"/>
      <c r="AY59" s="588"/>
      <c r="AZ59" s="588"/>
      <c r="BA59" s="588"/>
      <c r="BB59" s="588"/>
      <c r="BC59" s="588"/>
      <c r="BD59" s="588"/>
      <c r="BE59" s="588"/>
      <c r="BF59" s="588"/>
      <c r="BG59" s="588"/>
    </row>
    <row r="60" spans="1:59" x14ac:dyDescent="0.35">
      <c r="A60" s="588"/>
      <c r="B60" s="588"/>
      <c r="C60" s="588"/>
      <c r="D60" s="588"/>
      <c r="E60" s="588"/>
      <c r="F60" s="588"/>
      <c r="G60" s="588"/>
      <c r="H60" s="588"/>
      <c r="I60" s="588"/>
      <c r="J60" s="588"/>
      <c r="K60" s="588"/>
      <c r="L60" s="588"/>
      <c r="M60" s="588"/>
      <c r="N60" s="588"/>
      <c r="O60" s="588"/>
      <c r="P60" s="588"/>
      <c r="Q60" s="588"/>
      <c r="R60" s="588"/>
      <c r="S60" s="588"/>
      <c r="T60" s="588"/>
      <c r="U60" s="588"/>
      <c r="V60" s="588"/>
      <c r="W60" s="588"/>
      <c r="X60" s="588"/>
      <c r="Y60" s="588"/>
      <c r="Z60" s="588"/>
      <c r="AA60" s="588"/>
      <c r="AB60" s="588"/>
      <c r="AC60" s="588"/>
      <c r="AD60" s="588"/>
      <c r="AE60" s="588"/>
      <c r="AF60" s="588"/>
      <c r="AG60" s="588"/>
      <c r="AH60" s="588"/>
      <c r="AI60" s="588"/>
      <c r="AJ60" s="588"/>
      <c r="AK60" s="588"/>
      <c r="AL60" s="588"/>
      <c r="AM60" s="588"/>
      <c r="AN60" s="588"/>
      <c r="AO60" s="588"/>
      <c r="AP60" s="588"/>
      <c r="AQ60" s="588"/>
      <c r="AR60" s="588"/>
      <c r="AS60" s="588"/>
      <c r="AT60" s="588"/>
      <c r="AU60" s="588"/>
      <c r="AV60" s="588"/>
      <c r="AW60" s="588"/>
      <c r="AX60" s="588"/>
      <c r="AY60" s="588"/>
      <c r="AZ60" s="588"/>
      <c r="BA60" s="588"/>
      <c r="BB60" s="588"/>
      <c r="BC60" s="588"/>
      <c r="BD60" s="588"/>
      <c r="BE60" s="588"/>
      <c r="BF60" s="588"/>
      <c r="BG60" s="588"/>
    </row>
    <row r="61" spans="1:59" x14ac:dyDescent="0.35">
      <c r="A61" s="588"/>
      <c r="B61" s="588"/>
      <c r="C61" s="588"/>
      <c r="D61" s="588"/>
      <c r="E61" s="588"/>
      <c r="F61" s="588"/>
      <c r="G61" s="588"/>
      <c r="H61" s="588"/>
      <c r="I61" s="588"/>
      <c r="J61" s="588"/>
      <c r="K61" s="588"/>
      <c r="L61" s="588"/>
      <c r="M61" s="588"/>
      <c r="N61" s="588"/>
      <c r="O61" s="588"/>
      <c r="P61" s="588"/>
      <c r="Q61" s="588"/>
      <c r="R61" s="588"/>
      <c r="S61" s="588"/>
      <c r="T61" s="588"/>
      <c r="U61" s="588"/>
      <c r="V61" s="588"/>
      <c r="W61" s="588"/>
      <c r="X61" s="588"/>
      <c r="Y61" s="588"/>
      <c r="Z61" s="588"/>
      <c r="AA61" s="588"/>
      <c r="AB61" s="588"/>
      <c r="AC61" s="588"/>
      <c r="AD61" s="588"/>
      <c r="AE61" s="588"/>
      <c r="AF61" s="588"/>
      <c r="AG61" s="588"/>
      <c r="AH61" s="588"/>
      <c r="AI61" s="588"/>
      <c r="AJ61" s="588"/>
      <c r="AK61" s="588"/>
      <c r="AL61" s="588"/>
      <c r="AM61" s="588"/>
      <c r="AN61" s="588"/>
      <c r="AO61" s="588"/>
      <c r="AP61" s="588"/>
      <c r="AQ61" s="588"/>
      <c r="AR61" s="588"/>
      <c r="AS61" s="588"/>
      <c r="AT61" s="588"/>
      <c r="AU61" s="588"/>
      <c r="AV61" s="588"/>
      <c r="AW61" s="588"/>
      <c r="AX61" s="588"/>
      <c r="AY61" s="588"/>
      <c r="AZ61" s="588"/>
      <c r="BA61" s="588"/>
      <c r="BB61" s="588"/>
      <c r="BC61" s="588"/>
      <c r="BD61" s="588"/>
      <c r="BE61" s="588"/>
      <c r="BF61" s="588"/>
      <c r="BG61" s="588"/>
    </row>
    <row r="62" spans="1:59" x14ac:dyDescent="0.35">
      <c r="A62" s="588"/>
      <c r="B62" s="588"/>
      <c r="C62" s="588"/>
      <c r="D62" s="588"/>
      <c r="E62" s="588"/>
      <c r="F62" s="588"/>
      <c r="G62" s="588"/>
      <c r="H62" s="588"/>
      <c r="I62" s="588"/>
      <c r="J62" s="588"/>
      <c r="K62" s="588"/>
      <c r="L62" s="588"/>
      <c r="M62" s="588"/>
      <c r="N62" s="588"/>
      <c r="O62" s="588"/>
      <c r="P62" s="588"/>
      <c r="Q62" s="588"/>
      <c r="R62" s="588"/>
      <c r="S62" s="588"/>
      <c r="T62" s="588"/>
      <c r="U62" s="588"/>
      <c r="V62" s="588"/>
      <c r="W62" s="588"/>
      <c r="X62" s="588"/>
      <c r="Y62" s="588"/>
      <c r="Z62" s="588"/>
      <c r="AA62" s="588"/>
      <c r="AB62" s="588"/>
      <c r="AC62" s="588"/>
      <c r="AD62" s="588"/>
      <c r="AE62" s="588"/>
      <c r="AF62" s="588"/>
      <c r="AG62" s="588"/>
      <c r="AH62" s="588"/>
      <c r="AI62" s="588"/>
      <c r="AJ62" s="588"/>
      <c r="AK62" s="588"/>
      <c r="AL62" s="588"/>
      <c r="AM62" s="588"/>
      <c r="AN62" s="588"/>
      <c r="AO62" s="588"/>
      <c r="AP62" s="588"/>
      <c r="AQ62" s="588"/>
      <c r="AR62" s="588"/>
      <c r="AS62" s="588"/>
      <c r="AT62" s="588"/>
      <c r="AU62" s="588"/>
      <c r="AV62" s="588"/>
      <c r="AW62" s="588"/>
      <c r="AX62" s="588"/>
      <c r="AY62" s="588"/>
      <c r="AZ62" s="588"/>
      <c r="BA62" s="588"/>
      <c r="BB62" s="588"/>
      <c r="BC62" s="588"/>
      <c r="BD62" s="588"/>
      <c r="BE62" s="588"/>
      <c r="BF62" s="588"/>
      <c r="BG62" s="588"/>
    </row>
    <row r="63" spans="1:59" x14ac:dyDescent="0.35">
      <c r="A63" s="588"/>
      <c r="B63" s="588"/>
      <c r="C63" s="588"/>
      <c r="D63" s="588"/>
      <c r="E63" s="588"/>
      <c r="F63" s="588"/>
      <c r="G63" s="588"/>
      <c r="H63" s="588"/>
      <c r="I63" s="588"/>
      <c r="J63" s="588"/>
      <c r="K63" s="588"/>
      <c r="L63" s="588"/>
      <c r="M63" s="588"/>
      <c r="N63" s="588"/>
      <c r="O63" s="588"/>
      <c r="P63" s="588"/>
      <c r="Q63" s="588"/>
      <c r="R63" s="588"/>
      <c r="S63" s="588"/>
      <c r="T63" s="588"/>
      <c r="U63" s="588"/>
      <c r="V63" s="588"/>
      <c r="W63" s="588"/>
      <c r="X63" s="588"/>
      <c r="Y63" s="588"/>
      <c r="Z63" s="588"/>
      <c r="AA63" s="588"/>
      <c r="AB63" s="588"/>
      <c r="AC63" s="588"/>
      <c r="AD63" s="588"/>
      <c r="AE63" s="588"/>
      <c r="AF63" s="588"/>
      <c r="AG63" s="588"/>
      <c r="AH63" s="588"/>
      <c r="AI63" s="588"/>
      <c r="AJ63" s="588"/>
      <c r="AK63" s="588"/>
      <c r="AL63" s="588"/>
      <c r="AM63" s="588"/>
      <c r="AN63" s="588"/>
      <c r="AO63" s="588"/>
      <c r="AP63" s="588"/>
      <c r="AQ63" s="588"/>
      <c r="AR63" s="588"/>
      <c r="AS63" s="588"/>
      <c r="AT63" s="588"/>
      <c r="AU63" s="588"/>
      <c r="AV63" s="588"/>
      <c r="AW63" s="588"/>
      <c r="AX63" s="588"/>
      <c r="AY63" s="588"/>
      <c r="AZ63" s="588"/>
      <c r="BA63" s="588"/>
      <c r="BB63" s="588"/>
      <c r="BC63" s="588"/>
      <c r="BD63" s="588"/>
      <c r="BE63" s="588"/>
      <c r="BF63" s="588"/>
      <c r="BG63" s="588"/>
    </row>
    <row r="64" spans="1:59" x14ac:dyDescent="0.35">
      <c r="A64" s="588"/>
      <c r="B64" s="588"/>
      <c r="C64" s="588"/>
      <c r="D64" s="588"/>
      <c r="E64" s="588"/>
      <c r="F64" s="588"/>
      <c r="G64" s="588"/>
      <c r="H64" s="588"/>
      <c r="I64" s="588"/>
      <c r="J64" s="588"/>
      <c r="K64" s="588"/>
      <c r="L64" s="588"/>
      <c r="M64" s="588"/>
      <c r="N64" s="588"/>
      <c r="O64" s="588"/>
      <c r="P64" s="588"/>
      <c r="Q64" s="588"/>
      <c r="R64" s="588"/>
      <c r="S64" s="588"/>
      <c r="T64" s="588"/>
      <c r="U64" s="588"/>
      <c r="V64" s="588"/>
      <c r="W64" s="588"/>
      <c r="X64" s="588"/>
      <c r="Y64" s="588"/>
      <c r="Z64" s="588"/>
      <c r="AA64" s="588"/>
      <c r="AB64" s="588"/>
      <c r="AC64" s="588"/>
      <c r="AD64" s="588"/>
      <c r="AE64" s="588"/>
      <c r="AF64" s="588"/>
      <c r="AG64" s="588"/>
      <c r="AH64" s="588"/>
      <c r="AI64" s="588"/>
      <c r="AJ64" s="588"/>
      <c r="AK64" s="588"/>
      <c r="AL64" s="588"/>
      <c r="AM64" s="588"/>
      <c r="AN64" s="588"/>
      <c r="AO64" s="588"/>
      <c r="AP64" s="588"/>
      <c r="AQ64" s="588"/>
      <c r="AR64" s="588"/>
      <c r="AS64" s="588"/>
      <c r="AT64" s="588"/>
      <c r="AU64" s="588"/>
      <c r="AV64" s="588"/>
      <c r="AW64" s="588"/>
      <c r="AX64" s="588"/>
      <c r="AY64" s="588"/>
      <c r="AZ64" s="588"/>
      <c r="BA64" s="588"/>
      <c r="BB64" s="588"/>
      <c r="BC64" s="588"/>
      <c r="BD64" s="588"/>
      <c r="BE64" s="588"/>
      <c r="BF64" s="588"/>
      <c r="BG64" s="588"/>
    </row>
    <row r="65" spans="1:59" x14ac:dyDescent="0.35">
      <c r="A65" s="588"/>
      <c r="B65" s="588"/>
      <c r="C65" s="588"/>
      <c r="D65" s="588"/>
      <c r="E65" s="588"/>
      <c r="F65" s="588"/>
      <c r="G65" s="588"/>
      <c r="H65" s="588"/>
      <c r="I65" s="588"/>
      <c r="J65" s="588"/>
      <c r="K65" s="588"/>
      <c r="L65" s="588"/>
      <c r="M65" s="588"/>
      <c r="N65" s="588"/>
      <c r="O65" s="588"/>
      <c r="P65" s="588"/>
      <c r="Q65" s="588"/>
      <c r="R65" s="588"/>
      <c r="S65" s="588"/>
      <c r="T65" s="588"/>
      <c r="U65" s="588"/>
      <c r="V65" s="588"/>
      <c r="W65" s="588"/>
      <c r="X65" s="588"/>
      <c r="Y65" s="588"/>
      <c r="Z65" s="588"/>
      <c r="AA65" s="588"/>
      <c r="AB65" s="588"/>
      <c r="AC65" s="588"/>
      <c r="AD65" s="588"/>
      <c r="AE65" s="588"/>
      <c r="AF65" s="588"/>
      <c r="AG65" s="588"/>
      <c r="AH65" s="588"/>
      <c r="AI65" s="588"/>
      <c r="AJ65" s="588"/>
      <c r="AK65" s="588"/>
      <c r="AL65" s="588"/>
      <c r="AM65" s="588"/>
      <c r="AN65" s="588"/>
      <c r="AO65" s="588"/>
      <c r="AP65" s="588"/>
      <c r="AQ65" s="588"/>
      <c r="AR65" s="588"/>
      <c r="AS65" s="588"/>
      <c r="AT65" s="588"/>
      <c r="AU65" s="588"/>
      <c r="AV65" s="588"/>
      <c r="AW65" s="588"/>
      <c r="AX65" s="588"/>
      <c r="AY65" s="588"/>
      <c r="AZ65" s="588"/>
      <c r="BA65" s="588"/>
      <c r="BB65" s="588"/>
      <c r="BC65" s="588"/>
      <c r="BD65" s="588"/>
      <c r="BE65" s="588"/>
      <c r="BF65" s="588"/>
      <c r="BG65" s="588"/>
    </row>
    <row r="66" spans="1:59" x14ac:dyDescent="0.35">
      <c r="A66" s="588"/>
      <c r="B66" s="588"/>
      <c r="C66" s="588"/>
      <c r="D66" s="588"/>
      <c r="E66" s="588"/>
      <c r="F66" s="588"/>
      <c r="G66" s="588"/>
      <c r="H66" s="588"/>
      <c r="I66" s="588"/>
      <c r="J66" s="588"/>
      <c r="K66" s="588"/>
      <c r="L66" s="588"/>
      <c r="M66" s="588"/>
      <c r="N66" s="588"/>
      <c r="O66" s="588"/>
      <c r="P66" s="588"/>
      <c r="Q66" s="588"/>
      <c r="R66" s="588"/>
      <c r="S66" s="588"/>
      <c r="T66" s="588"/>
      <c r="U66" s="588"/>
      <c r="V66" s="588"/>
      <c r="W66" s="588"/>
      <c r="X66" s="588"/>
      <c r="Y66" s="588"/>
      <c r="Z66" s="588"/>
      <c r="AA66" s="588"/>
      <c r="AB66" s="588"/>
      <c r="AC66" s="588"/>
      <c r="AD66" s="588"/>
      <c r="AE66" s="588"/>
      <c r="AF66" s="588"/>
      <c r="AG66" s="588"/>
      <c r="AH66" s="588"/>
      <c r="AI66" s="588"/>
      <c r="AJ66" s="588"/>
      <c r="AK66" s="588"/>
      <c r="AL66" s="588"/>
      <c r="AM66" s="588"/>
      <c r="AN66" s="588"/>
      <c r="AO66" s="588"/>
      <c r="AP66" s="588"/>
      <c r="AQ66" s="588"/>
      <c r="AR66" s="588"/>
      <c r="AS66" s="588"/>
      <c r="AT66" s="588"/>
      <c r="AU66" s="588"/>
      <c r="AV66" s="588"/>
      <c r="AW66" s="588"/>
      <c r="AX66" s="588"/>
      <c r="AY66" s="588"/>
      <c r="AZ66" s="588"/>
      <c r="BA66" s="588"/>
      <c r="BB66" s="588"/>
      <c r="BC66" s="588"/>
      <c r="BD66" s="588"/>
      <c r="BE66" s="588"/>
      <c r="BF66" s="588"/>
      <c r="BG66" s="588"/>
    </row>
    <row r="67" spans="1:59" x14ac:dyDescent="0.35">
      <c r="A67" s="588"/>
      <c r="B67" s="588"/>
      <c r="C67" s="588"/>
      <c r="D67" s="588"/>
      <c r="E67" s="588"/>
      <c r="F67" s="588"/>
      <c r="G67" s="588"/>
      <c r="H67" s="588"/>
      <c r="I67" s="588"/>
      <c r="J67" s="588"/>
      <c r="K67" s="588"/>
      <c r="L67" s="588"/>
      <c r="M67" s="588"/>
      <c r="N67" s="588"/>
      <c r="O67" s="588"/>
      <c r="P67" s="588"/>
      <c r="Q67" s="588"/>
      <c r="R67" s="588"/>
      <c r="S67" s="588"/>
      <c r="T67" s="588"/>
      <c r="U67" s="588"/>
      <c r="V67" s="588"/>
      <c r="W67" s="588"/>
      <c r="X67" s="588"/>
      <c r="Y67" s="588"/>
      <c r="Z67" s="588"/>
      <c r="AA67" s="588"/>
      <c r="AB67" s="588"/>
      <c r="AC67" s="588"/>
      <c r="AD67" s="588"/>
      <c r="AE67" s="588"/>
      <c r="AF67" s="588"/>
      <c r="AG67" s="588"/>
      <c r="AH67" s="588"/>
      <c r="AI67" s="588"/>
      <c r="AJ67" s="588"/>
      <c r="AK67" s="588"/>
      <c r="AL67" s="588"/>
      <c r="AM67" s="588"/>
      <c r="AN67" s="588"/>
      <c r="AO67" s="588"/>
      <c r="AP67" s="588"/>
      <c r="AQ67" s="588"/>
      <c r="AR67" s="588"/>
      <c r="AS67" s="588"/>
      <c r="AT67" s="588"/>
      <c r="AU67" s="588"/>
      <c r="AV67" s="588"/>
      <c r="AW67" s="588"/>
      <c r="AX67" s="588"/>
      <c r="AY67" s="588"/>
      <c r="AZ67" s="588"/>
      <c r="BA67" s="588"/>
      <c r="BB67" s="588"/>
      <c r="BC67" s="588"/>
      <c r="BD67" s="588"/>
      <c r="BE67" s="588"/>
      <c r="BF67" s="588"/>
      <c r="BG67" s="588"/>
    </row>
    <row r="68" spans="1:59" x14ac:dyDescent="0.35">
      <c r="A68" s="588"/>
      <c r="B68" s="588"/>
      <c r="C68" s="588"/>
      <c r="D68" s="588"/>
      <c r="E68" s="588"/>
      <c r="F68" s="588"/>
      <c r="G68" s="588"/>
      <c r="H68" s="588"/>
      <c r="I68" s="588"/>
      <c r="J68" s="588"/>
      <c r="K68" s="588"/>
      <c r="L68" s="588"/>
      <c r="M68" s="588"/>
      <c r="N68" s="588"/>
      <c r="O68" s="588"/>
      <c r="P68" s="588"/>
      <c r="Q68" s="588"/>
      <c r="R68" s="588"/>
      <c r="S68" s="588"/>
      <c r="T68" s="588"/>
      <c r="U68" s="588"/>
      <c r="V68" s="588"/>
      <c r="W68" s="588"/>
      <c r="X68" s="588"/>
      <c r="Y68" s="588"/>
      <c r="Z68" s="588"/>
      <c r="AA68" s="588"/>
      <c r="AB68" s="588"/>
      <c r="AC68" s="588"/>
      <c r="AD68" s="588"/>
      <c r="AE68" s="588"/>
      <c r="AF68" s="588"/>
      <c r="AG68" s="588"/>
      <c r="AH68" s="588"/>
      <c r="AI68" s="588"/>
      <c r="AJ68" s="588"/>
      <c r="AK68" s="588"/>
      <c r="AL68" s="588"/>
      <c r="AM68" s="588"/>
      <c r="AN68" s="588"/>
      <c r="AO68" s="588"/>
      <c r="AP68" s="588"/>
      <c r="AQ68" s="588"/>
      <c r="AR68" s="588"/>
      <c r="AS68" s="588"/>
      <c r="AT68" s="588"/>
      <c r="AU68" s="588"/>
      <c r="AV68" s="588"/>
      <c r="AW68" s="588"/>
      <c r="AX68" s="588"/>
      <c r="AY68" s="588"/>
      <c r="AZ68" s="588"/>
      <c r="BA68" s="588"/>
      <c r="BB68" s="588"/>
      <c r="BC68" s="588"/>
      <c r="BD68" s="588"/>
      <c r="BE68" s="588"/>
      <c r="BF68" s="588"/>
      <c r="BG68" s="588"/>
    </row>
    <row r="69" spans="1:59" x14ac:dyDescent="0.35">
      <c r="A69" s="588"/>
      <c r="B69" s="588"/>
      <c r="C69" s="588"/>
      <c r="D69" s="588"/>
      <c r="E69" s="588"/>
      <c r="F69" s="588"/>
      <c r="G69" s="588"/>
      <c r="H69" s="588"/>
      <c r="I69" s="588"/>
      <c r="J69" s="588"/>
      <c r="K69" s="588"/>
      <c r="L69" s="588"/>
      <c r="M69" s="588"/>
      <c r="N69" s="588"/>
      <c r="O69" s="588"/>
      <c r="P69" s="588"/>
      <c r="Q69" s="588"/>
      <c r="R69" s="588"/>
      <c r="S69" s="588"/>
      <c r="T69" s="588"/>
      <c r="U69" s="588"/>
      <c r="V69" s="588"/>
      <c r="W69" s="588"/>
      <c r="X69" s="588"/>
      <c r="Y69" s="588"/>
      <c r="Z69" s="588"/>
      <c r="AA69" s="588"/>
      <c r="AB69" s="588"/>
      <c r="AC69" s="588"/>
      <c r="AD69" s="588"/>
      <c r="AE69" s="588"/>
      <c r="AF69" s="588"/>
      <c r="AG69" s="588"/>
      <c r="AH69" s="588"/>
      <c r="AI69" s="588"/>
      <c r="AJ69" s="588"/>
      <c r="AK69" s="588"/>
      <c r="AL69" s="588"/>
      <c r="AM69" s="588"/>
      <c r="AN69" s="588"/>
      <c r="AO69" s="588"/>
      <c r="AP69" s="588"/>
      <c r="AQ69" s="588"/>
      <c r="AR69" s="588"/>
      <c r="AS69" s="588"/>
      <c r="AT69" s="588"/>
      <c r="AU69" s="588"/>
      <c r="AV69" s="588"/>
      <c r="AW69" s="588"/>
      <c r="AX69" s="588"/>
      <c r="AY69" s="588"/>
      <c r="AZ69" s="588"/>
      <c r="BA69" s="588"/>
      <c r="BB69" s="588"/>
      <c r="BC69" s="588"/>
      <c r="BD69" s="588"/>
      <c r="BE69" s="588"/>
      <c r="BF69" s="588"/>
      <c r="BG69" s="588"/>
    </row>
    <row r="70" spans="1:59" x14ac:dyDescent="0.35">
      <c r="A70" s="588"/>
      <c r="B70" s="588"/>
      <c r="C70" s="588"/>
      <c r="D70" s="588"/>
      <c r="E70" s="588"/>
      <c r="F70" s="588"/>
      <c r="G70" s="588"/>
      <c r="H70" s="588"/>
      <c r="I70" s="588"/>
      <c r="J70" s="588"/>
      <c r="K70" s="588"/>
      <c r="L70" s="588"/>
      <c r="M70" s="588"/>
      <c r="N70" s="588"/>
      <c r="O70" s="588"/>
      <c r="P70" s="588"/>
      <c r="Q70" s="588"/>
      <c r="R70" s="588"/>
      <c r="S70" s="588"/>
      <c r="T70" s="588"/>
      <c r="U70" s="588"/>
      <c r="V70" s="588"/>
      <c r="W70" s="588"/>
      <c r="X70" s="588"/>
      <c r="Y70" s="588"/>
      <c r="Z70" s="588"/>
      <c r="AA70" s="588"/>
      <c r="AB70" s="588"/>
      <c r="AC70" s="588"/>
      <c r="AD70" s="588"/>
      <c r="AE70" s="588"/>
      <c r="AF70" s="588"/>
      <c r="AG70" s="588"/>
      <c r="AH70" s="588"/>
      <c r="AI70" s="588"/>
      <c r="AJ70" s="588"/>
      <c r="AK70" s="588"/>
      <c r="AL70" s="588"/>
      <c r="AM70" s="588"/>
      <c r="AN70" s="588"/>
      <c r="AO70" s="588"/>
      <c r="AP70" s="588"/>
      <c r="AQ70" s="588"/>
      <c r="AR70" s="588"/>
      <c r="AS70" s="588"/>
      <c r="AT70" s="588"/>
      <c r="AU70" s="588"/>
      <c r="AV70" s="588"/>
      <c r="AW70" s="588"/>
      <c r="AX70" s="588"/>
      <c r="AY70" s="588"/>
      <c r="AZ70" s="588"/>
      <c r="BA70" s="588"/>
      <c r="BB70" s="588"/>
      <c r="BC70" s="588"/>
      <c r="BD70" s="588"/>
      <c r="BE70" s="588"/>
      <c r="BF70" s="588"/>
      <c r="BG70" s="588"/>
    </row>
    <row r="71" spans="1:59" x14ac:dyDescent="0.35">
      <c r="A71" s="588"/>
      <c r="B71" s="588"/>
      <c r="C71" s="588"/>
      <c r="D71" s="588"/>
      <c r="E71" s="588"/>
      <c r="F71" s="588"/>
      <c r="G71" s="588"/>
      <c r="H71" s="588"/>
      <c r="I71" s="588"/>
      <c r="J71" s="588"/>
      <c r="K71" s="588"/>
      <c r="L71" s="588"/>
      <c r="M71" s="588"/>
      <c r="N71" s="588"/>
      <c r="O71" s="588"/>
      <c r="P71" s="588"/>
      <c r="Q71" s="588"/>
      <c r="R71" s="588"/>
      <c r="S71" s="588"/>
      <c r="T71" s="588"/>
      <c r="U71" s="588"/>
      <c r="V71" s="588"/>
      <c r="W71" s="588"/>
      <c r="X71" s="588"/>
      <c r="Y71" s="588"/>
      <c r="Z71" s="588"/>
      <c r="AA71" s="588"/>
      <c r="AB71" s="588"/>
      <c r="AC71" s="588"/>
      <c r="AD71" s="588"/>
      <c r="AE71" s="588"/>
      <c r="AF71" s="588"/>
      <c r="AG71" s="588"/>
      <c r="AH71" s="588"/>
      <c r="AI71" s="588"/>
      <c r="AJ71" s="588"/>
      <c r="AK71" s="588"/>
      <c r="AL71" s="588"/>
      <c r="AM71" s="588"/>
      <c r="AN71" s="588"/>
      <c r="AO71" s="588"/>
      <c r="AP71" s="588"/>
      <c r="AQ71" s="588"/>
      <c r="AR71" s="588"/>
      <c r="AS71" s="588"/>
      <c r="AT71" s="588"/>
      <c r="AU71" s="588"/>
      <c r="AV71" s="588"/>
      <c r="AW71" s="588"/>
      <c r="AX71" s="588"/>
      <c r="AY71" s="588"/>
      <c r="AZ71" s="588"/>
      <c r="BA71" s="588"/>
      <c r="BB71" s="588"/>
      <c r="BC71" s="588"/>
      <c r="BD71" s="588"/>
      <c r="BE71" s="588"/>
      <c r="BF71" s="588"/>
      <c r="BG71" s="588"/>
    </row>
    <row r="72" spans="1:59" x14ac:dyDescent="0.35">
      <c r="A72" s="588"/>
      <c r="B72" s="588"/>
      <c r="C72" s="588"/>
      <c r="D72" s="588"/>
      <c r="E72" s="588"/>
      <c r="F72" s="588"/>
      <c r="G72" s="588"/>
      <c r="H72" s="588"/>
      <c r="I72" s="588"/>
      <c r="J72" s="588"/>
      <c r="K72" s="588"/>
      <c r="L72" s="588"/>
      <c r="M72" s="588"/>
      <c r="N72" s="588"/>
      <c r="O72" s="588"/>
      <c r="P72" s="588"/>
      <c r="Q72" s="588"/>
      <c r="R72" s="588"/>
      <c r="S72" s="588"/>
      <c r="T72" s="588"/>
      <c r="U72" s="588"/>
      <c r="V72" s="588"/>
      <c r="W72" s="588"/>
      <c r="X72" s="588"/>
      <c r="Y72" s="588"/>
      <c r="Z72" s="588"/>
      <c r="AA72" s="588"/>
      <c r="AB72" s="588"/>
      <c r="AC72" s="588"/>
      <c r="AD72" s="588"/>
      <c r="AE72" s="588"/>
      <c r="AF72" s="588"/>
      <c r="AG72" s="588"/>
      <c r="AH72" s="588"/>
      <c r="AI72" s="588"/>
      <c r="AJ72" s="588"/>
      <c r="AK72" s="588"/>
      <c r="AL72" s="588"/>
      <c r="AM72" s="588"/>
      <c r="AN72" s="588"/>
      <c r="AO72" s="588"/>
      <c r="AP72" s="588"/>
      <c r="AQ72" s="588"/>
      <c r="AR72" s="588"/>
      <c r="AS72" s="588"/>
      <c r="AT72" s="588"/>
      <c r="AU72" s="588"/>
      <c r="AV72" s="588"/>
      <c r="AW72" s="588"/>
      <c r="AX72" s="588"/>
      <c r="AY72" s="588"/>
      <c r="AZ72" s="588"/>
      <c r="BA72" s="588"/>
      <c r="BB72" s="588"/>
      <c r="BC72" s="588"/>
      <c r="BD72" s="588"/>
      <c r="BE72" s="588"/>
      <c r="BF72" s="588"/>
      <c r="BG72" s="588"/>
    </row>
  </sheetData>
  <mergeCells count="3">
    <mergeCell ref="C9:D9"/>
    <mergeCell ref="B15:M15"/>
    <mergeCell ref="N15:U15"/>
  </mergeCell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45CDB-879E-41E5-B0B5-AFC9DBB40F49}">
  <sheetPr>
    <tabColor rgb="FFFFFF00"/>
  </sheetPr>
  <dimension ref="A1:BG72"/>
  <sheetViews>
    <sheetView topLeftCell="A7" workbookViewId="0">
      <selection activeCell="F13" sqref="F13"/>
    </sheetView>
  </sheetViews>
  <sheetFormatPr defaultColWidth="8.7265625" defaultRowHeight="15.5" x14ac:dyDescent="0.35"/>
  <cols>
    <col min="1" max="1" width="9.453125" style="482" customWidth="1"/>
    <col min="2" max="2" width="4.81640625" style="482" customWidth="1"/>
    <col min="3" max="3" width="16.7265625" style="482" customWidth="1"/>
    <col min="4" max="4" width="8.26953125" style="482" customWidth="1"/>
    <col min="5" max="5" width="7.26953125" style="482" customWidth="1"/>
    <col min="6" max="6" width="10.453125" style="482" customWidth="1"/>
    <col min="7" max="7" width="3.1796875" style="482" customWidth="1"/>
    <col min="8" max="8" width="8.7265625" style="482" bestFit="1"/>
    <col min="9" max="9" width="3.1796875" style="482" customWidth="1"/>
    <col min="10" max="10" width="9.453125" style="482" bestFit="1" customWidth="1"/>
    <col min="11" max="11" width="3.1796875" style="482" customWidth="1"/>
    <col min="12" max="12" width="9.81640625" style="482" bestFit="1" customWidth="1"/>
    <col min="13" max="13" width="3.1796875" style="482" customWidth="1"/>
    <col min="14" max="14" width="10.54296875" style="482" customWidth="1"/>
    <col min="15" max="17" width="3.1796875" style="482" customWidth="1"/>
    <col min="18" max="18" width="8.453125" style="482" customWidth="1"/>
    <col min="19" max="19" width="3.1796875" style="482" customWidth="1"/>
    <col min="20" max="20" width="11.26953125" style="482" customWidth="1"/>
    <col min="21" max="21" width="3.1796875" style="482" customWidth="1"/>
    <col min="22" max="22" width="20.7265625" style="482" customWidth="1"/>
    <col min="23" max="25" width="9.81640625" style="482" customWidth="1"/>
    <col min="26" max="16384" width="8.7265625" style="482"/>
  </cols>
  <sheetData>
    <row r="1" spans="1:59" s="595" customFormat="1" ht="21.5" thickTop="1" x14ac:dyDescent="0.5">
      <c r="A1" s="588"/>
      <c r="B1" s="589" t="s">
        <v>1461</v>
      </c>
      <c r="C1" s="590"/>
      <c r="D1" s="590"/>
      <c r="E1" s="590"/>
      <c r="F1" s="590"/>
      <c r="G1" s="591"/>
      <c r="H1" s="590"/>
      <c r="I1" s="590"/>
      <c r="J1" s="590"/>
      <c r="K1" s="590"/>
      <c r="L1" s="590"/>
      <c r="M1" s="590"/>
      <c r="N1" s="590"/>
      <c r="O1" s="590"/>
      <c r="P1" s="590"/>
      <c r="Q1" s="590"/>
      <c r="R1" s="590"/>
      <c r="S1" s="590"/>
      <c r="T1" s="590"/>
      <c r="U1" s="592"/>
      <c r="V1" s="588"/>
      <c r="W1" s="593"/>
      <c r="X1" s="588"/>
      <c r="Y1" s="588"/>
      <c r="Z1" s="588"/>
      <c r="AA1" s="588"/>
      <c r="AB1" s="594"/>
      <c r="AC1" s="594"/>
      <c r="AD1" s="594"/>
      <c r="AE1" s="594"/>
      <c r="AF1" s="594"/>
      <c r="AG1" s="594"/>
      <c r="AH1" s="594"/>
      <c r="AI1" s="594"/>
      <c r="AJ1" s="594"/>
      <c r="AK1" s="594"/>
      <c r="AL1" s="594"/>
      <c r="AM1" s="594"/>
      <c r="AN1" s="594"/>
      <c r="AO1" s="594"/>
      <c r="AP1" s="594"/>
      <c r="AQ1" s="594"/>
      <c r="AR1" s="594"/>
      <c r="AS1" s="594"/>
      <c r="AT1" s="594"/>
      <c r="AU1" s="594"/>
      <c r="AV1" s="594"/>
      <c r="AW1" s="594"/>
      <c r="AX1" s="594"/>
      <c r="AY1" s="594"/>
      <c r="AZ1" s="594"/>
      <c r="BA1" s="594"/>
      <c r="BB1" s="594"/>
      <c r="BC1" s="594"/>
      <c r="BD1" s="594"/>
      <c r="BE1" s="594"/>
      <c r="BF1" s="594"/>
      <c r="BG1" s="594"/>
    </row>
    <row r="2" spans="1:59" s="595" customFormat="1" ht="21.5" thickBot="1" x14ac:dyDescent="0.55000000000000004">
      <c r="A2" s="596" t="s">
        <v>1392</v>
      </c>
      <c r="B2" s="1280" t="s">
        <v>1498</v>
      </c>
      <c r="C2" s="598"/>
      <c r="D2" s="598"/>
      <c r="E2" s="598"/>
      <c r="F2" s="598"/>
      <c r="G2" s="599"/>
      <c r="H2" s="598"/>
      <c r="I2" s="598"/>
      <c r="J2" s="598"/>
      <c r="K2" s="598"/>
      <c r="L2" s="598"/>
      <c r="M2" s="598"/>
      <c r="N2" s="598"/>
      <c r="O2" s="598"/>
      <c r="P2" s="598"/>
      <c r="Q2" s="598"/>
      <c r="R2" s="598"/>
      <c r="S2" s="598"/>
      <c r="T2" s="598"/>
      <c r="U2" s="598"/>
      <c r="V2" s="1281"/>
      <c r="W2" s="593"/>
      <c r="X2" s="588"/>
      <c r="Y2" s="588"/>
      <c r="Z2" s="588"/>
      <c r="AA2" s="588"/>
      <c r="AB2" s="594"/>
      <c r="AC2" s="594"/>
      <c r="AD2" s="594"/>
      <c r="AE2" s="594"/>
      <c r="AF2" s="594"/>
      <c r="AG2" s="594"/>
      <c r="AH2" s="594"/>
      <c r="AI2" s="594"/>
      <c r="AJ2" s="594"/>
      <c r="AK2" s="594"/>
      <c r="AL2" s="594"/>
      <c r="AM2" s="594"/>
      <c r="AN2" s="594"/>
      <c r="AO2" s="594"/>
      <c r="AP2" s="594"/>
      <c r="AQ2" s="594"/>
      <c r="AR2" s="594"/>
      <c r="AS2" s="594"/>
      <c r="AT2" s="594"/>
      <c r="AU2" s="594"/>
      <c r="AV2" s="594"/>
      <c r="AW2" s="594"/>
      <c r="AX2" s="594"/>
      <c r="AY2" s="594"/>
      <c r="AZ2" s="594"/>
      <c r="BA2" s="594"/>
      <c r="BB2" s="594"/>
      <c r="BC2" s="594"/>
      <c r="BD2" s="594"/>
      <c r="BE2" s="594"/>
      <c r="BF2" s="594"/>
      <c r="BG2" s="594"/>
    </row>
    <row r="3" spans="1:59" s="595" customFormat="1" ht="21.75" customHeight="1" x14ac:dyDescent="0.5">
      <c r="A3" s="596" t="s">
        <v>1394</v>
      </c>
      <c r="B3" s="601" t="s">
        <v>1463</v>
      </c>
      <c r="C3" s="602"/>
      <c r="D3" s="602"/>
      <c r="E3" s="602"/>
      <c r="F3" s="602"/>
      <c r="G3" s="603"/>
      <c r="H3" s="602"/>
      <c r="I3" s="602"/>
      <c r="J3" s="602"/>
      <c r="K3" s="602"/>
      <c r="L3" s="602"/>
      <c r="M3" s="602"/>
      <c r="N3" s="602"/>
      <c r="O3" s="602"/>
      <c r="P3" s="602"/>
      <c r="Q3" s="602"/>
      <c r="R3" s="602"/>
      <c r="S3" s="602"/>
      <c r="T3" s="602"/>
      <c r="U3" s="604"/>
      <c r="V3" s="588"/>
      <c r="W3" s="593"/>
      <c r="X3" s="588"/>
      <c r="Y3" s="588"/>
      <c r="Z3" s="588"/>
      <c r="AA3" s="588"/>
      <c r="AB3" s="594"/>
      <c r="AC3" s="594"/>
      <c r="AD3" s="594"/>
      <c r="AE3" s="594"/>
      <c r="AF3" s="594"/>
      <c r="AG3" s="594"/>
      <c r="AH3" s="594"/>
      <c r="AI3" s="594"/>
      <c r="AJ3" s="594"/>
      <c r="AK3" s="594"/>
      <c r="AL3" s="594"/>
      <c r="AM3" s="594"/>
      <c r="AN3" s="594"/>
      <c r="AO3" s="594"/>
      <c r="AP3" s="594"/>
      <c r="AQ3" s="594"/>
      <c r="AR3" s="594"/>
      <c r="AS3" s="594"/>
      <c r="AT3" s="594"/>
      <c r="AU3" s="594"/>
      <c r="AV3" s="594"/>
      <c r="AW3" s="594"/>
      <c r="AX3" s="594"/>
      <c r="AY3" s="594"/>
      <c r="AZ3" s="594"/>
      <c r="BA3" s="594"/>
      <c r="BB3" s="594"/>
      <c r="BC3" s="594"/>
      <c r="BD3" s="594"/>
      <c r="BE3" s="594"/>
      <c r="BF3" s="594"/>
      <c r="BG3" s="594"/>
    </row>
    <row r="4" spans="1:59" s="595" customFormat="1" ht="21.75" customHeight="1" x14ac:dyDescent="0.5">
      <c r="A4" s="596"/>
      <c r="B4" s="605"/>
      <c r="C4" s="606"/>
      <c r="D4" s="606"/>
      <c r="E4" s="606"/>
      <c r="F4" s="606"/>
      <c r="G4" s="607"/>
      <c r="H4" s="606"/>
      <c r="I4" s="606"/>
      <c r="J4" s="606"/>
      <c r="K4" s="606"/>
      <c r="L4" s="606"/>
      <c r="M4" s="606"/>
      <c r="N4" s="606"/>
      <c r="O4" s="606"/>
      <c r="P4" s="606"/>
      <c r="Q4" s="606"/>
      <c r="R4" s="606"/>
      <c r="S4" s="606"/>
      <c r="T4" s="606"/>
      <c r="U4" s="608"/>
      <c r="V4" s="588"/>
      <c r="W4" s="593"/>
      <c r="X4" s="588"/>
      <c r="Y4" s="588"/>
      <c r="Z4" s="588"/>
      <c r="AA4" s="588"/>
      <c r="AB4" s="594"/>
      <c r="AC4" s="594"/>
      <c r="AD4" s="594"/>
      <c r="AE4" s="594"/>
      <c r="AF4" s="594"/>
      <c r="AG4" s="594"/>
      <c r="AH4" s="594"/>
      <c r="AI4" s="594"/>
      <c r="AJ4" s="594"/>
      <c r="AK4" s="594"/>
      <c r="AL4" s="594"/>
      <c r="AM4" s="594"/>
      <c r="AN4" s="594"/>
      <c r="AO4" s="594"/>
      <c r="AP4" s="594"/>
      <c r="AQ4" s="594"/>
      <c r="AR4" s="594"/>
      <c r="AS4" s="594"/>
      <c r="AT4" s="594"/>
      <c r="AU4" s="594"/>
      <c r="AV4" s="594"/>
      <c r="AW4" s="594"/>
      <c r="AX4" s="594"/>
      <c r="AY4" s="594"/>
      <c r="AZ4" s="594"/>
      <c r="BA4" s="594"/>
      <c r="BB4" s="594"/>
      <c r="BC4" s="594"/>
      <c r="BD4" s="594"/>
      <c r="BE4" s="594"/>
      <c r="BF4" s="594"/>
      <c r="BG4" s="594"/>
    </row>
    <row r="5" spans="1:59" s="595" customFormat="1" ht="21.75" customHeight="1" x14ac:dyDescent="0.5">
      <c r="A5" s="596"/>
      <c r="B5" s="609" t="s">
        <v>1499</v>
      </c>
      <c r="C5" s="606"/>
      <c r="D5" s="606"/>
      <c r="E5" s="606"/>
      <c r="F5" s="606"/>
      <c r="G5" s="607"/>
      <c r="H5" s="606"/>
      <c r="I5" s="606"/>
      <c r="J5" s="606"/>
      <c r="K5" s="606"/>
      <c r="L5" s="606"/>
      <c r="M5" s="606"/>
      <c r="N5" s="606"/>
      <c r="O5" s="606"/>
      <c r="P5" s="606"/>
      <c r="Q5" s="606"/>
      <c r="R5" s="606"/>
      <c r="S5" s="606"/>
      <c r="T5" s="606"/>
      <c r="U5" s="608"/>
      <c r="V5" s="588" t="s">
        <v>861</v>
      </c>
      <c r="W5" s="593"/>
      <c r="X5" s="588"/>
      <c r="Y5" s="588"/>
      <c r="Z5" s="588"/>
      <c r="AA5" s="588"/>
      <c r="AB5" s="594"/>
      <c r="AC5" s="594"/>
      <c r="AD5" s="594"/>
      <c r="AE5" s="594"/>
      <c r="AF5" s="594"/>
      <c r="AG5" s="594"/>
      <c r="AH5" s="594"/>
      <c r="AI5" s="594"/>
      <c r="AJ5" s="594"/>
      <c r="AK5" s="594"/>
      <c r="AL5" s="594"/>
      <c r="AM5" s="594"/>
      <c r="AN5" s="594"/>
      <c r="AO5" s="594"/>
      <c r="AP5" s="594"/>
      <c r="AQ5" s="594"/>
      <c r="AR5" s="594"/>
      <c r="AS5" s="594"/>
      <c r="AT5" s="594"/>
      <c r="AU5" s="594"/>
      <c r="AV5" s="594"/>
      <c r="AW5" s="594"/>
      <c r="AX5" s="594"/>
      <c r="AY5" s="594"/>
      <c r="AZ5" s="594"/>
      <c r="BA5" s="594"/>
      <c r="BB5" s="594"/>
      <c r="BC5" s="594"/>
      <c r="BD5" s="594"/>
      <c r="BE5" s="594"/>
      <c r="BF5" s="594"/>
      <c r="BG5" s="594"/>
    </row>
    <row r="6" spans="1:59" s="595" customFormat="1" ht="21.75" customHeight="1" x14ac:dyDescent="0.5">
      <c r="A6" s="596"/>
      <c r="B6" s="609" t="s">
        <v>1500</v>
      </c>
      <c r="C6" s="610"/>
      <c r="D6" s="610"/>
      <c r="E6" s="610"/>
      <c r="F6" s="610"/>
      <c r="G6" s="610"/>
      <c r="H6" s="610"/>
      <c r="I6" s="610"/>
      <c r="J6" s="610"/>
      <c r="K6" s="610"/>
      <c r="L6" s="610"/>
      <c r="M6" s="610"/>
      <c r="N6" s="610"/>
      <c r="O6" s="610"/>
      <c r="P6" s="610"/>
      <c r="Q6" s="610"/>
      <c r="R6" s="610"/>
      <c r="S6" s="610"/>
      <c r="T6" s="610"/>
      <c r="U6" s="611"/>
      <c r="V6" s="588"/>
      <c r="W6" s="588"/>
      <c r="X6" s="588"/>
      <c r="Y6" s="588"/>
      <c r="Z6" s="588"/>
      <c r="AA6" s="588"/>
      <c r="AB6" s="594"/>
      <c r="AC6" s="594"/>
      <c r="AD6" s="594"/>
      <c r="AE6" s="594"/>
      <c r="AF6" s="594"/>
      <c r="AG6" s="594"/>
      <c r="AH6" s="594"/>
      <c r="AI6" s="594"/>
      <c r="AJ6" s="594"/>
      <c r="AK6" s="594"/>
      <c r="AL6" s="594"/>
      <c r="AM6" s="594"/>
      <c r="AN6" s="594"/>
      <c r="AO6" s="594"/>
      <c r="AP6" s="594"/>
      <c r="AQ6" s="594"/>
      <c r="AR6" s="594"/>
      <c r="AS6" s="594"/>
      <c r="AT6" s="594"/>
      <c r="AU6" s="594"/>
      <c r="AV6" s="594"/>
      <c r="AW6" s="594"/>
      <c r="AX6" s="594"/>
      <c r="AY6" s="594"/>
      <c r="AZ6" s="594"/>
      <c r="BA6" s="594"/>
      <c r="BB6" s="594"/>
      <c r="BC6" s="594"/>
      <c r="BD6" s="594"/>
      <c r="BE6" s="594"/>
      <c r="BF6" s="594"/>
      <c r="BG6" s="594"/>
    </row>
    <row r="7" spans="1:59" s="595" customFormat="1" ht="21.75" customHeight="1" x14ac:dyDescent="0.5">
      <c r="A7" s="596"/>
      <c r="B7" s="609" t="s">
        <v>1501</v>
      </c>
      <c r="C7" s="610"/>
      <c r="D7" s="610"/>
      <c r="E7" s="610"/>
      <c r="F7" s="610"/>
      <c r="G7" s="610"/>
      <c r="H7" s="610"/>
      <c r="I7" s="610"/>
      <c r="J7" s="610"/>
      <c r="K7" s="610"/>
      <c r="L7" s="610"/>
      <c r="M7" s="610"/>
      <c r="N7" s="610"/>
      <c r="O7" s="610"/>
      <c r="P7" s="610"/>
      <c r="Q7" s="610"/>
      <c r="R7" s="610"/>
      <c r="S7" s="610"/>
      <c r="T7" s="610"/>
      <c r="U7" s="611"/>
      <c r="V7" s="588"/>
      <c r="W7" s="612"/>
      <c r="X7" s="612"/>
      <c r="Y7" s="612"/>
      <c r="Z7" s="588"/>
      <c r="AA7" s="588"/>
      <c r="AB7" s="594"/>
      <c r="AC7" s="594"/>
      <c r="AD7" s="594"/>
      <c r="AE7" s="594"/>
      <c r="AF7" s="594"/>
      <c r="AG7" s="594"/>
      <c r="AH7" s="594"/>
      <c r="AI7" s="594"/>
      <c r="AJ7" s="594"/>
      <c r="AK7" s="594"/>
      <c r="AL7" s="594"/>
      <c r="AM7" s="594"/>
      <c r="AN7" s="594"/>
      <c r="AO7" s="594"/>
      <c r="AP7" s="594"/>
      <c r="AQ7" s="594"/>
      <c r="AR7" s="594"/>
      <c r="AS7" s="594"/>
      <c r="AT7" s="594"/>
      <c r="AU7" s="594"/>
      <c r="AV7" s="594"/>
      <c r="AW7" s="594"/>
      <c r="AX7" s="594"/>
      <c r="AY7" s="594"/>
      <c r="AZ7" s="594"/>
      <c r="BA7" s="594"/>
      <c r="BB7" s="594"/>
      <c r="BC7" s="594"/>
      <c r="BD7" s="594"/>
      <c r="BE7" s="594"/>
      <c r="BF7" s="594"/>
      <c r="BG7" s="594"/>
    </row>
    <row r="8" spans="1:59" s="595" customFormat="1" ht="21.75" customHeight="1" thickBot="1" x14ac:dyDescent="0.55000000000000004">
      <c r="A8" s="596"/>
      <c r="B8" s="613" t="s">
        <v>1467</v>
      </c>
      <c r="C8" s="614"/>
      <c r="D8" s="614"/>
      <c r="E8" s="614"/>
      <c r="F8" s="614"/>
      <c r="G8" s="614"/>
      <c r="H8" s="614"/>
      <c r="I8" s="614"/>
      <c r="J8" s="614"/>
      <c r="K8" s="614"/>
      <c r="L8" s="614"/>
      <c r="M8" s="614"/>
      <c r="N8" s="614"/>
      <c r="O8" s="614"/>
      <c r="P8" s="614"/>
      <c r="Q8" s="614"/>
      <c r="R8" s="614"/>
      <c r="S8" s="614"/>
      <c r="T8" s="614"/>
      <c r="U8" s="615"/>
      <c r="V8" s="588"/>
      <c r="W8" s="612"/>
      <c r="X8" s="612"/>
      <c r="Y8" s="612"/>
      <c r="Z8" s="588"/>
      <c r="AA8" s="588"/>
      <c r="AB8" s="594"/>
      <c r="AC8" s="594"/>
      <c r="AD8" s="594"/>
      <c r="AE8" s="594"/>
      <c r="AF8" s="594"/>
      <c r="AG8" s="594"/>
      <c r="AH8" s="594"/>
      <c r="AI8" s="594"/>
      <c r="AJ8" s="594"/>
      <c r="AK8" s="594"/>
      <c r="AL8" s="594"/>
      <c r="AM8" s="594"/>
      <c r="AN8" s="594"/>
      <c r="AO8" s="594"/>
      <c r="AP8" s="594"/>
      <c r="AQ8" s="594"/>
      <c r="AR8" s="594"/>
      <c r="AS8" s="594"/>
      <c r="AT8" s="594"/>
      <c r="AU8" s="594"/>
      <c r="AV8" s="594"/>
      <c r="AW8" s="594"/>
      <c r="AX8" s="594"/>
      <c r="AY8" s="594"/>
      <c r="AZ8" s="594"/>
      <c r="BA8" s="594"/>
      <c r="BB8" s="594"/>
      <c r="BC8" s="594"/>
      <c r="BD8" s="594"/>
      <c r="BE8" s="594"/>
      <c r="BF8" s="594"/>
      <c r="BG8" s="594"/>
    </row>
    <row r="9" spans="1:59" s="595" customFormat="1" ht="21.75" customHeight="1" x14ac:dyDescent="0.5">
      <c r="A9" s="596" t="s">
        <v>1396</v>
      </c>
      <c r="B9" s="570"/>
      <c r="C9" s="1573" t="s">
        <v>1404</v>
      </c>
      <c r="D9" s="1573"/>
      <c r="E9" s="499"/>
      <c r="F9" s="571" t="s">
        <v>1502</v>
      </c>
      <c r="G9" s="499"/>
      <c r="H9" s="499"/>
      <c r="I9" s="499"/>
      <c r="J9" s="499"/>
      <c r="K9" s="499"/>
      <c r="L9" s="499"/>
      <c r="M9" s="499"/>
      <c r="N9" s="499"/>
      <c r="O9" s="616" t="s">
        <v>1503</v>
      </c>
      <c r="P9" s="617"/>
      <c r="Q9" s="617"/>
      <c r="R9" s="618"/>
      <c r="S9" s="618"/>
      <c r="T9" s="618"/>
      <c r="U9" s="619"/>
      <c r="V9" s="596" t="s">
        <v>1400</v>
      </c>
      <c r="W9" s="620" t="s">
        <v>1399</v>
      </c>
      <c r="X9" s="621">
        <v>1</v>
      </c>
      <c r="Y9" s="622">
        <v>2</v>
      </c>
      <c r="Z9" s="588"/>
      <c r="AA9" s="588"/>
      <c r="AB9" s="594"/>
      <c r="AC9" s="594"/>
      <c r="AD9" s="594"/>
      <c r="AE9" s="594"/>
      <c r="AF9" s="594"/>
      <c r="AG9" s="594"/>
      <c r="AH9" s="594"/>
      <c r="AI9" s="594"/>
      <c r="AJ9" s="594"/>
      <c r="AK9" s="594"/>
      <c r="AL9" s="594"/>
      <c r="AM9" s="594"/>
      <c r="AN9" s="594"/>
      <c r="AO9" s="594"/>
      <c r="AP9" s="594"/>
      <c r="AQ9" s="594"/>
      <c r="AR9" s="594"/>
      <c r="AS9" s="594"/>
      <c r="AT9" s="594"/>
      <c r="AU9" s="594"/>
      <c r="AV9" s="594"/>
      <c r="AW9" s="594"/>
      <c r="AX9" s="594"/>
      <c r="AY9" s="594"/>
      <c r="AZ9" s="594"/>
      <c r="BA9" s="594"/>
      <c r="BB9" s="594"/>
      <c r="BC9" s="594"/>
      <c r="BD9" s="594"/>
      <c r="BE9" s="594"/>
      <c r="BF9" s="594"/>
      <c r="BG9" s="594"/>
    </row>
    <row r="10" spans="1:59" s="627" customFormat="1" x14ac:dyDescent="0.45">
      <c r="A10" s="623"/>
      <c r="B10" s="487"/>
      <c r="C10" s="488">
        <f>$W$10</f>
        <v>0</v>
      </c>
      <c r="D10" s="488">
        <f>W12</f>
        <v>9100</v>
      </c>
      <c r="E10" s="488"/>
      <c r="F10" s="624" t="s">
        <v>1470</v>
      </c>
      <c r="G10" s="488"/>
      <c r="H10" s="488"/>
      <c r="I10" s="488"/>
      <c r="J10" s="488"/>
      <c r="K10" s="488"/>
      <c r="L10" s="488"/>
      <c r="M10" s="488"/>
      <c r="N10" s="488"/>
      <c r="O10" s="488"/>
      <c r="P10" s="488"/>
      <c r="Q10" s="488"/>
      <c r="R10" s="488"/>
      <c r="S10" s="488"/>
      <c r="T10" s="488"/>
      <c r="U10" s="489"/>
      <c r="V10" s="625"/>
      <c r="W10" s="487">
        <v>0</v>
      </c>
      <c r="X10" s="488">
        <v>0</v>
      </c>
      <c r="Y10" s="489">
        <v>0</v>
      </c>
      <c r="Z10" s="625"/>
      <c r="AA10" s="625"/>
      <c r="AB10" s="626"/>
      <c r="AC10" s="626"/>
      <c r="AD10" s="626"/>
      <c r="AE10" s="626"/>
      <c r="AF10" s="626"/>
      <c r="AG10" s="626"/>
      <c r="AH10" s="626"/>
      <c r="AI10" s="626"/>
      <c r="AJ10" s="626"/>
      <c r="AK10" s="626"/>
      <c r="AL10" s="626"/>
      <c r="AM10" s="626"/>
      <c r="AN10" s="626"/>
      <c r="AO10" s="626"/>
      <c r="AP10" s="626"/>
      <c r="AQ10" s="626"/>
      <c r="AR10" s="626"/>
      <c r="AS10" s="626"/>
      <c r="AT10" s="626"/>
      <c r="AU10" s="626"/>
      <c r="AV10" s="626"/>
      <c r="AW10" s="626"/>
      <c r="AX10" s="626"/>
      <c r="AY10" s="626"/>
      <c r="AZ10" s="626"/>
      <c r="BA10" s="626"/>
      <c r="BB10" s="626"/>
      <c r="BC10" s="626"/>
      <c r="BD10" s="626"/>
      <c r="BE10" s="626"/>
      <c r="BF10" s="626"/>
      <c r="BG10" s="626"/>
    </row>
    <row r="11" spans="1:59" s="627" customFormat="1" x14ac:dyDescent="0.45">
      <c r="A11" s="623"/>
      <c r="B11" s="487"/>
      <c r="C11" s="488">
        <f>W12</f>
        <v>9100</v>
      </c>
      <c r="D11" s="488" t="s">
        <v>1471</v>
      </c>
      <c r="E11" s="488"/>
      <c r="F11" s="624" t="s">
        <v>1472</v>
      </c>
      <c r="G11" s="488"/>
      <c r="H11" s="628">
        <f>$Y$12*100</f>
        <v>13.8</v>
      </c>
      <c r="I11" s="628" t="s">
        <v>1473</v>
      </c>
      <c r="J11" s="488"/>
      <c r="K11" s="488"/>
      <c r="L11" s="628"/>
      <c r="M11" s="629"/>
      <c r="N11" s="488"/>
      <c r="O11" s="488"/>
      <c r="P11" s="488"/>
      <c r="Q11" s="488"/>
      <c r="R11" s="630"/>
      <c r="S11" s="488"/>
      <c r="T11" s="631"/>
      <c r="U11" s="632"/>
      <c r="V11" s="633" t="s">
        <v>1402</v>
      </c>
      <c r="W11" s="487">
        <v>6396</v>
      </c>
      <c r="X11" s="505">
        <v>0</v>
      </c>
      <c r="Y11" s="506"/>
      <c r="Z11" s="625"/>
      <c r="AA11" s="625"/>
      <c r="AB11" s="626"/>
      <c r="AC11" s="626"/>
      <c r="AD11" s="626"/>
      <c r="AE11" s="626"/>
      <c r="AF11" s="626"/>
      <c r="AG11" s="626"/>
      <c r="AH11" s="626"/>
      <c r="AI11" s="626"/>
      <c r="AJ11" s="626"/>
      <c r="AK11" s="626"/>
      <c r="AL11" s="626"/>
      <c r="AM11" s="626"/>
      <c r="AN11" s="626"/>
      <c r="AO11" s="626"/>
      <c r="AP11" s="626"/>
      <c r="AQ11" s="626"/>
      <c r="AR11" s="626"/>
      <c r="AS11" s="626"/>
      <c r="AT11" s="626"/>
      <c r="AU11" s="626"/>
      <c r="AV11" s="626"/>
      <c r="AW11" s="626"/>
      <c r="AX11" s="626"/>
      <c r="AY11" s="626"/>
      <c r="AZ11" s="626"/>
      <c r="BA11" s="626"/>
      <c r="BB11" s="626"/>
      <c r="BC11" s="626"/>
      <c r="BD11" s="626"/>
      <c r="BE11" s="626"/>
      <c r="BF11" s="626"/>
      <c r="BG11" s="626"/>
    </row>
    <row r="12" spans="1:59" s="627" customFormat="1" ht="16" thickBot="1" x14ac:dyDescent="0.5">
      <c r="A12" s="623"/>
      <c r="B12" s="634"/>
      <c r="C12" s="583"/>
      <c r="D12" s="583"/>
      <c r="E12" s="583"/>
      <c r="F12" s="583"/>
      <c r="G12" s="635"/>
      <c r="H12" s="636"/>
      <c r="I12" s="635"/>
      <c r="J12" s="583"/>
      <c r="K12" s="637"/>
      <c r="L12" s="638"/>
      <c r="M12" s="637"/>
      <c r="N12" s="583"/>
      <c r="O12" s="583"/>
      <c r="P12" s="639"/>
      <c r="Q12" s="583"/>
      <c r="R12" s="640"/>
      <c r="S12" s="583"/>
      <c r="T12" s="583"/>
      <c r="U12" s="533"/>
      <c r="V12" s="633" t="s">
        <v>1407</v>
      </c>
      <c r="W12" s="487">
        <v>9100</v>
      </c>
      <c r="X12" s="505">
        <v>0</v>
      </c>
      <c r="Y12" s="506">
        <v>0.13800000000000001</v>
      </c>
      <c r="Z12" s="625"/>
      <c r="AA12" s="625"/>
      <c r="AB12" s="626"/>
      <c r="AC12" s="626"/>
      <c r="AD12" s="626"/>
      <c r="AE12" s="626"/>
      <c r="AF12" s="626"/>
      <c r="AG12" s="626"/>
      <c r="AH12" s="626"/>
      <c r="AI12" s="626"/>
      <c r="AJ12" s="626"/>
      <c r="AK12" s="626"/>
      <c r="AL12" s="626"/>
      <c r="AM12" s="626"/>
      <c r="AN12" s="626"/>
      <c r="AO12" s="626"/>
      <c r="AP12" s="626"/>
      <c r="AQ12" s="626"/>
      <c r="AR12" s="626"/>
      <c r="AS12" s="626"/>
      <c r="AT12" s="626"/>
      <c r="AU12" s="626"/>
      <c r="AV12" s="626"/>
      <c r="AW12" s="626"/>
      <c r="AX12" s="626"/>
      <c r="AY12" s="626"/>
      <c r="AZ12" s="626"/>
      <c r="BA12" s="626"/>
      <c r="BB12" s="626"/>
      <c r="BC12" s="626"/>
      <c r="BD12" s="626"/>
      <c r="BE12" s="626"/>
      <c r="BF12" s="626"/>
      <c r="BG12" s="626"/>
    </row>
    <row r="13" spans="1:59" s="627" customFormat="1" ht="17" thickBot="1" x14ac:dyDescent="0.5">
      <c r="A13" s="596"/>
      <c r="B13" s="641"/>
      <c r="C13" s="642"/>
      <c r="D13" s="642"/>
      <c r="E13" s="643"/>
      <c r="F13" s="642"/>
      <c r="G13" s="643"/>
      <c r="H13" s="642"/>
      <c r="I13" s="643"/>
      <c r="J13" s="642"/>
      <c r="K13" s="643"/>
      <c r="L13" s="642"/>
      <c r="M13" s="643"/>
      <c r="N13" s="643"/>
      <c r="O13" s="643"/>
      <c r="P13" s="643"/>
      <c r="Q13" s="643"/>
      <c r="R13" s="643"/>
      <c r="S13" s="643"/>
      <c r="T13" s="643"/>
      <c r="U13" s="643"/>
      <c r="V13" s="633" t="s">
        <v>1474</v>
      </c>
      <c r="W13" s="487">
        <v>50270</v>
      </c>
      <c r="X13" s="505">
        <v>0</v>
      </c>
      <c r="Y13" s="489"/>
      <c r="Z13" s="625"/>
      <c r="AA13" s="625"/>
      <c r="AB13" s="626"/>
      <c r="AC13" s="626"/>
      <c r="AD13" s="626"/>
      <c r="AE13" s="626"/>
      <c r="AF13" s="626"/>
      <c r="AG13" s="626"/>
      <c r="AH13" s="626"/>
      <c r="AI13" s="626"/>
      <c r="AJ13" s="626"/>
      <c r="AK13" s="626"/>
      <c r="AL13" s="626"/>
      <c r="AM13" s="626"/>
      <c r="AN13" s="626"/>
      <c r="AO13" s="626"/>
      <c r="AP13" s="626"/>
      <c r="AQ13" s="626"/>
      <c r="AR13" s="626"/>
      <c r="AS13" s="626"/>
      <c r="AT13" s="626"/>
      <c r="AU13" s="626"/>
      <c r="AV13" s="626"/>
      <c r="AW13" s="626"/>
      <c r="AX13" s="626"/>
      <c r="AY13" s="626"/>
      <c r="AZ13" s="626"/>
      <c r="BA13" s="626"/>
      <c r="BB13" s="626"/>
      <c r="BC13" s="626"/>
      <c r="BD13" s="626"/>
      <c r="BE13" s="626"/>
      <c r="BF13" s="626"/>
      <c r="BG13" s="626"/>
    </row>
    <row r="14" spans="1:59" s="627" customFormat="1" ht="17.5" thickTop="1" thickBot="1" x14ac:dyDescent="0.5">
      <c r="A14" s="184"/>
      <c r="B14" s="644"/>
      <c r="C14" s="644"/>
      <c r="D14" s="644"/>
      <c r="E14" s="644"/>
      <c r="F14" s="645"/>
      <c r="G14" s="644"/>
      <c r="H14" s="644"/>
      <c r="I14" s="644"/>
      <c r="J14" s="644"/>
      <c r="K14" s="644"/>
      <c r="L14" s="644"/>
      <c r="M14" s="644"/>
      <c r="N14" s="644"/>
      <c r="O14" s="644"/>
      <c r="P14" s="644"/>
      <c r="Q14" s="644"/>
      <c r="R14" s="644"/>
      <c r="S14" s="644"/>
      <c r="T14" s="644"/>
      <c r="U14" s="644"/>
      <c r="V14" s="625"/>
      <c r="W14" s="487"/>
      <c r="X14" s="505"/>
      <c r="Y14" s="506"/>
      <c r="Z14" s="625"/>
      <c r="AA14" s="625"/>
      <c r="AB14" s="626"/>
      <c r="AC14" s="626"/>
      <c r="AD14" s="626"/>
      <c r="AE14" s="626"/>
      <c r="AF14" s="626"/>
      <c r="AG14" s="626"/>
      <c r="AH14" s="626"/>
      <c r="AI14" s="626"/>
      <c r="AJ14" s="626"/>
      <c r="AK14" s="626"/>
      <c r="AL14" s="626"/>
      <c r="AM14" s="626"/>
      <c r="AN14" s="626"/>
      <c r="AO14" s="626"/>
      <c r="AP14" s="626"/>
      <c r="AQ14" s="626"/>
      <c r="AR14" s="626"/>
      <c r="AS14" s="626"/>
      <c r="AT14" s="626"/>
      <c r="AU14" s="626"/>
      <c r="AV14" s="626"/>
      <c r="AW14" s="626"/>
      <c r="AX14" s="626"/>
      <c r="AY14" s="626"/>
      <c r="AZ14" s="626"/>
      <c r="BA14" s="626"/>
      <c r="BB14" s="626"/>
      <c r="BC14" s="626"/>
      <c r="BD14" s="626"/>
      <c r="BE14" s="626"/>
      <c r="BF14" s="626"/>
      <c r="BG14" s="626"/>
    </row>
    <row r="15" spans="1:59" s="627" customFormat="1" ht="18.75" customHeight="1" thickTop="1" thickBot="1" x14ac:dyDescent="0.5">
      <c r="A15" s="596" t="s">
        <v>1398</v>
      </c>
      <c r="B15" s="1574" t="s">
        <v>1475</v>
      </c>
      <c r="C15" s="1575"/>
      <c r="D15" s="1575"/>
      <c r="E15" s="1575"/>
      <c r="F15" s="1575"/>
      <c r="G15" s="1575"/>
      <c r="H15" s="1575"/>
      <c r="I15" s="1575"/>
      <c r="J15" s="1575"/>
      <c r="K15" s="1575"/>
      <c r="L15" s="1575"/>
      <c r="M15" s="1576"/>
      <c r="N15" s="1577" t="s">
        <v>1476</v>
      </c>
      <c r="O15" s="1578"/>
      <c r="P15" s="1578"/>
      <c r="Q15" s="1578"/>
      <c r="R15" s="1578"/>
      <c r="S15" s="1578"/>
      <c r="T15" s="1578"/>
      <c r="U15" s="1578"/>
      <c r="V15" s="1282"/>
      <c r="W15" s="646" t="s">
        <v>1410</v>
      </c>
      <c r="X15" s="532">
        <v>0.26900000000000002</v>
      </c>
      <c r="Y15" s="533"/>
      <c r="Z15" s="625"/>
      <c r="AA15" s="625"/>
      <c r="AB15" s="626"/>
      <c r="AC15" s="626"/>
      <c r="AD15" s="626"/>
      <c r="AE15" s="626"/>
      <c r="AF15" s="626"/>
      <c r="AG15" s="626"/>
      <c r="AH15" s="626"/>
      <c r="AI15" s="626"/>
      <c r="AJ15" s="626"/>
      <c r="AK15" s="626"/>
      <c r="AL15" s="626"/>
      <c r="AM15" s="626"/>
      <c r="AN15" s="626"/>
      <c r="AO15" s="626"/>
      <c r="AP15" s="626"/>
      <c r="AQ15" s="626"/>
      <c r="AR15" s="626"/>
      <c r="AS15" s="626"/>
      <c r="AT15" s="626"/>
      <c r="AU15" s="626"/>
      <c r="AV15" s="626"/>
      <c r="AW15" s="626"/>
      <c r="AX15" s="626"/>
      <c r="AY15" s="626"/>
      <c r="AZ15" s="626"/>
      <c r="BA15" s="626"/>
      <c r="BB15" s="626"/>
      <c r="BC15" s="626"/>
      <c r="BD15" s="626"/>
      <c r="BE15" s="626"/>
      <c r="BF15" s="626"/>
      <c r="BG15" s="626"/>
    </row>
    <row r="16" spans="1:59" x14ac:dyDescent="0.35">
      <c r="A16" s="588"/>
      <c r="B16" s="647"/>
      <c r="C16" s="648" t="s">
        <v>1477</v>
      </c>
      <c r="D16" s="648" t="s">
        <v>1415</v>
      </c>
      <c r="E16" s="648"/>
      <c r="F16" s="649" t="s">
        <v>1478</v>
      </c>
      <c r="G16" s="648"/>
      <c r="H16" s="649" t="s">
        <v>1417</v>
      </c>
      <c r="I16" s="648"/>
      <c r="J16" s="649" t="s">
        <v>1410</v>
      </c>
      <c r="K16" s="648"/>
      <c r="L16" s="649" t="s">
        <v>1479</v>
      </c>
      <c r="M16" s="650"/>
      <c r="N16" s="651" t="s">
        <v>1478</v>
      </c>
      <c r="O16" s="648"/>
      <c r="P16" s="648"/>
      <c r="Q16" s="648"/>
      <c r="R16" s="649" t="s">
        <v>1417</v>
      </c>
      <c r="S16" s="648"/>
      <c r="T16" s="652" t="s">
        <v>1479</v>
      </c>
      <c r="U16" s="653"/>
      <c r="V16" s="588"/>
      <c r="W16" s="588"/>
      <c r="X16" s="588"/>
      <c r="Y16" s="588"/>
      <c r="Z16" s="588"/>
      <c r="AA16" s="588"/>
      <c r="AB16" s="588"/>
      <c r="AC16" s="588"/>
      <c r="AD16" s="588"/>
      <c r="AE16" s="588"/>
      <c r="AF16" s="588"/>
      <c r="AG16" s="588"/>
      <c r="AH16" s="588"/>
      <c r="AI16" s="588"/>
      <c r="AJ16" s="588"/>
      <c r="AK16" s="588"/>
      <c r="AL16" s="588"/>
      <c r="AM16" s="588"/>
      <c r="AN16" s="588"/>
      <c r="AO16" s="588"/>
      <c r="AP16" s="588"/>
      <c r="AQ16" s="588"/>
      <c r="AR16" s="588"/>
      <c r="AS16" s="588"/>
      <c r="AT16" s="588"/>
      <c r="AU16" s="588"/>
      <c r="AV16" s="588"/>
      <c r="AW16" s="588"/>
      <c r="AX16" s="588"/>
      <c r="AY16" s="588"/>
      <c r="AZ16" s="588"/>
      <c r="BA16" s="588"/>
      <c r="BB16" s="588"/>
      <c r="BC16" s="588"/>
      <c r="BD16" s="588"/>
      <c r="BE16" s="588"/>
      <c r="BF16" s="588"/>
      <c r="BG16" s="588"/>
    </row>
    <row r="17" spans="1:59" ht="16" customHeight="1" thickBot="1" x14ac:dyDescent="0.4">
      <c r="A17" s="588"/>
      <c r="B17" s="654"/>
      <c r="C17" s="655"/>
      <c r="D17" s="655"/>
      <c r="E17" s="655"/>
      <c r="F17" s="655"/>
      <c r="G17" s="655"/>
      <c r="H17" s="655"/>
      <c r="I17" s="655"/>
      <c r="J17" s="655"/>
      <c r="K17" s="655"/>
      <c r="L17" s="655"/>
      <c r="M17" s="655"/>
      <c r="N17" s="656"/>
      <c r="O17" s="655"/>
      <c r="P17" s="655"/>
      <c r="Q17" s="655"/>
      <c r="R17" s="655"/>
      <c r="S17" s="655"/>
      <c r="T17" s="655"/>
      <c r="U17" s="657"/>
      <c r="V17" s="588"/>
      <c r="W17" s="588"/>
      <c r="X17" s="658"/>
      <c r="Y17" s="588"/>
      <c r="Z17" s="588"/>
      <c r="AA17" s="588"/>
      <c r="AB17" s="588"/>
      <c r="AC17" s="588"/>
      <c r="AD17" s="588"/>
      <c r="AE17" s="588"/>
      <c r="AF17" s="588"/>
      <c r="AG17" s="588"/>
      <c r="AH17" s="588"/>
      <c r="AI17" s="588"/>
      <c r="AJ17" s="588"/>
      <c r="AK17" s="588"/>
      <c r="AL17" s="588"/>
      <c r="AM17" s="588"/>
      <c r="AN17" s="588"/>
      <c r="AO17" s="588"/>
      <c r="AP17" s="588"/>
      <c r="AQ17" s="588"/>
      <c r="AR17" s="588"/>
      <c r="AS17" s="588"/>
      <c r="AT17" s="588"/>
      <c r="AU17" s="588"/>
      <c r="AV17" s="588"/>
      <c r="AW17" s="588"/>
      <c r="AX17" s="588"/>
      <c r="AY17" s="588"/>
      <c r="AZ17" s="588"/>
      <c r="BA17" s="588"/>
      <c r="BB17" s="588"/>
      <c r="BC17" s="588"/>
      <c r="BD17" s="588"/>
      <c r="BE17" s="588"/>
      <c r="BF17" s="588"/>
      <c r="BG17" s="588"/>
    </row>
    <row r="18" spans="1:59" ht="16" customHeight="1" x14ac:dyDescent="0.35">
      <c r="A18" s="588"/>
      <c r="B18" s="517"/>
      <c r="C18" s="659" t="s">
        <v>1480</v>
      </c>
      <c r="D18" s="660"/>
      <c r="E18" s="661"/>
      <c r="F18" s="662"/>
      <c r="G18" s="662"/>
      <c r="H18" s="662"/>
      <c r="I18" s="662"/>
      <c r="J18" s="662"/>
      <c r="K18" s="662"/>
      <c r="L18" s="662"/>
      <c r="M18" s="662"/>
      <c r="N18" s="663"/>
      <c r="O18" s="662"/>
      <c r="P18" s="662"/>
      <c r="Q18" s="662"/>
      <c r="R18" s="662"/>
      <c r="S18" s="662"/>
      <c r="T18" s="662"/>
      <c r="U18" s="524"/>
      <c r="V18" s="588"/>
      <c r="W18" s="588"/>
      <c r="X18" s="658"/>
      <c r="Y18" s="588"/>
      <c r="Z18" s="588"/>
      <c r="AA18" s="588"/>
      <c r="AB18" s="588"/>
      <c r="AC18" s="588"/>
      <c r="AD18" s="588"/>
      <c r="AE18" s="588"/>
      <c r="AF18" s="588"/>
      <c r="AG18" s="588"/>
      <c r="AH18" s="588"/>
      <c r="AI18" s="588"/>
      <c r="AJ18" s="588"/>
      <c r="AK18" s="588"/>
      <c r="AL18" s="588"/>
      <c r="AM18" s="588"/>
      <c r="AN18" s="588"/>
      <c r="AO18" s="588"/>
      <c r="AP18" s="588"/>
      <c r="AQ18" s="588"/>
      <c r="AR18" s="588"/>
      <c r="AS18" s="588"/>
      <c r="AT18" s="588"/>
      <c r="AU18" s="588"/>
      <c r="AV18" s="588"/>
      <c r="AW18" s="588"/>
      <c r="AX18" s="588"/>
      <c r="AY18" s="588"/>
      <c r="AZ18" s="588"/>
      <c r="BA18" s="588"/>
      <c r="BB18" s="588"/>
      <c r="BC18" s="588"/>
      <c r="BD18" s="588"/>
      <c r="BE18" s="588"/>
      <c r="BF18" s="588"/>
      <c r="BG18" s="588"/>
    </row>
    <row r="19" spans="1:59" ht="16" customHeight="1" x14ac:dyDescent="0.35">
      <c r="A19" s="588"/>
      <c r="B19" s="517"/>
      <c r="C19" s="664" t="s">
        <v>1481</v>
      </c>
      <c r="D19" s="660"/>
      <c r="E19" s="661"/>
      <c r="F19" s="662"/>
      <c r="G19" s="662"/>
      <c r="H19" s="662"/>
      <c r="I19" s="662"/>
      <c r="J19" s="662"/>
      <c r="K19" s="662"/>
      <c r="L19" s="662"/>
      <c r="M19" s="662"/>
      <c r="N19" s="663"/>
      <c r="O19" s="662"/>
      <c r="P19" s="662"/>
      <c r="Q19" s="662"/>
      <c r="R19" s="662"/>
      <c r="S19" s="662"/>
      <c r="T19" s="662"/>
      <c r="U19" s="524"/>
      <c r="V19" s="588"/>
      <c r="W19" s="665" t="s">
        <v>1482</v>
      </c>
      <c r="X19" s="588"/>
      <c r="Y19" s="588"/>
      <c r="Z19" s="588"/>
      <c r="AA19" s="588"/>
      <c r="AB19" s="588"/>
      <c r="AC19" s="588"/>
      <c r="AD19" s="588"/>
      <c r="AE19" s="588"/>
      <c r="AF19" s="588"/>
      <c r="AG19" s="588"/>
      <c r="AH19" s="588"/>
      <c r="AI19" s="588"/>
      <c r="AJ19" s="588"/>
      <c r="AK19" s="588"/>
      <c r="AL19" s="588"/>
      <c r="AM19" s="588"/>
      <c r="AN19" s="588"/>
      <c r="AO19" s="588"/>
      <c r="AP19" s="588"/>
      <c r="AQ19" s="588"/>
      <c r="AR19" s="588"/>
      <c r="AS19" s="588"/>
      <c r="AT19" s="588"/>
      <c r="AU19" s="588"/>
      <c r="AV19" s="588"/>
      <c r="AW19" s="588"/>
      <c r="AX19" s="588"/>
      <c r="AY19" s="588"/>
      <c r="AZ19" s="588"/>
      <c r="BA19" s="588"/>
      <c r="BB19" s="588"/>
      <c r="BC19" s="588"/>
      <c r="BD19" s="588"/>
      <c r="BE19" s="588"/>
      <c r="BF19" s="588"/>
      <c r="BG19" s="588"/>
    </row>
    <row r="20" spans="1:59" ht="16" customHeight="1" x14ac:dyDescent="0.35">
      <c r="A20" s="588"/>
      <c r="B20" s="549"/>
      <c r="C20" s="664" t="s">
        <v>1483</v>
      </c>
      <c r="D20" s="664">
        <v>6</v>
      </c>
      <c r="E20" s="661"/>
      <c r="F20" s="662">
        <f>SUM([25]Sheet2!E22*195/229)</f>
        <v>17722.008733624454</v>
      </c>
      <c r="G20" s="662"/>
      <c r="H20" s="662">
        <f t="shared" ref="H20:H39" si="0">IF($F20&gt;$W$12,($F20-$W$12)*$Y$12,"ERROR")</f>
        <v>1189.8372052401749</v>
      </c>
      <c r="I20" s="662"/>
      <c r="J20" s="662">
        <f t="shared" ref="J20:J39" si="1">$F20*$X$15</f>
        <v>4767.2203493449788</v>
      </c>
      <c r="K20" s="662"/>
      <c r="L20" s="662">
        <f t="shared" ref="L20:L39" si="2">F20+ROUND(H20,0)+ROUND(J20,0)</f>
        <v>23679.008733624454</v>
      </c>
      <c r="M20" s="662"/>
      <c r="N20" s="663">
        <f t="shared" ref="N20:N39" si="3">F20</f>
        <v>17722.008733624454</v>
      </c>
      <c r="O20" s="662"/>
      <c r="P20" s="662"/>
      <c r="Q20" s="662"/>
      <c r="R20" s="662">
        <f t="shared" ref="R20:R39" si="4">IF($N20&gt;$W$12,($N20-$W$12)*$Y$12,"ERROR")</f>
        <v>1189.8372052401749</v>
      </c>
      <c r="S20" s="662"/>
      <c r="T20" s="662">
        <f t="shared" ref="T20:T39" si="5">SUM(N20:R20)</f>
        <v>18911.84593886463</v>
      </c>
      <c r="U20" s="524"/>
      <c r="V20" s="666"/>
      <c r="W20" s="665" t="s">
        <v>1421</v>
      </c>
      <c r="X20" s="588"/>
      <c r="Y20" s="588"/>
      <c r="Z20" s="588"/>
      <c r="AA20" s="588"/>
      <c r="AB20" s="588"/>
      <c r="AC20" s="588"/>
      <c r="AD20" s="588"/>
      <c r="AE20" s="588"/>
      <c r="AF20" s="588"/>
      <c r="AG20" s="588"/>
      <c r="AH20" s="588"/>
      <c r="AI20" s="588"/>
      <c r="AJ20" s="588"/>
      <c r="AK20" s="588"/>
      <c r="AL20" s="588"/>
      <c r="AM20" s="588"/>
      <c r="AN20" s="588"/>
      <c r="AO20" s="588"/>
      <c r="AP20" s="588"/>
      <c r="AQ20" s="588"/>
      <c r="AR20" s="588"/>
      <c r="AS20" s="588"/>
      <c r="AT20" s="588"/>
      <c r="AU20" s="588"/>
      <c r="AV20" s="588"/>
      <c r="AW20" s="588"/>
      <c r="AX20" s="588"/>
      <c r="AY20" s="588"/>
      <c r="AZ20" s="588"/>
      <c r="BA20" s="588"/>
      <c r="BB20" s="588"/>
      <c r="BC20" s="588"/>
      <c r="BD20" s="588"/>
      <c r="BE20" s="588"/>
      <c r="BF20" s="588"/>
      <c r="BG20" s="588"/>
    </row>
    <row r="21" spans="1:59" ht="16" customHeight="1" x14ac:dyDescent="0.35">
      <c r="A21" s="588"/>
      <c r="B21" s="549"/>
      <c r="C21" s="664" t="s">
        <v>1480</v>
      </c>
      <c r="D21" s="664">
        <v>7</v>
      </c>
      <c r="E21" s="661"/>
      <c r="F21" s="662">
        <f>SUM([25]Sheet2!E23*195/229)</f>
        <v>18037.074235807861</v>
      </c>
      <c r="G21" s="662"/>
      <c r="H21" s="662">
        <f t="shared" si="0"/>
        <v>1233.3162445414848</v>
      </c>
      <c r="I21" s="662"/>
      <c r="J21" s="662">
        <f t="shared" si="1"/>
        <v>4851.972969432315</v>
      </c>
      <c r="K21" s="662"/>
      <c r="L21" s="662">
        <f t="shared" si="2"/>
        <v>24122.074235807861</v>
      </c>
      <c r="M21" s="662"/>
      <c r="N21" s="663">
        <f t="shared" si="3"/>
        <v>18037.074235807861</v>
      </c>
      <c r="O21" s="662"/>
      <c r="P21" s="662"/>
      <c r="Q21" s="662"/>
      <c r="R21" s="662">
        <f t="shared" si="4"/>
        <v>1233.3162445414848</v>
      </c>
      <c r="S21" s="662"/>
      <c r="T21" s="662">
        <f t="shared" si="5"/>
        <v>19270.390480349346</v>
      </c>
      <c r="U21" s="524"/>
      <c r="V21" s="666"/>
      <c r="W21" s="665"/>
      <c r="X21" s="588"/>
      <c r="Y21" s="588"/>
      <c r="Z21" s="588"/>
      <c r="AA21" s="588"/>
      <c r="AB21" s="588"/>
      <c r="AC21" s="588"/>
      <c r="AD21" s="588"/>
      <c r="AE21" s="588"/>
      <c r="AF21" s="588"/>
      <c r="AG21" s="588"/>
      <c r="AH21" s="588"/>
      <c r="AI21" s="588"/>
      <c r="AJ21" s="588"/>
      <c r="AK21" s="588"/>
      <c r="AL21" s="588"/>
      <c r="AM21" s="588"/>
      <c r="AN21" s="588"/>
      <c r="AO21" s="588"/>
      <c r="AP21" s="588"/>
      <c r="AQ21" s="588"/>
      <c r="AR21" s="588"/>
      <c r="AS21" s="588"/>
      <c r="AT21" s="588"/>
      <c r="AU21" s="588"/>
      <c r="AV21" s="588"/>
      <c r="AW21" s="588"/>
      <c r="AX21" s="588"/>
      <c r="AY21" s="588"/>
      <c r="AZ21" s="588"/>
      <c r="BA21" s="588"/>
      <c r="BB21" s="588"/>
      <c r="BC21" s="588"/>
      <c r="BD21" s="588"/>
      <c r="BE21" s="588"/>
      <c r="BF21" s="588"/>
      <c r="BG21" s="588"/>
    </row>
    <row r="22" spans="1:59" ht="16" customHeight="1" x14ac:dyDescent="0.35">
      <c r="A22" s="588"/>
      <c r="B22" s="549"/>
      <c r="C22" s="664" t="s">
        <v>1480</v>
      </c>
      <c r="D22" s="664">
        <v>8</v>
      </c>
      <c r="E22" s="661"/>
      <c r="F22" s="662">
        <f>SUM([25]Sheet2!E24*195/229)</f>
        <v>18389.606986899562</v>
      </c>
      <c r="G22" s="662"/>
      <c r="H22" s="662">
        <f t="shared" si="0"/>
        <v>1281.9657641921397</v>
      </c>
      <c r="I22" s="662"/>
      <c r="J22" s="662">
        <f t="shared" si="1"/>
        <v>4946.8042794759822</v>
      </c>
      <c r="K22" s="662"/>
      <c r="L22" s="662">
        <f t="shared" si="2"/>
        <v>24618.606986899562</v>
      </c>
      <c r="M22" s="662"/>
      <c r="N22" s="663">
        <f t="shared" si="3"/>
        <v>18389.606986899562</v>
      </c>
      <c r="O22" s="662"/>
      <c r="P22" s="662"/>
      <c r="Q22" s="662"/>
      <c r="R22" s="662">
        <f t="shared" si="4"/>
        <v>1281.9657641921397</v>
      </c>
      <c r="S22" s="662"/>
      <c r="T22" s="662">
        <f t="shared" si="5"/>
        <v>19671.572751091702</v>
      </c>
      <c r="U22" s="524"/>
      <c r="V22" s="666"/>
      <c r="W22" s="665" t="s">
        <v>1422</v>
      </c>
      <c r="X22" s="588"/>
      <c r="Y22" s="588"/>
      <c r="Z22" s="588"/>
      <c r="AA22" s="588"/>
      <c r="AB22" s="588"/>
      <c r="AC22" s="588"/>
      <c r="AD22" s="588"/>
      <c r="AE22" s="588"/>
      <c r="AF22" s="588"/>
      <c r="AG22" s="588"/>
      <c r="AH22" s="588"/>
      <c r="AI22" s="588"/>
      <c r="AJ22" s="588"/>
      <c r="AK22" s="588"/>
      <c r="AL22" s="588"/>
      <c r="AM22" s="588"/>
      <c r="AN22" s="588"/>
      <c r="AO22" s="588"/>
      <c r="AP22" s="588"/>
      <c r="AQ22" s="588"/>
      <c r="AR22" s="588"/>
      <c r="AS22" s="588"/>
      <c r="AT22" s="588"/>
      <c r="AU22" s="588"/>
      <c r="AV22" s="588"/>
      <c r="AW22" s="588"/>
      <c r="AX22" s="588"/>
      <c r="AY22" s="588"/>
      <c r="AZ22" s="588"/>
      <c r="BA22" s="588"/>
      <c r="BB22" s="588"/>
      <c r="BC22" s="588"/>
      <c r="BD22" s="588"/>
      <c r="BE22" s="588"/>
      <c r="BF22" s="588"/>
      <c r="BG22" s="588"/>
    </row>
    <row r="23" spans="1:59" ht="16" customHeight="1" x14ac:dyDescent="0.35">
      <c r="A23" s="588"/>
      <c r="B23" s="549"/>
      <c r="C23" s="667" t="s">
        <v>1480</v>
      </c>
      <c r="D23" s="667">
        <v>9</v>
      </c>
      <c r="E23" s="668"/>
      <c r="F23" s="669">
        <f>SUM([25]Sheet2!E25*195/229)</f>
        <v>18706.37554585153</v>
      </c>
      <c r="G23" s="669"/>
      <c r="H23" s="669">
        <f t="shared" si="0"/>
        <v>1325.6798253275113</v>
      </c>
      <c r="I23" s="669"/>
      <c r="J23" s="669">
        <f t="shared" si="1"/>
        <v>5032.0150218340614</v>
      </c>
      <c r="K23" s="669"/>
      <c r="L23" s="669">
        <f t="shared" si="2"/>
        <v>25064.37554585153</v>
      </c>
      <c r="M23" s="669"/>
      <c r="N23" s="670">
        <f t="shared" si="3"/>
        <v>18706.37554585153</v>
      </c>
      <c r="O23" s="669"/>
      <c r="P23" s="669"/>
      <c r="Q23" s="669"/>
      <c r="R23" s="669">
        <f t="shared" si="4"/>
        <v>1325.6798253275113</v>
      </c>
      <c r="S23" s="669"/>
      <c r="T23" s="669">
        <f t="shared" si="5"/>
        <v>20032.055371179042</v>
      </c>
      <c r="U23" s="524"/>
      <c r="V23" s="588"/>
      <c r="W23" s="665" t="s">
        <v>1458</v>
      </c>
      <c r="X23" s="588"/>
      <c r="Y23" s="588"/>
      <c r="Z23" s="588"/>
      <c r="AA23" s="588"/>
      <c r="AB23" s="588"/>
      <c r="AC23" s="588"/>
      <c r="AD23" s="588"/>
      <c r="AE23" s="588"/>
      <c r="AF23" s="588"/>
      <c r="AG23" s="588"/>
      <c r="AH23" s="588"/>
      <c r="AI23" s="588"/>
      <c r="AJ23" s="588"/>
      <c r="AK23" s="588"/>
      <c r="AL23" s="588"/>
      <c r="AM23" s="588"/>
      <c r="AN23" s="588"/>
      <c r="AO23" s="588"/>
      <c r="AP23" s="588"/>
      <c r="AQ23" s="588"/>
      <c r="AR23" s="588"/>
      <c r="AS23" s="588"/>
      <c r="AT23" s="588"/>
      <c r="AU23" s="588"/>
      <c r="AV23" s="588"/>
      <c r="AW23" s="588"/>
      <c r="AX23" s="588"/>
      <c r="AY23" s="588"/>
      <c r="AZ23" s="588"/>
      <c r="BA23" s="588"/>
      <c r="BB23" s="588"/>
      <c r="BC23" s="588"/>
      <c r="BD23" s="588"/>
      <c r="BE23" s="588"/>
      <c r="BF23" s="588"/>
      <c r="BG23" s="588"/>
    </row>
    <row r="24" spans="1:59" ht="16" customHeight="1" x14ac:dyDescent="0.35">
      <c r="A24" s="588"/>
      <c r="B24" s="549"/>
      <c r="C24" s="664" t="s">
        <v>1484</v>
      </c>
      <c r="D24" s="664">
        <v>12</v>
      </c>
      <c r="E24" s="661"/>
      <c r="F24" s="662">
        <f>SUM([25]Sheet2!E28*195/229)</f>
        <v>19750.349344978167</v>
      </c>
      <c r="G24" s="662"/>
      <c r="H24" s="662">
        <f t="shared" si="0"/>
        <v>1469.7482096069873</v>
      </c>
      <c r="I24" s="662"/>
      <c r="J24" s="662">
        <f t="shared" si="1"/>
        <v>5312.8439737991275</v>
      </c>
      <c r="K24" s="662"/>
      <c r="L24" s="662">
        <f t="shared" si="2"/>
        <v>26533.349344978167</v>
      </c>
      <c r="M24" s="662"/>
      <c r="N24" s="663">
        <f t="shared" si="3"/>
        <v>19750.349344978167</v>
      </c>
      <c r="O24" s="662"/>
      <c r="P24" s="662"/>
      <c r="Q24" s="662"/>
      <c r="R24" s="662">
        <f t="shared" si="4"/>
        <v>1469.7482096069873</v>
      </c>
      <c r="S24" s="662"/>
      <c r="T24" s="662">
        <f t="shared" si="5"/>
        <v>21220.097554585154</v>
      </c>
      <c r="U24" s="524"/>
      <c r="V24" s="666"/>
      <c r="W24" s="665"/>
      <c r="X24" s="588"/>
      <c r="Y24" s="588"/>
      <c r="Z24" s="588"/>
      <c r="AA24" s="588"/>
      <c r="AB24" s="588"/>
      <c r="AC24" s="588"/>
      <c r="AD24" s="588"/>
      <c r="AE24" s="588"/>
      <c r="AF24" s="588"/>
      <c r="AG24" s="588"/>
      <c r="AH24" s="588"/>
      <c r="AI24" s="588"/>
      <c r="AJ24" s="588"/>
      <c r="AK24" s="588"/>
      <c r="AL24" s="588"/>
      <c r="AM24" s="588"/>
      <c r="AN24" s="588"/>
      <c r="AO24" s="588"/>
      <c r="AP24" s="588"/>
      <c r="AQ24" s="588"/>
      <c r="AR24" s="588"/>
      <c r="AS24" s="588"/>
      <c r="AT24" s="588"/>
      <c r="AU24" s="588"/>
      <c r="AV24" s="588"/>
      <c r="AW24" s="588"/>
      <c r="AX24" s="588"/>
      <c r="AY24" s="588"/>
      <c r="AZ24" s="588"/>
      <c r="BA24" s="588"/>
      <c r="BB24" s="588"/>
      <c r="BC24" s="588"/>
      <c r="BD24" s="588"/>
      <c r="BE24" s="588"/>
      <c r="BF24" s="588"/>
      <c r="BG24" s="588"/>
    </row>
    <row r="25" spans="1:59" ht="16" customHeight="1" x14ac:dyDescent="0.35">
      <c r="A25" s="588"/>
      <c r="B25" s="549"/>
      <c r="C25" s="664" t="s">
        <v>1485</v>
      </c>
      <c r="D25" s="664">
        <v>13</v>
      </c>
      <c r="E25" s="661"/>
      <c r="F25" s="662">
        <f>SUM([25]Sheet2!E29*195/229)</f>
        <v>20467.336244541486</v>
      </c>
      <c r="G25" s="662"/>
      <c r="H25" s="662">
        <f t="shared" si="0"/>
        <v>1568.6924017467252</v>
      </c>
      <c r="I25" s="662"/>
      <c r="J25" s="662">
        <f t="shared" si="1"/>
        <v>5505.7134497816596</v>
      </c>
      <c r="K25" s="662"/>
      <c r="L25" s="662">
        <f t="shared" si="2"/>
        <v>27542.336244541486</v>
      </c>
      <c r="M25" s="662"/>
      <c r="N25" s="663">
        <f t="shared" si="3"/>
        <v>20467.336244541486</v>
      </c>
      <c r="O25" s="662"/>
      <c r="P25" s="662"/>
      <c r="Q25" s="662"/>
      <c r="R25" s="662">
        <f t="shared" si="4"/>
        <v>1568.6924017467252</v>
      </c>
      <c r="S25" s="662"/>
      <c r="T25" s="662">
        <f t="shared" si="5"/>
        <v>22036.02864628821</v>
      </c>
      <c r="U25" s="524"/>
      <c r="V25" s="666"/>
      <c r="W25" s="665" t="s">
        <v>1427</v>
      </c>
      <c r="X25" s="588"/>
      <c r="Y25" s="588"/>
      <c r="Z25" s="588"/>
      <c r="AA25" s="588"/>
      <c r="AB25" s="588"/>
      <c r="AC25" s="588"/>
      <c r="AD25" s="588"/>
      <c r="AE25" s="588"/>
      <c r="AF25" s="588"/>
      <c r="AG25" s="588"/>
      <c r="AH25" s="588"/>
      <c r="AI25" s="588"/>
      <c r="AJ25" s="588"/>
      <c r="AK25" s="588"/>
      <c r="AL25" s="588"/>
      <c r="AM25" s="588"/>
      <c r="AN25" s="588"/>
      <c r="AO25" s="588"/>
      <c r="AP25" s="588"/>
      <c r="AQ25" s="588"/>
      <c r="AR25" s="588"/>
      <c r="AS25" s="588"/>
      <c r="AT25" s="588"/>
      <c r="AU25" s="588"/>
      <c r="AV25" s="588"/>
      <c r="AW25" s="588"/>
      <c r="AX25" s="588"/>
      <c r="AY25" s="588"/>
      <c r="AZ25" s="588"/>
      <c r="BA25" s="588"/>
      <c r="BB25" s="588"/>
      <c r="BC25" s="588"/>
      <c r="BD25" s="588"/>
      <c r="BE25" s="588"/>
      <c r="BF25" s="588"/>
      <c r="BG25" s="588"/>
    </row>
    <row r="26" spans="1:59" ht="16" customHeight="1" x14ac:dyDescent="0.35">
      <c r="A26" s="588"/>
      <c r="B26" s="549"/>
      <c r="C26" s="664" t="s">
        <v>1480</v>
      </c>
      <c r="D26" s="664">
        <v>14</v>
      </c>
      <c r="E26" s="661"/>
      <c r="F26" s="662">
        <f>SUM([25]Sheet2!E30*195/229)</f>
        <v>21253.296943231442</v>
      </c>
      <c r="G26" s="662"/>
      <c r="H26" s="662">
        <f t="shared" si="0"/>
        <v>1677.1549781659392</v>
      </c>
      <c r="I26" s="662"/>
      <c r="J26" s="662">
        <f t="shared" si="1"/>
        <v>5717.1368777292582</v>
      </c>
      <c r="K26" s="662"/>
      <c r="L26" s="662">
        <f t="shared" si="2"/>
        <v>28647.296943231442</v>
      </c>
      <c r="M26" s="671"/>
      <c r="N26" s="662">
        <f t="shared" si="3"/>
        <v>21253.296943231442</v>
      </c>
      <c r="O26" s="662"/>
      <c r="P26" s="662"/>
      <c r="Q26" s="662"/>
      <c r="R26" s="662">
        <f t="shared" si="4"/>
        <v>1677.1549781659392</v>
      </c>
      <c r="S26" s="662"/>
      <c r="T26" s="662">
        <f t="shared" si="5"/>
        <v>22930.45192139738</v>
      </c>
      <c r="U26" s="524"/>
      <c r="V26" s="666"/>
      <c r="W26" s="665" t="s">
        <v>1504</v>
      </c>
      <c r="X26" s="588"/>
      <c r="Y26" s="588"/>
      <c r="Z26" s="588"/>
      <c r="AA26" s="588"/>
      <c r="AB26" s="588"/>
      <c r="AC26" s="588"/>
      <c r="AD26" s="588"/>
      <c r="AE26" s="588"/>
      <c r="AF26" s="588"/>
      <c r="AG26" s="588"/>
      <c r="AH26" s="588"/>
      <c r="AI26" s="588"/>
      <c r="AJ26" s="588"/>
      <c r="AK26" s="588"/>
      <c r="AL26" s="588"/>
      <c r="AM26" s="588"/>
      <c r="AN26" s="588"/>
      <c r="AO26" s="588"/>
      <c r="AP26" s="588"/>
      <c r="AQ26" s="588"/>
      <c r="AR26" s="588"/>
      <c r="AS26" s="588"/>
      <c r="AT26" s="588"/>
      <c r="AU26" s="588"/>
      <c r="AV26" s="588"/>
      <c r="AW26" s="588"/>
      <c r="AX26" s="588"/>
      <c r="AY26" s="588"/>
      <c r="AZ26" s="588"/>
      <c r="BA26" s="588"/>
      <c r="BB26" s="588"/>
      <c r="BC26" s="588"/>
      <c r="BD26" s="588"/>
      <c r="BE26" s="588"/>
      <c r="BF26" s="588"/>
      <c r="BG26" s="588"/>
    </row>
    <row r="27" spans="1:59" ht="16" customHeight="1" x14ac:dyDescent="0.35">
      <c r="A27" s="588"/>
      <c r="B27" s="549"/>
      <c r="C27" s="667" t="s">
        <v>1480</v>
      </c>
      <c r="D27" s="667">
        <v>15</v>
      </c>
      <c r="E27" s="668"/>
      <c r="F27" s="669">
        <f>SUM([25]Sheet2!E31*195/229)</f>
        <v>22035.851528384279</v>
      </c>
      <c r="G27" s="669"/>
      <c r="H27" s="669">
        <f t="shared" si="0"/>
        <v>1785.1475109170306</v>
      </c>
      <c r="I27" s="669"/>
      <c r="J27" s="669">
        <f t="shared" si="1"/>
        <v>5927.644061135371</v>
      </c>
      <c r="K27" s="669"/>
      <c r="L27" s="669">
        <f t="shared" si="2"/>
        <v>29748.851528384279</v>
      </c>
      <c r="M27" s="669"/>
      <c r="N27" s="670">
        <f t="shared" si="3"/>
        <v>22035.851528384279</v>
      </c>
      <c r="O27" s="669"/>
      <c r="P27" s="669"/>
      <c r="Q27" s="669"/>
      <c r="R27" s="669">
        <f t="shared" si="4"/>
        <v>1785.1475109170306</v>
      </c>
      <c r="S27" s="669"/>
      <c r="T27" s="669">
        <f t="shared" si="5"/>
        <v>23820.99903930131</v>
      </c>
      <c r="U27" s="524"/>
      <c r="V27" s="666"/>
      <c r="W27" s="665"/>
      <c r="X27" s="588"/>
      <c r="Y27" s="588"/>
      <c r="Z27" s="588"/>
      <c r="AA27" s="588"/>
      <c r="AB27" s="588"/>
      <c r="AC27" s="588"/>
      <c r="AD27" s="588"/>
      <c r="AE27" s="588"/>
      <c r="AF27" s="588"/>
      <c r="AG27" s="588"/>
      <c r="AH27" s="588"/>
      <c r="AI27" s="588"/>
      <c r="AJ27" s="588"/>
      <c r="AK27" s="588"/>
      <c r="AL27" s="588"/>
      <c r="AM27" s="588"/>
      <c r="AN27" s="588"/>
      <c r="AO27" s="588"/>
      <c r="AP27" s="588"/>
      <c r="AQ27" s="588"/>
      <c r="AR27" s="588"/>
      <c r="AS27" s="588"/>
      <c r="AT27" s="588"/>
      <c r="AU27" s="588"/>
      <c r="AV27" s="588"/>
      <c r="AW27" s="588"/>
      <c r="AX27" s="588"/>
      <c r="AY27" s="588"/>
      <c r="AZ27" s="588"/>
      <c r="BA27" s="588"/>
      <c r="BB27" s="588"/>
      <c r="BC27" s="588"/>
      <c r="BD27" s="588"/>
      <c r="BE27" s="588"/>
      <c r="BF27" s="588"/>
      <c r="BG27" s="588"/>
    </row>
    <row r="28" spans="1:59" ht="16" customHeight="1" x14ac:dyDescent="0.35">
      <c r="A28" s="588"/>
      <c r="B28" s="549"/>
      <c r="C28" s="664" t="s">
        <v>1486</v>
      </c>
      <c r="D28" s="664">
        <v>15</v>
      </c>
      <c r="E28" s="661"/>
      <c r="F28" s="662">
        <f>SUM([25]Sheet2!E31*195/229)</f>
        <v>22035.851528384279</v>
      </c>
      <c r="G28" s="662"/>
      <c r="H28" s="662">
        <f t="shared" si="0"/>
        <v>1785.1475109170306</v>
      </c>
      <c r="I28" s="662"/>
      <c r="J28" s="662">
        <f t="shared" si="1"/>
        <v>5927.644061135371</v>
      </c>
      <c r="K28" s="662"/>
      <c r="L28" s="662">
        <f t="shared" si="2"/>
        <v>29748.851528384279</v>
      </c>
      <c r="M28" s="662"/>
      <c r="N28" s="663">
        <f t="shared" si="3"/>
        <v>22035.851528384279</v>
      </c>
      <c r="O28" s="662"/>
      <c r="P28" s="662"/>
      <c r="Q28" s="662"/>
      <c r="R28" s="662">
        <f t="shared" si="4"/>
        <v>1785.1475109170306</v>
      </c>
      <c r="S28" s="662"/>
      <c r="T28" s="662">
        <f t="shared" si="5"/>
        <v>23820.99903930131</v>
      </c>
      <c r="U28" s="524"/>
      <c r="V28" s="666"/>
      <c r="W28" s="665" t="s">
        <v>1430</v>
      </c>
      <c r="X28" s="588"/>
      <c r="Y28" s="588"/>
      <c r="Z28" s="588"/>
      <c r="AA28" s="588"/>
      <c r="AB28" s="588"/>
      <c r="AC28" s="588"/>
      <c r="AD28" s="588"/>
      <c r="AE28" s="588"/>
      <c r="AF28" s="588"/>
      <c r="AG28" s="588"/>
      <c r="AH28" s="588"/>
      <c r="AI28" s="588"/>
      <c r="AJ28" s="588"/>
      <c r="AK28" s="588"/>
      <c r="AL28" s="588"/>
      <c r="AM28" s="588"/>
      <c r="AN28" s="588"/>
      <c r="AO28" s="588"/>
      <c r="AP28" s="588"/>
      <c r="AQ28" s="588"/>
      <c r="AR28" s="588"/>
      <c r="AS28" s="588"/>
      <c r="AT28" s="588"/>
      <c r="AU28" s="588"/>
      <c r="AV28" s="588"/>
      <c r="AW28" s="588"/>
      <c r="AX28" s="588"/>
      <c r="AY28" s="588"/>
      <c r="AZ28" s="588"/>
      <c r="BA28" s="588"/>
      <c r="BB28" s="588"/>
      <c r="BC28" s="588"/>
      <c r="BD28" s="588"/>
      <c r="BE28" s="588"/>
      <c r="BF28" s="588"/>
      <c r="BG28" s="588"/>
    </row>
    <row r="29" spans="1:59" ht="16" customHeight="1" x14ac:dyDescent="0.35">
      <c r="A29" s="588"/>
      <c r="B29" s="549"/>
      <c r="C29" s="664" t="s">
        <v>1487</v>
      </c>
      <c r="D29" s="664">
        <v>16</v>
      </c>
      <c r="E29" s="661"/>
      <c r="F29" s="662">
        <f>SUM([25]Sheet2!E32*195/229)</f>
        <v>22722.183406113538</v>
      </c>
      <c r="G29" s="662"/>
      <c r="H29" s="662">
        <f t="shared" si="0"/>
        <v>1879.8613100436685</v>
      </c>
      <c r="I29" s="662"/>
      <c r="J29" s="662">
        <f t="shared" si="1"/>
        <v>6112.2673362445421</v>
      </c>
      <c r="K29" s="662"/>
      <c r="L29" s="662">
        <f t="shared" si="2"/>
        <v>30714.183406113538</v>
      </c>
      <c r="M29" s="662"/>
      <c r="N29" s="663">
        <f t="shared" si="3"/>
        <v>22722.183406113538</v>
      </c>
      <c r="O29" s="662"/>
      <c r="P29" s="662"/>
      <c r="Q29" s="662"/>
      <c r="R29" s="662">
        <f t="shared" si="4"/>
        <v>1879.8613100436685</v>
      </c>
      <c r="S29" s="662"/>
      <c r="T29" s="662">
        <f t="shared" si="5"/>
        <v>24602.044716157205</v>
      </c>
      <c r="U29" s="524"/>
      <c r="V29" s="666"/>
      <c r="W29" s="665" t="s">
        <v>1432</v>
      </c>
      <c r="X29" s="588"/>
      <c r="Y29" s="588"/>
      <c r="Z29" s="588"/>
      <c r="AA29" s="588"/>
      <c r="AB29" s="588"/>
      <c r="AC29" s="588"/>
      <c r="AD29" s="588"/>
      <c r="AE29" s="588"/>
      <c r="AF29" s="588"/>
      <c r="AG29" s="588"/>
      <c r="AH29" s="588"/>
      <c r="AI29" s="588"/>
      <c r="AJ29" s="588"/>
      <c r="AK29" s="588"/>
      <c r="AL29" s="588"/>
      <c r="AM29" s="588"/>
      <c r="AN29" s="588"/>
      <c r="AO29" s="588"/>
      <c r="AP29" s="588"/>
      <c r="AQ29" s="588"/>
      <c r="AR29" s="588"/>
      <c r="AS29" s="588"/>
      <c r="AT29" s="588"/>
      <c r="AU29" s="588"/>
      <c r="AV29" s="588"/>
      <c r="AW29" s="588"/>
      <c r="AX29" s="588"/>
      <c r="AY29" s="588"/>
      <c r="AZ29" s="588"/>
      <c r="BA29" s="588"/>
      <c r="BB29" s="588"/>
      <c r="BC29" s="588"/>
      <c r="BD29" s="588"/>
      <c r="BE29" s="588"/>
      <c r="BF29" s="588"/>
      <c r="BG29" s="588"/>
    </row>
    <row r="30" spans="1:59" ht="16" customHeight="1" x14ac:dyDescent="0.35">
      <c r="A30" s="588"/>
      <c r="B30" s="549"/>
      <c r="C30" s="664" t="s">
        <v>1488</v>
      </c>
      <c r="D30" s="664">
        <v>17</v>
      </c>
      <c r="E30" s="661"/>
      <c r="F30" s="662">
        <f>SUM([25]Sheet2!E33*195/229)</f>
        <v>23406.812227074235</v>
      </c>
      <c r="G30" s="662"/>
      <c r="H30" s="662">
        <f t="shared" si="0"/>
        <v>1974.3400873362446</v>
      </c>
      <c r="I30" s="662"/>
      <c r="J30" s="662">
        <f t="shared" si="1"/>
        <v>6296.4324890829694</v>
      </c>
      <c r="K30" s="662"/>
      <c r="L30" s="662">
        <f t="shared" si="2"/>
        <v>31676.812227074235</v>
      </c>
      <c r="M30" s="662"/>
      <c r="N30" s="663">
        <f t="shared" si="3"/>
        <v>23406.812227074235</v>
      </c>
      <c r="O30" s="662"/>
      <c r="P30" s="662"/>
      <c r="Q30" s="662"/>
      <c r="R30" s="662">
        <f t="shared" si="4"/>
        <v>1974.3400873362446</v>
      </c>
      <c r="S30" s="662"/>
      <c r="T30" s="662">
        <f t="shared" si="5"/>
        <v>25381.152314410479</v>
      </c>
      <c r="U30" s="524"/>
      <c r="V30" s="666"/>
      <c r="W30" s="665" t="s">
        <v>1505</v>
      </c>
      <c r="X30" s="588"/>
      <c r="Y30" s="588"/>
      <c r="Z30" s="588"/>
      <c r="AA30" s="588"/>
      <c r="AB30" s="588"/>
      <c r="AC30" s="588"/>
      <c r="AD30" s="588"/>
      <c r="AE30" s="588"/>
      <c r="AF30" s="588"/>
      <c r="AG30" s="588"/>
      <c r="AH30" s="588"/>
      <c r="AI30" s="588"/>
      <c r="AJ30" s="588"/>
      <c r="AK30" s="588"/>
      <c r="AL30" s="588"/>
      <c r="AM30" s="588"/>
      <c r="AN30" s="588"/>
      <c r="AO30" s="588"/>
      <c r="AP30" s="588"/>
      <c r="AQ30" s="588"/>
      <c r="AR30" s="588"/>
      <c r="AS30" s="588"/>
      <c r="AT30" s="588"/>
      <c r="AU30" s="588"/>
      <c r="AV30" s="588"/>
      <c r="AW30" s="588"/>
      <c r="AX30" s="588"/>
      <c r="AY30" s="588"/>
      <c r="AZ30" s="588"/>
      <c r="BA30" s="588"/>
      <c r="BB30" s="588"/>
      <c r="BC30" s="588"/>
      <c r="BD30" s="588"/>
      <c r="BE30" s="588"/>
      <c r="BF30" s="588"/>
      <c r="BG30" s="588"/>
    </row>
    <row r="31" spans="1:59" ht="16" customHeight="1" x14ac:dyDescent="0.35">
      <c r="A31" s="588"/>
      <c r="B31" s="549"/>
      <c r="C31" s="667" t="s">
        <v>1480</v>
      </c>
      <c r="D31" s="667">
        <v>18</v>
      </c>
      <c r="E31" s="668"/>
      <c r="F31" s="669">
        <f>SUM([25]Sheet2!E34*195/229)</f>
        <v>24158.711790393012</v>
      </c>
      <c r="G31" s="669"/>
      <c r="H31" s="669">
        <f t="shared" si="0"/>
        <v>2078.102227074236</v>
      </c>
      <c r="I31" s="669"/>
      <c r="J31" s="669">
        <f t="shared" si="1"/>
        <v>6498.6934716157202</v>
      </c>
      <c r="K31" s="669"/>
      <c r="L31" s="669">
        <f t="shared" si="2"/>
        <v>32735.711790393012</v>
      </c>
      <c r="M31" s="669"/>
      <c r="N31" s="670">
        <f t="shared" si="3"/>
        <v>24158.711790393012</v>
      </c>
      <c r="O31" s="669"/>
      <c r="P31" s="669"/>
      <c r="Q31" s="669"/>
      <c r="R31" s="669">
        <f t="shared" si="4"/>
        <v>2078.102227074236</v>
      </c>
      <c r="S31" s="669"/>
      <c r="T31" s="669">
        <f t="shared" si="5"/>
        <v>26236.814017467248</v>
      </c>
      <c r="U31" s="524"/>
      <c r="V31" s="666"/>
      <c r="W31" s="588"/>
      <c r="X31" s="588"/>
      <c r="Y31" s="588"/>
      <c r="Z31" s="588"/>
      <c r="AA31" s="588"/>
      <c r="AB31" s="588"/>
      <c r="AC31" s="588"/>
      <c r="AD31" s="588"/>
      <c r="AE31" s="588"/>
      <c r="AF31" s="588"/>
      <c r="AG31" s="588"/>
      <c r="AH31" s="588"/>
      <c r="AI31" s="588"/>
      <c r="AJ31" s="588"/>
      <c r="AK31" s="588"/>
      <c r="AL31" s="588"/>
      <c r="AM31" s="588"/>
      <c r="AN31" s="588"/>
      <c r="AO31" s="588"/>
      <c r="AP31" s="588"/>
      <c r="AQ31" s="588"/>
      <c r="AR31" s="588"/>
      <c r="AS31" s="588"/>
      <c r="AT31" s="588"/>
      <c r="AU31" s="588"/>
      <c r="AV31" s="588"/>
      <c r="AW31" s="588"/>
      <c r="AX31" s="588"/>
      <c r="AY31" s="588"/>
      <c r="AZ31" s="588"/>
      <c r="BA31" s="588"/>
      <c r="BB31" s="588"/>
      <c r="BC31" s="588"/>
      <c r="BD31" s="588"/>
      <c r="BE31" s="588"/>
      <c r="BF31" s="588"/>
      <c r="BG31" s="588"/>
    </row>
    <row r="32" spans="1:59" ht="16" customHeight="1" x14ac:dyDescent="0.35">
      <c r="A32" s="588"/>
      <c r="B32" s="549"/>
      <c r="C32" s="664" t="s">
        <v>1489</v>
      </c>
      <c r="D32" s="664">
        <v>18</v>
      </c>
      <c r="E32" s="661"/>
      <c r="F32" s="662">
        <f>SUM([25]Sheet2!E34*195/229)</f>
        <v>24158.711790393012</v>
      </c>
      <c r="G32" s="662"/>
      <c r="H32" s="662">
        <f t="shared" si="0"/>
        <v>2078.102227074236</v>
      </c>
      <c r="I32" s="662"/>
      <c r="J32" s="662">
        <f t="shared" si="1"/>
        <v>6498.6934716157202</v>
      </c>
      <c r="K32" s="662"/>
      <c r="L32" s="662">
        <f>F32+ROUND(H32,0)+ROUND(J32,0)</f>
        <v>32735.711790393012</v>
      </c>
      <c r="M32" s="662"/>
      <c r="N32" s="663">
        <f>F32</f>
        <v>24158.711790393012</v>
      </c>
      <c r="O32" s="662"/>
      <c r="P32" s="662"/>
      <c r="Q32" s="662"/>
      <c r="R32" s="662">
        <f t="shared" si="4"/>
        <v>2078.102227074236</v>
      </c>
      <c r="S32" s="662"/>
      <c r="T32" s="662">
        <f>SUM(N32:R32)</f>
        <v>26236.814017467248</v>
      </c>
      <c r="U32" s="524"/>
      <c r="V32" s="666"/>
      <c r="W32" s="588"/>
      <c r="X32" s="588"/>
      <c r="Y32" s="588"/>
      <c r="Z32" s="588"/>
      <c r="AA32" s="588"/>
      <c r="AB32" s="588"/>
      <c r="AC32" s="588"/>
      <c r="AD32" s="588"/>
      <c r="AE32" s="588"/>
      <c r="AF32" s="588"/>
      <c r="AG32" s="588"/>
      <c r="AH32" s="588"/>
      <c r="AI32" s="588"/>
      <c r="AJ32" s="588"/>
      <c r="AK32" s="588"/>
      <c r="AL32" s="588"/>
      <c r="AM32" s="588"/>
      <c r="AN32" s="588"/>
      <c r="AO32" s="588"/>
      <c r="AP32" s="588"/>
      <c r="AQ32" s="588"/>
      <c r="AR32" s="588"/>
      <c r="AS32" s="588"/>
      <c r="AT32" s="588"/>
      <c r="AU32" s="588"/>
      <c r="AV32" s="588"/>
      <c r="AW32" s="588"/>
      <c r="AX32" s="588"/>
      <c r="AY32" s="588"/>
      <c r="AZ32" s="588"/>
      <c r="BA32" s="588"/>
      <c r="BB32" s="588"/>
      <c r="BC32" s="588"/>
      <c r="BD32" s="588"/>
      <c r="BE32" s="588"/>
      <c r="BF32" s="588"/>
      <c r="BG32" s="588"/>
    </row>
    <row r="33" spans="1:59" ht="16" customHeight="1" x14ac:dyDescent="0.35">
      <c r="A33" s="588"/>
      <c r="B33" s="549"/>
      <c r="C33" s="664" t="s">
        <v>1490</v>
      </c>
      <c r="D33" s="664">
        <v>19</v>
      </c>
      <c r="E33" s="661"/>
      <c r="F33" s="662">
        <f>SUM([25]Sheet2!E35*195/229)</f>
        <v>24846.746724890829</v>
      </c>
      <c r="G33" s="662"/>
      <c r="H33" s="662">
        <f t="shared" si="0"/>
        <v>2173.0510480349344</v>
      </c>
      <c r="I33" s="662"/>
      <c r="J33" s="662">
        <f t="shared" si="1"/>
        <v>6683.7748689956334</v>
      </c>
      <c r="K33" s="662"/>
      <c r="L33" s="662">
        <f>F33+ROUND(H33,0)+ROUND(J33,0)</f>
        <v>33703.746724890829</v>
      </c>
      <c r="M33" s="662"/>
      <c r="N33" s="663">
        <f>F33</f>
        <v>24846.746724890829</v>
      </c>
      <c r="O33" s="662"/>
      <c r="P33" s="662"/>
      <c r="Q33" s="662"/>
      <c r="R33" s="662">
        <f t="shared" si="4"/>
        <v>2173.0510480349344</v>
      </c>
      <c r="S33" s="662"/>
      <c r="T33" s="662">
        <f>SUM(N33:R33)</f>
        <v>27019.797772925762</v>
      </c>
      <c r="U33" s="524"/>
      <c r="V33" s="666"/>
      <c r="W33" s="588"/>
      <c r="X33" s="588"/>
      <c r="Y33" s="588"/>
      <c r="Z33" s="588"/>
      <c r="AA33" s="588"/>
      <c r="AB33" s="588"/>
      <c r="AC33" s="588"/>
      <c r="AD33" s="588"/>
      <c r="AE33" s="588"/>
      <c r="AF33" s="588"/>
      <c r="AG33" s="588"/>
      <c r="AH33" s="588"/>
      <c r="AI33" s="588"/>
      <c r="AJ33" s="588"/>
      <c r="AK33" s="588"/>
      <c r="AL33" s="588"/>
      <c r="AM33" s="588"/>
      <c r="AN33" s="588"/>
      <c r="AO33" s="588"/>
      <c r="AP33" s="588"/>
      <c r="AQ33" s="588"/>
      <c r="AR33" s="588"/>
      <c r="AS33" s="588"/>
      <c r="AT33" s="588"/>
      <c r="AU33" s="588"/>
      <c r="AV33" s="588"/>
      <c r="AW33" s="588"/>
      <c r="AX33" s="588"/>
      <c r="AY33" s="588"/>
      <c r="AZ33" s="588"/>
      <c r="BA33" s="588"/>
      <c r="BB33" s="588"/>
      <c r="BC33" s="588"/>
      <c r="BD33" s="588"/>
      <c r="BE33" s="588"/>
      <c r="BF33" s="588"/>
      <c r="BG33" s="588"/>
    </row>
    <row r="34" spans="1:59" ht="16" customHeight="1" x14ac:dyDescent="0.35">
      <c r="A34" s="588"/>
      <c r="B34" s="549"/>
      <c r="C34" s="664" t="s">
        <v>1491</v>
      </c>
      <c r="D34" s="664">
        <v>20</v>
      </c>
      <c r="E34" s="661"/>
      <c r="F34" s="662">
        <f>SUM([25]Sheet2!E36*195/229)</f>
        <v>25664.213973799127</v>
      </c>
      <c r="G34" s="662"/>
      <c r="H34" s="662">
        <f t="shared" si="0"/>
        <v>2285.8615283842796</v>
      </c>
      <c r="I34" s="662"/>
      <c r="J34" s="662">
        <f t="shared" si="1"/>
        <v>6903.6735589519658</v>
      </c>
      <c r="K34" s="662"/>
      <c r="L34" s="662">
        <f>F34+ROUND(H34,0)+ROUND(J34,0)</f>
        <v>34854.213973799124</v>
      </c>
      <c r="M34" s="662"/>
      <c r="N34" s="663">
        <f>F34</f>
        <v>25664.213973799127</v>
      </c>
      <c r="O34" s="662"/>
      <c r="P34" s="662"/>
      <c r="Q34" s="662"/>
      <c r="R34" s="662">
        <f t="shared" si="4"/>
        <v>2285.8615283842796</v>
      </c>
      <c r="S34" s="662"/>
      <c r="T34" s="662">
        <f>SUM(N34:R34)</f>
        <v>27950.075502183408</v>
      </c>
      <c r="U34" s="524"/>
      <c r="V34" s="666"/>
      <c r="W34" s="588"/>
      <c r="X34" s="588"/>
      <c r="Y34" s="588"/>
      <c r="Z34" s="588"/>
      <c r="AA34" s="588"/>
      <c r="AB34" s="588"/>
      <c r="AC34" s="588"/>
      <c r="AD34" s="588"/>
      <c r="AE34" s="588"/>
      <c r="AF34" s="588"/>
      <c r="AG34" s="588"/>
      <c r="AH34" s="588"/>
      <c r="AI34" s="588"/>
      <c r="AJ34" s="588"/>
      <c r="AK34" s="588"/>
      <c r="AL34" s="588"/>
      <c r="AM34" s="588"/>
      <c r="AN34" s="588"/>
      <c r="AO34" s="588"/>
      <c r="AP34" s="588"/>
      <c r="AQ34" s="588"/>
      <c r="AR34" s="588"/>
      <c r="AS34" s="588"/>
      <c r="AT34" s="588"/>
      <c r="AU34" s="588"/>
      <c r="AV34" s="588"/>
      <c r="AW34" s="588"/>
      <c r="AX34" s="588"/>
      <c r="AY34" s="588"/>
      <c r="AZ34" s="588"/>
      <c r="BA34" s="588"/>
      <c r="BB34" s="588"/>
      <c r="BC34" s="588"/>
      <c r="BD34" s="588"/>
      <c r="BE34" s="588"/>
      <c r="BF34" s="588"/>
      <c r="BG34" s="588"/>
    </row>
    <row r="35" spans="1:59" ht="16" customHeight="1" x14ac:dyDescent="0.35">
      <c r="A35" s="588"/>
      <c r="B35" s="549"/>
      <c r="C35" s="667" t="s">
        <v>1480</v>
      </c>
      <c r="D35" s="667">
        <v>21</v>
      </c>
      <c r="E35" s="668"/>
      <c r="F35" s="669">
        <f>SUM([25]Sheet2!E37*195/229)</f>
        <v>26481.681222707422</v>
      </c>
      <c r="G35" s="669"/>
      <c r="H35" s="669">
        <f t="shared" si="0"/>
        <v>2398.6720087336244</v>
      </c>
      <c r="I35" s="669"/>
      <c r="J35" s="669">
        <f t="shared" si="1"/>
        <v>7123.5722489082973</v>
      </c>
      <c r="K35" s="669"/>
      <c r="L35" s="669">
        <f>F35+ROUND(H35,0)+ROUND(J35,0)</f>
        <v>36004.681222707426</v>
      </c>
      <c r="M35" s="669"/>
      <c r="N35" s="670">
        <f>F35</f>
        <v>26481.681222707422</v>
      </c>
      <c r="O35" s="669"/>
      <c r="P35" s="669"/>
      <c r="Q35" s="669"/>
      <c r="R35" s="669">
        <f t="shared" si="4"/>
        <v>2398.6720087336244</v>
      </c>
      <c r="S35" s="669"/>
      <c r="T35" s="669">
        <f>SUM(N35:R35)</f>
        <v>28880.353231441048</v>
      </c>
      <c r="U35" s="524"/>
      <c r="V35" s="666"/>
      <c r="W35" s="588"/>
      <c r="X35" s="588"/>
      <c r="Y35" s="588"/>
      <c r="Z35" s="588"/>
      <c r="AA35" s="588"/>
      <c r="AB35" s="588"/>
      <c r="AC35" s="588"/>
      <c r="AD35" s="588"/>
      <c r="AE35" s="588"/>
      <c r="AF35" s="588"/>
      <c r="AG35" s="588"/>
      <c r="AH35" s="588"/>
      <c r="AI35" s="588"/>
      <c r="AJ35" s="588"/>
      <c r="AK35" s="588"/>
      <c r="AL35" s="588"/>
      <c r="AM35" s="588"/>
      <c r="AN35" s="588"/>
      <c r="AO35" s="588"/>
      <c r="AP35" s="588"/>
      <c r="AQ35" s="588"/>
      <c r="AR35" s="588"/>
      <c r="AS35" s="588"/>
      <c r="AT35" s="588"/>
      <c r="AU35" s="588"/>
      <c r="AV35" s="588"/>
      <c r="AW35" s="588"/>
      <c r="AX35" s="588"/>
      <c r="AY35" s="588"/>
      <c r="AZ35" s="588"/>
      <c r="BA35" s="588"/>
      <c r="BB35" s="588"/>
      <c r="BC35" s="588"/>
      <c r="BD35" s="588"/>
      <c r="BE35" s="588"/>
      <c r="BF35" s="588"/>
      <c r="BG35" s="588"/>
    </row>
    <row r="36" spans="1:59" ht="16" customHeight="1" x14ac:dyDescent="0.35">
      <c r="A36" s="588"/>
      <c r="B36" s="549"/>
      <c r="C36" s="664" t="s">
        <v>1492</v>
      </c>
      <c r="D36" s="664">
        <v>21</v>
      </c>
      <c r="E36" s="661"/>
      <c r="F36" s="662">
        <f>SUM([25]Sheet2!E37*195/226)</f>
        <v>26833.20796460177</v>
      </c>
      <c r="G36" s="662"/>
      <c r="H36" s="662">
        <f t="shared" si="0"/>
        <v>2447.1826991150447</v>
      </c>
      <c r="I36" s="662"/>
      <c r="J36" s="662">
        <f t="shared" si="1"/>
        <v>7218.1329424778769</v>
      </c>
      <c r="K36" s="662"/>
      <c r="L36" s="662">
        <f t="shared" si="2"/>
        <v>36498.207964601766</v>
      </c>
      <c r="M36" s="662"/>
      <c r="N36" s="663">
        <f t="shared" si="3"/>
        <v>26833.20796460177</v>
      </c>
      <c r="O36" s="662"/>
      <c r="P36" s="662"/>
      <c r="Q36" s="662"/>
      <c r="R36" s="662">
        <f t="shared" si="4"/>
        <v>2447.1826991150447</v>
      </c>
      <c r="S36" s="662"/>
      <c r="T36" s="662">
        <f t="shared" si="5"/>
        <v>29280.390663716815</v>
      </c>
      <c r="U36" s="524"/>
      <c r="V36" s="666"/>
      <c r="W36" s="588"/>
      <c r="X36" s="588"/>
      <c r="Y36" s="588"/>
      <c r="Z36" s="588"/>
      <c r="AA36" s="588"/>
      <c r="AB36" s="588"/>
      <c r="AC36" s="588"/>
      <c r="AD36" s="588"/>
      <c r="AE36" s="588"/>
      <c r="AF36" s="588"/>
      <c r="AG36" s="588"/>
      <c r="AH36" s="588"/>
      <c r="AI36" s="588"/>
      <c r="AJ36" s="588"/>
      <c r="AK36" s="588"/>
      <c r="AL36" s="588"/>
      <c r="AM36" s="588"/>
      <c r="AN36" s="588"/>
      <c r="AO36" s="588"/>
      <c r="AP36" s="588"/>
      <c r="AQ36" s="588"/>
      <c r="AR36" s="588"/>
      <c r="AS36" s="588"/>
      <c r="AT36" s="588"/>
      <c r="AU36" s="588"/>
      <c r="AV36" s="588"/>
      <c r="AW36" s="588"/>
      <c r="AX36" s="588"/>
      <c r="AY36" s="588"/>
      <c r="AZ36" s="588"/>
      <c r="BA36" s="588"/>
      <c r="BB36" s="588"/>
      <c r="BC36" s="588"/>
      <c r="BD36" s="588"/>
      <c r="BE36" s="588"/>
      <c r="BF36" s="588"/>
      <c r="BG36" s="588"/>
    </row>
    <row r="37" spans="1:59" ht="16" customHeight="1" x14ac:dyDescent="0.35">
      <c r="A37" s="588"/>
      <c r="B37" s="549"/>
      <c r="C37" s="664" t="s">
        <v>1493</v>
      </c>
      <c r="D37" s="664">
        <v>22</v>
      </c>
      <c r="E37" s="661"/>
      <c r="F37" s="662">
        <f>SUM([25]Sheet2!E38*195/226)</f>
        <v>27929.004424778763</v>
      </c>
      <c r="G37" s="662"/>
      <c r="H37" s="662">
        <f t="shared" si="0"/>
        <v>2598.4026106194697</v>
      </c>
      <c r="I37" s="662"/>
      <c r="J37" s="662">
        <f t="shared" si="1"/>
        <v>7512.9021902654877</v>
      </c>
      <c r="K37" s="662"/>
      <c r="L37" s="662">
        <f t="shared" si="2"/>
        <v>38040.004424778759</v>
      </c>
      <c r="M37" s="662"/>
      <c r="N37" s="663">
        <f t="shared" si="3"/>
        <v>27929.004424778763</v>
      </c>
      <c r="O37" s="662"/>
      <c r="P37" s="662"/>
      <c r="Q37" s="662"/>
      <c r="R37" s="662">
        <f t="shared" si="4"/>
        <v>2598.4026106194697</v>
      </c>
      <c r="S37" s="662"/>
      <c r="T37" s="662">
        <f t="shared" si="5"/>
        <v>30527.407035398232</v>
      </c>
      <c r="U37" s="524"/>
      <c r="V37" s="666"/>
      <c r="W37" s="588"/>
      <c r="X37" s="588"/>
      <c r="Y37" s="588"/>
      <c r="Z37" s="588"/>
      <c r="AA37" s="588"/>
      <c r="AB37" s="588"/>
      <c r="AC37" s="588"/>
      <c r="AD37" s="588"/>
      <c r="AE37" s="588"/>
      <c r="AF37" s="588"/>
      <c r="AG37" s="588"/>
      <c r="AH37" s="588"/>
      <c r="AI37" s="588"/>
      <c r="AJ37" s="588"/>
      <c r="AK37" s="588"/>
      <c r="AL37" s="588"/>
      <c r="AM37" s="588"/>
      <c r="AN37" s="588"/>
      <c r="AO37" s="588"/>
      <c r="AP37" s="588"/>
      <c r="AQ37" s="588"/>
      <c r="AR37" s="588"/>
      <c r="AS37" s="588"/>
      <c r="AT37" s="588"/>
      <c r="AU37" s="588"/>
      <c r="AV37" s="588"/>
      <c r="AW37" s="588"/>
      <c r="AX37" s="588"/>
      <c r="AY37" s="588"/>
      <c r="AZ37" s="588"/>
      <c r="BA37" s="588"/>
      <c r="BB37" s="588"/>
      <c r="BC37" s="588"/>
      <c r="BD37" s="588"/>
      <c r="BE37" s="588"/>
      <c r="BF37" s="588"/>
      <c r="BG37" s="588"/>
    </row>
    <row r="38" spans="1:59" ht="16" customHeight="1" x14ac:dyDescent="0.35">
      <c r="A38" s="588"/>
      <c r="B38" s="549"/>
      <c r="C38" s="664" t="s">
        <v>1494</v>
      </c>
      <c r="D38" s="664">
        <v>23</v>
      </c>
      <c r="E38" s="661"/>
      <c r="F38" s="662">
        <f>SUM([25]Sheet2!E39*195/226)</f>
        <v>28922.986725663715</v>
      </c>
      <c r="G38" s="662"/>
      <c r="H38" s="662">
        <f t="shared" si="0"/>
        <v>2735.572168141593</v>
      </c>
      <c r="I38" s="662"/>
      <c r="J38" s="662">
        <f t="shared" si="1"/>
        <v>7780.2834292035395</v>
      </c>
      <c r="K38" s="662"/>
      <c r="L38" s="662">
        <f>F38+ROUND(H38,0)+ROUND(J38,0)</f>
        <v>39438.986725663715</v>
      </c>
      <c r="M38" s="662"/>
      <c r="N38" s="663">
        <f>F38</f>
        <v>28922.986725663715</v>
      </c>
      <c r="O38" s="662"/>
      <c r="P38" s="662"/>
      <c r="Q38" s="662"/>
      <c r="R38" s="662">
        <f t="shared" si="4"/>
        <v>2735.572168141593</v>
      </c>
      <c r="S38" s="662"/>
      <c r="T38" s="662">
        <f>SUM(N38:R38)</f>
        <v>31658.558893805308</v>
      </c>
      <c r="U38" s="524"/>
      <c r="V38" s="666"/>
      <c r="W38" s="588"/>
      <c r="X38" s="588"/>
      <c r="Y38" s="588"/>
      <c r="Z38" s="588"/>
      <c r="AA38" s="588"/>
      <c r="AB38" s="588"/>
      <c r="AC38" s="588"/>
      <c r="AD38" s="588"/>
      <c r="AE38" s="588"/>
      <c r="AF38" s="588"/>
      <c r="AG38" s="588"/>
      <c r="AH38" s="588"/>
      <c r="AI38" s="588"/>
      <c r="AJ38" s="588"/>
      <c r="AK38" s="588"/>
      <c r="AL38" s="588"/>
      <c r="AM38" s="588"/>
      <c r="AN38" s="588"/>
      <c r="AO38" s="588"/>
      <c r="AP38" s="588"/>
      <c r="AQ38" s="588"/>
      <c r="AR38" s="588"/>
      <c r="AS38" s="588"/>
      <c r="AT38" s="588"/>
      <c r="AU38" s="588"/>
      <c r="AV38" s="588"/>
      <c r="AW38" s="588"/>
      <c r="AX38" s="588"/>
      <c r="AY38" s="588"/>
      <c r="AZ38" s="588"/>
      <c r="BA38" s="588"/>
      <c r="BB38" s="588"/>
      <c r="BC38" s="588"/>
      <c r="BD38" s="588"/>
      <c r="BE38" s="588"/>
      <c r="BF38" s="588"/>
      <c r="BG38" s="588"/>
    </row>
    <row r="39" spans="1:59" ht="16" customHeight="1" x14ac:dyDescent="0.35">
      <c r="A39" s="588"/>
      <c r="B39" s="549"/>
      <c r="C39" s="664" t="s">
        <v>1480</v>
      </c>
      <c r="D39" s="664">
        <v>24</v>
      </c>
      <c r="E39" s="661"/>
      <c r="F39" s="662">
        <f>SUM([25]Sheet2!E40*195/226)</f>
        <v>29960.110619469026</v>
      </c>
      <c r="G39" s="662"/>
      <c r="H39" s="662">
        <f t="shared" si="0"/>
        <v>2878.6952654867259</v>
      </c>
      <c r="I39" s="662"/>
      <c r="J39" s="662">
        <f t="shared" si="1"/>
        <v>8059.269756637168</v>
      </c>
      <c r="K39" s="662"/>
      <c r="L39" s="662">
        <f t="shared" si="2"/>
        <v>40898.110619469022</v>
      </c>
      <c r="M39" s="662"/>
      <c r="N39" s="663">
        <f t="shared" si="3"/>
        <v>29960.110619469026</v>
      </c>
      <c r="O39" s="662"/>
      <c r="P39" s="662"/>
      <c r="Q39" s="662"/>
      <c r="R39" s="662">
        <f t="shared" si="4"/>
        <v>2878.6952654867259</v>
      </c>
      <c r="S39" s="662"/>
      <c r="T39" s="662">
        <f t="shared" si="5"/>
        <v>32838.805884955749</v>
      </c>
      <c r="U39" s="524"/>
      <c r="V39" s="666"/>
      <c r="W39" s="588"/>
      <c r="X39" s="588"/>
      <c r="Y39" s="588"/>
      <c r="Z39" s="588"/>
      <c r="AA39" s="588"/>
      <c r="AB39" s="588"/>
      <c r="AC39" s="588"/>
      <c r="AD39" s="588"/>
      <c r="AE39" s="588"/>
      <c r="AF39" s="588"/>
      <c r="AG39" s="588"/>
      <c r="AH39" s="588"/>
      <c r="AI39" s="588"/>
      <c r="AJ39" s="588"/>
      <c r="AK39" s="588"/>
      <c r="AL39" s="588"/>
      <c r="AM39" s="588"/>
      <c r="AN39" s="588"/>
      <c r="AO39" s="588"/>
      <c r="AP39" s="588"/>
      <c r="AQ39" s="588"/>
      <c r="AR39" s="588"/>
      <c r="AS39" s="588"/>
      <c r="AT39" s="588"/>
      <c r="AU39" s="588"/>
      <c r="AV39" s="588"/>
      <c r="AW39" s="588"/>
      <c r="AX39" s="588"/>
      <c r="AY39" s="588"/>
      <c r="AZ39" s="588"/>
      <c r="BA39" s="588"/>
      <c r="BB39" s="588"/>
      <c r="BC39" s="588"/>
      <c r="BD39" s="588"/>
      <c r="BE39" s="588"/>
      <c r="BF39" s="588"/>
      <c r="BG39" s="588"/>
    </row>
    <row r="40" spans="1:59" ht="16" customHeight="1" thickBot="1" x14ac:dyDescent="0.4">
      <c r="A40" s="588"/>
      <c r="B40" s="672"/>
      <c r="C40" s="562"/>
      <c r="D40" s="562"/>
      <c r="E40" s="673"/>
      <c r="F40" s="564"/>
      <c r="G40" s="564"/>
      <c r="H40" s="564"/>
      <c r="I40" s="564"/>
      <c r="J40" s="564"/>
      <c r="K40" s="564"/>
      <c r="L40" s="564"/>
      <c r="M40" s="564"/>
      <c r="N40" s="674"/>
      <c r="O40" s="564"/>
      <c r="P40" s="564"/>
      <c r="Q40" s="564"/>
      <c r="R40" s="564"/>
      <c r="S40" s="564"/>
      <c r="T40" s="564"/>
      <c r="U40" s="537"/>
      <c r="V40" s="666"/>
      <c r="W40" s="588"/>
      <c r="X40" s="588"/>
      <c r="Y40" s="588"/>
      <c r="Z40" s="588"/>
      <c r="AA40" s="588"/>
      <c r="AB40" s="588"/>
      <c r="AC40" s="588"/>
      <c r="AD40" s="588"/>
      <c r="AE40" s="588"/>
      <c r="AF40" s="588"/>
      <c r="AG40" s="588"/>
      <c r="AH40" s="588"/>
      <c r="AI40" s="588"/>
      <c r="AJ40" s="588"/>
      <c r="AK40" s="588"/>
      <c r="AL40" s="588"/>
      <c r="AM40" s="588"/>
      <c r="AN40" s="588"/>
      <c r="AO40" s="588"/>
      <c r="AP40" s="588"/>
      <c r="AQ40" s="588"/>
      <c r="AR40" s="588"/>
      <c r="AS40" s="588"/>
      <c r="AT40" s="588"/>
      <c r="AU40" s="588"/>
      <c r="AV40" s="588"/>
      <c r="AW40" s="588"/>
      <c r="AX40" s="588"/>
      <c r="AY40" s="588"/>
      <c r="AZ40" s="588"/>
      <c r="BA40" s="588"/>
      <c r="BB40" s="588"/>
      <c r="BC40" s="588"/>
      <c r="BD40" s="588"/>
      <c r="BE40" s="588"/>
      <c r="BF40" s="588"/>
      <c r="BG40" s="588"/>
    </row>
    <row r="41" spans="1:59" ht="16" customHeight="1" x14ac:dyDescent="0.35">
      <c r="A41" s="588"/>
      <c r="B41" s="588"/>
      <c r="C41" s="588"/>
      <c r="D41" s="588"/>
      <c r="E41" s="588"/>
      <c r="F41" s="588"/>
      <c r="G41" s="588"/>
      <c r="H41" s="588"/>
      <c r="I41" s="588"/>
      <c r="J41" s="588"/>
      <c r="K41" s="588"/>
      <c r="L41" s="588"/>
      <c r="M41" s="588"/>
      <c r="N41" s="588"/>
      <c r="O41" s="588"/>
      <c r="P41" s="588"/>
      <c r="Q41" s="588"/>
      <c r="R41" s="588"/>
      <c r="S41" s="588"/>
      <c r="T41" s="588"/>
      <c r="U41" s="588"/>
      <c r="V41" s="666"/>
      <c r="W41" s="588"/>
      <c r="X41" s="588"/>
      <c r="Y41" s="588"/>
      <c r="Z41" s="588"/>
      <c r="AA41" s="588"/>
      <c r="AB41" s="588"/>
      <c r="AC41" s="588"/>
      <c r="AD41" s="588"/>
      <c r="AE41" s="588"/>
      <c r="AF41" s="588"/>
      <c r="AG41" s="588"/>
      <c r="AH41" s="588"/>
      <c r="AI41" s="588"/>
      <c r="AJ41" s="588"/>
      <c r="AK41" s="588"/>
      <c r="AL41" s="588"/>
      <c r="AM41" s="588"/>
      <c r="AN41" s="588"/>
      <c r="AO41" s="588"/>
      <c r="AP41" s="588"/>
      <c r="AQ41" s="588"/>
      <c r="AR41" s="588"/>
      <c r="AS41" s="588"/>
      <c r="AT41" s="588"/>
      <c r="AU41" s="588"/>
      <c r="AV41" s="588"/>
      <c r="AW41" s="588"/>
      <c r="AX41" s="588"/>
      <c r="AY41" s="588"/>
      <c r="AZ41" s="588"/>
      <c r="BA41" s="588"/>
      <c r="BB41" s="588"/>
      <c r="BC41" s="588"/>
      <c r="BD41" s="588"/>
      <c r="BE41" s="588"/>
      <c r="BF41" s="588"/>
      <c r="BG41" s="588"/>
    </row>
    <row r="42" spans="1:59" ht="16" customHeight="1" x14ac:dyDescent="0.35">
      <c r="A42" s="588"/>
      <c r="B42" s="588"/>
      <c r="C42" s="588"/>
      <c r="D42" s="588"/>
      <c r="E42" s="588"/>
      <c r="F42" s="588"/>
      <c r="G42" s="588"/>
      <c r="H42" s="588"/>
      <c r="I42" s="588"/>
      <c r="J42" s="588"/>
      <c r="K42" s="588"/>
      <c r="L42" s="588"/>
      <c r="M42" s="588"/>
      <c r="N42" s="588"/>
      <c r="O42" s="588"/>
      <c r="P42" s="588"/>
      <c r="Q42" s="588"/>
      <c r="R42" s="588"/>
      <c r="S42" s="588"/>
      <c r="T42" s="588"/>
      <c r="U42" s="588"/>
      <c r="V42" s="588"/>
      <c r="W42" s="588"/>
      <c r="X42" s="588"/>
      <c r="Y42" s="588"/>
      <c r="Z42" s="588"/>
      <c r="AA42" s="588"/>
      <c r="AB42" s="588"/>
      <c r="AC42" s="588"/>
      <c r="AD42" s="588"/>
      <c r="AE42" s="588"/>
      <c r="AF42" s="588"/>
      <c r="AG42" s="588"/>
      <c r="AH42" s="588"/>
      <c r="AI42" s="588"/>
      <c r="AJ42" s="588"/>
      <c r="AK42" s="588"/>
      <c r="AL42" s="588"/>
      <c r="AM42" s="588"/>
      <c r="AN42" s="588"/>
      <c r="AO42" s="588"/>
      <c r="AP42" s="588"/>
      <c r="AQ42" s="588"/>
      <c r="AR42" s="588"/>
      <c r="AS42" s="588"/>
      <c r="AT42" s="588"/>
      <c r="AU42" s="588"/>
      <c r="AV42" s="588"/>
      <c r="AW42" s="588"/>
      <c r="AX42" s="588"/>
      <c r="AY42" s="588"/>
      <c r="AZ42" s="588"/>
      <c r="BA42" s="588"/>
      <c r="BB42" s="588"/>
      <c r="BC42" s="588"/>
      <c r="BD42" s="588"/>
      <c r="BE42" s="588"/>
      <c r="BF42" s="588"/>
      <c r="BG42" s="588"/>
    </row>
    <row r="43" spans="1:59" x14ac:dyDescent="0.35">
      <c r="A43" s="588"/>
      <c r="B43" s="588"/>
      <c r="C43" s="588"/>
      <c r="D43" s="588"/>
      <c r="E43" s="588"/>
      <c r="F43" s="588"/>
      <c r="G43" s="588"/>
      <c r="H43" s="588"/>
      <c r="I43" s="588"/>
      <c r="J43" s="588"/>
      <c r="K43" s="588"/>
      <c r="L43" s="588"/>
      <c r="M43" s="588"/>
      <c r="N43" s="588"/>
      <c r="O43" s="588"/>
      <c r="P43" s="588"/>
      <c r="Q43" s="588"/>
      <c r="R43" s="588"/>
      <c r="S43" s="588"/>
      <c r="T43" s="588"/>
      <c r="U43" s="588"/>
      <c r="V43" s="588"/>
      <c r="W43" s="588"/>
      <c r="X43" s="588"/>
      <c r="Y43" s="588"/>
      <c r="Z43" s="588"/>
      <c r="AA43" s="588"/>
      <c r="AB43" s="588"/>
      <c r="AC43" s="588"/>
      <c r="AD43" s="588"/>
      <c r="AE43" s="588"/>
      <c r="AF43" s="588"/>
      <c r="AG43" s="588"/>
      <c r="AH43" s="588"/>
      <c r="AI43" s="588"/>
      <c r="AJ43" s="588"/>
      <c r="AK43" s="588"/>
      <c r="AL43" s="588"/>
      <c r="AM43" s="588"/>
      <c r="AN43" s="588"/>
      <c r="AO43" s="588"/>
      <c r="AP43" s="588"/>
      <c r="AQ43" s="588"/>
      <c r="AR43" s="588"/>
      <c r="AS43" s="588"/>
      <c r="AT43" s="588"/>
      <c r="AU43" s="588"/>
      <c r="AV43" s="588"/>
      <c r="AW43" s="588"/>
      <c r="AX43" s="588"/>
      <c r="AY43" s="588"/>
      <c r="AZ43" s="588"/>
      <c r="BA43" s="588"/>
      <c r="BB43" s="588"/>
      <c r="BC43" s="588"/>
      <c r="BD43" s="588"/>
      <c r="BE43" s="588"/>
      <c r="BF43" s="588"/>
      <c r="BG43" s="588"/>
    </row>
    <row r="44" spans="1:59" x14ac:dyDescent="0.35">
      <c r="A44" s="588"/>
      <c r="B44" s="588"/>
      <c r="C44" s="588"/>
      <c r="D44" s="588"/>
      <c r="E44" s="588"/>
      <c r="F44" s="588"/>
      <c r="G44" s="588"/>
      <c r="H44" s="588"/>
      <c r="I44" s="588"/>
      <c r="J44" s="588"/>
      <c r="K44" s="588"/>
      <c r="L44" s="588"/>
      <c r="M44" s="588"/>
      <c r="N44" s="588"/>
      <c r="O44" s="588"/>
      <c r="P44" s="588"/>
      <c r="Q44" s="588"/>
      <c r="R44" s="588"/>
      <c r="S44" s="588"/>
      <c r="T44" s="588"/>
      <c r="U44" s="588"/>
      <c r="V44" s="588"/>
      <c r="W44" s="588"/>
      <c r="X44" s="588"/>
      <c r="Y44" s="588"/>
      <c r="Z44" s="588"/>
      <c r="AA44" s="588"/>
      <c r="AB44" s="588"/>
      <c r="AC44" s="588"/>
      <c r="AD44" s="588"/>
      <c r="AE44" s="588"/>
      <c r="AF44" s="588"/>
      <c r="AG44" s="588"/>
      <c r="AH44" s="588"/>
      <c r="AI44" s="588"/>
      <c r="AJ44" s="588"/>
      <c r="AK44" s="588"/>
      <c r="AL44" s="588"/>
      <c r="AM44" s="588"/>
      <c r="AN44" s="588"/>
      <c r="AO44" s="588"/>
      <c r="AP44" s="588"/>
      <c r="AQ44" s="588"/>
      <c r="AR44" s="588"/>
      <c r="AS44" s="588"/>
      <c r="AT44" s="588"/>
      <c r="AU44" s="588"/>
      <c r="AV44" s="588"/>
      <c r="AW44" s="588"/>
      <c r="AX44" s="588"/>
      <c r="AY44" s="588"/>
      <c r="AZ44" s="588"/>
      <c r="BA44" s="588"/>
      <c r="BB44" s="588"/>
      <c r="BC44" s="588"/>
      <c r="BD44" s="588"/>
      <c r="BE44" s="588"/>
      <c r="BF44" s="588"/>
      <c r="BG44" s="588"/>
    </row>
    <row r="45" spans="1:59" x14ac:dyDescent="0.35">
      <c r="A45" s="588"/>
      <c r="B45" s="588"/>
      <c r="C45" s="588"/>
      <c r="D45" s="588"/>
      <c r="E45" s="588"/>
      <c r="F45" s="588"/>
      <c r="G45" s="588"/>
      <c r="H45" s="588"/>
      <c r="I45" s="588"/>
      <c r="J45" s="588"/>
      <c r="K45" s="588"/>
      <c r="L45" s="588"/>
      <c r="M45" s="588"/>
      <c r="N45" s="588"/>
      <c r="O45" s="588"/>
      <c r="P45" s="588"/>
      <c r="Q45" s="588"/>
      <c r="R45" s="588"/>
      <c r="S45" s="588"/>
      <c r="T45" s="588"/>
      <c r="U45" s="588"/>
      <c r="V45" s="588"/>
      <c r="W45" s="588"/>
      <c r="X45" s="588"/>
      <c r="Y45" s="588"/>
      <c r="Z45" s="588"/>
      <c r="AA45" s="588"/>
      <c r="AB45" s="588"/>
      <c r="AC45" s="588"/>
      <c r="AD45" s="588"/>
      <c r="AE45" s="588"/>
      <c r="AF45" s="588"/>
      <c r="AG45" s="588"/>
      <c r="AH45" s="588"/>
      <c r="AI45" s="588"/>
      <c r="AJ45" s="588"/>
      <c r="AK45" s="588"/>
      <c r="AL45" s="588"/>
      <c r="AM45" s="588"/>
      <c r="AN45" s="588"/>
      <c r="AO45" s="588"/>
      <c r="AP45" s="588"/>
      <c r="AQ45" s="588"/>
      <c r="AR45" s="588"/>
      <c r="AS45" s="588"/>
      <c r="AT45" s="588"/>
      <c r="AU45" s="588"/>
      <c r="AV45" s="588"/>
      <c r="AW45" s="588"/>
      <c r="AX45" s="588"/>
      <c r="AY45" s="588"/>
      <c r="AZ45" s="588"/>
      <c r="BA45" s="588"/>
      <c r="BB45" s="588"/>
      <c r="BC45" s="588"/>
      <c r="BD45" s="588"/>
      <c r="BE45" s="588"/>
      <c r="BF45" s="588"/>
      <c r="BG45" s="588"/>
    </row>
    <row r="46" spans="1:59" x14ac:dyDescent="0.35">
      <c r="A46" s="588"/>
      <c r="B46" s="588"/>
      <c r="C46" s="588"/>
      <c r="D46" s="588"/>
      <c r="E46" s="588"/>
      <c r="F46" s="588"/>
      <c r="G46" s="588"/>
      <c r="H46" s="588"/>
      <c r="I46" s="588"/>
      <c r="J46" s="588"/>
      <c r="K46" s="588"/>
      <c r="L46" s="588"/>
      <c r="M46" s="588"/>
      <c r="N46" s="588"/>
      <c r="O46" s="588"/>
      <c r="P46" s="588"/>
      <c r="Q46" s="588"/>
      <c r="R46" s="588"/>
      <c r="S46" s="588"/>
      <c r="T46" s="588"/>
      <c r="U46" s="588"/>
      <c r="V46" s="588"/>
      <c r="W46" s="588"/>
      <c r="X46" s="588"/>
      <c r="Y46" s="588"/>
      <c r="Z46" s="588"/>
      <c r="AA46" s="588"/>
      <c r="AB46" s="588"/>
      <c r="AC46" s="588"/>
      <c r="AD46" s="588"/>
      <c r="AE46" s="588"/>
      <c r="AF46" s="588"/>
      <c r="AG46" s="588"/>
      <c r="AH46" s="588"/>
      <c r="AI46" s="588"/>
      <c r="AJ46" s="588"/>
      <c r="AK46" s="588"/>
      <c r="AL46" s="588"/>
      <c r="AM46" s="588"/>
      <c r="AN46" s="588"/>
      <c r="AO46" s="588"/>
      <c r="AP46" s="588"/>
      <c r="AQ46" s="588"/>
      <c r="AR46" s="588"/>
      <c r="AS46" s="588"/>
      <c r="AT46" s="588"/>
      <c r="AU46" s="588"/>
      <c r="AV46" s="588"/>
      <c r="AW46" s="588"/>
      <c r="AX46" s="588"/>
      <c r="AY46" s="588"/>
      <c r="AZ46" s="588"/>
      <c r="BA46" s="588"/>
      <c r="BB46" s="588"/>
      <c r="BC46" s="588"/>
      <c r="BD46" s="588"/>
      <c r="BE46" s="588"/>
      <c r="BF46" s="588"/>
      <c r="BG46" s="588"/>
    </row>
    <row r="47" spans="1:59" x14ac:dyDescent="0.35">
      <c r="A47" s="588"/>
      <c r="B47" s="588"/>
      <c r="C47" s="588"/>
      <c r="D47" s="588"/>
      <c r="E47" s="588"/>
      <c r="F47" s="588"/>
      <c r="G47" s="588"/>
      <c r="H47" s="588"/>
      <c r="I47" s="588"/>
      <c r="J47" s="588"/>
      <c r="K47" s="588"/>
      <c r="L47" s="588"/>
      <c r="M47" s="588"/>
      <c r="N47" s="588"/>
      <c r="O47" s="588"/>
      <c r="P47" s="588"/>
      <c r="Q47" s="588"/>
      <c r="R47" s="588"/>
      <c r="S47" s="588"/>
      <c r="T47" s="588"/>
      <c r="U47" s="588"/>
      <c r="V47" s="588"/>
      <c r="W47" s="588"/>
      <c r="X47" s="588"/>
      <c r="Y47" s="588"/>
      <c r="Z47" s="588"/>
      <c r="AA47" s="588"/>
      <c r="AB47" s="588"/>
      <c r="AC47" s="588"/>
      <c r="AD47" s="588"/>
      <c r="AE47" s="588"/>
      <c r="AF47" s="588"/>
      <c r="AG47" s="588"/>
      <c r="AH47" s="588"/>
      <c r="AI47" s="588"/>
      <c r="AJ47" s="588"/>
      <c r="AK47" s="588"/>
      <c r="AL47" s="588"/>
      <c r="AM47" s="588"/>
      <c r="AN47" s="588"/>
      <c r="AO47" s="588"/>
      <c r="AP47" s="588"/>
      <c r="AQ47" s="588"/>
      <c r="AR47" s="588"/>
      <c r="AS47" s="588"/>
      <c r="AT47" s="588"/>
      <c r="AU47" s="588"/>
      <c r="AV47" s="588"/>
      <c r="AW47" s="588"/>
      <c r="AX47" s="588"/>
      <c r="AY47" s="588"/>
      <c r="AZ47" s="588"/>
      <c r="BA47" s="588"/>
      <c r="BB47" s="588"/>
      <c r="BC47" s="588"/>
      <c r="BD47" s="588"/>
      <c r="BE47" s="588"/>
      <c r="BF47" s="588"/>
      <c r="BG47" s="588"/>
    </row>
    <row r="48" spans="1:59" x14ac:dyDescent="0.35">
      <c r="A48" s="588"/>
      <c r="B48" s="588"/>
      <c r="C48" s="588"/>
      <c r="D48" s="588"/>
      <c r="E48" s="588"/>
      <c r="F48" s="588"/>
      <c r="G48" s="588"/>
      <c r="H48" s="588"/>
      <c r="I48" s="588"/>
      <c r="J48" s="588"/>
      <c r="K48" s="588"/>
      <c r="L48" s="588"/>
      <c r="M48" s="588"/>
      <c r="N48" s="588"/>
      <c r="O48" s="588"/>
      <c r="P48" s="588"/>
      <c r="Q48" s="588"/>
      <c r="R48" s="588"/>
      <c r="S48" s="588"/>
      <c r="T48" s="588"/>
      <c r="U48" s="588"/>
      <c r="V48" s="588"/>
      <c r="W48" s="588"/>
      <c r="X48" s="588"/>
      <c r="Y48" s="588"/>
      <c r="Z48" s="588"/>
      <c r="AA48" s="588"/>
      <c r="AB48" s="588"/>
      <c r="AC48" s="588"/>
      <c r="AD48" s="588"/>
      <c r="AE48" s="588"/>
      <c r="AF48" s="588"/>
      <c r="AG48" s="588"/>
      <c r="AH48" s="588"/>
      <c r="AI48" s="588"/>
      <c r="AJ48" s="588"/>
      <c r="AK48" s="588"/>
      <c r="AL48" s="588"/>
      <c r="AM48" s="588"/>
      <c r="AN48" s="588"/>
      <c r="AO48" s="588"/>
      <c r="AP48" s="588"/>
      <c r="AQ48" s="588"/>
      <c r="AR48" s="588"/>
      <c r="AS48" s="588"/>
      <c r="AT48" s="588"/>
      <c r="AU48" s="588"/>
      <c r="AV48" s="588"/>
      <c r="AW48" s="588"/>
      <c r="AX48" s="588"/>
      <c r="AY48" s="588"/>
      <c r="AZ48" s="588"/>
      <c r="BA48" s="588"/>
      <c r="BB48" s="588"/>
      <c r="BC48" s="588"/>
      <c r="BD48" s="588"/>
      <c r="BE48" s="588"/>
      <c r="BF48" s="588"/>
      <c r="BG48" s="588"/>
    </row>
    <row r="49" spans="1:59" x14ac:dyDescent="0.35">
      <c r="A49" s="588"/>
      <c r="B49" s="588"/>
      <c r="C49" s="588"/>
      <c r="D49" s="588"/>
      <c r="E49" s="588"/>
      <c r="F49" s="588"/>
      <c r="G49" s="588"/>
      <c r="H49" s="588"/>
      <c r="I49" s="588"/>
      <c r="J49" s="588"/>
      <c r="K49" s="588"/>
      <c r="L49" s="588"/>
      <c r="M49" s="588"/>
      <c r="N49" s="588"/>
      <c r="O49" s="588"/>
      <c r="P49" s="588"/>
      <c r="Q49" s="588"/>
      <c r="R49" s="588"/>
      <c r="S49" s="588"/>
      <c r="T49" s="588"/>
      <c r="U49" s="588"/>
      <c r="V49" s="588"/>
      <c r="W49" s="588"/>
      <c r="X49" s="588"/>
      <c r="Y49" s="588"/>
      <c r="Z49" s="588"/>
      <c r="AA49" s="588"/>
      <c r="AB49" s="588"/>
      <c r="AC49" s="588"/>
      <c r="AD49" s="588"/>
      <c r="AE49" s="588"/>
      <c r="AF49" s="588"/>
      <c r="AG49" s="588"/>
      <c r="AH49" s="588"/>
      <c r="AI49" s="588"/>
      <c r="AJ49" s="588"/>
      <c r="AK49" s="588"/>
      <c r="AL49" s="588"/>
      <c r="AM49" s="588"/>
      <c r="AN49" s="588"/>
      <c r="AO49" s="588"/>
      <c r="AP49" s="588"/>
      <c r="AQ49" s="588"/>
      <c r="AR49" s="588"/>
      <c r="AS49" s="588"/>
      <c r="AT49" s="588"/>
      <c r="AU49" s="588"/>
      <c r="AV49" s="588"/>
      <c r="AW49" s="588"/>
      <c r="AX49" s="588"/>
      <c r="AY49" s="588"/>
      <c r="AZ49" s="588"/>
      <c r="BA49" s="588"/>
      <c r="BB49" s="588"/>
      <c r="BC49" s="588"/>
      <c r="BD49" s="588"/>
      <c r="BE49" s="588"/>
      <c r="BF49" s="588"/>
      <c r="BG49" s="588"/>
    </row>
    <row r="50" spans="1:59" x14ac:dyDescent="0.35">
      <c r="A50" s="588"/>
      <c r="B50" s="588"/>
      <c r="C50" s="588"/>
      <c r="D50" s="588"/>
      <c r="E50" s="588"/>
      <c r="F50" s="588"/>
      <c r="G50" s="588"/>
      <c r="H50" s="588"/>
      <c r="I50" s="588"/>
      <c r="J50" s="588"/>
      <c r="K50" s="588"/>
      <c r="L50" s="588"/>
      <c r="M50" s="588"/>
      <c r="N50" s="588"/>
      <c r="O50" s="588"/>
      <c r="P50" s="588"/>
      <c r="Q50" s="588"/>
      <c r="R50" s="588"/>
      <c r="S50" s="588"/>
      <c r="T50" s="588"/>
      <c r="U50" s="588"/>
      <c r="V50" s="588"/>
      <c r="W50" s="588"/>
      <c r="X50" s="588"/>
      <c r="Y50" s="588"/>
      <c r="Z50" s="588"/>
      <c r="AA50" s="588"/>
      <c r="AB50" s="588"/>
      <c r="AC50" s="588"/>
      <c r="AD50" s="588"/>
      <c r="AE50" s="588"/>
      <c r="AF50" s="588"/>
      <c r="AG50" s="588"/>
      <c r="AH50" s="588"/>
      <c r="AI50" s="588"/>
      <c r="AJ50" s="588"/>
      <c r="AK50" s="588"/>
      <c r="AL50" s="588"/>
      <c r="AM50" s="588"/>
      <c r="AN50" s="588"/>
      <c r="AO50" s="588"/>
      <c r="AP50" s="588"/>
      <c r="AQ50" s="588"/>
      <c r="AR50" s="588"/>
      <c r="AS50" s="588"/>
      <c r="AT50" s="588"/>
      <c r="AU50" s="588"/>
      <c r="AV50" s="588"/>
      <c r="AW50" s="588"/>
      <c r="AX50" s="588"/>
      <c r="AY50" s="588"/>
      <c r="AZ50" s="588"/>
      <c r="BA50" s="588"/>
      <c r="BB50" s="588"/>
      <c r="BC50" s="588"/>
      <c r="BD50" s="588"/>
      <c r="BE50" s="588"/>
      <c r="BF50" s="588"/>
      <c r="BG50" s="588"/>
    </row>
    <row r="51" spans="1:59" x14ac:dyDescent="0.35">
      <c r="A51" s="588"/>
      <c r="B51" s="588"/>
      <c r="C51" s="588"/>
      <c r="D51" s="588"/>
      <c r="E51" s="588"/>
      <c r="F51" s="588"/>
      <c r="G51" s="588"/>
      <c r="H51" s="588"/>
      <c r="I51" s="588"/>
      <c r="J51" s="588"/>
      <c r="K51" s="588"/>
      <c r="L51" s="588"/>
      <c r="M51" s="588"/>
      <c r="N51" s="588"/>
      <c r="O51" s="588"/>
      <c r="P51" s="588"/>
      <c r="Q51" s="588"/>
      <c r="R51" s="588"/>
      <c r="S51" s="588"/>
      <c r="T51" s="588"/>
      <c r="U51" s="588"/>
      <c r="V51" s="588"/>
      <c r="W51" s="588"/>
      <c r="X51" s="588"/>
      <c r="Y51" s="588"/>
      <c r="Z51" s="588"/>
      <c r="AA51" s="588"/>
      <c r="AB51" s="588"/>
      <c r="AC51" s="588"/>
      <c r="AD51" s="588"/>
      <c r="AE51" s="588"/>
      <c r="AF51" s="588"/>
      <c r="AG51" s="588"/>
      <c r="AH51" s="588"/>
      <c r="AI51" s="588"/>
      <c r="AJ51" s="588"/>
      <c r="AK51" s="588"/>
      <c r="AL51" s="588"/>
      <c r="AM51" s="588"/>
      <c r="AN51" s="588"/>
      <c r="AO51" s="588"/>
      <c r="AP51" s="588"/>
      <c r="AQ51" s="588"/>
      <c r="AR51" s="588"/>
      <c r="AS51" s="588"/>
      <c r="AT51" s="588"/>
      <c r="AU51" s="588"/>
      <c r="AV51" s="588"/>
      <c r="AW51" s="588"/>
      <c r="AX51" s="588"/>
      <c r="AY51" s="588"/>
      <c r="AZ51" s="588"/>
      <c r="BA51" s="588"/>
      <c r="BB51" s="588"/>
      <c r="BC51" s="588"/>
      <c r="BD51" s="588"/>
      <c r="BE51" s="588"/>
      <c r="BF51" s="588"/>
      <c r="BG51" s="588"/>
    </row>
    <row r="52" spans="1:59" x14ac:dyDescent="0.35">
      <c r="A52" s="588"/>
      <c r="B52" s="588"/>
      <c r="C52" s="588"/>
      <c r="D52" s="588"/>
      <c r="E52" s="588"/>
      <c r="F52" s="588"/>
      <c r="G52" s="588"/>
      <c r="H52" s="588"/>
      <c r="I52" s="588"/>
      <c r="J52" s="588"/>
      <c r="K52" s="588"/>
      <c r="L52" s="588"/>
      <c r="M52" s="588"/>
      <c r="N52" s="588"/>
      <c r="O52" s="588"/>
      <c r="P52" s="588"/>
      <c r="Q52" s="588"/>
      <c r="R52" s="588"/>
      <c r="S52" s="588"/>
      <c r="T52" s="588"/>
      <c r="U52" s="588"/>
      <c r="V52" s="588"/>
      <c r="W52" s="588"/>
      <c r="X52" s="588"/>
      <c r="Y52" s="588"/>
      <c r="Z52" s="588"/>
      <c r="AA52" s="588"/>
      <c r="AB52" s="588"/>
      <c r="AC52" s="588"/>
      <c r="AD52" s="588"/>
      <c r="AE52" s="588"/>
      <c r="AF52" s="588"/>
      <c r="AG52" s="588"/>
      <c r="AH52" s="588"/>
      <c r="AI52" s="588"/>
      <c r="AJ52" s="588"/>
      <c r="AK52" s="588"/>
      <c r="AL52" s="588"/>
      <c r="AM52" s="588"/>
      <c r="AN52" s="588"/>
      <c r="AO52" s="588"/>
      <c r="AP52" s="588"/>
      <c r="AQ52" s="588"/>
      <c r="AR52" s="588"/>
      <c r="AS52" s="588"/>
      <c r="AT52" s="588"/>
      <c r="AU52" s="588"/>
      <c r="AV52" s="588"/>
      <c r="AW52" s="588"/>
      <c r="AX52" s="588"/>
      <c r="AY52" s="588"/>
      <c r="AZ52" s="588"/>
      <c r="BA52" s="588"/>
      <c r="BB52" s="588"/>
      <c r="BC52" s="588"/>
      <c r="BD52" s="588"/>
      <c r="BE52" s="588"/>
      <c r="BF52" s="588"/>
      <c r="BG52" s="588"/>
    </row>
    <row r="53" spans="1:59" x14ac:dyDescent="0.35">
      <c r="A53" s="588"/>
      <c r="B53" s="588"/>
      <c r="C53" s="588"/>
      <c r="D53" s="588"/>
      <c r="E53" s="588"/>
      <c r="F53" s="588"/>
      <c r="G53" s="588"/>
      <c r="H53" s="588"/>
      <c r="I53" s="588"/>
      <c r="J53" s="588"/>
      <c r="K53" s="588"/>
      <c r="L53" s="588"/>
      <c r="M53" s="588"/>
      <c r="N53" s="588"/>
      <c r="O53" s="588"/>
      <c r="P53" s="588"/>
      <c r="Q53" s="588"/>
      <c r="R53" s="588"/>
      <c r="S53" s="588"/>
      <c r="T53" s="588"/>
      <c r="U53" s="588"/>
      <c r="V53" s="588"/>
      <c r="W53" s="588"/>
      <c r="X53" s="588"/>
      <c r="Y53" s="588"/>
      <c r="Z53" s="588"/>
      <c r="AA53" s="588"/>
      <c r="AB53" s="588"/>
      <c r="AC53" s="588"/>
      <c r="AD53" s="588"/>
      <c r="AE53" s="588"/>
      <c r="AF53" s="588"/>
      <c r="AG53" s="588"/>
      <c r="AH53" s="588"/>
      <c r="AI53" s="588"/>
      <c r="AJ53" s="588"/>
      <c r="AK53" s="588"/>
      <c r="AL53" s="588"/>
      <c r="AM53" s="588"/>
      <c r="AN53" s="588"/>
      <c r="AO53" s="588"/>
      <c r="AP53" s="588"/>
      <c r="AQ53" s="588"/>
      <c r="AR53" s="588"/>
      <c r="AS53" s="588"/>
      <c r="AT53" s="588"/>
      <c r="AU53" s="588"/>
      <c r="AV53" s="588"/>
      <c r="AW53" s="588"/>
      <c r="AX53" s="588"/>
      <c r="AY53" s="588"/>
      <c r="AZ53" s="588"/>
      <c r="BA53" s="588"/>
      <c r="BB53" s="588"/>
      <c r="BC53" s="588"/>
      <c r="BD53" s="588"/>
      <c r="BE53" s="588"/>
      <c r="BF53" s="588"/>
      <c r="BG53" s="588"/>
    </row>
    <row r="54" spans="1:59" x14ac:dyDescent="0.35">
      <c r="A54" s="588"/>
      <c r="B54" s="588"/>
      <c r="C54" s="588"/>
      <c r="D54" s="588"/>
      <c r="E54" s="588"/>
      <c r="F54" s="588"/>
      <c r="G54" s="588"/>
      <c r="H54" s="588"/>
      <c r="I54" s="588"/>
      <c r="J54" s="588"/>
      <c r="K54" s="588"/>
      <c r="L54" s="588"/>
      <c r="M54" s="588"/>
      <c r="N54" s="588"/>
      <c r="O54" s="588"/>
      <c r="P54" s="588"/>
      <c r="Q54" s="588"/>
      <c r="R54" s="588"/>
      <c r="S54" s="588"/>
      <c r="T54" s="588"/>
      <c r="U54" s="588"/>
      <c r="V54" s="588"/>
      <c r="W54" s="588"/>
      <c r="X54" s="588"/>
      <c r="Y54" s="588"/>
      <c r="Z54" s="588"/>
      <c r="AA54" s="588"/>
      <c r="AB54" s="588"/>
      <c r="AC54" s="588"/>
      <c r="AD54" s="588"/>
      <c r="AE54" s="588"/>
      <c r="AF54" s="588"/>
      <c r="AG54" s="588"/>
      <c r="AH54" s="588"/>
      <c r="AI54" s="588"/>
      <c r="AJ54" s="588"/>
      <c r="AK54" s="588"/>
      <c r="AL54" s="588"/>
      <c r="AM54" s="588"/>
      <c r="AN54" s="588"/>
      <c r="AO54" s="588"/>
      <c r="AP54" s="588"/>
      <c r="AQ54" s="588"/>
      <c r="AR54" s="588"/>
      <c r="AS54" s="588"/>
      <c r="AT54" s="588"/>
      <c r="AU54" s="588"/>
      <c r="AV54" s="588"/>
      <c r="AW54" s="588"/>
      <c r="AX54" s="588"/>
      <c r="AY54" s="588"/>
      <c r="AZ54" s="588"/>
      <c r="BA54" s="588"/>
      <c r="BB54" s="588"/>
      <c r="BC54" s="588"/>
      <c r="BD54" s="588"/>
      <c r="BE54" s="588"/>
      <c r="BF54" s="588"/>
      <c r="BG54" s="588"/>
    </row>
    <row r="55" spans="1:59" x14ac:dyDescent="0.35">
      <c r="A55" s="588"/>
      <c r="B55" s="588"/>
      <c r="C55" s="588"/>
      <c r="D55" s="588"/>
      <c r="E55" s="588"/>
      <c r="F55" s="588"/>
      <c r="G55" s="588"/>
      <c r="H55" s="588"/>
      <c r="I55" s="588"/>
      <c r="J55" s="588"/>
      <c r="K55" s="588"/>
      <c r="L55" s="588"/>
      <c r="M55" s="588"/>
      <c r="N55" s="588"/>
      <c r="O55" s="588"/>
      <c r="P55" s="588"/>
      <c r="Q55" s="588"/>
      <c r="R55" s="588"/>
      <c r="S55" s="588"/>
      <c r="T55" s="588"/>
      <c r="U55" s="588"/>
      <c r="V55" s="588"/>
      <c r="W55" s="588"/>
      <c r="X55" s="588"/>
      <c r="Y55" s="588"/>
      <c r="Z55" s="588"/>
      <c r="AA55" s="588"/>
      <c r="AB55" s="588"/>
      <c r="AC55" s="588"/>
      <c r="AD55" s="588"/>
      <c r="AE55" s="588"/>
      <c r="AF55" s="588"/>
      <c r="AG55" s="588"/>
      <c r="AH55" s="588"/>
      <c r="AI55" s="588"/>
      <c r="AJ55" s="588"/>
      <c r="AK55" s="588"/>
      <c r="AL55" s="588"/>
      <c r="AM55" s="588"/>
      <c r="AN55" s="588"/>
      <c r="AO55" s="588"/>
      <c r="AP55" s="588"/>
      <c r="AQ55" s="588"/>
      <c r="AR55" s="588"/>
      <c r="AS55" s="588"/>
      <c r="AT55" s="588"/>
      <c r="AU55" s="588"/>
      <c r="AV55" s="588"/>
      <c r="AW55" s="588"/>
      <c r="AX55" s="588"/>
      <c r="AY55" s="588"/>
      <c r="AZ55" s="588"/>
      <c r="BA55" s="588"/>
      <c r="BB55" s="588"/>
      <c r="BC55" s="588"/>
      <c r="BD55" s="588"/>
      <c r="BE55" s="588"/>
      <c r="BF55" s="588"/>
      <c r="BG55" s="588"/>
    </row>
    <row r="56" spans="1:59" x14ac:dyDescent="0.35">
      <c r="A56" s="588"/>
      <c r="B56" s="588"/>
      <c r="C56" s="588"/>
      <c r="D56" s="588"/>
      <c r="E56" s="588"/>
      <c r="F56" s="588"/>
      <c r="G56" s="588"/>
      <c r="H56" s="588"/>
      <c r="I56" s="588"/>
      <c r="J56" s="588"/>
      <c r="K56" s="588"/>
      <c r="L56" s="588"/>
      <c r="M56" s="588"/>
      <c r="N56" s="588"/>
      <c r="O56" s="588"/>
      <c r="P56" s="588"/>
      <c r="Q56" s="588"/>
      <c r="R56" s="588"/>
      <c r="S56" s="588"/>
      <c r="T56" s="588"/>
      <c r="U56" s="588"/>
      <c r="V56" s="588"/>
      <c r="W56" s="588"/>
      <c r="X56" s="588"/>
      <c r="Y56" s="588"/>
      <c r="Z56" s="588"/>
      <c r="AA56" s="588"/>
      <c r="AB56" s="588"/>
      <c r="AC56" s="588"/>
      <c r="AD56" s="588"/>
      <c r="AE56" s="588"/>
      <c r="AF56" s="588"/>
      <c r="AG56" s="588"/>
      <c r="AH56" s="588"/>
      <c r="AI56" s="588"/>
      <c r="AJ56" s="588"/>
      <c r="AK56" s="588"/>
      <c r="AL56" s="588"/>
      <c r="AM56" s="588"/>
      <c r="AN56" s="588"/>
      <c r="AO56" s="588"/>
      <c r="AP56" s="588"/>
      <c r="AQ56" s="588"/>
      <c r="AR56" s="588"/>
      <c r="AS56" s="588"/>
      <c r="AT56" s="588"/>
      <c r="AU56" s="588"/>
      <c r="AV56" s="588"/>
      <c r="AW56" s="588"/>
      <c r="AX56" s="588"/>
      <c r="AY56" s="588"/>
      <c r="AZ56" s="588"/>
      <c r="BA56" s="588"/>
      <c r="BB56" s="588"/>
      <c r="BC56" s="588"/>
      <c r="BD56" s="588"/>
      <c r="BE56" s="588"/>
      <c r="BF56" s="588"/>
      <c r="BG56" s="588"/>
    </row>
    <row r="57" spans="1:59" x14ac:dyDescent="0.35">
      <c r="A57" s="588"/>
      <c r="B57" s="588"/>
      <c r="C57" s="588"/>
      <c r="D57" s="588"/>
      <c r="E57" s="588"/>
      <c r="F57" s="588"/>
      <c r="G57" s="588"/>
      <c r="H57" s="588"/>
      <c r="I57" s="588"/>
      <c r="J57" s="588"/>
      <c r="K57" s="588"/>
      <c r="L57" s="588"/>
      <c r="M57" s="588"/>
      <c r="N57" s="588"/>
      <c r="O57" s="588"/>
      <c r="P57" s="588"/>
      <c r="Q57" s="588"/>
      <c r="R57" s="588"/>
      <c r="S57" s="588"/>
      <c r="T57" s="588"/>
      <c r="U57" s="588"/>
      <c r="V57" s="588"/>
      <c r="W57" s="588"/>
      <c r="X57" s="588"/>
      <c r="Y57" s="588"/>
      <c r="Z57" s="588"/>
      <c r="AA57" s="588"/>
      <c r="AB57" s="588"/>
      <c r="AC57" s="588"/>
      <c r="AD57" s="588"/>
      <c r="AE57" s="588"/>
      <c r="AF57" s="588"/>
      <c r="AG57" s="588"/>
      <c r="AH57" s="588"/>
      <c r="AI57" s="588"/>
      <c r="AJ57" s="588"/>
      <c r="AK57" s="588"/>
      <c r="AL57" s="588"/>
      <c r="AM57" s="588"/>
      <c r="AN57" s="588"/>
      <c r="AO57" s="588"/>
      <c r="AP57" s="588"/>
      <c r="AQ57" s="588"/>
      <c r="AR57" s="588"/>
      <c r="AS57" s="588"/>
      <c r="AT57" s="588"/>
      <c r="AU57" s="588"/>
      <c r="AV57" s="588"/>
      <c r="AW57" s="588"/>
      <c r="AX57" s="588"/>
      <c r="AY57" s="588"/>
      <c r="AZ57" s="588"/>
      <c r="BA57" s="588"/>
      <c r="BB57" s="588"/>
      <c r="BC57" s="588"/>
      <c r="BD57" s="588"/>
      <c r="BE57" s="588"/>
      <c r="BF57" s="588"/>
      <c r="BG57" s="588"/>
    </row>
    <row r="58" spans="1:59" x14ac:dyDescent="0.35">
      <c r="A58" s="588"/>
      <c r="B58" s="588"/>
      <c r="C58" s="588"/>
      <c r="D58" s="588"/>
      <c r="E58" s="588"/>
      <c r="F58" s="588"/>
      <c r="G58" s="588"/>
      <c r="H58" s="588"/>
      <c r="I58" s="588"/>
      <c r="J58" s="588"/>
      <c r="K58" s="588"/>
      <c r="L58" s="588"/>
      <c r="M58" s="588"/>
      <c r="N58" s="588"/>
      <c r="O58" s="588"/>
      <c r="P58" s="588"/>
      <c r="Q58" s="588"/>
      <c r="R58" s="588"/>
      <c r="S58" s="588"/>
      <c r="T58" s="588"/>
      <c r="U58" s="588"/>
      <c r="V58" s="588"/>
      <c r="W58" s="588"/>
      <c r="X58" s="588"/>
      <c r="Y58" s="588"/>
      <c r="Z58" s="588"/>
      <c r="AA58" s="588"/>
      <c r="AB58" s="588"/>
      <c r="AC58" s="588"/>
      <c r="AD58" s="588"/>
      <c r="AE58" s="588"/>
      <c r="AF58" s="588"/>
      <c r="AG58" s="588"/>
      <c r="AH58" s="588"/>
      <c r="AI58" s="588"/>
      <c r="AJ58" s="588"/>
      <c r="AK58" s="588"/>
      <c r="AL58" s="588"/>
      <c r="AM58" s="588"/>
      <c r="AN58" s="588"/>
      <c r="AO58" s="588"/>
      <c r="AP58" s="588"/>
      <c r="AQ58" s="588"/>
      <c r="AR58" s="588"/>
      <c r="AS58" s="588"/>
      <c r="AT58" s="588"/>
      <c r="AU58" s="588"/>
      <c r="AV58" s="588"/>
      <c r="AW58" s="588"/>
      <c r="AX58" s="588"/>
      <c r="AY58" s="588"/>
      <c r="AZ58" s="588"/>
      <c r="BA58" s="588"/>
      <c r="BB58" s="588"/>
      <c r="BC58" s="588"/>
      <c r="BD58" s="588"/>
      <c r="BE58" s="588"/>
      <c r="BF58" s="588"/>
      <c r="BG58" s="588"/>
    </row>
    <row r="59" spans="1:59" x14ac:dyDescent="0.35">
      <c r="A59" s="588"/>
      <c r="B59" s="588"/>
      <c r="C59" s="588"/>
      <c r="D59" s="588"/>
      <c r="E59" s="588"/>
      <c r="F59" s="588"/>
      <c r="G59" s="588"/>
      <c r="H59" s="588"/>
      <c r="I59" s="588"/>
      <c r="J59" s="588"/>
      <c r="K59" s="588"/>
      <c r="L59" s="588"/>
      <c r="M59" s="588"/>
      <c r="N59" s="588"/>
      <c r="O59" s="588"/>
      <c r="P59" s="588"/>
      <c r="Q59" s="588"/>
      <c r="R59" s="588"/>
      <c r="S59" s="588"/>
      <c r="T59" s="588"/>
      <c r="U59" s="588"/>
      <c r="V59" s="588"/>
      <c r="W59" s="588"/>
      <c r="X59" s="588"/>
      <c r="Y59" s="588"/>
      <c r="Z59" s="588"/>
      <c r="AA59" s="588"/>
      <c r="AB59" s="588"/>
      <c r="AC59" s="588"/>
      <c r="AD59" s="588"/>
      <c r="AE59" s="588"/>
      <c r="AF59" s="588"/>
      <c r="AG59" s="588"/>
      <c r="AH59" s="588"/>
      <c r="AI59" s="588"/>
      <c r="AJ59" s="588"/>
      <c r="AK59" s="588"/>
      <c r="AL59" s="588"/>
      <c r="AM59" s="588"/>
      <c r="AN59" s="588"/>
      <c r="AO59" s="588"/>
      <c r="AP59" s="588"/>
      <c r="AQ59" s="588"/>
      <c r="AR59" s="588"/>
      <c r="AS59" s="588"/>
      <c r="AT59" s="588"/>
      <c r="AU59" s="588"/>
      <c r="AV59" s="588"/>
      <c r="AW59" s="588"/>
      <c r="AX59" s="588"/>
      <c r="AY59" s="588"/>
      <c r="AZ59" s="588"/>
      <c r="BA59" s="588"/>
      <c r="BB59" s="588"/>
      <c r="BC59" s="588"/>
      <c r="BD59" s="588"/>
      <c r="BE59" s="588"/>
      <c r="BF59" s="588"/>
      <c r="BG59" s="588"/>
    </row>
    <row r="60" spans="1:59" x14ac:dyDescent="0.35">
      <c r="A60" s="588"/>
      <c r="B60" s="588"/>
      <c r="C60" s="588"/>
      <c r="D60" s="588"/>
      <c r="E60" s="588"/>
      <c r="F60" s="588"/>
      <c r="G60" s="588"/>
      <c r="H60" s="588"/>
      <c r="I60" s="588"/>
      <c r="J60" s="588"/>
      <c r="K60" s="588"/>
      <c r="L60" s="588"/>
      <c r="M60" s="588"/>
      <c r="N60" s="588"/>
      <c r="O60" s="588"/>
      <c r="P60" s="588"/>
      <c r="Q60" s="588"/>
      <c r="R60" s="588"/>
      <c r="S60" s="588"/>
      <c r="T60" s="588"/>
      <c r="U60" s="588"/>
      <c r="V60" s="588"/>
      <c r="W60" s="588"/>
      <c r="X60" s="588"/>
      <c r="Y60" s="588"/>
      <c r="Z60" s="588"/>
      <c r="AA60" s="588"/>
      <c r="AB60" s="588"/>
      <c r="AC60" s="588"/>
      <c r="AD60" s="588"/>
      <c r="AE60" s="588"/>
      <c r="AF60" s="588"/>
      <c r="AG60" s="588"/>
      <c r="AH60" s="588"/>
      <c r="AI60" s="588"/>
      <c r="AJ60" s="588"/>
      <c r="AK60" s="588"/>
      <c r="AL60" s="588"/>
      <c r="AM60" s="588"/>
      <c r="AN60" s="588"/>
      <c r="AO60" s="588"/>
      <c r="AP60" s="588"/>
      <c r="AQ60" s="588"/>
      <c r="AR60" s="588"/>
      <c r="AS60" s="588"/>
      <c r="AT60" s="588"/>
      <c r="AU60" s="588"/>
      <c r="AV60" s="588"/>
      <c r="AW60" s="588"/>
      <c r="AX60" s="588"/>
      <c r="AY60" s="588"/>
      <c r="AZ60" s="588"/>
      <c r="BA60" s="588"/>
      <c r="BB60" s="588"/>
      <c r="BC60" s="588"/>
      <c r="BD60" s="588"/>
      <c r="BE60" s="588"/>
      <c r="BF60" s="588"/>
      <c r="BG60" s="588"/>
    </row>
    <row r="61" spans="1:59" x14ac:dyDescent="0.35">
      <c r="A61" s="588"/>
      <c r="B61" s="588"/>
      <c r="C61" s="588"/>
      <c r="D61" s="588"/>
      <c r="E61" s="588"/>
      <c r="F61" s="588"/>
      <c r="G61" s="588"/>
      <c r="H61" s="588"/>
      <c r="I61" s="588"/>
      <c r="J61" s="588"/>
      <c r="K61" s="588"/>
      <c r="L61" s="588"/>
      <c r="M61" s="588"/>
      <c r="N61" s="588"/>
      <c r="O61" s="588"/>
      <c r="P61" s="588"/>
      <c r="Q61" s="588"/>
      <c r="R61" s="588"/>
      <c r="S61" s="588"/>
      <c r="T61" s="588"/>
      <c r="U61" s="588"/>
      <c r="V61" s="588"/>
      <c r="W61" s="588"/>
      <c r="X61" s="588"/>
      <c r="Y61" s="588"/>
      <c r="Z61" s="588"/>
      <c r="AA61" s="588"/>
      <c r="AB61" s="588"/>
      <c r="AC61" s="588"/>
      <c r="AD61" s="588"/>
      <c r="AE61" s="588"/>
      <c r="AF61" s="588"/>
      <c r="AG61" s="588"/>
      <c r="AH61" s="588"/>
      <c r="AI61" s="588"/>
      <c r="AJ61" s="588"/>
      <c r="AK61" s="588"/>
      <c r="AL61" s="588"/>
      <c r="AM61" s="588"/>
      <c r="AN61" s="588"/>
      <c r="AO61" s="588"/>
      <c r="AP61" s="588"/>
      <c r="AQ61" s="588"/>
      <c r="AR61" s="588"/>
      <c r="AS61" s="588"/>
      <c r="AT61" s="588"/>
      <c r="AU61" s="588"/>
      <c r="AV61" s="588"/>
      <c r="AW61" s="588"/>
      <c r="AX61" s="588"/>
      <c r="AY61" s="588"/>
      <c r="AZ61" s="588"/>
      <c r="BA61" s="588"/>
      <c r="BB61" s="588"/>
      <c r="BC61" s="588"/>
      <c r="BD61" s="588"/>
      <c r="BE61" s="588"/>
      <c r="BF61" s="588"/>
      <c r="BG61" s="588"/>
    </row>
    <row r="62" spans="1:59" x14ac:dyDescent="0.35">
      <c r="A62" s="588"/>
      <c r="B62" s="588"/>
      <c r="C62" s="588"/>
      <c r="D62" s="588"/>
      <c r="E62" s="588"/>
      <c r="F62" s="588"/>
      <c r="G62" s="588"/>
      <c r="H62" s="588"/>
      <c r="I62" s="588"/>
      <c r="J62" s="588"/>
      <c r="K62" s="588"/>
      <c r="L62" s="588"/>
      <c r="M62" s="588"/>
      <c r="N62" s="588"/>
      <c r="O62" s="588"/>
      <c r="P62" s="588"/>
      <c r="Q62" s="588"/>
      <c r="R62" s="588"/>
      <c r="S62" s="588"/>
      <c r="T62" s="588"/>
      <c r="U62" s="588"/>
      <c r="V62" s="588"/>
      <c r="W62" s="588"/>
      <c r="X62" s="588"/>
      <c r="Y62" s="588"/>
      <c r="Z62" s="588"/>
      <c r="AA62" s="588"/>
      <c r="AB62" s="588"/>
      <c r="AC62" s="588"/>
      <c r="AD62" s="588"/>
      <c r="AE62" s="588"/>
      <c r="AF62" s="588"/>
      <c r="AG62" s="588"/>
      <c r="AH62" s="588"/>
      <c r="AI62" s="588"/>
      <c r="AJ62" s="588"/>
      <c r="AK62" s="588"/>
      <c r="AL62" s="588"/>
      <c r="AM62" s="588"/>
      <c r="AN62" s="588"/>
      <c r="AO62" s="588"/>
      <c r="AP62" s="588"/>
      <c r="AQ62" s="588"/>
      <c r="AR62" s="588"/>
      <c r="AS62" s="588"/>
      <c r="AT62" s="588"/>
      <c r="AU62" s="588"/>
      <c r="AV62" s="588"/>
      <c r="AW62" s="588"/>
      <c r="AX62" s="588"/>
      <c r="AY62" s="588"/>
      <c r="AZ62" s="588"/>
      <c r="BA62" s="588"/>
      <c r="BB62" s="588"/>
      <c r="BC62" s="588"/>
      <c r="BD62" s="588"/>
      <c r="BE62" s="588"/>
      <c r="BF62" s="588"/>
      <c r="BG62" s="588"/>
    </row>
    <row r="63" spans="1:59" x14ac:dyDescent="0.35">
      <c r="A63" s="588"/>
      <c r="B63" s="588"/>
      <c r="C63" s="588"/>
      <c r="D63" s="588"/>
      <c r="E63" s="588"/>
      <c r="F63" s="588"/>
      <c r="G63" s="588"/>
      <c r="H63" s="588"/>
      <c r="I63" s="588"/>
      <c r="J63" s="588"/>
      <c r="K63" s="588"/>
      <c r="L63" s="588"/>
      <c r="M63" s="588"/>
      <c r="N63" s="588"/>
      <c r="O63" s="588"/>
      <c r="P63" s="588"/>
      <c r="Q63" s="588"/>
      <c r="R63" s="588"/>
      <c r="S63" s="588"/>
      <c r="T63" s="588"/>
      <c r="U63" s="588"/>
      <c r="V63" s="588"/>
      <c r="W63" s="588"/>
      <c r="X63" s="588"/>
      <c r="Y63" s="588"/>
      <c r="Z63" s="588"/>
      <c r="AA63" s="588"/>
      <c r="AB63" s="588"/>
      <c r="AC63" s="588"/>
      <c r="AD63" s="588"/>
      <c r="AE63" s="588"/>
      <c r="AF63" s="588"/>
      <c r="AG63" s="588"/>
      <c r="AH63" s="588"/>
      <c r="AI63" s="588"/>
      <c r="AJ63" s="588"/>
      <c r="AK63" s="588"/>
      <c r="AL63" s="588"/>
      <c r="AM63" s="588"/>
      <c r="AN63" s="588"/>
      <c r="AO63" s="588"/>
      <c r="AP63" s="588"/>
      <c r="AQ63" s="588"/>
      <c r="AR63" s="588"/>
      <c r="AS63" s="588"/>
      <c r="AT63" s="588"/>
      <c r="AU63" s="588"/>
      <c r="AV63" s="588"/>
      <c r="AW63" s="588"/>
      <c r="AX63" s="588"/>
      <c r="AY63" s="588"/>
      <c r="AZ63" s="588"/>
      <c r="BA63" s="588"/>
      <c r="BB63" s="588"/>
      <c r="BC63" s="588"/>
      <c r="BD63" s="588"/>
      <c r="BE63" s="588"/>
      <c r="BF63" s="588"/>
      <c r="BG63" s="588"/>
    </row>
    <row r="64" spans="1:59" x14ac:dyDescent="0.35">
      <c r="A64" s="588"/>
      <c r="B64" s="588"/>
      <c r="C64" s="588"/>
      <c r="D64" s="588"/>
      <c r="E64" s="588"/>
      <c r="F64" s="588"/>
      <c r="G64" s="588"/>
      <c r="H64" s="588"/>
      <c r="I64" s="588"/>
      <c r="J64" s="588"/>
      <c r="K64" s="588"/>
      <c r="L64" s="588"/>
      <c r="M64" s="588"/>
      <c r="N64" s="588"/>
      <c r="O64" s="588"/>
      <c r="P64" s="588"/>
      <c r="Q64" s="588"/>
      <c r="R64" s="588"/>
      <c r="S64" s="588"/>
      <c r="T64" s="588"/>
      <c r="U64" s="588"/>
      <c r="V64" s="588"/>
      <c r="W64" s="588"/>
      <c r="X64" s="588"/>
      <c r="Y64" s="588"/>
      <c r="Z64" s="588"/>
      <c r="AA64" s="588"/>
      <c r="AB64" s="588"/>
      <c r="AC64" s="588"/>
      <c r="AD64" s="588"/>
      <c r="AE64" s="588"/>
      <c r="AF64" s="588"/>
      <c r="AG64" s="588"/>
      <c r="AH64" s="588"/>
      <c r="AI64" s="588"/>
      <c r="AJ64" s="588"/>
      <c r="AK64" s="588"/>
      <c r="AL64" s="588"/>
      <c r="AM64" s="588"/>
      <c r="AN64" s="588"/>
      <c r="AO64" s="588"/>
      <c r="AP64" s="588"/>
      <c r="AQ64" s="588"/>
      <c r="AR64" s="588"/>
      <c r="AS64" s="588"/>
      <c r="AT64" s="588"/>
      <c r="AU64" s="588"/>
      <c r="AV64" s="588"/>
      <c r="AW64" s="588"/>
      <c r="AX64" s="588"/>
      <c r="AY64" s="588"/>
      <c r="AZ64" s="588"/>
      <c r="BA64" s="588"/>
      <c r="BB64" s="588"/>
      <c r="BC64" s="588"/>
      <c r="BD64" s="588"/>
      <c r="BE64" s="588"/>
      <c r="BF64" s="588"/>
      <c r="BG64" s="588"/>
    </row>
    <row r="65" spans="1:59" x14ac:dyDescent="0.35">
      <c r="A65" s="588"/>
      <c r="B65" s="588"/>
      <c r="C65" s="588"/>
      <c r="D65" s="588"/>
      <c r="E65" s="588"/>
      <c r="F65" s="588"/>
      <c r="G65" s="588"/>
      <c r="H65" s="588"/>
      <c r="I65" s="588"/>
      <c r="J65" s="588"/>
      <c r="K65" s="588"/>
      <c r="L65" s="588"/>
      <c r="M65" s="588"/>
      <c r="N65" s="588"/>
      <c r="O65" s="588"/>
      <c r="P65" s="588"/>
      <c r="Q65" s="588"/>
      <c r="R65" s="588"/>
      <c r="S65" s="588"/>
      <c r="T65" s="588"/>
      <c r="U65" s="588"/>
      <c r="V65" s="588"/>
      <c r="W65" s="588"/>
      <c r="X65" s="588"/>
      <c r="Y65" s="588"/>
      <c r="Z65" s="588"/>
      <c r="AA65" s="588"/>
      <c r="AB65" s="588"/>
      <c r="AC65" s="588"/>
      <c r="AD65" s="588"/>
      <c r="AE65" s="588"/>
      <c r="AF65" s="588"/>
      <c r="AG65" s="588"/>
      <c r="AH65" s="588"/>
      <c r="AI65" s="588"/>
      <c r="AJ65" s="588"/>
      <c r="AK65" s="588"/>
      <c r="AL65" s="588"/>
      <c r="AM65" s="588"/>
      <c r="AN65" s="588"/>
      <c r="AO65" s="588"/>
      <c r="AP65" s="588"/>
      <c r="AQ65" s="588"/>
      <c r="AR65" s="588"/>
      <c r="AS65" s="588"/>
      <c r="AT65" s="588"/>
      <c r="AU65" s="588"/>
      <c r="AV65" s="588"/>
      <c r="AW65" s="588"/>
      <c r="AX65" s="588"/>
      <c r="AY65" s="588"/>
      <c r="AZ65" s="588"/>
      <c r="BA65" s="588"/>
      <c r="BB65" s="588"/>
      <c r="BC65" s="588"/>
      <c r="BD65" s="588"/>
      <c r="BE65" s="588"/>
      <c r="BF65" s="588"/>
      <c r="BG65" s="588"/>
    </row>
    <row r="66" spans="1:59" x14ac:dyDescent="0.35">
      <c r="A66" s="588"/>
      <c r="B66" s="588"/>
      <c r="C66" s="588"/>
      <c r="D66" s="588"/>
      <c r="E66" s="588"/>
      <c r="F66" s="588"/>
      <c r="G66" s="588"/>
      <c r="H66" s="588"/>
      <c r="I66" s="588"/>
      <c r="J66" s="588"/>
      <c r="K66" s="588"/>
      <c r="L66" s="588"/>
      <c r="M66" s="588"/>
      <c r="N66" s="588"/>
      <c r="O66" s="588"/>
      <c r="P66" s="588"/>
      <c r="Q66" s="588"/>
      <c r="R66" s="588"/>
      <c r="S66" s="588"/>
      <c r="T66" s="588"/>
      <c r="U66" s="588"/>
      <c r="V66" s="588"/>
      <c r="W66" s="588"/>
      <c r="X66" s="588"/>
      <c r="Y66" s="588"/>
      <c r="Z66" s="588"/>
      <c r="AA66" s="588"/>
      <c r="AB66" s="588"/>
      <c r="AC66" s="588"/>
      <c r="AD66" s="588"/>
      <c r="AE66" s="588"/>
      <c r="AF66" s="588"/>
      <c r="AG66" s="588"/>
      <c r="AH66" s="588"/>
      <c r="AI66" s="588"/>
      <c r="AJ66" s="588"/>
      <c r="AK66" s="588"/>
      <c r="AL66" s="588"/>
      <c r="AM66" s="588"/>
      <c r="AN66" s="588"/>
      <c r="AO66" s="588"/>
      <c r="AP66" s="588"/>
      <c r="AQ66" s="588"/>
      <c r="AR66" s="588"/>
      <c r="AS66" s="588"/>
      <c r="AT66" s="588"/>
      <c r="AU66" s="588"/>
      <c r="AV66" s="588"/>
      <c r="AW66" s="588"/>
      <c r="AX66" s="588"/>
      <c r="AY66" s="588"/>
      <c r="AZ66" s="588"/>
      <c r="BA66" s="588"/>
      <c r="BB66" s="588"/>
      <c r="BC66" s="588"/>
      <c r="BD66" s="588"/>
      <c r="BE66" s="588"/>
      <c r="BF66" s="588"/>
      <c r="BG66" s="588"/>
    </row>
    <row r="67" spans="1:59" x14ac:dyDescent="0.35">
      <c r="A67" s="588"/>
      <c r="B67" s="588"/>
      <c r="C67" s="588"/>
      <c r="D67" s="588"/>
      <c r="E67" s="588"/>
      <c r="F67" s="588"/>
      <c r="G67" s="588"/>
      <c r="H67" s="588"/>
      <c r="I67" s="588"/>
      <c r="J67" s="588"/>
      <c r="K67" s="588"/>
      <c r="L67" s="588"/>
      <c r="M67" s="588"/>
      <c r="N67" s="588"/>
      <c r="O67" s="588"/>
      <c r="P67" s="588"/>
      <c r="Q67" s="588"/>
      <c r="R67" s="588"/>
      <c r="S67" s="588"/>
      <c r="T67" s="588"/>
      <c r="U67" s="588"/>
      <c r="V67" s="588"/>
      <c r="W67" s="588"/>
      <c r="X67" s="588"/>
      <c r="Y67" s="588"/>
      <c r="Z67" s="588"/>
      <c r="AA67" s="588"/>
      <c r="AB67" s="588"/>
      <c r="AC67" s="588"/>
      <c r="AD67" s="588"/>
      <c r="AE67" s="588"/>
      <c r="AF67" s="588"/>
      <c r="AG67" s="588"/>
      <c r="AH67" s="588"/>
      <c r="AI67" s="588"/>
      <c r="AJ67" s="588"/>
      <c r="AK67" s="588"/>
      <c r="AL67" s="588"/>
      <c r="AM67" s="588"/>
      <c r="AN67" s="588"/>
      <c r="AO67" s="588"/>
      <c r="AP67" s="588"/>
      <c r="AQ67" s="588"/>
      <c r="AR67" s="588"/>
      <c r="AS67" s="588"/>
      <c r="AT67" s="588"/>
      <c r="AU67" s="588"/>
      <c r="AV67" s="588"/>
      <c r="AW67" s="588"/>
      <c r="AX67" s="588"/>
      <c r="AY67" s="588"/>
      <c r="AZ67" s="588"/>
      <c r="BA67" s="588"/>
      <c r="BB67" s="588"/>
      <c r="BC67" s="588"/>
      <c r="BD67" s="588"/>
      <c r="BE67" s="588"/>
      <c r="BF67" s="588"/>
      <c r="BG67" s="588"/>
    </row>
    <row r="68" spans="1:59" x14ac:dyDescent="0.35">
      <c r="A68" s="588"/>
      <c r="B68" s="588"/>
      <c r="C68" s="588"/>
      <c r="D68" s="588"/>
      <c r="E68" s="588"/>
      <c r="F68" s="588"/>
      <c r="G68" s="588"/>
      <c r="H68" s="588"/>
      <c r="I68" s="588"/>
      <c r="J68" s="588"/>
      <c r="K68" s="588"/>
      <c r="L68" s="588"/>
      <c r="M68" s="588"/>
      <c r="N68" s="588"/>
      <c r="O68" s="588"/>
      <c r="P68" s="588"/>
      <c r="Q68" s="588"/>
      <c r="R68" s="588"/>
      <c r="S68" s="588"/>
      <c r="T68" s="588"/>
      <c r="U68" s="588"/>
      <c r="V68" s="588"/>
      <c r="W68" s="588"/>
      <c r="X68" s="588"/>
      <c r="Y68" s="588"/>
      <c r="Z68" s="588"/>
      <c r="AA68" s="588"/>
      <c r="AB68" s="588"/>
      <c r="AC68" s="588"/>
      <c r="AD68" s="588"/>
      <c r="AE68" s="588"/>
      <c r="AF68" s="588"/>
      <c r="AG68" s="588"/>
      <c r="AH68" s="588"/>
      <c r="AI68" s="588"/>
      <c r="AJ68" s="588"/>
      <c r="AK68" s="588"/>
      <c r="AL68" s="588"/>
      <c r="AM68" s="588"/>
      <c r="AN68" s="588"/>
      <c r="AO68" s="588"/>
      <c r="AP68" s="588"/>
      <c r="AQ68" s="588"/>
      <c r="AR68" s="588"/>
      <c r="AS68" s="588"/>
      <c r="AT68" s="588"/>
      <c r="AU68" s="588"/>
      <c r="AV68" s="588"/>
      <c r="AW68" s="588"/>
      <c r="AX68" s="588"/>
      <c r="AY68" s="588"/>
      <c r="AZ68" s="588"/>
      <c r="BA68" s="588"/>
      <c r="BB68" s="588"/>
      <c r="BC68" s="588"/>
      <c r="BD68" s="588"/>
      <c r="BE68" s="588"/>
      <c r="BF68" s="588"/>
      <c r="BG68" s="588"/>
    </row>
    <row r="69" spans="1:59" x14ac:dyDescent="0.35">
      <c r="A69" s="588"/>
      <c r="B69" s="588"/>
      <c r="C69" s="588"/>
      <c r="D69" s="588"/>
      <c r="E69" s="588"/>
      <c r="F69" s="588"/>
      <c r="G69" s="588"/>
      <c r="H69" s="588"/>
      <c r="I69" s="588"/>
      <c r="J69" s="588"/>
      <c r="K69" s="588"/>
      <c r="L69" s="588"/>
      <c r="M69" s="588"/>
      <c r="N69" s="588"/>
      <c r="O69" s="588"/>
      <c r="P69" s="588"/>
      <c r="Q69" s="588"/>
      <c r="R69" s="588"/>
      <c r="S69" s="588"/>
      <c r="T69" s="588"/>
      <c r="U69" s="588"/>
      <c r="V69" s="588"/>
      <c r="W69" s="588"/>
      <c r="X69" s="588"/>
      <c r="Y69" s="588"/>
      <c r="Z69" s="588"/>
      <c r="AA69" s="588"/>
      <c r="AB69" s="588"/>
      <c r="AC69" s="588"/>
      <c r="AD69" s="588"/>
      <c r="AE69" s="588"/>
      <c r="AF69" s="588"/>
      <c r="AG69" s="588"/>
      <c r="AH69" s="588"/>
      <c r="AI69" s="588"/>
      <c r="AJ69" s="588"/>
      <c r="AK69" s="588"/>
      <c r="AL69" s="588"/>
      <c r="AM69" s="588"/>
      <c r="AN69" s="588"/>
      <c r="AO69" s="588"/>
      <c r="AP69" s="588"/>
      <c r="AQ69" s="588"/>
      <c r="AR69" s="588"/>
      <c r="AS69" s="588"/>
      <c r="AT69" s="588"/>
      <c r="AU69" s="588"/>
      <c r="AV69" s="588"/>
      <c r="AW69" s="588"/>
      <c r="AX69" s="588"/>
      <c r="AY69" s="588"/>
      <c r="AZ69" s="588"/>
      <c r="BA69" s="588"/>
      <c r="BB69" s="588"/>
      <c r="BC69" s="588"/>
      <c r="BD69" s="588"/>
      <c r="BE69" s="588"/>
      <c r="BF69" s="588"/>
      <c r="BG69" s="588"/>
    </row>
    <row r="70" spans="1:59" x14ac:dyDescent="0.35">
      <c r="A70" s="588"/>
      <c r="B70" s="588"/>
      <c r="C70" s="588"/>
      <c r="D70" s="588"/>
      <c r="E70" s="588"/>
      <c r="F70" s="588"/>
      <c r="G70" s="588"/>
      <c r="H70" s="588"/>
      <c r="I70" s="588"/>
      <c r="J70" s="588"/>
      <c r="K70" s="588"/>
      <c r="L70" s="588"/>
      <c r="M70" s="588"/>
      <c r="N70" s="588"/>
      <c r="O70" s="588"/>
      <c r="P70" s="588"/>
      <c r="Q70" s="588"/>
      <c r="R70" s="588"/>
      <c r="S70" s="588"/>
      <c r="T70" s="588"/>
      <c r="U70" s="588"/>
      <c r="V70" s="588"/>
      <c r="W70" s="588"/>
      <c r="X70" s="588"/>
      <c r="Y70" s="588"/>
      <c r="Z70" s="588"/>
      <c r="AA70" s="588"/>
      <c r="AB70" s="588"/>
      <c r="AC70" s="588"/>
      <c r="AD70" s="588"/>
      <c r="AE70" s="588"/>
      <c r="AF70" s="588"/>
      <c r="AG70" s="588"/>
      <c r="AH70" s="588"/>
      <c r="AI70" s="588"/>
      <c r="AJ70" s="588"/>
      <c r="AK70" s="588"/>
      <c r="AL70" s="588"/>
      <c r="AM70" s="588"/>
      <c r="AN70" s="588"/>
      <c r="AO70" s="588"/>
      <c r="AP70" s="588"/>
      <c r="AQ70" s="588"/>
      <c r="AR70" s="588"/>
      <c r="AS70" s="588"/>
      <c r="AT70" s="588"/>
      <c r="AU70" s="588"/>
      <c r="AV70" s="588"/>
      <c r="AW70" s="588"/>
      <c r="AX70" s="588"/>
      <c r="AY70" s="588"/>
      <c r="AZ70" s="588"/>
      <c r="BA70" s="588"/>
      <c r="BB70" s="588"/>
      <c r="BC70" s="588"/>
      <c r="BD70" s="588"/>
      <c r="BE70" s="588"/>
      <c r="BF70" s="588"/>
      <c r="BG70" s="588"/>
    </row>
    <row r="71" spans="1:59" x14ac:dyDescent="0.35">
      <c r="A71" s="588"/>
      <c r="B71" s="588"/>
      <c r="C71" s="588"/>
      <c r="D71" s="588"/>
      <c r="E71" s="588"/>
      <c r="F71" s="588"/>
      <c r="G71" s="588"/>
      <c r="H71" s="588"/>
      <c r="I71" s="588"/>
      <c r="J71" s="588"/>
      <c r="K71" s="588"/>
      <c r="L71" s="588"/>
      <c r="M71" s="588"/>
      <c r="N71" s="588"/>
      <c r="O71" s="588"/>
      <c r="P71" s="588"/>
      <c r="Q71" s="588"/>
      <c r="R71" s="588"/>
      <c r="S71" s="588"/>
      <c r="T71" s="588"/>
      <c r="U71" s="588"/>
      <c r="V71" s="588"/>
      <c r="W71" s="588"/>
      <c r="X71" s="588"/>
      <c r="Y71" s="588"/>
      <c r="Z71" s="588"/>
      <c r="AA71" s="588"/>
      <c r="AB71" s="588"/>
      <c r="AC71" s="588"/>
      <c r="AD71" s="588"/>
      <c r="AE71" s="588"/>
      <c r="AF71" s="588"/>
      <c r="AG71" s="588"/>
      <c r="AH71" s="588"/>
      <c r="AI71" s="588"/>
      <c r="AJ71" s="588"/>
      <c r="AK71" s="588"/>
      <c r="AL71" s="588"/>
      <c r="AM71" s="588"/>
      <c r="AN71" s="588"/>
      <c r="AO71" s="588"/>
      <c r="AP71" s="588"/>
      <c r="AQ71" s="588"/>
      <c r="AR71" s="588"/>
      <c r="AS71" s="588"/>
      <c r="AT71" s="588"/>
      <c r="AU71" s="588"/>
      <c r="AV71" s="588"/>
      <c r="AW71" s="588"/>
      <c r="AX71" s="588"/>
      <c r="AY71" s="588"/>
      <c r="AZ71" s="588"/>
      <c r="BA71" s="588"/>
      <c r="BB71" s="588"/>
      <c r="BC71" s="588"/>
      <c r="BD71" s="588"/>
      <c r="BE71" s="588"/>
      <c r="BF71" s="588"/>
      <c r="BG71" s="588"/>
    </row>
    <row r="72" spans="1:59" x14ac:dyDescent="0.35">
      <c r="A72" s="588"/>
      <c r="B72" s="588"/>
      <c r="C72" s="588"/>
      <c r="D72" s="588"/>
      <c r="E72" s="588"/>
      <c r="F72" s="588"/>
      <c r="G72" s="588"/>
      <c r="H72" s="588"/>
      <c r="I72" s="588"/>
      <c r="J72" s="588"/>
      <c r="K72" s="588"/>
      <c r="L72" s="588"/>
      <c r="M72" s="588"/>
      <c r="N72" s="588"/>
      <c r="O72" s="588"/>
      <c r="P72" s="588"/>
      <c r="Q72" s="588"/>
      <c r="R72" s="588"/>
      <c r="S72" s="588"/>
      <c r="T72" s="588"/>
      <c r="U72" s="588"/>
      <c r="V72" s="588"/>
      <c r="W72" s="588"/>
      <c r="X72" s="588"/>
      <c r="Y72" s="588"/>
      <c r="Z72" s="588"/>
      <c r="AA72" s="588"/>
      <c r="AB72" s="588"/>
      <c r="AC72" s="588"/>
      <c r="AD72" s="588"/>
      <c r="AE72" s="588"/>
      <c r="AF72" s="588"/>
      <c r="AG72" s="588"/>
      <c r="AH72" s="588"/>
      <c r="AI72" s="588"/>
      <c r="AJ72" s="588"/>
      <c r="AK72" s="588"/>
      <c r="AL72" s="588"/>
      <c r="AM72" s="588"/>
      <c r="AN72" s="588"/>
      <c r="AO72" s="588"/>
      <c r="AP72" s="588"/>
      <c r="AQ72" s="588"/>
      <c r="AR72" s="588"/>
      <c r="AS72" s="588"/>
      <c r="AT72" s="588"/>
      <c r="AU72" s="588"/>
      <c r="AV72" s="588"/>
      <c r="AW72" s="588"/>
      <c r="AX72" s="588"/>
      <c r="AY72" s="588"/>
      <c r="AZ72" s="588"/>
      <c r="BA72" s="588"/>
      <c r="BB72" s="588"/>
      <c r="BC72" s="588"/>
      <c r="BD72" s="588"/>
      <c r="BE72" s="588"/>
      <c r="BF72" s="588"/>
      <c r="BG72" s="588"/>
    </row>
  </sheetData>
  <mergeCells count="3">
    <mergeCell ref="C9:D9"/>
    <mergeCell ref="B15:M15"/>
    <mergeCell ref="N15:U15"/>
  </mergeCell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FFC000"/>
  </sheetPr>
  <dimension ref="A1:BF97"/>
  <sheetViews>
    <sheetView workbookViewId="0">
      <selection activeCell="K20" sqref="K20"/>
    </sheetView>
  </sheetViews>
  <sheetFormatPr defaultColWidth="8.7265625" defaultRowHeight="15.5" x14ac:dyDescent="0.35"/>
  <cols>
    <col min="1" max="1" width="8.7265625" style="482"/>
    <col min="2" max="2" width="15.453125" style="482" customWidth="1"/>
    <col min="3" max="3" width="11.81640625" style="482" customWidth="1"/>
    <col min="4" max="4" width="3" style="482" customWidth="1"/>
    <col min="5" max="5" width="11.54296875" style="482" customWidth="1"/>
    <col min="6" max="6" width="3.1796875" style="482" customWidth="1"/>
    <col min="7" max="7" width="9.7265625" style="482" bestFit="1" customWidth="1"/>
    <col min="8" max="8" width="3.54296875" style="482" customWidth="1"/>
    <col min="9" max="9" width="9.453125" style="482" bestFit="1" customWidth="1"/>
    <col min="10" max="10" width="3.1796875" style="482" customWidth="1"/>
    <col min="11" max="11" width="9.26953125" style="482" bestFit="1" customWidth="1"/>
    <col min="12" max="12" width="3.54296875" style="482" customWidth="1"/>
    <col min="13" max="13" width="11.54296875" style="482" customWidth="1"/>
    <col min="14" max="14" width="3.1796875" style="482" customWidth="1"/>
    <col min="15" max="15" width="6.54296875" style="482" customWidth="1"/>
    <col min="16" max="16" width="3.54296875" style="482" customWidth="1"/>
    <col min="17" max="17" width="8.453125" style="482" customWidth="1"/>
    <col min="18" max="18" width="3" style="482" customWidth="1"/>
    <col min="19" max="19" width="12.1796875" style="482" customWidth="1"/>
    <col min="20" max="20" width="3.54296875" style="482" customWidth="1"/>
    <col min="21" max="21" width="12.81640625" style="482" customWidth="1"/>
    <col min="22" max="24" width="9.81640625" style="482" customWidth="1"/>
    <col min="25" max="16384" width="8.7265625" style="482"/>
  </cols>
  <sheetData>
    <row r="1" spans="1:58" ht="23" x14ac:dyDescent="0.5">
      <c r="A1" s="675" t="s">
        <v>1506</v>
      </c>
      <c r="B1" s="676"/>
      <c r="C1" s="676"/>
      <c r="D1" s="676"/>
      <c r="E1" s="676"/>
      <c r="F1" s="676"/>
      <c r="G1" s="676"/>
      <c r="H1" s="676"/>
      <c r="I1" s="676"/>
      <c r="J1" s="676"/>
      <c r="K1" s="676"/>
      <c r="L1" s="676"/>
      <c r="M1" s="676"/>
      <c r="N1" s="676"/>
      <c r="O1" s="676"/>
      <c r="P1" s="676"/>
      <c r="Q1" s="676"/>
      <c r="R1" s="676"/>
      <c r="S1" s="677" t="s">
        <v>1507</v>
      </c>
      <c r="T1" s="678"/>
      <c r="U1" s="679"/>
      <c r="V1" s="588"/>
      <c r="W1" s="588"/>
      <c r="X1" s="588"/>
      <c r="Y1" s="588"/>
      <c r="Z1" s="588"/>
      <c r="AA1" s="588"/>
      <c r="AB1" s="588"/>
      <c r="AC1" s="588"/>
      <c r="AD1" s="588"/>
      <c r="AE1" s="588"/>
      <c r="AF1" s="588"/>
      <c r="AG1" s="588"/>
      <c r="AH1" s="588"/>
      <c r="AI1" s="588"/>
      <c r="AJ1" s="588"/>
      <c r="AK1" s="588"/>
      <c r="AL1" s="588"/>
      <c r="AM1" s="588"/>
      <c r="AN1" s="588"/>
      <c r="AO1" s="588"/>
      <c r="AP1" s="588"/>
      <c r="AQ1" s="588"/>
      <c r="AR1" s="588"/>
      <c r="AS1" s="588"/>
      <c r="AT1" s="588"/>
      <c r="AU1" s="588"/>
      <c r="AV1" s="588"/>
      <c r="AW1" s="588"/>
      <c r="AX1" s="588"/>
      <c r="AY1" s="588"/>
      <c r="AZ1" s="588"/>
      <c r="BA1" s="588"/>
      <c r="BB1" s="588"/>
      <c r="BC1" s="588"/>
      <c r="BD1" s="588"/>
      <c r="BE1" s="588"/>
      <c r="BF1" s="588"/>
    </row>
    <row r="2" spans="1:58" s="595" customFormat="1" ht="25" thickBot="1" x14ac:dyDescent="0.75">
      <c r="A2" s="680" t="s">
        <v>1462</v>
      </c>
      <c r="B2" s="681"/>
      <c r="C2" s="681"/>
      <c r="D2" s="681"/>
      <c r="E2" s="681"/>
      <c r="F2" s="682"/>
      <c r="G2" s="681"/>
      <c r="H2" s="681"/>
      <c r="I2" s="681"/>
      <c r="J2" s="681"/>
      <c r="K2" s="681"/>
      <c r="L2" s="681"/>
      <c r="M2" s="681"/>
      <c r="N2" s="681"/>
      <c r="O2" s="681"/>
      <c r="P2" s="681"/>
      <c r="Q2" s="681"/>
      <c r="R2" s="681"/>
      <c r="S2" s="681"/>
      <c r="T2" s="683"/>
      <c r="U2" s="594"/>
      <c r="V2" s="684"/>
      <c r="W2" s="594"/>
      <c r="X2" s="594"/>
      <c r="Y2" s="594"/>
      <c r="Z2" s="594"/>
      <c r="AA2" s="594"/>
      <c r="AB2" s="594"/>
      <c r="AC2" s="594"/>
      <c r="AD2" s="594"/>
      <c r="AE2" s="594"/>
      <c r="AF2" s="594"/>
      <c r="AG2" s="594"/>
      <c r="AH2" s="594"/>
      <c r="AI2" s="594"/>
      <c r="AJ2" s="594"/>
      <c r="AK2" s="594"/>
      <c r="AL2" s="594"/>
      <c r="AM2" s="594"/>
      <c r="AN2" s="594"/>
      <c r="AO2" s="594"/>
      <c r="AP2" s="594"/>
      <c r="AQ2" s="594"/>
      <c r="AR2" s="594"/>
      <c r="AS2" s="594"/>
      <c r="AT2" s="594"/>
      <c r="AU2" s="594"/>
      <c r="AV2" s="594"/>
      <c r="AW2" s="594"/>
      <c r="AX2" s="594"/>
      <c r="AY2" s="594"/>
      <c r="AZ2" s="594"/>
      <c r="BA2" s="594"/>
      <c r="BB2" s="594"/>
      <c r="BC2" s="594"/>
      <c r="BD2" s="594"/>
      <c r="BE2" s="594"/>
      <c r="BF2" s="594"/>
    </row>
    <row r="3" spans="1:58" s="595" customFormat="1" ht="21.75" customHeight="1" x14ac:dyDescent="0.5">
      <c r="A3" s="601" t="s">
        <v>1463</v>
      </c>
      <c r="B3" s="602"/>
      <c r="C3" s="602"/>
      <c r="D3" s="602"/>
      <c r="E3" s="602"/>
      <c r="F3" s="603"/>
      <c r="G3" s="602"/>
      <c r="H3" s="602"/>
      <c r="I3" s="602"/>
      <c r="J3" s="602"/>
      <c r="K3" s="602"/>
      <c r="L3" s="602"/>
      <c r="M3" s="602"/>
      <c r="N3" s="602"/>
      <c r="O3" s="602"/>
      <c r="P3" s="602"/>
      <c r="Q3" s="602"/>
      <c r="R3" s="602"/>
      <c r="S3" s="602"/>
      <c r="T3" s="604"/>
      <c r="U3" s="594"/>
      <c r="V3" s="684"/>
      <c r="W3" s="594"/>
      <c r="X3" s="594"/>
      <c r="Y3" s="594"/>
      <c r="Z3" s="594"/>
      <c r="AA3" s="594"/>
      <c r="AB3" s="594"/>
      <c r="AC3" s="594"/>
      <c r="AD3" s="594"/>
      <c r="AE3" s="594"/>
      <c r="AF3" s="594"/>
      <c r="AG3" s="594"/>
      <c r="AH3" s="594"/>
      <c r="AI3" s="594"/>
      <c r="AJ3" s="594"/>
      <c r="AK3" s="594"/>
      <c r="AL3" s="594"/>
      <c r="AM3" s="594"/>
      <c r="AN3" s="594"/>
      <c r="AO3" s="594"/>
      <c r="AP3" s="594"/>
      <c r="AQ3" s="594"/>
      <c r="AR3" s="594"/>
      <c r="AS3" s="594"/>
      <c r="AT3" s="594"/>
      <c r="AU3" s="594"/>
      <c r="AV3" s="594"/>
      <c r="AW3" s="594"/>
      <c r="AX3" s="594"/>
      <c r="AY3" s="594"/>
      <c r="AZ3" s="594"/>
      <c r="BA3" s="594"/>
      <c r="BB3" s="594"/>
      <c r="BC3" s="594"/>
      <c r="BD3" s="594"/>
      <c r="BE3" s="594"/>
      <c r="BF3" s="594"/>
    </row>
    <row r="4" spans="1:58" x14ac:dyDescent="0.35">
      <c r="A4" s="685"/>
      <c r="B4" s="686"/>
      <c r="C4" s="686"/>
      <c r="D4" s="686"/>
      <c r="E4" s="686"/>
      <c r="F4" s="686"/>
      <c r="G4" s="686"/>
      <c r="H4" s="686"/>
      <c r="I4" s="686"/>
      <c r="J4" s="686"/>
      <c r="K4" s="686"/>
      <c r="L4" s="686"/>
      <c r="M4" s="686"/>
      <c r="N4" s="686"/>
      <c r="O4" s="686"/>
      <c r="P4" s="686"/>
      <c r="Q4" s="686"/>
      <c r="R4" s="686"/>
      <c r="S4" s="686"/>
      <c r="T4" s="687"/>
      <c r="U4" s="588"/>
      <c r="V4" s="588"/>
      <c r="W4" s="588"/>
      <c r="X4" s="588"/>
      <c r="Y4" s="588"/>
      <c r="Z4" s="588"/>
      <c r="AA4" s="588"/>
      <c r="AB4" s="588"/>
      <c r="AC4" s="588"/>
      <c r="AD4" s="588"/>
      <c r="AE4" s="588"/>
      <c r="AF4" s="588"/>
      <c r="AG4" s="588"/>
      <c r="AH4" s="588"/>
      <c r="AI4" s="588"/>
      <c r="AJ4" s="588"/>
      <c r="AK4" s="588"/>
      <c r="AL4" s="588"/>
      <c r="AM4" s="588"/>
      <c r="AN4" s="588"/>
      <c r="AO4" s="588"/>
      <c r="AP4" s="588"/>
      <c r="AQ4" s="588"/>
      <c r="AR4" s="588"/>
      <c r="AS4" s="588"/>
      <c r="AT4" s="588"/>
      <c r="AU4" s="588"/>
      <c r="AV4" s="588"/>
      <c r="AW4" s="588"/>
      <c r="AX4" s="588"/>
      <c r="AY4" s="588"/>
      <c r="AZ4" s="588"/>
      <c r="BA4" s="588"/>
      <c r="BB4" s="588"/>
      <c r="BC4" s="588"/>
      <c r="BD4" s="588"/>
      <c r="BE4" s="588"/>
      <c r="BF4" s="588"/>
    </row>
    <row r="5" spans="1:58" s="595" customFormat="1" ht="21.75" customHeight="1" thickBot="1" x14ac:dyDescent="0.55000000000000004">
      <c r="A5" s="685" t="s">
        <v>1464</v>
      </c>
      <c r="B5" s="606"/>
      <c r="C5" s="606"/>
      <c r="D5" s="606"/>
      <c r="E5" s="606"/>
      <c r="F5" s="607"/>
      <c r="G5" s="606"/>
      <c r="H5" s="606"/>
      <c r="I5" s="606"/>
      <c r="J5" s="606"/>
      <c r="K5" s="606"/>
      <c r="L5" s="606"/>
      <c r="M5" s="606"/>
      <c r="N5" s="606"/>
      <c r="O5" s="606"/>
      <c r="P5" s="606"/>
      <c r="Q5" s="606"/>
      <c r="R5" s="606"/>
      <c r="S5" s="606"/>
      <c r="T5" s="608"/>
      <c r="U5" s="594"/>
      <c r="V5" s="684"/>
      <c r="W5" s="594"/>
      <c r="X5" s="594"/>
      <c r="Y5" s="594"/>
      <c r="Z5" s="594"/>
      <c r="AA5" s="594"/>
      <c r="AB5" s="594"/>
      <c r="AC5" s="594"/>
      <c r="AD5" s="594"/>
      <c r="AE5" s="594"/>
      <c r="AF5" s="594"/>
      <c r="AG5" s="594"/>
      <c r="AH5" s="594"/>
      <c r="AI5" s="594"/>
      <c r="AJ5" s="594"/>
      <c r="AK5" s="594"/>
      <c r="AL5" s="594"/>
      <c r="AM5" s="594"/>
      <c r="AN5" s="594"/>
      <c r="AO5" s="594"/>
      <c r="AP5" s="594"/>
      <c r="AQ5" s="594"/>
      <c r="AR5" s="594"/>
      <c r="AS5" s="594"/>
      <c r="AT5" s="594"/>
      <c r="AU5" s="594"/>
      <c r="AV5" s="594"/>
      <c r="AW5" s="594"/>
      <c r="AX5" s="594"/>
      <c r="AY5" s="594"/>
      <c r="AZ5" s="594"/>
      <c r="BA5" s="594"/>
      <c r="BB5" s="594"/>
      <c r="BC5" s="594"/>
      <c r="BD5" s="594"/>
      <c r="BE5" s="594"/>
      <c r="BF5" s="594"/>
    </row>
    <row r="6" spans="1:58" s="595" customFormat="1" ht="21.75" customHeight="1" thickBot="1" x14ac:dyDescent="0.55000000000000004">
      <c r="A6" s="613" t="s">
        <v>1465</v>
      </c>
      <c r="B6" s="614"/>
      <c r="C6" s="614"/>
      <c r="D6" s="614"/>
      <c r="E6" s="614"/>
      <c r="F6" s="614"/>
      <c r="G6" s="614"/>
      <c r="H6" s="614"/>
      <c r="I6" s="614"/>
      <c r="J6" s="614"/>
      <c r="K6" s="614"/>
      <c r="L6" s="614"/>
      <c r="M6" s="614"/>
      <c r="N6" s="614"/>
      <c r="O6" s="614"/>
      <c r="P6" s="614"/>
      <c r="Q6" s="614"/>
      <c r="R6" s="614"/>
      <c r="S6" s="614"/>
      <c r="T6" s="615"/>
      <c r="U6" s="594"/>
      <c r="V6" s="688" t="s">
        <v>1399</v>
      </c>
      <c r="W6" s="689">
        <v>1</v>
      </c>
      <c r="X6" s="690">
        <v>2</v>
      </c>
      <c r="Y6" s="594"/>
      <c r="Z6" s="594"/>
      <c r="AA6" s="594"/>
      <c r="AB6" s="594"/>
      <c r="AC6" s="594"/>
      <c r="AD6" s="594"/>
      <c r="AE6" s="594"/>
      <c r="AF6" s="594"/>
      <c r="AG6" s="594"/>
      <c r="AH6" s="594"/>
      <c r="AI6" s="594"/>
      <c r="AJ6" s="594"/>
      <c r="AK6" s="594"/>
      <c r="AL6" s="594"/>
      <c r="AM6" s="594"/>
      <c r="AN6" s="594"/>
      <c r="AO6" s="594"/>
      <c r="AP6" s="594"/>
      <c r="AQ6" s="594"/>
      <c r="AR6" s="594"/>
      <c r="AS6" s="594"/>
      <c r="AT6" s="594"/>
      <c r="AU6" s="594"/>
      <c r="AV6" s="594"/>
      <c r="AW6" s="594"/>
      <c r="AX6" s="594"/>
      <c r="AY6" s="594"/>
      <c r="AZ6" s="594"/>
      <c r="BA6" s="594"/>
      <c r="BB6" s="594"/>
      <c r="BC6" s="594"/>
      <c r="BD6" s="594"/>
      <c r="BE6" s="594"/>
      <c r="BF6" s="594"/>
    </row>
    <row r="7" spans="1:58" s="627" customFormat="1" x14ac:dyDescent="0.45">
      <c r="A7" s="691"/>
      <c r="B7" s="1580" t="s">
        <v>1404</v>
      </c>
      <c r="C7" s="1580"/>
      <c r="D7" s="692"/>
      <c r="E7" s="693" t="s">
        <v>1468</v>
      </c>
      <c r="F7" s="692"/>
      <c r="G7" s="692"/>
      <c r="H7" s="692"/>
      <c r="I7" s="692"/>
      <c r="J7" s="692"/>
      <c r="K7" s="692"/>
      <c r="L7" s="692"/>
      <c r="M7" s="692"/>
      <c r="N7" s="694" t="s">
        <v>1469</v>
      </c>
      <c r="O7" s="695"/>
      <c r="P7" s="695"/>
      <c r="Q7" s="696"/>
      <c r="R7" s="696"/>
      <c r="S7" s="696"/>
      <c r="T7" s="697"/>
      <c r="U7" s="626"/>
      <c r="V7" s="698">
        <v>0</v>
      </c>
      <c r="W7" s="699">
        <v>0</v>
      </c>
      <c r="X7" s="700">
        <v>0</v>
      </c>
      <c r="Y7" s="626"/>
      <c r="Z7" s="626"/>
      <c r="AA7" s="626"/>
      <c r="AB7" s="626"/>
      <c r="AC7" s="626"/>
      <c r="AD7" s="626"/>
      <c r="AE7" s="626"/>
      <c r="AF7" s="626"/>
      <c r="AG7" s="626"/>
      <c r="AH7" s="626"/>
      <c r="AI7" s="626"/>
      <c r="AJ7" s="626"/>
      <c r="AK7" s="626"/>
      <c r="AL7" s="626"/>
      <c r="AM7" s="626"/>
      <c r="AN7" s="626"/>
      <c r="AO7" s="626"/>
      <c r="AP7" s="626"/>
      <c r="AQ7" s="626"/>
      <c r="AR7" s="626"/>
      <c r="AS7" s="626"/>
      <c r="AT7" s="626"/>
      <c r="AU7" s="626"/>
      <c r="AV7" s="626"/>
      <c r="AW7" s="626"/>
      <c r="AX7" s="626"/>
      <c r="AY7" s="626"/>
      <c r="AZ7" s="626"/>
      <c r="BA7" s="626"/>
      <c r="BB7" s="626"/>
      <c r="BC7" s="626"/>
      <c r="BD7" s="626"/>
      <c r="BE7" s="626"/>
      <c r="BF7" s="626"/>
    </row>
    <row r="8" spans="1:58" s="627" customFormat="1" x14ac:dyDescent="0.45">
      <c r="A8" s="698"/>
      <c r="B8" s="699" t="s">
        <v>1399</v>
      </c>
      <c r="C8" s="699">
        <f>V8</f>
        <v>6240</v>
      </c>
      <c r="D8" s="699"/>
      <c r="E8" s="701" t="s">
        <v>1470</v>
      </c>
      <c r="F8" s="699"/>
      <c r="G8" s="699"/>
      <c r="H8" s="699"/>
      <c r="I8" s="699"/>
      <c r="J8" s="699"/>
      <c r="K8" s="699"/>
      <c r="L8" s="699"/>
      <c r="M8" s="699"/>
      <c r="N8" s="699"/>
      <c r="O8" s="699"/>
      <c r="P8" s="699"/>
      <c r="Q8" s="699"/>
      <c r="R8" s="699"/>
      <c r="S8" s="699"/>
      <c r="T8" s="700"/>
      <c r="U8" s="702" t="s">
        <v>1402</v>
      </c>
      <c r="V8" s="698">
        <v>6240</v>
      </c>
      <c r="W8" s="703">
        <v>0</v>
      </c>
      <c r="X8" s="704">
        <v>0</v>
      </c>
      <c r="Y8" s="626"/>
      <c r="Z8" s="626"/>
      <c r="AA8" s="626"/>
      <c r="AB8" s="626"/>
      <c r="AC8" s="626"/>
      <c r="AD8" s="626"/>
      <c r="AE8" s="626"/>
      <c r="AF8" s="626"/>
      <c r="AG8" s="626"/>
      <c r="AH8" s="626"/>
      <c r="AI8" s="626"/>
      <c r="AJ8" s="626"/>
      <c r="AK8" s="626"/>
      <c r="AL8" s="626"/>
      <c r="AM8" s="626"/>
      <c r="AN8" s="626"/>
      <c r="AO8" s="626"/>
      <c r="AP8" s="626"/>
      <c r="AQ8" s="626"/>
      <c r="AR8" s="626"/>
      <c r="AS8" s="626"/>
      <c r="AT8" s="626"/>
      <c r="AU8" s="626"/>
      <c r="AV8" s="626"/>
      <c r="AW8" s="626"/>
      <c r="AX8" s="626"/>
      <c r="AY8" s="626"/>
      <c r="AZ8" s="626"/>
      <c r="BA8" s="626"/>
      <c r="BB8" s="626"/>
      <c r="BC8" s="626"/>
      <c r="BD8" s="626"/>
      <c r="BE8" s="626"/>
      <c r="BF8" s="626"/>
    </row>
    <row r="9" spans="1:58" s="627" customFormat="1" x14ac:dyDescent="0.45">
      <c r="A9" s="698" t="s">
        <v>1402</v>
      </c>
      <c r="B9" s="699">
        <f>V8</f>
        <v>6240</v>
      </c>
      <c r="C9" s="699">
        <f>V9</f>
        <v>8788</v>
      </c>
      <c r="D9" s="699"/>
      <c r="E9" s="699">
        <f>V8</f>
        <v>6240</v>
      </c>
      <c r="F9" s="705" t="s">
        <v>1472</v>
      </c>
      <c r="G9" s="706">
        <f>$W$8*100</f>
        <v>0</v>
      </c>
      <c r="H9" s="705" t="s">
        <v>1473</v>
      </c>
      <c r="I9" s="699" t="s">
        <v>861</v>
      </c>
      <c r="J9" s="699"/>
      <c r="K9" s="699"/>
      <c r="L9" s="699"/>
      <c r="M9" s="699"/>
      <c r="N9" s="699"/>
      <c r="O9" s="699"/>
      <c r="P9" s="699"/>
      <c r="Q9" s="707" t="s">
        <v>1508</v>
      </c>
      <c r="R9" s="699"/>
      <c r="S9" s="706">
        <f>$X$8*100</f>
        <v>0</v>
      </c>
      <c r="T9" s="708" t="s">
        <v>1473</v>
      </c>
      <c r="U9" s="702" t="s">
        <v>1407</v>
      </c>
      <c r="V9" s="698">
        <v>8788</v>
      </c>
      <c r="W9" s="703">
        <v>0</v>
      </c>
      <c r="X9" s="704">
        <v>0</v>
      </c>
      <c r="Y9" s="626"/>
      <c r="Z9" s="626"/>
      <c r="AA9" s="626"/>
      <c r="AB9" s="626"/>
      <c r="AC9" s="626"/>
      <c r="AD9" s="626"/>
      <c r="AE9" s="626"/>
      <c r="AF9" s="626"/>
      <c r="AG9" s="626"/>
      <c r="AH9" s="626"/>
      <c r="AI9" s="626"/>
      <c r="AJ9" s="626"/>
      <c r="AK9" s="626"/>
      <c r="AL9" s="626"/>
      <c r="AM9" s="626"/>
      <c r="AN9" s="626"/>
      <c r="AO9" s="626"/>
      <c r="AP9" s="626"/>
      <c r="AQ9" s="626"/>
      <c r="AR9" s="626"/>
      <c r="AS9" s="626"/>
      <c r="AT9" s="626"/>
      <c r="AU9" s="626"/>
      <c r="AV9" s="626"/>
      <c r="AW9" s="626"/>
      <c r="AX9" s="626"/>
      <c r="AY9" s="626"/>
      <c r="AZ9" s="626"/>
      <c r="BA9" s="626"/>
      <c r="BB9" s="626"/>
      <c r="BC9" s="626"/>
      <c r="BD9" s="626"/>
      <c r="BE9" s="626"/>
      <c r="BF9" s="626"/>
    </row>
    <row r="10" spans="1:58" s="627" customFormat="1" x14ac:dyDescent="0.45">
      <c r="A10" s="698" t="s">
        <v>1509</v>
      </c>
      <c r="B10" s="699">
        <f>V9</f>
        <v>8788</v>
      </c>
      <c r="C10" s="699">
        <f>V10</f>
        <v>50000</v>
      </c>
      <c r="D10" s="699"/>
      <c r="E10" s="699">
        <f>V8</f>
        <v>6240</v>
      </c>
      <c r="F10" s="705" t="s">
        <v>1472</v>
      </c>
      <c r="G10" s="706">
        <f>$W$9*100</f>
        <v>0</v>
      </c>
      <c r="H10" s="705" t="s">
        <v>1473</v>
      </c>
      <c r="I10" s="699">
        <f>+V9-V8</f>
        <v>2548</v>
      </c>
      <c r="J10" s="709" t="s">
        <v>1472</v>
      </c>
      <c r="K10" s="710">
        <f>+$X$8*100</f>
        <v>0</v>
      </c>
      <c r="L10" s="709" t="s">
        <v>1473</v>
      </c>
      <c r="M10" s="699"/>
      <c r="N10" s="699"/>
      <c r="O10" s="699"/>
      <c r="P10" s="699"/>
      <c r="Q10" s="707" t="s">
        <v>1508</v>
      </c>
      <c r="R10" s="699"/>
      <c r="S10" s="706">
        <f>$X$9*100</f>
        <v>0</v>
      </c>
      <c r="T10" s="708" t="s">
        <v>1473</v>
      </c>
      <c r="U10" s="702" t="s">
        <v>1510</v>
      </c>
      <c r="V10" s="698">
        <v>50000</v>
      </c>
      <c r="W10" s="703">
        <v>0</v>
      </c>
      <c r="X10" s="704">
        <v>0.13800000000000001</v>
      </c>
      <c r="Y10" s="626"/>
      <c r="Z10" s="626"/>
      <c r="AA10" s="626"/>
      <c r="AB10" s="626"/>
      <c r="AC10" s="626"/>
      <c r="AD10" s="626"/>
      <c r="AE10" s="626"/>
      <c r="AF10" s="626"/>
      <c r="AG10" s="626"/>
      <c r="AH10" s="626"/>
      <c r="AI10" s="626"/>
      <c r="AJ10" s="626"/>
      <c r="AK10" s="626"/>
      <c r="AL10" s="626"/>
      <c r="AM10" s="626"/>
      <c r="AN10" s="626"/>
      <c r="AO10" s="626"/>
      <c r="AP10" s="626"/>
      <c r="AQ10" s="626"/>
      <c r="AR10" s="626"/>
      <c r="AS10" s="626"/>
      <c r="AT10" s="626"/>
      <c r="AU10" s="626"/>
      <c r="AV10" s="626"/>
      <c r="AW10" s="626"/>
      <c r="AX10" s="626"/>
      <c r="AY10" s="626"/>
      <c r="AZ10" s="626"/>
      <c r="BA10" s="626"/>
      <c r="BB10" s="626"/>
      <c r="BC10" s="626"/>
      <c r="BD10" s="626"/>
      <c r="BE10" s="626"/>
      <c r="BF10" s="626"/>
    </row>
    <row r="11" spans="1:58" s="627" customFormat="1" ht="16" thickBot="1" x14ac:dyDescent="0.5">
      <c r="A11" s="711" t="s">
        <v>1510</v>
      </c>
      <c r="B11" s="712">
        <f>V10</f>
        <v>50000</v>
      </c>
      <c r="C11" s="712" t="s">
        <v>1471</v>
      </c>
      <c r="D11" s="712"/>
      <c r="E11" s="712">
        <f>V8</f>
        <v>6240</v>
      </c>
      <c r="F11" s="713" t="s">
        <v>1472</v>
      </c>
      <c r="G11" s="714">
        <f>$W$10*100</f>
        <v>0</v>
      </c>
      <c r="H11" s="713" t="s">
        <v>1473</v>
      </c>
      <c r="I11" s="712">
        <f>+V9-V8</f>
        <v>2548</v>
      </c>
      <c r="J11" s="715" t="s">
        <v>1472</v>
      </c>
      <c r="K11" s="716">
        <f>+$X$8*100</f>
        <v>0</v>
      </c>
      <c r="L11" s="715" t="s">
        <v>1473</v>
      </c>
      <c r="M11" s="712">
        <v>50000</v>
      </c>
      <c r="N11" s="712" t="s">
        <v>1472</v>
      </c>
      <c r="O11" s="716">
        <f>+X9*100</f>
        <v>0</v>
      </c>
      <c r="P11" s="712" t="s">
        <v>1473</v>
      </c>
      <c r="Q11" s="717" t="s">
        <v>1508</v>
      </c>
      <c r="R11" s="712"/>
      <c r="S11" s="714">
        <f>$X$10*100</f>
        <v>13.8</v>
      </c>
      <c r="T11" s="718" t="s">
        <v>1473</v>
      </c>
      <c r="U11" s="626"/>
      <c r="V11" s="698"/>
      <c r="W11" s="703"/>
      <c r="X11" s="704"/>
      <c r="Y11" s="626"/>
      <c r="Z11" s="626"/>
      <c r="AA11" s="626"/>
      <c r="AB11" s="626"/>
      <c r="AC11" s="626"/>
      <c r="AD11" s="626"/>
      <c r="AE11" s="626"/>
      <c r="AF11" s="626"/>
      <c r="AG11" s="626"/>
      <c r="AH11" s="626"/>
      <c r="AI11" s="626"/>
      <c r="AJ11" s="626"/>
      <c r="AK11" s="626"/>
      <c r="AL11" s="626"/>
      <c r="AM11" s="626"/>
      <c r="AN11" s="626"/>
      <c r="AO11" s="626"/>
      <c r="AP11" s="626"/>
      <c r="AQ11" s="626"/>
      <c r="AR11" s="626"/>
      <c r="AS11" s="626"/>
      <c r="AT11" s="626"/>
      <c r="AU11" s="626"/>
      <c r="AV11" s="626"/>
      <c r="AW11" s="626"/>
      <c r="AX11" s="626"/>
      <c r="AY11" s="626"/>
      <c r="AZ11" s="626"/>
      <c r="BA11" s="626"/>
      <c r="BB11" s="626"/>
      <c r="BC11" s="626"/>
      <c r="BD11" s="626"/>
      <c r="BE11" s="626"/>
      <c r="BF11" s="626"/>
    </row>
    <row r="12" spans="1:58" s="627" customFormat="1" ht="16" thickBot="1" x14ac:dyDescent="0.5">
      <c r="A12" s="719"/>
      <c r="B12" s="720"/>
      <c r="C12" s="720"/>
      <c r="D12" s="721"/>
      <c r="E12" s="720"/>
      <c r="F12" s="721"/>
      <c r="G12" s="720"/>
      <c r="H12" s="721"/>
      <c r="I12" s="720"/>
      <c r="J12" s="721"/>
      <c r="K12" s="720"/>
      <c r="L12" s="721"/>
      <c r="M12" s="721"/>
      <c r="N12" s="721"/>
      <c r="O12" s="721"/>
      <c r="P12" s="721"/>
      <c r="Q12" s="721"/>
      <c r="R12" s="721"/>
      <c r="S12" s="721"/>
      <c r="T12" s="721"/>
      <c r="U12" s="626"/>
      <c r="V12" s="722" t="s">
        <v>1410</v>
      </c>
      <c r="W12" s="723">
        <v>0.249</v>
      </c>
      <c r="X12" s="724"/>
      <c r="Y12" s="626"/>
      <c r="Z12" s="626"/>
      <c r="AA12" s="626"/>
      <c r="AB12" s="626"/>
      <c r="AC12" s="626"/>
      <c r="AD12" s="626"/>
      <c r="AE12" s="626"/>
      <c r="AF12" s="626"/>
      <c r="AG12" s="626"/>
      <c r="AH12" s="626"/>
      <c r="AI12" s="626"/>
      <c r="AJ12" s="626"/>
      <c r="AK12" s="626"/>
      <c r="AL12" s="626"/>
      <c r="AM12" s="626"/>
      <c r="AN12" s="626"/>
      <c r="AO12" s="626"/>
      <c r="AP12" s="626"/>
      <c r="AQ12" s="626"/>
      <c r="AR12" s="626"/>
      <c r="AS12" s="626"/>
      <c r="AT12" s="626"/>
      <c r="AU12" s="626"/>
      <c r="AV12" s="626"/>
      <c r="AW12" s="626"/>
      <c r="AX12" s="626"/>
      <c r="AY12" s="626"/>
      <c r="AZ12" s="626"/>
      <c r="BA12" s="626"/>
      <c r="BB12" s="626"/>
      <c r="BC12" s="626"/>
      <c r="BD12" s="626"/>
      <c r="BE12" s="626"/>
      <c r="BF12" s="626"/>
    </row>
    <row r="13" spans="1:58" ht="16" customHeight="1" thickTop="1" x14ac:dyDescent="0.35">
      <c r="A13" s="725"/>
      <c r="B13" s="726"/>
      <c r="C13" s="726"/>
      <c r="D13" s="727"/>
      <c r="E13" s="728" t="s">
        <v>1475</v>
      </c>
      <c r="F13" s="590"/>
      <c r="G13" s="728"/>
      <c r="H13" s="590"/>
      <c r="I13" s="728"/>
      <c r="J13" s="590"/>
      <c r="K13" s="728"/>
      <c r="L13" s="727"/>
      <c r="M13" s="729" t="s">
        <v>1476</v>
      </c>
      <c r="N13" s="730"/>
      <c r="O13" s="730"/>
      <c r="P13" s="730"/>
      <c r="Q13" s="730"/>
      <c r="R13" s="730"/>
      <c r="S13" s="730"/>
      <c r="T13" s="731"/>
      <c r="U13" s="588"/>
      <c r="V13" s="588"/>
      <c r="W13" s="658"/>
      <c r="X13" s="588"/>
      <c r="Y13" s="588"/>
      <c r="Z13" s="588"/>
      <c r="AA13" s="588"/>
      <c r="AB13" s="588"/>
      <c r="AC13" s="588"/>
      <c r="AD13" s="588"/>
      <c r="AE13" s="588"/>
      <c r="AF13" s="588"/>
      <c r="AG13" s="588"/>
      <c r="AH13" s="588"/>
      <c r="AI13" s="588"/>
      <c r="AJ13" s="588"/>
      <c r="AK13" s="588"/>
      <c r="AL13" s="588"/>
      <c r="AM13" s="588"/>
      <c r="AN13" s="588"/>
      <c r="AO13" s="588"/>
      <c r="AP13" s="588"/>
      <c r="AQ13" s="588"/>
      <c r="AR13" s="588"/>
      <c r="AS13" s="588"/>
      <c r="AT13" s="588"/>
      <c r="AU13" s="588"/>
      <c r="AV13" s="588"/>
      <c r="AW13" s="588"/>
      <c r="AX13" s="588"/>
      <c r="AY13" s="588"/>
      <c r="AZ13" s="588"/>
      <c r="BA13" s="588"/>
      <c r="BB13" s="588"/>
      <c r="BC13" s="588"/>
      <c r="BD13" s="588"/>
      <c r="BE13" s="588"/>
      <c r="BF13" s="588"/>
    </row>
    <row r="14" spans="1:58" ht="16" customHeight="1" x14ac:dyDescent="0.35">
      <c r="A14" s="1581" t="s">
        <v>1511</v>
      </c>
      <c r="B14" s="1582"/>
      <c r="C14" s="648" t="s">
        <v>1415</v>
      </c>
      <c r="D14" s="648"/>
      <c r="E14" s="649" t="s">
        <v>1478</v>
      </c>
      <c r="F14" s="648"/>
      <c r="G14" s="649" t="s">
        <v>1417</v>
      </c>
      <c r="H14" s="648"/>
      <c r="I14" s="649" t="s">
        <v>1410</v>
      </c>
      <c r="J14" s="648"/>
      <c r="K14" s="649" t="s">
        <v>1479</v>
      </c>
      <c r="L14" s="650"/>
      <c r="M14" s="651" t="s">
        <v>1478</v>
      </c>
      <c r="N14" s="648"/>
      <c r="O14" s="648"/>
      <c r="P14" s="648"/>
      <c r="Q14" s="649" t="s">
        <v>1417</v>
      </c>
      <c r="R14" s="648"/>
      <c r="S14" s="652" t="s">
        <v>1479</v>
      </c>
      <c r="T14" s="732"/>
      <c r="U14" s="588"/>
      <c r="V14" s="588"/>
      <c r="W14" s="658"/>
      <c r="X14" s="588"/>
      <c r="Y14" s="588"/>
      <c r="Z14" s="588"/>
      <c r="AA14" s="588"/>
      <c r="AB14" s="588"/>
      <c r="AC14" s="588"/>
      <c r="AD14" s="588"/>
      <c r="AE14" s="588"/>
      <c r="AF14" s="588"/>
      <c r="AG14" s="588"/>
      <c r="AH14" s="588"/>
      <c r="AI14" s="588"/>
      <c r="AJ14" s="588"/>
      <c r="AK14" s="588"/>
      <c r="AL14" s="588"/>
      <c r="AM14" s="588"/>
      <c r="AN14" s="588"/>
      <c r="AO14" s="588"/>
      <c r="AP14" s="588"/>
      <c r="AQ14" s="588"/>
      <c r="AR14" s="588"/>
      <c r="AS14" s="588"/>
      <c r="AT14" s="588"/>
      <c r="AU14" s="588"/>
      <c r="AV14" s="588"/>
      <c r="AW14" s="588"/>
      <c r="AX14" s="588"/>
      <c r="AY14" s="588"/>
      <c r="AZ14" s="588"/>
      <c r="BA14" s="588"/>
      <c r="BB14" s="588"/>
      <c r="BC14" s="588"/>
      <c r="BD14" s="588"/>
      <c r="BE14" s="588"/>
      <c r="BF14" s="588"/>
    </row>
    <row r="15" spans="1:58" ht="16" customHeight="1" thickBot="1" x14ac:dyDescent="0.4">
      <c r="A15" s="733"/>
      <c r="B15" s="655"/>
      <c r="C15" s="655"/>
      <c r="D15" s="655"/>
      <c r="E15" s="655"/>
      <c r="F15" s="655"/>
      <c r="G15" s="655"/>
      <c r="H15" s="655"/>
      <c r="I15" s="655"/>
      <c r="J15" s="655"/>
      <c r="K15" s="655"/>
      <c r="L15" s="655"/>
      <c r="M15" s="656"/>
      <c r="N15" s="655"/>
      <c r="O15" s="655"/>
      <c r="P15" s="655"/>
      <c r="Q15" s="655"/>
      <c r="R15" s="655"/>
      <c r="S15" s="655"/>
      <c r="T15" s="734"/>
      <c r="U15" s="588"/>
      <c r="V15" s="588"/>
      <c r="W15" s="588"/>
      <c r="X15" s="588"/>
      <c r="Y15" s="588"/>
      <c r="Z15" s="588"/>
      <c r="AA15" s="588"/>
      <c r="AB15" s="588"/>
      <c r="AC15" s="588"/>
      <c r="AD15" s="588"/>
      <c r="AE15" s="588"/>
      <c r="AF15" s="588"/>
      <c r="AG15" s="588"/>
      <c r="AH15" s="588"/>
      <c r="AI15" s="588"/>
      <c r="AJ15" s="588"/>
      <c r="AK15" s="588"/>
      <c r="AL15" s="588"/>
      <c r="AM15" s="588"/>
      <c r="AN15" s="588"/>
      <c r="AO15" s="588"/>
      <c r="AP15" s="588"/>
      <c r="AQ15" s="588"/>
      <c r="AR15" s="588"/>
      <c r="AS15" s="588"/>
      <c r="AT15" s="588"/>
      <c r="AU15" s="588"/>
      <c r="AV15" s="588"/>
      <c r="AW15" s="588"/>
      <c r="AX15" s="588"/>
      <c r="AY15" s="588"/>
      <c r="AZ15" s="588"/>
      <c r="BA15" s="588"/>
      <c r="BB15" s="588"/>
      <c r="BC15" s="588"/>
      <c r="BD15" s="588"/>
      <c r="BE15" s="588"/>
      <c r="BF15" s="588"/>
    </row>
    <row r="16" spans="1:58" ht="9" customHeight="1" x14ac:dyDescent="0.35">
      <c r="A16" s="735"/>
      <c r="B16" s="521"/>
      <c r="C16" s="518"/>
      <c r="D16" s="521"/>
      <c r="E16" s="559"/>
      <c r="F16" s="559"/>
      <c r="G16" s="559"/>
      <c r="H16" s="559"/>
      <c r="I16" s="559"/>
      <c r="J16" s="559"/>
      <c r="K16" s="559"/>
      <c r="L16" s="559"/>
      <c r="M16" s="736"/>
      <c r="N16" s="559"/>
      <c r="O16" s="559"/>
      <c r="P16" s="559"/>
      <c r="Q16" s="559"/>
      <c r="R16" s="559"/>
      <c r="S16" s="559"/>
      <c r="T16" s="737"/>
      <c r="U16" s="666"/>
      <c r="V16" s="588"/>
      <c r="W16" s="588"/>
      <c r="X16" s="588"/>
      <c r="Y16" s="588"/>
      <c r="Z16" s="588"/>
      <c r="AA16" s="588"/>
      <c r="AB16" s="588"/>
      <c r="AC16" s="588"/>
      <c r="AD16" s="588"/>
      <c r="AE16" s="588"/>
      <c r="AF16" s="588"/>
      <c r="AG16" s="588"/>
      <c r="AH16" s="588"/>
      <c r="AI16" s="588"/>
      <c r="AJ16" s="588"/>
      <c r="AK16" s="588"/>
      <c r="AL16" s="588"/>
      <c r="AM16" s="588"/>
      <c r="AN16" s="588"/>
      <c r="AO16" s="588"/>
      <c r="AP16" s="588"/>
      <c r="AQ16" s="588"/>
      <c r="AR16" s="588"/>
      <c r="AS16" s="588"/>
      <c r="AT16" s="588"/>
      <c r="AU16" s="588"/>
      <c r="AV16" s="588"/>
      <c r="AW16" s="588"/>
      <c r="AX16" s="588"/>
      <c r="AY16" s="588"/>
      <c r="AZ16" s="588"/>
      <c r="BA16" s="588"/>
      <c r="BB16" s="588"/>
      <c r="BC16" s="588"/>
      <c r="BD16" s="588"/>
      <c r="BE16" s="588"/>
      <c r="BF16" s="588"/>
    </row>
    <row r="17" spans="1:58" ht="16" customHeight="1" x14ac:dyDescent="0.35">
      <c r="A17" s="738" t="s">
        <v>1512</v>
      </c>
      <c r="B17" s="521"/>
      <c r="C17" s="739" t="s">
        <v>1513</v>
      </c>
      <c r="D17" s="740"/>
      <c r="E17" s="741"/>
      <c r="F17" s="559"/>
      <c r="G17" s="559"/>
      <c r="H17" s="559"/>
      <c r="I17" s="559"/>
      <c r="J17" s="559"/>
      <c r="K17" s="559"/>
      <c r="L17" s="559"/>
      <c r="M17" s="736"/>
      <c r="N17" s="559"/>
      <c r="O17" s="559"/>
      <c r="P17" s="559"/>
      <c r="Q17" s="559"/>
      <c r="R17" s="559"/>
      <c r="S17" s="559"/>
      <c r="T17" s="737"/>
      <c r="U17" s="666"/>
      <c r="V17" s="665" t="s">
        <v>1514</v>
      </c>
      <c r="W17" s="665"/>
      <c r="X17" s="588"/>
      <c r="Y17" s="588"/>
      <c r="Z17" s="665"/>
      <c r="AA17" s="588"/>
      <c r="AB17" s="588"/>
      <c r="AC17" s="588"/>
      <c r="AD17" s="588"/>
      <c r="AE17" s="588"/>
      <c r="AF17" s="588"/>
      <c r="AG17" s="588"/>
      <c r="AH17" s="588"/>
      <c r="AI17" s="588"/>
      <c r="AJ17" s="588"/>
      <c r="AK17" s="588"/>
      <c r="AL17" s="588"/>
      <c r="AM17" s="588"/>
      <c r="AN17" s="588"/>
      <c r="AO17" s="588"/>
      <c r="AP17" s="588"/>
      <c r="AQ17" s="588"/>
      <c r="AR17" s="588"/>
      <c r="AS17" s="588"/>
      <c r="AT17" s="588"/>
      <c r="AU17" s="588"/>
      <c r="AV17" s="588"/>
      <c r="AW17" s="588"/>
      <c r="AX17" s="588"/>
      <c r="AY17" s="588"/>
      <c r="AZ17" s="588"/>
      <c r="BA17" s="588"/>
      <c r="BB17" s="588"/>
      <c r="BC17" s="588"/>
      <c r="BD17" s="588"/>
      <c r="BE17" s="588"/>
      <c r="BF17" s="588"/>
    </row>
    <row r="18" spans="1:58" ht="16" customHeight="1" x14ac:dyDescent="0.35">
      <c r="A18" s="738" t="s">
        <v>1512</v>
      </c>
      <c r="B18" s="518"/>
      <c r="C18" s="739" t="s">
        <v>1515</v>
      </c>
      <c r="D18" s="740"/>
      <c r="E18" s="742">
        <v>17841.510000000002</v>
      </c>
      <c r="F18" s="559"/>
      <c r="G18" s="559">
        <f t="shared" ref="G18:G64" si="0">IF($M18&gt;$V$9,($M18-$V$9)*$X$10,"ERROR")</f>
        <v>1249.3843800000004</v>
      </c>
      <c r="H18" s="559"/>
      <c r="I18" s="559">
        <f t="shared" ref="I18:I64" si="1">$E18*$W$12</f>
        <v>4442.5359900000003</v>
      </c>
      <c r="J18" s="559"/>
      <c r="K18" s="559">
        <f t="shared" ref="K18:K64" si="2">E18+ROUND(G18,0)+ROUND(I18,0)</f>
        <v>23533.510000000002</v>
      </c>
      <c r="L18" s="559"/>
      <c r="M18" s="736">
        <f t="shared" ref="M18:M64" si="3">E18</f>
        <v>17841.510000000002</v>
      </c>
      <c r="N18" s="559"/>
      <c r="O18" s="559"/>
      <c r="P18" s="559"/>
      <c r="Q18" s="559">
        <f t="shared" ref="Q18:Q64" si="4">IF($M18&gt;$V$9,($M18-$V$9)*$X$10,"ERROR")</f>
        <v>1249.3843800000004</v>
      </c>
      <c r="R18" s="559"/>
      <c r="S18" s="559">
        <f t="shared" ref="S18:S64" si="5">SUM(M18:Q18)</f>
        <v>19090.894380000002</v>
      </c>
      <c r="T18" s="737"/>
      <c r="U18" s="743"/>
      <c r="V18" s="665" t="s">
        <v>1421</v>
      </c>
      <c r="W18" s="588"/>
      <c r="X18" s="588"/>
      <c r="Y18" s="588"/>
      <c r="Z18" s="588"/>
      <c r="AA18" s="588"/>
      <c r="AB18" s="588"/>
      <c r="AC18" s="588"/>
      <c r="AD18" s="588"/>
      <c r="AE18" s="588"/>
      <c r="AF18" s="588"/>
      <c r="AG18" s="588"/>
      <c r="AH18" s="588"/>
      <c r="AI18" s="588"/>
      <c r="AJ18" s="588"/>
      <c r="AK18" s="588"/>
      <c r="AL18" s="588"/>
      <c r="AM18" s="588"/>
      <c r="AN18" s="588"/>
      <c r="AO18" s="588"/>
      <c r="AP18" s="588"/>
      <c r="AQ18" s="588"/>
      <c r="AR18" s="588"/>
      <c r="AS18" s="588"/>
      <c r="AT18" s="588"/>
      <c r="AU18" s="588"/>
      <c r="AV18" s="588"/>
      <c r="AW18" s="588"/>
      <c r="AX18" s="588"/>
      <c r="AY18" s="588"/>
      <c r="AZ18" s="588"/>
      <c r="BA18" s="588"/>
      <c r="BB18" s="588"/>
      <c r="BC18" s="588"/>
      <c r="BD18" s="588"/>
      <c r="BE18" s="588"/>
      <c r="BF18" s="588"/>
    </row>
    <row r="19" spans="1:58" ht="16" customHeight="1" x14ac:dyDescent="0.35">
      <c r="A19" s="738" t="s">
        <v>1512</v>
      </c>
      <c r="B19" s="550" t="s">
        <v>1516</v>
      </c>
      <c r="C19" s="744" t="s">
        <v>1517</v>
      </c>
      <c r="D19" s="740"/>
      <c r="E19" s="742">
        <v>18198.052500000002</v>
      </c>
      <c r="F19" s="559"/>
      <c r="G19" s="559">
        <f t="shared" si="0"/>
        <v>1298.5872450000004</v>
      </c>
      <c r="H19" s="559"/>
      <c r="I19" s="559">
        <f t="shared" si="1"/>
        <v>4531.3150725000005</v>
      </c>
      <c r="J19" s="559"/>
      <c r="K19" s="559">
        <f t="shared" si="2"/>
        <v>24028.052500000002</v>
      </c>
      <c r="L19" s="559"/>
      <c r="M19" s="736">
        <f t="shared" si="3"/>
        <v>18198.052500000002</v>
      </c>
      <c r="N19" s="559"/>
      <c r="O19" s="559"/>
      <c r="P19" s="559"/>
      <c r="Q19" s="559">
        <f t="shared" si="4"/>
        <v>1298.5872450000004</v>
      </c>
      <c r="R19" s="559"/>
      <c r="S19" s="559">
        <f t="shared" si="5"/>
        <v>19496.639745</v>
      </c>
      <c r="T19" s="737"/>
      <c r="U19" s="743"/>
      <c r="V19" s="665"/>
      <c r="W19" s="588"/>
      <c r="X19" s="588"/>
      <c r="Y19" s="588"/>
      <c r="Z19" s="588"/>
      <c r="AA19" s="588"/>
      <c r="AB19" s="588"/>
      <c r="AC19" s="588"/>
      <c r="AD19" s="588"/>
      <c r="AE19" s="588"/>
      <c r="AF19" s="588"/>
      <c r="AG19" s="588"/>
      <c r="AH19" s="588"/>
      <c r="AI19" s="588"/>
      <c r="AJ19" s="588"/>
      <c r="AK19" s="588"/>
      <c r="AL19" s="588"/>
      <c r="AM19" s="588"/>
      <c r="AN19" s="588"/>
      <c r="AO19" s="588"/>
      <c r="AP19" s="588"/>
      <c r="AQ19" s="588"/>
      <c r="AR19" s="588"/>
      <c r="AS19" s="588"/>
      <c r="AT19" s="588"/>
      <c r="AU19" s="588"/>
      <c r="AV19" s="588"/>
      <c r="AW19" s="588"/>
      <c r="AX19" s="588"/>
      <c r="AY19" s="588"/>
      <c r="AZ19" s="588"/>
      <c r="BA19" s="588"/>
      <c r="BB19" s="588"/>
      <c r="BC19" s="588"/>
      <c r="BD19" s="588"/>
      <c r="BE19" s="588"/>
      <c r="BF19" s="588"/>
    </row>
    <row r="20" spans="1:58" ht="16" customHeight="1" x14ac:dyDescent="0.35">
      <c r="A20" s="745"/>
      <c r="B20" s="550" t="s">
        <v>1516</v>
      </c>
      <c r="C20" s="746" t="s">
        <v>1518</v>
      </c>
      <c r="D20" s="521"/>
      <c r="E20" s="742">
        <v>18337.792500000003</v>
      </c>
      <c r="F20" s="559"/>
      <c r="G20" s="559">
        <f t="shared" si="0"/>
        <v>1317.8713650000007</v>
      </c>
      <c r="H20" s="559"/>
      <c r="I20" s="559">
        <f t="shared" si="1"/>
        <v>4566.1103325000004</v>
      </c>
      <c r="J20" s="559"/>
      <c r="K20" s="559">
        <f t="shared" si="2"/>
        <v>24221.792500000003</v>
      </c>
      <c r="L20" s="559"/>
      <c r="M20" s="736">
        <f t="shared" si="3"/>
        <v>18337.792500000003</v>
      </c>
      <c r="N20" s="559"/>
      <c r="O20" s="559"/>
      <c r="P20" s="559"/>
      <c r="Q20" s="559">
        <f t="shared" si="4"/>
        <v>1317.8713650000007</v>
      </c>
      <c r="R20" s="559"/>
      <c r="S20" s="559">
        <f t="shared" si="5"/>
        <v>19655.663865000002</v>
      </c>
      <c r="T20" s="737"/>
      <c r="U20" s="665"/>
      <c r="V20" s="665" t="s">
        <v>1422</v>
      </c>
      <c r="W20" s="588"/>
      <c r="X20" s="588"/>
      <c r="Y20" s="588"/>
      <c r="Z20" s="588"/>
      <c r="AA20" s="588"/>
      <c r="AB20" s="588"/>
      <c r="AC20" s="588"/>
      <c r="AD20" s="588"/>
      <c r="AE20" s="588"/>
      <c r="AF20" s="588"/>
      <c r="AG20" s="588"/>
      <c r="AH20" s="588"/>
      <c r="AI20" s="588"/>
      <c r="AJ20" s="588"/>
      <c r="AK20" s="588"/>
      <c r="AL20" s="588"/>
      <c r="AM20" s="588"/>
      <c r="AN20" s="588"/>
      <c r="AO20" s="588"/>
      <c r="AP20" s="588"/>
      <c r="AQ20" s="588"/>
      <c r="AR20" s="588"/>
      <c r="AS20" s="588"/>
      <c r="AT20" s="588"/>
      <c r="AU20" s="588"/>
      <c r="AV20" s="588"/>
      <c r="AW20" s="588"/>
      <c r="AX20" s="588"/>
      <c r="AY20" s="588"/>
      <c r="AZ20" s="588"/>
      <c r="BA20" s="588"/>
      <c r="BB20" s="588"/>
      <c r="BC20" s="588"/>
      <c r="BD20" s="588"/>
      <c r="BE20" s="588"/>
      <c r="BF20" s="588"/>
    </row>
    <row r="21" spans="1:58" ht="16" customHeight="1" x14ac:dyDescent="0.35">
      <c r="A21" s="745"/>
      <c r="B21" s="518" t="s">
        <v>1516</v>
      </c>
      <c r="C21" s="746" t="s">
        <v>1519</v>
      </c>
      <c r="D21" s="521"/>
      <c r="E21" s="742">
        <v>18430.267500000002</v>
      </c>
      <c r="F21" s="559"/>
      <c r="G21" s="559">
        <f t="shared" si="0"/>
        <v>1330.6329150000004</v>
      </c>
      <c r="H21" s="559"/>
      <c r="I21" s="559">
        <f t="shared" si="1"/>
        <v>4589.1366075000005</v>
      </c>
      <c r="J21" s="559"/>
      <c r="K21" s="559">
        <f t="shared" si="2"/>
        <v>24350.267500000002</v>
      </c>
      <c r="L21" s="559"/>
      <c r="M21" s="736">
        <f t="shared" si="3"/>
        <v>18430.267500000002</v>
      </c>
      <c r="N21" s="559"/>
      <c r="O21" s="559"/>
      <c r="P21" s="559"/>
      <c r="Q21" s="559">
        <f t="shared" si="4"/>
        <v>1330.6329150000004</v>
      </c>
      <c r="R21" s="559"/>
      <c r="S21" s="559">
        <f t="shared" si="5"/>
        <v>19760.900415000004</v>
      </c>
      <c r="T21" s="737"/>
      <c r="U21" s="665"/>
      <c r="V21" s="665" t="s">
        <v>1423</v>
      </c>
      <c r="W21" s="588"/>
      <c r="X21" s="588"/>
      <c r="Y21" s="588"/>
      <c r="Z21" s="588"/>
      <c r="AA21" s="588"/>
      <c r="AB21" s="588"/>
      <c r="AC21" s="588"/>
      <c r="AD21" s="588"/>
      <c r="AE21" s="588"/>
      <c r="AF21" s="588"/>
      <c r="AG21" s="588"/>
      <c r="AH21" s="588"/>
      <c r="AI21" s="588"/>
      <c r="AJ21" s="588"/>
      <c r="AK21" s="588"/>
      <c r="AL21" s="588"/>
      <c r="AM21" s="588"/>
      <c r="AN21" s="588"/>
      <c r="AO21" s="588"/>
      <c r="AP21" s="588"/>
      <c r="AQ21" s="588"/>
      <c r="AR21" s="588"/>
      <c r="AS21" s="588"/>
      <c r="AT21" s="588"/>
      <c r="AU21" s="588"/>
      <c r="AV21" s="588"/>
      <c r="AW21" s="588"/>
      <c r="AX21" s="588"/>
      <c r="AY21" s="588"/>
      <c r="AZ21" s="588"/>
      <c r="BA21" s="588"/>
      <c r="BB21" s="588"/>
      <c r="BC21" s="588"/>
      <c r="BD21" s="588"/>
      <c r="BE21" s="588"/>
      <c r="BF21" s="588"/>
    </row>
    <row r="22" spans="1:58" ht="16" customHeight="1" x14ac:dyDescent="0.35">
      <c r="A22" s="745" t="s">
        <v>1520</v>
      </c>
      <c r="B22" s="550" t="s">
        <v>1516</v>
      </c>
      <c r="C22" s="744" t="s">
        <v>1521</v>
      </c>
      <c r="D22" s="740"/>
      <c r="E22" s="742">
        <v>18561.787500000002</v>
      </c>
      <c r="F22" s="559"/>
      <c r="G22" s="559">
        <f t="shared" si="0"/>
        <v>1348.7826750000004</v>
      </c>
      <c r="H22" s="559"/>
      <c r="I22" s="559">
        <f t="shared" si="1"/>
        <v>4621.8850875000007</v>
      </c>
      <c r="J22" s="559"/>
      <c r="K22" s="559">
        <f t="shared" si="2"/>
        <v>24532.787500000002</v>
      </c>
      <c r="L22" s="559"/>
      <c r="M22" s="736">
        <f t="shared" si="3"/>
        <v>18561.787500000002</v>
      </c>
      <c r="N22" s="559"/>
      <c r="O22" s="559"/>
      <c r="P22" s="559"/>
      <c r="Q22" s="559">
        <f t="shared" si="4"/>
        <v>1348.7826750000004</v>
      </c>
      <c r="R22" s="559"/>
      <c r="S22" s="559">
        <f t="shared" si="5"/>
        <v>19910.570175000001</v>
      </c>
      <c r="T22" s="737"/>
      <c r="U22" s="743"/>
      <c r="V22" s="665"/>
      <c r="W22" s="588"/>
      <c r="X22" s="588"/>
      <c r="Y22" s="588"/>
      <c r="Z22" s="588"/>
      <c r="AA22" s="588"/>
      <c r="AB22" s="588"/>
      <c r="AC22" s="588"/>
      <c r="AD22" s="588"/>
      <c r="AE22" s="588"/>
      <c r="AF22" s="588"/>
      <c r="AG22" s="588"/>
      <c r="AH22" s="588"/>
      <c r="AI22" s="588"/>
      <c r="AJ22" s="588"/>
      <c r="AK22" s="588"/>
      <c r="AL22" s="588"/>
      <c r="AM22" s="588"/>
      <c r="AN22" s="588"/>
      <c r="AO22" s="588"/>
      <c r="AP22" s="588"/>
      <c r="AQ22" s="588"/>
      <c r="AR22" s="588"/>
      <c r="AS22" s="588"/>
      <c r="AT22" s="588"/>
      <c r="AU22" s="588"/>
      <c r="AV22" s="588"/>
      <c r="AW22" s="588"/>
      <c r="AX22" s="588"/>
      <c r="AY22" s="588"/>
      <c r="AZ22" s="588"/>
      <c r="BA22" s="588"/>
      <c r="BB22" s="588"/>
      <c r="BC22" s="588"/>
      <c r="BD22" s="588"/>
      <c r="BE22" s="588"/>
      <c r="BF22" s="588"/>
    </row>
    <row r="23" spans="1:58" ht="16" customHeight="1" x14ac:dyDescent="0.35">
      <c r="A23" s="745" t="s">
        <v>1520</v>
      </c>
      <c r="B23" s="550"/>
      <c r="C23" s="746" t="s">
        <v>1522</v>
      </c>
      <c r="D23" s="521"/>
      <c r="E23" s="742">
        <v>18925.522500000003</v>
      </c>
      <c r="F23" s="559"/>
      <c r="G23" s="559">
        <f t="shared" si="0"/>
        <v>1398.9781050000006</v>
      </c>
      <c r="H23" s="559"/>
      <c r="I23" s="559">
        <f t="shared" si="1"/>
        <v>4712.455102500001</v>
      </c>
      <c r="J23" s="559"/>
      <c r="K23" s="559">
        <f t="shared" si="2"/>
        <v>25036.522500000003</v>
      </c>
      <c r="L23" s="559"/>
      <c r="M23" s="736">
        <f t="shared" si="3"/>
        <v>18925.522500000003</v>
      </c>
      <c r="N23" s="559"/>
      <c r="O23" s="559"/>
      <c r="P23" s="559"/>
      <c r="Q23" s="559">
        <f t="shared" si="4"/>
        <v>1398.9781050000006</v>
      </c>
      <c r="R23" s="559"/>
      <c r="S23" s="559">
        <f t="shared" si="5"/>
        <v>20324.500605000005</v>
      </c>
      <c r="T23" s="737"/>
      <c r="U23" s="665"/>
      <c r="V23" s="665" t="s">
        <v>1427</v>
      </c>
      <c r="W23" s="588"/>
      <c r="X23" s="588"/>
      <c r="Y23" s="588"/>
      <c r="Z23" s="588"/>
      <c r="AA23" s="588"/>
      <c r="AB23" s="588"/>
      <c r="AC23" s="588"/>
      <c r="AD23" s="588"/>
      <c r="AE23" s="588"/>
      <c r="AF23" s="588"/>
      <c r="AG23" s="588"/>
      <c r="AH23" s="588"/>
      <c r="AI23" s="588"/>
      <c r="AJ23" s="588"/>
      <c r="AK23" s="588"/>
      <c r="AL23" s="588"/>
      <c r="AM23" s="588"/>
      <c r="AN23" s="588"/>
      <c r="AO23" s="588"/>
      <c r="AP23" s="588"/>
      <c r="AQ23" s="588"/>
      <c r="AR23" s="588"/>
      <c r="AS23" s="588"/>
      <c r="AT23" s="588"/>
      <c r="AU23" s="588"/>
      <c r="AV23" s="588"/>
      <c r="AW23" s="588"/>
      <c r="AX23" s="588"/>
      <c r="AY23" s="588"/>
      <c r="AZ23" s="588"/>
      <c r="BA23" s="588"/>
      <c r="BB23" s="588"/>
      <c r="BC23" s="588"/>
      <c r="BD23" s="588"/>
      <c r="BE23" s="588"/>
      <c r="BF23" s="588"/>
    </row>
    <row r="24" spans="1:58" ht="16" customHeight="1" x14ac:dyDescent="0.35">
      <c r="A24" s="745" t="s">
        <v>1520</v>
      </c>
      <c r="B24" s="518"/>
      <c r="C24" s="746" t="s">
        <v>1523</v>
      </c>
      <c r="D24" s="521"/>
      <c r="E24" s="742">
        <v>19333.440000000002</v>
      </c>
      <c r="F24" s="559"/>
      <c r="G24" s="559">
        <f t="shared" si="0"/>
        <v>1455.2707200000004</v>
      </c>
      <c r="H24" s="559"/>
      <c r="I24" s="559">
        <f t="shared" si="1"/>
        <v>4814.0265600000002</v>
      </c>
      <c r="J24" s="559"/>
      <c r="K24" s="559">
        <f t="shared" si="2"/>
        <v>25602.440000000002</v>
      </c>
      <c r="L24" s="559"/>
      <c r="M24" s="736">
        <f t="shared" si="3"/>
        <v>19333.440000000002</v>
      </c>
      <c r="N24" s="559"/>
      <c r="O24" s="559"/>
      <c r="P24" s="559"/>
      <c r="Q24" s="559">
        <f t="shared" si="4"/>
        <v>1455.2707200000004</v>
      </c>
      <c r="R24" s="559"/>
      <c r="S24" s="559">
        <f t="shared" si="5"/>
        <v>20788.710720000003</v>
      </c>
      <c r="T24" s="737"/>
      <c r="U24" s="665"/>
      <c r="V24" s="665" t="s">
        <v>1429</v>
      </c>
      <c r="W24" s="588"/>
      <c r="X24" s="588"/>
      <c r="Y24" s="588"/>
      <c r="Z24" s="588"/>
      <c r="AA24" s="588"/>
      <c r="AB24" s="588"/>
      <c r="AC24" s="588"/>
      <c r="AD24" s="588"/>
      <c r="AE24" s="588"/>
      <c r="AF24" s="588"/>
      <c r="AG24" s="588"/>
      <c r="AH24" s="588"/>
      <c r="AI24" s="588"/>
      <c r="AJ24" s="588"/>
      <c r="AK24" s="588"/>
      <c r="AL24" s="588"/>
      <c r="AM24" s="588"/>
      <c r="AN24" s="588"/>
      <c r="AO24" s="588"/>
      <c r="AP24" s="588"/>
      <c r="AQ24" s="588"/>
      <c r="AR24" s="588"/>
      <c r="AS24" s="588"/>
      <c r="AT24" s="588"/>
      <c r="AU24" s="588"/>
      <c r="AV24" s="588"/>
      <c r="AW24" s="588"/>
      <c r="AX24" s="588"/>
      <c r="AY24" s="588"/>
      <c r="AZ24" s="588"/>
      <c r="BA24" s="588"/>
      <c r="BB24" s="588"/>
      <c r="BC24" s="588"/>
      <c r="BD24" s="588"/>
      <c r="BE24" s="588"/>
      <c r="BF24" s="588"/>
    </row>
    <row r="25" spans="1:58" ht="16" customHeight="1" x14ac:dyDescent="0.35">
      <c r="A25" s="745" t="s">
        <v>1520</v>
      </c>
      <c r="B25" s="550" t="s">
        <v>1524</v>
      </c>
      <c r="C25" s="744" t="s">
        <v>1525</v>
      </c>
      <c r="D25" s="740"/>
      <c r="E25" s="742">
        <v>19698.202500000003</v>
      </c>
      <c r="F25" s="559"/>
      <c r="G25" s="559">
        <f t="shared" si="0"/>
        <v>1505.6079450000007</v>
      </c>
      <c r="H25" s="559"/>
      <c r="I25" s="559">
        <f t="shared" si="1"/>
        <v>4904.852422500001</v>
      </c>
      <c r="J25" s="559"/>
      <c r="K25" s="559">
        <f t="shared" si="2"/>
        <v>26109.202500000003</v>
      </c>
      <c r="L25" s="559"/>
      <c r="M25" s="736">
        <f t="shared" si="3"/>
        <v>19698.202500000003</v>
      </c>
      <c r="N25" s="559"/>
      <c r="O25" s="559"/>
      <c r="P25" s="559"/>
      <c r="Q25" s="559">
        <f t="shared" si="4"/>
        <v>1505.6079450000007</v>
      </c>
      <c r="R25" s="559"/>
      <c r="S25" s="559">
        <f t="shared" si="5"/>
        <v>21203.810445000003</v>
      </c>
      <c r="T25" s="737"/>
      <c r="U25" s="743"/>
      <c r="V25" s="665"/>
      <c r="W25" s="588"/>
      <c r="X25" s="588"/>
      <c r="Y25" s="588"/>
      <c r="Z25" s="588"/>
      <c r="AA25" s="588"/>
      <c r="AB25" s="588"/>
      <c r="AC25" s="588"/>
      <c r="AD25" s="588"/>
      <c r="AE25" s="588"/>
      <c r="AF25" s="588"/>
      <c r="AG25" s="588"/>
      <c r="AH25" s="588"/>
      <c r="AI25" s="588"/>
      <c r="AJ25" s="588"/>
      <c r="AK25" s="588"/>
      <c r="AL25" s="588"/>
      <c r="AM25" s="588"/>
      <c r="AN25" s="588"/>
      <c r="AO25" s="588"/>
      <c r="AP25" s="588"/>
      <c r="AQ25" s="588"/>
      <c r="AR25" s="588"/>
      <c r="AS25" s="588"/>
      <c r="AT25" s="588"/>
      <c r="AU25" s="588"/>
      <c r="AV25" s="588"/>
      <c r="AW25" s="588"/>
      <c r="AX25" s="588"/>
      <c r="AY25" s="588"/>
      <c r="AZ25" s="588"/>
      <c r="BA25" s="588"/>
      <c r="BB25" s="588"/>
      <c r="BC25" s="588"/>
      <c r="BD25" s="588"/>
      <c r="BE25" s="588"/>
      <c r="BF25" s="588"/>
    </row>
    <row r="26" spans="1:58" ht="16" customHeight="1" x14ac:dyDescent="0.35">
      <c r="A26" s="745"/>
      <c r="B26" s="550" t="s">
        <v>1524</v>
      </c>
      <c r="C26" s="550">
        <v>10</v>
      </c>
      <c r="D26" s="521"/>
      <c r="E26" s="742">
        <v>19736.22</v>
      </c>
      <c r="F26" s="559"/>
      <c r="G26" s="559">
        <f t="shared" si="0"/>
        <v>1510.8543600000003</v>
      </c>
      <c r="H26" s="559"/>
      <c r="I26" s="559">
        <f t="shared" si="1"/>
        <v>4914.3187800000005</v>
      </c>
      <c r="J26" s="559"/>
      <c r="K26" s="559">
        <f t="shared" si="2"/>
        <v>26161.22</v>
      </c>
      <c r="L26" s="559"/>
      <c r="M26" s="736">
        <f t="shared" si="3"/>
        <v>19736.22</v>
      </c>
      <c r="N26" s="559"/>
      <c r="O26" s="559"/>
      <c r="P26" s="559"/>
      <c r="Q26" s="559">
        <f t="shared" si="4"/>
        <v>1510.8543600000003</v>
      </c>
      <c r="R26" s="559"/>
      <c r="S26" s="559">
        <f t="shared" si="5"/>
        <v>21247.074360000002</v>
      </c>
      <c r="T26" s="737"/>
      <c r="U26" s="665"/>
      <c r="V26" s="665" t="s">
        <v>1430</v>
      </c>
      <c r="W26" s="588"/>
      <c r="X26" s="588"/>
      <c r="Y26" s="588"/>
      <c r="Z26" s="588"/>
      <c r="AA26" s="588"/>
      <c r="AB26" s="588"/>
      <c r="AC26" s="588"/>
      <c r="AD26" s="588"/>
      <c r="AE26" s="588"/>
      <c r="AF26" s="588"/>
      <c r="AG26" s="588"/>
      <c r="AH26" s="588"/>
      <c r="AI26" s="588"/>
      <c r="AJ26" s="588"/>
      <c r="AK26" s="588"/>
      <c r="AL26" s="588"/>
      <c r="AM26" s="588"/>
      <c r="AN26" s="588"/>
      <c r="AO26" s="588"/>
      <c r="AP26" s="588"/>
      <c r="AQ26" s="588"/>
      <c r="AR26" s="588"/>
      <c r="AS26" s="588"/>
      <c r="AT26" s="588"/>
      <c r="AU26" s="588"/>
      <c r="AV26" s="588"/>
      <c r="AW26" s="588"/>
      <c r="AX26" s="588"/>
      <c r="AY26" s="588"/>
      <c r="AZ26" s="588"/>
      <c r="BA26" s="588"/>
      <c r="BB26" s="588"/>
      <c r="BC26" s="588"/>
      <c r="BD26" s="588"/>
      <c r="BE26" s="588"/>
      <c r="BF26" s="588"/>
    </row>
    <row r="27" spans="1:58" ht="16" customHeight="1" x14ac:dyDescent="0.35">
      <c r="A27" s="745"/>
      <c r="B27" s="518" t="s">
        <v>1524</v>
      </c>
      <c r="C27" s="550">
        <v>11</v>
      </c>
      <c r="D27" s="521"/>
      <c r="E27" s="742">
        <v>20412.315000000002</v>
      </c>
      <c r="F27" s="559"/>
      <c r="G27" s="559">
        <f t="shared" si="0"/>
        <v>1604.1554700000004</v>
      </c>
      <c r="H27" s="559"/>
      <c r="I27" s="559">
        <f t="shared" si="1"/>
        <v>5082.666435000001</v>
      </c>
      <c r="J27" s="559"/>
      <c r="K27" s="559">
        <f t="shared" si="2"/>
        <v>27099.315000000002</v>
      </c>
      <c r="L27" s="559"/>
      <c r="M27" s="736">
        <f t="shared" si="3"/>
        <v>20412.315000000002</v>
      </c>
      <c r="N27" s="559"/>
      <c r="O27" s="559"/>
      <c r="P27" s="559"/>
      <c r="Q27" s="559">
        <f t="shared" si="4"/>
        <v>1604.1554700000004</v>
      </c>
      <c r="R27" s="559"/>
      <c r="S27" s="559">
        <f t="shared" si="5"/>
        <v>22016.470470000004</v>
      </c>
      <c r="T27" s="737"/>
      <c r="U27" s="665"/>
      <c r="V27" s="665" t="s">
        <v>1432</v>
      </c>
      <c r="W27" s="588"/>
      <c r="X27" s="588"/>
      <c r="Y27" s="588"/>
      <c r="Z27" s="588"/>
      <c r="AA27" s="588"/>
      <c r="AB27" s="588"/>
      <c r="AC27" s="588"/>
      <c r="AD27" s="588"/>
      <c r="AE27" s="588"/>
      <c r="AF27" s="588"/>
      <c r="AG27" s="588"/>
      <c r="AH27" s="588"/>
      <c r="AI27" s="588"/>
      <c r="AJ27" s="588"/>
      <c r="AK27" s="588"/>
      <c r="AL27" s="588"/>
      <c r="AM27" s="588"/>
      <c r="AN27" s="588"/>
      <c r="AO27" s="588"/>
      <c r="AP27" s="588"/>
      <c r="AQ27" s="588"/>
      <c r="AR27" s="588"/>
      <c r="AS27" s="588"/>
      <c r="AT27" s="588"/>
      <c r="AU27" s="588"/>
      <c r="AV27" s="588"/>
      <c r="AW27" s="588"/>
      <c r="AX27" s="588"/>
      <c r="AY27" s="588"/>
      <c r="AZ27" s="588"/>
      <c r="BA27" s="588"/>
      <c r="BB27" s="588"/>
      <c r="BC27" s="588"/>
      <c r="BD27" s="588"/>
      <c r="BE27" s="588"/>
      <c r="BF27" s="588"/>
    </row>
    <row r="28" spans="1:58" ht="16" customHeight="1" x14ac:dyDescent="0.35">
      <c r="A28" s="745" t="s">
        <v>1526</v>
      </c>
      <c r="B28" s="550" t="s">
        <v>1524</v>
      </c>
      <c r="C28" s="747">
        <v>12</v>
      </c>
      <c r="D28" s="740"/>
      <c r="E28" s="742">
        <v>20903.460000000003</v>
      </c>
      <c r="F28" s="559"/>
      <c r="G28" s="559">
        <f t="shared" si="0"/>
        <v>1671.9334800000006</v>
      </c>
      <c r="H28" s="559"/>
      <c r="I28" s="559">
        <f t="shared" si="1"/>
        <v>5204.9615400000002</v>
      </c>
      <c r="J28" s="559"/>
      <c r="K28" s="559">
        <f t="shared" si="2"/>
        <v>27780.460000000003</v>
      </c>
      <c r="L28" s="559"/>
      <c r="M28" s="736">
        <f t="shared" si="3"/>
        <v>20903.460000000003</v>
      </c>
      <c r="N28" s="559"/>
      <c r="O28" s="559"/>
      <c r="P28" s="559"/>
      <c r="Q28" s="559">
        <f t="shared" si="4"/>
        <v>1671.9334800000006</v>
      </c>
      <c r="R28" s="559"/>
      <c r="S28" s="559">
        <f t="shared" si="5"/>
        <v>22575.393480000002</v>
      </c>
      <c r="T28" s="737"/>
      <c r="U28" s="743"/>
      <c r="V28" s="665" t="s">
        <v>1433</v>
      </c>
      <c r="W28" s="588"/>
      <c r="X28" s="588"/>
      <c r="Y28" s="588"/>
      <c r="Z28" s="588"/>
      <c r="AA28" s="588"/>
      <c r="AB28" s="588"/>
      <c r="AC28" s="588"/>
      <c r="AD28" s="588"/>
      <c r="AE28" s="588"/>
      <c r="AF28" s="588"/>
      <c r="AG28" s="588"/>
      <c r="AH28" s="588"/>
      <c r="AI28" s="588"/>
      <c r="AJ28" s="588"/>
      <c r="AK28" s="588"/>
      <c r="AL28" s="588"/>
      <c r="AM28" s="588"/>
      <c r="AN28" s="588"/>
      <c r="AO28" s="588"/>
      <c r="AP28" s="588"/>
      <c r="AQ28" s="588"/>
      <c r="AR28" s="588"/>
      <c r="AS28" s="588"/>
      <c r="AT28" s="588"/>
      <c r="AU28" s="588"/>
      <c r="AV28" s="588"/>
      <c r="AW28" s="588"/>
      <c r="AX28" s="588"/>
      <c r="AY28" s="588"/>
      <c r="AZ28" s="588"/>
      <c r="BA28" s="588"/>
      <c r="BB28" s="588"/>
      <c r="BC28" s="588"/>
      <c r="BD28" s="588"/>
      <c r="BE28" s="588"/>
      <c r="BF28" s="588"/>
    </row>
    <row r="29" spans="1:58" ht="16" customHeight="1" x14ac:dyDescent="0.35">
      <c r="A29" s="745" t="s">
        <v>1526</v>
      </c>
      <c r="B29" s="550"/>
      <c r="C29" s="550">
        <v>13</v>
      </c>
      <c r="D29" s="521"/>
      <c r="E29" s="742">
        <v>21730.597500000003</v>
      </c>
      <c r="F29" s="559"/>
      <c r="G29" s="559">
        <f t="shared" si="0"/>
        <v>1786.0784550000005</v>
      </c>
      <c r="H29" s="559"/>
      <c r="I29" s="559">
        <f t="shared" si="1"/>
        <v>5410.9187775000009</v>
      </c>
      <c r="J29" s="559"/>
      <c r="K29" s="559">
        <f t="shared" si="2"/>
        <v>28927.597500000003</v>
      </c>
      <c r="L29" s="559"/>
      <c r="M29" s="736">
        <f t="shared" si="3"/>
        <v>21730.597500000003</v>
      </c>
      <c r="N29" s="559"/>
      <c r="O29" s="559"/>
      <c r="P29" s="559"/>
      <c r="Q29" s="559">
        <f t="shared" si="4"/>
        <v>1786.0784550000005</v>
      </c>
      <c r="R29" s="559"/>
      <c r="S29" s="559">
        <f t="shared" si="5"/>
        <v>23516.675955000002</v>
      </c>
      <c r="T29" s="737"/>
      <c r="U29" s="665"/>
      <c r="V29" s="665"/>
      <c r="W29" s="588"/>
      <c r="X29" s="588"/>
      <c r="Y29" s="588"/>
      <c r="Z29" s="588"/>
      <c r="AA29" s="588"/>
      <c r="AB29" s="588"/>
      <c r="AC29" s="588"/>
      <c r="AD29" s="588"/>
      <c r="AE29" s="588"/>
      <c r="AF29" s="588"/>
      <c r="AG29" s="588"/>
      <c r="AH29" s="588"/>
      <c r="AI29" s="588"/>
      <c r="AJ29" s="588"/>
      <c r="AK29" s="588"/>
      <c r="AL29" s="588"/>
      <c r="AM29" s="588"/>
      <c r="AN29" s="588"/>
      <c r="AO29" s="588"/>
      <c r="AP29" s="588"/>
      <c r="AQ29" s="588"/>
      <c r="AR29" s="588"/>
      <c r="AS29" s="588"/>
      <c r="AT29" s="588"/>
      <c r="AU29" s="588"/>
      <c r="AV29" s="588"/>
      <c r="AW29" s="588"/>
      <c r="AX29" s="588"/>
      <c r="AY29" s="588"/>
      <c r="AZ29" s="588"/>
      <c r="BA29" s="588"/>
      <c r="BB29" s="588"/>
      <c r="BC29" s="588"/>
      <c r="BD29" s="588"/>
      <c r="BE29" s="588"/>
      <c r="BF29" s="588"/>
    </row>
    <row r="30" spans="1:58" ht="16" customHeight="1" x14ac:dyDescent="0.35">
      <c r="A30" s="745" t="s">
        <v>1526</v>
      </c>
      <c r="B30" s="518"/>
      <c r="C30" s="550">
        <v>14</v>
      </c>
      <c r="D30" s="521"/>
      <c r="E30" s="742">
        <v>22637.88</v>
      </c>
      <c r="F30" s="559"/>
      <c r="G30" s="559">
        <f t="shared" si="0"/>
        <v>1911.2834400000004</v>
      </c>
      <c r="H30" s="559"/>
      <c r="I30" s="559">
        <f t="shared" si="1"/>
        <v>5636.83212</v>
      </c>
      <c r="J30" s="559"/>
      <c r="K30" s="559">
        <f t="shared" si="2"/>
        <v>30185.88</v>
      </c>
      <c r="L30" s="559"/>
      <c r="M30" s="736">
        <f t="shared" si="3"/>
        <v>22637.88</v>
      </c>
      <c r="N30" s="559"/>
      <c r="O30" s="559"/>
      <c r="P30" s="559"/>
      <c r="Q30" s="559">
        <f t="shared" si="4"/>
        <v>1911.2834400000004</v>
      </c>
      <c r="R30" s="559"/>
      <c r="S30" s="559">
        <f t="shared" si="5"/>
        <v>24549.16344</v>
      </c>
      <c r="T30" s="737"/>
      <c r="U30" s="665"/>
      <c r="V30" s="665"/>
      <c r="W30" s="588"/>
      <c r="X30" s="588"/>
      <c r="Y30" s="588"/>
      <c r="Z30" s="588"/>
      <c r="AA30" s="588"/>
      <c r="AB30" s="588"/>
      <c r="AC30" s="588"/>
      <c r="AD30" s="588"/>
      <c r="AE30" s="588"/>
      <c r="AF30" s="588"/>
      <c r="AG30" s="588"/>
      <c r="AH30" s="588"/>
      <c r="AI30" s="588"/>
      <c r="AJ30" s="588"/>
      <c r="AK30" s="588"/>
      <c r="AL30" s="588"/>
      <c r="AM30" s="588"/>
      <c r="AN30" s="588"/>
      <c r="AO30" s="588"/>
      <c r="AP30" s="588"/>
      <c r="AQ30" s="588"/>
      <c r="AR30" s="588"/>
      <c r="AS30" s="588"/>
      <c r="AT30" s="588"/>
      <c r="AU30" s="588"/>
      <c r="AV30" s="588"/>
      <c r="AW30" s="588"/>
      <c r="AX30" s="588"/>
      <c r="AY30" s="588"/>
      <c r="AZ30" s="588"/>
      <c r="BA30" s="588"/>
      <c r="BB30" s="588"/>
      <c r="BC30" s="588"/>
      <c r="BD30" s="588"/>
      <c r="BE30" s="588"/>
      <c r="BF30" s="588"/>
    </row>
    <row r="31" spans="1:58" ht="16" customHeight="1" x14ac:dyDescent="0.35">
      <c r="A31" s="745" t="s">
        <v>1526</v>
      </c>
      <c r="B31" s="550" t="s">
        <v>1527</v>
      </c>
      <c r="C31" s="747">
        <v>15</v>
      </c>
      <c r="D31" s="740"/>
      <c r="E31" s="742">
        <v>23541.052500000002</v>
      </c>
      <c r="F31" s="559"/>
      <c r="G31" s="559">
        <f t="shared" si="0"/>
        <v>2035.9212450000005</v>
      </c>
      <c r="H31" s="559"/>
      <c r="I31" s="559">
        <f t="shared" si="1"/>
        <v>5861.7220725000006</v>
      </c>
      <c r="J31" s="559"/>
      <c r="K31" s="559">
        <f t="shared" si="2"/>
        <v>31439.052500000002</v>
      </c>
      <c r="L31" s="559"/>
      <c r="M31" s="736">
        <f t="shared" si="3"/>
        <v>23541.052500000002</v>
      </c>
      <c r="N31" s="559"/>
      <c r="O31" s="559"/>
      <c r="P31" s="559"/>
      <c r="Q31" s="559">
        <f t="shared" si="4"/>
        <v>2035.9212450000005</v>
      </c>
      <c r="R31" s="559"/>
      <c r="S31" s="559">
        <f t="shared" si="5"/>
        <v>25576.973745000003</v>
      </c>
      <c r="T31" s="737"/>
      <c r="U31" s="743"/>
      <c r="V31" s="743"/>
      <c r="W31" s="588"/>
      <c r="X31" s="588"/>
      <c r="Y31" s="588"/>
      <c r="Z31" s="588"/>
      <c r="AA31" s="588"/>
      <c r="AB31" s="588"/>
      <c r="AC31" s="588"/>
      <c r="AD31" s="588"/>
      <c r="AE31" s="588"/>
      <c r="AF31" s="588"/>
      <c r="AG31" s="588"/>
      <c r="AH31" s="588"/>
      <c r="AI31" s="588"/>
      <c r="AJ31" s="588"/>
      <c r="AK31" s="588"/>
      <c r="AL31" s="588"/>
      <c r="AM31" s="588"/>
      <c r="AN31" s="588"/>
      <c r="AO31" s="588"/>
      <c r="AP31" s="588"/>
      <c r="AQ31" s="588"/>
      <c r="AR31" s="588"/>
      <c r="AS31" s="588"/>
      <c r="AT31" s="588"/>
      <c r="AU31" s="588"/>
      <c r="AV31" s="588"/>
      <c r="AW31" s="588"/>
      <c r="AX31" s="588"/>
      <c r="AY31" s="588"/>
      <c r="AZ31" s="588"/>
      <c r="BA31" s="588"/>
      <c r="BB31" s="588"/>
      <c r="BC31" s="588"/>
      <c r="BD31" s="588"/>
      <c r="BE31" s="588"/>
      <c r="BF31" s="588"/>
    </row>
    <row r="32" spans="1:58" ht="16" customHeight="1" x14ac:dyDescent="0.35">
      <c r="A32" s="745"/>
      <c r="B32" s="550" t="s">
        <v>1527</v>
      </c>
      <c r="C32" s="550">
        <v>16</v>
      </c>
      <c r="D32" s="521"/>
      <c r="E32" s="742">
        <v>24333.255000000001</v>
      </c>
      <c r="F32" s="559"/>
      <c r="G32" s="559">
        <f t="shared" si="0"/>
        <v>2145.2451900000001</v>
      </c>
      <c r="H32" s="559"/>
      <c r="I32" s="559">
        <f t="shared" si="1"/>
        <v>6058.9804949999998</v>
      </c>
      <c r="J32" s="559"/>
      <c r="K32" s="559">
        <f t="shared" si="2"/>
        <v>32537.255000000001</v>
      </c>
      <c r="L32" s="559"/>
      <c r="M32" s="736">
        <f t="shared" si="3"/>
        <v>24333.255000000001</v>
      </c>
      <c r="N32" s="559"/>
      <c r="O32" s="559"/>
      <c r="P32" s="559"/>
      <c r="Q32" s="559">
        <f t="shared" si="4"/>
        <v>2145.2451900000001</v>
      </c>
      <c r="R32" s="559"/>
      <c r="S32" s="559">
        <f t="shared" si="5"/>
        <v>26478.500190000002</v>
      </c>
      <c r="T32" s="737"/>
      <c r="U32" s="665"/>
      <c r="V32" s="665"/>
      <c r="W32" s="588"/>
      <c r="X32" s="588"/>
      <c r="Y32" s="588"/>
      <c r="Z32" s="588"/>
      <c r="AA32" s="588"/>
      <c r="AB32" s="588"/>
      <c r="AC32" s="588"/>
      <c r="AD32" s="588"/>
      <c r="AE32" s="588"/>
      <c r="AF32" s="588"/>
      <c r="AG32" s="588"/>
      <c r="AH32" s="588"/>
      <c r="AI32" s="588"/>
      <c r="AJ32" s="588"/>
      <c r="AK32" s="588"/>
      <c r="AL32" s="588"/>
      <c r="AM32" s="588"/>
      <c r="AN32" s="588"/>
      <c r="AO32" s="588"/>
      <c r="AP32" s="588"/>
      <c r="AQ32" s="588"/>
      <c r="AR32" s="588"/>
      <c r="AS32" s="588"/>
      <c r="AT32" s="588"/>
      <c r="AU32" s="588"/>
      <c r="AV32" s="588"/>
      <c r="AW32" s="588"/>
      <c r="AX32" s="588"/>
      <c r="AY32" s="588"/>
      <c r="AZ32" s="588"/>
      <c r="BA32" s="588"/>
      <c r="BB32" s="588"/>
      <c r="BC32" s="588"/>
      <c r="BD32" s="588"/>
      <c r="BE32" s="588"/>
      <c r="BF32" s="588"/>
    </row>
    <row r="33" spans="1:58" ht="16" customHeight="1" x14ac:dyDescent="0.35">
      <c r="A33" s="745"/>
      <c r="B33" s="518" t="s">
        <v>1527</v>
      </c>
      <c r="C33" s="550">
        <v>17</v>
      </c>
      <c r="D33" s="521"/>
      <c r="E33" s="742">
        <v>25123.4025</v>
      </c>
      <c r="F33" s="559"/>
      <c r="G33" s="559">
        <f t="shared" si="0"/>
        <v>2254.2855450000002</v>
      </c>
      <c r="H33" s="559"/>
      <c r="I33" s="559">
        <f t="shared" si="1"/>
        <v>6255.7272224999997</v>
      </c>
      <c r="J33" s="559"/>
      <c r="K33" s="559">
        <f t="shared" si="2"/>
        <v>33633.402499999997</v>
      </c>
      <c r="L33" s="559"/>
      <c r="M33" s="736">
        <f t="shared" si="3"/>
        <v>25123.4025</v>
      </c>
      <c r="N33" s="559"/>
      <c r="O33" s="559"/>
      <c r="P33" s="559"/>
      <c r="Q33" s="559">
        <f t="shared" si="4"/>
        <v>2254.2855450000002</v>
      </c>
      <c r="R33" s="559"/>
      <c r="S33" s="559">
        <f t="shared" si="5"/>
        <v>27377.688044999999</v>
      </c>
      <c r="T33" s="737"/>
      <c r="U33" s="665"/>
      <c r="V33" s="665"/>
      <c r="W33" s="588"/>
      <c r="X33" s="588"/>
      <c r="Y33" s="588"/>
      <c r="Z33" s="588"/>
      <c r="AA33" s="588"/>
      <c r="AB33" s="588"/>
      <c r="AC33" s="588"/>
      <c r="AD33" s="588"/>
      <c r="AE33" s="588"/>
      <c r="AF33" s="588"/>
      <c r="AG33" s="588"/>
      <c r="AH33" s="588"/>
      <c r="AI33" s="588"/>
      <c r="AJ33" s="588"/>
      <c r="AK33" s="588"/>
      <c r="AL33" s="588"/>
      <c r="AM33" s="588"/>
      <c r="AN33" s="588"/>
      <c r="AO33" s="588"/>
      <c r="AP33" s="588"/>
      <c r="AQ33" s="588"/>
      <c r="AR33" s="588"/>
      <c r="AS33" s="588"/>
      <c r="AT33" s="588"/>
      <c r="AU33" s="588"/>
      <c r="AV33" s="588"/>
      <c r="AW33" s="588"/>
      <c r="AX33" s="588"/>
      <c r="AY33" s="588"/>
      <c r="AZ33" s="588"/>
      <c r="BA33" s="588"/>
      <c r="BB33" s="588"/>
      <c r="BC33" s="588"/>
      <c r="BD33" s="588"/>
      <c r="BE33" s="588"/>
      <c r="BF33" s="588"/>
    </row>
    <row r="34" spans="1:58" ht="16" customHeight="1" x14ac:dyDescent="0.35">
      <c r="A34" s="745" t="s">
        <v>1528</v>
      </c>
      <c r="B34" s="550" t="s">
        <v>1527</v>
      </c>
      <c r="C34" s="747">
        <v>18</v>
      </c>
      <c r="D34" s="740"/>
      <c r="E34" s="742">
        <v>25990.612500000003</v>
      </c>
      <c r="F34" s="559"/>
      <c r="G34" s="559">
        <f t="shared" si="0"/>
        <v>2373.9605250000004</v>
      </c>
      <c r="H34" s="559"/>
      <c r="I34" s="559">
        <f t="shared" si="1"/>
        <v>6471.662512500001</v>
      </c>
      <c r="J34" s="559"/>
      <c r="K34" s="559">
        <f t="shared" si="2"/>
        <v>34836.612500000003</v>
      </c>
      <c r="L34" s="559"/>
      <c r="M34" s="736">
        <f t="shared" si="3"/>
        <v>25990.612500000003</v>
      </c>
      <c r="N34" s="559"/>
      <c r="O34" s="559"/>
      <c r="P34" s="559"/>
      <c r="Q34" s="559">
        <f t="shared" si="4"/>
        <v>2373.9605250000004</v>
      </c>
      <c r="R34" s="559"/>
      <c r="S34" s="559">
        <f t="shared" si="5"/>
        <v>28364.573025000005</v>
      </c>
      <c r="T34" s="737"/>
      <c r="U34" s="743"/>
      <c r="V34" s="743"/>
      <c r="W34" s="588"/>
      <c r="X34" s="588"/>
      <c r="Y34" s="588"/>
      <c r="Z34" s="588"/>
      <c r="AA34" s="588"/>
      <c r="AB34" s="588"/>
      <c r="AC34" s="588"/>
      <c r="AD34" s="588"/>
      <c r="AE34" s="588"/>
      <c r="AF34" s="588"/>
      <c r="AG34" s="588"/>
      <c r="AH34" s="588"/>
      <c r="AI34" s="588"/>
      <c r="AJ34" s="588"/>
      <c r="AK34" s="588"/>
      <c r="AL34" s="588"/>
      <c r="AM34" s="588"/>
      <c r="AN34" s="588"/>
      <c r="AO34" s="588"/>
      <c r="AP34" s="588"/>
      <c r="AQ34" s="588"/>
      <c r="AR34" s="588"/>
      <c r="AS34" s="588"/>
      <c r="AT34" s="588"/>
      <c r="AU34" s="588"/>
      <c r="AV34" s="588"/>
      <c r="AW34" s="588"/>
      <c r="AX34" s="588"/>
      <c r="AY34" s="588"/>
      <c r="AZ34" s="588"/>
      <c r="BA34" s="588"/>
      <c r="BB34" s="588"/>
      <c r="BC34" s="588"/>
      <c r="BD34" s="588"/>
      <c r="BE34" s="588"/>
      <c r="BF34" s="588"/>
    </row>
    <row r="35" spans="1:58" ht="16" customHeight="1" x14ac:dyDescent="0.35">
      <c r="A35" s="745" t="s">
        <v>1528</v>
      </c>
      <c r="B35" s="550"/>
      <c r="C35" s="550">
        <v>19</v>
      </c>
      <c r="D35" s="521"/>
      <c r="E35" s="742">
        <v>26784.870000000003</v>
      </c>
      <c r="F35" s="559"/>
      <c r="G35" s="559">
        <f t="shared" si="0"/>
        <v>2483.5680600000005</v>
      </c>
      <c r="H35" s="559"/>
      <c r="I35" s="559">
        <f t="shared" si="1"/>
        <v>6669.4326300000002</v>
      </c>
      <c r="J35" s="559"/>
      <c r="K35" s="559">
        <f t="shared" si="2"/>
        <v>35937.870000000003</v>
      </c>
      <c r="L35" s="559"/>
      <c r="M35" s="736">
        <f t="shared" si="3"/>
        <v>26784.870000000003</v>
      </c>
      <c r="N35" s="559"/>
      <c r="O35" s="559"/>
      <c r="P35" s="559"/>
      <c r="Q35" s="559">
        <f t="shared" si="4"/>
        <v>2483.5680600000005</v>
      </c>
      <c r="R35" s="559"/>
      <c r="S35" s="559">
        <f t="shared" si="5"/>
        <v>29268.438060000004</v>
      </c>
      <c r="T35" s="737"/>
      <c r="U35" s="665"/>
      <c r="V35" s="665"/>
      <c r="W35" s="588"/>
      <c r="X35" s="588"/>
      <c r="Y35" s="588"/>
      <c r="Z35" s="588"/>
      <c r="AA35" s="588"/>
      <c r="AB35" s="588"/>
      <c r="AC35" s="588"/>
      <c r="AD35" s="588"/>
      <c r="AE35" s="588"/>
      <c r="AF35" s="588"/>
      <c r="AG35" s="588"/>
      <c r="AH35" s="588"/>
      <c r="AI35" s="588"/>
      <c r="AJ35" s="588"/>
      <c r="AK35" s="588"/>
      <c r="AL35" s="588"/>
      <c r="AM35" s="588"/>
      <c r="AN35" s="588"/>
      <c r="AO35" s="588"/>
      <c r="AP35" s="588"/>
      <c r="AQ35" s="588"/>
      <c r="AR35" s="588"/>
      <c r="AS35" s="588"/>
      <c r="AT35" s="588"/>
      <c r="AU35" s="588"/>
      <c r="AV35" s="588"/>
      <c r="AW35" s="588"/>
      <c r="AX35" s="588"/>
      <c r="AY35" s="588"/>
      <c r="AZ35" s="588"/>
      <c r="BA35" s="588"/>
      <c r="BB35" s="588"/>
      <c r="BC35" s="588"/>
      <c r="BD35" s="588"/>
      <c r="BE35" s="588"/>
      <c r="BF35" s="588"/>
    </row>
    <row r="36" spans="1:58" ht="16" customHeight="1" x14ac:dyDescent="0.35">
      <c r="A36" s="745" t="s">
        <v>1528</v>
      </c>
      <c r="B36" s="518"/>
      <c r="C36" s="550">
        <v>20</v>
      </c>
      <c r="D36" s="521"/>
      <c r="E36" s="742">
        <v>27729.142500000002</v>
      </c>
      <c r="F36" s="559"/>
      <c r="G36" s="559">
        <f t="shared" si="0"/>
        <v>2613.8776650000004</v>
      </c>
      <c r="H36" s="559"/>
      <c r="I36" s="559">
        <f t="shared" si="1"/>
        <v>6904.5564825000001</v>
      </c>
      <c r="J36" s="559"/>
      <c r="K36" s="559">
        <f t="shared" si="2"/>
        <v>37248.142500000002</v>
      </c>
      <c r="L36" s="559"/>
      <c r="M36" s="736">
        <f t="shared" si="3"/>
        <v>27729.142500000002</v>
      </c>
      <c r="N36" s="559"/>
      <c r="O36" s="559"/>
      <c r="P36" s="559"/>
      <c r="Q36" s="559">
        <f t="shared" si="4"/>
        <v>2613.8776650000004</v>
      </c>
      <c r="R36" s="559"/>
      <c r="S36" s="559">
        <f t="shared" si="5"/>
        <v>30343.020165000002</v>
      </c>
      <c r="T36" s="737"/>
      <c r="U36" s="665"/>
      <c r="V36" s="665"/>
      <c r="W36" s="588"/>
      <c r="X36" s="588"/>
      <c r="Y36" s="588"/>
      <c r="Z36" s="588"/>
      <c r="AA36" s="588"/>
      <c r="AB36" s="588"/>
      <c r="AC36" s="588"/>
      <c r="AD36" s="588"/>
      <c r="AE36" s="588"/>
      <c r="AF36" s="588"/>
      <c r="AG36" s="588"/>
      <c r="AH36" s="588"/>
      <c r="AI36" s="588"/>
      <c r="AJ36" s="588"/>
      <c r="AK36" s="588"/>
      <c r="AL36" s="588"/>
      <c r="AM36" s="588"/>
      <c r="AN36" s="588"/>
      <c r="AO36" s="588"/>
      <c r="AP36" s="588"/>
      <c r="AQ36" s="588"/>
      <c r="AR36" s="588"/>
      <c r="AS36" s="588"/>
      <c r="AT36" s="588"/>
      <c r="AU36" s="588"/>
      <c r="AV36" s="588"/>
      <c r="AW36" s="588"/>
      <c r="AX36" s="588"/>
      <c r="AY36" s="588"/>
      <c r="AZ36" s="588"/>
      <c r="BA36" s="588"/>
      <c r="BB36" s="588"/>
      <c r="BC36" s="588"/>
      <c r="BD36" s="588"/>
      <c r="BE36" s="588"/>
      <c r="BF36" s="588"/>
    </row>
    <row r="37" spans="1:58" ht="16" customHeight="1" x14ac:dyDescent="0.35">
      <c r="A37" s="745" t="s">
        <v>1528</v>
      </c>
      <c r="B37" s="550" t="s">
        <v>1529</v>
      </c>
      <c r="C37" s="747">
        <v>21</v>
      </c>
      <c r="D37" s="740"/>
      <c r="E37" s="742">
        <v>28672.387500000001</v>
      </c>
      <c r="F37" s="559"/>
      <c r="G37" s="559">
        <f t="shared" si="0"/>
        <v>2744.0454750000004</v>
      </c>
      <c r="H37" s="559"/>
      <c r="I37" s="559">
        <f t="shared" si="1"/>
        <v>7139.4244875000004</v>
      </c>
      <c r="J37" s="559"/>
      <c r="K37" s="559">
        <f t="shared" si="2"/>
        <v>38555.387499999997</v>
      </c>
      <c r="L37" s="559"/>
      <c r="M37" s="736">
        <f t="shared" si="3"/>
        <v>28672.387500000001</v>
      </c>
      <c r="N37" s="559"/>
      <c r="O37" s="559"/>
      <c r="P37" s="559"/>
      <c r="Q37" s="559">
        <f t="shared" si="4"/>
        <v>2744.0454750000004</v>
      </c>
      <c r="R37" s="559"/>
      <c r="S37" s="559">
        <f t="shared" si="5"/>
        <v>31416.432975</v>
      </c>
      <c r="T37" s="737"/>
      <c r="U37" s="743"/>
      <c r="V37" s="743"/>
      <c r="W37" s="588"/>
      <c r="X37" s="588"/>
      <c r="Y37" s="588"/>
      <c r="Z37" s="588"/>
      <c r="AA37" s="588"/>
      <c r="AB37" s="588"/>
      <c r="AC37" s="588"/>
      <c r="AD37" s="588"/>
      <c r="AE37" s="588"/>
      <c r="AF37" s="588"/>
      <c r="AG37" s="588"/>
      <c r="AH37" s="588"/>
      <c r="AI37" s="588"/>
      <c r="AJ37" s="588"/>
      <c r="AK37" s="588"/>
      <c r="AL37" s="588"/>
      <c r="AM37" s="588"/>
      <c r="AN37" s="588"/>
      <c r="AO37" s="588"/>
      <c r="AP37" s="588"/>
      <c r="AQ37" s="588"/>
      <c r="AR37" s="588"/>
      <c r="AS37" s="588"/>
      <c r="AT37" s="588"/>
      <c r="AU37" s="588"/>
      <c r="AV37" s="588"/>
      <c r="AW37" s="588"/>
      <c r="AX37" s="588"/>
      <c r="AY37" s="588"/>
      <c r="AZ37" s="588"/>
      <c r="BA37" s="588"/>
      <c r="BB37" s="588"/>
      <c r="BC37" s="588"/>
      <c r="BD37" s="588"/>
      <c r="BE37" s="588"/>
      <c r="BF37" s="588"/>
    </row>
    <row r="38" spans="1:58" ht="16" customHeight="1" x14ac:dyDescent="0.35">
      <c r="A38" s="745"/>
      <c r="B38" s="550" t="s">
        <v>1529</v>
      </c>
      <c r="C38" s="550">
        <v>22</v>
      </c>
      <c r="D38" s="521"/>
      <c r="E38" s="742">
        <v>29919.772500000003</v>
      </c>
      <c r="F38" s="559"/>
      <c r="G38" s="559">
        <f t="shared" si="0"/>
        <v>2916.1846050000008</v>
      </c>
      <c r="H38" s="559"/>
      <c r="I38" s="559">
        <f t="shared" si="1"/>
        <v>7450.0233525000003</v>
      </c>
      <c r="J38" s="559"/>
      <c r="K38" s="559">
        <f t="shared" si="2"/>
        <v>40285.772500000006</v>
      </c>
      <c r="L38" s="559"/>
      <c r="M38" s="736">
        <f t="shared" si="3"/>
        <v>29919.772500000003</v>
      </c>
      <c r="N38" s="559"/>
      <c r="O38" s="559"/>
      <c r="P38" s="559"/>
      <c r="Q38" s="559">
        <f t="shared" si="4"/>
        <v>2916.1846050000008</v>
      </c>
      <c r="R38" s="559"/>
      <c r="S38" s="559">
        <f t="shared" si="5"/>
        <v>32835.957105000001</v>
      </c>
      <c r="T38" s="737"/>
      <c r="U38" s="665"/>
      <c r="V38" s="665"/>
      <c r="W38" s="588"/>
      <c r="X38" s="588"/>
      <c r="Y38" s="588"/>
      <c r="Z38" s="588"/>
      <c r="AA38" s="588"/>
      <c r="AB38" s="588"/>
      <c r="AC38" s="588"/>
      <c r="AD38" s="588"/>
      <c r="AE38" s="588"/>
      <c r="AF38" s="588"/>
      <c r="AG38" s="588"/>
      <c r="AH38" s="588"/>
      <c r="AI38" s="588"/>
      <c r="AJ38" s="588"/>
      <c r="AK38" s="588"/>
      <c r="AL38" s="588"/>
      <c r="AM38" s="588"/>
      <c r="AN38" s="588"/>
      <c r="AO38" s="588"/>
      <c r="AP38" s="588"/>
      <c r="AQ38" s="588"/>
      <c r="AR38" s="588"/>
      <c r="AS38" s="588"/>
      <c r="AT38" s="588"/>
      <c r="AU38" s="588"/>
      <c r="AV38" s="588"/>
      <c r="AW38" s="588"/>
      <c r="AX38" s="588"/>
      <c r="AY38" s="588"/>
      <c r="AZ38" s="588"/>
      <c r="BA38" s="588"/>
      <c r="BB38" s="588"/>
      <c r="BC38" s="588"/>
      <c r="BD38" s="588"/>
      <c r="BE38" s="588"/>
      <c r="BF38" s="588"/>
    </row>
    <row r="39" spans="1:58" ht="16" customHeight="1" x14ac:dyDescent="0.35">
      <c r="A39" s="745"/>
      <c r="B39" s="518" t="s">
        <v>1529</v>
      </c>
      <c r="C39" s="550">
        <v>23</v>
      </c>
      <c r="D39" s="521"/>
      <c r="E39" s="742">
        <v>31053.105000000003</v>
      </c>
      <c r="F39" s="559"/>
      <c r="G39" s="559">
        <f t="shared" si="0"/>
        <v>3072.5844900000006</v>
      </c>
      <c r="H39" s="559"/>
      <c r="I39" s="559">
        <f t="shared" si="1"/>
        <v>7732.2231450000008</v>
      </c>
      <c r="J39" s="559"/>
      <c r="K39" s="559">
        <f t="shared" si="2"/>
        <v>41858.105000000003</v>
      </c>
      <c r="L39" s="559"/>
      <c r="M39" s="736">
        <f t="shared" si="3"/>
        <v>31053.105000000003</v>
      </c>
      <c r="N39" s="559"/>
      <c r="O39" s="559"/>
      <c r="P39" s="559"/>
      <c r="Q39" s="559">
        <f t="shared" si="4"/>
        <v>3072.5844900000006</v>
      </c>
      <c r="R39" s="559"/>
      <c r="S39" s="559">
        <f t="shared" si="5"/>
        <v>34125.689490000004</v>
      </c>
      <c r="T39" s="737"/>
      <c r="U39" s="665"/>
      <c r="V39" s="665"/>
      <c r="W39" s="588"/>
      <c r="X39" s="588"/>
      <c r="Y39" s="588"/>
      <c r="Z39" s="588"/>
      <c r="AA39" s="588"/>
      <c r="AB39" s="588"/>
      <c r="AC39" s="588"/>
      <c r="AD39" s="588"/>
      <c r="AE39" s="588"/>
      <c r="AF39" s="588"/>
      <c r="AG39" s="588"/>
      <c r="AH39" s="588"/>
      <c r="AI39" s="588"/>
      <c r="AJ39" s="588"/>
      <c r="AK39" s="588"/>
      <c r="AL39" s="588"/>
      <c r="AM39" s="588"/>
      <c r="AN39" s="588"/>
      <c r="AO39" s="588"/>
      <c r="AP39" s="588"/>
      <c r="AQ39" s="588"/>
      <c r="AR39" s="588"/>
      <c r="AS39" s="588"/>
      <c r="AT39" s="588"/>
      <c r="AU39" s="588"/>
      <c r="AV39" s="588"/>
      <c r="AW39" s="588"/>
      <c r="AX39" s="588"/>
      <c r="AY39" s="588"/>
      <c r="AZ39" s="588"/>
      <c r="BA39" s="588"/>
      <c r="BB39" s="588"/>
      <c r="BC39" s="588"/>
      <c r="BD39" s="588"/>
      <c r="BE39" s="588"/>
      <c r="BF39" s="588"/>
    </row>
    <row r="40" spans="1:58" ht="16" customHeight="1" x14ac:dyDescent="0.35">
      <c r="A40" s="745" t="s">
        <v>1530</v>
      </c>
      <c r="B40" s="550" t="s">
        <v>1529</v>
      </c>
      <c r="C40" s="747">
        <v>24</v>
      </c>
      <c r="D40" s="740"/>
      <c r="E40" s="742">
        <v>32233.702500000003</v>
      </c>
      <c r="F40" s="559"/>
      <c r="G40" s="559">
        <f t="shared" si="0"/>
        <v>3235.5069450000005</v>
      </c>
      <c r="H40" s="559"/>
      <c r="I40" s="559">
        <f t="shared" si="1"/>
        <v>8026.1919225000011</v>
      </c>
      <c r="J40" s="559"/>
      <c r="K40" s="559">
        <f t="shared" si="2"/>
        <v>43495.702499999999</v>
      </c>
      <c r="L40" s="559"/>
      <c r="M40" s="736">
        <f t="shared" si="3"/>
        <v>32233.702500000003</v>
      </c>
      <c r="N40" s="559"/>
      <c r="O40" s="559"/>
      <c r="P40" s="559"/>
      <c r="Q40" s="559">
        <f t="shared" si="4"/>
        <v>3235.5069450000005</v>
      </c>
      <c r="R40" s="559"/>
      <c r="S40" s="559">
        <f t="shared" si="5"/>
        <v>35469.209445</v>
      </c>
      <c r="T40" s="737"/>
      <c r="U40" s="743"/>
      <c r="V40" s="743"/>
      <c r="W40" s="588"/>
      <c r="X40" s="588"/>
      <c r="Y40" s="588"/>
      <c r="Z40" s="588"/>
      <c r="AA40" s="588"/>
      <c r="AB40" s="588"/>
      <c r="AC40" s="588"/>
      <c r="AD40" s="588"/>
      <c r="AE40" s="588"/>
      <c r="AF40" s="588"/>
      <c r="AG40" s="588"/>
      <c r="AH40" s="588"/>
      <c r="AI40" s="588"/>
      <c r="AJ40" s="588"/>
      <c r="AK40" s="588"/>
      <c r="AL40" s="588"/>
      <c r="AM40" s="588"/>
      <c r="AN40" s="588"/>
      <c r="AO40" s="588"/>
      <c r="AP40" s="588"/>
      <c r="AQ40" s="588"/>
      <c r="AR40" s="588"/>
      <c r="AS40" s="588"/>
      <c r="AT40" s="588"/>
      <c r="AU40" s="588"/>
      <c r="AV40" s="588"/>
      <c r="AW40" s="588"/>
      <c r="AX40" s="588"/>
      <c r="AY40" s="588"/>
      <c r="AZ40" s="588"/>
      <c r="BA40" s="588"/>
      <c r="BB40" s="588"/>
      <c r="BC40" s="588"/>
      <c r="BD40" s="588"/>
      <c r="BE40" s="588"/>
      <c r="BF40" s="588"/>
    </row>
    <row r="41" spans="1:58" ht="16" customHeight="1" x14ac:dyDescent="0.35">
      <c r="A41" s="745" t="s">
        <v>1530</v>
      </c>
      <c r="B41" s="550"/>
      <c r="C41" s="550">
        <v>25</v>
      </c>
      <c r="D41" s="521"/>
      <c r="E41" s="742">
        <v>33412.245000000003</v>
      </c>
      <c r="F41" s="559"/>
      <c r="G41" s="559">
        <f t="shared" si="0"/>
        <v>3398.1458100000004</v>
      </c>
      <c r="H41" s="559"/>
      <c r="I41" s="559">
        <f t="shared" si="1"/>
        <v>8319.6490050000011</v>
      </c>
      <c r="J41" s="559"/>
      <c r="K41" s="559">
        <f t="shared" si="2"/>
        <v>45130.245000000003</v>
      </c>
      <c r="L41" s="559"/>
      <c r="M41" s="736">
        <f t="shared" si="3"/>
        <v>33412.245000000003</v>
      </c>
      <c r="N41" s="559"/>
      <c r="O41" s="559"/>
      <c r="P41" s="559"/>
      <c r="Q41" s="559">
        <f t="shared" si="4"/>
        <v>3398.1458100000004</v>
      </c>
      <c r="R41" s="559"/>
      <c r="S41" s="559">
        <f t="shared" si="5"/>
        <v>36810.390810000004</v>
      </c>
      <c r="T41" s="737"/>
      <c r="U41" s="665"/>
      <c r="V41" s="665"/>
      <c r="W41" s="588"/>
      <c r="X41" s="588"/>
      <c r="Y41" s="588"/>
      <c r="Z41" s="588"/>
      <c r="AA41" s="588"/>
      <c r="AB41" s="588"/>
      <c r="AC41" s="588"/>
      <c r="AD41" s="588"/>
      <c r="AE41" s="588"/>
      <c r="AF41" s="588"/>
      <c r="AG41" s="588"/>
      <c r="AH41" s="588"/>
      <c r="AI41" s="588"/>
      <c r="AJ41" s="588"/>
      <c r="AK41" s="588"/>
      <c r="AL41" s="588"/>
      <c r="AM41" s="588"/>
      <c r="AN41" s="588"/>
      <c r="AO41" s="588"/>
      <c r="AP41" s="588"/>
      <c r="AQ41" s="588"/>
      <c r="AR41" s="588"/>
      <c r="AS41" s="588"/>
      <c r="AT41" s="588"/>
      <c r="AU41" s="588"/>
      <c r="AV41" s="588"/>
      <c r="AW41" s="588"/>
      <c r="AX41" s="588"/>
      <c r="AY41" s="588"/>
      <c r="AZ41" s="588"/>
      <c r="BA41" s="588"/>
      <c r="BB41" s="588"/>
      <c r="BC41" s="588"/>
      <c r="BD41" s="588"/>
      <c r="BE41" s="588"/>
      <c r="BF41" s="588"/>
    </row>
    <row r="42" spans="1:58" ht="16" customHeight="1" x14ac:dyDescent="0.35">
      <c r="A42" s="745" t="s">
        <v>1530</v>
      </c>
      <c r="B42" s="518"/>
      <c r="C42" s="550">
        <v>26</v>
      </c>
      <c r="D42" s="521"/>
      <c r="E42" s="742">
        <v>34576.402500000004</v>
      </c>
      <c r="F42" s="559"/>
      <c r="G42" s="559">
        <f t="shared" si="0"/>
        <v>3558.7995450000008</v>
      </c>
      <c r="H42" s="559"/>
      <c r="I42" s="559">
        <f t="shared" si="1"/>
        <v>8609.5242225000002</v>
      </c>
      <c r="J42" s="559"/>
      <c r="K42" s="559">
        <f t="shared" si="2"/>
        <v>46745.402500000004</v>
      </c>
      <c r="L42" s="559"/>
      <c r="M42" s="736">
        <f t="shared" si="3"/>
        <v>34576.402500000004</v>
      </c>
      <c r="N42" s="559"/>
      <c r="O42" s="559"/>
      <c r="P42" s="559"/>
      <c r="Q42" s="559">
        <f t="shared" si="4"/>
        <v>3558.7995450000008</v>
      </c>
      <c r="R42" s="559"/>
      <c r="S42" s="559">
        <f t="shared" si="5"/>
        <v>38135.202045000005</v>
      </c>
      <c r="T42" s="737"/>
      <c r="U42" s="665"/>
      <c r="V42" s="665"/>
      <c r="W42" s="588"/>
      <c r="X42" s="588"/>
      <c r="Y42" s="588"/>
      <c r="Z42" s="588"/>
      <c r="AA42" s="588"/>
      <c r="AB42" s="588"/>
      <c r="AC42" s="588"/>
      <c r="AD42" s="588"/>
      <c r="AE42" s="588"/>
      <c r="AF42" s="588"/>
      <c r="AG42" s="588"/>
      <c r="AH42" s="588"/>
      <c r="AI42" s="588"/>
      <c r="AJ42" s="588"/>
      <c r="AK42" s="588"/>
      <c r="AL42" s="588"/>
      <c r="AM42" s="588"/>
      <c r="AN42" s="588"/>
      <c r="AO42" s="588"/>
      <c r="AP42" s="588"/>
      <c r="AQ42" s="588"/>
      <c r="AR42" s="588"/>
      <c r="AS42" s="588"/>
      <c r="AT42" s="588"/>
      <c r="AU42" s="588"/>
      <c r="AV42" s="588"/>
      <c r="AW42" s="588"/>
      <c r="AX42" s="588"/>
      <c r="AY42" s="588"/>
      <c r="AZ42" s="588"/>
      <c r="BA42" s="588"/>
      <c r="BB42" s="588"/>
      <c r="BC42" s="588"/>
      <c r="BD42" s="588"/>
      <c r="BE42" s="588"/>
      <c r="BF42" s="588"/>
    </row>
    <row r="43" spans="1:58" ht="16" customHeight="1" x14ac:dyDescent="0.35">
      <c r="A43" s="745" t="s">
        <v>1530</v>
      </c>
      <c r="B43" s="550" t="s">
        <v>1531</v>
      </c>
      <c r="C43" s="747">
        <v>27</v>
      </c>
      <c r="D43" s="740"/>
      <c r="E43" s="742">
        <v>35744.670000000006</v>
      </c>
      <c r="F43" s="559"/>
      <c r="G43" s="559">
        <f t="shared" si="0"/>
        <v>3720.0204600000011</v>
      </c>
      <c r="H43" s="559"/>
      <c r="I43" s="559">
        <f t="shared" si="1"/>
        <v>8900.4228300000013</v>
      </c>
      <c r="J43" s="559"/>
      <c r="K43" s="559">
        <f t="shared" si="2"/>
        <v>48364.670000000006</v>
      </c>
      <c r="L43" s="559"/>
      <c r="M43" s="736">
        <f t="shared" si="3"/>
        <v>35744.670000000006</v>
      </c>
      <c r="N43" s="559"/>
      <c r="O43" s="559"/>
      <c r="P43" s="559"/>
      <c r="Q43" s="559">
        <f t="shared" si="4"/>
        <v>3720.0204600000011</v>
      </c>
      <c r="R43" s="559"/>
      <c r="S43" s="559">
        <f t="shared" si="5"/>
        <v>39464.690460000005</v>
      </c>
      <c r="T43" s="737"/>
      <c r="U43" s="743"/>
      <c r="V43" s="743"/>
      <c r="W43" s="588"/>
      <c r="X43" s="588"/>
      <c r="Y43" s="588"/>
      <c r="Z43" s="588"/>
      <c r="AA43" s="588"/>
      <c r="AB43" s="588"/>
      <c r="AC43" s="588"/>
      <c r="AD43" s="588"/>
      <c r="AE43" s="588"/>
      <c r="AF43" s="588"/>
      <c r="AG43" s="588"/>
      <c r="AH43" s="588"/>
      <c r="AI43" s="588"/>
      <c r="AJ43" s="588"/>
      <c r="AK43" s="588"/>
      <c r="AL43" s="588"/>
      <c r="AM43" s="588"/>
      <c r="AN43" s="588"/>
      <c r="AO43" s="588"/>
      <c r="AP43" s="588"/>
      <c r="AQ43" s="588"/>
      <c r="AR43" s="588"/>
      <c r="AS43" s="588"/>
      <c r="AT43" s="588"/>
      <c r="AU43" s="588"/>
      <c r="AV43" s="588"/>
      <c r="AW43" s="588"/>
      <c r="AX43" s="588"/>
      <c r="AY43" s="588"/>
      <c r="AZ43" s="588"/>
      <c r="BA43" s="588"/>
      <c r="BB43" s="588"/>
      <c r="BC43" s="588"/>
      <c r="BD43" s="588"/>
      <c r="BE43" s="588"/>
      <c r="BF43" s="588"/>
    </row>
    <row r="44" spans="1:58" ht="16" customHeight="1" x14ac:dyDescent="0.35">
      <c r="A44" s="745"/>
      <c r="B44" s="550" t="s">
        <v>1531</v>
      </c>
      <c r="C44" s="550">
        <v>28</v>
      </c>
      <c r="D44" s="521"/>
      <c r="E44" s="742">
        <v>37122.547500000001</v>
      </c>
      <c r="F44" s="559"/>
      <c r="G44" s="559">
        <f t="shared" si="0"/>
        <v>3910.1675550000004</v>
      </c>
      <c r="H44" s="559"/>
      <c r="I44" s="559">
        <f t="shared" si="1"/>
        <v>9243.5143275000009</v>
      </c>
      <c r="J44" s="559"/>
      <c r="K44" s="559">
        <f t="shared" si="2"/>
        <v>50276.547500000001</v>
      </c>
      <c r="L44" s="559"/>
      <c r="M44" s="736">
        <f t="shared" si="3"/>
        <v>37122.547500000001</v>
      </c>
      <c r="N44" s="559"/>
      <c r="O44" s="559"/>
      <c r="P44" s="559"/>
      <c r="Q44" s="559">
        <f t="shared" si="4"/>
        <v>3910.1675550000004</v>
      </c>
      <c r="R44" s="559"/>
      <c r="S44" s="559">
        <f t="shared" si="5"/>
        <v>41032.715055000001</v>
      </c>
      <c r="T44" s="737"/>
      <c r="U44" s="665"/>
      <c r="V44" s="665"/>
      <c r="W44" s="588"/>
      <c r="X44" s="588"/>
      <c r="Y44" s="588"/>
      <c r="Z44" s="588"/>
      <c r="AA44" s="588"/>
      <c r="AB44" s="588"/>
      <c r="AC44" s="588"/>
      <c r="AD44" s="588"/>
      <c r="AE44" s="588"/>
      <c r="AF44" s="588"/>
      <c r="AG44" s="588"/>
      <c r="AH44" s="588"/>
      <c r="AI44" s="588"/>
      <c r="AJ44" s="588"/>
      <c r="AK44" s="588"/>
      <c r="AL44" s="588"/>
      <c r="AM44" s="588"/>
      <c r="AN44" s="588"/>
      <c r="AO44" s="588"/>
      <c r="AP44" s="588"/>
      <c r="AQ44" s="588"/>
      <c r="AR44" s="588"/>
      <c r="AS44" s="588"/>
      <c r="AT44" s="588"/>
      <c r="AU44" s="588"/>
      <c r="AV44" s="588"/>
      <c r="AW44" s="588"/>
      <c r="AX44" s="588"/>
      <c r="AY44" s="588"/>
      <c r="AZ44" s="588"/>
      <c r="BA44" s="588"/>
      <c r="BB44" s="588"/>
      <c r="BC44" s="588"/>
      <c r="BD44" s="588"/>
      <c r="BE44" s="588"/>
      <c r="BF44" s="588"/>
    </row>
    <row r="45" spans="1:58" ht="16" customHeight="1" x14ac:dyDescent="0.35">
      <c r="A45" s="745"/>
      <c r="B45" s="518" t="s">
        <v>1531</v>
      </c>
      <c r="C45" s="550">
        <v>29</v>
      </c>
      <c r="D45" s="521"/>
      <c r="E45" s="742">
        <v>38502.480000000003</v>
      </c>
      <c r="F45" s="559"/>
      <c r="G45" s="559">
        <f t="shared" si="0"/>
        <v>4100.5982400000012</v>
      </c>
      <c r="H45" s="559"/>
      <c r="I45" s="559">
        <f t="shared" si="1"/>
        <v>9587.1175200000016</v>
      </c>
      <c r="J45" s="559"/>
      <c r="K45" s="559">
        <f t="shared" si="2"/>
        <v>52190.48</v>
      </c>
      <c r="L45" s="559"/>
      <c r="M45" s="736">
        <f t="shared" si="3"/>
        <v>38502.480000000003</v>
      </c>
      <c r="N45" s="559"/>
      <c r="O45" s="559"/>
      <c r="P45" s="559"/>
      <c r="Q45" s="559">
        <f t="shared" si="4"/>
        <v>4100.5982400000012</v>
      </c>
      <c r="R45" s="559"/>
      <c r="S45" s="559">
        <f t="shared" si="5"/>
        <v>42603.078240000003</v>
      </c>
      <c r="T45" s="737"/>
      <c r="U45" s="665"/>
      <c r="V45" s="665"/>
      <c r="W45" s="588"/>
      <c r="X45" s="588"/>
      <c r="Y45" s="588"/>
      <c r="Z45" s="588"/>
      <c r="AA45" s="588"/>
      <c r="AB45" s="588"/>
      <c r="AC45" s="588"/>
      <c r="AD45" s="588"/>
      <c r="AE45" s="588"/>
      <c r="AF45" s="588"/>
      <c r="AG45" s="588"/>
      <c r="AH45" s="588"/>
      <c r="AI45" s="588"/>
      <c r="AJ45" s="588"/>
      <c r="AK45" s="588"/>
      <c r="AL45" s="588"/>
      <c r="AM45" s="588"/>
      <c r="AN45" s="588"/>
      <c r="AO45" s="588"/>
      <c r="AP45" s="588"/>
      <c r="AQ45" s="588"/>
      <c r="AR45" s="588"/>
      <c r="AS45" s="588"/>
      <c r="AT45" s="588"/>
      <c r="AU45" s="588"/>
      <c r="AV45" s="588"/>
      <c r="AW45" s="588"/>
      <c r="AX45" s="588"/>
      <c r="AY45" s="588"/>
      <c r="AZ45" s="588"/>
      <c r="BA45" s="588"/>
      <c r="BB45" s="588"/>
      <c r="BC45" s="588"/>
      <c r="BD45" s="588"/>
      <c r="BE45" s="588"/>
      <c r="BF45" s="588"/>
    </row>
    <row r="46" spans="1:58" ht="16" customHeight="1" x14ac:dyDescent="0.35">
      <c r="A46" s="745" t="s">
        <v>1532</v>
      </c>
      <c r="B46" s="550" t="s">
        <v>1531</v>
      </c>
      <c r="C46" s="747">
        <v>30</v>
      </c>
      <c r="D46" s="740"/>
      <c r="E46" s="742">
        <v>39880.357500000006</v>
      </c>
      <c r="F46" s="559"/>
      <c r="G46" s="559">
        <f t="shared" si="0"/>
        <v>4290.7453350000014</v>
      </c>
      <c r="H46" s="559"/>
      <c r="I46" s="559">
        <f t="shared" si="1"/>
        <v>9930.2090175000012</v>
      </c>
      <c r="J46" s="559"/>
      <c r="K46" s="559">
        <f t="shared" si="2"/>
        <v>54101.357500000006</v>
      </c>
      <c r="L46" s="559"/>
      <c r="M46" s="736">
        <f t="shared" si="3"/>
        <v>39880.357500000006</v>
      </c>
      <c r="N46" s="559"/>
      <c r="O46" s="559"/>
      <c r="P46" s="559"/>
      <c r="Q46" s="559">
        <f t="shared" si="4"/>
        <v>4290.7453350000014</v>
      </c>
      <c r="R46" s="559"/>
      <c r="S46" s="559">
        <f t="shared" si="5"/>
        <v>44171.102835000005</v>
      </c>
      <c r="T46" s="737"/>
      <c r="U46" s="743"/>
      <c r="V46" s="743"/>
      <c r="W46" s="588"/>
      <c r="X46" s="588"/>
      <c r="Y46" s="588"/>
      <c r="Z46" s="588"/>
      <c r="AA46" s="588"/>
      <c r="AB46" s="588"/>
      <c r="AC46" s="588"/>
      <c r="AD46" s="588"/>
      <c r="AE46" s="588"/>
      <c r="AF46" s="588"/>
      <c r="AG46" s="588"/>
      <c r="AH46" s="588"/>
      <c r="AI46" s="588"/>
      <c r="AJ46" s="588"/>
      <c r="AK46" s="588"/>
      <c r="AL46" s="588"/>
      <c r="AM46" s="588"/>
      <c r="AN46" s="588"/>
      <c r="AO46" s="588"/>
      <c r="AP46" s="588"/>
      <c r="AQ46" s="588"/>
      <c r="AR46" s="588"/>
      <c r="AS46" s="588"/>
      <c r="AT46" s="588"/>
      <c r="AU46" s="588"/>
      <c r="AV46" s="588"/>
      <c r="AW46" s="588"/>
      <c r="AX46" s="588"/>
      <c r="AY46" s="588"/>
      <c r="AZ46" s="588"/>
      <c r="BA46" s="588"/>
      <c r="BB46" s="588"/>
      <c r="BC46" s="588"/>
      <c r="BD46" s="588"/>
      <c r="BE46" s="588"/>
      <c r="BF46" s="588"/>
    </row>
    <row r="47" spans="1:58" ht="16" customHeight="1" x14ac:dyDescent="0.35">
      <c r="A47" s="745" t="s">
        <v>1532</v>
      </c>
      <c r="B47" s="550"/>
      <c r="C47" s="550">
        <v>31</v>
      </c>
      <c r="D47" s="521"/>
      <c r="E47" s="742">
        <v>41540.797500000001</v>
      </c>
      <c r="F47" s="559"/>
      <c r="G47" s="559">
        <f t="shared" si="0"/>
        <v>4519.8860550000009</v>
      </c>
      <c r="H47" s="559"/>
      <c r="I47" s="559">
        <f t="shared" si="1"/>
        <v>10343.6585775</v>
      </c>
      <c r="J47" s="559"/>
      <c r="K47" s="559">
        <f t="shared" si="2"/>
        <v>56404.797500000001</v>
      </c>
      <c r="L47" s="559"/>
      <c r="M47" s="736">
        <f t="shared" si="3"/>
        <v>41540.797500000001</v>
      </c>
      <c r="N47" s="559"/>
      <c r="O47" s="559"/>
      <c r="P47" s="559"/>
      <c r="Q47" s="559">
        <f t="shared" si="4"/>
        <v>4519.8860550000009</v>
      </c>
      <c r="R47" s="559"/>
      <c r="S47" s="559">
        <f t="shared" si="5"/>
        <v>46060.683555000003</v>
      </c>
      <c r="T47" s="737"/>
      <c r="U47" s="665"/>
      <c r="V47" s="665"/>
      <c r="W47" s="588"/>
      <c r="X47" s="588"/>
      <c r="Y47" s="588"/>
      <c r="Z47" s="588"/>
      <c r="AA47" s="588"/>
      <c r="AB47" s="588"/>
      <c r="AC47" s="588"/>
      <c r="AD47" s="588"/>
      <c r="AE47" s="588"/>
      <c r="AF47" s="588"/>
      <c r="AG47" s="588"/>
      <c r="AH47" s="588"/>
      <c r="AI47" s="588"/>
      <c r="AJ47" s="588"/>
      <c r="AK47" s="588"/>
      <c r="AL47" s="588"/>
      <c r="AM47" s="588"/>
      <c r="AN47" s="588"/>
      <c r="AO47" s="588"/>
      <c r="AP47" s="588"/>
      <c r="AQ47" s="588"/>
      <c r="AR47" s="588"/>
      <c r="AS47" s="588"/>
      <c r="AT47" s="588"/>
      <c r="AU47" s="588"/>
      <c r="AV47" s="588"/>
      <c r="AW47" s="588"/>
      <c r="AX47" s="588"/>
      <c r="AY47" s="588"/>
      <c r="AZ47" s="588"/>
      <c r="BA47" s="588"/>
      <c r="BB47" s="588"/>
      <c r="BC47" s="588"/>
      <c r="BD47" s="588"/>
      <c r="BE47" s="588"/>
      <c r="BF47" s="588"/>
    </row>
    <row r="48" spans="1:58" ht="16" customHeight="1" x14ac:dyDescent="0.35">
      <c r="A48" s="745" t="s">
        <v>1532</v>
      </c>
      <c r="B48" s="518"/>
      <c r="C48" s="550">
        <v>32</v>
      </c>
      <c r="D48" s="521"/>
      <c r="E48" s="742">
        <v>43201.237500000003</v>
      </c>
      <c r="F48" s="559"/>
      <c r="G48" s="559">
        <f t="shared" si="0"/>
        <v>4749.0267750000012</v>
      </c>
      <c r="H48" s="559"/>
      <c r="I48" s="559">
        <f t="shared" si="1"/>
        <v>10757.108137500001</v>
      </c>
      <c r="J48" s="559"/>
      <c r="K48" s="559">
        <f t="shared" si="2"/>
        <v>58707.237500000003</v>
      </c>
      <c r="L48" s="559"/>
      <c r="M48" s="736">
        <f t="shared" si="3"/>
        <v>43201.237500000003</v>
      </c>
      <c r="N48" s="559"/>
      <c r="O48" s="559"/>
      <c r="P48" s="559"/>
      <c r="Q48" s="559">
        <f t="shared" si="4"/>
        <v>4749.0267750000012</v>
      </c>
      <c r="R48" s="559"/>
      <c r="S48" s="559">
        <f t="shared" si="5"/>
        <v>47950.264275000001</v>
      </c>
      <c r="T48" s="737"/>
      <c r="U48" s="665"/>
      <c r="V48" s="665"/>
      <c r="W48" s="588"/>
      <c r="X48" s="588"/>
      <c r="Y48" s="588"/>
      <c r="Z48" s="588"/>
      <c r="AA48" s="588"/>
      <c r="AB48" s="588"/>
      <c r="AC48" s="588"/>
      <c r="AD48" s="588"/>
      <c r="AE48" s="588"/>
      <c r="AF48" s="588"/>
      <c r="AG48" s="588"/>
      <c r="AH48" s="588"/>
      <c r="AI48" s="588"/>
      <c r="AJ48" s="588"/>
      <c r="AK48" s="588"/>
      <c r="AL48" s="588"/>
      <c r="AM48" s="588"/>
      <c r="AN48" s="588"/>
      <c r="AO48" s="588"/>
      <c r="AP48" s="588"/>
      <c r="AQ48" s="588"/>
      <c r="AR48" s="588"/>
      <c r="AS48" s="588"/>
      <c r="AT48" s="588"/>
      <c r="AU48" s="588"/>
      <c r="AV48" s="588"/>
      <c r="AW48" s="588"/>
      <c r="AX48" s="588"/>
      <c r="AY48" s="588"/>
      <c r="AZ48" s="588"/>
      <c r="BA48" s="588"/>
      <c r="BB48" s="588"/>
      <c r="BC48" s="588"/>
      <c r="BD48" s="588"/>
      <c r="BE48" s="588"/>
      <c r="BF48" s="588"/>
    </row>
    <row r="49" spans="1:58" ht="16" customHeight="1" x14ac:dyDescent="0.35">
      <c r="A49" s="748" t="s">
        <v>1532</v>
      </c>
      <c r="B49" s="550" t="s">
        <v>1533</v>
      </c>
      <c r="C49" s="747">
        <v>33</v>
      </c>
      <c r="D49" s="740"/>
      <c r="E49" s="742">
        <v>44862.705000000002</v>
      </c>
      <c r="F49" s="559"/>
      <c r="G49" s="559">
        <f t="shared" si="0"/>
        <v>4978.3092900000011</v>
      </c>
      <c r="H49" s="559"/>
      <c r="I49" s="559">
        <f t="shared" si="1"/>
        <v>11170.813545000001</v>
      </c>
      <c r="J49" s="559"/>
      <c r="K49" s="559">
        <f t="shared" si="2"/>
        <v>61011.705000000002</v>
      </c>
      <c r="L49" s="559"/>
      <c r="M49" s="736">
        <f t="shared" si="3"/>
        <v>44862.705000000002</v>
      </c>
      <c r="N49" s="559"/>
      <c r="O49" s="559"/>
      <c r="P49" s="559"/>
      <c r="Q49" s="559">
        <f t="shared" si="4"/>
        <v>4978.3092900000011</v>
      </c>
      <c r="R49" s="559"/>
      <c r="S49" s="559">
        <f t="shared" si="5"/>
        <v>49841.014290000006</v>
      </c>
      <c r="T49" s="737"/>
      <c r="U49" s="743"/>
      <c r="V49" s="743"/>
      <c r="W49" s="588"/>
      <c r="X49" s="588"/>
      <c r="Y49" s="588"/>
      <c r="Z49" s="588"/>
      <c r="AA49" s="588"/>
      <c r="AB49" s="588"/>
      <c r="AC49" s="588"/>
      <c r="AD49" s="588"/>
      <c r="AE49" s="588"/>
      <c r="AF49" s="588"/>
      <c r="AG49" s="588"/>
      <c r="AH49" s="588"/>
      <c r="AI49" s="588"/>
      <c r="AJ49" s="588"/>
      <c r="AK49" s="588"/>
      <c r="AL49" s="588"/>
      <c r="AM49" s="588"/>
      <c r="AN49" s="588"/>
      <c r="AO49" s="588"/>
      <c r="AP49" s="588"/>
      <c r="AQ49" s="588"/>
      <c r="AR49" s="588"/>
      <c r="AS49" s="588"/>
      <c r="AT49" s="588"/>
      <c r="AU49" s="588"/>
      <c r="AV49" s="588"/>
      <c r="AW49" s="588"/>
      <c r="AX49" s="588"/>
      <c r="AY49" s="588"/>
      <c r="AZ49" s="588"/>
      <c r="BA49" s="588"/>
      <c r="BB49" s="588"/>
      <c r="BC49" s="588"/>
      <c r="BD49" s="588"/>
      <c r="BE49" s="588"/>
      <c r="BF49" s="588"/>
    </row>
    <row r="50" spans="1:58" ht="16" customHeight="1" x14ac:dyDescent="0.35">
      <c r="A50" s="749"/>
      <c r="B50" s="550" t="s">
        <v>1533</v>
      </c>
      <c r="C50" s="550">
        <v>34</v>
      </c>
      <c r="D50" s="521"/>
      <c r="E50" s="742">
        <v>47179.717500000006</v>
      </c>
      <c r="F50" s="559"/>
      <c r="G50" s="559">
        <f t="shared" si="0"/>
        <v>5298.0570150000012</v>
      </c>
      <c r="H50" s="559"/>
      <c r="I50" s="559">
        <f t="shared" si="1"/>
        <v>11747.749657500002</v>
      </c>
      <c r="J50" s="559"/>
      <c r="K50" s="559">
        <f t="shared" si="2"/>
        <v>64225.717500000006</v>
      </c>
      <c r="L50" s="559"/>
      <c r="M50" s="736">
        <f t="shared" si="3"/>
        <v>47179.717500000006</v>
      </c>
      <c r="N50" s="559"/>
      <c r="O50" s="559"/>
      <c r="P50" s="559"/>
      <c r="Q50" s="559">
        <f t="shared" si="4"/>
        <v>5298.0570150000012</v>
      </c>
      <c r="R50" s="559"/>
      <c r="S50" s="559">
        <f t="shared" si="5"/>
        <v>52477.774515000005</v>
      </c>
      <c r="T50" s="737"/>
      <c r="U50" s="665"/>
      <c r="V50" s="665"/>
      <c r="W50" s="588"/>
      <c r="X50" s="588"/>
      <c r="Y50" s="588"/>
      <c r="Z50" s="588"/>
      <c r="AA50" s="588"/>
      <c r="AB50" s="588"/>
      <c r="AC50" s="588"/>
      <c r="AD50" s="588"/>
      <c r="AE50" s="588"/>
      <c r="AF50" s="588"/>
      <c r="AG50" s="588"/>
      <c r="AH50" s="588"/>
      <c r="AI50" s="588"/>
      <c r="AJ50" s="588"/>
      <c r="AK50" s="588"/>
      <c r="AL50" s="588"/>
      <c r="AM50" s="588"/>
      <c r="AN50" s="588"/>
      <c r="AO50" s="588"/>
      <c r="AP50" s="588"/>
      <c r="AQ50" s="588"/>
      <c r="AR50" s="588"/>
      <c r="AS50" s="588"/>
      <c r="AT50" s="588"/>
      <c r="AU50" s="588"/>
      <c r="AV50" s="588"/>
      <c r="AW50" s="588"/>
      <c r="AX50" s="588"/>
      <c r="AY50" s="588"/>
      <c r="AZ50" s="588"/>
      <c r="BA50" s="588"/>
      <c r="BB50" s="588"/>
      <c r="BC50" s="588"/>
      <c r="BD50" s="588"/>
      <c r="BE50" s="588"/>
      <c r="BF50" s="588"/>
    </row>
    <row r="51" spans="1:58" ht="16" customHeight="1" x14ac:dyDescent="0.35">
      <c r="A51" s="748"/>
      <c r="B51" s="518" t="s">
        <v>1533</v>
      </c>
      <c r="C51" s="550">
        <v>35</v>
      </c>
      <c r="D51" s="521"/>
      <c r="E51" s="742">
        <v>49497.757500000007</v>
      </c>
      <c r="F51" s="559"/>
      <c r="G51" s="559">
        <f t="shared" si="0"/>
        <v>5617.9465350000019</v>
      </c>
      <c r="H51" s="559"/>
      <c r="I51" s="559">
        <f t="shared" si="1"/>
        <v>12324.941617500002</v>
      </c>
      <c r="J51" s="559"/>
      <c r="K51" s="559">
        <f t="shared" si="2"/>
        <v>67440.757500000007</v>
      </c>
      <c r="L51" s="559"/>
      <c r="M51" s="736">
        <f t="shared" si="3"/>
        <v>49497.757500000007</v>
      </c>
      <c r="N51" s="559"/>
      <c r="O51" s="559"/>
      <c r="P51" s="559"/>
      <c r="Q51" s="559">
        <f t="shared" si="4"/>
        <v>5617.9465350000019</v>
      </c>
      <c r="R51" s="559"/>
      <c r="S51" s="559">
        <f t="shared" si="5"/>
        <v>55115.70403500001</v>
      </c>
      <c r="T51" s="737"/>
      <c r="U51" s="665"/>
      <c r="V51" s="665"/>
      <c r="W51" s="588"/>
      <c r="X51" s="588"/>
      <c r="Y51" s="588"/>
      <c r="Z51" s="588"/>
      <c r="AA51" s="588"/>
      <c r="AB51" s="588"/>
      <c r="AC51" s="588"/>
      <c r="AD51" s="588"/>
      <c r="AE51" s="588"/>
      <c r="AF51" s="588"/>
      <c r="AG51" s="588"/>
      <c r="AH51" s="588"/>
      <c r="AI51" s="588"/>
      <c r="AJ51" s="588"/>
      <c r="AK51" s="588"/>
      <c r="AL51" s="588"/>
      <c r="AM51" s="588"/>
      <c r="AN51" s="588"/>
      <c r="AO51" s="588"/>
      <c r="AP51" s="588"/>
      <c r="AQ51" s="588"/>
      <c r="AR51" s="588"/>
      <c r="AS51" s="588"/>
      <c r="AT51" s="588"/>
      <c r="AU51" s="588"/>
      <c r="AV51" s="588"/>
      <c r="AW51" s="588"/>
      <c r="AX51" s="588"/>
      <c r="AY51" s="588"/>
      <c r="AZ51" s="588"/>
      <c r="BA51" s="588"/>
      <c r="BB51" s="588"/>
      <c r="BC51" s="588"/>
      <c r="BD51" s="588"/>
      <c r="BE51" s="588"/>
      <c r="BF51" s="588"/>
    </row>
    <row r="52" spans="1:58" ht="16" customHeight="1" x14ac:dyDescent="0.35">
      <c r="A52" s="748" t="s">
        <v>1534</v>
      </c>
      <c r="B52" s="550" t="s">
        <v>1533</v>
      </c>
      <c r="C52" s="550">
        <v>36</v>
      </c>
      <c r="D52" s="521"/>
      <c r="E52" s="742">
        <v>51816.825000000004</v>
      </c>
      <c r="F52" s="559"/>
      <c r="G52" s="559">
        <f t="shared" si="0"/>
        <v>5937.9778500000011</v>
      </c>
      <c r="H52" s="559"/>
      <c r="I52" s="559">
        <f t="shared" si="1"/>
        <v>12902.389425000001</v>
      </c>
      <c r="J52" s="559"/>
      <c r="K52" s="559">
        <f t="shared" si="2"/>
        <v>70656.825000000012</v>
      </c>
      <c r="L52" s="559"/>
      <c r="M52" s="736">
        <f t="shared" si="3"/>
        <v>51816.825000000004</v>
      </c>
      <c r="N52" s="559"/>
      <c r="O52" s="559"/>
      <c r="P52" s="559"/>
      <c r="Q52" s="559">
        <f t="shared" si="4"/>
        <v>5937.9778500000011</v>
      </c>
      <c r="R52" s="559"/>
      <c r="S52" s="559">
        <f t="shared" si="5"/>
        <v>57754.802850000007</v>
      </c>
      <c r="T52" s="737"/>
      <c r="U52" s="665"/>
      <c r="V52" s="665"/>
      <c r="W52" s="588"/>
      <c r="X52" s="588"/>
      <c r="Y52" s="588"/>
      <c r="Z52" s="588"/>
      <c r="AA52" s="588"/>
      <c r="AB52" s="588"/>
      <c r="AC52" s="588"/>
      <c r="AD52" s="588"/>
      <c r="AE52" s="588"/>
      <c r="AF52" s="588"/>
      <c r="AG52" s="588"/>
      <c r="AH52" s="588"/>
      <c r="AI52" s="588"/>
      <c r="AJ52" s="588"/>
      <c r="AK52" s="588"/>
      <c r="AL52" s="588"/>
      <c r="AM52" s="588"/>
      <c r="AN52" s="588"/>
      <c r="AO52" s="588"/>
      <c r="AP52" s="588"/>
      <c r="AQ52" s="588"/>
      <c r="AR52" s="588"/>
      <c r="AS52" s="588"/>
      <c r="AT52" s="588"/>
      <c r="AU52" s="588"/>
      <c r="AV52" s="588"/>
      <c r="AW52" s="588"/>
      <c r="AX52" s="588"/>
      <c r="AY52" s="588"/>
      <c r="AZ52" s="588"/>
      <c r="BA52" s="588"/>
      <c r="BB52" s="588"/>
      <c r="BC52" s="588"/>
      <c r="BD52" s="588"/>
      <c r="BE52" s="588"/>
      <c r="BF52" s="588"/>
    </row>
    <row r="53" spans="1:58" ht="16" customHeight="1" x14ac:dyDescent="0.35">
      <c r="A53" s="748" t="s">
        <v>1534</v>
      </c>
      <c r="B53" s="550"/>
      <c r="C53" s="550">
        <v>37</v>
      </c>
      <c r="D53" s="521"/>
      <c r="E53" s="742">
        <v>53555.355000000003</v>
      </c>
      <c r="F53" s="559"/>
      <c r="G53" s="559">
        <f t="shared" si="0"/>
        <v>6177.8949900000007</v>
      </c>
      <c r="H53" s="559"/>
      <c r="I53" s="559">
        <f t="shared" si="1"/>
        <v>13335.283395</v>
      </c>
      <c r="J53" s="559"/>
      <c r="K53" s="559">
        <f t="shared" si="2"/>
        <v>73068.35500000001</v>
      </c>
      <c r="L53" s="559"/>
      <c r="M53" s="736">
        <f t="shared" si="3"/>
        <v>53555.355000000003</v>
      </c>
      <c r="N53" s="559"/>
      <c r="O53" s="559"/>
      <c r="P53" s="559"/>
      <c r="Q53" s="559">
        <f t="shared" si="4"/>
        <v>6177.8949900000007</v>
      </c>
      <c r="R53" s="559"/>
      <c r="S53" s="559">
        <f t="shared" si="5"/>
        <v>59733.249990000004</v>
      </c>
      <c r="T53" s="737"/>
      <c r="U53" s="665"/>
      <c r="V53" s="665"/>
      <c r="W53" s="588"/>
      <c r="X53" s="588"/>
      <c r="Y53" s="588"/>
      <c r="Z53" s="588"/>
      <c r="AA53" s="588"/>
      <c r="AB53" s="588"/>
      <c r="AC53" s="588"/>
      <c r="AD53" s="588"/>
      <c r="AE53" s="588"/>
      <c r="AF53" s="588"/>
      <c r="AG53" s="588"/>
      <c r="AH53" s="588"/>
      <c r="AI53" s="588"/>
      <c r="AJ53" s="588"/>
      <c r="AK53" s="588"/>
      <c r="AL53" s="588"/>
      <c r="AM53" s="588"/>
      <c r="AN53" s="588"/>
      <c r="AO53" s="588"/>
      <c r="AP53" s="588"/>
      <c r="AQ53" s="588"/>
      <c r="AR53" s="588"/>
      <c r="AS53" s="588"/>
      <c r="AT53" s="588"/>
      <c r="AU53" s="588"/>
      <c r="AV53" s="588"/>
      <c r="AW53" s="588"/>
      <c r="AX53" s="588"/>
      <c r="AY53" s="588"/>
      <c r="AZ53" s="588"/>
      <c r="BA53" s="588"/>
      <c r="BB53" s="588"/>
      <c r="BC53" s="588"/>
      <c r="BD53" s="588"/>
      <c r="BE53" s="588"/>
      <c r="BF53" s="588"/>
    </row>
    <row r="54" spans="1:58" ht="16" customHeight="1" x14ac:dyDescent="0.35">
      <c r="A54" s="748" t="s">
        <v>1534</v>
      </c>
      <c r="B54" s="518"/>
      <c r="C54" s="550">
        <v>38</v>
      </c>
      <c r="D54" s="521"/>
      <c r="E54" s="742">
        <v>55291.83</v>
      </c>
      <c r="F54" s="559"/>
      <c r="G54" s="559">
        <f t="shared" si="0"/>
        <v>6417.5285400000012</v>
      </c>
      <c r="H54" s="559"/>
      <c r="I54" s="559">
        <f t="shared" si="1"/>
        <v>13767.66567</v>
      </c>
      <c r="J54" s="559"/>
      <c r="K54" s="559">
        <f t="shared" si="2"/>
        <v>75477.83</v>
      </c>
      <c r="L54" s="559"/>
      <c r="M54" s="736">
        <f t="shared" si="3"/>
        <v>55291.83</v>
      </c>
      <c r="N54" s="559"/>
      <c r="O54" s="559"/>
      <c r="P54" s="559"/>
      <c r="Q54" s="559">
        <f t="shared" si="4"/>
        <v>6417.5285400000012</v>
      </c>
      <c r="R54" s="559"/>
      <c r="S54" s="559">
        <f t="shared" si="5"/>
        <v>61709.358540000001</v>
      </c>
      <c r="T54" s="737"/>
      <c r="U54" s="665"/>
      <c r="V54" s="665"/>
      <c r="W54" s="588"/>
      <c r="X54" s="588"/>
      <c r="Y54" s="588"/>
      <c r="Z54" s="588"/>
      <c r="AA54" s="588"/>
      <c r="AB54" s="588"/>
      <c r="AC54" s="588"/>
      <c r="AD54" s="588"/>
      <c r="AE54" s="588"/>
      <c r="AF54" s="588"/>
      <c r="AG54" s="588"/>
      <c r="AH54" s="588"/>
      <c r="AI54" s="588"/>
      <c r="AJ54" s="588"/>
      <c r="AK54" s="588"/>
      <c r="AL54" s="588"/>
      <c r="AM54" s="588"/>
      <c r="AN54" s="588"/>
      <c r="AO54" s="588"/>
      <c r="AP54" s="588"/>
      <c r="AQ54" s="588"/>
      <c r="AR54" s="588"/>
      <c r="AS54" s="588"/>
      <c r="AT54" s="588"/>
      <c r="AU54" s="588"/>
      <c r="AV54" s="588"/>
      <c r="AW54" s="588"/>
      <c r="AX54" s="588"/>
      <c r="AY54" s="588"/>
      <c r="AZ54" s="588"/>
      <c r="BA54" s="588"/>
      <c r="BB54" s="588"/>
      <c r="BC54" s="588"/>
      <c r="BD54" s="588"/>
      <c r="BE54" s="588"/>
      <c r="BF54" s="588"/>
    </row>
    <row r="55" spans="1:58" ht="16" customHeight="1" x14ac:dyDescent="0.35">
      <c r="A55" s="748" t="s">
        <v>1534</v>
      </c>
      <c r="B55" s="550" t="s">
        <v>1535</v>
      </c>
      <c r="C55" s="550">
        <v>39</v>
      </c>
      <c r="D55" s="521"/>
      <c r="E55" s="742">
        <v>57029.332500000004</v>
      </c>
      <c r="F55" s="559"/>
      <c r="G55" s="559">
        <f t="shared" si="0"/>
        <v>6657.3038850000012</v>
      </c>
      <c r="H55" s="559"/>
      <c r="I55" s="559">
        <f t="shared" si="1"/>
        <v>14200.303792500001</v>
      </c>
      <c r="J55" s="559"/>
      <c r="K55" s="559">
        <f t="shared" si="2"/>
        <v>77886.332500000004</v>
      </c>
      <c r="L55" s="559"/>
      <c r="M55" s="736">
        <f t="shared" si="3"/>
        <v>57029.332500000004</v>
      </c>
      <c r="N55" s="559"/>
      <c r="O55" s="559"/>
      <c r="P55" s="559"/>
      <c r="Q55" s="559">
        <f t="shared" si="4"/>
        <v>6657.3038850000012</v>
      </c>
      <c r="R55" s="559"/>
      <c r="S55" s="559">
        <f t="shared" si="5"/>
        <v>63686.636385000005</v>
      </c>
      <c r="T55" s="737"/>
      <c r="U55" s="665"/>
      <c r="V55" s="665"/>
      <c r="W55" s="588"/>
      <c r="X55" s="588"/>
      <c r="Y55" s="588"/>
      <c r="Z55" s="588"/>
      <c r="AA55" s="588"/>
      <c r="AB55" s="588"/>
      <c r="AC55" s="588"/>
      <c r="AD55" s="588"/>
      <c r="AE55" s="588"/>
      <c r="AF55" s="588"/>
      <c r="AG55" s="588"/>
      <c r="AH55" s="588"/>
      <c r="AI55" s="588"/>
      <c r="AJ55" s="588"/>
      <c r="AK55" s="588"/>
      <c r="AL55" s="588"/>
      <c r="AM55" s="588"/>
      <c r="AN55" s="588"/>
      <c r="AO55" s="588"/>
      <c r="AP55" s="588"/>
      <c r="AQ55" s="588"/>
      <c r="AR55" s="588"/>
      <c r="AS55" s="588"/>
      <c r="AT55" s="588"/>
      <c r="AU55" s="588"/>
      <c r="AV55" s="588"/>
      <c r="AW55" s="588"/>
      <c r="AX55" s="588"/>
      <c r="AY55" s="588"/>
      <c r="AZ55" s="588"/>
      <c r="BA55" s="588"/>
      <c r="BB55" s="588"/>
      <c r="BC55" s="588"/>
      <c r="BD55" s="588"/>
      <c r="BE55" s="588"/>
      <c r="BF55" s="588"/>
    </row>
    <row r="56" spans="1:58" ht="16" customHeight="1" x14ac:dyDescent="0.35">
      <c r="A56" s="748"/>
      <c r="B56" s="550" t="s">
        <v>1535</v>
      </c>
      <c r="C56" s="550">
        <v>40</v>
      </c>
      <c r="D56" s="521"/>
      <c r="E56" s="742">
        <v>58766.835000000006</v>
      </c>
      <c r="F56" s="559"/>
      <c r="G56" s="559">
        <f t="shared" si="0"/>
        <v>6897.0792300000012</v>
      </c>
      <c r="H56" s="559"/>
      <c r="I56" s="559">
        <f t="shared" si="1"/>
        <v>14632.941915000001</v>
      </c>
      <c r="J56" s="559"/>
      <c r="K56" s="559">
        <f t="shared" si="2"/>
        <v>80296.835000000006</v>
      </c>
      <c r="L56" s="559"/>
      <c r="M56" s="736">
        <f t="shared" si="3"/>
        <v>58766.835000000006</v>
      </c>
      <c r="N56" s="559"/>
      <c r="O56" s="559"/>
      <c r="P56" s="559"/>
      <c r="Q56" s="559">
        <f t="shared" si="4"/>
        <v>6897.0792300000012</v>
      </c>
      <c r="R56" s="559"/>
      <c r="S56" s="559">
        <f t="shared" si="5"/>
        <v>65663.914230000009</v>
      </c>
      <c r="T56" s="737"/>
      <c r="U56" s="665"/>
      <c r="V56" s="665"/>
      <c r="W56" s="588"/>
      <c r="X56" s="588"/>
      <c r="Y56" s="588"/>
      <c r="Z56" s="588"/>
      <c r="AA56" s="588"/>
      <c r="AB56" s="588"/>
      <c r="AC56" s="588"/>
      <c r="AD56" s="588"/>
      <c r="AE56" s="588"/>
      <c r="AF56" s="588"/>
      <c r="AG56" s="588"/>
      <c r="AH56" s="588"/>
      <c r="AI56" s="588"/>
      <c r="AJ56" s="588"/>
      <c r="AK56" s="588"/>
      <c r="AL56" s="588"/>
      <c r="AM56" s="588"/>
      <c r="AN56" s="588"/>
      <c r="AO56" s="588"/>
      <c r="AP56" s="588"/>
      <c r="AQ56" s="588"/>
      <c r="AR56" s="588"/>
      <c r="AS56" s="588"/>
      <c r="AT56" s="588"/>
      <c r="AU56" s="588"/>
      <c r="AV56" s="588"/>
      <c r="AW56" s="588"/>
      <c r="AX56" s="588"/>
      <c r="AY56" s="588"/>
      <c r="AZ56" s="588"/>
      <c r="BA56" s="588"/>
      <c r="BB56" s="588"/>
      <c r="BC56" s="588"/>
      <c r="BD56" s="588"/>
      <c r="BE56" s="588"/>
      <c r="BF56" s="588"/>
    </row>
    <row r="57" spans="1:58" ht="16" customHeight="1" x14ac:dyDescent="0.35">
      <c r="A57" s="748"/>
      <c r="B57" s="518" t="s">
        <v>1535</v>
      </c>
      <c r="C57" s="550">
        <v>41</v>
      </c>
      <c r="D57" s="521"/>
      <c r="E57" s="742">
        <v>60506.392500000002</v>
      </c>
      <c r="F57" s="559"/>
      <c r="G57" s="559">
        <f t="shared" si="0"/>
        <v>7137.1381650000012</v>
      </c>
      <c r="H57" s="559"/>
      <c r="I57" s="559">
        <f t="shared" si="1"/>
        <v>15066.091732500001</v>
      </c>
      <c r="J57" s="559"/>
      <c r="K57" s="559">
        <f t="shared" si="2"/>
        <v>82709.392500000002</v>
      </c>
      <c r="L57" s="559"/>
      <c r="M57" s="736">
        <f t="shared" si="3"/>
        <v>60506.392500000002</v>
      </c>
      <c r="N57" s="559"/>
      <c r="O57" s="559"/>
      <c r="P57" s="559"/>
      <c r="Q57" s="559">
        <f t="shared" si="4"/>
        <v>7137.1381650000012</v>
      </c>
      <c r="R57" s="559"/>
      <c r="S57" s="559">
        <f t="shared" si="5"/>
        <v>67643.530664999998</v>
      </c>
      <c r="T57" s="737"/>
      <c r="U57" s="665"/>
      <c r="V57" s="665"/>
      <c r="W57" s="588"/>
      <c r="X57" s="588"/>
      <c r="Y57" s="588"/>
      <c r="Z57" s="588"/>
      <c r="AA57" s="588"/>
      <c r="AB57" s="588"/>
      <c r="AC57" s="588"/>
      <c r="AD57" s="588"/>
      <c r="AE57" s="588"/>
      <c r="AF57" s="588"/>
      <c r="AG57" s="588"/>
      <c r="AH57" s="588"/>
      <c r="AI57" s="588"/>
      <c r="AJ57" s="588"/>
      <c r="AK57" s="588"/>
      <c r="AL57" s="588"/>
      <c r="AM57" s="588"/>
      <c r="AN57" s="588"/>
      <c r="AO57" s="588"/>
      <c r="AP57" s="588"/>
      <c r="AQ57" s="588"/>
      <c r="AR57" s="588"/>
      <c r="AS57" s="588"/>
      <c r="AT57" s="588"/>
      <c r="AU57" s="588"/>
      <c r="AV57" s="588"/>
      <c r="AW57" s="588"/>
      <c r="AX57" s="588"/>
      <c r="AY57" s="588"/>
      <c r="AZ57" s="588"/>
      <c r="BA57" s="588"/>
      <c r="BB57" s="588"/>
      <c r="BC57" s="588"/>
      <c r="BD57" s="588"/>
      <c r="BE57" s="588"/>
      <c r="BF57" s="588"/>
    </row>
    <row r="58" spans="1:58" ht="16" customHeight="1" x14ac:dyDescent="0.35">
      <c r="A58" s="748" t="s">
        <v>1536</v>
      </c>
      <c r="B58" s="550" t="s">
        <v>1535</v>
      </c>
      <c r="C58" s="550">
        <v>42</v>
      </c>
      <c r="D58" s="521"/>
      <c r="E58" s="742">
        <v>62243.895000000004</v>
      </c>
      <c r="F58" s="559"/>
      <c r="G58" s="559">
        <f t="shared" si="0"/>
        <v>7376.9135100000012</v>
      </c>
      <c r="H58" s="559"/>
      <c r="I58" s="559">
        <f t="shared" si="1"/>
        <v>15498.729855000001</v>
      </c>
      <c r="J58" s="559"/>
      <c r="K58" s="559">
        <f t="shared" si="2"/>
        <v>85119.895000000004</v>
      </c>
      <c r="L58" s="559"/>
      <c r="M58" s="736">
        <f t="shared" si="3"/>
        <v>62243.895000000004</v>
      </c>
      <c r="N58" s="559"/>
      <c r="O58" s="559"/>
      <c r="P58" s="559"/>
      <c r="Q58" s="559">
        <f t="shared" si="4"/>
        <v>7376.9135100000012</v>
      </c>
      <c r="R58" s="559"/>
      <c r="S58" s="559">
        <f t="shared" si="5"/>
        <v>69620.808510000003</v>
      </c>
      <c r="T58" s="737"/>
      <c r="U58" s="665"/>
      <c r="V58" s="665"/>
      <c r="W58" s="588"/>
      <c r="X58" s="588"/>
      <c r="Y58" s="588"/>
      <c r="Z58" s="588"/>
      <c r="AA58" s="588"/>
      <c r="AB58" s="588"/>
      <c r="AC58" s="588"/>
      <c r="AD58" s="588"/>
      <c r="AE58" s="588"/>
      <c r="AF58" s="588"/>
      <c r="AG58" s="588"/>
      <c r="AH58" s="588"/>
      <c r="AI58" s="588"/>
      <c r="AJ58" s="588"/>
      <c r="AK58" s="588"/>
      <c r="AL58" s="588"/>
      <c r="AM58" s="588"/>
      <c r="AN58" s="588"/>
      <c r="AO58" s="588"/>
      <c r="AP58" s="588"/>
      <c r="AQ58" s="588"/>
      <c r="AR58" s="588"/>
      <c r="AS58" s="588"/>
      <c r="AT58" s="588"/>
      <c r="AU58" s="588"/>
      <c r="AV58" s="588"/>
      <c r="AW58" s="588"/>
      <c r="AX58" s="588"/>
      <c r="AY58" s="588"/>
      <c r="AZ58" s="588"/>
      <c r="BA58" s="588"/>
      <c r="BB58" s="588"/>
      <c r="BC58" s="588"/>
      <c r="BD58" s="588"/>
      <c r="BE58" s="588"/>
      <c r="BF58" s="588"/>
    </row>
    <row r="59" spans="1:58" ht="16" customHeight="1" x14ac:dyDescent="0.35">
      <c r="A59" s="748" t="s">
        <v>1536</v>
      </c>
      <c r="B59" s="550"/>
      <c r="C59" s="550">
        <v>43</v>
      </c>
      <c r="D59" s="521"/>
      <c r="E59" s="742">
        <v>63980.37</v>
      </c>
      <c r="F59" s="559"/>
      <c r="G59" s="559">
        <f t="shared" si="0"/>
        <v>7616.5470600000008</v>
      </c>
      <c r="H59" s="559"/>
      <c r="I59" s="559">
        <f t="shared" si="1"/>
        <v>15931.112130000001</v>
      </c>
      <c r="J59" s="559"/>
      <c r="K59" s="559">
        <f t="shared" si="2"/>
        <v>87528.37</v>
      </c>
      <c r="L59" s="559"/>
      <c r="M59" s="736">
        <f t="shared" si="3"/>
        <v>63980.37</v>
      </c>
      <c r="N59" s="559"/>
      <c r="O59" s="559"/>
      <c r="P59" s="559"/>
      <c r="Q59" s="559">
        <f t="shared" si="4"/>
        <v>7616.5470600000008</v>
      </c>
      <c r="R59" s="559"/>
      <c r="S59" s="559">
        <f t="shared" si="5"/>
        <v>71596.917060000007</v>
      </c>
      <c r="T59" s="737"/>
      <c r="U59" s="665"/>
      <c r="V59" s="665"/>
      <c r="W59" s="588"/>
      <c r="X59" s="588"/>
      <c r="Y59" s="588"/>
      <c r="Z59" s="588"/>
      <c r="AA59" s="588"/>
      <c r="AB59" s="588"/>
      <c r="AC59" s="588"/>
      <c r="AD59" s="588"/>
      <c r="AE59" s="588"/>
      <c r="AF59" s="588"/>
      <c r="AG59" s="588"/>
      <c r="AH59" s="588"/>
      <c r="AI59" s="588"/>
      <c r="AJ59" s="588"/>
      <c r="AK59" s="588"/>
      <c r="AL59" s="588"/>
      <c r="AM59" s="588"/>
      <c r="AN59" s="588"/>
      <c r="AO59" s="588"/>
      <c r="AP59" s="588"/>
      <c r="AQ59" s="588"/>
      <c r="AR59" s="588"/>
      <c r="AS59" s="588"/>
      <c r="AT59" s="588"/>
      <c r="AU59" s="588"/>
      <c r="AV59" s="588"/>
      <c r="AW59" s="588"/>
      <c r="AX59" s="588"/>
      <c r="AY59" s="588"/>
      <c r="AZ59" s="588"/>
      <c r="BA59" s="588"/>
      <c r="BB59" s="588"/>
      <c r="BC59" s="588"/>
      <c r="BD59" s="588"/>
      <c r="BE59" s="588"/>
      <c r="BF59" s="588"/>
    </row>
    <row r="60" spans="1:58" ht="16" customHeight="1" x14ac:dyDescent="0.35">
      <c r="A60" s="748" t="s">
        <v>1536</v>
      </c>
      <c r="B60" s="518"/>
      <c r="C60" s="550">
        <v>44</v>
      </c>
      <c r="D60" s="521"/>
      <c r="E60" s="742">
        <v>65718.900000000009</v>
      </c>
      <c r="F60" s="559"/>
      <c r="G60" s="559">
        <f t="shared" si="0"/>
        <v>7856.4642000000022</v>
      </c>
      <c r="H60" s="559"/>
      <c r="I60" s="559">
        <f t="shared" si="1"/>
        <v>16364.006100000002</v>
      </c>
      <c r="J60" s="559"/>
      <c r="K60" s="559">
        <f t="shared" si="2"/>
        <v>89938.900000000009</v>
      </c>
      <c r="L60" s="559"/>
      <c r="M60" s="736">
        <f t="shared" si="3"/>
        <v>65718.900000000009</v>
      </c>
      <c r="N60" s="559"/>
      <c r="O60" s="559"/>
      <c r="P60" s="559"/>
      <c r="Q60" s="559">
        <f t="shared" si="4"/>
        <v>7856.4642000000022</v>
      </c>
      <c r="R60" s="559"/>
      <c r="S60" s="559">
        <f t="shared" si="5"/>
        <v>73575.364200000011</v>
      </c>
      <c r="T60" s="737"/>
      <c r="U60" s="665"/>
      <c r="V60" s="665"/>
      <c r="W60" s="588"/>
      <c r="X60" s="588"/>
      <c r="Y60" s="588"/>
      <c r="Z60" s="588"/>
      <c r="AA60" s="588"/>
      <c r="AB60" s="588"/>
      <c r="AC60" s="588"/>
      <c r="AD60" s="588"/>
      <c r="AE60" s="588"/>
      <c r="AF60" s="588"/>
      <c r="AG60" s="588"/>
      <c r="AH60" s="588"/>
      <c r="AI60" s="588"/>
      <c r="AJ60" s="588"/>
      <c r="AK60" s="588"/>
      <c r="AL60" s="588"/>
      <c r="AM60" s="588"/>
      <c r="AN60" s="588"/>
      <c r="AO60" s="588"/>
      <c r="AP60" s="588"/>
      <c r="AQ60" s="588"/>
      <c r="AR60" s="588"/>
      <c r="AS60" s="588"/>
      <c r="AT60" s="588"/>
      <c r="AU60" s="588"/>
      <c r="AV60" s="588"/>
      <c r="AW60" s="588"/>
      <c r="AX60" s="588"/>
      <c r="AY60" s="588"/>
      <c r="AZ60" s="588"/>
      <c r="BA60" s="588"/>
      <c r="BB60" s="588"/>
      <c r="BC60" s="588"/>
      <c r="BD60" s="588"/>
      <c r="BE60" s="588"/>
      <c r="BF60" s="588"/>
    </row>
    <row r="61" spans="1:58" ht="16" customHeight="1" x14ac:dyDescent="0.35">
      <c r="A61" s="748" t="s">
        <v>1536</v>
      </c>
      <c r="B61" s="550" t="s">
        <v>1537</v>
      </c>
      <c r="C61" s="550">
        <v>45</v>
      </c>
      <c r="D61" s="521"/>
      <c r="E61" s="742">
        <v>67456.402500000011</v>
      </c>
      <c r="F61" s="559"/>
      <c r="G61" s="559">
        <f t="shared" si="0"/>
        <v>8096.2395450000022</v>
      </c>
      <c r="H61" s="559"/>
      <c r="I61" s="559">
        <f t="shared" si="1"/>
        <v>16796.644222500003</v>
      </c>
      <c r="J61" s="559"/>
      <c r="K61" s="559">
        <f t="shared" si="2"/>
        <v>92349.402500000011</v>
      </c>
      <c r="L61" s="559"/>
      <c r="M61" s="736">
        <f t="shared" si="3"/>
        <v>67456.402500000011</v>
      </c>
      <c r="N61" s="559"/>
      <c r="O61" s="559"/>
      <c r="P61" s="559"/>
      <c r="Q61" s="559">
        <f t="shared" si="4"/>
        <v>8096.2395450000022</v>
      </c>
      <c r="R61" s="559"/>
      <c r="S61" s="559">
        <f t="shared" si="5"/>
        <v>75552.642045000015</v>
      </c>
      <c r="T61" s="737"/>
      <c r="U61" s="665"/>
      <c r="V61" s="665"/>
      <c r="W61" s="588"/>
      <c r="X61" s="588"/>
      <c r="Y61" s="588"/>
      <c r="Z61" s="588"/>
      <c r="AA61" s="588"/>
      <c r="AB61" s="588"/>
      <c r="AC61" s="588"/>
      <c r="AD61" s="588"/>
      <c r="AE61" s="588"/>
      <c r="AF61" s="588"/>
      <c r="AG61" s="588"/>
      <c r="AH61" s="588"/>
      <c r="AI61" s="588"/>
      <c r="AJ61" s="588"/>
      <c r="AK61" s="588"/>
      <c r="AL61" s="588"/>
      <c r="AM61" s="588"/>
      <c r="AN61" s="588"/>
      <c r="AO61" s="588"/>
      <c r="AP61" s="588"/>
      <c r="AQ61" s="588"/>
      <c r="AR61" s="588"/>
      <c r="AS61" s="588"/>
      <c r="AT61" s="588"/>
      <c r="AU61" s="588"/>
      <c r="AV61" s="588"/>
      <c r="AW61" s="588"/>
      <c r="AX61" s="588"/>
      <c r="AY61" s="588"/>
      <c r="AZ61" s="588"/>
      <c r="BA61" s="588"/>
      <c r="BB61" s="588"/>
      <c r="BC61" s="588"/>
      <c r="BD61" s="588"/>
      <c r="BE61" s="588"/>
      <c r="BF61" s="588"/>
    </row>
    <row r="62" spans="1:58" ht="16" customHeight="1" x14ac:dyDescent="0.35">
      <c r="A62" s="748"/>
      <c r="B62" s="550" t="s">
        <v>1537</v>
      </c>
      <c r="C62" s="550">
        <v>46</v>
      </c>
      <c r="D62" s="521"/>
      <c r="E62" s="742">
        <v>69193.904999999999</v>
      </c>
      <c r="F62" s="559"/>
      <c r="G62" s="559">
        <f t="shared" si="0"/>
        <v>8336.0148900000004</v>
      </c>
      <c r="H62" s="559"/>
      <c r="I62" s="559">
        <f t="shared" si="1"/>
        <v>17229.282345</v>
      </c>
      <c r="J62" s="559"/>
      <c r="K62" s="559">
        <f t="shared" si="2"/>
        <v>94758.904999999999</v>
      </c>
      <c r="L62" s="559"/>
      <c r="M62" s="736">
        <f t="shared" si="3"/>
        <v>69193.904999999999</v>
      </c>
      <c r="N62" s="559"/>
      <c r="O62" s="559"/>
      <c r="P62" s="559"/>
      <c r="Q62" s="559">
        <f t="shared" si="4"/>
        <v>8336.0148900000004</v>
      </c>
      <c r="R62" s="559"/>
      <c r="S62" s="559">
        <f t="shared" si="5"/>
        <v>77529.919890000005</v>
      </c>
      <c r="T62" s="737"/>
      <c r="U62" s="665"/>
      <c r="V62" s="665"/>
      <c r="W62" s="588"/>
      <c r="X62" s="588"/>
      <c r="Y62" s="588"/>
      <c r="Z62" s="588"/>
      <c r="AA62" s="588"/>
      <c r="AB62" s="588"/>
      <c r="AC62" s="588"/>
      <c r="AD62" s="588"/>
      <c r="AE62" s="588"/>
      <c r="AF62" s="588"/>
      <c r="AG62" s="588"/>
      <c r="AH62" s="588"/>
      <c r="AI62" s="588"/>
      <c r="AJ62" s="588"/>
      <c r="AK62" s="588"/>
      <c r="AL62" s="588"/>
      <c r="AM62" s="588"/>
      <c r="AN62" s="588"/>
      <c r="AO62" s="588"/>
      <c r="AP62" s="588"/>
      <c r="AQ62" s="588"/>
      <c r="AR62" s="588"/>
      <c r="AS62" s="588"/>
      <c r="AT62" s="588"/>
      <c r="AU62" s="588"/>
      <c r="AV62" s="588"/>
      <c r="AW62" s="588"/>
      <c r="AX62" s="588"/>
      <c r="AY62" s="588"/>
      <c r="AZ62" s="588"/>
      <c r="BA62" s="588"/>
      <c r="BB62" s="588"/>
      <c r="BC62" s="588"/>
      <c r="BD62" s="588"/>
      <c r="BE62" s="588"/>
      <c r="BF62" s="588"/>
    </row>
    <row r="63" spans="1:58" ht="16" customHeight="1" x14ac:dyDescent="0.35">
      <c r="A63" s="748"/>
      <c r="B63" s="550" t="s">
        <v>1537</v>
      </c>
      <c r="C63" s="550">
        <v>47</v>
      </c>
      <c r="D63" s="521"/>
      <c r="E63" s="742">
        <v>70931.407500000001</v>
      </c>
      <c r="F63" s="559"/>
      <c r="G63" s="559">
        <f t="shared" si="0"/>
        <v>8575.7902350000004</v>
      </c>
      <c r="H63" s="559"/>
      <c r="I63" s="559">
        <f t="shared" si="1"/>
        <v>17661.9204675</v>
      </c>
      <c r="J63" s="559"/>
      <c r="K63" s="559">
        <f t="shared" si="2"/>
        <v>97169.407500000001</v>
      </c>
      <c r="L63" s="559"/>
      <c r="M63" s="736">
        <f t="shared" si="3"/>
        <v>70931.407500000001</v>
      </c>
      <c r="N63" s="559"/>
      <c r="O63" s="559"/>
      <c r="P63" s="559"/>
      <c r="Q63" s="559">
        <f t="shared" si="4"/>
        <v>8575.7902350000004</v>
      </c>
      <c r="R63" s="559"/>
      <c r="S63" s="559">
        <f t="shared" si="5"/>
        <v>79507.197734999994</v>
      </c>
      <c r="T63" s="737"/>
      <c r="U63" s="665"/>
      <c r="V63" s="665"/>
      <c r="W63" s="588"/>
      <c r="X63" s="588"/>
      <c r="Y63" s="588"/>
      <c r="Z63" s="588"/>
      <c r="AA63" s="588"/>
      <c r="AB63" s="588"/>
      <c r="AC63" s="588"/>
      <c r="AD63" s="588"/>
      <c r="AE63" s="588"/>
      <c r="AF63" s="588"/>
      <c r="AG63" s="588"/>
      <c r="AH63" s="588"/>
      <c r="AI63" s="588"/>
      <c r="AJ63" s="588"/>
      <c r="AK63" s="588"/>
      <c r="AL63" s="588"/>
      <c r="AM63" s="588"/>
      <c r="AN63" s="588"/>
      <c r="AO63" s="588"/>
      <c r="AP63" s="588"/>
      <c r="AQ63" s="588"/>
      <c r="AR63" s="588"/>
      <c r="AS63" s="588"/>
      <c r="AT63" s="588"/>
      <c r="AU63" s="588"/>
      <c r="AV63" s="588"/>
      <c r="AW63" s="588"/>
      <c r="AX63" s="588"/>
      <c r="AY63" s="588"/>
      <c r="AZ63" s="588"/>
      <c r="BA63" s="588"/>
      <c r="BB63" s="588"/>
      <c r="BC63" s="588"/>
      <c r="BD63" s="588"/>
      <c r="BE63" s="588"/>
      <c r="BF63" s="588"/>
    </row>
    <row r="64" spans="1:58" ht="16" customHeight="1" x14ac:dyDescent="0.35">
      <c r="A64" s="748"/>
      <c r="B64" s="550" t="s">
        <v>1537</v>
      </c>
      <c r="C64" s="550">
        <v>48</v>
      </c>
      <c r="D64" s="521"/>
      <c r="E64" s="742">
        <v>72669.9375</v>
      </c>
      <c r="F64" s="559"/>
      <c r="G64" s="559">
        <f t="shared" si="0"/>
        <v>8815.707375</v>
      </c>
      <c r="H64" s="559"/>
      <c r="I64" s="559">
        <f t="shared" si="1"/>
        <v>18094.814437500001</v>
      </c>
      <c r="J64" s="559"/>
      <c r="K64" s="559">
        <f t="shared" si="2"/>
        <v>99580.9375</v>
      </c>
      <c r="L64" s="559"/>
      <c r="M64" s="736">
        <f t="shared" si="3"/>
        <v>72669.9375</v>
      </c>
      <c r="N64" s="559"/>
      <c r="O64" s="559"/>
      <c r="P64" s="559"/>
      <c r="Q64" s="559">
        <f t="shared" si="4"/>
        <v>8815.707375</v>
      </c>
      <c r="R64" s="559"/>
      <c r="S64" s="559">
        <f t="shared" si="5"/>
        <v>81485.644874999998</v>
      </c>
      <c r="T64" s="737"/>
      <c r="U64" s="665"/>
      <c r="V64" s="665"/>
      <c r="W64" s="588"/>
      <c r="X64" s="588"/>
      <c r="Y64" s="588"/>
      <c r="Z64" s="588"/>
      <c r="AA64" s="588"/>
      <c r="AB64" s="588"/>
      <c r="AC64" s="588"/>
      <c r="AD64" s="588"/>
      <c r="AE64" s="588"/>
      <c r="AF64" s="588"/>
      <c r="AG64" s="588"/>
      <c r="AH64" s="588"/>
      <c r="AI64" s="588"/>
      <c r="AJ64" s="588"/>
      <c r="AK64" s="588"/>
      <c r="AL64" s="588"/>
      <c r="AM64" s="588"/>
      <c r="AN64" s="588"/>
      <c r="AO64" s="588"/>
      <c r="AP64" s="588"/>
      <c r="AQ64" s="588"/>
      <c r="AR64" s="588"/>
      <c r="AS64" s="588"/>
      <c r="AT64" s="588"/>
      <c r="AU64" s="588"/>
      <c r="AV64" s="588"/>
      <c r="AW64" s="588"/>
      <c r="AX64" s="588"/>
      <c r="AY64" s="588"/>
      <c r="AZ64" s="588"/>
      <c r="BA64" s="588"/>
      <c r="BB64" s="588"/>
      <c r="BC64" s="588"/>
      <c r="BD64" s="588"/>
      <c r="BE64" s="588"/>
      <c r="BF64" s="588"/>
    </row>
    <row r="65" spans="1:58" ht="9" customHeight="1" thickBot="1" x14ac:dyDescent="0.4">
      <c r="A65" s="750"/>
      <c r="B65" s="751"/>
      <c r="C65" s="751"/>
      <c r="D65" s="752"/>
      <c r="E65" s="753"/>
      <c r="F65" s="753"/>
      <c r="G65" s="753"/>
      <c r="H65" s="753"/>
      <c r="I65" s="753"/>
      <c r="J65" s="753"/>
      <c r="K65" s="753"/>
      <c r="L65" s="753"/>
      <c r="M65" s="754"/>
      <c r="N65" s="753"/>
      <c r="O65" s="753"/>
      <c r="P65" s="753"/>
      <c r="Q65" s="753"/>
      <c r="R65" s="753"/>
      <c r="S65" s="753"/>
      <c r="T65" s="755"/>
      <c r="U65" s="588"/>
      <c r="V65" s="588"/>
      <c r="W65" s="588"/>
      <c r="X65" s="588"/>
      <c r="Y65" s="588"/>
      <c r="Z65" s="588"/>
      <c r="AA65" s="588"/>
      <c r="AB65" s="588"/>
      <c r="AC65" s="588"/>
      <c r="AD65" s="588"/>
      <c r="AE65" s="588"/>
      <c r="AF65" s="588"/>
      <c r="AG65" s="588"/>
      <c r="AH65" s="588"/>
      <c r="AI65" s="588"/>
      <c r="AJ65" s="588"/>
      <c r="AK65" s="588"/>
      <c r="AL65" s="588"/>
      <c r="AM65" s="588"/>
      <c r="AN65" s="588"/>
      <c r="AO65" s="588"/>
      <c r="AP65" s="588"/>
      <c r="AQ65" s="588"/>
      <c r="AR65" s="588"/>
      <c r="AS65" s="588"/>
      <c r="AT65" s="588"/>
      <c r="AU65" s="588"/>
      <c r="AV65" s="588"/>
      <c r="AW65" s="588"/>
      <c r="AX65" s="588"/>
      <c r="AY65" s="588"/>
      <c r="AZ65" s="588"/>
      <c r="BA65" s="588"/>
      <c r="BB65" s="588"/>
      <c r="BC65" s="588"/>
      <c r="BD65" s="588"/>
      <c r="BE65" s="588"/>
      <c r="BF65" s="588"/>
    </row>
    <row r="66" spans="1:58" ht="6.75" customHeight="1" thickTop="1" x14ac:dyDescent="0.35">
      <c r="A66" s="588"/>
      <c r="B66" s="588"/>
      <c r="C66" s="588"/>
      <c r="D66" s="588"/>
      <c r="E66" s="588"/>
      <c r="F66" s="588"/>
      <c r="G66" s="588"/>
      <c r="H66" s="588"/>
      <c r="I66" s="588"/>
      <c r="J66" s="588"/>
      <c r="K66" s="588"/>
      <c r="L66" s="588"/>
      <c r="M66" s="588"/>
      <c r="N66" s="588"/>
      <c r="O66" s="588"/>
      <c r="P66" s="588"/>
      <c r="Q66" s="588"/>
      <c r="R66" s="588"/>
      <c r="S66" s="588"/>
      <c r="T66" s="588"/>
      <c r="U66" s="588"/>
      <c r="V66" s="588"/>
      <c r="W66" s="588"/>
      <c r="X66" s="588"/>
      <c r="Y66" s="588"/>
      <c r="Z66" s="588"/>
      <c r="AA66" s="588"/>
      <c r="AB66" s="588"/>
      <c r="AC66" s="588"/>
      <c r="AD66" s="588"/>
      <c r="AE66" s="588"/>
      <c r="AF66" s="588"/>
      <c r="AG66" s="588"/>
      <c r="AH66" s="588"/>
      <c r="AI66" s="588"/>
      <c r="AJ66" s="588"/>
      <c r="AK66" s="588"/>
      <c r="AL66" s="588"/>
      <c r="AM66" s="588"/>
      <c r="AN66" s="588"/>
      <c r="AO66" s="588"/>
      <c r="AP66" s="588"/>
      <c r="AQ66" s="588"/>
      <c r="AR66" s="588"/>
      <c r="AS66" s="588"/>
      <c r="AT66" s="588"/>
      <c r="AU66" s="588"/>
      <c r="AV66" s="588"/>
      <c r="AW66" s="588"/>
      <c r="AX66" s="588"/>
      <c r="AY66" s="588"/>
      <c r="AZ66" s="588"/>
      <c r="BA66" s="588"/>
      <c r="BB66" s="588"/>
      <c r="BC66" s="588"/>
      <c r="BD66" s="588"/>
      <c r="BE66" s="588"/>
      <c r="BF66" s="588"/>
    </row>
    <row r="67" spans="1:58" ht="30" customHeight="1" thickBot="1" x14ac:dyDescent="0.4">
      <c r="A67" s="1583" t="s">
        <v>1538</v>
      </c>
      <c r="B67" s="1584"/>
      <c r="C67" s="1584"/>
      <c r="D67" s="1584"/>
      <c r="E67" s="1584"/>
      <c r="F67" s="1584"/>
      <c r="G67" s="1584"/>
      <c r="H67" s="1584"/>
      <c r="I67" s="1584"/>
      <c r="J67" s="1584"/>
      <c r="K67" s="1584"/>
      <c r="L67" s="1584"/>
      <c r="M67" s="1584"/>
      <c r="N67" s="1584"/>
      <c r="O67" s="1584"/>
      <c r="P67" s="1584"/>
      <c r="Q67" s="1584"/>
      <c r="R67" s="1584"/>
      <c r="S67" s="1584"/>
      <c r="T67" s="1584"/>
      <c r="U67" s="588"/>
      <c r="V67" s="588"/>
      <c r="W67" s="588"/>
      <c r="X67" s="588"/>
      <c r="Y67" s="588"/>
      <c r="Z67" s="588"/>
      <c r="AA67" s="588"/>
      <c r="AB67" s="588"/>
      <c r="AC67" s="588"/>
      <c r="AD67" s="588"/>
      <c r="AE67" s="588"/>
      <c r="AF67" s="588"/>
      <c r="AG67" s="588"/>
      <c r="AH67" s="588"/>
      <c r="AI67" s="588"/>
      <c r="AJ67" s="588"/>
      <c r="AK67" s="588"/>
      <c r="AL67" s="588"/>
      <c r="AM67" s="588"/>
      <c r="AN67" s="588"/>
      <c r="AO67" s="588"/>
      <c r="AP67" s="588"/>
      <c r="AQ67" s="588"/>
      <c r="AR67" s="588"/>
      <c r="AS67" s="588"/>
      <c r="AT67" s="588"/>
      <c r="AU67" s="588"/>
      <c r="AV67" s="588"/>
      <c r="AW67" s="588"/>
      <c r="AX67" s="588"/>
      <c r="AY67" s="588"/>
      <c r="AZ67" s="588"/>
      <c r="BA67" s="588"/>
      <c r="BB67" s="588"/>
      <c r="BC67" s="588"/>
      <c r="BD67" s="588"/>
      <c r="BE67" s="588"/>
      <c r="BF67" s="588"/>
    </row>
    <row r="68" spans="1:58" x14ac:dyDescent="0.35">
      <c r="A68" s="756"/>
      <c r="B68" s="757"/>
      <c r="C68" s="757"/>
      <c r="D68" s="757"/>
      <c r="E68" s="757"/>
      <c r="F68" s="757"/>
      <c r="G68" s="757" t="s">
        <v>1539</v>
      </c>
      <c r="H68" s="757"/>
      <c r="I68" s="758" t="s">
        <v>1540</v>
      </c>
      <c r="J68" s="588"/>
      <c r="K68" s="588"/>
      <c r="L68" s="588"/>
      <c r="M68" s="588"/>
      <c r="N68" s="588"/>
      <c r="O68" s="588"/>
      <c r="P68" s="588"/>
      <c r="Q68" s="588"/>
      <c r="R68" s="588"/>
      <c r="S68" s="588"/>
      <c r="T68" s="588"/>
      <c r="U68" s="588"/>
      <c r="V68" s="588"/>
      <c r="W68" s="588"/>
      <c r="X68" s="588"/>
      <c r="Y68" s="588"/>
      <c r="Z68" s="588"/>
      <c r="AA68" s="588"/>
      <c r="AB68" s="588"/>
      <c r="AC68" s="588"/>
      <c r="AD68" s="588"/>
      <c r="AE68" s="588"/>
      <c r="AF68" s="588"/>
      <c r="AG68" s="588"/>
      <c r="AH68" s="588"/>
      <c r="AI68" s="588"/>
      <c r="AJ68" s="588"/>
      <c r="AK68" s="588"/>
      <c r="AL68" s="588"/>
      <c r="AM68" s="588"/>
      <c r="AN68" s="588"/>
      <c r="AO68" s="588"/>
      <c r="AP68" s="588"/>
      <c r="AQ68" s="588"/>
      <c r="AR68" s="588"/>
      <c r="AS68" s="588"/>
      <c r="AT68" s="588"/>
      <c r="AU68" s="588"/>
      <c r="AV68" s="588"/>
      <c r="AW68" s="588"/>
      <c r="AX68" s="588"/>
      <c r="AY68" s="588"/>
      <c r="AZ68" s="588"/>
      <c r="BA68" s="588"/>
      <c r="BB68" s="588"/>
      <c r="BC68" s="588"/>
      <c r="BD68" s="588"/>
      <c r="BE68" s="588"/>
      <c r="BF68" s="588"/>
    </row>
    <row r="69" spans="1:58" x14ac:dyDescent="0.35">
      <c r="A69" s="549" t="s">
        <v>1541</v>
      </c>
      <c r="B69" s="521"/>
      <c r="C69" s="521"/>
      <c r="D69" s="521"/>
      <c r="E69" s="521"/>
      <c r="F69" s="521"/>
      <c r="G69" s="759">
        <v>36.08</v>
      </c>
      <c r="H69" s="521"/>
      <c r="I69" s="760" t="s">
        <v>439</v>
      </c>
      <c r="J69" s="588"/>
      <c r="K69" s="588"/>
      <c r="L69" s="588"/>
      <c r="M69" s="588"/>
      <c r="N69" s="588"/>
      <c r="O69" s="588"/>
      <c r="P69" s="588"/>
      <c r="Q69" s="588"/>
      <c r="R69" s="588"/>
      <c r="S69" s="588"/>
      <c r="T69" s="588"/>
      <c r="U69" s="588"/>
      <c r="V69" s="588"/>
      <c r="W69" s="588"/>
      <c r="X69" s="588"/>
      <c r="Y69" s="588"/>
      <c r="Z69" s="588"/>
      <c r="AA69" s="588"/>
      <c r="AB69" s="588"/>
      <c r="AC69" s="588"/>
      <c r="AD69" s="588"/>
      <c r="AE69" s="588"/>
      <c r="AF69" s="588"/>
      <c r="AG69" s="588"/>
      <c r="AH69" s="588"/>
      <c r="AI69" s="588"/>
      <c r="AJ69" s="588"/>
      <c r="AK69" s="588"/>
      <c r="AL69" s="588"/>
      <c r="AM69" s="588"/>
      <c r="AN69" s="588"/>
      <c r="AO69" s="588"/>
      <c r="AP69" s="588"/>
      <c r="AQ69" s="588"/>
      <c r="AR69" s="588"/>
      <c r="AS69" s="588"/>
      <c r="AT69" s="588"/>
      <c r="AU69" s="588"/>
      <c r="AV69" s="588"/>
      <c r="AW69" s="588"/>
      <c r="AX69" s="588"/>
      <c r="AY69" s="588"/>
      <c r="AZ69" s="588"/>
      <c r="BA69" s="588"/>
      <c r="BB69" s="588"/>
      <c r="BC69" s="588"/>
      <c r="BD69" s="588"/>
      <c r="BE69" s="588"/>
      <c r="BF69" s="588"/>
    </row>
    <row r="70" spans="1:58" ht="16" thickBot="1" x14ac:dyDescent="0.4">
      <c r="A70" s="761" t="s">
        <v>1542</v>
      </c>
      <c r="B70" s="673"/>
      <c r="C70" s="673"/>
      <c r="D70" s="673"/>
      <c r="E70" s="673"/>
      <c r="F70" s="673"/>
      <c r="G70" s="762">
        <v>29.03</v>
      </c>
      <c r="H70" s="673"/>
      <c r="I70" s="763" t="s">
        <v>439</v>
      </c>
      <c r="J70" s="588"/>
      <c r="K70" s="588"/>
      <c r="L70" s="588"/>
      <c r="M70" s="588"/>
      <c r="N70" s="588"/>
      <c r="O70" s="588"/>
      <c r="P70" s="588"/>
      <c r="Q70" s="588"/>
      <c r="R70" s="588"/>
      <c r="S70" s="588"/>
      <c r="T70" s="588"/>
      <c r="U70" s="588"/>
      <c r="V70" s="588"/>
      <c r="W70" s="588"/>
      <c r="X70" s="588"/>
      <c r="Y70" s="588"/>
      <c r="Z70" s="588"/>
      <c r="AA70" s="588"/>
      <c r="AB70" s="588"/>
      <c r="AC70" s="588"/>
      <c r="AD70" s="588"/>
      <c r="AE70" s="588"/>
      <c r="AF70" s="588"/>
      <c r="AG70" s="588"/>
      <c r="AH70" s="588"/>
      <c r="AI70" s="588"/>
      <c r="AJ70" s="588"/>
      <c r="AK70" s="588"/>
      <c r="AL70" s="588"/>
      <c r="AM70" s="588"/>
      <c r="AN70" s="588"/>
      <c r="AO70" s="588"/>
      <c r="AP70" s="588"/>
      <c r="AQ70" s="588"/>
      <c r="AR70" s="588"/>
      <c r="AS70" s="588"/>
      <c r="AT70" s="588"/>
      <c r="AU70" s="588"/>
      <c r="AV70" s="588"/>
      <c r="AW70" s="588"/>
      <c r="AX70" s="588"/>
      <c r="AY70" s="588"/>
      <c r="AZ70" s="588"/>
      <c r="BA70" s="588"/>
      <c r="BB70" s="588"/>
      <c r="BC70" s="588"/>
      <c r="BD70" s="588"/>
      <c r="BE70" s="588"/>
      <c r="BF70" s="588"/>
    </row>
    <row r="71" spans="1:58" x14ac:dyDescent="0.35">
      <c r="A71" s="588"/>
      <c r="B71" s="588"/>
      <c r="C71" s="588"/>
      <c r="D71" s="588"/>
      <c r="E71" s="588"/>
      <c r="F71" s="588"/>
      <c r="G71" s="588"/>
      <c r="H71" s="588"/>
      <c r="I71" s="588"/>
      <c r="J71" s="588"/>
      <c r="K71" s="588"/>
      <c r="L71" s="588"/>
      <c r="M71" s="588"/>
      <c r="N71" s="588"/>
      <c r="O71" s="588"/>
      <c r="P71" s="588"/>
      <c r="Q71" s="588"/>
      <c r="R71" s="588"/>
      <c r="S71" s="588"/>
      <c r="T71" s="588"/>
      <c r="U71" s="588"/>
      <c r="V71" s="588"/>
      <c r="W71" s="588"/>
      <c r="X71" s="588"/>
      <c r="Y71" s="588"/>
      <c r="Z71" s="588"/>
      <c r="AA71" s="588"/>
      <c r="AB71" s="588"/>
      <c r="AC71" s="588"/>
      <c r="AD71" s="588"/>
      <c r="AE71" s="588"/>
      <c r="AF71" s="588"/>
      <c r="AG71" s="588"/>
      <c r="AH71" s="588"/>
      <c r="AI71" s="588"/>
      <c r="AJ71" s="588"/>
      <c r="AK71" s="588"/>
      <c r="AL71" s="588"/>
      <c r="AM71" s="588"/>
      <c r="AN71" s="588"/>
      <c r="AO71" s="588"/>
      <c r="AP71" s="588"/>
      <c r="AQ71" s="588"/>
      <c r="AR71" s="588"/>
      <c r="AS71" s="588"/>
      <c r="AT71" s="588"/>
      <c r="AU71" s="588"/>
      <c r="AV71" s="588"/>
      <c r="AW71" s="588"/>
      <c r="AX71" s="588"/>
      <c r="AY71" s="588"/>
      <c r="AZ71" s="588"/>
      <c r="BA71" s="588"/>
      <c r="BB71" s="588"/>
      <c r="BC71" s="588"/>
      <c r="BD71" s="588"/>
      <c r="BE71" s="588"/>
      <c r="BF71" s="588"/>
    </row>
    <row r="72" spans="1:58" x14ac:dyDescent="0.35">
      <c r="A72" s="588"/>
      <c r="B72" s="588"/>
      <c r="C72" s="588"/>
      <c r="D72" s="588"/>
      <c r="E72" s="588"/>
      <c r="F72" s="588"/>
      <c r="G72" s="588"/>
      <c r="H72" s="588"/>
      <c r="I72" s="588"/>
      <c r="J72" s="588"/>
      <c r="K72" s="588"/>
      <c r="L72" s="588"/>
      <c r="M72" s="588"/>
      <c r="N72" s="588"/>
      <c r="O72" s="588"/>
      <c r="P72" s="588"/>
      <c r="Q72" s="588"/>
      <c r="R72" s="588"/>
      <c r="S72" s="588"/>
      <c r="T72" s="588"/>
      <c r="U72" s="588"/>
      <c r="V72" s="588"/>
      <c r="W72" s="588"/>
      <c r="X72" s="588"/>
      <c r="Y72" s="588"/>
      <c r="Z72" s="588"/>
      <c r="AA72" s="588"/>
      <c r="AB72" s="588"/>
      <c r="AC72" s="588"/>
      <c r="AD72" s="588"/>
      <c r="AE72" s="588"/>
      <c r="AF72" s="588"/>
      <c r="AG72" s="588"/>
      <c r="AH72" s="588"/>
      <c r="AI72" s="588"/>
      <c r="AJ72" s="588"/>
      <c r="AK72" s="588"/>
      <c r="AL72" s="588"/>
      <c r="AM72" s="588"/>
      <c r="AN72" s="588"/>
      <c r="AO72" s="588"/>
      <c r="AP72" s="588"/>
      <c r="AQ72" s="588"/>
      <c r="AR72" s="588"/>
      <c r="AS72" s="588"/>
      <c r="AT72" s="588"/>
      <c r="AU72" s="588"/>
      <c r="AV72" s="588"/>
      <c r="AW72" s="588"/>
      <c r="AX72" s="588"/>
      <c r="AY72" s="588"/>
      <c r="AZ72" s="588"/>
      <c r="BA72" s="588"/>
      <c r="BB72" s="588"/>
      <c r="BC72" s="588"/>
      <c r="BD72" s="588"/>
      <c r="BE72" s="588"/>
      <c r="BF72" s="588"/>
    </row>
    <row r="73" spans="1:58" x14ac:dyDescent="0.35">
      <c r="A73" s="588"/>
      <c r="B73" s="588"/>
      <c r="C73" s="588"/>
      <c r="D73" s="588"/>
      <c r="E73" s="588"/>
      <c r="F73" s="588"/>
      <c r="G73" s="588"/>
      <c r="H73" s="588"/>
      <c r="I73" s="588"/>
      <c r="J73" s="588"/>
      <c r="K73" s="588"/>
      <c r="L73" s="588"/>
      <c r="M73" s="588"/>
      <c r="N73" s="588"/>
      <c r="O73" s="588"/>
      <c r="P73" s="588"/>
      <c r="Q73" s="588"/>
      <c r="R73" s="588"/>
      <c r="S73" s="588"/>
      <c r="T73" s="588"/>
      <c r="U73" s="588"/>
      <c r="V73" s="588"/>
      <c r="W73" s="588"/>
      <c r="X73" s="588"/>
      <c r="Y73" s="588"/>
      <c r="Z73" s="588"/>
      <c r="AA73" s="588"/>
      <c r="AB73" s="588"/>
      <c r="AC73" s="588"/>
      <c r="AD73" s="588"/>
      <c r="AE73" s="588"/>
      <c r="AF73" s="588"/>
      <c r="AG73" s="588"/>
      <c r="AH73" s="588"/>
      <c r="AI73" s="588"/>
      <c r="AJ73" s="588"/>
      <c r="AK73" s="588"/>
      <c r="AL73" s="588"/>
      <c r="AM73" s="588"/>
      <c r="AN73" s="588"/>
      <c r="AO73" s="588"/>
      <c r="AP73" s="588"/>
      <c r="AQ73" s="588"/>
      <c r="AR73" s="588"/>
      <c r="AS73" s="588"/>
      <c r="AT73" s="588"/>
      <c r="AU73" s="588"/>
      <c r="AV73" s="588"/>
      <c r="AW73" s="588"/>
      <c r="AX73" s="588"/>
      <c r="AY73" s="588"/>
      <c r="AZ73" s="588"/>
      <c r="BA73" s="588"/>
      <c r="BB73" s="588"/>
      <c r="BC73" s="588"/>
      <c r="BD73" s="588"/>
      <c r="BE73" s="588"/>
      <c r="BF73" s="588"/>
    </row>
    <row r="74" spans="1:58" x14ac:dyDescent="0.35">
      <c r="A74" s="588"/>
      <c r="B74" s="588"/>
      <c r="C74" s="588"/>
      <c r="D74" s="588"/>
      <c r="E74" s="588"/>
      <c r="F74" s="588"/>
      <c r="G74" s="588"/>
      <c r="H74" s="588"/>
      <c r="I74" s="588"/>
      <c r="J74" s="588"/>
      <c r="K74" s="588"/>
      <c r="L74" s="588"/>
      <c r="M74" s="588"/>
      <c r="N74" s="588"/>
      <c r="O74" s="588"/>
      <c r="P74" s="588"/>
      <c r="Q74" s="588"/>
      <c r="R74" s="588"/>
      <c r="S74" s="588"/>
      <c r="T74" s="588"/>
      <c r="U74" s="588"/>
      <c r="V74" s="588"/>
      <c r="W74" s="588"/>
      <c r="X74" s="588"/>
      <c r="Y74" s="588"/>
      <c r="Z74" s="588"/>
      <c r="AA74" s="588"/>
      <c r="AB74" s="588"/>
      <c r="AC74" s="588"/>
      <c r="AD74" s="588"/>
      <c r="AE74" s="588"/>
      <c r="AF74" s="588"/>
      <c r="AG74" s="588"/>
      <c r="AH74" s="588"/>
      <c r="AI74" s="588"/>
      <c r="AJ74" s="588"/>
      <c r="AK74" s="588"/>
      <c r="AL74" s="588"/>
      <c r="AM74" s="588"/>
      <c r="AN74" s="588"/>
      <c r="AO74" s="588"/>
      <c r="AP74" s="588"/>
      <c r="AQ74" s="588"/>
      <c r="AR74" s="588"/>
      <c r="AS74" s="588"/>
      <c r="AT74" s="588"/>
      <c r="AU74" s="588"/>
      <c r="AV74" s="588"/>
      <c r="AW74" s="588"/>
      <c r="AX74" s="588"/>
      <c r="AY74" s="588"/>
      <c r="AZ74" s="588"/>
      <c r="BA74" s="588"/>
      <c r="BB74" s="588"/>
      <c r="BC74" s="588"/>
      <c r="BD74" s="588"/>
      <c r="BE74" s="588"/>
      <c r="BF74" s="588"/>
    </row>
    <row r="75" spans="1:58" x14ac:dyDescent="0.35">
      <c r="A75" s="588"/>
      <c r="B75" s="588"/>
      <c r="C75" s="588"/>
      <c r="D75" s="588"/>
      <c r="E75" s="588"/>
      <c r="F75" s="588"/>
      <c r="G75" s="588"/>
      <c r="H75" s="588"/>
      <c r="I75" s="588"/>
      <c r="J75" s="588"/>
      <c r="K75" s="588"/>
      <c r="L75" s="588"/>
      <c r="M75" s="588"/>
      <c r="N75" s="588"/>
      <c r="O75" s="588"/>
      <c r="P75" s="588"/>
      <c r="Q75" s="588"/>
      <c r="R75" s="588"/>
      <c r="S75" s="588"/>
      <c r="T75" s="588"/>
      <c r="U75" s="588"/>
      <c r="V75" s="588"/>
      <c r="W75" s="588"/>
      <c r="X75" s="588"/>
      <c r="Y75" s="588"/>
      <c r="Z75" s="588"/>
      <c r="AA75" s="588"/>
      <c r="AB75" s="588"/>
      <c r="AC75" s="588"/>
      <c r="AD75" s="588"/>
      <c r="AE75" s="588"/>
      <c r="AF75" s="588"/>
      <c r="AG75" s="588"/>
      <c r="AH75" s="588"/>
      <c r="AI75" s="588"/>
      <c r="AJ75" s="588"/>
      <c r="AK75" s="588"/>
      <c r="AL75" s="588"/>
      <c r="AM75" s="588"/>
      <c r="AN75" s="588"/>
      <c r="AO75" s="588"/>
      <c r="AP75" s="588"/>
      <c r="AQ75" s="588"/>
      <c r="AR75" s="588"/>
      <c r="AS75" s="588"/>
      <c r="AT75" s="588"/>
      <c r="AU75" s="588"/>
      <c r="AV75" s="588"/>
      <c r="AW75" s="588"/>
      <c r="AX75" s="588"/>
      <c r="AY75" s="588"/>
      <c r="AZ75" s="588"/>
      <c r="BA75" s="588"/>
      <c r="BB75" s="588"/>
      <c r="BC75" s="588"/>
      <c r="BD75" s="588"/>
      <c r="BE75" s="588"/>
      <c r="BF75" s="588"/>
    </row>
    <row r="76" spans="1:58" x14ac:dyDescent="0.35">
      <c r="A76" s="588"/>
      <c r="B76" s="588"/>
      <c r="C76" s="588"/>
      <c r="D76" s="588"/>
      <c r="E76" s="588"/>
      <c r="F76" s="588"/>
      <c r="G76" s="588"/>
      <c r="H76" s="588"/>
      <c r="I76" s="588"/>
      <c r="J76" s="588"/>
      <c r="K76" s="588"/>
      <c r="L76" s="588"/>
      <c r="M76" s="588"/>
      <c r="N76" s="588"/>
      <c r="O76" s="588"/>
      <c r="P76" s="588"/>
      <c r="Q76" s="588"/>
      <c r="R76" s="588"/>
      <c r="S76" s="588"/>
      <c r="T76" s="588"/>
      <c r="U76" s="588"/>
      <c r="V76" s="588"/>
      <c r="W76" s="588"/>
      <c r="X76" s="588"/>
      <c r="Y76" s="588"/>
      <c r="Z76" s="588"/>
      <c r="AA76" s="588"/>
      <c r="AB76" s="588"/>
      <c r="AC76" s="588"/>
      <c r="AD76" s="588"/>
      <c r="AE76" s="588"/>
      <c r="AF76" s="588"/>
      <c r="AG76" s="588"/>
      <c r="AH76" s="588"/>
      <c r="AI76" s="588"/>
      <c r="AJ76" s="588"/>
      <c r="AK76" s="588"/>
      <c r="AL76" s="588"/>
      <c r="AM76" s="588"/>
      <c r="AN76" s="588"/>
      <c r="AO76" s="588"/>
      <c r="AP76" s="588"/>
      <c r="AQ76" s="588"/>
      <c r="AR76" s="588"/>
      <c r="AS76" s="588"/>
      <c r="AT76" s="588"/>
      <c r="AU76" s="588"/>
      <c r="AV76" s="588"/>
      <c r="AW76" s="588"/>
      <c r="AX76" s="588"/>
      <c r="AY76" s="588"/>
      <c r="AZ76" s="588"/>
      <c r="BA76" s="588"/>
      <c r="BB76" s="588"/>
      <c r="BC76" s="588"/>
      <c r="BD76" s="588"/>
      <c r="BE76" s="588"/>
      <c r="BF76" s="588"/>
    </row>
    <row r="77" spans="1:58" x14ac:dyDescent="0.35">
      <c r="A77" s="588"/>
      <c r="B77" s="588"/>
      <c r="C77" s="588"/>
      <c r="D77" s="588"/>
      <c r="E77" s="588"/>
      <c r="F77" s="588"/>
      <c r="G77" s="588"/>
      <c r="H77" s="588"/>
      <c r="I77" s="588"/>
      <c r="J77" s="588"/>
      <c r="K77" s="588"/>
      <c r="L77" s="588"/>
      <c r="M77" s="588"/>
      <c r="N77" s="588"/>
      <c r="O77" s="588"/>
      <c r="P77" s="588"/>
      <c r="Q77" s="588"/>
      <c r="R77" s="588"/>
      <c r="S77" s="588"/>
      <c r="T77" s="588"/>
      <c r="U77" s="588"/>
      <c r="V77" s="588"/>
      <c r="W77" s="588"/>
      <c r="X77" s="588"/>
      <c r="Y77" s="588"/>
      <c r="Z77" s="588"/>
      <c r="AA77" s="588"/>
      <c r="AB77" s="588"/>
      <c r="AC77" s="588"/>
      <c r="AD77" s="588"/>
      <c r="AE77" s="588"/>
      <c r="AF77" s="588"/>
      <c r="AG77" s="588"/>
      <c r="AH77" s="588"/>
      <c r="AI77" s="588"/>
      <c r="AJ77" s="588"/>
      <c r="AK77" s="588"/>
      <c r="AL77" s="588"/>
      <c r="AM77" s="588"/>
      <c r="AN77" s="588"/>
      <c r="AO77" s="588"/>
      <c r="AP77" s="588"/>
      <c r="AQ77" s="588"/>
      <c r="AR77" s="588"/>
      <c r="AS77" s="588"/>
      <c r="AT77" s="588"/>
      <c r="AU77" s="588"/>
      <c r="AV77" s="588"/>
      <c r="AW77" s="588"/>
      <c r="AX77" s="588"/>
      <c r="AY77" s="588"/>
      <c r="AZ77" s="588"/>
      <c r="BA77" s="588"/>
      <c r="BB77" s="588"/>
      <c r="BC77" s="588"/>
      <c r="BD77" s="588"/>
      <c r="BE77" s="588"/>
      <c r="BF77" s="588"/>
    </row>
    <row r="78" spans="1:58" x14ac:dyDescent="0.35">
      <c r="A78" s="588"/>
      <c r="B78" s="588"/>
      <c r="C78" s="588"/>
      <c r="D78" s="588"/>
      <c r="E78" s="588"/>
      <c r="F78" s="588"/>
      <c r="G78" s="588"/>
      <c r="H78" s="588"/>
      <c r="I78" s="588"/>
      <c r="J78" s="588"/>
      <c r="K78" s="588"/>
      <c r="L78" s="588"/>
      <c r="M78" s="588"/>
      <c r="N78" s="588"/>
      <c r="O78" s="588"/>
      <c r="P78" s="588"/>
      <c r="Q78" s="588"/>
      <c r="R78" s="588"/>
      <c r="S78" s="588"/>
      <c r="T78" s="588"/>
      <c r="U78" s="588"/>
      <c r="V78" s="588"/>
      <c r="W78" s="588"/>
      <c r="X78" s="588"/>
      <c r="Y78" s="588"/>
      <c r="Z78" s="588"/>
      <c r="AA78" s="588"/>
      <c r="AB78" s="588"/>
      <c r="AC78" s="588"/>
      <c r="AD78" s="588"/>
      <c r="AE78" s="588"/>
      <c r="AF78" s="588"/>
      <c r="AG78" s="588"/>
      <c r="AH78" s="588"/>
      <c r="AI78" s="588"/>
      <c r="AJ78" s="588"/>
      <c r="AK78" s="588"/>
      <c r="AL78" s="588"/>
      <c r="AM78" s="588"/>
      <c r="AN78" s="588"/>
      <c r="AO78" s="588"/>
      <c r="AP78" s="588"/>
      <c r="AQ78" s="588"/>
      <c r="AR78" s="588"/>
      <c r="AS78" s="588"/>
      <c r="AT78" s="588"/>
      <c r="AU78" s="588"/>
      <c r="AV78" s="588"/>
      <c r="AW78" s="588"/>
      <c r="AX78" s="588"/>
      <c r="AY78" s="588"/>
      <c r="AZ78" s="588"/>
      <c r="BA78" s="588"/>
      <c r="BB78" s="588"/>
      <c r="BC78" s="588"/>
      <c r="BD78" s="588"/>
      <c r="BE78" s="588"/>
      <c r="BF78" s="588"/>
    </row>
    <row r="79" spans="1:58" x14ac:dyDescent="0.35">
      <c r="A79" s="588"/>
      <c r="B79" s="588"/>
      <c r="C79" s="588"/>
      <c r="D79" s="588"/>
      <c r="E79" s="588"/>
      <c r="F79" s="588"/>
      <c r="G79" s="588"/>
      <c r="H79" s="588"/>
      <c r="I79" s="588"/>
      <c r="J79" s="588"/>
      <c r="K79" s="588"/>
      <c r="L79" s="588"/>
      <c r="M79" s="588"/>
      <c r="N79" s="588"/>
      <c r="O79" s="588"/>
      <c r="P79" s="588"/>
      <c r="Q79" s="588"/>
      <c r="R79" s="588"/>
      <c r="S79" s="588"/>
      <c r="T79" s="588"/>
      <c r="U79" s="588"/>
      <c r="V79" s="588"/>
      <c r="W79" s="588"/>
      <c r="X79" s="588"/>
      <c r="Y79" s="588"/>
      <c r="Z79" s="588"/>
      <c r="AA79" s="588"/>
      <c r="AB79" s="588"/>
      <c r="AC79" s="588"/>
      <c r="AD79" s="588"/>
      <c r="AE79" s="588"/>
      <c r="AF79" s="588"/>
      <c r="AG79" s="588"/>
      <c r="AH79" s="588"/>
      <c r="AI79" s="588"/>
      <c r="AJ79" s="588"/>
      <c r="AK79" s="588"/>
      <c r="AL79" s="588"/>
      <c r="AM79" s="588"/>
      <c r="AN79" s="588"/>
      <c r="AO79" s="588"/>
      <c r="AP79" s="588"/>
      <c r="AQ79" s="588"/>
      <c r="AR79" s="588"/>
      <c r="AS79" s="588"/>
      <c r="AT79" s="588"/>
      <c r="AU79" s="588"/>
      <c r="AV79" s="588"/>
      <c r="AW79" s="588"/>
      <c r="AX79" s="588"/>
      <c r="AY79" s="588"/>
      <c r="AZ79" s="588"/>
      <c r="BA79" s="588"/>
      <c r="BB79" s="588"/>
      <c r="BC79" s="588"/>
      <c r="BD79" s="588"/>
      <c r="BE79" s="588"/>
      <c r="BF79" s="588"/>
    </row>
    <row r="80" spans="1:58" x14ac:dyDescent="0.35">
      <c r="A80" s="588"/>
      <c r="B80" s="588"/>
      <c r="C80" s="588"/>
      <c r="D80" s="588"/>
      <c r="E80" s="588"/>
      <c r="F80" s="588"/>
      <c r="G80" s="588"/>
      <c r="H80" s="588"/>
      <c r="I80" s="588"/>
      <c r="J80" s="588"/>
      <c r="K80" s="588"/>
      <c r="L80" s="588"/>
      <c r="M80" s="588"/>
      <c r="N80" s="588"/>
      <c r="O80" s="588"/>
      <c r="P80" s="588"/>
      <c r="Q80" s="588"/>
      <c r="R80" s="588"/>
      <c r="S80" s="588"/>
      <c r="T80" s="588"/>
      <c r="U80" s="588"/>
      <c r="V80" s="588"/>
      <c r="W80" s="588"/>
      <c r="X80" s="588"/>
      <c r="Y80" s="588"/>
      <c r="Z80" s="588"/>
      <c r="AA80" s="588"/>
      <c r="AB80" s="588"/>
      <c r="AC80" s="588"/>
      <c r="AD80" s="588"/>
      <c r="AE80" s="588"/>
      <c r="AF80" s="588"/>
      <c r="AG80" s="588"/>
      <c r="AH80" s="588"/>
      <c r="AI80" s="588"/>
      <c r="AJ80" s="588"/>
      <c r="AK80" s="588"/>
      <c r="AL80" s="588"/>
      <c r="AM80" s="588"/>
      <c r="AN80" s="588"/>
      <c r="AO80" s="588"/>
      <c r="AP80" s="588"/>
      <c r="AQ80" s="588"/>
      <c r="AR80" s="588"/>
      <c r="AS80" s="588"/>
      <c r="AT80" s="588"/>
      <c r="AU80" s="588"/>
      <c r="AV80" s="588"/>
      <c r="AW80" s="588"/>
      <c r="AX80" s="588"/>
      <c r="AY80" s="588"/>
      <c r="AZ80" s="588"/>
      <c r="BA80" s="588"/>
      <c r="BB80" s="588"/>
      <c r="BC80" s="588"/>
      <c r="BD80" s="588"/>
      <c r="BE80" s="588"/>
      <c r="BF80" s="588"/>
    </row>
    <row r="81" spans="1:58" x14ac:dyDescent="0.35">
      <c r="A81" s="588"/>
      <c r="B81" s="588"/>
      <c r="C81" s="588"/>
      <c r="D81" s="588"/>
      <c r="E81" s="588"/>
      <c r="F81" s="588"/>
      <c r="G81" s="588"/>
      <c r="H81" s="588"/>
      <c r="I81" s="588"/>
      <c r="J81" s="588"/>
      <c r="K81" s="588"/>
      <c r="L81" s="588"/>
      <c r="M81" s="588"/>
      <c r="N81" s="588"/>
      <c r="O81" s="588"/>
      <c r="P81" s="588"/>
      <c r="Q81" s="588"/>
      <c r="R81" s="588"/>
      <c r="S81" s="588"/>
      <c r="T81" s="588"/>
      <c r="U81" s="588"/>
      <c r="V81" s="588"/>
      <c r="W81" s="588"/>
      <c r="X81" s="588"/>
      <c r="Y81" s="588"/>
      <c r="Z81" s="588"/>
      <c r="AA81" s="588"/>
      <c r="AB81" s="588"/>
      <c r="AC81" s="588"/>
      <c r="AD81" s="588"/>
      <c r="AE81" s="588"/>
      <c r="AF81" s="588"/>
      <c r="AG81" s="588"/>
      <c r="AH81" s="588"/>
      <c r="AI81" s="588"/>
      <c r="AJ81" s="588"/>
      <c r="AK81" s="588"/>
      <c r="AL81" s="588"/>
      <c r="AM81" s="588"/>
      <c r="AN81" s="588"/>
      <c r="AO81" s="588"/>
      <c r="AP81" s="588"/>
      <c r="AQ81" s="588"/>
      <c r="AR81" s="588"/>
      <c r="AS81" s="588"/>
      <c r="AT81" s="588"/>
      <c r="AU81" s="588"/>
      <c r="AV81" s="588"/>
      <c r="AW81" s="588"/>
      <c r="AX81" s="588"/>
      <c r="AY81" s="588"/>
      <c r="AZ81" s="588"/>
      <c r="BA81" s="588"/>
      <c r="BB81" s="588"/>
      <c r="BC81" s="588"/>
      <c r="BD81" s="588"/>
      <c r="BE81" s="588"/>
      <c r="BF81" s="588"/>
    </row>
    <row r="82" spans="1:58" x14ac:dyDescent="0.35">
      <c r="A82" s="588"/>
      <c r="B82" s="588"/>
      <c r="C82" s="588"/>
      <c r="D82" s="588"/>
      <c r="E82" s="588"/>
      <c r="F82" s="588"/>
      <c r="G82" s="588"/>
      <c r="H82" s="588"/>
      <c r="I82" s="588"/>
      <c r="J82" s="588"/>
      <c r="K82" s="588"/>
      <c r="L82" s="588"/>
      <c r="M82" s="588"/>
      <c r="N82" s="588"/>
      <c r="O82" s="588"/>
      <c r="P82" s="588"/>
      <c r="Q82" s="588"/>
      <c r="R82" s="588"/>
      <c r="S82" s="588"/>
      <c r="T82" s="588"/>
      <c r="U82" s="588"/>
      <c r="V82" s="588"/>
      <c r="W82" s="588"/>
      <c r="X82" s="588"/>
      <c r="Y82" s="588"/>
      <c r="Z82" s="588"/>
      <c r="AA82" s="588"/>
      <c r="AB82" s="588"/>
      <c r="AC82" s="588"/>
      <c r="AD82" s="588"/>
      <c r="AE82" s="588"/>
      <c r="AF82" s="588"/>
      <c r="AG82" s="588"/>
      <c r="AH82" s="588"/>
      <c r="AI82" s="588"/>
      <c r="AJ82" s="588"/>
      <c r="AK82" s="588"/>
      <c r="AL82" s="588"/>
      <c r="AM82" s="588"/>
      <c r="AN82" s="588"/>
      <c r="AO82" s="588"/>
      <c r="AP82" s="588"/>
      <c r="AQ82" s="588"/>
      <c r="AR82" s="588"/>
      <c r="AS82" s="588"/>
      <c r="AT82" s="588"/>
      <c r="AU82" s="588"/>
      <c r="AV82" s="588"/>
      <c r="AW82" s="588"/>
      <c r="AX82" s="588"/>
      <c r="AY82" s="588"/>
      <c r="AZ82" s="588"/>
      <c r="BA82" s="588"/>
      <c r="BB82" s="588"/>
      <c r="BC82" s="588"/>
      <c r="BD82" s="588"/>
      <c r="BE82" s="588"/>
      <c r="BF82" s="588"/>
    </row>
    <row r="83" spans="1:58" x14ac:dyDescent="0.35">
      <c r="A83" s="588"/>
      <c r="B83" s="588"/>
      <c r="C83" s="588"/>
      <c r="D83" s="588"/>
      <c r="E83" s="588"/>
      <c r="F83" s="588"/>
      <c r="G83" s="588"/>
      <c r="H83" s="588"/>
      <c r="I83" s="588"/>
      <c r="J83" s="588"/>
      <c r="K83" s="588"/>
      <c r="L83" s="588"/>
      <c r="M83" s="588"/>
      <c r="N83" s="588"/>
      <c r="O83" s="588"/>
      <c r="P83" s="588"/>
      <c r="Q83" s="588"/>
      <c r="R83" s="588"/>
      <c r="S83" s="588"/>
      <c r="T83" s="588"/>
      <c r="U83" s="588"/>
      <c r="V83" s="588"/>
      <c r="W83" s="588"/>
      <c r="X83" s="588"/>
      <c r="Y83" s="588"/>
      <c r="Z83" s="588"/>
      <c r="AA83" s="588"/>
      <c r="AB83" s="588"/>
      <c r="AC83" s="588"/>
      <c r="AD83" s="588"/>
      <c r="AE83" s="588"/>
      <c r="AF83" s="588"/>
      <c r="AG83" s="588"/>
      <c r="AH83" s="588"/>
      <c r="AI83" s="588"/>
      <c r="AJ83" s="588"/>
      <c r="AK83" s="588"/>
      <c r="AL83" s="588"/>
      <c r="AM83" s="588"/>
      <c r="AN83" s="588"/>
      <c r="AO83" s="588"/>
      <c r="AP83" s="588"/>
      <c r="AQ83" s="588"/>
      <c r="AR83" s="588"/>
      <c r="AS83" s="588"/>
      <c r="AT83" s="588"/>
      <c r="AU83" s="588"/>
      <c r="AV83" s="588"/>
      <c r="AW83" s="588"/>
      <c r="AX83" s="588"/>
      <c r="AY83" s="588"/>
      <c r="AZ83" s="588"/>
      <c r="BA83" s="588"/>
      <c r="BB83" s="588"/>
      <c r="BC83" s="588"/>
      <c r="BD83" s="588"/>
      <c r="BE83" s="588"/>
      <c r="BF83" s="588"/>
    </row>
    <row r="84" spans="1:58" x14ac:dyDescent="0.35">
      <c r="A84" s="588"/>
      <c r="B84" s="588"/>
      <c r="C84" s="588"/>
      <c r="D84" s="588"/>
      <c r="E84" s="588"/>
      <c r="F84" s="588"/>
      <c r="G84" s="588"/>
      <c r="H84" s="588"/>
      <c r="I84" s="588"/>
      <c r="J84" s="588"/>
      <c r="K84" s="588"/>
      <c r="L84" s="588"/>
      <c r="M84" s="588"/>
      <c r="N84" s="588"/>
      <c r="O84" s="588"/>
      <c r="P84" s="588"/>
      <c r="Q84" s="588"/>
      <c r="R84" s="588"/>
      <c r="S84" s="588"/>
      <c r="T84" s="588"/>
      <c r="U84" s="588"/>
      <c r="V84" s="588"/>
      <c r="W84" s="588"/>
      <c r="X84" s="588"/>
      <c r="Y84" s="588"/>
      <c r="Z84" s="588"/>
      <c r="AA84" s="588"/>
      <c r="AB84" s="588"/>
      <c r="AC84" s="588"/>
      <c r="AD84" s="588"/>
      <c r="AE84" s="588"/>
      <c r="AF84" s="588"/>
      <c r="AG84" s="588"/>
      <c r="AH84" s="588"/>
      <c r="AI84" s="588"/>
      <c r="AJ84" s="588"/>
      <c r="AK84" s="588"/>
      <c r="AL84" s="588"/>
      <c r="AM84" s="588"/>
      <c r="AN84" s="588"/>
      <c r="AO84" s="588"/>
      <c r="AP84" s="588"/>
      <c r="AQ84" s="588"/>
      <c r="AR84" s="588"/>
      <c r="AS84" s="588"/>
      <c r="AT84" s="588"/>
      <c r="AU84" s="588"/>
      <c r="AV84" s="588"/>
      <c r="AW84" s="588"/>
      <c r="AX84" s="588"/>
      <c r="AY84" s="588"/>
      <c r="AZ84" s="588"/>
      <c r="BA84" s="588"/>
      <c r="BB84" s="588"/>
      <c r="BC84" s="588"/>
      <c r="BD84" s="588"/>
      <c r="BE84" s="588"/>
      <c r="BF84" s="588"/>
    </row>
    <row r="85" spans="1:58" x14ac:dyDescent="0.35">
      <c r="A85" s="588"/>
      <c r="B85" s="764"/>
      <c r="C85" s="588"/>
      <c r="D85" s="588"/>
      <c r="E85" s="588"/>
      <c r="F85" s="588"/>
      <c r="G85" s="588"/>
      <c r="H85" s="588"/>
      <c r="I85" s="588"/>
      <c r="J85" s="588"/>
      <c r="K85" s="588"/>
      <c r="L85" s="588"/>
      <c r="M85" s="588"/>
      <c r="N85" s="588"/>
      <c r="O85" s="588"/>
      <c r="P85" s="588"/>
      <c r="Q85" s="588"/>
      <c r="R85" s="588"/>
      <c r="S85" s="588"/>
      <c r="T85" s="588"/>
      <c r="U85" s="588"/>
      <c r="V85" s="588"/>
      <c r="W85" s="588"/>
      <c r="X85" s="588"/>
      <c r="Y85" s="588"/>
      <c r="Z85" s="588"/>
      <c r="AA85" s="588"/>
      <c r="AB85" s="588"/>
      <c r="AC85" s="588"/>
      <c r="AD85" s="588"/>
      <c r="AE85" s="588"/>
      <c r="AF85" s="588"/>
      <c r="AG85" s="588"/>
      <c r="AH85" s="588"/>
      <c r="AI85" s="588"/>
      <c r="AJ85" s="588"/>
      <c r="AK85" s="588"/>
      <c r="AL85" s="588"/>
      <c r="AM85" s="588"/>
      <c r="AN85" s="588"/>
      <c r="AO85" s="588"/>
      <c r="AP85" s="588"/>
      <c r="AQ85" s="588"/>
      <c r="AR85" s="588"/>
      <c r="AS85" s="588"/>
      <c r="AT85" s="588"/>
      <c r="AU85" s="588"/>
      <c r="AV85" s="588"/>
      <c r="AW85" s="588"/>
      <c r="AX85" s="588"/>
      <c r="AY85" s="588"/>
      <c r="AZ85" s="588"/>
      <c r="BA85" s="588"/>
      <c r="BB85" s="588"/>
      <c r="BC85" s="588"/>
      <c r="BD85" s="588"/>
      <c r="BE85" s="588"/>
      <c r="BF85" s="588"/>
    </row>
    <row r="86" spans="1:58" x14ac:dyDescent="0.35">
      <c r="A86" s="588"/>
      <c r="B86" s="588"/>
      <c r="C86" s="588"/>
      <c r="D86" s="588"/>
      <c r="E86" s="588"/>
      <c r="F86" s="588"/>
      <c r="G86" s="588"/>
      <c r="H86" s="588"/>
      <c r="I86" s="588"/>
      <c r="J86" s="588"/>
      <c r="K86" s="588"/>
      <c r="L86" s="588"/>
      <c r="M86" s="588"/>
      <c r="N86" s="588"/>
      <c r="O86" s="588"/>
      <c r="P86" s="588"/>
      <c r="Q86" s="588"/>
      <c r="R86" s="588"/>
      <c r="S86" s="588"/>
      <c r="T86" s="588"/>
      <c r="U86" s="588"/>
      <c r="V86" s="588"/>
      <c r="W86" s="588"/>
      <c r="X86" s="588"/>
      <c r="Y86" s="588"/>
      <c r="Z86" s="588"/>
      <c r="AA86" s="588"/>
      <c r="AB86" s="588"/>
      <c r="AC86" s="588"/>
      <c r="AD86" s="588"/>
      <c r="AE86" s="588"/>
      <c r="AF86" s="588"/>
      <c r="AG86" s="588"/>
      <c r="AH86" s="588"/>
      <c r="AI86" s="588"/>
      <c r="AJ86" s="588"/>
      <c r="AK86" s="588"/>
      <c r="AL86" s="588"/>
      <c r="AM86" s="588"/>
      <c r="AN86" s="588"/>
      <c r="AO86" s="588"/>
      <c r="AP86" s="588"/>
      <c r="AQ86" s="588"/>
      <c r="AR86" s="588"/>
      <c r="AS86" s="588"/>
      <c r="AT86" s="588"/>
      <c r="AU86" s="588"/>
      <c r="AV86" s="588"/>
      <c r="AW86" s="588"/>
      <c r="AX86" s="588"/>
      <c r="AY86" s="588"/>
      <c r="AZ86" s="588"/>
      <c r="BA86" s="588"/>
      <c r="BB86" s="588"/>
      <c r="BC86" s="588"/>
      <c r="BD86" s="588"/>
      <c r="BE86" s="588"/>
      <c r="BF86" s="588"/>
    </row>
    <row r="87" spans="1:58" x14ac:dyDescent="0.35">
      <c r="A87" s="588"/>
      <c r="B87" s="588"/>
      <c r="C87" s="588"/>
      <c r="D87" s="588"/>
      <c r="E87" s="588"/>
      <c r="F87" s="588"/>
      <c r="G87" s="588"/>
      <c r="H87" s="588"/>
      <c r="I87" s="588"/>
      <c r="J87" s="588"/>
      <c r="K87" s="588"/>
      <c r="L87" s="588"/>
      <c r="M87" s="588"/>
      <c r="N87" s="588"/>
      <c r="O87" s="588"/>
      <c r="P87" s="588"/>
      <c r="Q87" s="588"/>
      <c r="R87" s="588"/>
      <c r="S87" s="588"/>
      <c r="T87" s="588"/>
      <c r="U87" s="588"/>
      <c r="V87" s="588"/>
      <c r="W87" s="588"/>
      <c r="X87" s="588"/>
      <c r="Y87" s="588"/>
      <c r="Z87" s="588"/>
      <c r="AA87" s="588"/>
      <c r="AB87" s="588"/>
      <c r="AC87" s="588"/>
      <c r="AD87" s="588"/>
      <c r="AE87" s="588"/>
      <c r="AF87" s="588"/>
      <c r="AG87" s="588"/>
      <c r="AH87" s="588"/>
      <c r="AI87" s="588"/>
      <c r="AJ87" s="588"/>
      <c r="AK87" s="588"/>
      <c r="AL87" s="588"/>
      <c r="AM87" s="588"/>
      <c r="AN87" s="588"/>
      <c r="AO87" s="588"/>
      <c r="AP87" s="588"/>
      <c r="AQ87" s="588"/>
      <c r="AR87" s="588"/>
      <c r="AS87" s="588"/>
      <c r="AT87" s="588"/>
      <c r="AU87" s="588"/>
      <c r="AV87" s="588"/>
      <c r="AW87" s="588"/>
      <c r="AX87" s="588"/>
      <c r="AY87" s="588"/>
      <c r="AZ87" s="588"/>
      <c r="BA87" s="588"/>
      <c r="BB87" s="588"/>
      <c r="BC87" s="588"/>
      <c r="BD87" s="588"/>
      <c r="BE87" s="588"/>
      <c r="BF87" s="588"/>
    </row>
    <row r="88" spans="1:58" x14ac:dyDescent="0.35">
      <c r="A88" s="588"/>
      <c r="B88" s="588"/>
      <c r="C88" s="588"/>
      <c r="D88" s="588"/>
      <c r="E88" s="588"/>
      <c r="F88" s="588"/>
      <c r="G88" s="588"/>
      <c r="H88" s="588"/>
      <c r="I88" s="588"/>
      <c r="J88" s="588"/>
      <c r="K88" s="588"/>
      <c r="L88" s="588"/>
      <c r="M88" s="588"/>
      <c r="N88" s="588"/>
      <c r="O88" s="588"/>
      <c r="P88" s="588"/>
      <c r="Q88" s="588"/>
      <c r="R88" s="588"/>
      <c r="S88" s="588"/>
      <c r="T88" s="588"/>
      <c r="U88" s="588"/>
      <c r="V88" s="588"/>
      <c r="W88" s="588"/>
      <c r="X88" s="588"/>
      <c r="Y88" s="588"/>
      <c r="Z88" s="588"/>
      <c r="AA88" s="588"/>
      <c r="AB88" s="588"/>
      <c r="AC88" s="588"/>
      <c r="AD88" s="588"/>
      <c r="AE88" s="588"/>
      <c r="AF88" s="588"/>
      <c r="AG88" s="588"/>
      <c r="AH88" s="588"/>
      <c r="AI88" s="588"/>
      <c r="AJ88" s="588"/>
      <c r="AK88" s="588"/>
      <c r="AL88" s="588"/>
      <c r="AM88" s="588"/>
      <c r="AN88" s="588"/>
      <c r="AO88" s="588"/>
      <c r="AP88" s="588"/>
      <c r="AQ88" s="588"/>
      <c r="AR88" s="588"/>
      <c r="AS88" s="588"/>
      <c r="AT88" s="588"/>
      <c r="AU88" s="588"/>
      <c r="AV88" s="588"/>
      <c r="AW88" s="588"/>
      <c r="AX88" s="588"/>
      <c r="AY88" s="588"/>
      <c r="AZ88" s="588"/>
      <c r="BA88" s="588"/>
      <c r="BB88" s="588"/>
      <c r="BC88" s="588"/>
      <c r="BD88" s="588"/>
      <c r="BE88" s="588"/>
      <c r="BF88" s="588"/>
    </row>
    <row r="89" spans="1:58" x14ac:dyDescent="0.35">
      <c r="A89" s="588"/>
      <c r="B89" s="588"/>
      <c r="C89" s="588"/>
      <c r="D89" s="588"/>
      <c r="E89" s="588"/>
      <c r="F89" s="588"/>
      <c r="G89" s="588"/>
      <c r="H89" s="588"/>
      <c r="I89" s="588"/>
      <c r="J89" s="588"/>
      <c r="K89" s="588"/>
      <c r="L89" s="588"/>
      <c r="M89" s="588"/>
      <c r="N89" s="588"/>
      <c r="O89" s="588"/>
      <c r="P89" s="588"/>
      <c r="Q89" s="588"/>
      <c r="R89" s="588"/>
      <c r="S89" s="588"/>
      <c r="T89" s="588"/>
      <c r="U89" s="588"/>
      <c r="V89" s="588"/>
      <c r="W89" s="588"/>
      <c r="X89" s="588"/>
      <c r="Y89" s="588"/>
      <c r="Z89" s="588"/>
      <c r="AA89" s="588"/>
      <c r="AB89" s="588"/>
      <c r="AC89" s="588"/>
      <c r="AD89" s="588"/>
      <c r="AE89" s="588"/>
      <c r="AF89" s="588"/>
      <c r="AG89" s="588"/>
      <c r="AH89" s="588"/>
      <c r="AI89" s="588"/>
      <c r="AJ89" s="588"/>
      <c r="AK89" s="588"/>
      <c r="AL89" s="588"/>
      <c r="AM89" s="588"/>
      <c r="AN89" s="588"/>
      <c r="AO89" s="588"/>
      <c r="AP89" s="588"/>
      <c r="AQ89" s="588"/>
      <c r="AR89" s="588"/>
      <c r="AS89" s="588"/>
      <c r="AT89" s="588"/>
      <c r="AU89" s="588"/>
      <c r="AV89" s="588"/>
      <c r="AW89" s="588"/>
      <c r="AX89" s="588"/>
      <c r="AY89" s="588"/>
      <c r="AZ89" s="588"/>
      <c r="BA89" s="588"/>
      <c r="BB89" s="588"/>
      <c r="BC89" s="588"/>
      <c r="BD89" s="588"/>
      <c r="BE89" s="588"/>
      <c r="BF89" s="588"/>
    </row>
    <row r="90" spans="1:58" x14ac:dyDescent="0.35">
      <c r="A90" s="588"/>
      <c r="B90" s="588"/>
      <c r="C90" s="588"/>
      <c r="D90" s="588"/>
      <c r="E90" s="588"/>
      <c r="F90" s="588"/>
      <c r="G90" s="588"/>
      <c r="H90" s="588"/>
      <c r="I90" s="588"/>
      <c r="J90" s="588"/>
      <c r="K90" s="588"/>
      <c r="L90" s="588"/>
      <c r="M90" s="588"/>
      <c r="N90" s="588"/>
      <c r="O90" s="588"/>
      <c r="P90" s="588"/>
      <c r="Q90" s="588"/>
      <c r="R90" s="588"/>
      <c r="S90" s="588"/>
      <c r="T90" s="588"/>
      <c r="U90" s="588"/>
      <c r="V90" s="588"/>
      <c r="W90" s="588"/>
      <c r="X90" s="588"/>
      <c r="Y90" s="588"/>
      <c r="Z90" s="588"/>
      <c r="AA90" s="588"/>
      <c r="AB90" s="588"/>
      <c r="AC90" s="588"/>
      <c r="AD90" s="588"/>
      <c r="AE90" s="588"/>
      <c r="AF90" s="588"/>
      <c r="AG90" s="588"/>
      <c r="AH90" s="588"/>
      <c r="AI90" s="588"/>
      <c r="AJ90" s="588"/>
      <c r="AK90" s="588"/>
      <c r="AL90" s="588"/>
      <c r="AM90" s="588"/>
      <c r="AN90" s="588"/>
      <c r="AO90" s="588"/>
      <c r="AP90" s="588"/>
      <c r="AQ90" s="588"/>
      <c r="AR90" s="588"/>
      <c r="AS90" s="588"/>
      <c r="AT90" s="588"/>
      <c r="AU90" s="588"/>
      <c r="AV90" s="588"/>
      <c r="AW90" s="588"/>
      <c r="AX90" s="588"/>
      <c r="AY90" s="588"/>
      <c r="AZ90" s="588"/>
      <c r="BA90" s="588"/>
      <c r="BB90" s="588"/>
      <c r="BC90" s="588"/>
      <c r="BD90" s="588"/>
      <c r="BE90" s="588"/>
      <c r="BF90" s="588"/>
    </row>
    <row r="91" spans="1:58" x14ac:dyDescent="0.35">
      <c r="A91" s="588"/>
      <c r="B91" s="588"/>
      <c r="C91" s="588"/>
      <c r="D91" s="588"/>
      <c r="E91" s="588"/>
      <c r="F91" s="588"/>
      <c r="G91" s="588"/>
      <c r="H91" s="588"/>
      <c r="I91" s="588"/>
      <c r="J91" s="588"/>
      <c r="K91" s="588"/>
      <c r="L91" s="588"/>
      <c r="M91" s="588"/>
      <c r="N91" s="588"/>
      <c r="O91" s="588"/>
      <c r="P91" s="588"/>
      <c r="Q91" s="588"/>
      <c r="R91" s="588"/>
      <c r="S91" s="588"/>
      <c r="T91" s="588"/>
      <c r="U91" s="588"/>
      <c r="V91" s="588"/>
      <c r="W91" s="588"/>
      <c r="X91" s="588"/>
      <c r="Y91" s="588"/>
      <c r="Z91" s="588"/>
      <c r="AA91" s="588"/>
      <c r="AB91" s="588"/>
      <c r="AC91" s="588"/>
      <c r="AD91" s="588"/>
      <c r="AE91" s="588"/>
      <c r="AF91" s="588"/>
      <c r="AG91" s="588"/>
      <c r="AH91" s="588"/>
      <c r="AI91" s="588"/>
      <c r="AJ91" s="588"/>
      <c r="AK91" s="588"/>
      <c r="AL91" s="588"/>
      <c r="AM91" s="588"/>
      <c r="AN91" s="588"/>
      <c r="AO91" s="588"/>
      <c r="AP91" s="588"/>
      <c r="AQ91" s="588"/>
      <c r="AR91" s="588"/>
      <c r="AS91" s="588"/>
      <c r="AT91" s="588"/>
      <c r="AU91" s="588"/>
      <c r="AV91" s="588"/>
      <c r="AW91" s="588"/>
      <c r="AX91" s="588"/>
      <c r="AY91" s="588"/>
      <c r="AZ91" s="588"/>
      <c r="BA91" s="588"/>
      <c r="BB91" s="588"/>
      <c r="BC91" s="588"/>
      <c r="BD91" s="588"/>
      <c r="BE91" s="588"/>
      <c r="BF91" s="588"/>
    </row>
    <row r="92" spans="1:58" x14ac:dyDescent="0.35">
      <c r="A92" s="588"/>
      <c r="B92" s="588"/>
      <c r="C92" s="588"/>
      <c r="D92" s="588"/>
      <c r="E92" s="588"/>
      <c r="F92" s="588"/>
      <c r="G92" s="588"/>
      <c r="H92" s="588"/>
      <c r="I92" s="588"/>
      <c r="J92" s="588"/>
      <c r="K92" s="588"/>
      <c r="L92" s="588"/>
      <c r="M92" s="588"/>
      <c r="N92" s="588"/>
      <c r="O92" s="588"/>
      <c r="P92" s="588"/>
      <c r="Q92" s="588"/>
      <c r="R92" s="588"/>
      <c r="S92" s="588"/>
      <c r="T92" s="588"/>
      <c r="U92" s="588"/>
      <c r="V92" s="588"/>
      <c r="W92" s="588"/>
      <c r="X92" s="588"/>
      <c r="Y92" s="588"/>
      <c r="Z92" s="588"/>
      <c r="AA92" s="588"/>
      <c r="AB92" s="588"/>
      <c r="AC92" s="588"/>
      <c r="AD92" s="588"/>
      <c r="AE92" s="588"/>
      <c r="AF92" s="588"/>
      <c r="AG92" s="588"/>
      <c r="AH92" s="588"/>
      <c r="AI92" s="588"/>
      <c r="AJ92" s="588"/>
      <c r="AK92" s="588"/>
      <c r="AL92" s="588"/>
      <c r="AM92" s="588"/>
      <c r="AN92" s="588"/>
      <c r="AO92" s="588"/>
      <c r="AP92" s="588"/>
      <c r="AQ92" s="588"/>
      <c r="AR92" s="588"/>
      <c r="AS92" s="588"/>
      <c r="AT92" s="588"/>
      <c r="AU92" s="588"/>
      <c r="AV92" s="588"/>
      <c r="AW92" s="588"/>
      <c r="AX92" s="588"/>
      <c r="AY92" s="588"/>
      <c r="AZ92" s="588"/>
      <c r="BA92" s="588"/>
      <c r="BB92" s="588"/>
      <c r="BC92" s="588"/>
      <c r="BD92" s="588"/>
      <c r="BE92" s="588"/>
      <c r="BF92" s="588"/>
    </row>
    <row r="93" spans="1:58" x14ac:dyDescent="0.35">
      <c r="A93" s="588"/>
      <c r="B93" s="588"/>
      <c r="C93" s="588"/>
      <c r="D93" s="588"/>
      <c r="E93" s="588"/>
      <c r="F93" s="588"/>
      <c r="G93" s="588"/>
      <c r="H93" s="588"/>
      <c r="I93" s="588"/>
      <c r="J93" s="588"/>
      <c r="K93" s="588"/>
      <c r="L93" s="588"/>
      <c r="M93" s="588"/>
      <c r="N93" s="588"/>
      <c r="O93" s="588"/>
      <c r="P93" s="588"/>
      <c r="Q93" s="588"/>
      <c r="R93" s="588"/>
      <c r="S93" s="588"/>
      <c r="T93" s="588"/>
      <c r="U93" s="588"/>
      <c r="V93" s="588"/>
      <c r="W93" s="588"/>
      <c r="X93" s="588"/>
      <c r="Y93" s="588"/>
      <c r="Z93" s="588"/>
      <c r="AA93" s="588"/>
      <c r="AB93" s="588"/>
      <c r="AC93" s="588"/>
      <c r="AD93" s="588"/>
      <c r="AE93" s="588"/>
      <c r="AF93" s="588"/>
      <c r="AG93" s="588"/>
      <c r="AH93" s="588"/>
      <c r="AI93" s="588"/>
      <c r="AJ93" s="588"/>
      <c r="AK93" s="588"/>
      <c r="AL93" s="588"/>
      <c r="AM93" s="588"/>
      <c r="AN93" s="588"/>
      <c r="AO93" s="588"/>
      <c r="AP93" s="588"/>
      <c r="AQ93" s="588"/>
      <c r="AR93" s="588"/>
      <c r="AS93" s="588"/>
      <c r="AT93" s="588"/>
      <c r="AU93" s="588"/>
      <c r="AV93" s="588"/>
      <c r="AW93" s="588"/>
      <c r="AX93" s="588"/>
      <c r="AY93" s="588"/>
      <c r="AZ93" s="588"/>
      <c r="BA93" s="588"/>
      <c r="BB93" s="588"/>
      <c r="BC93" s="588"/>
      <c r="BD93" s="588"/>
      <c r="BE93" s="588"/>
      <c r="BF93" s="588"/>
    </row>
    <row r="94" spans="1:58" x14ac:dyDescent="0.35">
      <c r="A94" s="588"/>
      <c r="B94" s="588"/>
      <c r="C94" s="588"/>
      <c r="D94" s="588"/>
      <c r="E94" s="588"/>
      <c r="F94" s="588"/>
      <c r="G94" s="588"/>
      <c r="H94" s="588"/>
      <c r="I94" s="588"/>
      <c r="J94" s="588"/>
      <c r="K94" s="588"/>
      <c r="L94" s="588"/>
      <c r="M94" s="588"/>
      <c r="N94" s="588"/>
      <c r="O94" s="588"/>
      <c r="P94" s="588"/>
      <c r="Q94" s="588"/>
      <c r="R94" s="588"/>
      <c r="S94" s="588"/>
      <c r="T94" s="588"/>
      <c r="U94" s="588"/>
      <c r="V94" s="588"/>
      <c r="W94" s="588"/>
      <c r="X94" s="588"/>
      <c r="Y94" s="588"/>
      <c r="Z94" s="588"/>
      <c r="AA94" s="588"/>
      <c r="AB94" s="588"/>
      <c r="AC94" s="588"/>
      <c r="AD94" s="588"/>
      <c r="AE94" s="588"/>
      <c r="AF94" s="588"/>
      <c r="AG94" s="588"/>
      <c r="AH94" s="588"/>
      <c r="AI94" s="588"/>
      <c r="AJ94" s="588"/>
      <c r="AK94" s="588"/>
      <c r="AL94" s="588"/>
      <c r="AM94" s="588"/>
      <c r="AN94" s="588"/>
      <c r="AO94" s="588"/>
      <c r="AP94" s="588"/>
      <c r="AQ94" s="588"/>
      <c r="AR94" s="588"/>
      <c r="AS94" s="588"/>
      <c r="AT94" s="588"/>
      <c r="AU94" s="588"/>
      <c r="AV94" s="588"/>
      <c r="AW94" s="588"/>
      <c r="AX94" s="588"/>
      <c r="AY94" s="588"/>
      <c r="AZ94" s="588"/>
      <c r="BA94" s="588"/>
      <c r="BB94" s="588"/>
      <c r="BC94" s="588"/>
      <c r="BD94" s="588"/>
      <c r="BE94" s="588"/>
      <c r="BF94" s="588"/>
    </row>
    <row r="95" spans="1:58" x14ac:dyDescent="0.35">
      <c r="A95" s="588"/>
      <c r="B95" s="588"/>
      <c r="C95" s="588"/>
      <c r="D95" s="588"/>
      <c r="E95" s="588"/>
      <c r="F95" s="588"/>
      <c r="G95" s="588"/>
      <c r="H95" s="588"/>
      <c r="I95" s="588"/>
      <c r="J95" s="588"/>
      <c r="K95" s="588"/>
      <c r="L95" s="588"/>
      <c r="M95" s="588"/>
      <c r="N95" s="588"/>
      <c r="O95" s="588"/>
      <c r="P95" s="588"/>
      <c r="Q95" s="588"/>
      <c r="R95" s="588"/>
      <c r="S95" s="588"/>
      <c r="T95" s="588"/>
      <c r="U95" s="588"/>
      <c r="V95" s="588"/>
      <c r="W95" s="588"/>
      <c r="X95" s="588"/>
      <c r="Y95" s="588"/>
      <c r="Z95" s="588"/>
      <c r="AA95" s="588"/>
      <c r="AB95" s="588"/>
      <c r="AC95" s="588"/>
      <c r="AD95" s="588"/>
      <c r="AE95" s="588"/>
      <c r="AF95" s="588"/>
      <c r="AG95" s="588"/>
      <c r="AH95" s="588"/>
      <c r="AI95" s="588"/>
      <c r="AJ95" s="588"/>
      <c r="AK95" s="588"/>
      <c r="AL95" s="588"/>
      <c r="AM95" s="588"/>
      <c r="AN95" s="588"/>
      <c r="AO95" s="588"/>
      <c r="AP95" s="588"/>
      <c r="AQ95" s="588"/>
      <c r="AR95" s="588"/>
      <c r="AS95" s="588"/>
      <c r="AT95" s="588"/>
      <c r="AU95" s="588"/>
      <c r="AV95" s="588"/>
      <c r="AW95" s="588"/>
      <c r="AX95" s="588"/>
      <c r="AY95" s="588"/>
      <c r="AZ95" s="588"/>
      <c r="BA95" s="588"/>
      <c r="BB95" s="588"/>
      <c r="BC95" s="588"/>
      <c r="BD95" s="588"/>
      <c r="BE95" s="588"/>
      <c r="BF95" s="588"/>
    </row>
    <row r="96" spans="1:58" x14ac:dyDescent="0.35">
      <c r="A96" s="588"/>
      <c r="B96" s="588"/>
      <c r="C96" s="588"/>
      <c r="D96" s="588"/>
      <c r="E96" s="588"/>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8"/>
      <c r="AK96" s="588"/>
      <c r="AL96" s="588"/>
      <c r="AM96" s="588"/>
      <c r="AN96" s="588"/>
      <c r="AO96" s="588"/>
      <c r="AP96" s="588"/>
      <c r="AQ96" s="588"/>
      <c r="AR96" s="588"/>
      <c r="AS96" s="588"/>
      <c r="AT96" s="588"/>
      <c r="AU96" s="588"/>
      <c r="AV96" s="588"/>
      <c r="AW96" s="588"/>
      <c r="AX96" s="588"/>
      <c r="AY96" s="588"/>
      <c r="AZ96" s="588"/>
      <c r="BA96" s="588"/>
      <c r="BB96" s="588"/>
      <c r="BC96" s="588"/>
      <c r="BD96" s="588"/>
      <c r="BE96" s="588"/>
      <c r="BF96" s="588"/>
    </row>
    <row r="97" spans="1:58" x14ac:dyDescent="0.35">
      <c r="A97" s="588"/>
      <c r="B97" s="588"/>
      <c r="C97" s="588"/>
      <c r="D97" s="588"/>
      <c r="E97" s="588"/>
      <c r="F97" s="588"/>
      <c r="G97" s="588"/>
      <c r="H97" s="588"/>
      <c r="I97" s="588"/>
      <c r="J97" s="588"/>
      <c r="K97" s="588"/>
      <c r="L97" s="588"/>
      <c r="M97" s="588"/>
      <c r="N97" s="588"/>
      <c r="O97" s="588"/>
      <c r="P97" s="588"/>
      <c r="Q97" s="588"/>
      <c r="R97" s="588"/>
      <c r="S97" s="588"/>
      <c r="T97" s="588"/>
      <c r="U97" s="588"/>
      <c r="V97" s="588"/>
      <c r="W97" s="588"/>
      <c r="X97" s="588"/>
      <c r="Y97" s="588"/>
      <c r="Z97" s="588"/>
      <c r="AA97" s="588"/>
      <c r="AB97" s="588"/>
      <c r="AC97" s="588"/>
      <c r="AD97" s="588"/>
      <c r="AE97" s="588"/>
      <c r="AF97" s="588"/>
      <c r="AG97" s="588"/>
      <c r="AH97" s="588"/>
      <c r="AI97" s="588"/>
      <c r="AJ97" s="588"/>
      <c r="AK97" s="588"/>
      <c r="AL97" s="588"/>
      <c r="AM97" s="588"/>
      <c r="AN97" s="588"/>
      <c r="AO97" s="588"/>
      <c r="AP97" s="588"/>
      <c r="AQ97" s="588"/>
      <c r="AR97" s="588"/>
      <c r="AS97" s="588"/>
      <c r="AT97" s="588"/>
      <c r="AU97" s="588"/>
      <c r="AV97" s="588"/>
      <c r="AW97" s="588"/>
      <c r="AX97" s="588"/>
      <c r="AY97" s="588"/>
      <c r="AZ97" s="588"/>
      <c r="BA97" s="588"/>
      <c r="BB97" s="588"/>
      <c r="BC97" s="588"/>
      <c r="BD97" s="588"/>
      <c r="BE97" s="588"/>
      <c r="BF97" s="588"/>
    </row>
  </sheetData>
  <mergeCells count="3">
    <mergeCell ref="B7:C7"/>
    <mergeCell ref="A14:B14"/>
    <mergeCell ref="A67:T67"/>
  </mergeCell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FFC000"/>
  </sheetPr>
  <dimension ref="A2:AG118"/>
  <sheetViews>
    <sheetView topLeftCell="A64" workbookViewId="0">
      <selection activeCell="T90" sqref="T90"/>
    </sheetView>
  </sheetViews>
  <sheetFormatPr defaultRowHeight="12.5" x14ac:dyDescent="0.25"/>
  <cols>
    <col min="1" max="1" width="10.1796875" bestFit="1" customWidth="1"/>
    <col min="2" max="2" width="36" customWidth="1"/>
    <col min="3" max="3" width="14.1796875" customWidth="1"/>
    <col min="4" max="4" width="12.54296875" style="2" customWidth="1"/>
    <col min="5" max="5" width="0" hidden="1" customWidth="1"/>
    <col min="6" max="6" width="28.54296875" hidden="1" customWidth="1"/>
    <col min="7" max="9" width="0" hidden="1" customWidth="1"/>
    <col min="10" max="10" width="9.81640625" bestFit="1" customWidth="1"/>
    <col min="11" max="11" width="9.81640625" customWidth="1"/>
    <col min="13" max="13" width="27" customWidth="1"/>
    <col min="14" max="14" width="11.7265625" customWidth="1"/>
    <col min="20" max="20" width="29.1796875" customWidth="1"/>
    <col min="23" max="23" width="10" customWidth="1"/>
    <col min="24" max="24" width="9.54296875" customWidth="1"/>
    <col min="27" max="27" width="1" customWidth="1"/>
    <col min="32" max="32" width="19.7265625" customWidth="1"/>
  </cols>
  <sheetData>
    <row r="2" spans="1:30" x14ac:dyDescent="0.25">
      <c r="B2" s="769" t="s">
        <v>1543</v>
      </c>
      <c r="C2" s="769"/>
    </row>
    <row r="4" spans="1:30" ht="29" x14ac:dyDescent="0.35">
      <c r="B4" s="780" t="s">
        <v>580</v>
      </c>
      <c r="C4" s="784" t="s">
        <v>1544</v>
      </c>
      <c r="D4" s="778" t="s">
        <v>1545</v>
      </c>
      <c r="F4" s="770" t="s">
        <v>580</v>
      </c>
      <c r="G4" s="771" t="s">
        <v>1546</v>
      </c>
      <c r="H4" s="777" t="s">
        <v>1547</v>
      </c>
      <c r="J4" s="778" t="s">
        <v>1548</v>
      </c>
      <c r="K4" s="797"/>
    </row>
    <row r="5" spans="1:30" ht="14.5" x14ac:dyDescent="0.35">
      <c r="A5">
        <v>9257010</v>
      </c>
      <c r="B5" s="238" t="s">
        <v>804</v>
      </c>
      <c r="C5" s="245">
        <v>3414.321483273884</v>
      </c>
      <c r="D5" s="774">
        <v>9127.2900934680183</v>
      </c>
      <c r="F5" s="261" t="s">
        <v>804</v>
      </c>
      <c r="G5" s="245">
        <v>4553.8734266857555</v>
      </c>
      <c r="H5" s="302">
        <v>6456.5208567805876</v>
      </c>
      <c r="J5" s="18">
        <f t="shared" ref="J5:J26" si="0">G5+H5</f>
        <v>11010.394283466343</v>
      </c>
      <c r="K5" s="16"/>
      <c r="AD5" t="s">
        <v>205</v>
      </c>
    </row>
    <row r="6" spans="1:30" ht="14.5" x14ac:dyDescent="0.35">
      <c r="A6">
        <v>9257005</v>
      </c>
      <c r="B6" s="238" t="s">
        <v>805</v>
      </c>
      <c r="C6" s="245">
        <v>4629.8247348200184</v>
      </c>
      <c r="D6" s="774">
        <v>11554.910735821051</v>
      </c>
      <c r="F6" s="261" t="s">
        <v>805</v>
      </c>
      <c r="G6" s="245">
        <v>5973.1814070680621</v>
      </c>
      <c r="H6" s="302">
        <v>8390.5211297562782</v>
      </c>
      <c r="J6" s="18">
        <f t="shared" si="0"/>
        <v>14363.702536824341</v>
      </c>
      <c r="K6" s="16"/>
      <c r="AD6" t="s">
        <v>208</v>
      </c>
    </row>
    <row r="7" spans="1:30" ht="14.5" x14ac:dyDescent="0.35">
      <c r="A7">
        <v>9257025</v>
      </c>
      <c r="B7" s="238" t="s">
        <v>806</v>
      </c>
      <c r="C7" s="245">
        <v>3907.0894289831836</v>
      </c>
      <c r="D7" s="774">
        <v>10799.702738792777</v>
      </c>
      <c r="F7" s="261" t="s">
        <v>806</v>
      </c>
      <c r="G7" s="245">
        <v>5718.3340247761325</v>
      </c>
      <c r="H7" s="302">
        <v>8107.5030941023369</v>
      </c>
      <c r="J7" s="18">
        <f t="shared" si="0"/>
        <v>13825.837118878469</v>
      </c>
      <c r="K7" s="16"/>
      <c r="AD7" t="s">
        <v>209</v>
      </c>
    </row>
    <row r="8" spans="1:30" ht="14.5" x14ac:dyDescent="0.35">
      <c r="A8">
        <v>9257011</v>
      </c>
      <c r="B8" s="238" t="s">
        <v>210</v>
      </c>
      <c r="C8" s="245">
        <v>3451.6628856968241</v>
      </c>
      <c r="D8" s="774">
        <v>9310.7019399396449</v>
      </c>
      <c r="F8" s="261" t="s">
        <v>210</v>
      </c>
      <c r="G8" s="245">
        <v>4453.0222950401821</v>
      </c>
      <c r="H8" s="302">
        <v>6313.5332561406922</v>
      </c>
      <c r="J8" s="18">
        <f t="shared" si="0"/>
        <v>10766.555551180874</v>
      </c>
      <c r="K8" s="16"/>
      <c r="AD8" t="s">
        <v>210</v>
      </c>
    </row>
    <row r="9" spans="1:30" ht="14.5" x14ac:dyDescent="0.35">
      <c r="A9">
        <v>9257024</v>
      </c>
      <c r="B9" s="238" t="s">
        <v>807</v>
      </c>
      <c r="C9" s="245">
        <v>4293.702724702157</v>
      </c>
      <c r="D9" s="774">
        <v>11423.360723804921</v>
      </c>
      <c r="F9" s="261" t="s">
        <v>807</v>
      </c>
      <c r="G9" s="245">
        <v>5978.6992600751582</v>
      </c>
      <c r="H9" s="302">
        <v>8574.4936026672658</v>
      </c>
      <c r="J9" s="18">
        <f t="shared" si="0"/>
        <v>14553.192862742424</v>
      </c>
      <c r="K9" s="16"/>
      <c r="AD9" t="s">
        <v>211</v>
      </c>
    </row>
    <row r="10" spans="1:30" ht="14.5" x14ac:dyDescent="0.35">
      <c r="A10">
        <v>9257031</v>
      </c>
      <c r="B10" s="238" t="s">
        <v>557</v>
      </c>
      <c r="C10" s="245">
        <v>4146.4759953838984</v>
      </c>
      <c r="D10" s="774">
        <v>10683.350626495672</v>
      </c>
      <c r="F10" s="262" t="s">
        <v>557</v>
      </c>
      <c r="G10" s="245">
        <v>5545.9466481145691</v>
      </c>
      <c r="H10" s="302">
        <v>7863.0907908664258</v>
      </c>
      <c r="J10" s="18">
        <f t="shared" si="0"/>
        <v>13409.037438980995</v>
      </c>
      <c r="K10" s="16"/>
      <c r="AD10" t="s">
        <v>257</v>
      </c>
    </row>
    <row r="11" spans="1:30" ht="14.5" x14ac:dyDescent="0.35">
      <c r="A11">
        <v>9257033</v>
      </c>
      <c r="B11" s="238" t="s">
        <v>816</v>
      </c>
      <c r="C11" s="245">
        <v>5526.9144372921028</v>
      </c>
      <c r="D11" s="774">
        <v>14285.483447517036</v>
      </c>
      <c r="F11" s="261" t="s">
        <v>816</v>
      </c>
      <c r="G11" s="245">
        <v>7185.6612653145457</v>
      </c>
      <c r="H11" s="302">
        <v>10187.892258355743</v>
      </c>
      <c r="J11" s="18">
        <f t="shared" si="0"/>
        <v>17373.553523670289</v>
      </c>
      <c r="K11" s="16"/>
      <c r="AD11" t="s">
        <v>220</v>
      </c>
    </row>
    <row r="12" spans="1:30" ht="14.5" x14ac:dyDescent="0.35">
      <c r="A12">
        <v>9257008</v>
      </c>
      <c r="B12" s="238" t="s">
        <v>340</v>
      </c>
      <c r="C12" s="245">
        <v>5975.745421592399</v>
      </c>
      <c r="D12" s="774">
        <v>15572.341591163353</v>
      </c>
      <c r="F12" s="261" t="s">
        <v>340</v>
      </c>
      <c r="G12" s="245">
        <v>7566.029782286213</v>
      </c>
      <c r="H12" s="302">
        <v>10404.07003591544</v>
      </c>
      <c r="J12" s="18">
        <f t="shared" si="0"/>
        <v>17970.099818201652</v>
      </c>
      <c r="K12" s="16"/>
      <c r="AD12" t="s">
        <v>212</v>
      </c>
    </row>
    <row r="13" spans="1:30" ht="14.5" x14ac:dyDescent="0.35">
      <c r="A13">
        <v>9257034</v>
      </c>
      <c r="B13" s="238" t="s">
        <v>817</v>
      </c>
      <c r="C13" s="245">
        <v>6314.2918317788881</v>
      </c>
      <c r="D13" s="774">
        <v>16398.086344867806</v>
      </c>
      <c r="F13" s="261" t="s">
        <v>817</v>
      </c>
      <c r="G13" s="245">
        <v>8748.6890211647988</v>
      </c>
      <c r="H13" s="302">
        <v>13067.137642544349</v>
      </c>
      <c r="J13" s="18">
        <f t="shared" si="0"/>
        <v>21815.826663709147</v>
      </c>
      <c r="K13" s="16"/>
      <c r="AD13" t="s">
        <v>221</v>
      </c>
    </row>
    <row r="14" spans="1:30" ht="14.5" x14ac:dyDescent="0.35">
      <c r="A14">
        <v>9257002</v>
      </c>
      <c r="B14" s="238" t="s">
        <v>808</v>
      </c>
      <c r="C14" s="245">
        <v>8125.9177368061028</v>
      </c>
      <c r="D14" s="774">
        <v>21053.280214425573</v>
      </c>
      <c r="F14" s="261" t="s">
        <v>808</v>
      </c>
      <c r="G14" s="245">
        <v>10572.29268658719</v>
      </c>
      <c r="H14" s="302">
        <v>15311.774977101786</v>
      </c>
      <c r="J14" s="18">
        <f t="shared" si="0"/>
        <v>25884.067663688977</v>
      </c>
      <c r="K14" s="16"/>
      <c r="AD14" t="s">
        <v>213</v>
      </c>
    </row>
    <row r="15" spans="1:30" ht="14.5" x14ac:dyDescent="0.35">
      <c r="A15">
        <v>9257009</v>
      </c>
      <c r="B15" s="238" t="s">
        <v>546</v>
      </c>
      <c r="C15" s="245">
        <v>8716.0405464586547</v>
      </c>
      <c r="D15" s="774">
        <v>20946.072661764578</v>
      </c>
      <c r="F15" s="261" t="s">
        <v>546</v>
      </c>
      <c r="G15" s="245">
        <v>10236.555039190876</v>
      </c>
      <c r="H15" s="302">
        <v>14513.47565455272</v>
      </c>
      <c r="J15" s="18">
        <f t="shared" si="0"/>
        <v>24750.030693743596</v>
      </c>
      <c r="K15" s="16"/>
      <c r="AD15" t="s">
        <v>214</v>
      </c>
    </row>
    <row r="16" spans="1:30" ht="14.5" x14ac:dyDescent="0.35">
      <c r="A16">
        <v>9257029</v>
      </c>
      <c r="B16" s="238" t="s">
        <v>1549</v>
      </c>
      <c r="C16" s="245">
        <v>2437.3898708228462</v>
      </c>
      <c r="D16" s="774">
        <v>8220.7477702186588</v>
      </c>
      <c r="F16" s="261" t="s">
        <v>1549</v>
      </c>
      <c r="G16" s="245">
        <v>4958.1398052782142</v>
      </c>
      <c r="H16" s="302">
        <v>7145.0698999135702</v>
      </c>
      <c r="J16" s="18">
        <f t="shared" si="0"/>
        <v>12103.209705191784</v>
      </c>
      <c r="K16" s="16"/>
      <c r="AD16" t="s">
        <v>890</v>
      </c>
    </row>
    <row r="17" spans="1:30" ht="14.5" x14ac:dyDescent="0.35">
      <c r="A17">
        <v>9257032</v>
      </c>
      <c r="B17" s="238" t="s">
        <v>813</v>
      </c>
      <c r="C17" s="245">
        <v>3903.7080799633391</v>
      </c>
      <c r="D17" s="774">
        <v>10345.346312888778</v>
      </c>
      <c r="F17" s="262" t="s">
        <v>813</v>
      </c>
      <c r="G17" s="245">
        <v>5510.3576856667942</v>
      </c>
      <c r="H17" s="302">
        <v>7676.9952693376172</v>
      </c>
      <c r="J17" s="18">
        <f t="shared" si="0"/>
        <v>13187.352955004411</v>
      </c>
      <c r="K17" s="16"/>
      <c r="AD17" t="s">
        <v>1043</v>
      </c>
    </row>
    <row r="18" spans="1:30" ht="14.5" x14ac:dyDescent="0.35">
      <c r="A18">
        <v>9257030</v>
      </c>
      <c r="B18" s="238" t="s">
        <v>815</v>
      </c>
      <c r="C18" s="245">
        <v>4078.500979066137</v>
      </c>
      <c r="D18" s="774">
        <v>10478.133721805712</v>
      </c>
      <c r="F18" s="261" t="s">
        <v>815</v>
      </c>
      <c r="G18" s="245">
        <v>5395.6868984626135</v>
      </c>
      <c r="H18" s="302">
        <v>7655.7018800272263</v>
      </c>
      <c r="J18" s="18">
        <f t="shared" si="0"/>
        <v>13051.38877848984</v>
      </c>
      <c r="K18" s="16"/>
      <c r="AD18" t="s">
        <v>1046</v>
      </c>
    </row>
    <row r="19" spans="1:30" ht="14.5" x14ac:dyDescent="0.35">
      <c r="A19">
        <v>9257028</v>
      </c>
      <c r="B19" s="238" t="s">
        <v>215</v>
      </c>
      <c r="C19" s="245">
        <v>4442.2561871329954</v>
      </c>
      <c r="D19" s="774">
        <v>12504.381618407231</v>
      </c>
      <c r="F19" s="261" t="s">
        <v>215</v>
      </c>
      <c r="G19" s="245">
        <v>6701.3860197255999</v>
      </c>
      <c r="H19" s="302">
        <v>9674.2826558040197</v>
      </c>
      <c r="J19" s="18">
        <f t="shared" si="0"/>
        <v>16375.66867552962</v>
      </c>
      <c r="K19" s="16"/>
      <c r="AD19" t="s">
        <v>215</v>
      </c>
    </row>
    <row r="20" spans="1:30" ht="14.5" x14ac:dyDescent="0.35">
      <c r="A20">
        <v>9257021</v>
      </c>
      <c r="B20" s="238" t="s">
        <v>809</v>
      </c>
      <c r="C20" s="245">
        <v>9700.1640048080189</v>
      </c>
      <c r="D20" s="774">
        <v>24787.225174632291</v>
      </c>
      <c r="F20" s="261" t="s">
        <v>809</v>
      </c>
      <c r="G20" s="245">
        <v>12306.866995827164</v>
      </c>
      <c r="H20" s="302">
        <v>17448.781728220376</v>
      </c>
      <c r="J20" s="18">
        <f t="shared" si="0"/>
        <v>29755.64872404754</v>
      </c>
      <c r="K20" s="16"/>
      <c r="AD20" t="s">
        <v>216</v>
      </c>
    </row>
    <row r="21" spans="1:30" ht="14.5" x14ac:dyDescent="0.35">
      <c r="A21">
        <v>9257015</v>
      </c>
      <c r="B21" s="238" t="s">
        <v>217</v>
      </c>
      <c r="C21" s="245">
        <v>14808.144107601689</v>
      </c>
      <c r="D21" s="774">
        <v>35967.509649800013</v>
      </c>
      <c r="F21" s="262" t="s">
        <v>217</v>
      </c>
      <c r="G21" s="245">
        <v>17401.852131719708</v>
      </c>
      <c r="H21" s="302">
        <v>24672.495413828547</v>
      </c>
      <c r="J21" s="18">
        <f t="shared" si="0"/>
        <v>42074.347545548255</v>
      </c>
      <c r="K21" s="16"/>
      <c r="AD21" t="s">
        <v>217</v>
      </c>
    </row>
    <row r="22" spans="1:30" ht="14.5" x14ac:dyDescent="0.35">
      <c r="A22">
        <v>9257016</v>
      </c>
      <c r="B22" s="238" t="s">
        <v>219</v>
      </c>
      <c r="C22" s="245">
        <v>6750.836348099283</v>
      </c>
      <c r="D22" s="774">
        <v>16475.121407245097</v>
      </c>
      <c r="F22" s="262" t="s">
        <v>219</v>
      </c>
      <c r="G22" s="245">
        <v>9988.5439933259986</v>
      </c>
      <c r="H22" s="302">
        <v>13984.555429374912</v>
      </c>
      <c r="J22" s="18">
        <f t="shared" si="0"/>
        <v>23973.099422700911</v>
      </c>
      <c r="K22" s="16"/>
      <c r="M22" s="230">
        <f>SUM(J5:J22)</f>
        <v>336243.01396159944</v>
      </c>
      <c r="AD22" t="s">
        <v>219</v>
      </c>
    </row>
    <row r="23" spans="1:30" ht="14.5" x14ac:dyDescent="0.35">
      <c r="B23" s="781" t="s">
        <v>1550</v>
      </c>
      <c r="C23" s="783">
        <v>2581.6710058330173</v>
      </c>
      <c r="D23" s="774">
        <v>6361.3563420944656</v>
      </c>
      <c r="F23" s="779" t="s">
        <v>1550</v>
      </c>
      <c r="G23" s="773">
        <v>3207.5374397159894</v>
      </c>
      <c r="H23" s="302">
        <v>4361.5028696700219</v>
      </c>
      <c r="J23" s="18">
        <f t="shared" si="0"/>
        <v>7569.0403093860114</v>
      </c>
      <c r="K23" s="16"/>
    </row>
    <row r="24" spans="1:30" ht="14.5" x14ac:dyDescent="0.35">
      <c r="B24" s="238" t="s">
        <v>706</v>
      </c>
      <c r="C24" s="245">
        <v>5151.4082473863746</v>
      </c>
      <c r="D24" s="774">
        <v>12625.374198306297</v>
      </c>
      <c r="F24" s="262" t="s">
        <v>706</v>
      </c>
      <c r="G24" s="773">
        <v>5574.9693132635248</v>
      </c>
      <c r="H24" s="302">
        <v>7426.6462761774428</v>
      </c>
      <c r="J24" s="18">
        <f t="shared" si="0"/>
        <v>13001.615589440968</v>
      </c>
      <c r="K24" s="16"/>
    </row>
    <row r="25" spans="1:30" ht="14.5" x14ac:dyDescent="0.35">
      <c r="B25" s="238" t="s">
        <v>1551</v>
      </c>
      <c r="C25" s="245">
        <v>14785.933942498188</v>
      </c>
      <c r="D25" s="774">
        <v>36433.222686541027</v>
      </c>
      <c r="F25" s="261" t="s">
        <v>1551</v>
      </c>
      <c r="G25" s="773">
        <v>18373.441700191575</v>
      </c>
      <c r="H25" s="302">
        <v>26050.516435382855</v>
      </c>
      <c r="J25" s="18">
        <f t="shared" si="0"/>
        <v>44423.95813557443</v>
      </c>
      <c r="K25" s="16"/>
    </row>
    <row r="26" spans="1:30" ht="14.5" x14ac:dyDescent="0.35">
      <c r="B26" s="238" t="s">
        <v>1552</v>
      </c>
      <c r="C26" s="245">
        <v>2000</v>
      </c>
      <c r="D26" s="774">
        <v>3500</v>
      </c>
      <c r="F26" s="262" t="s">
        <v>1552</v>
      </c>
      <c r="G26" s="773">
        <v>1157.2398971127709</v>
      </c>
      <c r="H26" s="302">
        <v>8.5870039585329323</v>
      </c>
      <c r="J26" s="18">
        <f t="shared" si="0"/>
        <v>1165.8269010713038</v>
      </c>
      <c r="K26" s="16"/>
    </row>
    <row r="28" spans="1:30" ht="14.5" x14ac:dyDescent="0.35">
      <c r="B28" s="775" t="s">
        <v>1553</v>
      </c>
      <c r="C28" s="776">
        <f>SUM(C5:C26)</f>
        <v>129142.00000000001</v>
      </c>
      <c r="D28" s="776">
        <f>SUM(D5:D26)</f>
        <v>328853.00000000006</v>
      </c>
      <c r="J28" s="776">
        <f>SUM(J5:J26)</f>
        <v>402403.45489707217</v>
      </c>
      <c r="K28" s="776"/>
    </row>
    <row r="30" spans="1:30" x14ac:dyDescent="0.25">
      <c r="B30" s="769" t="s">
        <v>1554</v>
      </c>
      <c r="C30" s="769"/>
    </row>
    <row r="32" spans="1:30" ht="29" x14ac:dyDescent="0.35">
      <c r="B32" s="772" t="s">
        <v>183</v>
      </c>
      <c r="C32" s="772"/>
      <c r="D32" s="778" t="s">
        <v>1545</v>
      </c>
      <c r="J32" s="15" t="s">
        <v>1548</v>
      </c>
      <c r="K32" s="798"/>
    </row>
    <row r="33" spans="1:11" x14ac:dyDescent="0.25">
      <c r="A33">
        <v>9257010</v>
      </c>
      <c r="B33" s="238" t="s">
        <v>804</v>
      </c>
      <c r="C33" s="238"/>
      <c r="D33" s="245">
        <v>17802.454171658334</v>
      </c>
      <c r="J33" s="18">
        <v>31687.816376183884</v>
      </c>
      <c r="K33" s="16"/>
    </row>
    <row r="34" spans="1:11" x14ac:dyDescent="0.25">
      <c r="A34">
        <v>9257005</v>
      </c>
      <c r="B34" s="238" t="s">
        <v>805</v>
      </c>
      <c r="C34" s="238"/>
      <c r="D34" s="245">
        <v>22133.461410024996</v>
      </c>
      <c r="J34" s="18">
        <v>38948.727318000892</v>
      </c>
      <c r="K34" s="16"/>
    </row>
    <row r="35" spans="1:11" x14ac:dyDescent="0.25">
      <c r="A35">
        <v>9257025</v>
      </c>
      <c r="B35" s="238" t="s">
        <v>806</v>
      </c>
      <c r="C35" s="238"/>
      <c r="D35" s="245">
        <v>21579.495367908337</v>
      </c>
      <c r="J35" s="18">
        <v>37857.486211684278</v>
      </c>
      <c r="K35" s="16"/>
    </row>
    <row r="36" spans="1:11" x14ac:dyDescent="0.25">
      <c r="A36">
        <v>9257011</v>
      </c>
      <c r="B36" s="238" t="s">
        <v>210</v>
      </c>
      <c r="C36" s="238"/>
      <c r="D36" s="245">
        <v>17827.634446299999</v>
      </c>
      <c r="J36" s="18">
        <v>29421.387443682441</v>
      </c>
      <c r="K36" s="16"/>
    </row>
    <row r="37" spans="1:11" x14ac:dyDescent="0.25">
      <c r="A37">
        <v>9257024</v>
      </c>
      <c r="B37" s="238" t="s">
        <v>807</v>
      </c>
      <c r="C37" s="238"/>
      <c r="D37" s="245">
        <v>23029.293194888651</v>
      </c>
      <c r="J37" s="18">
        <v>40332.178173680477</v>
      </c>
      <c r="K37" s="16"/>
    </row>
    <row r="38" spans="1:11" x14ac:dyDescent="0.25">
      <c r="A38">
        <v>9257031</v>
      </c>
      <c r="B38" s="238" t="s">
        <v>557</v>
      </c>
      <c r="C38" s="238"/>
      <c r="D38" s="245">
        <v>22284.543057875002</v>
      </c>
      <c r="J38" s="18">
        <v>37773.539491816082</v>
      </c>
      <c r="K38" s="16"/>
    </row>
    <row r="39" spans="1:11" x14ac:dyDescent="0.25">
      <c r="A39">
        <v>9257033</v>
      </c>
      <c r="B39" s="238" t="s">
        <v>816</v>
      </c>
      <c r="C39" s="238"/>
      <c r="D39" s="245">
        <v>26017.926735721419</v>
      </c>
      <c r="J39" s="18">
        <v>46393.778554537101</v>
      </c>
      <c r="K39" s="16"/>
    </row>
    <row r="40" spans="1:11" x14ac:dyDescent="0.25">
      <c r="A40">
        <v>9257008</v>
      </c>
      <c r="B40" s="238" t="s">
        <v>340</v>
      </c>
      <c r="C40" s="238"/>
      <c r="D40" s="245">
        <v>27361.666254131575</v>
      </c>
      <c r="J40" s="18">
        <v>46919.362614824415</v>
      </c>
      <c r="K40" s="16"/>
    </row>
    <row r="41" spans="1:11" x14ac:dyDescent="0.25">
      <c r="A41">
        <v>9257034</v>
      </c>
      <c r="B41" s="238" t="s">
        <v>817</v>
      </c>
      <c r="C41" s="238"/>
      <c r="D41" s="245">
        <v>32980.25916666667</v>
      </c>
      <c r="J41" s="18">
        <v>60457.553095244184</v>
      </c>
      <c r="K41" s="16"/>
    </row>
    <row r="42" spans="1:11" x14ac:dyDescent="0.25">
      <c r="A42">
        <v>9257002</v>
      </c>
      <c r="B42" s="238" t="s">
        <v>808</v>
      </c>
      <c r="C42" s="238"/>
      <c r="D42" s="245">
        <v>40901.179166666669</v>
      </c>
      <c r="J42" s="18">
        <v>71732.217309951229</v>
      </c>
      <c r="K42" s="16"/>
    </row>
    <row r="43" spans="1:11" x14ac:dyDescent="0.25">
      <c r="A43">
        <v>9257009</v>
      </c>
      <c r="B43" s="238" t="s">
        <v>546</v>
      </c>
      <c r="C43" s="238"/>
      <c r="D43" s="245">
        <v>37954.40833333334</v>
      </c>
      <c r="J43" s="18">
        <v>65751.015144488469</v>
      </c>
      <c r="K43" s="16"/>
    </row>
    <row r="44" spans="1:11" x14ac:dyDescent="0.25">
      <c r="A44">
        <v>9257029</v>
      </c>
      <c r="B44" s="238" t="s">
        <v>1549</v>
      </c>
      <c r="C44" s="238"/>
      <c r="D44" s="245">
        <v>17147.767030975003</v>
      </c>
      <c r="J44" s="18">
        <v>34835.603052338993</v>
      </c>
      <c r="K44" s="16"/>
    </row>
    <row r="45" spans="1:11" x14ac:dyDescent="0.25">
      <c r="A45">
        <v>9257032</v>
      </c>
      <c r="B45" s="238" t="s">
        <v>813</v>
      </c>
      <c r="C45" s="238"/>
      <c r="D45" s="245">
        <v>21579.495367908334</v>
      </c>
      <c r="J45" s="18">
        <v>35758.950718919223</v>
      </c>
      <c r="K45" s="16"/>
    </row>
    <row r="46" spans="1:11" x14ac:dyDescent="0.25">
      <c r="A46">
        <v>9257030</v>
      </c>
      <c r="B46" s="238" t="s">
        <v>815</v>
      </c>
      <c r="C46" s="238"/>
      <c r="D46" s="245">
        <v>21856.478388966669</v>
      </c>
      <c r="J46" s="18">
        <v>37563.689255138066</v>
      </c>
      <c r="K46" s="16"/>
    </row>
    <row r="47" spans="1:11" x14ac:dyDescent="0.25">
      <c r="A47">
        <v>9257028</v>
      </c>
      <c r="B47" s="238" t="s">
        <v>215</v>
      </c>
      <c r="C47" s="238"/>
      <c r="D47" s="245">
        <v>24912.597098780672</v>
      </c>
      <c r="J47" s="18">
        <v>47133.019052383082</v>
      </c>
      <c r="K47" s="16"/>
    </row>
    <row r="48" spans="1:11" x14ac:dyDescent="0.25">
      <c r="A48">
        <v>9257021</v>
      </c>
      <c r="B48" s="238" t="s">
        <v>809</v>
      </c>
      <c r="C48" s="238"/>
      <c r="D48" s="245">
        <v>45003.084166666667</v>
      </c>
      <c r="J48" s="18">
        <v>79693.454506050941</v>
      </c>
      <c r="K48" s="16"/>
    </row>
    <row r="49" spans="1:13" x14ac:dyDescent="0.25">
      <c r="A49">
        <v>9257015</v>
      </c>
      <c r="B49" s="238" t="s">
        <v>217</v>
      </c>
      <c r="C49" s="238"/>
      <c r="D49" s="245">
        <v>67327.820000000007</v>
      </c>
      <c r="J49" s="18">
        <v>114933.15884176364</v>
      </c>
      <c r="K49" s="16"/>
    </row>
    <row r="50" spans="1:13" x14ac:dyDescent="0.25">
      <c r="A50">
        <v>9257016</v>
      </c>
      <c r="B50" s="238" t="s">
        <v>219</v>
      </c>
      <c r="C50" s="238"/>
      <c r="D50" s="245">
        <v>38779.504166666666</v>
      </c>
      <c r="J50" s="18">
        <v>66438.717697156331</v>
      </c>
      <c r="K50" s="16"/>
      <c r="M50" s="230">
        <f>SUM(J33:J50)</f>
        <v>923631.65485784377</v>
      </c>
    </row>
    <row r="51" spans="1:13" x14ac:dyDescent="0.25">
      <c r="B51" s="238" t="s">
        <v>1550</v>
      </c>
      <c r="C51" s="238"/>
      <c r="D51" s="245">
        <v>13295.1850108</v>
      </c>
      <c r="J51" s="18">
        <v>20985.288675680618</v>
      </c>
      <c r="K51" s="16"/>
    </row>
    <row r="52" spans="1:13" x14ac:dyDescent="0.25">
      <c r="B52" s="238" t="s">
        <v>706</v>
      </c>
      <c r="C52" s="238"/>
      <c r="D52" s="245">
        <v>21151.430699</v>
      </c>
      <c r="J52" s="18">
        <v>35255.30352569501</v>
      </c>
      <c r="K52" s="16"/>
    </row>
    <row r="53" spans="1:13" x14ac:dyDescent="0.25">
      <c r="B53" s="238" t="s">
        <v>1551</v>
      </c>
      <c r="C53" s="238"/>
      <c r="D53" s="245">
        <v>76145.150516399997</v>
      </c>
      <c r="J53" s="18">
        <v>135313.10215962245</v>
      </c>
      <c r="K53" s="16"/>
    </row>
    <row r="54" spans="1:13" x14ac:dyDescent="0.25">
      <c r="B54" s="238" t="s">
        <v>1552</v>
      </c>
      <c r="C54" s="238"/>
      <c r="D54" s="245">
        <v>11315.599999999999</v>
      </c>
      <c r="J54" s="18">
        <v>0</v>
      </c>
      <c r="K54" s="16"/>
    </row>
    <row r="55" spans="1:13" x14ac:dyDescent="0.25">
      <c r="B55" s="234"/>
      <c r="C55" s="234"/>
      <c r="D55" s="234"/>
    </row>
    <row r="56" spans="1:13" ht="13" x14ac:dyDescent="0.3">
      <c r="B56" s="234"/>
      <c r="C56" s="234"/>
      <c r="D56" s="782">
        <f>SUM(D33:D55)</f>
        <v>648386.43375133898</v>
      </c>
      <c r="J56" s="782">
        <f>SUM(J33:J55)</f>
        <v>1115185.3492188419</v>
      </c>
      <c r="K56" s="782"/>
    </row>
    <row r="58" spans="1:13" x14ac:dyDescent="0.25">
      <c r="B58" s="769" t="s">
        <v>1555</v>
      </c>
      <c r="C58" s="769"/>
    </row>
    <row r="60" spans="1:13" ht="29" x14ac:dyDescent="0.35">
      <c r="B60" s="772" t="s">
        <v>183</v>
      </c>
      <c r="C60" s="772"/>
      <c r="D60" s="778" t="s">
        <v>1545</v>
      </c>
    </row>
    <row r="61" spans="1:13" x14ac:dyDescent="0.25">
      <c r="B61" s="238" t="s">
        <v>815</v>
      </c>
      <c r="C61" s="238"/>
      <c r="D61" s="18">
        <v>8262.3474421185565</v>
      </c>
    </row>
    <row r="62" spans="1:13" x14ac:dyDescent="0.25">
      <c r="B62" s="238" t="s">
        <v>1549</v>
      </c>
      <c r="C62" s="238"/>
      <c r="D62" s="18">
        <v>1668.5380944342503</v>
      </c>
    </row>
    <row r="64" spans="1:13" ht="13" x14ac:dyDescent="0.3">
      <c r="D64" s="785">
        <f>SUM(D61:D63)</f>
        <v>9930.885536552807</v>
      </c>
    </row>
    <row r="65" spans="1:30" x14ac:dyDescent="0.25">
      <c r="N65" s="1504" t="s">
        <v>1556</v>
      </c>
      <c r="U65" s="1586" t="s">
        <v>1557</v>
      </c>
      <c r="V65" s="822"/>
      <c r="AD65" s="182" t="s">
        <v>1558</v>
      </c>
    </row>
    <row r="66" spans="1:30" ht="12.75" customHeight="1" x14ac:dyDescent="0.25">
      <c r="N66" s="1504"/>
      <c r="U66" s="1586"/>
      <c r="V66" s="822"/>
      <c r="Y66" s="316" t="s">
        <v>958</v>
      </c>
      <c r="Z66" s="2"/>
      <c r="AA66" s="2"/>
      <c r="AB66" s="316" t="s">
        <v>947</v>
      </c>
    </row>
    <row r="67" spans="1:30" ht="12.75" customHeight="1" x14ac:dyDescent="0.25">
      <c r="D67" s="1585" t="s">
        <v>1559</v>
      </c>
      <c r="E67" s="1542"/>
      <c r="F67" s="1542"/>
      <c r="G67" s="1542"/>
      <c r="H67" s="1542"/>
      <c r="I67" s="1542"/>
      <c r="J67" s="1542"/>
      <c r="L67" s="2"/>
      <c r="M67" s="466"/>
      <c r="N67" s="1504"/>
      <c r="O67" s="316"/>
      <c r="U67" s="1586"/>
      <c r="V67" s="822"/>
      <c r="Y67" s="1504" t="s">
        <v>1560</v>
      </c>
      <c r="Z67" s="1588" t="s">
        <v>1561</v>
      </c>
      <c r="AB67" s="1504" t="s">
        <v>1560</v>
      </c>
      <c r="AC67" s="1588" t="s">
        <v>1561</v>
      </c>
      <c r="AD67" s="1504" t="s">
        <v>3</v>
      </c>
    </row>
    <row r="68" spans="1:30" x14ac:dyDescent="0.25">
      <c r="C68" s="2" t="s">
        <v>947</v>
      </c>
      <c r="D68" s="316" t="s">
        <v>958</v>
      </c>
      <c r="K68" s="1504" t="s">
        <v>1562</v>
      </c>
      <c r="M68" s="466"/>
      <c r="N68" s="2" t="s">
        <v>958</v>
      </c>
      <c r="O68" s="2"/>
      <c r="P68" s="1504" t="s">
        <v>1562</v>
      </c>
      <c r="U68" s="838" t="s">
        <v>958</v>
      </c>
      <c r="V68" s="2"/>
      <c r="Y68" s="1504"/>
      <c r="Z68" s="1588"/>
      <c r="AB68" s="1504"/>
      <c r="AC68" s="1588"/>
      <c r="AD68" s="1534"/>
    </row>
    <row r="69" spans="1:30" x14ac:dyDescent="0.25">
      <c r="C69" s="2" t="s">
        <v>1563</v>
      </c>
      <c r="D69" s="316" t="s">
        <v>1564</v>
      </c>
      <c r="J69" s="289" t="s">
        <v>1565</v>
      </c>
      <c r="K69" s="1504"/>
      <c r="L69" s="316" t="s">
        <v>3</v>
      </c>
      <c r="M69" s="466"/>
      <c r="N69" s="2" t="s">
        <v>1564</v>
      </c>
      <c r="O69" t="s">
        <v>1565</v>
      </c>
      <c r="P69" s="1504"/>
      <c r="Q69" s="2" t="s">
        <v>3</v>
      </c>
      <c r="R69" s="2" t="s">
        <v>1566</v>
      </c>
      <c r="S69" s="2" t="s">
        <v>1567</v>
      </c>
      <c r="T69" s="2" t="s">
        <v>1568</v>
      </c>
      <c r="U69" s="838" t="s">
        <v>1564</v>
      </c>
      <c r="V69" s="855" t="s">
        <v>357</v>
      </c>
      <c r="W69" s="838" t="s">
        <v>1567</v>
      </c>
      <c r="Y69" s="1504"/>
      <c r="Z69" s="1588"/>
      <c r="AB69" s="1504"/>
      <c r="AC69" s="1588"/>
      <c r="AD69" s="1534"/>
    </row>
    <row r="70" spans="1:30" x14ac:dyDescent="0.25">
      <c r="A70">
        <v>9257010</v>
      </c>
      <c r="B70" s="238" t="s">
        <v>804</v>
      </c>
      <c r="C70" s="16">
        <f>J5+J33</f>
        <v>42698.210659650227</v>
      </c>
      <c r="D70" s="16">
        <f>VLOOKUP(A70,'Pay &amp; Pension Workings'!$A$112:$H$129,8,(FALSE))</f>
        <v>52115.332193693306</v>
      </c>
      <c r="K70" s="16">
        <f>SUM(D70:J70)</f>
        <v>52115.332193693306</v>
      </c>
      <c r="L70" s="315">
        <f>D70+J70-C70</f>
        <v>9417.121534043079</v>
      </c>
      <c r="M70" s="466"/>
      <c r="N70" s="16">
        <v>54674.819645577641</v>
      </c>
      <c r="O70" s="16">
        <f>$N$98</f>
        <v>20065.006250000006</v>
      </c>
      <c r="P70" s="16">
        <f>SUM(N70:O70)</f>
        <v>74739.82589557764</v>
      </c>
      <c r="Q70" s="315">
        <f>N70+O70-C70</f>
        <v>32041.615235927413</v>
      </c>
      <c r="R70" s="465">
        <f>$O$98</f>
        <v>15282.377500000002</v>
      </c>
      <c r="S70" s="398">
        <f>VLOOKUP(T70,$M$96:$P$104,4,(FALSE))</f>
        <v>13435.682499999995</v>
      </c>
      <c r="T70" s="2" t="str">
        <f>VLOOKUP(A70,'2223 Funding Detail'!$A$4:$AB$20,3,(FALSE))</f>
        <v>School Size 5</v>
      </c>
      <c r="U70" s="16">
        <f>'Pay &amp; Pension Workings'!H112</f>
        <v>52115.332193693306</v>
      </c>
      <c r="V70" s="16">
        <f>S70+U70</f>
        <v>65551.014693693302</v>
      </c>
      <c r="W70" s="16">
        <f>U70+S70-C70</f>
        <v>22852.804034043074</v>
      </c>
      <c r="Y70" s="460">
        <f>VLOOKUP(A70,'2223 Band Calculations'!$A$105:$S$123,19,(FALSE))</f>
        <v>115.33333333333333</v>
      </c>
      <c r="Z70" s="462">
        <f>V70/Y70</f>
        <v>568.36139907826566</v>
      </c>
      <c r="AB70" s="460">
        <f>VLOOKUP(A70,'2021 Funding Detail'!$A$4:$M$23,13,(FALSE))</f>
        <v>62.833333333333329</v>
      </c>
      <c r="AC70" s="462">
        <f t="shared" ref="AC70:AC87" si="1">C70/AB70</f>
        <v>679.54711925172785</v>
      </c>
      <c r="AD70" s="16">
        <f>Z70-AC70</f>
        <v>-111.18572017346219</v>
      </c>
    </row>
    <row r="71" spans="1:30" x14ac:dyDescent="0.25">
      <c r="A71">
        <v>9257005</v>
      </c>
      <c r="B71" s="238" t="s">
        <v>805</v>
      </c>
      <c r="C71" s="16">
        <f t="shared" ref="C71:C80" si="2">J6+J34</f>
        <v>53312.429854825234</v>
      </c>
      <c r="D71" s="16">
        <f>VLOOKUP(A71,'Pay &amp; Pension Workings'!$A$112:$H$129,8,(FALSE))</f>
        <v>53413.904418921054</v>
      </c>
      <c r="K71" s="16">
        <f t="shared" ref="K71:K87" si="3">SUM(D71:J71)</f>
        <v>53413.904418921054</v>
      </c>
      <c r="L71" s="315">
        <f t="shared" ref="L71:L87" si="4">D71+J71-C71</f>
        <v>101.47456409582082</v>
      </c>
      <c r="M71" s="466"/>
      <c r="N71" s="16">
        <v>56037.167331421908</v>
      </c>
      <c r="O71" s="16">
        <f>$N$98</f>
        <v>20065.006250000006</v>
      </c>
      <c r="P71" s="16">
        <f t="shared" ref="P71:P87" si="5">SUM(N71:O71)</f>
        <v>76102.173581421914</v>
      </c>
      <c r="Q71" s="315">
        <f t="shared" ref="Q71:Q87" si="6">N71+O71-C71</f>
        <v>22789.74372659668</v>
      </c>
      <c r="R71" s="465">
        <f>$O$98</f>
        <v>15282.377500000002</v>
      </c>
      <c r="S71" s="398">
        <f t="shared" ref="S71:S87" si="7">VLOOKUP(T71,$M$96:$P$104,4,(FALSE))</f>
        <v>12081.199999999997</v>
      </c>
      <c r="T71" s="2" t="str">
        <f>VLOOKUP(A71,'2223 Funding Detail'!$A$4:$AB$20,3,(FALSE))</f>
        <v>School Size 4 Transition Point</v>
      </c>
      <c r="U71" s="16">
        <f>'Pay &amp; Pension Workings'!H113</f>
        <v>53413.904418921054</v>
      </c>
      <c r="V71" s="16">
        <f t="shared" ref="V71:V87" si="8">S71+U71</f>
        <v>65495.104418921052</v>
      </c>
      <c r="W71" s="16">
        <f t="shared" ref="W71:W86" si="9">U71+S71-C71</f>
        <v>12182.674564095818</v>
      </c>
      <c r="Y71" s="460">
        <f>VLOOKUP(A71,'2223 Band Calculations'!$A$105:$S$123,19,(FALSE))</f>
        <v>88.583333333333343</v>
      </c>
      <c r="Z71" s="462">
        <f t="shared" ref="Z71:Z87" si="10">V71/Y71</f>
        <v>739.36147979967313</v>
      </c>
      <c r="AB71" s="460">
        <f>VLOOKUP(A71,'2021 Funding Detail'!$A$4:$M$23,13,(FALSE))</f>
        <v>77.583333333333329</v>
      </c>
      <c r="AC71" s="16">
        <f t="shared" si="1"/>
        <v>687.16343529312871</v>
      </c>
      <c r="AD71" s="16">
        <f t="shared" ref="AD71:AD87" si="11">Z71-AC71</f>
        <v>52.19804450654442</v>
      </c>
    </row>
    <row r="72" spans="1:30" x14ac:dyDescent="0.25">
      <c r="A72">
        <v>9257025</v>
      </c>
      <c r="B72" s="238" t="s">
        <v>806</v>
      </c>
      <c r="C72" s="16">
        <f t="shared" si="2"/>
        <v>51683.323330562751</v>
      </c>
      <c r="D72" s="16">
        <f>VLOOKUP(A72,'Pay &amp; Pension Workings'!$A$112:$H$129,8,(FALSE))</f>
        <v>48426.979369799752</v>
      </c>
      <c r="K72" s="16">
        <f t="shared" si="3"/>
        <v>48426.979369799752</v>
      </c>
      <c r="L72" s="315">
        <f t="shared" si="4"/>
        <v>-3256.3439607629989</v>
      </c>
      <c r="M72" s="466"/>
      <c r="N72" s="16">
        <v>50805.324490368002</v>
      </c>
      <c r="O72" s="16">
        <f>$N$98</f>
        <v>20065.006250000006</v>
      </c>
      <c r="P72" s="16">
        <f t="shared" si="5"/>
        <v>70870.330740368008</v>
      </c>
      <c r="Q72" s="315">
        <f t="shared" si="6"/>
        <v>19187.007409805257</v>
      </c>
      <c r="R72" s="465">
        <f>$O$98</f>
        <v>15282.377500000002</v>
      </c>
      <c r="S72" s="398">
        <f t="shared" si="7"/>
        <v>10726.717499999999</v>
      </c>
      <c r="T72" s="2" t="str">
        <f>VLOOKUP(A72,'2223 Funding Detail'!$A$4:$AB$20,3,(FALSE))</f>
        <v>School Size 4</v>
      </c>
      <c r="U72" s="16">
        <f>'Pay &amp; Pension Workings'!H114</f>
        <v>48426.979369799752</v>
      </c>
      <c r="V72" s="16">
        <f t="shared" si="8"/>
        <v>59153.696869799751</v>
      </c>
      <c r="W72" s="16">
        <f t="shared" si="9"/>
        <v>7470.3735392369999</v>
      </c>
      <c r="Y72" s="460">
        <f>VLOOKUP(A72,'2223 Band Calculations'!$A$105:$S$123,19,(FALSE))</f>
        <v>84.416666666666671</v>
      </c>
      <c r="Z72" s="462">
        <f t="shared" si="10"/>
        <v>700.73480990878284</v>
      </c>
      <c r="AB72" s="460">
        <f>VLOOKUP(A72,'2021 Funding Detail'!$A$4:$M$23,13,(FALSE))</f>
        <v>75.333333333333343</v>
      </c>
      <c r="AC72" s="16">
        <f t="shared" si="1"/>
        <v>686.06181412251431</v>
      </c>
      <c r="AD72" s="16">
        <f t="shared" si="11"/>
        <v>14.67299578626853</v>
      </c>
    </row>
    <row r="73" spans="1:30" x14ac:dyDescent="0.25">
      <c r="A73">
        <v>9257011</v>
      </c>
      <c r="B73" s="238" t="s">
        <v>210</v>
      </c>
      <c r="C73" s="16">
        <f t="shared" si="2"/>
        <v>40187.942994863319</v>
      </c>
      <c r="D73" s="16">
        <f>VLOOKUP(A73,'Pay &amp; Pension Workings'!$A$112:$H$129,8,(FALSE))</f>
        <v>35706.426283977962</v>
      </c>
      <c r="K73" s="16">
        <f t="shared" si="3"/>
        <v>35706.426283977962</v>
      </c>
      <c r="L73" s="315">
        <f t="shared" si="4"/>
        <v>-4481.5167108853566</v>
      </c>
      <c r="M73" s="466"/>
      <c r="N73" s="16">
        <v>37460.039782704422</v>
      </c>
      <c r="O73" s="16">
        <f>$N$98</f>
        <v>20065.006250000006</v>
      </c>
      <c r="P73" s="16">
        <f t="shared" si="5"/>
        <v>57525.046032704427</v>
      </c>
      <c r="Q73" s="315">
        <f t="shared" si="6"/>
        <v>17337.103037841109</v>
      </c>
      <c r="R73" s="465">
        <f>$O$98</f>
        <v>15282.377500000002</v>
      </c>
      <c r="S73" s="398" t="e">
        <f t="shared" si="7"/>
        <v>#N/A</v>
      </c>
      <c r="T73" s="2" t="e">
        <f>VLOOKUP(A73,'2223 Funding Detail'!$A$4:$AB$20,3,(FALSE))</f>
        <v>#N/A</v>
      </c>
      <c r="U73" s="16">
        <f>'Pay &amp; Pension Workings'!H115</f>
        <v>35706.426283977962</v>
      </c>
      <c r="V73" s="16" t="e">
        <f t="shared" si="8"/>
        <v>#N/A</v>
      </c>
      <c r="W73" s="16" t="e">
        <f t="shared" si="9"/>
        <v>#N/A</v>
      </c>
      <c r="Y73" s="460" t="e">
        <f>VLOOKUP(A73,'2223 Band Calculations'!$A$105:$S$123,19,(FALSE))</f>
        <v>#REF!</v>
      </c>
      <c r="Z73" s="462" t="e">
        <f t="shared" si="10"/>
        <v>#N/A</v>
      </c>
      <c r="AB73" s="460">
        <f>VLOOKUP(A73,'2021 Funding Detail'!$A$4:$M$23,13,(FALSE))</f>
        <v>57.833333333333336</v>
      </c>
      <c r="AC73" s="16">
        <f t="shared" si="1"/>
        <v>694.89238607832829</v>
      </c>
      <c r="AD73" s="16" t="e">
        <f t="shared" si="11"/>
        <v>#N/A</v>
      </c>
    </row>
    <row r="74" spans="1:30" x14ac:dyDescent="0.25">
      <c r="A74">
        <v>9257024</v>
      </c>
      <c r="B74" s="238" t="s">
        <v>807</v>
      </c>
      <c r="C74" s="16">
        <f t="shared" si="2"/>
        <v>54885.371036422905</v>
      </c>
      <c r="D74" s="16">
        <f>VLOOKUP(A74,'Pay &amp; Pension Workings'!$A$112:$H$129,8,(FALSE))</f>
        <v>48645.932806774224</v>
      </c>
      <c r="K74" s="16">
        <f t="shared" si="3"/>
        <v>48645.932806774224</v>
      </c>
      <c r="L74" s="315">
        <f t="shared" si="4"/>
        <v>-6239.4382296486801</v>
      </c>
      <c r="M74" s="466"/>
      <c r="N74" s="16">
        <v>51035.031165418375</v>
      </c>
      <c r="O74" s="16">
        <f>$N$98</f>
        <v>20065.006250000006</v>
      </c>
      <c r="P74" s="16">
        <f t="shared" si="5"/>
        <v>71100.037415418381</v>
      </c>
      <c r="Q74" s="315">
        <f t="shared" si="6"/>
        <v>16214.666378995476</v>
      </c>
      <c r="R74" s="465">
        <f>$O$98</f>
        <v>15282.377500000002</v>
      </c>
      <c r="S74" s="398">
        <f t="shared" si="7"/>
        <v>10726.717499999999</v>
      </c>
      <c r="T74" s="2" t="str">
        <f>VLOOKUP(A74,'2223 Funding Detail'!$A$4:$AB$20,3,(FALSE))</f>
        <v>School Size 4</v>
      </c>
      <c r="U74" s="16">
        <f>'Pay &amp; Pension Workings'!H116</f>
        <v>48645.932806774224</v>
      </c>
      <c r="V74" s="16">
        <f t="shared" si="8"/>
        <v>59372.650306774223</v>
      </c>
      <c r="W74" s="16">
        <f t="shared" si="9"/>
        <v>4487.2792703513187</v>
      </c>
      <c r="Y74" s="460">
        <f>VLOOKUP(A74,'2223 Band Calculations'!$A$105:$S$123,19,(FALSE))</f>
        <v>86.333333333333343</v>
      </c>
      <c r="Z74" s="462">
        <f t="shared" si="10"/>
        <v>687.71409621746193</v>
      </c>
      <c r="AB74" s="460">
        <f>VLOOKUP(A74,'2021 Funding Detail'!$A$4:$M$23,13,(FALSE))</f>
        <v>83.083333333333329</v>
      </c>
      <c r="AC74" s="16">
        <f t="shared" si="1"/>
        <v>660.60627125082738</v>
      </c>
      <c r="AD74" s="16">
        <f t="shared" si="11"/>
        <v>27.107824966634553</v>
      </c>
    </row>
    <row r="75" spans="1:30" x14ac:dyDescent="0.25">
      <c r="A75">
        <v>9257031</v>
      </c>
      <c r="B75" s="238" t="s">
        <v>557</v>
      </c>
      <c r="C75" s="16">
        <f t="shared" si="2"/>
        <v>51182.576930797077</v>
      </c>
      <c r="D75" s="16">
        <f>VLOOKUP(A75,'Pay &amp; Pension Workings'!$A$112:$H$129,8,(FALSE))</f>
        <v>47091.869621208272</v>
      </c>
      <c r="K75" s="16">
        <f t="shared" si="3"/>
        <v>47091.869621208272</v>
      </c>
      <c r="L75" s="315">
        <f t="shared" si="4"/>
        <v>-4090.7073095888045</v>
      </c>
      <c r="M75" s="466"/>
      <c r="N75" s="16">
        <v>49404.644850833341</v>
      </c>
      <c r="O75" s="16"/>
      <c r="P75" s="16">
        <f t="shared" si="5"/>
        <v>49404.644850833341</v>
      </c>
      <c r="Q75" s="315">
        <f t="shared" si="6"/>
        <v>-1777.9320799637353</v>
      </c>
      <c r="R75" s="465"/>
      <c r="S75" s="398">
        <f t="shared" si="7"/>
        <v>13435.682499999995</v>
      </c>
      <c r="T75" s="2" t="str">
        <f>VLOOKUP(A75,'2223 Funding Detail'!$A$4:$AB$20,3,(FALSE))</f>
        <v>School Size 5</v>
      </c>
      <c r="U75" s="16">
        <f>'Pay &amp; Pension Workings'!H117</f>
        <v>47091.869621208272</v>
      </c>
      <c r="V75" s="16">
        <f t="shared" si="8"/>
        <v>60527.552121208268</v>
      </c>
      <c r="W75" s="16">
        <f t="shared" si="9"/>
        <v>9344.9751904111909</v>
      </c>
      <c r="Y75" s="460">
        <f>VLOOKUP(A75,'2223 Band Calculations'!$A$105:$S$123,19,(FALSE))</f>
        <v>80.416666666666671</v>
      </c>
      <c r="Z75" s="462">
        <f t="shared" si="10"/>
        <v>752.67422326891108</v>
      </c>
      <c r="AB75" s="460">
        <f>VLOOKUP(A75,'2021 Funding Detail'!$A$4:$M$23,13,(FALSE))</f>
        <v>77.916666666666671</v>
      </c>
      <c r="AC75" s="16">
        <f t="shared" si="1"/>
        <v>656.88868788188756</v>
      </c>
      <c r="AD75" s="16">
        <f t="shared" si="11"/>
        <v>95.785535387023515</v>
      </c>
    </row>
    <row r="76" spans="1:30" x14ac:dyDescent="0.25">
      <c r="A76">
        <v>9257033</v>
      </c>
      <c r="B76" s="238" t="s">
        <v>816</v>
      </c>
      <c r="C76" s="16">
        <f t="shared" si="2"/>
        <v>63767.332078207386</v>
      </c>
      <c r="D76" s="16">
        <f>VLOOKUP(A76,'Pay &amp; Pension Workings'!$A$112:$H$129,8,(FALSE))</f>
        <v>60237.762512963323</v>
      </c>
      <c r="K76" s="16">
        <f t="shared" si="3"/>
        <v>60237.762512963323</v>
      </c>
      <c r="L76" s="315">
        <f t="shared" si="4"/>
        <v>-3529.5695652440627</v>
      </c>
      <c r="M76" s="466"/>
      <c r="N76" s="16">
        <v>63196.158646916694</v>
      </c>
      <c r="O76" s="16">
        <f>$N$98</f>
        <v>20065.006250000006</v>
      </c>
      <c r="P76" s="16">
        <f t="shared" si="5"/>
        <v>83261.1648969167</v>
      </c>
      <c r="Q76" s="315">
        <f t="shared" si="6"/>
        <v>19493.832818709314</v>
      </c>
      <c r="R76" s="465">
        <f>$O$98</f>
        <v>15282.377500000002</v>
      </c>
      <c r="S76" s="398">
        <f t="shared" si="7"/>
        <v>10726.717499999999</v>
      </c>
      <c r="T76" s="2" t="str">
        <f>VLOOKUP(A76,'2223 Funding Detail'!$A$4:$AB$20,3,(FALSE))</f>
        <v>School Size 4</v>
      </c>
      <c r="U76" s="16">
        <f>'Pay &amp; Pension Workings'!H118</f>
        <v>60237.762512963323</v>
      </c>
      <c r="V76" s="16">
        <f t="shared" si="8"/>
        <v>70964.480012963322</v>
      </c>
      <c r="W76" s="16">
        <f t="shared" si="9"/>
        <v>7197.1479347559361</v>
      </c>
      <c r="Y76" s="460">
        <f>VLOOKUP(A76,'2223 Band Calculations'!$A$105:$S$123,19,(FALSE))</f>
        <v>106.16666666666669</v>
      </c>
      <c r="Z76" s="462">
        <f t="shared" si="10"/>
        <v>668.42524345020388</v>
      </c>
      <c r="AB76" s="460">
        <f>VLOOKUP(A76,'2021 Funding Detail'!$A$4:$M$23,13,(FALSE))</f>
        <v>95.666666666666686</v>
      </c>
      <c r="AC76" s="16">
        <f t="shared" si="1"/>
        <v>666.55747816941505</v>
      </c>
      <c r="AD76" s="16">
        <f t="shared" si="11"/>
        <v>1.8677652807888308</v>
      </c>
    </row>
    <row r="77" spans="1:30" x14ac:dyDescent="0.25">
      <c r="A77">
        <v>9257008</v>
      </c>
      <c r="B77" s="238" t="s">
        <v>340</v>
      </c>
      <c r="C77" s="16">
        <f t="shared" si="2"/>
        <v>64889.46243302607</v>
      </c>
      <c r="D77" s="16">
        <f>VLOOKUP(A77,'Pay &amp; Pension Workings'!$A$112:$H$129,8,(FALSE))</f>
        <v>62169.272889827458</v>
      </c>
      <c r="K77" s="16">
        <f t="shared" si="3"/>
        <v>62169.272889827458</v>
      </c>
      <c r="L77" s="315">
        <f t="shared" si="4"/>
        <v>-2720.1895431986122</v>
      </c>
      <c r="M77" s="466"/>
      <c r="N77" s="16">
        <v>65222.529333879102</v>
      </c>
      <c r="O77" s="16">
        <f>$N$98</f>
        <v>20065.006250000006</v>
      </c>
      <c r="P77" s="16">
        <f t="shared" si="5"/>
        <v>85287.5355838791</v>
      </c>
      <c r="Q77" s="315">
        <f t="shared" si="6"/>
        <v>20398.07315085303</v>
      </c>
      <c r="R77" s="465">
        <f>$O$98</f>
        <v>15282.377500000002</v>
      </c>
      <c r="S77" s="398">
        <f t="shared" si="7"/>
        <v>10726.717499999999</v>
      </c>
      <c r="T77" s="2" t="str">
        <f>VLOOKUP(A77,'2223 Funding Detail'!$A$4:$AB$20,3,(FALSE))</f>
        <v>School Size 4</v>
      </c>
      <c r="U77" s="16">
        <f>'Pay &amp; Pension Workings'!H119</f>
        <v>62169.272889827458</v>
      </c>
      <c r="V77" s="16">
        <f t="shared" si="8"/>
        <v>72895.990389827464</v>
      </c>
      <c r="W77" s="16">
        <f t="shared" si="9"/>
        <v>8006.5279568013939</v>
      </c>
      <c r="Y77" s="460">
        <f>VLOOKUP(A77,'2223 Band Calculations'!$A$105:$S$123,19,(FALSE))</f>
        <v>100.16666666666667</v>
      </c>
      <c r="Z77" s="462">
        <f t="shared" si="10"/>
        <v>727.74699224453377</v>
      </c>
      <c r="AB77" s="460">
        <f>VLOOKUP(A77,'2021 Funding Detail'!$A$4:$M$23,13,(FALSE))</f>
        <v>96.75</v>
      </c>
      <c r="AC77" s="16">
        <f t="shared" si="1"/>
        <v>670.69211817081214</v>
      </c>
      <c r="AD77" s="16">
        <f t="shared" si="11"/>
        <v>57.054874073721635</v>
      </c>
    </row>
    <row r="78" spans="1:30" x14ac:dyDescent="0.25">
      <c r="A78">
        <v>9257034</v>
      </c>
      <c r="B78" s="238" t="s">
        <v>817</v>
      </c>
      <c r="C78" s="16">
        <f t="shared" si="2"/>
        <v>82273.379758953335</v>
      </c>
      <c r="D78" s="16">
        <f>VLOOKUP(A78,'Pay &amp; Pension Workings'!$A$112:$H$129,8,(FALSE))</f>
        <v>70341.183649202605</v>
      </c>
      <c r="K78" s="16">
        <f t="shared" si="3"/>
        <v>70341.183649202605</v>
      </c>
      <c r="L78" s="315">
        <f t="shared" si="4"/>
        <v>-11932.19610975073</v>
      </c>
      <c r="M78" s="466"/>
      <c r="N78" s="16">
        <v>73795.778857992482</v>
      </c>
      <c r="O78" s="2">
        <f>N98+((N100-N98)/2)</f>
        <v>21940.122499999983</v>
      </c>
      <c r="P78" s="16">
        <f t="shared" si="5"/>
        <v>95735.901357992465</v>
      </c>
      <c r="Q78" s="315">
        <f t="shared" si="6"/>
        <v>13462.52159903913</v>
      </c>
      <c r="R78" s="465">
        <f>O100-((O100-O98)*0.5)</f>
        <v>16918.096250000002</v>
      </c>
      <c r="S78" s="398">
        <f t="shared" si="7"/>
        <v>12081.199999999997</v>
      </c>
      <c r="T78" s="2" t="str">
        <f>VLOOKUP(A78,'2223 Funding Detail'!$A$4:$AB$20,3,(FALSE))</f>
        <v>School Size 4 Transition Point</v>
      </c>
      <c r="U78" s="16">
        <f>'Pay &amp; Pension Workings'!H120</f>
        <v>70341.183649202605</v>
      </c>
      <c r="V78" s="16">
        <f>S78+U78</f>
        <v>82422.383649202602</v>
      </c>
      <c r="W78" s="16">
        <f t="shared" si="9"/>
        <v>149.00389024926699</v>
      </c>
      <c r="Y78" s="460">
        <f>VLOOKUP(A78,'2223 Band Calculations'!$A$105:$S$123,19,(FALSE))</f>
        <v>122.16666666666667</v>
      </c>
      <c r="Z78" s="462">
        <f t="shared" si="10"/>
        <v>674.67162605077158</v>
      </c>
      <c r="AB78" s="460">
        <f>VLOOKUP(A78,'2021 Funding Detail'!$A$4:$M$23,13,(FALSE))</f>
        <v>124.41666666666666</v>
      </c>
      <c r="AC78" s="16">
        <f t="shared" si="1"/>
        <v>661.2729786386069</v>
      </c>
      <c r="AD78" s="16">
        <f t="shared" si="11"/>
        <v>13.398647412164678</v>
      </c>
    </row>
    <row r="79" spans="1:30" x14ac:dyDescent="0.25">
      <c r="A79">
        <v>9257002</v>
      </c>
      <c r="B79" s="238" t="s">
        <v>808</v>
      </c>
      <c r="C79" s="16">
        <f t="shared" si="2"/>
        <v>97616.284973640199</v>
      </c>
      <c r="D79" s="16">
        <f>VLOOKUP(A79,'Pay &amp; Pension Workings'!$A$112:$H$129,8,(FALSE))</f>
        <v>87842.94801555897</v>
      </c>
      <c r="K79" s="16">
        <f t="shared" si="3"/>
        <v>87842.94801555897</v>
      </c>
      <c r="L79" s="315">
        <f t="shared" si="4"/>
        <v>-9773.3369580812287</v>
      </c>
      <c r="M79" s="466"/>
      <c r="N79" s="16">
        <v>92157.089626452493</v>
      </c>
      <c r="O79" s="16">
        <f>N100</f>
        <v>23815.23874999996</v>
      </c>
      <c r="P79" s="16">
        <f t="shared" si="5"/>
        <v>115972.32837645245</v>
      </c>
      <c r="Q79" s="315">
        <f t="shared" si="6"/>
        <v>18356.043402812254</v>
      </c>
      <c r="R79" s="465">
        <f>$O$100</f>
        <v>18553.815000000002</v>
      </c>
      <c r="S79" s="398">
        <f t="shared" si="7"/>
        <v>13435.682499999995</v>
      </c>
      <c r="T79" s="2" t="str">
        <f>VLOOKUP(A79,'2223 Funding Detail'!$A$4:$AB$20,3,(FALSE))</f>
        <v>School Size 5</v>
      </c>
      <c r="U79" s="16">
        <f>'Pay &amp; Pension Workings'!H121</f>
        <v>87842.94801555897</v>
      </c>
      <c r="V79" s="16">
        <f t="shared" si="8"/>
        <v>101278.63051555897</v>
      </c>
      <c r="W79" s="16">
        <f t="shared" si="9"/>
        <v>3662.3455419187667</v>
      </c>
      <c r="Y79" s="460">
        <f>VLOOKUP(A79,'2223 Band Calculations'!$A$105:$S$123,19,(FALSE))</f>
        <v>155.66666666666669</v>
      </c>
      <c r="Z79" s="462">
        <f t="shared" si="10"/>
        <v>650.61218746611746</v>
      </c>
      <c r="AB79" s="460">
        <f>VLOOKUP(A79,'2021 Funding Detail'!$A$4:$M$23,13,(FALSE))</f>
        <v>147.91666666666669</v>
      </c>
      <c r="AC79" s="16">
        <f t="shared" si="1"/>
        <v>659.9410815119337</v>
      </c>
      <c r="AD79" s="16">
        <f t="shared" si="11"/>
        <v>-9.3288940458162415</v>
      </c>
    </row>
    <row r="80" spans="1:30" x14ac:dyDescent="0.25">
      <c r="A80">
        <v>9257009</v>
      </c>
      <c r="B80" s="238" t="s">
        <v>546</v>
      </c>
      <c r="C80" s="16">
        <f t="shared" si="2"/>
        <v>90501.045838232065</v>
      </c>
      <c r="D80" s="16">
        <f>VLOOKUP(A80,'Pay &amp; Pension Workings'!$A$112:$H$129,8,(FALSE))</f>
        <v>81278.132019482611</v>
      </c>
      <c r="K80" s="16">
        <f t="shared" si="3"/>
        <v>81278.132019482611</v>
      </c>
      <c r="L80" s="315">
        <f t="shared" si="4"/>
        <v>-9222.9138187494536</v>
      </c>
      <c r="M80" s="466"/>
      <c r="N80" s="16">
        <v>84991.929421813373</v>
      </c>
      <c r="O80" s="2"/>
      <c r="P80" s="16">
        <f t="shared" si="5"/>
        <v>84991.929421813373</v>
      </c>
      <c r="Q80" s="315">
        <f t="shared" si="6"/>
        <v>-5509.1164164186921</v>
      </c>
      <c r="R80" s="465">
        <f>$O$100</f>
        <v>18553.815000000002</v>
      </c>
      <c r="S80" s="398">
        <f t="shared" si="7"/>
        <v>20141.199999999983</v>
      </c>
      <c r="T80" s="2" t="str">
        <f>VLOOKUP(A80,'2223 Funding Detail'!$A$4:$AB$20,3,(FALSE))</f>
        <v>School Size 6</v>
      </c>
      <c r="U80" s="16">
        <f>'Pay &amp; Pension Workings'!H122</f>
        <v>81278.132019482611</v>
      </c>
      <c r="V80" s="16">
        <f t="shared" si="8"/>
        <v>101419.33201948259</v>
      </c>
      <c r="W80" s="16">
        <f t="shared" si="9"/>
        <v>10918.286181250529</v>
      </c>
      <c r="Y80" s="460">
        <f>VLOOKUP(A80,'2223 Band Calculations'!$A$105:$S$123,19,(FALSE))</f>
        <v>198.91666666666669</v>
      </c>
      <c r="Z80" s="462">
        <f t="shared" si="10"/>
        <v>509.85839305982029</v>
      </c>
      <c r="AB80" s="460">
        <f>VLOOKUP(A80,'2021 Funding Detail'!$A$4:$M$23,13,(FALSE))</f>
        <v>135.58333333333334</v>
      </c>
      <c r="AC80" s="16">
        <f t="shared" si="1"/>
        <v>667.4938844860385</v>
      </c>
      <c r="AD80" s="16">
        <f t="shared" si="11"/>
        <v>-157.63549142621821</v>
      </c>
    </row>
    <row r="81" spans="1:33" x14ac:dyDescent="0.25">
      <c r="A81">
        <v>9257029</v>
      </c>
      <c r="B81" s="238" t="s">
        <v>1549</v>
      </c>
      <c r="C81" s="16">
        <f>J16+J44+D62</f>
        <v>48607.35085196502</v>
      </c>
      <c r="D81" s="16">
        <f>VLOOKUP(A81,'Pay &amp; Pension Workings'!$A$112:$H$129,8,(FALSE))</f>
        <v>43634.245274666609</v>
      </c>
      <c r="K81" s="16">
        <f t="shared" si="3"/>
        <v>43634.245274666609</v>
      </c>
      <c r="L81" s="315">
        <f t="shared" si="4"/>
        <v>-4973.1055772984109</v>
      </c>
      <c r="M81" s="466"/>
      <c r="N81" s="16">
        <v>45777.209706666661</v>
      </c>
      <c r="O81" s="2"/>
      <c r="P81" s="16">
        <f t="shared" si="5"/>
        <v>45777.209706666661</v>
      </c>
      <c r="Q81" s="315">
        <f t="shared" si="6"/>
        <v>-2830.1411452983593</v>
      </c>
      <c r="R81" s="465"/>
      <c r="S81" s="398">
        <f t="shared" si="7"/>
        <v>12081.199999999997</v>
      </c>
      <c r="T81" s="2" t="str">
        <f>VLOOKUP(A81,'2223 Funding Detail'!$A$4:$AB$20,3,(FALSE))</f>
        <v>School Size 4 Transition Point</v>
      </c>
      <c r="U81" s="16">
        <f>'Pay &amp; Pension Workings'!H123</f>
        <v>43634.245274666609</v>
      </c>
      <c r="V81" s="16">
        <f t="shared" si="8"/>
        <v>55715.445274666607</v>
      </c>
      <c r="W81" s="16">
        <f t="shared" si="9"/>
        <v>7108.0944227015862</v>
      </c>
      <c r="Y81" s="460">
        <f>VLOOKUP(A81,'2223 Band Calculations'!$A$105:$S$123,19,(FALSE))</f>
        <v>78.583333333333343</v>
      </c>
      <c r="Z81" s="462">
        <f t="shared" si="10"/>
        <v>708.99824315588467</v>
      </c>
      <c r="AB81" s="460">
        <f>VLOOKUP(A81,'2021 Funding Detail'!$A$4:$M$23,13,(FALSE))</f>
        <v>69.166666666666671</v>
      </c>
      <c r="AC81" s="16">
        <f t="shared" si="1"/>
        <v>702.756879787446</v>
      </c>
      <c r="AD81" s="16">
        <f t="shared" si="11"/>
        <v>6.2413633684386696</v>
      </c>
    </row>
    <row r="82" spans="1:33" x14ac:dyDescent="0.25">
      <c r="A82">
        <v>9257032</v>
      </c>
      <c r="B82" s="238" t="s">
        <v>813</v>
      </c>
      <c r="C82" s="16">
        <f>J17+J45</f>
        <v>48946.303673923634</v>
      </c>
      <c r="D82" s="16">
        <f>VLOOKUP(A82,'Pay &amp; Pension Workings'!$A$112:$H$129,8,(FALSE))</f>
        <v>55419.387413583267</v>
      </c>
      <c r="K82" s="16">
        <f t="shared" si="3"/>
        <v>55419.387413583267</v>
      </c>
      <c r="L82" s="315">
        <f t="shared" si="4"/>
        <v>6473.0837396596326</v>
      </c>
      <c r="M82" s="466"/>
      <c r="N82" s="16">
        <v>58141.143578333329</v>
      </c>
      <c r="O82" s="2"/>
      <c r="P82" s="16">
        <f t="shared" si="5"/>
        <v>58141.143578333329</v>
      </c>
      <c r="Q82" s="315">
        <f t="shared" si="6"/>
        <v>9194.839904409695</v>
      </c>
      <c r="R82" s="465"/>
      <c r="S82" s="398">
        <f t="shared" si="7"/>
        <v>12081.199999999997</v>
      </c>
      <c r="T82" s="2" t="str">
        <f>VLOOKUP(A82,'2223 Funding Detail'!$A$4:$AB$20,3,(FALSE))</f>
        <v>School Size 4 Transition Point</v>
      </c>
      <c r="U82" s="16">
        <f>'Pay &amp; Pension Workings'!H124</f>
        <v>55419.387413583267</v>
      </c>
      <c r="V82" s="16">
        <f t="shared" si="8"/>
        <v>67500.587413583271</v>
      </c>
      <c r="W82" s="16">
        <f t="shared" si="9"/>
        <v>18554.283739659637</v>
      </c>
      <c r="Y82" s="460">
        <f>VLOOKUP(A82,'2223 Band Calculations'!$A$105:$S$123,19,(FALSE))</f>
        <v>104</v>
      </c>
      <c r="Z82" s="462">
        <f t="shared" si="10"/>
        <v>649.04410974599296</v>
      </c>
      <c r="AB82" s="460">
        <f>VLOOKUP(A82,'2021 Funding Detail'!$A$4:$M$23,13,(FALSE))</f>
        <v>77.416666666666671</v>
      </c>
      <c r="AC82" s="16">
        <f t="shared" si="1"/>
        <v>632.24504207436337</v>
      </c>
      <c r="AD82" s="16">
        <f t="shared" si="11"/>
        <v>16.799067671629587</v>
      </c>
    </row>
    <row r="83" spans="1:33" x14ac:dyDescent="0.25">
      <c r="A83">
        <v>9257030</v>
      </c>
      <c r="B83" s="238" t="s">
        <v>815</v>
      </c>
      <c r="C83" s="16">
        <f>J18+J46</f>
        <v>50615.078033627906</v>
      </c>
      <c r="D83" s="16">
        <f>VLOOKUP(A83,'Pay &amp; Pension Workings'!$A$112:$H$129,8,(FALSE))</f>
        <v>42806.363388874946</v>
      </c>
      <c r="K83" s="16">
        <f t="shared" si="3"/>
        <v>42806.363388874946</v>
      </c>
      <c r="L83" s="315">
        <f t="shared" si="4"/>
        <v>-7808.7146447529594</v>
      </c>
      <c r="M83" s="466"/>
      <c r="N83" s="16">
        <v>44908.6688975</v>
      </c>
      <c r="O83" s="2"/>
      <c r="P83" s="16">
        <f t="shared" si="5"/>
        <v>44908.6688975</v>
      </c>
      <c r="Q83" s="315">
        <f t="shared" si="6"/>
        <v>-5706.4091361279061</v>
      </c>
      <c r="R83" s="465"/>
      <c r="S83" s="398">
        <f t="shared" si="7"/>
        <v>12081.199999999997</v>
      </c>
      <c r="T83" s="2" t="str">
        <f>VLOOKUP(A83,'2223 Funding Detail'!$A$4:$AB$20,3,(FALSE))</f>
        <v>School Size 4 Transition Point</v>
      </c>
      <c r="U83" s="16">
        <f>'Pay &amp; Pension Workings'!H125</f>
        <v>42806.363388874946</v>
      </c>
      <c r="V83" s="16">
        <f t="shared" si="8"/>
        <v>54887.563388874943</v>
      </c>
      <c r="W83" s="16">
        <f t="shared" si="9"/>
        <v>4272.4853552470377</v>
      </c>
      <c r="Y83" s="460">
        <f>VLOOKUP(A83,'2223 Band Calculations'!$A$105:$S$123,19,(FALSE))</f>
        <v>70.833333333333343</v>
      </c>
      <c r="Z83" s="462">
        <f t="shared" si="10"/>
        <v>774.88324784294025</v>
      </c>
      <c r="AB83" s="460">
        <f>VLOOKUP(A83,'2021 Funding Detail'!$A$4:$M$23,13,(FALSE))</f>
        <v>74.583333333333343</v>
      </c>
      <c r="AC83" s="16">
        <f t="shared" si="1"/>
        <v>678.63791776931259</v>
      </c>
      <c r="AD83" s="16">
        <f t="shared" si="11"/>
        <v>96.245330073627656</v>
      </c>
    </row>
    <row r="84" spans="1:33" x14ac:dyDescent="0.25">
      <c r="A84">
        <v>9257028</v>
      </c>
      <c r="B84" s="238" t="s">
        <v>215</v>
      </c>
      <c r="C84" s="16">
        <f>J19+J47+D61</f>
        <v>71771.03517003126</v>
      </c>
      <c r="D84" s="16">
        <f>VLOOKUP(A84,'Pay &amp; Pension Workings'!$A$112:$H$129,8,(FALSE))</f>
        <v>65332.433220583553</v>
      </c>
      <c r="K84" s="16">
        <f t="shared" si="3"/>
        <v>65332.433220583553</v>
      </c>
      <c r="L84" s="315">
        <f t="shared" si="4"/>
        <v>-6438.6019494477077</v>
      </c>
      <c r="M84" s="466"/>
      <c r="N84" s="16">
        <v>68541.038749714018</v>
      </c>
      <c r="O84" s="16">
        <f>N100</f>
        <v>23815.23874999996</v>
      </c>
      <c r="P84" s="16">
        <f t="shared" si="5"/>
        <v>92356.277499713979</v>
      </c>
      <c r="Q84" s="315">
        <f t="shared" si="6"/>
        <v>20585.242329682718</v>
      </c>
      <c r="R84" s="465">
        <f>$O$100</f>
        <v>18553.815000000002</v>
      </c>
      <c r="S84" s="398">
        <f t="shared" si="7"/>
        <v>16788.441249999989</v>
      </c>
      <c r="T84" s="2" t="str">
        <f>VLOOKUP(A84,'2223 Funding Detail'!$A$4:$AB$20,3,(FALSE))</f>
        <v>School Size 5 Transition Point</v>
      </c>
      <c r="U84" s="16">
        <f>'Pay &amp; Pension Workings'!H126</f>
        <v>65332.433220583553</v>
      </c>
      <c r="V84" s="16">
        <f t="shared" si="8"/>
        <v>82120.874470583542</v>
      </c>
      <c r="W84" s="16">
        <f t="shared" si="9"/>
        <v>10349.839300552281</v>
      </c>
      <c r="Y84" s="460">
        <f>VLOOKUP(A84,'2223 Band Calculations'!$A$105:$S$123,19,(FALSE))</f>
        <v>129.91666666666669</v>
      </c>
      <c r="Z84" s="462">
        <f t="shared" si="10"/>
        <v>632.10422940795536</v>
      </c>
      <c r="AB84" s="460">
        <f>VLOOKUP(A84,'2021 Funding Detail'!$A$4:$M$23,13,(FALSE))</f>
        <v>93.25</v>
      </c>
      <c r="AC84" s="16">
        <f t="shared" si="1"/>
        <v>769.66257554993308</v>
      </c>
      <c r="AD84" s="16">
        <f t="shared" si="11"/>
        <v>-137.55834614197772</v>
      </c>
    </row>
    <row r="85" spans="1:33" x14ac:dyDescent="0.25">
      <c r="A85">
        <v>9257021</v>
      </c>
      <c r="B85" s="238" t="s">
        <v>809</v>
      </c>
      <c r="C85" s="16">
        <f>J20+J48</f>
        <v>109449.10323009848</v>
      </c>
      <c r="D85" s="16">
        <f>VLOOKUP(A85,'Pay &amp; Pension Workings'!$A$112:$H$129,8,(FALSE))</f>
        <v>101418.20351197985</v>
      </c>
      <c r="K85" s="16">
        <f t="shared" si="3"/>
        <v>101418.20351197985</v>
      </c>
      <c r="L85" s="315">
        <f t="shared" si="4"/>
        <v>-8030.8997181186278</v>
      </c>
      <c r="M85" s="466"/>
      <c r="N85" s="16">
        <v>106399.05287732223</v>
      </c>
      <c r="O85" s="2">
        <f>N100+((N100-N98)/2)</f>
        <v>25690.354999999938</v>
      </c>
      <c r="P85" s="16">
        <f t="shared" si="5"/>
        <v>132089.40787732217</v>
      </c>
      <c r="Q85" s="315">
        <f t="shared" si="6"/>
        <v>22640.304647223689</v>
      </c>
      <c r="R85" s="465">
        <f>O102-((O102-O100)*0.5)</f>
        <v>22306.738125000003</v>
      </c>
      <c r="S85" s="398">
        <f t="shared" si="7"/>
        <v>16788.441249999989</v>
      </c>
      <c r="T85" s="2" t="str">
        <f>VLOOKUP(A85,'2223 Funding Detail'!$A$4:$AB$20,3,(FALSE))</f>
        <v>School Size 5 Transition Point</v>
      </c>
      <c r="U85" s="16">
        <f>'Pay &amp; Pension Workings'!H127</f>
        <v>101418.20351197985</v>
      </c>
      <c r="V85" s="16">
        <f t="shared" si="8"/>
        <v>118206.64476197984</v>
      </c>
      <c r="W85" s="16">
        <f t="shared" si="9"/>
        <v>8757.5415318813612</v>
      </c>
      <c r="Y85" s="460">
        <f>VLOOKUP(A85,'2223 Band Calculations'!$A$105:$S$123,19,(FALSE))</f>
        <v>174.25</v>
      </c>
      <c r="Z85" s="462">
        <f t="shared" si="10"/>
        <v>678.37385803144821</v>
      </c>
      <c r="AB85" s="460">
        <f>VLOOKUP(A85,'2021 Funding Detail'!$A$4:$M$23,13,(FALSE))</f>
        <v>164.33333333333334</v>
      </c>
      <c r="AC85" s="16">
        <f t="shared" si="1"/>
        <v>666.01888375313479</v>
      </c>
      <c r="AD85" s="16">
        <f t="shared" si="11"/>
        <v>12.354974278313421</v>
      </c>
    </row>
    <row r="86" spans="1:33" x14ac:dyDescent="0.25">
      <c r="A86">
        <v>9257015</v>
      </c>
      <c r="B86" s="238" t="s">
        <v>217</v>
      </c>
      <c r="C86" s="16">
        <f>J21+J49</f>
        <v>157007.50638731191</v>
      </c>
      <c r="D86" s="16">
        <f>VLOOKUP(A86,'Pay &amp; Pension Workings'!$A$112:$H$129,8,(FALSE))</f>
        <v>140415.42263303587</v>
      </c>
      <c r="K86" s="16">
        <f t="shared" si="3"/>
        <v>140415.42263303587</v>
      </c>
      <c r="L86" s="315">
        <f t="shared" si="4"/>
        <v>-16592.083754276042</v>
      </c>
      <c r="M86" s="466"/>
      <c r="N86" s="16">
        <v>147311.50286801482</v>
      </c>
      <c r="O86" s="2">
        <f>N102+((N104-N102)/2)</f>
        <v>32783.428749999992</v>
      </c>
      <c r="P86" s="16">
        <f t="shared" si="5"/>
        <v>180094.93161801482</v>
      </c>
      <c r="Q86" s="315">
        <f t="shared" si="6"/>
        <v>23087.425230702909</v>
      </c>
      <c r="R86" s="465">
        <f>O102-((O102-O100)*0.5)</f>
        <v>22306.738125000003</v>
      </c>
      <c r="S86" s="398">
        <f t="shared" si="7"/>
        <v>19674.728749999995</v>
      </c>
      <c r="T86" s="2" t="str">
        <f>VLOOKUP(A86,'2223 Funding Detail'!$A$4:$AB$20,3,(FALSE))</f>
        <v>School Size 6 Transition Point</v>
      </c>
      <c r="U86" s="16">
        <f>'Pay &amp; Pension Workings'!H128</f>
        <v>140415.42263303587</v>
      </c>
      <c r="V86" s="16">
        <f t="shared" si="8"/>
        <v>160090.15138303587</v>
      </c>
      <c r="W86" s="16">
        <f t="shared" si="9"/>
        <v>3082.6449957239674</v>
      </c>
      <c r="Y86" s="460">
        <f>VLOOKUP(A86,'2223 Band Calculations'!$A$105:$S$123,19,(FALSE))</f>
        <v>226.5</v>
      </c>
      <c r="Z86" s="462">
        <f t="shared" si="10"/>
        <v>706.79978535556677</v>
      </c>
      <c r="AB86" s="460">
        <f>VLOOKUP(A86,'2021 Funding Detail'!$A$4:$M$23,13,(FALSE))</f>
        <v>233.41666666666671</v>
      </c>
      <c r="AC86" s="16">
        <f t="shared" si="1"/>
        <v>672.64908127373883</v>
      </c>
      <c r="AD86" s="16">
        <f t="shared" si="11"/>
        <v>34.150704081827939</v>
      </c>
    </row>
    <row r="87" spans="1:33" x14ac:dyDescent="0.25">
      <c r="A87">
        <v>9257016</v>
      </c>
      <c r="B87" s="238" t="s">
        <v>219</v>
      </c>
      <c r="C87" s="16">
        <f>J22+J50</f>
        <v>90411.817119857238</v>
      </c>
      <c r="D87" s="16">
        <f>VLOOKUP(A87,'Pay &amp; Pension Workings'!$A$112:$H$129,8,(FALSE))</f>
        <v>82953.039009475891</v>
      </c>
      <c r="K87" s="16">
        <f t="shared" si="3"/>
        <v>82953.039009475891</v>
      </c>
      <c r="L87" s="315">
        <f t="shared" si="4"/>
        <v>-7458.7781103813468</v>
      </c>
      <c r="M87" s="466"/>
      <c r="N87" s="16">
        <v>87027.027478959702</v>
      </c>
      <c r="O87" s="2">
        <f>N102+((N104-N102)/2)</f>
        <v>32783.428749999992</v>
      </c>
      <c r="P87" s="16">
        <f t="shared" si="5"/>
        <v>119810.45622895969</v>
      </c>
      <c r="Q87" s="315">
        <f t="shared" si="6"/>
        <v>29398.639109102456</v>
      </c>
      <c r="R87" s="465">
        <f>O102-((O102-O100)*0.5)</f>
        <v>22306.738125000003</v>
      </c>
      <c r="S87" s="398">
        <f t="shared" si="7"/>
        <v>19674.728749999995</v>
      </c>
      <c r="T87" s="2" t="str">
        <f>VLOOKUP(A87,'2223 Funding Detail'!$A$4:$AB$20,3,(FALSE))</f>
        <v>School Size 6 Transition Point</v>
      </c>
      <c r="U87" s="16">
        <f>'Pay &amp; Pension Workings'!H129</f>
        <v>82953.039009475891</v>
      </c>
      <c r="V87" s="16">
        <f t="shared" si="8"/>
        <v>102627.76775947589</v>
      </c>
      <c r="W87" s="16">
        <f>U87+S87-C87</f>
        <v>12215.950639618648</v>
      </c>
      <c r="Y87" s="460">
        <f>VLOOKUP(A87,'2223 Band Calculations'!$A$105:$S$123,19,(FALSE))</f>
        <v>164.75</v>
      </c>
      <c r="Z87" s="462">
        <f t="shared" si="10"/>
        <v>622.93030506510399</v>
      </c>
      <c r="AB87" s="460">
        <f>VLOOKUP(A87,'2021 Funding Detail'!$A$4:$M$23,13,(FALSE))</f>
        <v>149</v>
      </c>
      <c r="AC87" s="16">
        <f t="shared" si="1"/>
        <v>606.79071892521631</v>
      </c>
      <c r="AD87" s="16">
        <f t="shared" si="11"/>
        <v>16.139586139887683</v>
      </c>
    </row>
    <row r="88" spans="1:33" ht="13" x14ac:dyDescent="0.3">
      <c r="C88" s="72">
        <f>SUM(C70:C87)</f>
        <v>1269805.554355996</v>
      </c>
      <c r="D88" s="72">
        <f>SUM(D70:D87)</f>
        <v>1179248.8382336095</v>
      </c>
      <c r="N88" s="291">
        <f>SUM(N70:N87)</f>
        <v>1236886.1573098886</v>
      </c>
      <c r="S88" s="837"/>
    </row>
    <row r="89" spans="1:33" ht="13" x14ac:dyDescent="0.3">
      <c r="C89" s="72"/>
      <c r="D89" s="72"/>
      <c r="Q89" t="s">
        <v>1569</v>
      </c>
      <c r="R89" s="835">
        <f>SUM(R70:R87)</f>
        <v>246476.39812500004</v>
      </c>
      <c r="S89" s="836" t="e">
        <f>SUM(S70:S87)</f>
        <v>#N/A</v>
      </c>
      <c r="W89" s="316" t="s">
        <v>1570</v>
      </c>
    </row>
    <row r="90" spans="1:33" ht="13" x14ac:dyDescent="0.3">
      <c r="B90" s="794" t="s">
        <v>1571</v>
      </c>
      <c r="C90" s="72"/>
      <c r="D90" s="72"/>
      <c r="R90" s="403" t="s">
        <v>1572</v>
      </c>
      <c r="S90" s="847" t="e">
        <f>'Pay &amp; Pension Workings'!F109-'Pay &amp; Pension Workings'!H130-'2122 Pay &amp; Pension Allocations'!S89</f>
        <v>#N/A</v>
      </c>
    </row>
    <row r="92" spans="1:33" x14ac:dyDescent="0.25">
      <c r="A92" s="289" t="s">
        <v>1573</v>
      </c>
      <c r="S92" s="1534" t="s">
        <v>1574</v>
      </c>
      <c r="U92" s="1587" t="s">
        <v>1575</v>
      </c>
      <c r="V92" s="846"/>
      <c r="W92" s="230"/>
    </row>
    <row r="93" spans="1:33" x14ac:dyDescent="0.25">
      <c r="A93">
        <v>2122</v>
      </c>
      <c r="B93" s="289" t="s">
        <v>128</v>
      </c>
      <c r="S93" s="1534"/>
      <c r="U93" s="1587"/>
      <c r="V93" s="846"/>
    </row>
    <row r="94" spans="1:33" ht="25" x14ac:dyDescent="0.25">
      <c r="A94" s="786">
        <v>660</v>
      </c>
      <c r="B94" s="289" t="s">
        <v>1576</v>
      </c>
      <c r="N94" s="316" t="s">
        <v>1577</v>
      </c>
      <c r="O94" s="834" t="s">
        <v>1578</v>
      </c>
      <c r="P94" s="834" t="s">
        <v>1578</v>
      </c>
      <c r="S94" s="1534"/>
      <c r="U94" s="1587"/>
      <c r="V94" s="846"/>
    </row>
    <row r="95" spans="1:33" ht="13" x14ac:dyDescent="0.3">
      <c r="A95" s="787">
        <f>A93*A94</f>
        <v>1400520</v>
      </c>
      <c r="M95" s="2" t="s">
        <v>1579</v>
      </c>
      <c r="N95" s="2" t="s">
        <v>1580</v>
      </c>
      <c r="O95" s="316" t="s">
        <v>1566</v>
      </c>
      <c r="P95" s="316" t="s">
        <v>1567</v>
      </c>
    </row>
    <row r="96" spans="1:33" x14ac:dyDescent="0.25">
      <c r="M96" s="2" t="s">
        <v>756</v>
      </c>
      <c r="N96" s="16">
        <v>17173.557499999995</v>
      </c>
      <c r="O96" s="16">
        <v>13420.489999999991</v>
      </c>
      <c r="P96" s="398">
        <v>9867.3274999999849</v>
      </c>
      <c r="AF96" s="845"/>
      <c r="AG96" s="138"/>
    </row>
    <row r="97" spans="1:33" x14ac:dyDescent="0.25">
      <c r="A97" s="786">
        <f>A95-C88</f>
        <v>130714.44564400404</v>
      </c>
      <c r="B97" s="289" t="s">
        <v>1581</v>
      </c>
      <c r="M97" t="s">
        <v>757</v>
      </c>
      <c r="P97" s="16">
        <f>P98-((P98-P96)*0.5)</f>
        <v>10297.022499999992</v>
      </c>
      <c r="AF97" s="845"/>
      <c r="AG97" s="138"/>
    </row>
    <row r="98" spans="1:33" x14ac:dyDescent="0.25">
      <c r="M98" s="2" t="s">
        <v>758</v>
      </c>
      <c r="N98" s="16">
        <v>20065.006250000006</v>
      </c>
      <c r="O98" s="16">
        <v>15282.377500000002</v>
      </c>
      <c r="P98" s="398">
        <v>10726.717499999999</v>
      </c>
      <c r="AF98" s="845"/>
      <c r="AG98" s="138"/>
    </row>
    <row r="99" spans="1:33" x14ac:dyDescent="0.25">
      <c r="C99" s="316" t="s">
        <v>1437</v>
      </c>
      <c r="L99" s="403" t="s">
        <v>1582</v>
      </c>
      <c r="M99" t="s">
        <v>759</v>
      </c>
      <c r="P99" s="16">
        <f>P100-((P100-P98)*0.5)</f>
        <v>12081.199999999997</v>
      </c>
      <c r="AF99" s="845"/>
      <c r="AG99" s="138"/>
    </row>
    <row r="100" spans="1:33" x14ac:dyDescent="0.25">
      <c r="A100" s="289" t="s">
        <v>1583</v>
      </c>
      <c r="C100" s="316" t="s">
        <v>1584</v>
      </c>
      <c r="L100" s="403" t="s">
        <v>1582</v>
      </c>
      <c r="M100" s="2" t="s">
        <v>760</v>
      </c>
      <c r="N100" s="16">
        <v>23815.23874999996</v>
      </c>
      <c r="O100" s="16">
        <v>18553.815000000002</v>
      </c>
      <c r="P100" s="398">
        <v>13435.682499999995</v>
      </c>
      <c r="AF100" s="845"/>
      <c r="AG100" s="138"/>
    </row>
    <row r="101" spans="1:33" x14ac:dyDescent="0.25">
      <c r="B101" s="289" t="s">
        <v>735</v>
      </c>
      <c r="C101" s="16">
        <f>'2122 Band Values'!C11-'2122 Band Values'!I11</f>
        <v>564.11083333333363</v>
      </c>
      <c r="M101" t="s">
        <v>761</v>
      </c>
      <c r="P101" s="16">
        <f>P102-((P102-P100)*0.5)</f>
        <v>16788.441249999989</v>
      </c>
      <c r="AF101" s="845"/>
      <c r="AG101" s="138"/>
    </row>
    <row r="102" spans="1:33" x14ac:dyDescent="0.25">
      <c r="B102" s="289" t="s">
        <v>736</v>
      </c>
      <c r="C102" s="16">
        <f>'2122 Band Values'!C8-'2122 Band Values'!I8</f>
        <v>676.93299999999999</v>
      </c>
      <c r="M102" s="2" t="s">
        <v>762</v>
      </c>
      <c r="N102" s="16">
        <v>32155.344374999986</v>
      </c>
      <c r="O102" s="16">
        <v>26059.661250000005</v>
      </c>
      <c r="P102" s="398">
        <v>20141.199999999983</v>
      </c>
      <c r="AF102" s="845"/>
      <c r="AG102" s="138"/>
    </row>
    <row r="103" spans="1:33" x14ac:dyDescent="0.25">
      <c r="B103" s="289" t="s">
        <v>737</v>
      </c>
      <c r="C103" s="16">
        <f>'2122 Band Values'!C17-'2122 Band Values'!I17</f>
        <v>676.93299999999999</v>
      </c>
      <c r="M103" t="s">
        <v>763</v>
      </c>
      <c r="P103" s="16">
        <f>P104-((P104-P102)*0.5)</f>
        <v>19674.728749999995</v>
      </c>
      <c r="AF103" s="845"/>
      <c r="AG103" s="138"/>
    </row>
    <row r="104" spans="1:33" x14ac:dyDescent="0.25">
      <c r="B104" s="289" t="s">
        <v>738</v>
      </c>
      <c r="C104" s="16">
        <f>'2122 Band Values'!C5-'2122 Band Values'!I5</f>
        <v>846.16625000000022</v>
      </c>
      <c r="M104" s="2" t="s">
        <v>764</v>
      </c>
      <c r="N104" s="16">
        <v>33411.513124999998</v>
      </c>
      <c r="O104" s="16">
        <v>26181.788750000007</v>
      </c>
      <c r="P104" s="398">
        <v>19208.257500000007</v>
      </c>
      <c r="AF104" s="845"/>
      <c r="AG104" s="138"/>
    </row>
    <row r="105" spans="1:33" x14ac:dyDescent="0.25">
      <c r="B105" s="289" t="s">
        <v>739</v>
      </c>
      <c r="C105" s="16">
        <f>'2122 Band Values'!C14-'2122 Band Values'!I14</f>
        <v>846.16625000000022</v>
      </c>
      <c r="AF105" s="845"/>
      <c r="AG105" s="138"/>
    </row>
    <row r="106" spans="1:33" x14ac:dyDescent="0.25">
      <c r="B106" t="s">
        <v>741</v>
      </c>
      <c r="C106" s="16">
        <f>'2122 Band Values'!C22-'2122 Band Values'!I22</f>
        <v>1128.2216666666673</v>
      </c>
      <c r="AF106" s="845"/>
      <c r="AG106" s="138"/>
    </row>
    <row r="107" spans="1:33" x14ac:dyDescent="0.25">
      <c r="B107" t="s">
        <v>743</v>
      </c>
      <c r="C107" s="16">
        <v>0</v>
      </c>
    </row>
    <row r="108" spans="1:33" x14ac:dyDescent="0.25">
      <c r="M108" t="s">
        <v>756</v>
      </c>
    </row>
    <row r="109" spans="1:33" x14ac:dyDescent="0.25">
      <c r="M109" t="s">
        <v>757</v>
      </c>
    </row>
    <row r="110" spans="1:33" x14ac:dyDescent="0.25">
      <c r="M110" t="s">
        <v>758</v>
      </c>
    </row>
    <row r="111" spans="1:33" x14ac:dyDescent="0.25">
      <c r="M111" t="s">
        <v>759</v>
      </c>
    </row>
    <row r="112" spans="1:33" x14ac:dyDescent="0.25">
      <c r="M112" t="s">
        <v>760</v>
      </c>
    </row>
    <row r="113" spans="13:13" x14ac:dyDescent="0.25">
      <c r="M113" t="s">
        <v>761</v>
      </c>
    </row>
    <row r="114" spans="13:13" x14ac:dyDescent="0.25">
      <c r="M114" t="s">
        <v>762</v>
      </c>
    </row>
    <row r="115" spans="13:13" x14ac:dyDescent="0.25">
      <c r="M115" t="s">
        <v>763</v>
      </c>
    </row>
    <row r="116" spans="13:13" x14ac:dyDescent="0.25">
      <c r="M116" t="s">
        <v>764</v>
      </c>
    </row>
    <row r="117" spans="13:13" x14ac:dyDescent="0.25">
      <c r="M117" t="s">
        <v>1149</v>
      </c>
    </row>
    <row r="118" spans="13:13" x14ac:dyDescent="0.25">
      <c r="M118" t="s">
        <v>1150</v>
      </c>
    </row>
  </sheetData>
  <mergeCells count="12">
    <mergeCell ref="U92:U94"/>
    <mergeCell ref="S92:S94"/>
    <mergeCell ref="AB67:AB69"/>
    <mergeCell ref="AC67:AC69"/>
    <mergeCell ref="AD67:AD69"/>
    <mergeCell ref="Z67:Z69"/>
    <mergeCell ref="P68:P69"/>
    <mergeCell ref="D67:J67"/>
    <mergeCell ref="Y67:Y69"/>
    <mergeCell ref="N65:N67"/>
    <mergeCell ref="K68:K69"/>
    <mergeCell ref="U65:U67"/>
  </mergeCells>
  <conditionalFormatting sqref="T67 W67">
    <cfRule type="cellIs" dxfId="3" priority="4" operator="lessThan">
      <formula>0</formula>
    </cfRule>
  </conditionalFormatting>
  <conditionalFormatting sqref="L70:L87 Q70:Q87">
    <cfRule type="cellIs" dxfId="2" priority="3" operator="lessThan">
      <formula>0</formula>
    </cfRule>
  </conditionalFormatting>
  <conditionalFormatting sqref="AD70:AD87">
    <cfRule type="cellIs" dxfId="1" priority="2" operator="lessThan">
      <formula>0</formula>
    </cfRule>
  </conditionalFormatting>
  <conditionalFormatting sqref="W70:W87">
    <cfRule type="cellIs" dxfId="0" priority="1" operator="lessThan">
      <formula>0</formula>
    </cfRule>
  </conditionalFormatting>
  <pageMargins left="0.7" right="0.7" top="0.75" bottom="0.75" header="0.3" footer="0.3"/>
  <pageSetup orientation="portrait" horizontalDpi="90" verticalDpi="9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sheetPr>
  <dimension ref="A1:AJ34"/>
  <sheetViews>
    <sheetView topLeftCell="I1" zoomScale="85" zoomScaleNormal="85" workbookViewId="0">
      <selection activeCell="U4" sqref="U4"/>
    </sheetView>
  </sheetViews>
  <sheetFormatPr defaultColWidth="10.26953125" defaultRowHeight="12.5" x14ac:dyDescent="0.25"/>
  <cols>
    <col min="1" max="1" width="10.26953125" style="36"/>
    <col min="2" max="2" width="31.54296875" style="36" customWidth="1"/>
    <col min="3" max="3" width="6.1796875" style="36" customWidth="1"/>
    <col min="4" max="8" width="15.7265625" style="234" customWidth="1"/>
    <col min="9" max="12" width="15.7265625" style="36" customWidth="1"/>
    <col min="13" max="13" width="15.7265625" style="234" customWidth="1"/>
    <col min="14" max="14" width="17.26953125" style="36" customWidth="1"/>
    <col min="15" max="15" width="10.26953125" style="234" customWidth="1"/>
    <col min="16" max="16" width="0.81640625" style="36" customWidth="1"/>
    <col min="17" max="17" width="10.26953125" style="235" customWidth="1"/>
    <col min="18" max="18" width="11.81640625" style="234" bestFit="1" customWidth="1"/>
    <col min="19" max="19" width="10.26953125" style="234"/>
    <col min="20" max="21" width="10.26953125" style="36"/>
    <col min="22" max="22" width="9.54296875" style="234" customWidth="1"/>
    <col min="23" max="23" width="10.26953125" style="234"/>
    <col min="24" max="24" width="10.81640625" style="234" customWidth="1"/>
    <col min="25" max="25" width="10.26953125" style="36"/>
    <col min="26" max="26" width="11.26953125" style="36" bestFit="1" customWidth="1"/>
    <col min="27" max="34" width="10.26953125" style="36"/>
    <col min="35" max="35" width="11.26953125" style="36" bestFit="1" customWidth="1"/>
    <col min="36" max="16384" width="10.26953125" style="36"/>
  </cols>
  <sheetData>
    <row r="1" spans="1:36" ht="17.5" x14ac:dyDescent="0.35">
      <c r="B1" s="33" t="s">
        <v>420</v>
      </c>
    </row>
    <row r="2" spans="1:36" x14ac:dyDescent="0.25">
      <c r="Y2" s="1439"/>
      <c r="Z2" s="1439"/>
      <c r="AA2" s="1439"/>
    </row>
    <row r="3" spans="1:36" ht="39" customHeight="1" x14ac:dyDescent="0.3">
      <c r="A3" s="236" t="s">
        <v>182</v>
      </c>
      <c r="B3" s="237" t="s">
        <v>183</v>
      </c>
      <c r="C3" s="238" t="s">
        <v>184</v>
      </c>
      <c r="D3" s="239" t="s">
        <v>58</v>
      </c>
      <c r="E3" s="240" t="s">
        <v>59</v>
      </c>
      <c r="F3" s="238" t="s">
        <v>147</v>
      </c>
      <c r="G3" s="238" t="s">
        <v>185</v>
      </c>
      <c r="H3" s="241" t="s">
        <v>102</v>
      </c>
      <c r="I3" s="241" t="s">
        <v>186</v>
      </c>
      <c r="J3" s="241" t="s">
        <v>104</v>
      </c>
      <c r="K3" s="241" t="s">
        <v>187</v>
      </c>
      <c r="L3" s="241" t="s">
        <v>188</v>
      </c>
      <c r="M3" s="238" t="s">
        <v>189</v>
      </c>
      <c r="N3" s="241" t="s">
        <v>190</v>
      </c>
      <c r="O3" s="241" t="s">
        <v>421</v>
      </c>
      <c r="Q3" s="241" t="s">
        <v>192</v>
      </c>
      <c r="R3" s="242" t="s">
        <v>193</v>
      </c>
      <c r="S3" s="242" t="s">
        <v>194</v>
      </c>
      <c r="T3" s="242" t="s">
        <v>195</v>
      </c>
      <c r="U3" s="242" t="s">
        <v>196</v>
      </c>
      <c r="V3" s="241" t="s">
        <v>197</v>
      </c>
      <c r="W3" s="241" t="s">
        <v>198</v>
      </c>
      <c r="X3" s="96" t="s">
        <v>199</v>
      </c>
      <c r="Y3" s="1166" t="s">
        <v>200</v>
      </c>
      <c r="Z3" s="1166" t="s">
        <v>201</v>
      </c>
      <c r="AA3" s="1166" t="s">
        <v>202</v>
      </c>
      <c r="AB3" s="243"/>
      <c r="AC3" s="243"/>
      <c r="AD3" s="243"/>
      <c r="AE3" s="243"/>
      <c r="AF3" s="243"/>
      <c r="AG3" s="243"/>
      <c r="AH3" s="71"/>
      <c r="AI3" s="243"/>
    </row>
    <row r="4" spans="1:36" ht="13" x14ac:dyDescent="0.3">
      <c r="A4" s="244">
        <v>9257010</v>
      </c>
      <c r="B4" s="237" t="s">
        <v>205</v>
      </c>
      <c r="C4" s="238">
        <v>3</v>
      </c>
      <c r="D4" s="245">
        <f>'Funding Model'!D22</f>
        <v>314686.51772419503</v>
      </c>
      <c r="E4" s="245">
        <f>'Funding Model'!E22</f>
        <v>69201.680689977453</v>
      </c>
      <c r="F4" s="245"/>
      <c r="G4" s="245"/>
      <c r="H4" s="245">
        <v>0</v>
      </c>
      <c r="I4" s="245">
        <f>VLOOKUP(A4,'Band Calculations 1516'!$A$108:$W$125,13,FALSE)</f>
        <v>431326.5961502117</v>
      </c>
      <c r="J4" s="245">
        <f>VLOOKUP(A4,'Band Calculations 1516'!$A$108:$W$125,20,FALSE)</f>
        <v>8281.5790802392894</v>
      </c>
      <c r="K4" s="245">
        <f>VLOOKUP(A4,'FSM Calculation 1516'!$A$4:$D$21,4,FALSE)</f>
        <v>3572</v>
      </c>
      <c r="L4" s="245">
        <v>616.77824313180849</v>
      </c>
      <c r="M4" s="245">
        <f>SUM(D4:L4)</f>
        <v>827685.15188775538</v>
      </c>
      <c r="N4" s="245">
        <f>M4-F4</f>
        <v>827685.15188775538</v>
      </c>
      <c r="O4" s="246">
        <f>VLOOKUP(A4,'Band Calculations 1516'!$A$108:$W$125,22,FALSE)</f>
        <v>44</v>
      </c>
      <c r="Q4" s="242">
        <f>N4/O4</f>
        <v>18811.026179267166</v>
      </c>
      <c r="R4" s="242">
        <f>O4*10000</f>
        <v>440000</v>
      </c>
      <c r="S4" s="242">
        <f>Q4-10000</f>
        <v>8811.0261792671663</v>
      </c>
      <c r="T4" s="245">
        <f>VLOOKUP(A4,'2014-15 Funding Detail'!$A$4:$AK$23,37,FALSE)</f>
        <v>8588.5570283973102</v>
      </c>
      <c r="U4" s="245">
        <f>IF(S4&gt;T4,(S4),(T4))</f>
        <v>8811.0261792671663</v>
      </c>
      <c r="V4" s="245">
        <f>10000+U4</f>
        <v>18811.026179267166</v>
      </c>
      <c r="W4" s="245">
        <f t="shared" ref="W4:W15" si="0">(U4-S4)*O4</f>
        <v>0</v>
      </c>
      <c r="X4" s="68">
        <f t="shared" ref="X4:X15" si="1">N4+W4</f>
        <v>827685.15188775538</v>
      </c>
      <c r="Y4" s="245">
        <f>X4*98.5%</f>
        <v>815269.87460943905</v>
      </c>
      <c r="Z4" s="245">
        <f>Y4/O4</f>
        <v>18528.86078657816</v>
      </c>
      <c r="AA4" s="245">
        <f>Z4-10000</f>
        <v>8528.8607865781596</v>
      </c>
      <c r="AB4" s="235"/>
      <c r="AC4" s="235"/>
      <c r="AD4" s="235"/>
      <c r="AE4" s="235"/>
      <c r="AF4" s="235"/>
      <c r="AG4" s="235"/>
      <c r="AH4" s="42"/>
      <c r="AI4" s="235"/>
      <c r="AJ4" s="247"/>
    </row>
    <row r="5" spans="1:36" ht="13" x14ac:dyDescent="0.3">
      <c r="A5" s="244">
        <v>9257005</v>
      </c>
      <c r="B5" s="237" t="s">
        <v>208</v>
      </c>
      <c r="C5" s="238">
        <v>4</v>
      </c>
      <c r="D5" s="245">
        <f>'Funding Model'!D23</f>
        <v>405763.82046267512</v>
      </c>
      <c r="E5" s="245">
        <f>'Funding Model'!E23</f>
        <v>88790.687513148558</v>
      </c>
      <c r="F5" s="245"/>
      <c r="G5" s="245"/>
      <c r="H5" s="245">
        <v>0</v>
      </c>
      <c r="I5" s="245">
        <f>VLOOKUP(A5,'Band Calculations 1516'!$A$108:$W$125,13,FALSE)</f>
        <v>709752.55965533876</v>
      </c>
      <c r="J5" s="245">
        <f>VLOOKUP(A5,'Band Calculations 1516'!$A$108:$W$125,20,FALSE)</f>
        <v>40045.793578788667</v>
      </c>
      <c r="K5" s="245">
        <f>VLOOKUP(A5,'FSM Calculation 1516'!$A$4:$D$21,4,FALSE)</f>
        <v>10716</v>
      </c>
      <c r="L5" s="245">
        <v>675.74486784427756</v>
      </c>
      <c r="M5" s="245">
        <f t="shared" ref="M5:M15" si="2">SUM(D5:L5)</f>
        <v>1255744.6060777954</v>
      </c>
      <c r="N5" s="245">
        <f t="shared" ref="N5:N15" si="3">M5-F5</f>
        <v>1255744.6060777954</v>
      </c>
      <c r="O5" s="246">
        <f>VLOOKUP(A5,'Band Calculations 1516'!$A$108:$W$125,22,FALSE)</f>
        <v>77</v>
      </c>
      <c r="Q5" s="242">
        <f t="shared" ref="Q5:Q23" si="4">N5/O5</f>
        <v>16308.371507503836</v>
      </c>
      <c r="R5" s="242">
        <f t="shared" ref="R5:R23" si="5">O5*10000</f>
        <v>770000</v>
      </c>
      <c r="S5" s="242">
        <f t="shared" ref="S5:S23" si="6">Q5-10000</f>
        <v>6308.3715075038363</v>
      </c>
      <c r="T5" s="248">
        <f>VLOOKUP(A5,'2014-15 Funding Detail'!$A$4:$AK$23,37,FALSE)</f>
        <v>6567.7631067704133</v>
      </c>
      <c r="U5" s="245">
        <f>IF(S5&gt;T5,(S5),(T5))</f>
        <v>6567.7631067704133</v>
      </c>
      <c r="V5" s="245">
        <f t="shared" ref="V5:V23" si="7">10000+U5</f>
        <v>16567.763106770413</v>
      </c>
      <c r="W5" s="245">
        <f>(U5-S5)*O5</f>
        <v>19973.153143526433</v>
      </c>
      <c r="X5" s="68">
        <f t="shared" si="1"/>
        <v>1275717.7592213219</v>
      </c>
      <c r="Y5" s="245">
        <f t="shared" ref="Y5:Y23" si="8">X5*98.5%</f>
        <v>1256581.992833002</v>
      </c>
      <c r="Z5" s="245">
        <f>Y5/O5</f>
        <v>16319.246660168857</v>
      </c>
      <c r="AA5" s="245">
        <f t="shared" ref="AA5:AA23" si="9">Z5-10000</f>
        <v>6319.2466601688575</v>
      </c>
      <c r="AB5" s="235"/>
      <c r="AC5" s="235"/>
      <c r="AD5" s="235"/>
      <c r="AE5" s="235"/>
      <c r="AF5" s="235"/>
      <c r="AG5" s="235"/>
      <c r="AH5" s="42"/>
      <c r="AI5" s="235"/>
      <c r="AJ5" s="247"/>
    </row>
    <row r="6" spans="1:36" ht="13" x14ac:dyDescent="0.3">
      <c r="A6" s="244">
        <v>9257025</v>
      </c>
      <c r="B6" s="237" t="s">
        <v>209</v>
      </c>
      <c r="C6" s="238">
        <v>4</v>
      </c>
      <c r="D6" s="245">
        <f>'Funding Model'!D23</f>
        <v>405763.82046267512</v>
      </c>
      <c r="E6" s="245">
        <f>'Funding Model'!E23</f>
        <v>88790.687513148558</v>
      </c>
      <c r="F6" s="245"/>
      <c r="G6" s="245"/>
      <c r="H6" s="245">
        <v>95813.372486287553</v>
      </c>
      <c r="I6" s="245">
        <f>VLOOKUP(A6,'Band Calculations 1516'!$A$108:$W$125,13,FALSE)</f>
        <v>498229.53692869528</v>
      </c>
      <c r="J6" s="245">
        <f>VLOOKUP(A6,'Band Calculations 1516'!$A$108:$W$125,20,FALSE)</f>
        <v>33907.597366262751</v>
      </c>
      <c r="K6" s="245">
        <f>VLOOKUP(A6,'FSM Calculation 1516'!$A$4:$D$21,4,FALSE)</f>
        <v>7590.5</v>
      </c>
      <c r="L6" s="245">
        <v>646.26155548804309</v>
      </c>
      <c r="M6" s="245">
        <f t="shared" si="2"/>
        <v>1130741.7763125573</v>
      </c>
      <c r="N6" s="245">
        <f t="shared" si="3"/>
        <v>1130741.7763125573</v>
      </c>
      <c r="O6" s="246">
        <f>VLOOKUP(A6,'Band Calculations 1516'!$A$108:$W$125,22,FALSE)</f>
        <v>62</v>
      </c>
      <c r="Q6" s="242">
        <f t="shared" si="4"/>
        <v>18237.770585686409</v>
      </c>
      <c r="R6" s="242">
        <f t="shared" si="5"/>
        <v>620000</v>
      </c>
      <c r="S6" s="242">
        <f t="shared" si="6"/>
        <v>8237.7705856864086</v>
      </c>
      <c r="T6" s="248">
        <f>VLOOKUP(A6,'2014-15 Funding Detail'!$A$4:$AK$23,37,FALSE)</f>
        <v>8692.9948947299745</v>
      </c>
      <c r="U6" s="245">
        <f t="shared" ref="U6:U23" si="10">IF(S6&gt;T6,(S6),(T6))</f>
        <v>8692.9948947299745</v>
      </c>
      <c r="V6" s="245">
        <f t="shared" si="7"/>
        <v>18692.994894729974</v>
      </c>
      <c r="W6" s="245">
        <f t="shared" si="0"/>
        <v>28223.907160701085</v>
      </c>
      <c r="X6" s="68">
        <f t="shared" si="1"/>
        <v>1158965.6834732583</v>
      </c>
      <c r="Y6" s="245">
        <f t="shared" si="8"/>
        <v>1141581.1982211594</v>
      </c>
      <c r="Z6" s="245">
        <f t="shared" ref="Z6:Z23" si="11">Y6/O6</f>
        <v>18412.599971309024</v>
      </c>
      <c r="AA6" s="245">
        <f t="shared" si="9"/>
        <v>8412.5999713090241</v>
      </c>
      <c r="AB6" s="235"/>
      <c r="AC6" s="235"/>
      <c r="AD6" s="235"/>
      <c r="AE6" s="235"/>
      <c r="AF6" s="235"/>
      <c r="AG6" s="235"/>
      <c r="AH6" s="42"/>
      <c r="AI6" s="235"/>
      <c r="AJ6" s="247"/>
    </row>
    <row r="7" spans="1:36" ht="13" x14ac:dyDescent="0.3">
      <c r="A7" s="244">
        <v>9257011</v>
      </c>
      <c r="B7" s="237" t="s">
        <v>210</v>
      </c>
      <c r="C7" s="238">
        <v>3</v>
      </c>
      <c r="D7" s="245">
        <f>'Funding Model'!D22</f>
        <v>314686.51772419503</v>
      </c>
      <c r="E7" s="245">
        <f>'Funding Model'!$E$22</f>
        <v>69201.680689977453</v>
      </c>
      <c r="F7" s="245"/>
      <c r="G7" s="245"/>
      <c r="H7" s="245">
        <v>0</v>
      </c>
      <c r="I7" s="245">
        <f>VLOOKUP(A7,'Band Calculations 1516'!$A$108:$W$125,13,FALSE)</f>
        <v>443645.23358174152</v>
      </c>
      <c r="J7" s="245">
        <f>VLOOKUP(A7,'Band Calculations 1516'!$A$108:$W$125,20,FALSE)</f>
        <v>18445.335224169325</v>
      </c>
      <c r="K7" s="245">
        <f>VLOOKUP(A7,'FSM Calculation 1516'!$A$4:$D$21,4,FALSE)</f>
        <v>5358</v>
      </c>
      <c r="L7" s="245">
        <v>610.88158066056155</v>
      </c>
      <c r="M7" s="245">
        <f t="shared" si="2"/>
        <v>851947.64880074398</v>
      </c>
      <c r="N7" s="245">
        <f t="shared" si="3"/>
        <v>851947.64880074398</v>
      </c>
      <c r="O7" s="246">
        <f>VLOOKUP(A7,'Band Calculations 1516'!$A$108:$W$125,22,FALSE)</f>
        <v>45</v>
      </c>
      <c r="Q7" s="242">
        <f>N7/O7</f>
        <v>18932.169973349864</v>
      </c>
      <c r="R7" s="242">
        <f t="shared" si="5"/>
        <v>450000</v>
      </c>
      <c r="S7" s="242">
        <f t="shared" si="6"/>
        <v>8932.1699733498644</v>
      </c>
      <c r="T7" s="248">
        <f>VLOOKUP(A7,'2014-15 Funding Detail'!$A$4:$AK$23,37,FALSE)</f>
        <v>9422.2682394022158</v>
      </c>
      <c r="U7" s="245">
        <f t="shared" si="10"/>
        <v>9422.2682394022158</v>
      </c>
      <c r="V7" s="245">
        <f t="shared" si="7"/>
        <v>19422.268239402216</v>
      </c>
      <c r="W7" s="245">
        <f t="shared" si="0"/>
        <v>22054.421972355813</v>
      </c>
      <c r="X7" s="68">
        <f t="shared" si="1"/>
        <v>874002.07077309978</v>
      </c>
      <c r="Y7" s="245">
        <f t="shared" si="8"/>
        <v>860892.03971150331</v>
      </c>
      <c r="Z7" s="245">
        <f t="shared" si="11"/>
        <v>19130.934215811183</v>
      </c>
      <c r="AA7" s="245">
        <f t="shared" si="9"/>
        <v>9130.9342158111831</v>
      </c>
      <c r="AB7" s="235"/>
      <c r="AC7" s="235"/>
      <c r="AD7" s="235"/>
      <c r="AE7" s="235"/>
      <c r="AF7" s="235"/>
      <c r="AG7" s="235"/>
      <c r="AH7" s="42"/>
      <c r="AI7" s="235"/>
      <c r="AJ7" s="247"/>
    </row>
    <row r="8" spans="1:36" ht="13" x14ac:dyDescent="0.3">
      <c r="A8" s="244">
        <v>9257024</v>
      </c>
      <c r="B8" s="237" t="s">
        <v>211</v>
      </c>
      <c r="C8" s="238">
        <v>3</v>
      </c>
      <c r="D8" s="245">
        <f>'Funding Model'!D22</f>
        <v>314686.51772419503</v>
      </c>
      <c r="E8" s="245">
        <f>'Funding Model'!$E$22</f>
        <v>69201.680689977453</v>
      </c>
      <c r="F8" s="245"/>
      <c r="G8" s="245"/>
      <c r="H8" s="245">
        <v>45728.599956656348</v>
      </c>
      <c r="I8" s="245">
        <f>VLOOKUP(A8,'Band Calculations 1516'!$A$108:$W$125,13,FALSE)</f>
        <v>475577.43954922614</v>
      </c>
      <c r="J8" s="245">
        <f>VLOOKUP(A8,'Band Calculations 1516'!$A$108:$W$125,20,FALSE)</f>
        <v>8192.6034372284539</v>
      </c>
      <c r="K8" s="245">
        <f>VLOOKUP(A8,'FSM Calculation 1516'!$A$4:$D$21,4,FALSE)</f>
        <v>9823</v>
      </c>
      <c r="L8" s="245">
        <v>628.57156807430238</v>
      </c>
      <c r="M8" s="245">
        <f t="shared" si="2"/>
        <v>923838.4129253577</v>
      </c>
      <c r="N8" s="245">
        <f t="shared" si="3"/>
        <v>923838.4129253577</v>
      </c>
      <c r="O8" s="246">
        <f>VLOOKUP(A8,'Band Calculations 1516'!$A$108:$W$125,22,FALSE)</f>
        <v>57</v>
      </c>
      <c r="Q8" s="242">
        <f t="shared" si="4"/>
        <v>16207.691454830836</v>
      </c>
      <c r="R8" s="242">
        <f t="shared" si="5"/>
        <v>570000</v>
      </c>
      <c r="S8" s="242">
        <f t="shared" si="6"/>
        <v>6207.6914548308359</v>
      </c>
      <c r="T8" s="248">
        <f>VLOOKUP(A8,'2014-15 Funding Detail'!$A$4:$AK$23,37,FALSE)</f>
        <v>6649.9448005416598</v>
      </c>
      <c r="U8" s="245">
        <f t="shared" si="10"/>
        <v>6649.9448005416598</v>
      </c>
      <c r="V8" s="245">
        <f t="shared" si="7"/>
        <v>16649.94480054166</v>
      </c>
      <c r="W8" s="245">
        <f t="shared" si="0"/>
        <v>25208.440705516958</v>
      </c>
      <c r="X8" s="68">
        <f t="shared" si="1"/>
        <v>949046.85363087466</v>
      </c>
      <c r="Y8" s="245">
        <f t="shared" si="8"/>
        <v>934811.15082641155</v>
      </c>
      <c r="Z8" s="245">
        <f t="shared" si="11"/>
        <v>16400.195628533536</v>
      </c>
      <c r="AA8" s="245">
        <f t="shared" si="9"/>
        <v>6400.1956285335364</v>
      </c>
      <c r="AB8" s="235"/>
      <c r="AC8" s="235"/>
      <c r="AD8" s="235"/>
      <c r="AE8" s="235"/>
      <c r="AF8" s="235"/>
      <c r="AG8" s="235"/>
      <c r="AH8" s="42"/>
      <c r="AI8" s="235"/>
      <c r="AJ8" s="247"/>
    </row>
    <row r="9" spans="1:36" ht="13" x14ac:dyDescent="0.3">
      <c r="A9" s="244">
        <v>9257008</v>
      </c>
      <c r="B9" s="237" t="s">
        <v>212</v>
      </c>
      <c r="C9" s="238">
        <v>4</v>
      </c>
      <c r="D9" s="245">
        <f>'Funding Model'!D23</f>
        <v>405763.82046267512</v>
      </c>
      <c r="E9" s="245">
        <f>'Funding Model'!$E$23</f>
        <v>88790.687513148558</v>
      </c>
      <c r="F9" s="245"/>
      <c r="G9" s="245"/>
      <c r="H9" s="245">
        <v>80013.788688133034</v>
      </c>
      <c r="I9" s="245">
        <f>VLOOKUP(A9,'Band Calculations 1516'!$A$108:$W$125,13,FALSE)</f>
        <v>640110.30950506427</v>
      </c>
      <c r="J9" s="245">
        <f>VLOOKUP(A9,'Band Calculations 1516'!$A$108:$W$125,20,FALSE)</f>
        <v>66961.216948244939</v>
      </c>
      <c r="K9" s="245">
        <f>VLOOKUP(A9,'FSM Calculation 1516'!$A$4:$D$21,4,FALSE)</f>
        <v>17860</v>
      </c>
      <c r="L9" s="245">
        <v>737.65982379237016</v>
      </c>
      <c r="M9" s="245">
        <f t="shared" si="2"/>
        <v>1300237.4829410582</v>
      </c>
      <c r="N9" s="245">
        <f t="shared" si="3"/>
        <v>1300237.4829410582</v>
      </c>
      <c r="O9" s="246">
        <f>VLOOKUP(A9,'Band Calculations 1516'!$A$108:$W$125,22,FALSE)</f>
        <v>90</v>
      </c>
      <c r="Q9" s="242">
        <f t="shared" si="4"/>
        <v>14447.083143789536</v>
      </c>
      <c r="R9" s="242">
        <f t="shared" si="5"/>
        <v>900000</v>
      </c>
      <c r="S9" s="242">
        <f t="shared" si="6"/>
        <v>4447.0831437895358</v>
      </c>
      <c r="T9" s="245">
        <f>VLOOKUP(A9,'2014-15 Funding Detail'!$A$4:$AK$23,37,FALSE)</f>
        <v>3628.5980020526658</v>
      </c>
      <c r="U9" s="245">
        <f t="shared" si="10"/>
        <v>4447.0831437895358</v>
      </c>
      <c r="V9" s="245">
        <f t="shared" si="7"/>
        <v>14447.083143789536</v>
      </c>
      <c r="W9" s="245">
        <f t="shared" si="0"/>
        <v>0</v>
      </c>
      <c r="X9" s="68">
        <f t="shared" si="1"/>
        <v>1300237.4829410582</v>
      </c>
      <c r="Y9" s="245">
        <f t="shared" si="8"/>
        <v>1280733.9206969424</v>
      </c>
      <c r="Z9" s="245">
        <f t="shared" si="11"/>
        <v>14230.376896632693</v>
      </c>
      <c r="AA9" s="245">
        <f t="shared" si="9"/>
        <v>4230.3768966326934</v>
      </c>
      <c r="AB9" s="235"/>
      <c r="AC9" s="235"/>
      <c r="AD9" s="235"/>
      <c r="AE9" s="235"/>
      <c r="AF9" s="235"/>
      <c r="AG9" s="235"/>
      <c r="AH9" s="42"/>
      <c r="AI9" s="235"/>
      <c r="AJ9" s="247"/>
    </row>
    <row r="10" spans="1:36" ht="13" x14ac:dyDescent="0.3">
      <c r="A10" s="244">
        <v>9257002</v>
      </c>
      <c r="B10" s="237" t="s">
        <v>213</v>
      </c>
      <c r="C10" s="238">
        <v>4</v>
      </c>
      <c r="D10" s="245">
        <f>'Funding Model'!D23</f>
        <v>405763.82046267512</v>
      </c>
      <c r="E10" s="245">
        <f>'Funding Model'!$E$23</f>
        <v>88790.687513148558</v>
      </c>
      <c r="F10" s="245"/>
      <c r="G10" s="245"/>
      <c r="H10" s="245">
        <v>0</v>
      </c>
      <c r="I10" s="245">
        <f>VLOOKUP(A10,'Band Calculations 1516'!$A$108:$W$125,13,FALSE)</f>
        <v>882951.35128885927</v>
      </c>
      <c r="J10" s="245">
        <f>VLOOKUP(A10,'Band Calculations 1516'!$A$108:$W$125,20,FALSE)</f>
        <v>29716.254346740978</v>
      </c>
      <c r="K10" s="245">
        <f>VLOOKUP(A10,'FSM Calculation 1516'!$A$4:$D$21,4,FALSE)</f>
        <v>18306.5</v>
      </c>
      <c r="L10" s="245">
        <v>873.28306063104901</v>
      </c>
      <c r="M10" s="245">
        <f t="shared" si="2"/>
        <v>1426401.8966720549</v>
      </c>
      <c r="N10" s="245">
        <f t="shared" si="3"/>
        <v>1426401.8966720549</v>
      </c>
      <c r="O10" s="246">
        <f>VLOOKUP(A10,'Band Calculations 1516'!$A$108:$W$125,22,FALSE)</f>
        <v>122</v>
      </c>
      <c r="Q10" s="242">
        <f t="shared" si="4"/>
        <v>11691.818825180777</v>
      </c>
      <c r="R10" s="242">
        <f t="shared" si="5"/>
        <v>1220000</v>
      </c>
      <c r="S10" s="242">
        <f t="shared" si="6"/>
        <v>1691.8188251807769</v>
      </c>
      <c r="T10" s="245">
        <f>VLOOKUP(A10,'2014-15 Funding Detail'!$A$4:$AK$23,37,FALSE)</f>
        <v>1392.0961170158989</v>
      </c>
      <c r="U10" s="245">
        <f t="shared" si="10"/>
        <v>1691.8188251807769</v>
      </c>
      <c r="V10" s="245">
        <f t="shared" si="7"/>
        <v>11691.818825180777</v>
      </c>
      <c r="W10" s="245">
        <f t="shared" si="0"/>
        <v>0</v>
      </c>
      <c r="X10" s="68">
        <f t="shared" si="1"/>
        <v>1426401.8966720549</v>
      </c>
      <c r="Y10" s="245">
        <f t="shared" si="8"/>
        <v>1405005.868221974</v>
      </c>
      <c r="Z10" s="245">
        <f t="shared" si="11"/>
        <v>11516.441542803066</v>
      </c>
      <c r="AA10" s="245">
        <f t="shared" si="9"/>
        <v>1516.4415428030661</v>
      </c>
      <c r="AB10" s="235"/>
      <c r="AC10" s="235"/>
      <c r="AD10" s="235"/>
      <c r="AE10" s="235"/>
      <c r="AF10" s="235"/>
      <c r="AG10" s="235"/>
      <c r="AH10" s="42"/>
      <c r="AI10" s="235"/>
      <c r="AJ10" s="247"/>
    </row>
    <row r="11" spans="1:36" ht="13" x14ac:dyDescent="0.3">
      <c r="A11" s="244">
        <v>9257009</v>
      </c>
      <c r="B11" s="237" t="s">
        <v>214</v>
      </c>
      <c r="C11" s="238">
        <v>4</v>
      </c>
      <c r="D11" s="245">
        <f>'Funding Model'!$D$23</f>
        <v>405763.82046267512</v>
      </c>
      <c r="E11" s="245">
        <f>'Funding Model'!$E$23</f>
        <v>88790.687513148558</v>
      </c>
      <c r="F11" s="245"/>
      <c r="G11" s="245"/>
      <c r="H11" s="245">
        <v>0</v>
      </c>
      <c r="I11" s="245">
        <f>VLOOKUP(A11,'Band Calculations 1516'!$A$108:$W$125,13,FALSE)</f>
        <v>941672.03860613052</v>
      </c>
      <c r="J11" s="245">
        <f>VLOOKUP(A11,'Band Calculations 1516'!$A$108:$W$125,20,FALSE)</f>
        <v>47430.862005006842</v>
      </c>
      <c r="K11" s="245">
        <f>VLOOKUP(A11,'FSM Calculation 1516'!$A$4:$D$21,4,FALSE)</f>
        <v>15181</v>
      </c>
      <c r="L11" s="245">
        <v>876.23139186667242</v>
      </c>
      <c r="M11" s="245">
        <f t="shared" si="2"/>
        <v>1499714.6399788277</v>
      </c>
      <c r="N11" s="245">
        <f t="shared" si="3"/>
        <v>1499714.6399788277</v>
      </c>
      <c r="O11" s="246">
        <f>VLOOKUP(A11,'Band Calculations 1516'!$A$108:$W$125,22,FALSE)</f>
        <v>130</v>
      </c>
      <c r="Q11" s="242">
        <f t="shared" si="4"/>
        <v>11536.266461375597</v>
      </c>
      <c r="R11" s="242">
        <f t="shared" si="5"/>
        <v>1300000</v>
      </c>
      <c r="S11" s="242">
        <f t="shared" si="6"/>
        <v>1536.2664613755969</v>
      </c>
      <c r="T11" s="245">
        <f>VLOOKUP(A11,'2014-15 Funding Detail'!$A$4:$AK$23,37,FALSE)</f>
        <v>1509.8788165763963</v>
      </c>
      <c r="U11" s="245">
        <f t="shared" si="10"/>
        <v>1536.2664613755969</v>
      </c>
      <c r="V11" s="245">
        <f t="shared" si="7"/>
        <v>11536.266461375597</v>
      </c>
      <c r="W11" s="245">
        <f t="shared" si="0"/>
        <v>0</v>
      </c>
      <c r="X11" s="68">
        <f t="shared" si="1"/>
        <v>1499714.6399788277</v>
      </c>
      <c r="Y11" s="245">
        <f t="shared" si="8"/>
        <v>1477218.9203791453</v>
      </c>
      <c r="Z11" s="245">
        <f t="shared" si="11"/>
        <v>11363.222464454964</v>
      </c>
      <c r="AA11" s="245">
        <f t="shared" si="9"/>
        <v>1363.2224644549642</v>
      </c>
      <c r="AB11" s="235"/>
      <c r="AC11" s="235"/>
      <c r="AD11" s="235"/>
      <c r="AE11" s="235"/>
      <c r="AF11" s="235"/>
      <c r="AG11" s="235"/>
      <c r="AH11" s="42"/>
      <c r="AI11" s="235"/>
      <c r="AJ11" s="247"/>
    </row>
    <row r="12" spans="1:36" ht="13" x14ac:dyDescent="0.3">
      <c r="A12" s="244">
        <v>9257028</v>
      </c>
      <c r="B12" s="237" t="s">
        <v>215</v>
      </c>
      <c r="C12" s="238">
        <v>4</v>
      </c>
      <c r="D12" s="245">
        <f>'Funding Model'!$D$23</f>
        <v>405763.82046267512</v>
      </c>
      <c r="E12" s="245">
        <f>'Funding Model'!$E$23</f>
        <v>88790.687513148558</v>
      </c>
      <c r="F12" s="245"/>
      <c r="G12" s="245"/>
      <c r="H12" s="245">
        <v>51121.716670162452</v>
      </c>
      <c r="I12" s="245">
        <f>VLOOKUP(A12,'Band Calculations 1516'!$A$108:$W$125,13,FALSE)</f>
        <v>674806.66004614439</v>
      </c>
      <c r="J12" s="245">
        <f>VLOOKUP(A12,'Band Calculations 1516'!$A$108:$W$125,20,FALSE)</f>
        <v>44795.814115839785</v>
      </c>
      <c r="K12" s="245">
        <f>VLOOKUP(A12,'FSM Calculation 1516'!$A$4:$D$21,4,FALSE)</f>
        <v>9823</v>
      </c>
      <c r="L12" s="245">
        <v>705.22818020051216</v>
      </c>
      <c r="M12" s="245">
        <f t="shared" si="2"/>
        <v>1275806.9269881709</v>
      </c>
      <c r="N12" s="245">
        <f t="shared" si="3"/>
        <v>1275806.9269881709</v>
      </c>
      <c r="O12" s="246">
        <f>VLOOKUP(A12,'Band Calculations 1516'!$A$108:$W$125,22,FALSE)</f>
        <v>71</v>
      </c>
      <c r="Q12" s="242">
        <f t="shared" si="4"/>
        <v>17969.111647720718</v>
      </c>
      <c r="R12" s="242">
        <f t="shared" si="5"/>
        <v>710000</v>
      </c>
      <c r="S12" s="242">
        <f t="shared" si="6"/>
        <v>7969.1116477207179</v>
      </c>
      <c r="T12" s="248">
        <f>VLOOKUP(A12,'2014-15 Funding Detail'!$A$4:$AK$23,37,FALSE)</f>
        <v>8148.9698767445152</v>
      </c>
      <c r="U12" s="245">
        <f t="shared" si="10"/>
        <v>8148.9698767445152</v>
      </c>
      <c r="V12" s="245">
        <f t="shared" si="7"/>
        <v>18148.969876744515</v>
      </c>
      <c r="W12" s="245">
        <f t="shared" si="0"/>
        <v>12769.93426068961</v>
      </c>
      <c r="X12" s="68">
        <f t="shared" si="1"/>
        <v>1288576.8612488606</v>
      </c>
      <c r="Y12" s="245">
        <f t="shared" si="8"/>
        <v>1269248.2083301276</v>
      </c>
      <c r="Z12" s="245">
        <f t="shared" si="11"/>
        <v>17876.735328593346</v>
      </c>
      <c r="AA12" s="245">
        <f t="shared" si="9"/>
        <v>7876.7353285933459</v>
      </c>
      <c r="AB12" s="235"/>
      <c r="AC12" s="235"/>
      <c r="AD12" s="235"/>
      <c r="AE12" s="235"/>
      <c r="AF12" s="235"/>
      <c r="AG12" s="235"/>
      <c r="AH12" s="42"/>
      <c r="AI12" s="235"/>
      <c r="AJ12" s="247"/>
    </row>
    <row r="13" spans="1:36" ht="13" x14ac:dyDescent="0.3">
      <c r="A13" s="244">
        <v>9257021</v>
      </c>
      <c r="B13" s="237" t="s">
        <v>216</v>
      </c>
      <c r="C13" s="238">
        <v>4</v>
      </c>
      <c r="D13" s="245">
        <f>'Funding Model'!$D$23</f>
        <v>405763.82046267512</v>
      </c>
      <c r="E13" s="245">
        <f>'Funding Model'!$E$23</f>
        <v>88790.687513148558</v>
      </c>
      <c r="F13" s="245"/>
      <c r="G13" s="245"/>
      <c r="H13" s="245">
        <v>0</v>
      </c>
      <c r="I13" s="245">
        <f>VLOOKUP(A13,'Band Calculations 1516'!$A$108:$W$125,13,FALSE)</f>
        <v>1036404.0388675856</v>
      </c>
      <c r="J13" s="245">
        <f>VLOOKUP(A13,'Band Calculations 1516'!$A$108:$W$125,20,FALSE)</f>
        <v>52329.824277824446</v>
      </c>
      <c r="K13" s="245">
        <f>VLOOKUP(A13,'FSM Calculation 1516'!$A$4:$D$21,4,FALSE)</f>
        <v>25897</v>
      </c>
      <c r="L13" s="245">
        <v>908.66303545853043</v>
      </c>
      <c r="M13" s="245">
        <f t="shared" si="2"/>
        <v>1610094.0341566922</v>
      </c>
      <c r="N13" s="245">
        <f t="shared" si="3"/>
        <v>1610094.0341566922</v>
      </c>
      <c r="O13" s="246">
        <f>VLOOKUP(A13,'Band Calculations 1516'!$A$108:$W$125,22,FALSE)</f>
        <v>141</v>
      </c>
      <c r="Q13" s="242">
        <f t="shared" si="4"/>
        <v>11419.106625224767</v>
      </c>
      <c r="R13" s="242">
        <f t="shared" si="5"/>
        <v>1410000</v>
      </c>
      <c r="S13" s="242">
        <f t="shared" si="6"/>
        <v>1419.1066252247674</v>
      </c>
      <c r="T13" s="248">
        <f>VLOOKUP(A13,'2014-15 Funding Detail'!$A$4:$AK$23,37,FALSE)</f>
        <v>1530.2491253562857</v>
      </c>
      <c r="U13" s="245">
        <f t="shared" si="10"/>
        <v>1530.2491253562857</v>
      </c>
      <c r="V13" s="245">
        <f t="shared" si="7"/>
        <v>11530.249125356286</v>
      </c>
      <c r="W13" s="245">
        <f t="shared" si="0"/>
        <v>15671.092518544083</v>
      </c>
      <c r="X13" s="68">
        <f t="shared" si="1"/>
        <v>1625765.1266752363</v>
      </c>
      <c r="Y13" s="245">
        <f t="shared" si="8"/>
        <v>1601378.6497751076</v>
      </c>
      <c r="Z13" s="245">
        <f t="shared" si="11"/>
        <v>11357.295388475941</v>
      </c>
      <c r="AA13" s="245">
        <f t="shared" si="9"/>
        <v>1357.2953884759409</v>
      </c>
      <c r="AB13" s="235"/>
      <c r="AC13" s="235"/>
      <c r="AD13" s="235"/>
      <c r="AE13" s="235"/>
      <c r="AF13" s="235"/>
      <c r="AG13" s="235"/>
      <c r="AH13" s="42"/>
      <c r="AI13" s="235"/>
      <c r="AJ13" s="247"/>
    </row>
    <row r="14" spans="1:36" ht="13" x14ac:dyDescent="0.3">
      <c r="A14" s="244">
        <v>9257015</v>
      </c>
      <c r="B14" s="237" t="s">
        <v>217</v>
      </c>
      <c r="C14" s="238">
        <v>6</v>
      </c>
      <c r="D14" s="245">
        <f>'Funding Model'!$D$25</f>
        <v>493762.11190507573</v>
      </c>
      <c r="E14" s="245">
        <f>'Funding Model'!$E$25</f>
        <v>131719.7894229154</v>
      </c>
      <c r="F14" s="245"/>
      <c r="G14" s="302">
        <v>29207</v>
      </c>
      <c r="H14" s="245">
        <v>71701.363496330887</v>
      </c>
      <c r="I14" s="245">
        <f>VLOOKUP(A14,'Band Calculations 1516'!$A$108:$W$125,13,FALSE)</f>
        <v>1792534.0874082721</v>
      </c>
      <c r="J14" s="245">
        <f>VLOOKUP(A14,'Band Calculations 1516'!$A$108:$W$125,20,FALSE)</f>
        <v>44200.803302156906</v>
      </c>
      <c r="K14" s="245">
        <f>VLOOKUP(A14,'FSM Calculation 1516'!$A$4:$D$21,4,FALSE)</f>
        <v>51794</v>
      </c>
      <c r="L14" s="245">
        <v>1056.0795972397032</v>
      </c>
      <c r="M14" s="245">
        <f t="shared" si="2"/>
        <v>2615975.2351319906</v>
      </c>
      <c r="N14" s="302">
        <f>M14-F14-G14</f>
        <v>2586768.2351319906</v>
      </c>
      <c r="O14" s="246">
        <f>VLOOKUP(A14,'Band Calculations 1516'!$A$108:$W$125,22,FALSE)</f>
        <v>260</v>
      </c>
      <c r="Q14" s="242">
        <f t="shared" si="4"/>
        <v>9949.1085966615028</v>
      </c>
      <c r="R14" s="242">
        <f>O14*10000</f>
        <v>2600000</v>
      </c>
      <c r="S14" s="242">
        <f>Q14-10000</f>
        <v>-50.891403338497184</v>
      </c>
      <c r="T14" s="309">
        <v>252.190298962616</v>
      </c>
      <c r="U14" s="302">
        <v>252.190298962616</v>
      </c>
      <c r="V14" s="302">
        <v>10252.190298962616</v>
      </c>
      <c r="W14" s="302">
        <v>49594.242598289748</v>
      </c>
      <c r="X14" s="68">
        <f>N14+W14</f>
        <v>2636362.4777302803</v>
      </c>
      <c r="Y14" s="245">
        <f t="shared" si="8"/>
        <v>2596817.0405643261</v>
      </c>
      <c r="Z14" s="245">
        <f t="shared" si="11"/>
        <v>9987.7578483243306</v>
      </c>
      <c r="AA14" s="245">
        <f t="shared" si="9"/>
        <v>-12.242151675669447</v>
      </c>
      <c r="AB14" s="235"/>
      <c r="AC14" s="1440" t="s">
        <v>422</v>
      </c>
      <c r="AD14" s="1440"/>
      <c r="AE14" s="1440"/>
      <c r="AF14" s="1440"/>
      <c r="AG14" s="1440"/>
      <c r="AH14" s="1440"/>
      <c r="AI14" s="1440"/>
      <c r="AJ14" s="247"/>
    </row>
    <row r="15" spans="1:36" ht="13" x14ac:dyDescent="0.3">
      <c r="A15" s="244">
        <v>9257016</v>
      </c>
      <c r="B15" s="237" t="s">
        <v>219</v>
      </c>
      <c r="C15" s="238">
        <v>7</v>
      </c>
      <c r="D15" s="245">
        <f>'Funding Model'!$D$25</f>
        <v>493762.11190507573</v>
      </c>
      <c r="E15" s="245">
        <f>'Funding Model'!$E$25</f>
        <v>131719.7894229154</v>
      </c>
      <c r="F15" s="245"/>
      <c r="G15" s="245"/>
      <c r="H15" s="245">
        <v>0</v>
      </c>
      <c r="I15" s="245">
        <f>VLOOKUP(A15,'Band Calculations 1516'!$A$108:$W$125,13,FALSE)</f>
        <v>1345703.0996432519</v>
      </c>
      <c r="J15" s="245">
        <f>VLOOKUP(A15,'Band Calculations 1516'!$A$108:$W$125,20,FALSE)</f>
        <v>0</v>
      </c>
      <c r="K15" s="245">
        <f>VLOOKUP(A15,'FSM Calculation 1516'!$A$4:$D$21,4,FALSE)</f>
        <v>12948.5</v>
      </c>
      <c r="L15" s="245">
        <v>832.00642333232065</v>
      </c>
      <c r="M15" s="245">
        <f t="shared" si="2"/>
        <v>1984965.5073945753</v>
      </c>
      <c r="N15" s="245">
        <f t="shared" si="3"/>
        <v>1984965.5073945753</v>
      </c>
      <c r="O15" s="246">
        <f>VLOOKUP(A15,'Band Calculations 1516'!$A$108:$W$125,22,FALSE)</f>
        <v>133</v>
      </c>
      <c r="Q15" s="242">
        <f t="shared" si="4"/>
        <v>14924.552687177258</v>
      </c>
      <c r="R15" s="242">
        <f t="shared" si="5"/>
        <v>1330000</v>
      </c>
      <c r="S15" s="242">
        <f t="shared" si="6"/>
        <v>4924.5526871772581</v>
      </c>
      <c r="T15" s="248">
        <f>VLOOKUP(A15,'2014-15 Funding Detail'!$A$4:$AK$23,37,FALSE)</f>
        <v>6606.0548349805213</v>
      </c>
      <c r="U15" s="245">
        <f t="shared" si="10"/>
        <v>6606.0548349805213</v>
      </c>
      <c r="V15" s="245">
        <f t="shared" si="7"/>
        <v>16606.054834980521</v>
      </c>
      <c r="W15" s="245">
        <f t="shared" si="0"/>
        <v>223639.785657834</v>
      </c>
      <c r="X15" s="68">
        <f t="shared" si="1"/>
        <v>2208605.2930524093</v>
      </c>
      <c r="Y15" s="245">
        <f t="shared" si="8"/>
        <v>2175476.2136566229</v>
      </c>
      <c r="Z15" s="245">
        <f t="shared" si="11"/>
        <v>16356.964012455812</v>
      </c>
      <c r="AA15" s="245">
        <f t="shared" si="9"/>
        <v>6356.9640124558118</v>
      </c>
      <c r="AB15" s="235"/>
      <c r="AC15" s="1440"/>
      <c r="AD15" s="1440"/>
      <c r="AE15" s="1440"/>
      <c r="AF15" s="1440"/>
      <c r="AG15" s="1440"/>
      <c r="AH15" s="1440"/>
      <c r="AI15" s="1440"/>
      <c r="AJ15" s="247"/>
    </row>
    <row r="16" spans="1:36" ht="13" x14ac:dyDescent="0.3">
      <c r="A16" s="244"/>
      <c r="B16" s="237"/>
      <c r="C16" s="238"/>
      <c r="D16" s="245"/>
      <c r="E16" s="245"/>
      <c r="F16" s="245"/>
      <c r="G16" s="245"/>
      <c r="H16" s="245"/>
      <c r="I16" s="245"/>
      <c r="J16" s="245"/>
      <c r="K16" s="245"/>
      <c r="L16" s="245"/>
      <c r="M16" s="245"/>
      <c r="N16" s="245"/>
      <c r="O16" s="246"/>
      <c r="Q16" s="242"/>
      <c r="R16" s="242"/>
      <c r="S16" s="242"/>
      <c r="T16" s="245"/>
      <c r="U16" s="245"/>
      <c r="V16" s="245"/>
      <c r="W16" s="245"/>
      <c r="X16" s="68"/>
      <c r="Y16" s="245"/>
      <c r="Z16" s="245"/>
      <c r="AA16" s="245"/>
      <c r="AB16" s="235"/>
      <c r="AC16" s="1440"/>
      <c r="AD16" s="1440"/>
      <c r="AE16" s="1440"/>
      <c r="AF16" s="1440"/>
      <c r="AG16" s="1440"/>
      <c r="AH16" s="1440"/>
      <c r="AI16" s="1440"/>
      <c r="AJ16" s="247"/>
    </row>
    <row r="17" spans="1:36" ht="13" x14ac:dyDescent="0.3">
      <c r="A17" s="244">
        <v>9257031</v>
      </c>
      <c r="B17" s="32" t="s">
        <v>148</v>
      </c>
      <c r="C17" s="238">
        <v>3</v>
      </c>
      <c r="D17" s="245">
        <f>'Funding Model'!$D$26</f>
        <v>280697.16623783787</v>
      </c>
      <c r="E17" s="245">
        <f>'Funding Model'!$E$26</f>
        <v>55663.058379368813</v>
      </c>
      <c r="F17" s="245">
        <v>163246</v>
      </c>
      <c r="G17" s="245"/>
      <c r="H17" s="245">
        <v>0</v>
      </c>
      <c r="I17" s="245">
        <f>VLOOKUP(A17,'Band Calculations 1516'!$A$108:$W$125,13,FALSE)</f>
        <v>724905.27956200088</v>
      </c>
      <c r="J17" s="245">
        <f>VLOOKUP(A17,'Band Calculations 1516'!$A$108:$W$125,20,FALSE)</f>
        <v>163372.9691283569</v>
      </c>
      <c r="K17" s="245">
        <f>VLOOKUP(A17,'FSM Calculation 1516'!$A$4:$D$21,4,FALSE)</f>
        <v>12055.5</v>
      </c>
      <c r="L17" s="245">
        <v>669.84820537303062</v>
      </c>
      <c r="M17" s="245">
        <f>SUM(D17:L17)</f>
        <v>1400609.8215129373</v>
      </c>
      <c r="N17" s="245">
        <f>M17-F17</f>
        <v>1237363.8215129373</v>
      </c>
      <c r="O17" s="246">
        <f>VLOOKUP(A17,'Band Calculations 1516'!$A$108:$W$125,22,FALSE)</f>
        <v>62.000000000000007</v>
      </c>
      <c r="Q17" s="242">
        <f t="shared" si="4"/>
        <v>19957.480992144148</v>
      </c>
      <c r="R17" s="242">
        <f t="shared" si="5"/>
        <v>620000.00000000012</v>
      </c>
      <c r="S17" s="242">
        <f t="shared" si="6"/>
        <v>9957.4809921441483</v>
      </c>
      <c r="T17" s="248">
        <f>VLOOKUP(A17,'2014-15 Funding Detail'!$A$4:$AK$23,37,FALSE)</f>
        <v>10072.743977286613</v>
      </c>
      <c r="U17" s="245">
        <f t="shared" si="10"/>
        <v>10072.743977286613</v>
      </c>
      <c r="V17" s="245">
        <f t="shared" si="7"/>
        <v>20072.743977286613</v>
      </c>
      <c r="W17" s="245">
        <f>(U17-S17)*O17</f>
        <v>7146.3050788327973</v>
      </c>
      <c r="X17" s="68">
        <f>N17+W17</f>
        <v>1244510.1265917702</v>
      </c>
      <c r="Y17" s="245">
        <f t="shared" si="8"/>
        <v>1225842.4746928937</v>
      </c>
      <c r="Z17" s="245">
        <f t="shared" si="11"/>
        <v>19771.652817627317</v>
      </c>
      <c r="AA17" s="245">
        <f t="shared" si="9"/>
        <v>9771.6528176273168</v>
      </c>
      <c r="AB17" s="235"/>
      <c r="AC17" s="1440"/>
      <c r="AD17" s="1440"/>
      <c r="AE17" s="1440"/>
      <c r="AF17" s="1440"/>
      <c r="AG17" s="1440"/>
      <c r="AH17" s="1440"/>
      <c r="AI17" s="1440"/>
      <c r="AJ17" s="247"/>
    </row>
    <row r="18" spans="1:36" ht="13" x14ac:dyDescent="0.3">
      <c r="A18" s="244">
        <v>9257029</v>
      </c>
      <c r="B18" s="32" t="s">
        <v>149</v>
      </c>
      <c r="C18" s="238">
        <v>3</v>
      </c>
      <c r="D18" s="245">
        <f>'Funding Model'!$D$26</f>
        <v>280697.16623783787</v>
      </c>
      <c r="E18" s="245">
        <f>'Funding Model'!$E$26</f>
        <v>55663.058379368813</v>
      </c>
      <c r="F18" s="245">
        <v>230912</v>
      </c>
      <c r="G18" s="245"/>
      <c r="H18" s="245">
        <v>0</v>
      </c>
      <c r="I18" s="245">
        <f>VLOOKUP(A18,'Band Calculations 1516'!$A$108:$W$125,13,FALSE)</f>
        <v>643061.1350953232</v>
      </c>
      <c r="J18" s="245">
        <f>VLOOKUP(A18,'Band Calculations 1516'!$A$108:$W$125,20,FALSE)</f>
        <v>144927.63390418759</v>
      </c>
      <c r="K18" s="245">
        <f>VLOOKUP(A18,'FSM Calculation 1516'!$A$4:$D$21,4,FALSE)</f>
        <v>7144</v>
      </c>
      <c r="L18" s="245">
        <v>672.79653660865415</v>
      </c>
      <c r="M18" s="245">
        <f>SUM(D18:L18)</f>
        <v>1363077.790153326</v>
      </c>
      <c r="N18" s="245">
        <f>M18-F18</f>
        <v>1132165.790153326</v>
      </c>
      <c r="O18" s="246">
        <f>VLOOKUP(A18,'Band Calculations 1516'!$A$108:$W$125,22,FALSE)</f>
        <v>55</v>
      </c>
      <c r="Q18" s="242">
        <f t="shared" si="4"/>
        <v>20584.832548242292</v>
      </c>
      <c r="R18" s="242">
        <f t="shared" si="5"/>
        <v>550000</v>
      </c>
      <c r="S18" s="242">
        <f t="shared" si="6"/>
        <v>10584.832548242292</v>
      </c>
      <c r="T18" s="248">
        <f>VLOOKUP(A18,'2014-15 Funding Detail'!$A$4:$AK$23,37,FALSE)</f>
        <v>11864.378270806235</v>
      </c>
      <c r="U18" s="245">
        <f t="shared" si="10"/>
        <v>11864.378270806235</v>
      </c>
      <c r="V18" s="245">
        <f t="shared" si="7"/>
        <v>21864.378270806235</v>
      </c>
      <c r="W18" s="245">
        <f>(U18-S18)*O18</f>
        <v>70375.014741016916</v>
      </c>
      <c r="X18" s="68">
        <f>N18+W18</f>
        <v>1202540.804894343</v>
      </c>
      <c r="Y18" s="245">
        <f t="shared" si="8"/>
        <v>1184502.6928209278</v>
      </c>
      <c r="Z18" s="245">
        <f t="shared" si="11"/>
        <v>21536.412596744143</v>
      </c>
      <c r="AA18" s="245">
        <f t="shared" si="9"/>
        <v>11536.412596744143</v>
      </c>
      <c r="AB18" s="235"/>
      <c r="AC18" s="1440"/>
      <c r="AD18" s="1440"/>
      <c r="AE18" s="1440"/>
      <c r="AF18" s="1440"/>
      <c r="AG18" s="1440"/>
      <c r="AH18" s="1440"/>
      <c r="AI18" s="1440"/>
      <c r="AJ18" s="247"/>
    </row>
    <row r="19" spans="1:36" ht="13" x14ac:dyDescent="0.3">
      <c r="A19" s="244">
        <v>9257032</v>
      </c>
      <c r="B19" s="32" t="s">
        <v>150</v>
      </c>
      <c r="C19" s="238">
        <v>4</v>
      </c>
      <c r="D19" s="245">
        <f>'Funding Model'!$D$27</f>
        <v>360067.26321081078</v>
      </c>
      <c r="E19" s="245">
        <f>'Funding Model'!$E$27</f>
        <v>58044.118057617408</v>
      </c>
      <c r="F19" s="245">
        <v>204976</v>
      </c>
      <c r="G19" s="245"/>
      <c r="H19" s="245">
        <v>0</v>
      </c>
      <c r="I19" s="245">
        <f>VLOOKUP(A19,'Band Calculations 1516'!$A$108:$W$125,13,FALSE)</f>
        <v>701521.23828580719</v>
      </c>
      <c r="J19" s="245">
        <f>VLOOKUP(A19,'Band Calculations 1516'!$A$108:$W$125,20,FALSE)</f>
        <v>158102.87335002277</v>
      </c>
      <c r="K19" s="245">
        <f>VLOOKUP(A19,'FSM Calculation 1516'!$A$4:$D$21,4,FALSE)</f>
        <v>4911.5</v>
      </c>
      <c r="L19" s="245">
        <v>663.9515429017838</v>
      </c>
      <c r="M19" s="245">
        <f>SUM(D19:L19)</f>
        <v>1488286.94444716</v>
      </c>
      <c r="N19" s="245">
        <f>M19-F19</f>
        <v>1283310.94444716</v>
      </c>
      <c r="O19" s="246">
        <f>VLOOKUP(A19,'Band Calculations 1516'!$A$108:$W$125,22,FALSE)</f>
        <v>60</v>
      </c>
      <c r="Q19" s="242">
        <f t="shared" si="4"/>
        <v>21388.515740785999</v>
      </c>
      <c r="R19" s="242">
        <f t="shared" si="5"/>
        <v>600000</v>
      </c>
      <c r="S19" s="242">
        <f t="shared" si="6"/>
        <v>11388.515740785999</v>
      </c>
      <c r="T19" s="248">
        <f>VLOOKUP(A19,'2014-15 Funding Detail'!$A$4:$AK$23,37,FALSE)</f>
        <v>11437.423680790733</v>
      </c>
      <c r="U19" s="245">
        <f t="shared" si="10"/>
        <v>11437.423680790733</v>
      </c>
      <c r="V19" s="245">
        <f t="shared" si="7"/>
        <v>21437.423680790733</v>
      </c>
      <c r="W19" s="245">
        <f>(U19-S19)*O19</f>
        <v>2934.4764002840384</v>
      </c>
      <c r="X19" s="68">
        <f>N19+W19</f>
        <v>1286245.4208474441</v>
      </c>
      <c r="Y19" s="245">
        <f t="shared" si="8"/>
        <v>1266951.7395347324</v>
      </c>
      <c r="Z19" s="245">
        <f t="shared" si="11"/>
        <v>21115.862325578873</v>
      </c>
      <c r="AA19" s="245">
        <f t="shared" si="9"/>
        <v>11115.862325578873</v>
      </c>
      <c r="AB19" s="235"/>
      <c r="AC19" s="235"/>
      <c r="AD19" s="235"/>
      <c r="AE19" s="235"/>
      <c r="AF19" s="235"/>
      <c r="AG19" s="235"/>
      <c r="AH19" s="42"/>
      <c r="AI19" s="235"/>
      <c r="AJ19" s="247"/>
    </row>
    <row r="20" spans="1:36" ht="13" x14ac:dyDescent="0.3">
      <c r="A20" s="244">
        <v>9257030</v>
      </c>
      <c r="B20" s="32" t="s">
        <v>152</v>
      </c>
      <c r="C20" s="238">
        <v>4</v>
      </c>
      <c r="D20" s="245">
        <f>'Funding Model'!$D$27</f>
        <v>360067.26321081078</v>
      </c>
      <c r="E20" s="245">
        <f>'Funding Model'!$E$27</f>
        <v>58044.118057617408</v>
      </c>
      <c r="F20" s="245">
        <v>251686</v>
      </c>
      <c r="G20" s="245"/>
      <c r="H20" s="245">
        <v>0</v>
      </c>
      <c r="I20" s="302">
        <f>VLOOKUP(A20,'Band Calculations 1516'!$A$108:$W$125,13,FALSE)</f>
        <v>677162.86195643886</v>
      </c>
      <c r="J20" s="302">
        <f>VLOOKUP(A20,'Band Calculations 1516'!$A$108:$W$125,20,FALSE)</f>
        <v>152613.19024759144</v>
      </c>
      <c r="K20" s="245">
        <f>VLOOKUP(A20,'FSM Calculation 1516'!$A$4:$D$21,4,FALSE)</f>
        <v>12948.5</v>
      </c>
      <c r="L20" s="245">
        <v>652.15821795928991</v>
      </c>
      <c r="M20" s="245">
        <f>SUM(D20:L20)</f>
        <v>1513174.0916904178</v>
      </c>
      <c r="N20" s="245">
        <f>M20-F20</f>
        <v>1261488.0916904178</v>
      </c>
      <c r="O20" s="300">
        <f>VLOOKUP(A20,'Band Calculations 1516'!$A$108:$W$125,22,FALSE)</f>
        <v>57.916666666666671</v>
      </c>
      <c r="Q20" s="242">
        <f t="shared" si="4"/>
        <v>21781.089352928077</v>
      </c>
      <c r="R20" s="242">
        <f t="shared" si="5"/>
        <v>579166.66666666674</v>
      </c>
      <c r="S20" s="242">
        <f t="shared" si="6"/>
        <v>11781.089352928077</v>
      </c>
      <c r="T20" s="245">
        <f>VLOOKUP(A20,'2014-15 Funding Detail'!$A$4:$AK$23,37,FALSE)</f>
        <v>11747.784706520179</v>
      </c>
      <c r="U20" s="245">
        <f t="shared" si="10"/>
        <v>11781.089352928077</v>
      </c>
      <c r="V20" s="245">
        <f t="shared" si="7"/>
        <v>21781.089352928077</v>
      </c>
      <c r="W20" s="245">
        <f>(U20-S20)*O20</f>
        <v>0</v>
      </c>
      <c r="X20" s="68">
        <f>N20+W20</f>
        <v>1261488.0916904178</v>
      </c>
      <c r="Y20" s="245">
        <f t="shared" si="8"/>
        <v>1242565.7703150616</v>
      </c>
      <c r="Z20" s="245">
        <f t="shared" si="11"/>
        <v>21454.373012634154</v>
      </c>
      <c r="AA20" s="245">
        <f t="shared" si="9"/>
        <v>11454.373012634154</v>
      </c>
      <c r="AB20" s="235"/>
      <c r="AC20" s="235"/>
      <c r="AD20" s="235"/>
      <c r="AE20" s="235"/>
      <c r="AF20" s="235"/>
      <c r="AG20" s="235"/>
      <c r="AH20" s="42"/>
      <c r="AI20" s="235"/>
      <c r="AJ20" s="247"/>
    </row>
    <row r="21" spans="1:36" ht="13" x14ac:dyDescent="0.3">
      <c r="A21" s="244"/>
      <c r="B21" s="32"/>
      <c r="C21" s="238"/>
      <c r="D21" s="245"/>
      <c r="E21" s="245"/>
      <c r="F21" s="245"/>
      <c r="G21" s="245"/>
      <c r="H21" s="245"/>
      <c r="I21" s="245"/>
      <c r="J21" s="245"/>
      <c r="K21" s="245"/>
      <c r="L21" s="245"/>
      <c r="M21" s="245"/>
      <c r="N21" s="245"/>
      <c r="O21" s="246"/>
      <c r="Q21" s="242"/>
      <c r="R21" s="242"/>
      <c r="S21" s="242"/>
      <c r="T21" s="245"/>
      <c r="U21" s="245"/>
      <c r="V21" s="245"/>
      <c r="W21" s="245"/>
      <c r="X21" s="68"/>
      <c r="Y21" s="245"/>
      <c r="Z21" s="245"/>
      <c r="AA21" s="245"/>
      <c r="AB21" s="235"/>
      <c r="AC21" s="235"/>
      <c r="AD21" s="235"/>
      <c r="AE21" s="235"/>
      <c r="AF21" s="235"/>
      <c r="AG21" s="235"/>
      <c r="AH21" s="42"/>
      <c r="AI21" s="235"/>
      <c r="AJ21" s="247"/>
    </row>
    <row r="22" spans="1:36" ht="13" x14ac:dyDescent="0.3">
      <c r="A22" s="244">
        <v>9257033</v>
      </c>
      <c r="B22" s="237" t="s">
        <v>220</v>
      </c>
      <c r="C22" s="238">
        <v>3</v>
      </c>
      <c r="D22" s="245">
        <f>'Funding Model'!$D$22</f>
        <v>314686.51772419503</v>
      </c>
      <c r="E22" s="245">
        <f>'Funding Model'!$E$22</f>
        <v>69201.680689977453</v>
      </c>
      <c r="F22" s="245"/>
      <c r="G22" s="245"/>
      <c r="H22" s="245">
        <v>89430.297065122693</v>
      </c>
      <c r="I22" s="245">
        <f>VLOOKUP(A22,'Band Calculations 1516'!$A$108:$W$125,13,FALSE)</f>
        <v>447151.48532561347</v>
      </c>
      <c r="J22" s="245">
        <f>VLOOKUP(A22,'Band Calculations 1516'!$A$108:$W$125,20,FALSE)</f>
        <v>54617.356248189695</v>
      </c>
      <c r="K22" s="245">
        <f>VLOOKUP(A22,'FSM Calculation 1516'!$A$4:$D$21,4,FALSE)</f>
        <v>11609</v>
      </c>
      <c r="L22" s="245">
        <v>666.89987413740721</v>
      </c>
      <c r="M22" s="245">
        <f>SUM(D22:L22)</f>
        <v>987363.23692723573</v>
      </c>
      <c r="N22" s="245">
        <f>M22-F22</f>
        <v>987363.23692723573</v>
      </c>
      <c r="O22" s="246">
        <f>VLOOKUP(A22,'Band Calculations 1516'!$A$108:$W$125,22,FALSE)</f>
        <v>60</v>
      </c>
      <c r="Q22" s="242">
        <f t="shared" si="4"/>
        <v>16456.053948787263</v>
      </c>
      <c r="R22" s="242">
        <f t="shared" si="5"/>
        <v>600000</v>
      </c>
      <c r="S22" s="242">
        <f t="shared" si="6"/>
        <v>6456.0539487872629</v>
      </c>
      <c r="T22" s="245">
        <f>VLOOKUP(A22,'2014-15 Funding Detail'!$A$4:$AK$23,37,FALSE)</f>
        <v>6128.5908895554512</v>
      </c>
      <c r="U22" s="245">
        <f t="shared" si="10"/>
        <v>6456.0539487872629</v>
      </c>
      <c r="V22" s="245">
        <f t="shared" si="7"/>
        <v>16456.053948787263</v>
      </c>
      <c r="W22" s="245">
        <f>(U22-S22)*O22</f>
        <v>0</v>
      </c>
      <c r="X22" s="68">
        <f>N22+W22</f>
        <v>987363.23692723573</v>
      </c>
      <c r="Y22" s="245">
        <f t="shared" si="8"/>
        <v>972552.78837332723</v>
      </c>
      <c r="Z22" s="245">
        <f t="shared" si="11"/>
        <v>16209.213139555453</v>
      </c>
      <c r="AA22" s="245">
        <f t="shared" si="9"/>
        <v>6209.2131395554534</v>
      </c>
      <c r="AB22" s="235"/>
      <c r="AC22" s="235"/>
      <c r="AD22" s="235"/>
      <c r="AE22" s="235"/>
      <c r="AF22" s="235"/>
      <c r="AG22" s="235"/>
      <c r="AH22" s="42"/>
      <c r="AI22" s="235"/>
      <c r="AJ22" s="247"/>
    </row>
    <row r="23" spans="1:36" ht="13" x14ac:dyDescent="0.3">
      <c r="A23" s="244">
        <v>9257034</v>
      </c>
      <c r="B23" s="237" t="s">
        <v>221</v>
      </c>
      <c r="C23" s="238">
        <v>5</v>
      </c>
      <c r="D23" s="245">
        <f>'Funding Model'!D24</f>
        <v>418723.18610831723</v>
      </c>
      <c r="E23" s="245">
        <f>'Funding Model'!E24</f>
        <v>117027.3922528728</v>
      </c>
      <c r="F23" s="245"/>
      <c r="G23" s="245"/>
      <c r="H23" s="245">
        <v>0</v>
      </c>
      <c r="I23" s="245">
        <f>VLOOKUP(A23,'Band Calculations 1516'!$A$108:$W$125,13,FALSE)</f>
        <v>1034119.6229396348</v>
      </c>
      <c r="J23" s="245">
        <f>VLOOKUP(A23,'Band Calculations 1516'!$A$108:$W$125,20,FALSE)</f>
        <v>68511.245118343213</v>
      </c>
      <c r="K23" s="245">
        <f>VLOOKUP(A23,'FSM Calculation 1516'!$A$4:$D$21,4,FALSE)</f>
        <v>18306.5</v>
      </c>
      <c r="L23" s="245">
        <v>811.36810468295653</v>
      </c>
      <c r="M23" s="245">
        <f>SUM(D23:L23)</f>
        <v>1657499.3145238513</v>
      </c>
      <c r="N23" s="245">
        <f>M23-F23</f>
        <v>1657499.3145238513</v>
      </c>
      <c r="O23" s="246">
        <f>VLOOKUP(A23,'Band Calculations 1516'!$A$108:$W$125,22,FALSE)</f>
        <v>127</v>
      </c>
      <c r="Q23" s="242">
        <f t="shared" si="4"/>
        <v>13051.175704912215</v>
      </c>
      <c r="R23" s="242">
        <f t="shared" si="5"/>
        <v>1270000</v>
      </c>
      <c r="S23" s="242">
        <f t="shared" si="6"/>
        <v>3051.1757049122152</v>
      </c>
      <c r="T23" s="248">
        <f>VLOOKUP(A23,'2014-15 Funding Detail'!$A$4:$AK$23,37,FALSE)</f>
        <v>3118.1460761758553</v>
      </c>
      <c r="U23" s="245">
        <f t="shared" si="10"/>
        <v>3118.1460761758553</v>
      </c>
      <c r="V23" s="245">
        <f t="shared" si="7"/>
        <v>13118.146076175855</v>
      </c>
      <c r="W23" s="245">
        <f>(U23-S23)*O23</f>
        <v>8505.237150482295</v>
      </c>
      <c r="X23" s="68">
        <f>N23+W23</f>
        <v>1666004.5516743336</v>
      </c>
      <c r="Y23" s="245">
        <f t="shared" si="8"/>
        <v>1641014.4833992186</v>
      </c>
      <c r="Z23" s="245">
        <f t="shared" si="11"/>
        <v>12921.373885033217</v>
      </c>
      <c r="AA23" s="245">
        <f t="shared" si="9"/>
        <v>2921.3738850332174</v>
      </c>
      <c r="AB23" s="235"/>
      <c r="AC23" s="235"/>
      <c r="AD23" s="235"/>
      <c r="AE23" s="235"/>
      <c r="AF23" s="235"/>
      <c r="AG23" s="235"/>
      <c r="AH23" s="42"/>
      <c r="AI23" s="235"/>
      <c r="AJ23" s="247"/>
    </row>
    <row r="24" spans="1:36" x14ac:dyDescent="0.25">
      <c r="A24" s="249"/>
      <c r="C24" s="234"/>
      <c r="D24" s="235"/>
      <c r="E24" s="235"/>
      <c r="F24" s="235"/>
      <c r="G24" s="235"/>
      <c r="H24" s="235"/>
      <c r="I24" s="235"/>
      <c r="J24" s="235"/>
      <c r="K24" s="235"/>
      <c r="L24" s="235"/>
    </row>
    <row r="25" spans="1:36" ht="13.5" customHeight="1" thickBot="1" x14ac:dyDescent="0.3">
      <c r="A25" s="249"/>
      <c r="D25" s="250">
        <f t="shared" ref="D25:M25" si="12">SUM(D4:D23)</f>
        <v>6786869.0829512719</v>
      </c>
      <c r="E25" s="250">
        <f t="shared" si="12"/>
        <v>1506222.8593246257</v>
      </c>
      <c r="F25" s="250">
        <f t="shared" si="12"/>
        <v>850820</v>
      </c>
      <c r="G25" s="250">
        <f t="shared" si="12"/>
        <v>29207</v>
      </c>
      <c r="H25" s="250">
        <f t="shared" si="12"/>
        <v>433809.13836269296</v>
      </c>
      <c r="I25" s="250">
        <f t="shared" si="12"/>
        <v>14100634.57439534</v>
      </c>
      <c r="J25" s="250">
        <f t="shared" si="12"/>
        <v>1136452.9516791939</v>
      </c>
      <c r="K25" s="250">
        <f t="shared" si="12"/>
        <v>255844.5</v>
      </c>
      <c r="L25" s="250">
        <f t="shared" si="12"/>
        <v>13304.411809383275</v>
      </c>
      <c r="M25" s="250">
        <f t="shared" si="12"/>
        <v>25113164.518522505</v>
      </c>
      <c r="N25" s="250">
        <f>SUM(N4:N23)</f>
        <v>24233137.518522505</v>
      </c>
      <c r="O25" s="251">
        <f>SUM(O4:O23)</f>
        <v>1653.9166666666667</v>
      </c>
      <c r="R25" s="235"/>
      <c r="S25" s="249"/>
      <c r="W25" s="250">
        <f>SUM(W4:W23)</f>
        <v>486096.01138807379</v>
      </c>
      <c r="X25" s="250">
        <f>SUM(X4:X23)</f>
        <v>24719233.529910587</v>
      </c>
      <c r="AI25" s="235"/>
    </row>
    <row r="26" spans="1:36" x14ac:dyDescent="0.25">
      <c r="A26" s="249"/>
      <c r="N26" s="252"/>
      <c r="O26" s="301" t="s">
        <v>207</v>
      </c>
      <c r="P26" s="301"/>
      <c r="Q26" s="301" t="s">
        <v>207</v>
      </c>
      <c r="R26" s="301" t="s">
        <v>207</v>
      </c>
      <c r="S26" s="301" t="s">
        <v>207</v>
      </c>
      <c r="AI26" s="235"/>
    </row>
    <row r="27" spans="1:36" x14ac:dyDescent="0.25">
      <c r="B27" s="234"/>
      <c r="C27" s="234" t="s">
        <v>207</v>
      </c>
      <c r="D27" s="235" t="s">
        <v>207</v>
      </c>
      <c r="E27" s="235" t="s">
        <v>207</v>
      </c>
      <c r="F27" s="235" t="s">
        <v>207</v>
      </c>
      <c r="G27" s="235" t="s">
        <v>207</v>
      </c>
      <c r="H27" s="235" t="s">
        <v>207</v>
      </c>
      <c r="I27" s="235" t="s">
        <v>207</v>
      </c>
      <c r="J27" s="235" t="s">
        <v>207</v>
      </c>
      <c r="K27" s="235" t="s">
        <v>207</v>
      </c>
      <c r="L27" s="235" t="s">
        <v>207</v>
      </c>
      <c r="M27" s="235" t="s">
        <v>207</v>
      </c>
      <c r="N27" s="235" t="s">
        <v>207</v>
      </c>
      <c r="O27" s="253" t="s">
        <v>207</v>
      </c>
      <c r="Q27" s="235" t="s">
        <v>207</v>
      </c>
      <c r="R27" s="234" t="s">
        <v>207</v>
      </c>
      <c r="S27" s="234" t="s">
        <v>207</v>
      </c>
      <c r="T27" s="234" t="s">
        <v>207</v>
      </c>
      <c r="U27" s="234" t="s">
        <v>207</v>
      </c>
      <c r="V27" s="234" t="s">
        <v>207</v>
      </c>
      <c r="X27" s="234" t="s">
        <v>207</v>
      </c>
      <c r="AI27" s="235"/>
    </row>
    <row r="28" spans="1:36" x14ac:dyDescent="0.25">
      <c r="B28" s="234"/>
      <c r="O28" s="253"/>
      <c r="T28" s="234"/>
      <c r="AI28" s="235"/>
    </row>
    <row r="29" spans="1:36" x14ac:dyDescent="0.25">
      <c r="B29" s="234"/>
      <c r="D29" s="235"/>
      <c r="E29" s="235"/>
      <c r="F29" s="235"/>
      <c r="G29" s="235"/>
      <c r="H29" s="235"/>
      <c r="I29" s="235"/>
      <c r="J29" s="235"/>
      <c r="K29" s="235"/>
      <c r="L29" s="235"/>
      <c r="M29" s="235"/>
      <c r="N29" s="235"/>
      <c r="O29" s="253"/>
      <c r="P29" s="235">
        <f>P25-P27</f>
        <v>0</v>
      </c>
      <c r="W29" s="235">
        <v>561033.36475520977</v>
      </c>
      <c r="AI29" s="235"/>
    </row>
    <row r="30" spans="1:36" x14ac:dyDescent="0.25">
      <c r="A30" s="234"/>
      <c r="B30" s="234"/>
      <c r="O30" s="253"/>
    </row>
    <row r="31" spans="1:36" x14ac:dyDescent="0.25">
      <c r="B31" s="234"/>
      <c r="I31" s="234"/>
      <c r="J31" s="234"/>
      <c r="K31" s="234"/>
      <c r="L31" s="234"/>
      <c r="N31" s="234"/>
      <c r="V31" s="234" t="s">
        <v>223</v>
      </c>
      <c r="W31" s="235">
        <f>W25-W29</f>
        <v>-74937.353367135976</v>
      </c>
      <c r="AI31" s="234"/>
    </row>
    <row r="32" spans="1:36" x14ac:dyDescent="0.25">
      <c r="B32" s="234"/>
      <c r="I32" s="234"/>
      <c r="J32" s="234"/>
      <c r="K32" s="234"/>
      <c r="L32" s="234"/>
      <c r="N32" s="234"/>
    </row>
    <row r="33" spans="4:23" s="36" customFormat="1" x14ac:dyDescent="0.25">
      <c r="D33" s="1439"/>
      <c r="E33" s="1439"/>
      <c r="F33" s="234"/>
      <c r="G33" s="234"/>
      <c r="H33" s="234"/>
      <c r="I33" s="1488"/>
      <c r="J33" s="243"/>
      <c r="L33" s="234"/>
      <c r="M33" s="234"/>
      <c r="O33" s="234"/>
      <c r="Q33" s="235"/>
      <c r="R33" s="234"/>
      <c r="S33" s="234"/>
      <c r="V33" s="234"/>
      <c r="W33" s="234" t="s">
        <v>207</v>
      </c>
    </row>
    <row r="34" spans="4:23" s="36" customFormat="1" x14ac:dyDescent="0.25">
      <c r="D34" s="234"/>
      <c r="E34" s="234"/>
      <c r="F34" s="234"/>
      <c r="G34" s="234"/>
      <c r="H34" s="234"/>
      <c r="I34" s="1488"/>
      <c r="J34" s="243"/>
      <c r="M34" s="234"/>
      <c r="O34" s="234"/>
      <c r="Q34" s="235"/>
      <c r="R34" s="234"/>
      <c r="S34" s="234"/>
      <c r="V34" s="234"/>
      <c r="W34" s="234"/>
    </row>
  </sheetData>
  <mergeCells count="4">
    <mergeCell ref="Y2:AA2"/>
    <mergeCell ref="D33:E33"/>
    <mergeCell ref="I33:I34"/>
    <mergeCell ref="AC14:AI18"/>
  </mergeCell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FFC000"/>
  </sheetPr>
  <dimension ref="A1:AZ138"/>
  <sheetViews>
    <sheetView topLeftCell="A52" workbookViewId="0">
      <selection activeCell="L72" activeCellId="3" sqref="L6 L28 L50 L72"/>
    </sheetView>
  </sheetViews>
  <sheetFormatPr defaultColWidth="10.26953125" defaultRowHeight="12.5" x14ac:dyDescent="0.25"/>
  <cols>
    <col min="1" max="1" width="9.1796875" style="29" customWidth="1"/>
    <col min="2" max="2" width="28.1796875" style="29" customWidth="1"/>
    <col min="3" max="3" width="7.26953125" style="29" bestFit="1" customWidth="1"/>
    <col min="4" max="4" width="12.1796875" style="29" bestFit="1" customWidth="1"/>
    <col min="5" max="5" width="16.453125" style="29" customWidth="1"/>
    <col min="6" max="6" width="12.7265625" style="29" customWidth="1"/>
    <col min="7" max="7" width="14.54296875" style="29" customWidth="1"/>
    <col min="8" max="8" width="13.26953125" style="29" customWidth="1"/>
    <col min="9" max="9" width="13" style="30" customWidth="1"/>
    <col min="10" max="10" width="12.81640625" style="30" customWidth="1"/>
    <col min="11" max="11" width="12.26953125" style="29" customWidth="1"/>
    <col min="12" max="12" width="11.1796875" style="29" customWidth="1"/>
    <col min="13" max="13" width="13.26953125" style="29" customWidth="1"/>
    <col min="14" max="14" width="11.453125" style="29" customWidth="1"/>
    <col min="15" max="15" width="12.453125" style="29" bestFit="1" customWidth="1"/>
    <col min="16" max="16" width="11.54296875" style="29" customWidth="1"/>
    <col min="17" max="17" width="12.453125" style="140" customWidth="1"/>
    <col min="18" max="18" width="12.26953125" style="29" customWidth="1"/>
    <col min="19" max="20" width="11.26953125" style="29" customWidth="1"/>
    <col min="21" max="21" width="10.26953125" style="29" customWidth="1"/>
    <col min="22" max="22" width="11.1796875" style="29" bestFit="1" customWidth="1"/>
    <col min="23" max="23" width="11.1796875" style="29" customWidth="1"/>
    <col min="24" max="24" width="12.81640625" style="29" customWidth="1"/>
    <col min="25" max="25" width="11" style="29" customWidth="1"/>
    <col min="26" max="26" width="12.7265625" style="29" customWidth="1"/>
    <col min="27" max="27" width="13.1796875" style="29" customWidth="1"/>
    <col min="28" max="28" width="12.1796875" style="29" customWidth="1"/>
    <col min="29" max="29" width="11" style="29" customWidth="1"/>
    <col min="30" max="30" width="10.54296875" style="29" bestFit="1" customWidth="1"/>
    <col min="31" max="31" width="12.453125" style="29" customWidth="1"/>
    <col min="32" max="32" width="10.26953125" style="29" customWidth="1"/>
    <col min="33" max="33" width="28.54296875" style="29" bestFit="1" customWidth="1"/>
    <col min="34" max="34" width="11.1796875" style="29" customWidth="1"/>
    <col min="35" max="35" width="2" style="29" customWidth="1"/>
    <col min="36" max="36" width="10" style="29" customWidth="1"/>
    <col min="37" max="37" width="9.7265625" style="29" customWidth="1"/>
    <col min="38" max="38" width="10.54296875" style="29" bestFit="1" customWidth="1"/>
    <col min="39" max="39" width="10.26953125" style="29" customWidth="1"/>
    <col min="40" max="40" width="15" style="29" customWidth="1"/>
    <col min="41" max="41" width="14.1796875" style="29" customWidth="1"/>
    <col min="42" max="45" width="10.26953125" style="29"/>
    <col min="46" max="46" width="14.7265625" style="30" customWidth="1"/>
    <col min="47" max="47" width="13.26953125" style="30" customWidth="1"/>
    <col min="48" max="49" width="10.26953125" style="29"/>
    <col min="50" max="50" width="19" style="30" bestFit="1" customWidth="1"/>
    <col min="51" max="51" width="16.81640625" style="30" customWidth="1"/>
    <col min="52" max="52" width="10.26953125" style="30"/>
    <col min="53" max="16384" width="10.26953125" style="29"/>
  </cols>
  <sheetData>
    <row r="1" spans="1:52" x14ac:dyDescent="0.25">
      <c r="A1" s="94" t="s">
        <v>230</v>
      </c>
      <c r="B1" s="36"/>
      <c r="C1" s="36"/>
      <c r="D1" s="36"/>
      <c r="E1" s="36"/>
      <c r="F1" s="36"/>
      <c r="G1" s="36"/>
      <c r="H1" s="36"/>
      <c r="I1" s="234"/>
      <c r="J1" s="234"/>
      <c r="K1" s="36"/>
      <c r="L1" s="36"/>
      <c r="M1" s="36"/>
      <c r="N1" s="36"/>
      <c r="O1" s="36"/>
      <c r="P1" s="36"/>
      <c r="Q1" s="1023"/>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row>
    <row r="2" spans="1:52" ht="13" x14ac:dyDescent="0.3">
      <c r="A2" s="94"/>
      <c r="B2" s="36"/>
      <c r="C2" s="36"/>
      <c r="D2" s="36"/>
      <c r="E2" s="139" t="s">
        <v>1176</v>
      </c>
      <c r="F2" s="36"/>
      <c r="G2" s="36"/>
      <c r="H2" s="36"/>
      <c r="I2" s="234"/>
      <c r="J2" s="234"/>
      <c r="K2" s="36"/>
      <c r="L2" s="36"/>
      <c r="M2" s="36"/>
      <c r="N2" s="36"/>
      <c r="O2" s="36"/>
      <c r="P2" s="36"/>
      <c r="Q2" s="1023"/>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row>
    <row r="3" spans="1:52" ht="13" x14ac:dyDescent="0.3">
      <c r="A3" s="93" t="s">
        <v>1177</v>
      </c>
      <c r="B3" s="36"/>
      <c r="C3" s="36"/>
      <c r="D3" s="36"/>
      <c r="E3" s="36"/>
      <c r="F3" s="36"/>
      <c r="G3" s="36"/>
      <c r="H3" s="36"/>
      <c r="I3" s="234"/>
      <c r="J3" s="234"/>
      <c r="K3" s="94" t="s">
        <v>911</v>
      </c>
      <c r="L3" s="36"/>
      <c r="M3" s="36"/>
      <c r="N3" s="36"/>
      <c r="O3" s="36"/>
      <c r="P3" s="36"/>
      <c r="Q3" s="1023"/>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row>
    <row r="4" spans="1:52" x14ac:dyDescent="0.25">
      <c r="A4" s="36"/>
      <c r="B4" s="263"/>
      <c r="C4" s="263"/>
      <c r="D4" s="36"/>
      <c r="E4" s="36"/>
      <c r="F4" s="36"/>
      <c r="G4" s="36"/>
      <c r="H4" s="36"/>
      <c r="I4" s="234"/>
      <c r="J4" s="234"/>
      <c r="K4" s="36"/>
      <c r="L4" s="36"/>
      <c r="M4" s="36"/>
      <c r="N4" s="36"/>
      <c r="O4" s="36"/>
      <c r="P4" s="1023"/>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row>
    <row r="5" spans="1:52" ht="37.5" x14ac:dyDescent="0.25">
      <c r="A5" s="265" t="s">
        <v>182</v>
      </c>
      <c r="B5" s="237" t="s">
        <v>183</v>
      </c>
      <c r="C5" s="238" t="s">
        <v>184</v>
      </c>
      <c r="D5" s="234" t="s">
        <v>901</v>
      </c>
      <c r="E5" s="234" t="s">
        <v>902</v>
      </c>
      <c r="F5" s="234" t="s">
        <v>903</v>
      </c>
      <c r="G5" s="234" t="s">
        <v>904</v>
      </c>
      <c r="H5" s="234" t="s">
        <v>905</v>
      </c>
      <c r="I5" s="234" t="s">
        <v>906</v>
      </c>
      <c r="J5" s="234" t="s">
        <v>907</v>
      </c>
      <c r="K5" s="243" t="s">
        <v>246</v>
      </c>
      <c r="L5" s="243" t="s">
        <v>249</v>
      </c>
      <c r="M5" s="243" t="s">
        <v>250</v>
      </c>
      <c r="N5" s="243" t="s">
        <v>251</v>
      </c>
      <c r="O5" s="36"/>
      <c r="P5" s="449" t="s">
        <v>908</v>
      </c>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row>
    <row r="6" spans="1:52" x14ac:dyDescent="0.25">
      <c r="A6" s="244">
        <v>9257010</v>
      </c>
      <c r="B6" s="237" t="s">
        <v>205</v>
      </c>
      <c r="C6" s="365">
        <v>5</v>
      </c>
      <c r="D6" s="1024">
        <f>VLOOKUP(A6,'2122 Band Moderations'!$B$5:$S$22,6,(FALSE))</f>
        <v>1.5873015873015872E-2</v>
      </c>
      <c r="E6" s="1024">
        <f>VLOOKUP(A6,'2122 Band Moderations'!$B$5:$S$22,8,(FALSE))</f>
        <v>0.31746031746031744</v>
      </c>
      <c r="F6" s="1024">
        <f>VLOOKUP(A6,'2122 Band Moderations'!$B$5:$S$22,10,(FALSE))</f>
        <v>9.5238095238095233E-2</v>
      </c>
      <c r="G6" s="1024">
        <f>VLOOKUP(A6,'2122 Band Moderations'!$B$5:$S$22,12,(FALSE))</f>
        <v>0.17460317460317459</v>
      </c>
      <c r="H6" s="1024">
        <f>VLOOKUP(A6,'2122 Band Moderations'!$B$5:$S$22,14,(FALSE))</f>
        <v>6.3492063492063489E-2</v>
      </c>
      <c r="I6" s="1024">
        <f>VLOOKUP(A6,'2122 Band Moderations'!$B$5:$S$22,16,(FALSE))</f>
        <v>0.19047619047619047</v>
      </c>
      <c r="J6" s="1024">
        <f>VLOOKUP(A6,'2122 Band Moderations'!$B$5:$S$22,18,(FALSE))</f>
        <v>0.14285714285714285</v>
      </c>
      <c r="K6" s="451">
        <v>58</v>
      </c>
      <c r="L6" s="1025">
        <f>((((K6*D6)*$G$92)+((K6*E6)*$G$94)+((K6*F6)*$G$96)+((K6*G6)*$G$98)+((K6*H6)*$G$100)+((K6*I6)*$G$102)+((K6*J6)*$G$104))*(5/12))</f>
        <v>14701.796046859006</v>
      </c>
      <c r="M6" s="1025">
        <f>((K6*F6)*$G$106)*(5/12)</f>
        <v>0</v>
      </c>
      <c r="N6" s="1025">
        <f t="shared" ref="N6:N23" si="0">SUM(L6:M6)</f>
        <v>14701.796046859006</v>
      </c>
      <c r="O6" s="235"/>
      <c r="P6" s="235">
        <f t="shared" ref="P6:P23" si="1">(J6*K6*$G$104)*5/12</f>
        <v>0</v>
      </c>
      <c r="Q6" s="269"/>
      <c r="R6" s="295"/>
      <c r="S6" s="36"/>
      <c r="T6" s="36"/>
      <c r="U6" s="235"/>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row>
    <row r="7" spans="1:52" ht="12.75" customHeight="1" x14ac:dyDescent="0.25">
      <c r="A7" s="244">
        <v>9257005</v>
      </c>
      <c r="B7" s="237" t="s">
        <v>208</v>
      </c>
      <c r="C7" s="365">
        <v>4</v>
      </c>
      <c r="D7" s="1024">
        <f>VLOOKUP(A7,'2122 Band Moderations'!$B$5:$S$22,6,(FALSE))</f>
        <v>0.05</v>
      </c>
      <c r="E7" s="1024">
        <f>VLOOKUP(A7,'2122 Band Moderations'!$B$5:$S$22,8,(FALSE))</f>
        <v>0.4</v>
      </c>
      <c r="F7" s="1024">
        <f>VLOOKUP(A7,'2122 Band Moderations'!$B$5:$S$22,10,(FALSE))</f>
        <v>6.25E-2</v>
      </c>
      <c r="G7" s="1024">
        <f>VLOOKUP(A7,'2122 Band Moderations'!$B$5:$S$22,12,(FALSE))</f>
        <v>0.15</v>
      </c>
      <c r="H7" s="1024">
        <f>VLOOKUP(A7,'2122 Band Moderations'!$B$5:$S$22,14,(FALSE))</f>
        <v>0.125</v>
      </c>
      <c r="I7" s="1024">
        <f>VLOOKUP(A7,'2122 Band Moderations'!$B$5:$S$22,16,(FALSE))</f>
        <v>0.15</v>
      </c>
      <c r="J7" s="1024">
        <f>VLOOKUP(A7,'2122 Band Moderations'!$B$5:$S$22,18,(FALSE))</f>
        <v>6.25E-2</v>
      </c>
      <c r="K7" s="451">
        <v>53</v>
      </c>
      <c r="L7" s="1025">
        <f t="shared" ref="L7:L23" si="2">((((K7*D7)*$G$92)+((K7*E7)*$G$94)+((K7*F7)*$G$96)+((K7*G7)*$G$98)+((K7*H7)*$G$100)+((K7*I7)*$G$102)+((K7*J7)*$G$104))*(5/12))</f>
        <v>14168.853524538617</v>
      </c>
      <c r="M7" s="1025">
        <f t="shared" ref="M7:M23" si="3">((K7*F7)*$G$106)*(5/12)</f>
        <v>0</v>
      </c>
      <c r="N7" s="1025">
        <f t="shared" si="0"/>
        <v>14168.853524538617</v>
      </c>
      <c r="O7" s="235"/>
      <c r="P7" s="235">
        <f t="shared" si="1"/>
        <v>0</v>
      </c>
      <c r="Q7" s="233"/>
      <c r="R7" s="296"/>
      <c r="S7" s="36"/>
      <c r="T7" s="36"/>
      <c r="U7" s="235"/>
      <c r="V7" s="234"/>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row>
    <row r="8" spans="1:52" ht="12.75" customHeight="1" x14ac:dyDescent="0.25">
      <c r="A8" s="244">
        <v>9257025</v>
      </c>
      <c r="B8" s="237" t="s">
        <v>209</v>
      </c>
      <c r="C8" s="365">
        <v>4</v>
      </c>
      <c r="D8" s="1024">
        <f>VLOOKUP(A8,'2122 Band Moderations'!$B$5:$S$22,6,(FALSE))</f>
        <v>0.15584415584415584</v>
      </c>
      <c r="E8" s="1024">
        <f>VLOOKUP(A8,'2122 Band Moderations'!$B$5:$S$22,8,(FALSE))</f>
        <v>0.40259740259740262</v>
      </c>
      <c r="F8" s="1024">
        <f>VLOOKUP(A8,'2122 Band Moderations'!$B$5:$S$22,10,(FALSE))</f>
        <v>3.896103896103896E-2</v>
      </c>
      <c r="G8" s="1024">
        <f>VLOOKUP(A8,'2122 Band Moderations'!$B$5:$S$22,12,(FALSE))</f>
        <v>0.15584415584415584</v>
      </c>
      <c r="H8" s="1024">
        <f>VLOOKUP(A8,'2122 Band Moderations'!$B$5:$S$22,14,(FALSE))</f>
        <v>5.1948051948051951E-2</v>
      </c>
      <c r="I8" s="1024">
        <f>VLOOKUP(A8,'2122 Band Moderations'!$B$5:$S$22,16,(FALSE))</f>
        <v>0.14285714285714285</v>
      </c>
      <c r="J8" s="1024">
        <f>VLOOKUP(A8,'2122 Band Moderations'!$B$5:$S$22,18,(FALSE))</f>
        <v>5.1948051948051951E-2</v>
      </c>
      <c r="K8" s="451">
        <v>56</v>
      </c>
      <c r="L8" s="1025">
        <f t="shared" si="2"/>
        <v>14580.165831767667</v>
      </c>
      <c r="M8" s="1025">
        <f t="shared" si="3"/>
        <v>0</v>
      </c>
      <c r="N8" s="1025">
        <f t="shared" si="0"/>
        <v>14580.165831767667</v>
      </c>
      <c r="O8" s="235"/>
      <c r="P8" s="235">
        <f t="shared" si="1"/>
        <v>0</v>
      </c>
      <c r="Q8" s="233"/>
      <c r="R8" s="380"/>
      <c r="S8" s="380"/>
      <c r="T8" s="380"/>
      <c r="U8" s="380"/>
      <c r="V8" s="380"/>
      <c r="W8" s="380"/>
      <c r="X8" s="380"/>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row>
    <row r="9" spans="1:52" x14ac:dyDescent="0.25">
      <c r="A9" s="244">
        <v>9257011</v>
      </c>
      <c r="B9" s="237" t="s">
        <v>210</v>
      </c>
      <c r="C9" s="365" t="s">
        <v>1251</v>
      </c>
      <c r="D9" s="1024">
        <f>VLOOKUP(A9,'2122 Band Moderations'!$B$5:$S$22,6,(FALSE))</f>
        <v>5.6603773584905662E-2</v>
      </c>
      <c r="E9" s="1024">
        <f>VLOOKUP(A9,'2122 Band Moderations'!$B$5:$S$22,8,(FALSE))</f>
        <v>0.35849056603773582</v>
      </c>
      <c r="F9" s="1024">
        <f>VLOOKUP(A9,'2122 Band Moderations'!$B$5:$S$22,10,(FALSE))</f>
        <v>1.8867924528301886E-2</v>
      </c>
      <c r="G9" s="1024">
        <f>VLOOKUP(A9,'2122 Band Moderations'!$B$5:$S$22,12,(FALSE))</f>
        <v>0.16981132075471697</v>
      </c>
      <c r="H9" s="1024">
        <f>VLOOKUP(A9,'2122 Band Moderations'!$B$5:$S$22,14,(FALSE))</f>
        <v>0.13207547169811321</v>
      </c>
      <c r="I9" s="1024">
        <f>VLOOKUP(A9,'2122 Band Moderations'!$B$5:$S$22,16,(FALSE))</f>
        <v>0.15094339622641509</v>
      </c>
      <c r="J9" s="1024">
        <f>VLOOKUP(A9,'2122 Band Moderations'!$B$5:$S$22,18,(FALSE))</f>
        <v>0.11320754716981132</v>
      </c>
      <c r="K9" s="451">
        <v>50</v>
      </c>
      <c r="L9" s="1025">
        <f t="shared" si="2"/>
        <v>12825.584153727717</v>
      </c>
      <c r="M9" s="1025">
        <f t="shared" si="3"/>
        <v>0</v>
      </c>
      <c r="N9" s="1025">
        <f t="shared" si="0"/>
        <v>12825.584153727717</v>
      </c>
      <c r="O9" s="235"/>
      <c r="P9" s="235">
        <f t="shared" si="1"/>
        <v>0</v>
      </c>
      <c r="Q9" s="233"/>
      <c r="R9" s="380"/>
      <c r="S9" s="380"/>
      <c r="T9" s="380"/>
      <c r="U9" s="380"/>
      <c r="V9" s="380"/>
      <c r="W9" s="380"/>
      <c r="X9" s="380"/>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row>
    <row r="10" spans="1:52" x14ac:dyDescent="0.25">
      <c r="A10" s="244">
        <v>9257024</v>
      </c>
      <c r="B10" s="237" t="s">
        <v>211</v>
      </c>
      <c r="C10" s="365">
        <v>4</v>
      </c>
      <c r="D10" s="1024">
        <f>VLOOKUP(A10,'2122 Band Moderations'!$B$5:$S$22,6,(FALSE))</f>
        <v>8.4337349397590355E-2</v>
      </c>
      <c r="E10" s="1024">
        <f>VLOOKUP(A10,'2122 Band Moderations'!$B$5:$S$22,8,(FALSE))</f>
        <v>0.45783132530120479</v>
      </c>
      <c r="F10" s="1024">
        <f>VLOOKUP(A10,'2122 Band Moderations'!$B$5:$S$22,10,(FALSE))</f>
        <v>1.2048192771084338E-2</v>
      </c>
      <c r="G10" s="1024">
        <f>VLOOKUP(A10,'2122 Band Moderations'!$B$5:$S$22,12,(FALSE))</f>
        <v>0.18072289156626506</v>
      </c>
      <c r="H10" s="1024">
        <f>VLOOKUP(A10,'2122 Band Moderations'!$B$5:$S$22,14,(FALSE))</f>
        <v>8.4337349397590355E-2</v>
      </c>
      <c r="I10" s="1024">
        <f>VLOOKUP(A10,'2122 Band Moderations'!$B$5:$S$22,16,(FALSE))</f>
        <v>7.2289156626506021E-2</v>
      </c>
      <c r="J10" s="1024">
        <f>VLOOKUP(A10,'2122 Band Moderations'!$B$5:$S$22,18,(FALSE))</f>
        <v>0.10843373493975904</v>
      </c>
      <c r="K10" s="451">
        <v>70</v>
      </c>
      <c r="L10" s="1025">
        <f t="shared" si="2"/>
        <v>16907.722425393229</v>
      </c>
      <c r="M10" s="1025">
        <f t="shared" si="3"/>
        <v>0</v>
      </c>
      <c r="N10" s="1025">
        <f t="shared" si="0"/>
        <v>16907.722425393229</v>
      </c>
      <c r="O10" s="235"/>
      <c r="P10" s="235">
        <f t="shared" si="1"/>
        <v>0</v>
      </c>
      <c r="Q10" s="233"/>
      <c r="R10" s="380"/>
      <c r="S10" s="380"/>
      <c r="T10" s="380"/>
      <c r="U10" s="380"/>
      <c r="V10" s="380"/>
      <c r="W10" s="380"/>
      <c r="X10" s="380"/>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row>
    <row r="11" spans="1:52" ht="12.75" customHeight="1" x14ac:dyDescent="0.25">
      <c r="A11" s="244">
        <v>9257031</v>
      </c>
      <c r="B11" s="237" t="s">
        <v>257</v>
      </c>
      <c r="C11" s="365">
        <v>5</v>
      </c>
      <c r="D11" s="1024">
        <f>VLOOKUP(A11,'2122 Band Moderations'!$B$5:$S$22,6,(FALSE))</f>
        <v>0</v>
      </c>
      <c r="E11" s="1024">
        <f>VLOOKUP(A11,'2122 Band Moderations'!$B$5:$S$22,8,(FALSE))</f>
        <v>0</v>
      </c>
      <c r="F11" s="1024">
        <f>VLOOKUP(A11,'2122 Band Moderations'!$B$5:$S$22,10,(FALSE))</f>
        <v>1</v>
      </c>
      <c r="G11" s="1024">
        <f>VLOOKUP(A11,'2122 Band Moderations'!$B$5:$S$22,12,(FALSE))</f>
        <v>0</v>
      </c>
      <c r="H11" s="1024">
        <f>VLOOKUP(A11,'2122 Band Moderations'!$B$5:$S$22,14,(FALSE))</f>
        <v>0</v>
      </c>
      <c r="I11" s="1024">
        <f>VLOOKUP(A11,'2122 Band Moderations'!$B$5:$S$22,16,(FALSE))</f>
        <v>0</v>
      </c>
      <c r="J11" s="1024">
        <f>VLOOKUP(A11,'2122 Band Moderations'!$B$5:$S$22,18,(FALSE))</f>
        <v>0</v>
      </c>
      <c r="K11" s="451">
        <v>80</v>
      </c>
      <c r="L11" s="1025">
        <f t="shared" si="2"/>
        <v>19479.573783333308</v>
      </c>
      <c r="M11" s="1025">
        <f t="shared" si="3"/>
        <v>0</v>
      </c>
      <c r="N11" s="1025">
        <f t="shared" si="0"/>
        <v>19479.573783333308</v>
      </c>
      <c r="O11" s="235"/>
      <c r="P11" s="235">
        <f t="shared" si="1"/>
        <v>0</v>
      </c>
      <c r="Q11" s="233"/>
      <c r="R11" s="380"/>
      <c r="S11" s="380"/>
      <c r="T11" s="380"/>
      <c r="U11" s="380"/>
      <c r="V11" s="380"/>
      <c r="W11" s="380"/>
      <c r="X11" s="380"/>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row>
    <row r="12" spans="1:52" x14ac:dyDescent="0.25">
      <c r="A12" s="244">
        <v>9257033</v>
      </c>
      <c r="B12" s="237" t="s">
        <v>220</v>
      </c>
      <c r="C12" s="365" t="s">
        <v>1178</v>
      </c>
      <c r="D12" s="1024">
        <f>VLOOKUP(A12,'2122 Band Moderations'!$B$5:$S$22,6,(FALSE))</f>
        <v>0.16842105263157894</v>
      </c>
      <c r="E12" s="1024">
        <f>VLOOKUP(A12,'2122 Band Moderations'!$B$5:$S$22,8,(FALSE))</f>
        <v>0.5368421052631579</v>
      </c>
      <c r="F12" s="1024">
        <f>VLOOKUP(A12,'2122 Band Moderations'!$B$5:$S$22,10,(FALSE))</f>
        <v>6.3157894736842107E-2</v>
      </c>
      <c r="G12" s="1024">
        <f>VLOOKUP(A12,'2122 Band Moderations'!$B$5:$S$22,12,(FALSE))</f>
        <v>0.14736842105263157</v>
      </c>
      <c r="H12" s="1024">
        <f>VLOOKUP(A12,'2122 Band Moderations'!$B$5:$S$22,14,(FALSE))</f>
        <v>4.2105263157894736E-2</v>
      </c>
      <c r="I12" s="1024">
        <f>VLOOKUP(A12,'2122 Band Moderations'!$B$5:$S$22,16,(FALSE))</f>
        <v>4.2105263157894736E-2</v>
      </c>
      <c r="J12" s="1024">
        <f>VLOOKUP(A12,'2122 Band Moderations'!$B$5:$S$22,18,(FALSE))</f>
        <v>0</v>
      </c>
      <c r="K12" s="451">
        <v>99</v>
      </c>
      <c r="L12" s="1025">
        <f t="shared" si="2"/>
        <v>25247.834414832214</v>
      </c>
      <c r="M12" s="1025">
        <f t="shared" si="3"/>
        <v>0</v>
      </c>
      <c r="N12" s="1025">
        <f t="shared" si="0"/>
        <v>25247.834414832214</v>
      </c>
      <c r="O12" s="235"/>
      <c r="P12" s="235">
        <f t="shared" si="1"/>
        <v>0</v>
      </c>
      <c r="Q12" s="233"/>
      <c r="R12" s="380"/>
      <c r="S12" s="380"/>
      <c r="T12" s="380"/>
      <c r="U12" s="380"/>
      <c r="V12" s="380"/>
      <c r="W12" s="380"/>
      <c r="X12" s="380"/>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row>
    <row r="13" spans="1:52" x14ac:dyDescent="0.25">
      <c r="A13" s="244">
        <v>9257008</v>
      </c>
      <c r="B13" s="237" t="s">
        <v>212</v>
      </c>
      <c r="C13" s="365">
        <v>4</v>
      </c>
      <c r="D13" s="1024">
        <f>VLOOKUP(A13,'2122 Band Moderations'!$B$5:$S$22,6,(FALSE))</f>
        <v>0.10101010101010101</v>
      </c>
      <c r="E13" s="1024">
        <f>VLOOKUP(A13,'2122 Band Moderations'!$B$5:$S$22,8,(FALSE))</f>
        <v>0.58585858585858586</v>
      </c>
      <c r="F13" s="1024">
        <f>VLOOKUP(A13,'2122 Band Moderations'!$B$5:$S$22,10,(FALSE))</f>
        <v>8.0808080808080815E-2</v>
      </c>
      <c r="G13" s="1024">
        <f>VLOOKUP(A13,'2122 Band Moderations'!$B$5:$S$22,12,(FALSE))</f>
        <v>9.0909090909090912E-2</v>
      </c>
      <c r="H13" s="1024">
        <f>VLOOKUP(A13,'2122 Band Moderations'!$B$5:$S$22,14,(FALSE))</f>
        <v>1.0101010101010102E-2</v>
      </c>
      <c r="I13" s="1024">
        <f>VLOOKUP(A13,'2122 Band Moderations'!$B$5:$S$22,16,(FALSE))</f>
        <v>0.12121212121212122</v>
      </c>
      <c r="J13" s="1024">
        <f>VLOOKUP(A13,'2122 Band Moderations'!$B$5:$S$22,18,(FALSE))</f>
        <v>1.0101010101010102E-2</v>
      </c>
      <c r="K13" s="451">
        <v>98</v>
      </c>
      <c r="L13" s="1025">
        <f t="shared" si="2"/>
        <v>25750.586404070542</v>
      </c>
      <c r="M13" s="1025">
        <f t="shared" si="3"/>
        <v>0</v>
      </c>
      <c r="N13" s="1025">
        <f t="shared" si="0"/>
        <v>25750.586404070542</v>
      </c>
      <c r="O13" s="235"/>
      <c r="P13" s="235">
        <f t="shared" si="1"/>
        <v>0</v>
      </c>
      <c r="Q13" s="233"/>
      <c r="R13" s="380"/>
      <c r="S13" s="380"/>
      <c r="T13" s="380"/>
      <c r="U13" s="380"/>
      <c r="V13" s="380"/>
      <c r="W13" s="380"/>
      <c r="X13" s="380"/>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row>
    <row r="14" spans="1:52" x14ac:dyDescent="0.25">
      <c r="A14" s="244">
        <v>9257034</v>
      </c>
      <c r="B14" s="237" t="s">
        <v>221</v>
      </c>
      <c r="C14" s="365" t="s">
        <v>1178</v>
      </c>
      <c r="D14" s="1024">
        <f>VLOOKUP(A14,'2122 Band Moderations'!$B$5:$S$22,6,(FALSE))</f>
        <v>0.42424242424242425</v>
      </c>
      <c r="E14" s="1024">
        <f>VLOOKUP(A14,'2122 Band Moderations'!$B$5:$S$22,8,(FALSE))</f>
        <v>0.29292929292929293</v>
      </c>
      <c r="F14" s="1024">
        <f>VLOOKUP(A14,'2122 Band Moderations'!$B$5:$S$22,10,(FALSE))</f>
        <v>0.14141414141414141</v>
      </c>
      <c r="G14" s="1024">
        <f>VLOOKUP(A14,'2122 Band Moderations'!$B$5:$S$22,12,(FALSE))</f>
        <v>3.0303030303030304E-2</v>
      </c>
      <c r="H14" s="1024">
        <f>VLOOKUP(A14,'2122 Band Moderations'!$B$5:$S$22,14,(FALSE))</f>
        <v>4.0404040404040407E-2</v>
      </c>
      <c r="I14" s="1024">
        <f>VLOOKUP(A14,'2122 Band Moderations'!$B$5:$S$22,16,(FALSE))</f>
        <v>6.0606060606060608E-2</v>
      </c>
      <c r="J14" s="1024">
        <f>VLOOKUP(A14,'2122 Band Moderations'!$B$5:$S$22,18,(FALSE))</f>
        <v>1.0101010101010102E-2</v>
      </c>
      <c r="K14" s="451">
        <v>94</v>
      </c>
      <c r="L14" s="1025">
        <f t="shared" si="2"/>
        <v>22368.306031884455</v>
      </c>
      <c r="M14" s="1025">
        <f t="shared" si="3"/>
        <v>0</v>
      </c>
      <c r="N14" s="1025">
        <f t="shared" si="0"/>
        <v>22368.306031884455</v>
      </c>
      <c r="O14" s="235"/>
      <c r="P14" s="235">
        <f t="shared" si="1"/>
        <v>0</v>
      </c>
      <c r="Q14" s="233"/>
      <c r="R14" s="380"/>
      <c r="S14" s="380"/>
      <c r="T14" s="380"/>
      <c r="U14" s="380"/>
      <c r="V14" s="380"/>
      <c r="W14" s="380"/>
      <c r="X14" s="380"/>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row>
    <row r="15" spans="1:52" x14ac:dyDescent="0.25">
      <c r="A15" s="244">
        <v>9257002</v>
      </c>
      <c r="B15" s="237" t="s">
        <v>213</v>
      </c>
      <c r="C15" s="365">
        <v>5</v>
      </c>
      <c r="D15" s="1024">
        <f>VLOOKUP(A15,'2122 Band Moderations'!$B$5:$S$22,6,(FALSE))</f>
        <v>0.3546099290780142</v>
      </c>
      <c r="E15" s="1024">
        <f>VLOOKUP(A15,'2122 Band Moderations'!$B$5:$S$22,8,(FALSE))</f>
        <v>0.38297872340425532</v>
      </c>
      <c r="F15" s="1024">
        <f>VLOOKUP(A15,'2122 Band Moderations'!$B$5:$S$22,10,(FALSE))</f>
        <v>0.1276595744680851</v>
      </c>
      <c r="G15" s="1024">
        <f>VLOOKUP(A15,'2122 Band Moderations'!$B$5:$S$22,12,(FALSE))</f>
        <v>2.8368794326241134E-2</v>
      </c>
      <c r="H15" s="1024">
        <f>VLOOKUP(A15,'2122 Band Moderations'!$B$5:$S$22,14,(FALSE))</f>
        <v>2.1276595744680851E-2</v>
      </c>
      <c r="I15" s="1024">
        <f>VLOOKUP(A15,'2122 Band Moderations'!$B$5:$S$22,16,(FALSE))</f>
        <v>7.8014184397163122E-2</v>
      </c>
      <c r="J15" s="1024">
        <f>VLOOKUP(A15,'2122 Band Moderations'!$B$5:$S$22,18,(FALSE))</f>
        <v>7.0921985815602835E-3</v>
      </c>
      <c r="K15" s="451">
        <v>150</v>
      </c>
      <c r="L15" s="1025">
        <f t="shared" si="2"/>
        <v>36459.441622395811</v>
      </c>
      <c r="M15" s="1025">
        <f t="shared" si="3"/>
        <v>0</v>
      </c>
      <c r="N15" s="1025">
        <f t="shared" si="0"/>
        <v>36459.441622395811</v>
      </c>
      <c r="O15" s="235"/>
      <c r="P15" s="235">
        <f t="shared" si="1"/>
        <v>0</v>
      </c>
      <c r="Q15" s="233"/>
      <c r="R15" s="380"/>
      <c r="S15" s="380"/>
      <c r="T15" s="380"/>
      <c r="U15" s="380"/>
      <c r="V15" s="380"/>
      <c r="W15" s="380"/>
      <c r="X15" s="380"/>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row>
    <row r="16" spans="1:52" x14ac:dyDescent="0.25">
      <c r="A16" s="244">
        <v>9257009</v>
      </c>
      <c r="B16" s="237" t="s">
        <v>214</v>
      </c>
      <c r="C16" s="365" t="s">
        <v>1178</v>
      </c>
      <c r="D16" s="1024">
        <f>VLOOKUP(A16,'2122 Band Moderations'!$B$5:$S$22,6,(FALSE))</f>
        <v>0.23200000000000001</v>
      </c>
      <c r="E16" s="1024">
        <f>VLOOKUP(A16,'2122 Band Moderations'!$B$5:$S$22,8,(FALSE))</f>
        <v>0.57599999999999996</v>
      </c>
      <c r="F16" s="1024">
        <f>VLOOKUP(A16,'2122 Band Moderations'!$B$5:$S$22,10,(FALSE))</f>
        <v>0.08</v>
      </c>
      <c r="G16" s="1024">
        <f>VLOOKUP(A16,'2122 Band Moderations'!$B$5:$S$22,12,(FALSE))</f>
        <v>2.4E-2</v>
      </c>
      <c r="H16" s="1024">
        <f>VLOOKUP(A16,'2122 Band Moderations'!$B$5:$S$22,14,(FALSE))</f>
        <v>8.0000000000000002E-3</v>
      </c>
      <c r="I16" s="1024">
        <f>VLOOKUP(A16,'2122 Band Moderations'!$B$5:$S$22,16,(FALSE))</f>
        <v>0.08</v>
      </c>
      <c r="J16" s="1024">
        <f>VLOOKUP(A16,'2122 Band Moderations'!$B$5:$S$22,18,(FALSE))</f>
        <v>0</v>
      </c>
      <c r="K16" s="451">
        <v>136</v>
      </c>
      <c r="L16" s="1025">
        <f t="shared" si="2"/>
        <v>33865.888341451086</v>
      </c>
      <c r="M16" s="1025">
        <f t="shared" si="3"/>
        <v>0</v>
      </c>
      <c r="N16" s="1025">
        <f t="shared" si="0"/>
        <v>33865.888341451086</v>
      </c>
      <c r="O16" s="235"/>
      <c r="P16" s="235">
        <f t="shared" si="1"/>
        <v>0</v>
      </c>
      <c r="Q16" s="233"/>
      <c r="R16" s="380"/>
      <c r="S16" s="380"/>
      <c r="T16" s="380"/>
      <c r="U16" s="380"/>
      <c r="V16" s="380"/>
      <c r="W16" s="380"/>
      <c r="X16" s="380"/>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row>
    <row r="17" spans="1:52" x14ac:dyDescent="0.25">
      <c r="A17" s="244">
        <v>9257029</v>
      </c>
      <c r="B17" s="237" t="s">
        <v>890</v>
      </c>
      <c r="C17" s="365" t="s">
        <v>1179</v>
      </c>
      <c r="D17" s="1024">
        <f>VLOOKUP(A17,'2122 Band Moderations'!$B$5:$S$22,6,(FALSE))</f>
        <v>0</v>
      </c>
      <c r="E17" s="1024">
        <f>VLOOKUP(A17,'2122 Band Moderations'!$B$5:$S$22,8,(FALSE))</f>
        <v>0</v>
      </c>
      <c r="F17" s="1024">
        <f>VLOOKUP(A17,'2122 Band Moderations'!$B$5:$S$22,10,(FALSE))</f>
        <v>1</v>
      </c>
      <c r="G17" s="1024">
        <f>VLOOKUP(A17,'2122 Band Moderations'!$B$5:$S$22,12,(FALSE))</f>
        <v>0</v>
      </c>
      <c r="H17" s="1024">
        <f>VLOOKUP(A17,'2122 Band Moderations'!$B$5:$S$22,14,(FALSE))</f>
        <v>0</v>
      </c>
      <c r="I17" s="1024">
        <f>VLOOKUP(A17,'2122 Band Moderations'!$B$5:$S$22,16,(FALSE))</f>
        <v>0</v>
      </c>
      <c r="J17" s="1024">
        <f>VLOOKUP(A17,'2122 Band Moderations'!$B$5:$S$22,18,(FALSE))</f>
        <v>0</v>
      </c>
      <c r="K17" s="451">
        <v>70</v>
      </c>
      <c r="L17" s="1025">
        <f t="shared" si="2"/>
        <v>17044.627060416646</v>
      </c>
      <c r="M17" s="1025">
        <f t="shared" si="3"/>
        <v>0</v>
      </c>
      <c r="N17" s="1025">
        <f t="shared" si="0"/>
        <v>17044.627060416646</v>
      </c>
      <c r="O17" s="235"/>
      <c r="P17" s="235">
        <f t="shared" si="1"/>
        <v>0</v>
      </c>
      <c r="Q17" s="233"/>
      <c r="R17" s="296"/>
      <c r="S17" s="36"/>
      <c r="T17" s="36"/>
      <c r="U17" s="235"/>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row>
    <row r="18" spans="1:52" x14ac:dyDescent="0.25">
      <c r="A18" s="244">
        <v>9257032</v>
      </c>
      <c r="B18" s="237" t="s">
        <v>1043</v>
      </c>
      <c r="C18" s="365" t="s">
        <v>1179</v>
      </c>
      <c r="D18" s="1024">
        <f>VLOOKUP(A18,'2122 Band Moderations'!$B$5:$S$22,6,(FALSE))</f>
        <v>0</v>
      </c>
      <c r="E18" s="1024">
        <f>VLOOKUP(A18,'2122 Band Moderations'!$B$5:$S$22,8,(FALSE))</f>
        <v>0</v>
      </c>
      <c r="F18" s="1024">
        <f>VLOOKUP(A18,'2122 Band Moderations'!$B$5:$S$22,10,(FALSE))</f>
        <v>1</v>
      </c>
      <c r="G18" s="1024">
        <f>VLOOKUP(A18,'2122 Band Moderations'!$B$5:$S$22,12,(FALSE))</f>
        <v>0</v>
      </c>
      <c r="H18" s="1024">
        <f>VLOOKUP(A18,'2122 Band Moderations'!$B$5:$S$22,14,(FALSE))</f>
        <v>0</v>
      </c>
      <c r="I18" s="1024">
        <f>VLOOKUP(A18,'2122 Band Moderations'!$B$5:$S$22,16,(FALSE))</f>
        <v>0</v>
      </c>
      <c r="J18" s="1024">
        <f>VLOOKUP(A18,'2122 Band Moderations'!$B$5:$S$22,18,(FALSE))</f>
        <v>0</v>
      </c>
      <c r="K18" s="451">
        <v>82</v>
      </c>
      <c r="L18" s="1025">
        <f t="shared" si="2"/>
        <v>19966.563127916641</v>
      </c>
      <c r="M18" s="1025">
        <f t="shared" si="3"/>
        <v>0</v>
      </c>
      <c r="N18" s="1025">
        <f t="shared" si="0"/>
        <v>19966.563127916641</v>
      </c>
      <c r="O18" s="235"/>
      <c r="P18" s="235">
        <f t="shared" si="1"/>
        <v>0</v>
      </c>
      <c r="Q18" s="269"/>
      <c r="R18" s="36"/>
      <c r="S18" s="36"/>
      <c r="T18" s="36"/>
      <c r="U18" s="235"/>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row>
    <row r="19" spans="1:52" x14ac:dyDescent="0.25">
      <c r="A19" s="244">
        <v>9257030</v>
      </c>
      <c r="B19" s="237" t="s">
        <v>1046</v>
      </c>
      <c r="C19" s="365" t="s">
        <v>1179</v>
      </c>
      <c r="D19" s="1024">
        <f>VLOOKUP(A19,'2122 Band Moderations'!$B$5:$S$22,6,(FALSE))</f>
        <v>0</v>
      </c>
      <c r="E19" s="1024">
        <f>VLOOKUP(A19,'2122 Band Moderations'!$B$5:$S$22,8,(FALSE))</f>
        <v>0</v>
      </c>
      <c r="F19" s="1024">
        <f>VLOOKUP(A19,'2122 Band Moderations'!$B$5:$S$22,10,(FALSE))</f>
        <v>1</v>
      </c>
      <c r="G19" s="1024">
        <f>VLOOKUP(A19,'2122 Band Moderations'!$B$5:$S$22,12,(FALSE))</f>
        <v>0</v>
      </c>
      <c r="H19" s="1024">
        <f>VLOOKUP(A19,'2122 Band Moderations'!$B$5:$S$22,14,(FALSE))</f>
        <v>0</v>
      </c>
      <c r="I19" s="1024">
        <f>VLOOKUP(A19,'2122 Band Moderations'!$B$5:$S$22,16,(FALSE))</f>
        <v>0</v>
      </c>
      <c r="J19" s="1024">
        <f>VLOOKUP(A19,'2122 Band Moderations'!$B$5:$S$22,18,(FALSE))</f>
        <v>0</v>
      </c>
      <c r="K19" s="451">
        <v>75</v>
      </c>
      <c r="L19" s="1025">
        <f t="shared" si="2"/>
        <v>18262.100421874977</v>
      </c>
      <c r="M19" s="1025">
        <f t="shared" si="3"/>
        <v>0</v>
      </c>
      <c r="N19" s="1025">
        <f t="shared" si="0"/>
        <v>18262.100421874977</v>
      </c>
      <c r="O19" s="235"/>
      <c r="P19" s="235">
        <f t="shared" si="1"/>
        <v>0</v>
      </c>
      <c r="Q19" s="269"/>
      <c r="R19" s="36"/>
      <c r="S19" s="36"/>
      <c r="T19" s="36"/>
      <c r="U19" s="235"/>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row>
    <row r="20" spans="1:52" x14ac:dyDescent="0.25">
      <c r="A20" s="244">
        <v>9257028</v>
      </c>
      <c r="B20" s="237" t="s">
        <v>215</v>
      </c>
      <c r="C20" s="365">
        <v>5</v>
      </c>
      <c r="D20" s="1024">
        <f>VLOOKUP(A20,'2122 Band Moderations'!$B$5:$S$22,6,(FALSE))</f>
        <v>8.9108910891089105E-2</v>
      </c>
      <c r="E20" s="1024">
        <f>VLOOKUP(A20,'2122 Band Moderations'!$B$5:$S$22,8,(FALSE))</f>
        <v>0.40594059405940597</v>
      </c>
      <c r="F20" s="1024">
        <f>VLOOKUP(A20,'2122 Band Moderations'!$B$5:$S$22,10,(FALSE))</f>
        <v>7.9207920792079209E-2</v>
      </c>
      <c r="G20" s="1024">
        <f>VLOOKUP(A20,'2122 Band Moderations'!$B$5:$S$22,12,(FALSE))</f>
        <v>8.9108910891089105E-2</v>
      </c>
      <c r="H20" s="1024">
        <f>VLOOKUP(A20,'2122 Band Moderations'!$B$5:$S$22,14,(FALSE))</f>
        <v>0.12871287128712872</v>
      </c>
      <c r="I20" s="1024">
        <f>VLOOKUP(A20,'2122 Band Moderations'!$B$5:$S$22,16,(FALSE))</f>
        <v>9.9009900990099015E-2</v>
      </c>
      <c r="J20" s="1024">
        <f>VLOOKUP(A20,'2122 Band Moderations'!$B$5:$S$22,18,(FALSE))</f>
        <v>0.10891089108910891</v>
      </c>
      <c r="K20" s="451">
        <v>91</v>
      </c>
      <c r="L20" s="1025">
        <f t="shared" si="2"/>
        <v>22084.886415576166</v>
      </c>
      <c r="M20" s="1025">
        <f t="shared" si="3"/>
        <v>0</v>
      </c>
      <c r="N20" s="1025">
        <f t="shared" si="0"/>
        <v>22084.886415576166</v>
      </c>
      <c r="O20" s="235"/>
      <c r="P20" s="235">
        <f t="shared" si="1"/>
        <v>0</v>
      </c>
      <c r="Q20" s="269"/>
      <c r="R20" s="36"/>
      <c r="S20" s="36"/>
      <c r="T20" s="36"/>
      <c r="U20" s="235"/>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row>
    <row r="21" spans="1:52" x14ac:dyDescent="0.25">
      <c r="A21" s="244">
        <v>9257021</v>
      </c>
      <c r="B21" s="237" t="s">
        <v>216</v>
      </c>
      <c r="C21" s="365" t="s">
        <v>1180</v>
      </c>
      <c r="D21" s="1024">
        <f>VLOOKUP(A21,'2122 Band Moderations'!$B$5:$S$22,6,(FALSE))</f>
        <v>0.26829268292682928</v>
      </c>
      <c r="E21" s="1024">
        <f>VLOOKUP(A21,'2122 Band Moderations'!$B$5:$S$22,8,(FALSE))</f>
        <v>0.42682926829268292</v>
      </c>
      <c r="F21" s="1024">
        <f>VLOOKUP(A21,'2122 Band Moderations'!$B$5:$S$22,10,(FALSE))</f>
        <v>7.926829268292683E-2</v>
      </c>
      <c r="G21" s="1024">
        <f>VLOOKUP(A21,'2122 Band Moderations'!$B$5:$S$22,12,(FALSE))</f>
        <v>6.7073170731707321E-2</v>
      </c>
      <c r="H21" s="1024">
        <f>VLOOKUP(A21,'2122 Band Moderations'!$B$5:$S$22,14,(FALSE))</f>
        <v>5.4878048780487805E-2</v>
      </c>
      <c r="I21" s="1024">
        <f>VLOOKUP(A21,'2122 Band Moderations'!$B$5:$S$22,16,(FALSE))</f>
        <v>9.1463414634146339E-2</v>
      </c>
      <c r="J21" s="1024">
        <f>VLOOKUP(A21,'2122 Band Moderations'!$B$5:$S$22,18,(FALSE))</f>
        <v>1.2195121951219513E-2</v>
      </c>
      <c r="K21" s="451">
        <v>166</v>
      </c>
      <c r="L21" s="1025">
        <f t="shared" si="2"/>
        <v>41816.745611000137</v>
      </c>
      <c r="M21" s="1025">
        <f t="shared" si="3"/>
        <v>0</v>
      </c>
      <c r="N21" s="1025">
        <f t="shared" si="0"/>
        <v>41816.745611000137</v>
      </c>
      <c r="O21" s="235"/>
      <c r="P21" s="235">
        <f t="shared" si="1"/>
        <v>0</v>
      </c>
      <c r="Q21" s="269"/>
      <c r="R21" s="36"/>
      <c r="S21" s="36"/>
      <c r="T21" s="36"/>
      <c r="U21" s="235"/>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row>
    <row r="22" spans="1:52" x14ac:dyDescent="0.25">
      <c r="A22" s="244">
        <v>9257015</v>
      </c>
      <c r="B22" s="237" t="s">
        <v>217</v>
      </c>
      <c r="C22" s="365" t="s">
        <v>1181</v>
      </c>
      <c r="D22" s="1024">
        <f>VLOOKUP(A22,'2122 Band Moderations'!$B$5:$S$22,6,(FALSE))</f>
        <v>0.33185840707964603</v>
      </c>
      <c r="E22" s="1024">
        <f>VLOOKUP(A22,'2122 Band Moderations'!$B$5:$S$22,8,(FALSE))</f>
        <v>0.38495575221238937</v>
      </c>
      <c r="F22" s="1024">
        <f>VLOOKUP(A22,'2122 Band Moderations'!$B$5:$S$22,10,(FALSE))</f>
        <v>1.7699115044247787E-2</v>
      </c>
      <c r="G22" s="1024">
        <f>VLOOKUP(A22,'2122 Band Moderations'!$B$5:$S$22,12,(FALSE))</f>
        <v>8.8495575221238937E-2</v>
      </c>
      <c r="H22" s="1024">
        <f>VLOOKUP(A22,'2122 Band Moderations'!$B$5:$S$22,14,(FALSE))</f>
        <v>2.2123893805309734E-2</v>
      </c>
      <c r="I22" s="1024">
        <f>VLOOKUP(A22,'2122 Band Moderations'!$B$5:$S$22,16,(FALSE))</f>
        <v>0.1415929203539823</v>
      </c>
      <c r="J22" s="1024">
        <f>VLOOKUP(A22,'2122 Band Moderations'!$B$5:$S$22,18,(FALSE))</f>
        <v>1.3274336283185841E-2</v>
      </c>
      <c r="K22" s="451">
        <v>224</v>
      </c>
      <c r="L22" s="1025">
        <f t="shared" si="2"/>
        <v>57458.99647387657</v>
      </c>
      <c r="M22" s="1025">
        <f t="shared" si="3"/>
        <v>0</v>
      </c>
      <c r="N22" s="1025">
        <f t="shared" si="0"/>
        <v>57458.99647387657</v>
      </c>
      <c r="O22" s="235"/>
      <c r="P22" s="235">
        <f t="shared" si="1"/>
        <v>0</v>
      </c>
      <c r="Q22" s="269"/>
      <c r="R22" s="36"/>
      <c r="S22" s="36"/>
      <c r="T22" s="36"/>
      <c r="U22" s="235"/>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row>
    <row r="23" spans="1:52" x14ac:dyDescent="0.25">
      <c r="A23" s="244">
        <v>9257016</v>
      </c>
      <c r="B23" s="237" t="s">
        <v>219</v>
      </c>
      <c r="C23" s="365" t="s">
        <v>1181</v>
      </c>
      <c r="D23" s="1024">
        <f>VLOOKUP(A23,'2122 Band Moderations'!$B$5:$S$22,6,(FALSE))</f>
        <v>0.18012422360248448</v>
      </c>
      <c r="E23" s="1024">
        <f>VLOOKUP(A23,'2122 Band Moderations'!$B$5:$S$22,8,(FALSE))</f>
        <v>0.15527950310559005</v>
      </c>
      <c r="F23" s="1024">
        <f>VLOOKUP(A23,'2122 Band Moderations'!$B$5:$S$22,10,(FALSE))</f>
        <v>6.2111801242236021E-3</v>
      </c>
      <c r="G23" s="1024">
        <f>VLOOKUP(A23,'2122 Band Moderations'!$B$5:$S$22,12,(FALSE))</f>
        <v>0.2236024844720497</v>
      </c>
      <c r="H23" s="1024">
        <f>VLOOKUP(A23,'2122 Band Moderations'!$B$5:$S$22,14,(FALSE))</f>
        <v>0.21118012422360249</v>
      </c>
      <c r="I23" s="1024">
        <f>VLOOKUP(A23,'2122 Band Moderations'!$B$5:$S$22,16,(FALSE))</f>
        <v>1.2422360248447204E-2</v>
      </c>
      <c r="J23" s="1024">
        <f>VLOOKUP(A23,'2122 Band Moderations'!$B$5:$S$22,18,(FALSE))</f>
        <v>0.21118012422360249</v>
      </c>
      <c r="K23" s="451">
        <v>110</v>
      </c>
      <c r="L23" s="1025">
        <f t="shared" si="2"/>
        <v>23457.157560520176</v>
      </c>
      <c r="M23" s="1025">
        <f t="shared" si="3"/>
        <v>0</v>
      </c>
      <c r="N23" s="1025">
        <f t="shared" si="0"/>
        <v>23457.157560520176</v>
      </c>
      <c r="O23" s="299" t="s">
        <v>207</v>
      </c>
      <c r="P23" s="235">
        <f t="shared" si="1"/>
        <v>0</v>
      </c>
      <c r="Q23" s="269"/>
      <c r="R23" s="36"/>
      <c r="S23" s="36"/>
      <c r="T23" s="36"/>
      <c r="U23" s="235"/>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row>
    <row r="24" spans="1:52" x14ac:dyDescent="0.25">
      <c r="A24" s="249"/>
      <c r="B24" s="36"/>
      <c r="C24" s="234"/>
      <c r="D24" s="268"/>
      <c r="E24" s="268"/>
      <c r="F24" s="36"/>
      <c r="G24" s="299"/>
      <c r="H24" s="268"/>
      <c r="I24" s="268"/>
      <c r="J24" s="299"/>
      <c r="K24" s="299"/>
      <c r="L24" s="269"/>
      <c r="M24" s="299" t="s">
        <v>207</v>
      </c>
      <c r="N24" s="235"/>
      <c r="O24" s="299" t="s">
        <v>207</v>
      </c>
      <c r="P24" s="269"/>
      <c r="Q24" s="269"/>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row>
    <row r="25" spans="1:52" ht="13" x14ac:dyDescent="0.3">
      <c r="A25" s="93" t="s">
        <v>1182</v>
      </c>
      <c r="B25" s="36"/>
      <c r="C25" s="234"/>
      <c r="D25" s="268"/>
      <c r="E25" s="268"/>
      <c r="F25" s="36"/>
      <c r="G25" s="268"/>
      <c r="H25" s="268"/>
      <c r="I25" s="268"/>
      <c r="J25" s="268"/>
      <c r="K25" s="269"/>
      <c r="L25" s="269"/>
      <c r="M25" s="269"/>
      <c r="N25" s="235"/>
      <c r="O25" s="235"/>
      <c r="P25" s="269"/>
      <c r="Q25" s="269"/>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row>
    <row r="26" spans="1:52" x14ac:dyDescent="0.25">
      <c r="A26" s="249"/>
      <c r="B26" s="36"/>
      <c r="C26" s="234"/>
      <c r="D26" s="268"/>
      <c r="E26" s="268"/>
      <c r="F26" s="36"/>
      <c r="G26" s="268"/>
      <c r="H26" s="268"/>
      <c r="I26" s="268"/>
      <c r="J26" s="268"/>
      <c r="K26" s="94" t="s">
        <v>911</v>
      </c>
      <c r="L26" s="269"/>
      <c r="M26" s="269"/>
      <c r="N26" s="235"/>
      <c r="O26" s="235"/>
      <c r="P26" s="269"/>
      <c r="Q26" s="269"/>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row>
    <row r="27" spans="1:52" ht="37.5" x14ac:dyDescent="0.25">
      <c r="A27" s="265" t="s">
        <v>182</v>
      </c>
      <c r="B27" s="237" t="s">
        <v>183</v>
      </c>
      <c r="C27" s="238" t="s">
        <v>184</v>
      </c>
      <c r="D27" s="234" t="s">
        <v>901</v>
      </c>
      <c r="E27" s="234" t="s">
        <v>902</v>
      </c>
      <c r="F27" s="234" t="s">
        <v>903</v>
      </c>
      <c r="G27" s="234" t="s">
        <v>904</v>
      </c>
      <c r="H27" s="234" t="s">
        <v>905</v>
      </c>
      <c r="I27" s="234" t="s">
        <v>906</v>
      </c>
      <c r="J27" s="234" t="s">
        <v>907</v>
      </c>
      <c r="K27" s="243" t="s">
        <v>264</v>
      </c>
      <c r="L27" s="243" t="s">
        <v>265</v>
      </c>
      <c r="M27" s="243" t="s">
        <v>266</v>
      </c>
      <c r="N27" s="243" t="s">
        <v>265</v>
      </c>
      <c r="O27" s="243"/>
      <c r="P27" s="243"/>
      <c r="Q27" s="27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row>
    <row r="28" spans="1:52" x14ac:dyDescent="0.25">
      <c r="A28" s="244">
        <v>9257010</v>
      </c>
      <c r="B28" s="237" t="s">
        <v>205</v>
      </c>
      <c r="C28" s="365">
        <v>5</v>
      </c>
      <c r="D28" s="1024">
        <f>VLOOKUP(A28,'2122 Band Moderations'!$B$5:$S$22,6,(FALSE))</f>
        <v>1.5873015873015872E-2</v>
      </c>
      <c r="E28" s="1024">
        <f>VLOOKUP(A28,'2122 Band Moderations'!$B$5:$S$22,8,(FALSE))</f>
        <v>0.31746031746031744</v>
      </c>
      <c r="F28" s="1024">
        <f>VLOOKUP(A28,'2122 Band Moderations'!$B$5:$S$22,10,(FALSE))</f>
        <v>9.5238095238095233E-2</v>
      </c>
      <c r="G28" s="1024">
        <f>VLOOKUP(A28,'2122 Band Moderations'!$B$5:$S$22,12,(FALSE))</f>
        <v>0.17460317460317459</v>
      </c>
      <c r="H28" s="1024">
        <f>VLOOKUP(A28,'2122 Band Moderations'!$B$5:$S$22,14,(FALSE))</f>
        <v>6.3492063492063489E-2</v>
      </c>
      <c r="I28" s="1024">
        <f>VLOOKUP(A28,'2122 Band Moderations'!$B$5:$S$22,16,(FALSE))</f>
        <v>0.19047619047619047</v>
      </c>
      <c r="J28" s="1024">
        <f>VLOOKUP(A28,'2122 Band Moderations'!$B$5:$S$22,18,(FALSE))</f>
        <v>0.14285714285714285</v>
      </c>
      <c r="K28" s="451">
        <v>7</v>
      </c>
      <c r="L28" s="1025">
        <f>((((K28*D28)*$G$92)+((K28*E28)*$G$94)+((K28*F28)*$G$96)+((K28*G28)*$G$98)+((K28*H28)*$G$100)+((K28*I28)*$G$102)+((K28*J28)*$G$104)))*(4/12)</f>
        <v>1419.4837562484556</v>
      </c>
      <c r="M28" s="1025">
        <f t="shared" ref="M28:M45" si="4">((K28*F28)*$G$106)*(4/12)</f>
        <v>0</v>
      </c>
      <c r="N28" s="1025">
        <f>SUM(L28:M28)</f>
        <v>1419.4837562484556</v>
      </c>
      <c r="O28" s="235"/>
      <c r="P28" s="235">
        <f t="shared" ref="P28:P45" si="5">(J28*K28*$G$104)*4/12</f>
        <v>0</v>
      </c>
      <c r="Q28" s="269"/>
      <c r="R28" s="235"/>
      <c r="S28" s="235"/>
      <c r="T28" s="297"/>
      <c r="U28" s="29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row>
    <row r="29" spans="1:52" x14ac:dyDescent="0.25">
      <c r="A29" s="244">
        <v>9257005</v>
      </c>
      <c r="B29" s="237" t="s">
        <v>208</v>
      </c>
      <c r="C29" s="365">
        <v>4</v>
      </c>
      <c r="D29" s="1024">
        <f>VLOOKUP(A29,'2122 Band Moderations'!$B$5:$S$22,6,(FALSE))</f>
        <v>0.05</v>
      </c>
      <c r="E29" s="1024">
        <f>VLOOKUP(A29,'2122 Band Moderations'!$B$5:$S$22,8,(FALSE))</f>
        <v>0.4</v>
      </c>
      <c r="F29" s="1024">
        <f>VLOOKUP(A29,'2122 Band Moderations'!$B$5:$S$22,10,(FALSE))</f>
        <v>6.25E-2</v>
      </c>
      <c r="G29" s="1024">
        <f>VLOOKUP(A29,'2122 Band Moderations'!$B$5:$S$22,12,(FALSE))</f>
        <v>0.15</v>
      </c>
      <c r="H29" s="1024">
        <f>VLOOKUP(A29,'2122 Band Moderations'!$B$5:$S$22,14,(FALSE))</f>
        <v>0.125</v>
      </c>
      <c r="I29" s="1024">
        <f>VLOOKUP(A29,'2122 Band Moderations'!$B$5:$S$22,16,(FALSE))</f>
        <v>0.15</v>
      </c>
      <c r="J29" s="1024">
        <f>VLOOKUP(A29,'2122 Band Moderations'!$B$5:$S$22,18,(FALSE))</f>
        <v>6.25E-2</v>
      </c>
      <c r="K29" s="451">
        <v>26</v>
      </c>
      <c r="L29" s="1025">
        <f t="shared" ref="L29:L45" si="6">((((K29*D29)*$G$92)+((K29*E29)*$G$94)+((K29*F29)*$G$96)+((K29*G29)*$G$98)+((K29*H29)*$G$100)+((K29*I29)*$G$102)+((K29*J29)*$G$104)))*(4/12)</f>
        <v>5560.6066662340236</v>
      </c>
      <c r="M29" s="1025">
        <f t="shared" si="4"/>
        <v>0</v>
      </c>
      <c r="N29" s="1025">
        <f>SUM(L29:M29)</f>
        <v>5560.6066662340236</v>
      </c>
      <c r="O29" s="235"/>
      <c r="P29" s="235">
        <f t="shared" si="5"/>
        <v>0</v>
      </c>
      <c r="Q29" s="269"/>
      <c r="R29" s="235"/>
      <c r="S29" s="235"/>
      <c r="T29" s="235"/>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row>
    <row r="30" spans="1:52" x14ac:dyDescent="0.25">
      <c r="A30" s="244">
        <v>9257025</v>
      </c>
      <c r="B30" s="237" t="s">
        <v>209</v>
      </c>
      <c r="C30" s="365">
        <v>4</v>
      </c>
      <c r="D30" s="1024">
        <f>VLOOKUP(A30,'2122 Band Moderations'!$B$5:$S$22,6,(FALSE))</f>
        <v>0.15584415584415584</v>
      </c>
      <c r="E30" s="1024">
        <f>VLOOKUP(A30,'2122 Band Moderations'!$B$5:$S$22,8,(FALSE))</f>
        <v>0.40259740259740262</v>
      </c>
      <c r="F30" s="1024">
        <f>VLOOKUP(A30,'2122 Band Moderations'!$B$5:$S$22,10,(FALSE))</f>
        <v>3.896103896103896E-2</v>
      </c>
      <c r="G30" s="1024">
        <f>VLOOKUP(A30,'2122 Band Moderations'!$B$5:$S$22,12,(FALSE))</f>
        <v>0.15584415584415584</v>
      </c>
      <c r="H30" s="1024">
        <f>VLOOKUP(A30,'2122 Band Moderations'!$B$5:$S$22,14,(FALSE))</f>
        <v>5.1948051948051951E-2</v>
      </c>
      <c r="I30" s="1024">
        <f>VLOOKUP(A30,'2122 Band Moderations'!$B$5:$S$22,16,(FALSE))</f>
        <v>0.14285714285714285</v>
      </c>
      <c r="J30" s="1024">
        <f>VLOOKUP(A30,'2122 Band Moderations'!$B$5:$S$22,18,(FALSE))</f>
        <v>5.1948051948051951E-2</v>
      </c>
      <c r="K30" s="451">
        <v>20</v>
      </c>
      <c r="L30" s="1025">
        <f t="shared" si="6"/>
        <v>4165.7616662193323</v>
      </c>
      <c r="M30" s="1025">
        <f t="shared" si="4"/>
        <v>0</v>
      </c>
      <c r="N30" s="1025">
        <f t="shared" ref="N30:N45" si="7">SUM(L30:M30)</f>
        <v>4165.7616662193323</v>
      </c>
      <c r="O30" s="235"/>
      <c r="P30" s="235">
        <f t="shared" si="5"/>
        <v>0</v>
      </c>
      <c r="Q30" s="269"/>
      <c r="R30" s="235"/>
      <c r="S30" s="235"/>
      <c r="T30" s="235"/>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row>
    <row r="31" spans="1:52" x14ac:dyDescent="0.25">
      <c r="A31" s="244">
        <v>9257011</v>
      </c>
      <c r="B31" s="237" t="s">
        <v>210</v>
      </c>
      <c r="C31" s="365" t="s">
        <v>1251</v>
      </c>
      <c r="D31" s="1024">
        <f>VLOOKUP(A31,'2122 Band Moderations'!$B$5:$S$22,6,(FALSE))</f>
        <v>5.6603773584905662E-2</v>
      </c>
      <c r="E31" s="1024">
        <f>VLOOKUP(A31,'2122 Band Moderations'!$B$5:$S$22,8,(FALSE))</f>
        <v>0.35849056603773582</v>
      </c>
      <c r="F31" s="1024">
        <f>VLOOKUP(A31,'2122 Band Moderations'!$B$5:$S$22,10,(FALSE))</f>
        <v>1.8867924528301886E-2</v>
      </c>
      <c r="G31" s="1024">
        <f>VLOOKUP(A31,'2122 Band Moderations'!$B$5:$S$22,12,(FALSE))</f>
        <v>0.16981132075471697</v>
      </c>
      <c r="H31" s="1024">
        <f>VLOOKUP(A31,'2122 Band Moderations'!$B$5:$S$22,14,(FALSE))</f>
        <v>0.13207547169811321</v>
      </c>
      <c r="I31" s="1024">
        <f>VLOOKUP(A31,'2122 Band Moderations'!$B$5:$S$22,16,(FALSE))</f>
        <v>0.15094339622641509</v>
      </c>
      <c r="J31" s="1024">
        <f>VLOOKUP(A31,'2122 Band Moderations'!$B$5:$S$22,18,(FALSE))</f>
        <v>0.11320754716981132</v>
      </c>
      <c r="K31" s="451">
        <v>8</v>
      </c>
      <c r="L31" s="1025">
        <f t="shared" si="6"/>
        <v>1641.6747716771474</v>
      </c>
      <c r="M31" s="1025">
        <f t="shared" si="4"/>
        <v>0</v>
      </c>
      <c r="N31" s="1025">
        <f t="shared" si="7"/>
        <v>1641.6747716771474</v>
      </c>
      <c r="O31" s="235"/>
      <c r="P31" s="235">
        <f t="shared" si="5"/>
        <v>0</v>
      </c>
      <c r="Q31" s="269"/>
      <c r="R31" s="235"/>
      <c r="S31" s="235"/>
      <c r="T31" s="235"/>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row>
    <row r="32" spans="1:52" x14ac:dyDescent="0.25">
      <c r="A32" s="244">
        <v>9257024</v>
      </c>
      <c r="B32" s="237" t="s">
        <v>211</v>
      </c>
      <c r="C32" s="365">
        <v>4</v>
      </c>
      <c r="D32" s="1024">
        <f>VLOOKUP(A32,'2122 Band Moderations'!$B$5:$S$22,6,(FALSE))</f>
        <v>8.4337349397590355E-2</v>
      </c>
      <c r="E32" s="1024">
        <f>VLOOKUP(A32,'2122 Band Moderations'!$B$5:$S$22,8,(FALSE))</f>
        <v>0.45783132530120479</v>
      </c>
      <c r="F32" s="1024">
        <f>VLOOKUP(A32,'2122 Band Moderations'!$B$5:$S$22,10,(FALSE))</f>
        <v>1.2048192771084338E-2</v>
      </c>
      <c r="G32" s="1024">
        <f>VLOOKUP(A32,'2122 Band Moderations'!$B$5:$S$22,12,(FALSE))</f>
        <v>0.18072289156626506</v>
      </c>
      <c r="H32" s="1024">
        <f>VLOOKUP(A32,'2122 Band Moderations'!$B$5:$S$22,14,(FALSE))</f>
        <v>8.4337349397590355E-2</v>
      </c>
      <c r="I32" s="1024">
        <f>VLOOKUP(A32,'2122 Band Moderations'!$B$5:$S$22,16,(FALSE))</f>
        <v>7.2289156626506021E-2</v>
      </c>
      <c r="J32" s="1024">
        <f>VLOOKUP(A32,'2122 Band Moderations'!$B$5:$S$22,18,(FALSE))</f>
        <v>0.10843373493975904</v>
      </c>
      <c r="K32" s="451">
        <v>14</v>
      </c>
      <c r="L32" s="1025">
        <f t="shared" si="6"/>
        <v>2705.2355880629161</v>
      </c>
      <c r="M32" s="1025">
        <f t="shared" si="4"/>
        <v>0</v>
      </c>
      <c r="N32" s="1025">
        <f t="shared" si="7"/>
        <v>2705.2355880629161</v>
      </c>
      <c r="O32" s="235"/>
      <c r="P32" s="235">
        <f t="shared" si="5"/>
        <v>0</v>
      </c>
      <c r="Q32" s="269"/>
      <c r="R32" s="235"/>
      <c r="S32" s="235"/>
      <c r="T32" s="235"/>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row>
    <row r="33" spans="1:52" x14ac:dyDescent="0.25">
      <c r="A33" s="244">
        <v>9257031</v>
      </c>
      <c r="B33" s="237" t="s">
        <v>257</v>
      </c>
      <c r="C33" s="365">
        <v>5</v>
      </c>
      <c r="D33" s="1024">
        <f>VLOOKUP(A33,'2122 Band Moderations'!$B$5:$S$22,6,(FALSE))</f>
        <v>0</v>
      </c>
      <c r="E33" s="1024">
        <f>VLOOKUP(A33,'2122 Band Moderations'!$B$5:$S$22,8,(FALSE))</f>
        <v>0</v>
      </c>
      <c r="F33" s="1024">
        <f>VLOOKUP(A33,'2122 Band Moderations'!$B$5:$S$22,10,(FALSE))</f>
        <v>1</v>
      </c>
      <c r="G33" s="1024">
        <f>VLOOKUP(A33,'2122 Band Moderations'!$B$5:$S$22,12,(FALSE))</f>
        <v>0</v>
      </c>
      <c r="H33" s="1024">
        <f>VLOOKUP(A33,'2122 Band Moderations'!$B$5:$S$22,14,(FALSE))</f>
        <v>0</v>
      </c>
      <c r="I33" s="1024">
        <f>VLOOKUP(A33,'2122 Band Moderations'!$B$5:$S$22,16,(FALSE))</f>
        <v>0</v>
      </c>
      <c r="J33" s="1024">
        <f>VLOOKUP(A33,'2122 Band Moderations'!$B$5:$S$22,18,(FALSE))</f>
        <v>0</v>
      </c>
      <c r="K33" s="451">
        <v>0</v>
      </c>
      <c r="L33" s="1025">
        <f t="shared" si="6"/>
        <v>0</v>
      </c>
      <c r="M33" s="1025">
        <f t="shared" si="4"/>
        <v>0</v>
      </c>
      <c r="N33" s="1025">
        <f t="shared" si="7"/>
        <v>0</v>
      </c>
      <c r="O33" s="235"/>
      <c r="P33" s="235">
        <f t="shared" si="5"/>
        <v>0</v>
      </c>
      <c r="Q33" s="269"/>
      <c r="R33" s="235"/>
      <c r="S33" s="235"/>
      <c r="T33" s="235"/>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row>
    <row r="34" spans="1:52" x14ac:dyDescent="0.25">
      <c r="A34" s="244">
        <v>9257033</v>
      </c>
      <c r="B34" s="237" t="s">
        <v>220</v>
      </c>
      <c r="C34" s="365" t="s">
        <v>1178</v>
      </c>
      <c r="D34" s="1024">
        <f>VLOOKUP(A34,'2122 Band Moderations'!$B$5:$S$22,6,(FALSE))</f>
        <v>0.16842105263157894</v>
      </c>
      <c r="E34" s="1024">
        <f>VLOOKUP(A34,'2122 Band Moderations'!$B$5:$S$22,8,(FALSE))</f>
        <v>0.5368421052631579</v>
      </c>
      <c r="F34" s="1024">
        <f>VLOOKUP(A34,'2122 Band Moderations'!$B$5:$S$22,10,(FALSE))</f>
        <v>6.3157894736842107E-2</v>
      </c>
      <c r="G34" s="1024">
        <f>VLOOKUP(A34,'2122 Band Moderations'!$B$5:$S$22,12,(FALSE))</f>
        <v>0.14736842105263157</v>
      </c>
      <c r="H34" s="1024">
        <f>VLOOKUP(A34,'2122 Band Moderations'!$B$5:$S$22,14,(FALSE))</f>
        <v>4.2105263157894736E-2</v>
      </c>
      <c r="I34" s="1024">
        <f>VLOOKUP(A34,'2122 Band Moderations'!$B$5:$S$22,16,(FALSE))</f>
        <v>4.2105263157894736E-2</v>
      </c>
      <c r="J34" s="1024">
        <f>VLOOKUP(A34,'2122 Band Moderations'!$B$5:$S$22,18,(FALSE))</f>
        <v>0</v>
      </c>
      <c r="K34" s="451">
        <v>0</v>
      </c>
      <c r="L34" s="1025">
        <f t="shared" si="6"/>
        <v>0</v>
      </c>
      <c r="M34" s="1025">
        <f t="shared" si="4"/>
        <v>0</v>
      </c>
      <c r="N34" s="1025">
        <f t="shared" si="7"/>
        <v>0</v>
      </c>
      <c r="O34" s="235"/>
      <c r="P34" s="235">
        <f t="shared" si="5"/>
        <v>0</v>
      </c>
      <c r="Q34" s="269"/>
      <c r="R34" s="235"/>
      <c r="S34" s="235"/>
      <c r="T34" s="235"/>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row>
    <row r="35" spans="1:52" x14ac:dyDescent="0.25">
      <c r="A35" s="244">
        <v>9257008</v>
      </c>
      <c r="B35" s="237" t="s">
        <v>212</v>
      </c>
      <c r="C35" s="365">
        <v>4</v>
      </c>
      <c r="D35" s="1024">
        <f>VLOOKUP(A35,'2122 Band Moderations'!$B$5:$S$22,6,(FALSE))</f>
        <v>0.10101010101010101</v>
      </c>
      <c r="E35" s="1024">
        <f>VLOOKUP(A35,'2122 Band Moderations'!$B$5:$S$22,8,(FALSE))</f>
        <v>0.58585858585858586</v>
      </c>
      <c r="F35" s="1024">
        <f>VLOOKUP(A35,'2122 Band Moderations'!$B$5:$S$22,10,(FALSE))</f>
        <v>8.0808080808080815E-2</v>
      </c>
      <c r="G35" s="1024">
        <f>VLOOKUP(A35,'2122 Band Moderations'!$B$5:$S$22,12,(FALSE))</f>
        <v>9.0909090909090912E-2</v>
      </c>
      <c r="H35" s="1024">
        <f>VLOOKUP(A35,'2122 Band Moderations'!$B$5:$S$22,14,(FALSE))</f>
        <v>1.0101010101010102E-2</v>
      </c>
      <c r="I35" s="1024">
        <f>VLOOKUP(A35,'2122 Band Moderations'!$B$5:$S$22,16,(FALSE))</f>
        <v>0.12121212121212122</v>
      </c>
      <c r="J35" s="1024">
        <f>VLOOKUP(A35,'2122 Band Moderations'!$B$5:$S$22,18,(FALSE))</f>
        <v>1.0101010101010102E-2</v>
      </c>
      <c r="K35" s="451">
        <v>0</v>
      </c>
      <c r="L35" s="1025">
        <f t="shared" si="6"/>
        <v>0</v>
      </c>
      <c r="M35" s="1025">
        <f t="shared" si="4"/>
        <v>0</v>
      </c>
      <c r="N35" s="1025">
        <f t="shared" si="7"/>
        <v>0</v>
      </c>
      <c r="O35" s="235"/>
      <c r="P35" s="235">
        <f t="shared" si="5"/>
        <v>0</v>
      </c>
      <c r="Q35" s="269"/>
      <c r="R35" s="235"/>
      <c r="S35" s="235"/>
      <c r="T35" s="235"/>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row>
    <row r="36" spans="1:52" x14ac:dyDescent="0.25">
      <c r="A36" s="244">
        <v>9257034</v>
      </c>
      <c r="B36" s="237" t="s">
        <v>221</v>
      </c>
      <c r="C36" s="365" t="s">
        <v>1178</v>
      </c>
      <c r="D36" s="1024">
        <f>VLOOKUP(A36,'2122 Band Moderations'!$B$5:$S$22,6,(FALSE))</f>
        <v>0.42424242424242425</v>
      </c>
      <c r="E36" s="1024">
        <f>VLOOKUP(A36,'2122 Band Moderations'!$B$5:$S$22,8,(FALSE))</f>
        <v>0.29292929292929293</v>
      </c>
      <c r="F36" s="1024">
        <f>VLOOKUP(A36,'2122 Band Moderations'!$B$5:$S$22,10,(FALSE))</f>
        <v>0.14141414141414141</v>
      </c>
      <c r="G36" s="1024">
        <f>VLOOKUP(A36,'2122 Band Moderations'!$B$5:$S$22,12,(FALSE))</f>
        <v>3.0303030303030304E-2</v>
      </c>
      <c r="H36" s="1024">
        <f>VLOOKUP(A36,'2122 Band Moderations'!$B$5:$S$22,14,(FALSE))</f>
        <v>4.0404040404040407E-2</v>
      </c>
      <c r="I36" s="1024">
        <f>VLOOKUP(A36,'2122 Band Moderations'!$B$5:$S$22,16,(FALSE))</f>
        <v>6.0606060606060608E-2</v>
      </c>
      <c r="J36" s="1024">
        <f>VLOOKUP(A36,'2122 Band Moderations'!$B$5:$S$22,18,(FALSE))</f>
        <v>1.0101010101010102E-2</v>
      </c>
      <c r="K36" s="451">
        <v>34</v>
      </c>
      <c r="L36" s="1025">
        <f t="shared" si="6"/>
        <v>6472.531107098479</v>
      </c>
      <c r="M36" s="1025">
        <f t="shared" si="4"/>
        <v>0</v>
      </c>
      <c r="N36" s="1025">
        <f t="shared" si="7"/>
        <v>6472.531107098479</v>
      </c>
      <c r="O36" s="235"/>
      <c r="P36" s="235">
        <f t="shared" si="5"/>
        <v>0</v>
      </c>
      <c r="Q36" s="269"/>
      <c r="R36" s="235"/>
      <c r="S36" s="235"/>
      <c r="T36" s="235"/>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row>
    <row r="37" spans="1:52" x14ac:dyDescent="0.25">
      <c r="A37" s="244">
        <v>9257002</v>
      </c>
      <c r="B37" s="237" t="s">
        <v>213</v>
      </c>
      <c r="C37" s="365">
        <v>5</v>
      </c>
      <c r="D37" s="1024">
        <f>VLOOKUP(A37,'2122 Band Moderations'!$B$5:$S$22,6,(FALSE))</f>
        <v>0.3546099290780142</v>
      </c>
      <c r="E37" s="1024">
        <f>VLOOKUP(A37,'2122 Band Moderations'!$B$5:$S$22,8,(FALSE))</f>
        <v>0.38297872340425532</v>
      </c>
      <c r="F37" s="1024">
        <f>VLOOKUP(A37,'2122 Band Moderations'!$B$5:$S$22,10,(FALSE))</f>
        <v>0.1276595744680851</v>
      </c>
      <c r="G37" s="1024">
        <f>VLOOKUP(A37,'2122 Band Moderations'!$B$5:$S$22,12,(FALSE))</f>
        <v>2.8368794326241134E-2</v>
      </c>
      <c r="H37" s="1024">
        <f>VLOOKUP(A37,'2122 Band Moderations'!$B$5:$S$22,14,(FALSE))</f>
        <v>2.1276595744680851E-2</v>
      </c>
      <c r="I37" s="1024">
        <f>VLOOKUP(A37,'2122 Band Moderations'!$B$5:$S$22,16,(FALSE))</f>
        <v>7.8014184397163122E-2</v>
      </c>
      <c r="J37" s="1024">
        <f>VLOOKUP(A37,'2122 Band Moderations'!$B$5:$S$22,18,(FALSE))</f>
        <v>7.0921985815602835E-3</v>
      </c>
      <c r="K37" s="451">
        <v>0</v>
      </c>
      <c r="L37" s="1025">
        <f t="shared" si="6"/>
        <v>0</v>
      </c>
      <c r="M37" s="1025">
        <f t="shared" si="4"/>
        <v>0</v>
      </c>
      <c r="N37" s="1025">
        <f t="shared" si="7"/>
        <v>0</v>
      </c>
      <c r="O37" s="235"/>
      <c r="P37" s="235">
        <f t="shared" si="5"/>
        <v>0</v>
      </c>
      <c r="Q37" s="269"/>
      <c r="R37" s="235"/>
      <c r="S37" s="235"/>
      <c r="T37" s="235"/>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row>
    <row r="38" spans="1:52" x14ac:dyDescent="0.25">
      <c r="A38" s="244">
        <v>9257009</v>
      </c>
      <c r="B38" s="237" t="s">
        <v>214</v>
      </c>
      <c r="C38" s="365" t="s">
        <v>1178</v>
      </c>
      <c r="D38" s="1024">
        <f>VLOOKUP(A38,'2122 Band Moderations'!$B$5:$S$22,6,(FALSE))</f>
        <v>0.23200000000000001</v>
      </c>
      <c r="E38" s="1024">
        <f>VLOOKUP(A38,'2122 Band Moderations'!$B$5:$S$22,8,(FALSE))</f>
        <v>0.57599999999999996</v>
      </c>
      <c r="F38" s="1024">
        <f>VLOOKUP(A38,'2122 Band Moderations'!$B$5:$S$22,10,(FALSE))</f>
        <v>0.08</v>
      </c>
      <c r="G38" s="1024">
        <f>VLOOKUP(A38,'2122 Band Moderations'!$B$5:$S$22,12,(FALSE))</f>
        <v>2.4E-2</v>
      </c>
      <c r="H38" s="1024">
        <f>VLOOKUP(A38,'2122 Band Moderations'!$B$5:$S$22,14,(FALSE))</f>
        <v>8.0000000000000002E-3</v>
      </c>
      <c r="I38" s="1024">
        <f>VLOOKUP(A38,'2122 Band Moderations'!$B$5:$S$22,16,(FALSE))</f>
        <v>0.08</v>
      </c>
      <c r="J38" s="1024">
        <f>VLOOKUP(A38,'2122 Band Moderations'!$B$5:$S$22,18,(FALSE))</f>
        <v>0</v>
      </c>
      <c r="K38" s="451">
        <v>0</v>
      </c>
      <c r="L38" s="1025">
        <f t="shared" si="6"/>
        <v>0</v>
      </c>
      <c r="M38" s="1025">
        <f t="shared" si="4"/>
        <v>0</v>
      </c>
      <c r="N38" s="1025">
        <f t="shared" si="7"/>
        <v>0</v>
      </c>
      <c r="O38" s="235"/>
      <c r="P38" s="235">
        <f t="shared" si="5"/>
        <v>0</v>
      </c>
      <c r="Q38" s="269"/>
      <c r="R38" s="235"/>
      <c r="S38" s="235"/>
      <c r="T38" s="235"/>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row>
    <row r="39" spans="1:52" x14ac:dyDescent="0.25">
      <c r="A39" s="244">
        <v>9257029</v>
      </c>
      <c r="B39" s="237" t="s">
        <v>890</v>
      </c>
      <c r="C39" s="365" t="s">
        <v>1179</v>
      </c>
      <c r="D39" s="1024">
        <f>VLOOKUP(A39,'2122 Band Moderations'!$B$5:$S$22,6,(FALSE))</f>
        <v>0</v>
      </c>
      <c r="E39" s="1024">
        <f>VLOOKUP(A39,'2122 Band Moderations'!$B$5:$S$22,8,(FALSE))</f>
        <v>0</v>
      </c>
      <c r="F39" s="1024">
        <f>VLOOKUP(A39,'2122 Band Moderations'!$B$5:$S$22,10,(FALSE))</f>
        <v>1</v>
      </c>
      <c r="G39" s="1024">
        <f>VLOOKUP(A39,'2122 Band Moderations'!$B$5:$S$22,12,(FALSE))</f>
        <v>0</v>
      </c>
      <c r="H39" s="1024">
        <f>VLOOKUP(A39,'2122 Band Moderations'!$B$5:$S$22,14,(FALSE))</f>
        <v>0</v>
      </c>
      <c r="I39" s="1024">
        <f>VLOOKUP(A39,'2122 Band Moderations'!$B$5:$S$22,16,(FALSE))</f>
        <v>0</v>
      </c>
      <c r="J39" s="1024">
        <f>VLOOKUP(A39,'2122 Band Moderations'!$B$5:$S$22,18,(FALSE))</f>
        <v>0</v>
      </c>
      <c r="K39" s="451">
        <v>0</v>
      </c>
      <c r="L39" s="1025">
        <f t="shared" si="6"/>
        <v>0</v>
      </c>
      <c r="M39" s="1025">
        <f t="shared" si="4"/>
        <v>0</v>
      </c>
      <c r="N39" s="1025">
        <f t="shared" si="7"/>
        <v>0</v>
      </c>
      <c r="O39" s="235"/>
      <c r="P39" s="235">
        <f t="shared" si="5"/>
        <v>0</v>
      </c>
      <c r="Q39" s="269"/>
      <c r="R39" s="235"/>
      <c r="S39" s="235"/>
      <c r="T39" s="235"/>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row>
    <row r="40" spans="1:52" x14ac:dyDescent="0.25">
      <c r="A40" s="244">
        <v>9257032</v>
      </c>
      <c r="B40" s="237" t="s">
        <v>1043</v>
      </c>
      <c r="C40" s="365" t="s">
        <v>1179</v>
      </c>
      <c r="D40" s="1024">
        <f>VLOOKUP(A40,'2122 Band Moderations'!$B$5:$S$22,6,(FALSE))</f>
        <v>0</v>
      </c>
      <c r="E40" s="1024">
        <f>VLOOKUP(A40,'2122 Band Moderations'!$B$5:$S$22,8,(FALSE))</f>
        <v>0</v>
      </c>
      <c r="F40" s="1024">
        <f>VLOOKUP(A40,'2122 Band Moderations'!$B$5:$S$22,10,(FALSE))</f>
        <v>1</v>
      </c>
      <c r="G40" s="1024">
        <f>VLOOKUP(A40,'2122 Band Moderations'!$B$5:$S$22,12,(FALSE))</f>
        <v>0</v>
      </c>
      <c r="H40" s="1024">
        <f>VLOOKUP(A40,'2122 Band Moderations'!$B$5:$S$22,14,(FALSE))</f>
        <v>0</v>
      </c>
      <c r="I40" s="1024">
        <f>VLOOKUP(A40,'2122 Band Moderations'!$B$5:$S$22,16,(FALSE))</f>
        <v>0</v>
      </c>
      <c r="J40" s="1024">
        <f>VLOOKUP(A40,'2122 Band Moderations'!$B$5:$S$22,18,(FALSE))</f>
        <v>0</v>
      </c>
      <c r="K40" s="451">
        <v>0</v>
      </c>
      <c r="L40" s="1025">
        <f t="shared" si="6"/>
        <v>0</v>
      </c>
      <c r="M40" s="1025">
        <f t="shared" si="4"/>
        <v>0</v>
      </c>
      <c r="N40" s="1025">
        <f t="shared" si="7"/>
        <v>0</v>
      </c>
      <c r="O40" s="235"/>
      <c r="P40" s="235">
        <f t="shared" si="5"/>
        <v>0</v>
      </c>
      <c r="Q40" s="269"/>
      <c r="R40" s="235"/>
      <c r="S40" s="235"/>
      <c r="T40" s="235"/>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row>
    <row r="41" spans="1:52" x14ac:dyDescent="0.25">
      <c r="A41" s="244">
        <v>9257030</v>
      </c>
      <c r="B41" s="237" t="s">
        <v>1046</v>
      </c>
      <c r="C41" s="365" t="s">
        <v>1179</v>
      </c>
      <c r="D41" s="1024">
        <f>VLOOKUP(A41,'2122 Band Moderations'!$B$5:$S$22,6,(FALSE))</f>
        <v>0</v>
      </c>
      <c r="E41" s="1024">
        <f>VLOOKUP(A41,'2122 Band Moderations'!$B$5:$S$22,8,(FALSE))</f>
        <v>0</v>
      </c>
      <c r="F41" s="1024">
        <f>VLOOKUP(A41,'2122 Band Moderations'!$B$5:$S$22,10,(FALSE))</f>
        <v>1</v>
      </c>
      <c r="G41" s="1024">
        <f>VLOOKUP(A41,'2122 Band Moderations'!$B$5:$S$22,12,(FALSE))</f>
        <v>0</v>
      </c>
      <c r="H41" s="1024">
        <f>VLOOKUP(A41,'2122 Band Moderations'!$B$5:$S$22,14,(FALSE))</f>
        <v>0</v>
      </c>
      <c r="I41" s="1024">
        <f>VLOOKUP(A41,'2122 Band Moderations'!$B$5:$S$22,16,(FALSE))</f>
        <v>0</v>
      </c>
      <c r="J41" s="1024">
        <f>VLOOKUP(A41,'2122 Band Moderations'!$B$5:$S$22,18,(FALSE))</f>
        <v>0</v>
      </c>
      <c r="K41" s="451">
        <v>0</v>
      </c>
      <c r="L41" s="1025">
        <f t="shared" si="6"/>
        <v>0</v>
      </c>
      <c r="M41" s="1025">
        <f t="shared" si="4"/>
        <v>0</v>
      </c>
      <c r="N41" s="1025">
        <f t="shared" si="7"/>
        <v>0</v>
      </c>
      <c r="O41" s="235"/>
      <c r="P41" s="235">
        <f t="shared" si="5"/>
        <v>0</v>
      </c>
      <c r="Q41" s="269"/>
      <c r="R41" s="235"/>
      <c r="S41" s="235"/>
      <c r="T41" s="235"/>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row>
    <row r="42" spans="1:52" x14ac:dyDescent="0.25">
      <c r="A42" s="244">
        <v>9257028</v>
      </c>
      <c r="B42" s="237" t="s">
        <v>215</v>
      </c>
      <c r="C42" s="365">
        <v>5</v>
      </c>
      <c r="D42" s="1024">
        <f>VLOOKUP(A42,'2122 Band Moderations'!$B$5:$S$22,6,(FALSE))</f>
        <v>8.9108910891089105E-2</v>
      </c>
      <c r="E42" s="1024">
        <f>VLOOKUP(A42,'2122 Band Moderations'!$B$5:$S$22,8,(FALSE))</f>
        <v>0.40594059405940597</v>
      </c>
      <c r="F42" s="1024">
        <f>VLOOKUP(A42,'2122 Band Moderations'!$B$5:$S$22,10,(FALSE))</f>
        <v>7.9207920792079209E-2</v>
      </c>
      <c r="G42" s="1024">
        <f>VLOOKUP(A42,'2122 Band Moderations'!$B$5:$S$22,12,(FALSE))</f>
        <v>8.9108910891089105E-2</v>
      </c>
      <c r="H42" s="1024">
        <f>VLOOKUP(A42,'2122 Band Moderations'!$B$5:$S$22,14,(FALSE))</f>
        <v>0.12871287128712872</v>
      </c>
      <c r="I42" s="1024">
        <f>VLOOKUP(A42,'2122 Band Moderations'!$B$5:$S$22,16,(FALSE))</f>
        <v>9.9009900990099015E-2</v>
      </c>
      <c r="J42" s="1024">
        <f>VLOOKUP(A42,'2122 Band Moderations'!$B$5:$S$22,18,(FALSE))</f>
        <v>0.10891089108910891</v>
      </c>
      <c r="K42" s="451">
        <v>8</v>
      </c>
      <c r="L42" s="1025">
        <f t="shared" si="6"/>
        <v>1553.2227808756861</v>
      </c>
      <c r="M42" s="1025">
        <f t="shared" si="4"/>
        <v>0</v>
      </c>
      <c r="N42" s="1025">
        <f t="shared" si="7"/>
        <v>1553.2227808756861</v>
      </c>
      <c r="O42" s="235"/>
      <c r="P42" s="235">
        <f t="shared" si="5"/>
        <v>0</v>
      </c>
      <c r="Q42" s="269"/>
      <c r="R42" s="235"/>
      <c r="S42" s="235"/>
      <c r="T42" s="235"/>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row>
    <row r="43" spans="1:52" x14ac:dyDescent="0.25">
      <c r="A43" s="244">
        <v>9257021</v>
      </c>
      <c r="B43" s="237" t="s">
        <v>216</v>
      </c>
      <c r="C43" s="365" t="s">
        <v>1180</v>
      </c>
      <c r="D43" s="1024">
        <f>VLOOKUP(A43,'2122 Band Moderations'!$B$5:$S$22,6,(FALSE))</f>
        <v>0.26829268292682928</v>
      </c>
      <c r="E43" s="1024">
        <f>VLOOKUP(A43,'2122 Band Moderations'!$B$5:$S$22,8,(FALSE))</f>
        <v>0.42682926829268292</v>
      </c>
      <c r="F43" s="1024">
        <f>VLOOKUP(A43,'2122 Band Moderations'!$B$5:$S$22,10,(FALSE))</f>
        <v>7.926829268292683E-2</v>
      </c>
      <c r="G43" s="1024">
        <f>VLOOKUP(A43,'2122 Band Moderations'!$B$5:$S$22,12,(FALSE))</f>
        <v>6.7073170731707321E-2</v>
      </c>
      <c r="H43" s="1024">
        <f>VLOOKUP(A43,'2122 Band Moderations'!$B$5:$S$22,14,(FALSE))</f>
        <v>5.4878048780487805E-2</v>
      </c>
      <c r="I43" s="1024">
        <f>VLOOKUP(A43,'2122 Band Moderations'!$B$5:$S$22,16,(FALSE))</f>
        <v>9.1463414634146339E-2</v>
      </c>
      <c r="J43" s="1024">
        <f>VLOOKUP(A43,'2122 Band Moderations'!$B$5:$S$22,18,(FALSE))</f>
        <v>1.2195121951219513E-2</v>
      </c>
      <c r="K43" s="451">
        <v>0</v>
      </c>
      <c r="L43" s="1025">
        <f t="shared" si="6"/>
        <v>0</v>
      </c>
      <c r="M43" s="1025">
        <f t="shared" si="4"/>
        <v>0</v>
      </c>
      <c r="N43" s="1025">
        <f t="shared" si="7"/>
        <v>0</v>
      </c>
      <c r="O43" s="235"/>
      <c r="P43" s="235">
        <f t="shared" si="5"/>
        <v>0</v>
      </c>
      <c r="Q43" s="269"/>
      <c r="R43" s="235"/>
      <c r="S43" s="235"/>
      <c r="T43" s="235"/>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row>
    <row r="44" spans="1:52" x14ac:dyDescent="0.25">
      <c r="A44" s="244">
        <v>9257015</v>
      </c>
      <c r="B44" s="237" t="s">
        <v>217</v>
      </c>
      <c r="C44" s="365" t="s">
        <v>1181</v>
      </c>
      <c r="D44" s="1024">
        <f>VLOOKUP(A44,'2122 Band Moderations'!$B$5:$S$22,6,(FALSE))</f>
        <v>0.33185840707964603</v>
      </c>
      <c r="E44" s="1024">
        <f>VLOOKUP(A44,'2122 Band Moderations'!$B$5:$S$22,8,(FALSE))</f>
        <v>0.38495575221238937</v>
      </c>
      <c r="F44" s="1024">
        <f>VLOOKUP(A44,'2122 Band Moderations'!$B$5:$S$22,10,(FALSE))</f>
        <v>1.7699115044247787E-2</v>
      </c>
      <c r="G44" s="1024">
        <f>VLOOKUP(A44,'2122 Band Moderations'!$B$5:$S$22,12,(FALSE))</f>
        <v>8.8495575221238937E-2</v>
      </c>
      <c r="H44" s="1024">
        <f>VLOOKUP(A44,'2122 Band Moderations'!$B$5:$S$22,14,(FALSE))</f>
        <v>2.2123893805309734E-2</v>
      </c>
      <c r="I44" s="1024">
        <f>VLOOKUP(A44,'2122 Band Moderations'!$B$5:$S$22,16,(FALSE))</f>
        <v>0.1415929203539823</v>
      </c>
      <c r="J44" s="1024">
        <f>VLOOKUP(A44,'2122 Band Moderations'!$B$5:$S$22,18,(FALSE))</f>
        <v>1.3274336283185841E-2</v>
      </c>
      <c r="K44" s="451">
        <v>8</v>
      </c>
      <c r="L44" s="1025">
        <f t="shared" si="6"/>
        <v>1641.68561353933</v>
      </c>
      <c r="M44" s="1025">
        <f t="shared" si="4"/>
        <v>0</v>
      </c>
      <c r="N44" s="1025">
        <f t="shared" si="7"/>
        <v>1641.68561353933</v>
      </c>
      <c r="O44" s="235"/>
      <c r="P44" s="235">
        <f t="shared" si="5"/>
        <v>0</v>
      </c>
      <c r="Q44" s="269"/>
      <c r="R44" s="235"/>
      <c r="S44" s="235"/>
      <c r="T44" s="235"/>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row>
    <row r="45" spans="1:52" x14ac:dyDescent="0.25">
      <c r="A45" s="244">
        <v>9257016</v>
      </c>
      <c r="B45" s="237" t="s">
        <v>219</v>
      </c>
      <c r="C45" s="365" t="s">
        <v>1181</v>
      </c>
      <c r="D45" s="1024">
        <f>VLOOKUP(A45,'2122 Band Moderations'!$B$5:$S$22,6,(FALSE))</f>
        <v>0.18012422360248448</v>
      </c>
      <c r="E45" s="1024">
        <f>VLOOKUP(A45,'2122 Band Moderations'!$B$5:$S$22,8,(FALSE))</f>
        <v>0.15527950310559005</v>
      </c>
      <c r="F45" s="1024">
        <f>VLOOKUP(A45,'2122 Band Moderations'!$B$5:$S$22,10,(FALSE))</f>
        <v>6.2111801242236021E-3</v>
      </c>
      <c r="G45" s="1024">
        <f>VLOOKUP(A45,'2122 Band Moderations'!$B$5:$S$22,12,(FALSE))</f>
        <v>0.2236024844720497</v>
      </c>
      <c r="H45" s="1024">
        <f>VLOOKUP(A45,'2122 Band Moderations'!$B$5:$S$22,14,(FALSE))</f>
        <v>0.21118012422360249</v>
      </c>
      <c r="I45" s="1024">
        <f>VLOOKUP(A45,'2122 Band Moderations'!$B$5:$S$22,16,(FALSE))</f>
        <v>1.2422360248447204E-2</v>
      </c>
      <c r="J45" s="1024">
        <f>VLOOKUP(A45,'2122 Band Moderations'!$B$5:$S$22,18,(FALSE))</f>
        <v>0.21118012422360249</v>
      </c>
      <c r="K45" s="451">
        <v>47</v>
      </c>
      <c r="L45" s="1025">
        <f t="shared" si="6"/>
        <v>8018.0829479596223</v>
      </c>
      <c r="M45" s="1025">
        <f t="shared" si="4"/>
        <v>0</v>
      </c>
      <c r="N45" s="1025">
        <f t="shared" si="7"/>
        <v>8018.0829479596223</v>
      </c>
      <c r="O45" s="299" t="s">
        <v>207</v>
      </c>
      <c r="P45" s="235">
        <f t="shared" si="5"/>
        <v>0</v>
      </c>
      <c r="Q45" s="269"/>
      <c r="R45" s="235"/>
      <c r="S45" s="235"/>
      <c r="T45" s="235"/>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row>
    <row r="46" spans="1:52" x14ac:dyDescent="0.25">
      <c r="A46" s="249"/>
      <c r="B46" s="36"/>
      <c r="C46" s="234"/>
      <c r="D46" s="268"/>
      <c r="E46" s="268"/>
      <c r="F46" s="299" t="s">
        <v>207</v>
      </c>
      <c r="G46" s="268"/>
      <c r="H46" s="268"/>
      <c r="I46" s="268"/>
      <c r="J46" s="299" t="s">
        <v>207</v>
      </c>
      <c r="K46" s="36"/>
      <c r="L46" s="269"/>
      <c r="M46" s="269"/>
      <c r="N46" s="299" t="s">
        <v>207</v>
      </c>
      <c r="O46" s="235"/>
      <c r="P46" s="269"/>
      <c r="Q46" s="269"/>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row>
    <row r="47" spans="1:52" ht="13" x14ac:dyDescent="0.3">
      <c r="A47" s="93" t="s">
        <v>1183</v>
      </c>
      <c r="B47" s="36"/>
      <c r="C47" s="36"/>
      <c r="D47" s="36"/>
      <c r="E47" s="36"/>
      <c r="F47" s="36"/>
      <c r="G47" s="36"/>
      <c r="H47" s="36"/>
      <c r="I47" s="36"/>
      <c r="J47" s="36"/>
      <c r="K47" s="234"/>
      <c r="L47" s="234"/>
      <c r="M47" s="36"/>
      <c r="N47" s="36"/>
      <c r="O47" s="36"/>
      <c r="P47" s="36"/>
      <c r="Q47" s="288"/>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row>
    <row r="48" spans="1:52" x14ac:dyDescent="0.25">
      <c r="A48" s="36"/>
      <c r="B48" s="36"/>
      <c r="C48" s="36"/>
      <c r="D48" s="36"/>
      <c r="E48" s="36"/>
      <c r="F48" s="36"/>
      <c r="G48" s="36"/>
      <c r="H48" s="36"/>
      <c r="I48" s="36"/>
      <c r="J48" s="36"/>
      <c r="K48" s="94" t="s">
        <v>1184</v>
      </c>
      <c r="L48" s="234"/>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row>
    <row r="49" spans="1:52" ht="39.75" customHeight="1" x14ac:dyDescent="0.25">
      <c r="A49" s="265" t="s">
        <v>182</v>
      </c>
      <c r="B49" s="237" t="s">
        <v>183</v>
      </c>
      <c r="C49" s="238" t="s">
        <v>184</v>
      </c>
      <c r="D49" s="234" t="s">
        <v>901</v>
      </c>
      <c r="E49" s="234" t="s">
        <v>902</v>
      </c>
      <c r="F49" s="234" t="s">
        <v>903</v>
      </c>
      <c r="G49" s="234" t="s">
        <v>904</v>
      </c>
      <c r="H49" s="234" t="s">
        <v>905</v>
      </c>
      <c r="I49" s="234" t="s">
        <v>906</v>
      </c>
      <c r="J49" s="234" t="s">
        <v>907</v>
      </c>
      <c r="K49" s="243" t="s">
        <v>246</v>
      </c>
      <c r="L49" s="243" t="s">
        <v>272</v>
      </c>
      <c r="M49" s="243" t="s">
        <v>273</v>
      </c>
      <c r="N49" s="243" t="s">
        <v>274</v>
      </c>
      <c r="O49" s="36"/>
      <c r="P49" s="36"/>
      <c r="Q49" s="288"/>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row>
    <row r="50" spans="1:52" x14ac:dyDescent="0.25">
      <c r="A50" s="244">
        <v>9257010</v>
      </c>
      <c r="B50" s="237" t="s">
        <v>205</v>
      </c>
      <c r="C50" s="365">
        <v>5</v>
      </c>
      <c r="D50" s="1024">
        <f>VLOOKUP(A50,'2122 Band Moderations'!$B$5:$S$22,6,(FALSE))</f>
        <v>1.5873015873015872E-2</v>
      </c>
      <c r="E50" s="1024">
        <f>VLOOKUP(A50,'2122 Band Moderations'!$B$5:$S$22,8,(FALSE))</f>
        <v>0.31746031746031744</v>
      </c>
      <c r="F50" s="1024">
        <f>VLOOKUP(A50,'2122 Band Moderations'!$B$5:$S$22,10,(FALSE))</f>
        <v>9.5238095238095233E-2</v>
      </c>
      <c r="G50" s="1024">
        <f>VLOOKUP(A50,'2122 Band Moderations'!$B$5:$S$22,12,(FALSE))</f>
        <v>0.17460317460317459</v>
      </c>
      <c r="H50" s="1024">
        <f>VLOOKUP(A50,'2122 Band Moderations'!$B$5:$S$22,14,(FALSE))</f>
        <v>6.3492063492063489E-2</v>
      </c>
      <c r="I50" s="1024">
        <f>VLOOKUP(A50,'2122 Band Moderations'!$B$5:$S$22,16,(FALSE))</f>
        <v>0.19047619047619047</v>
      </c>
      <c r="J50" s="1024">
        <f>VLOOKUP(A50,'2122 Band Moderations'!$B$5:$S$22,18,(FALSE))</f>
        <v>0.14285714285714285</v>
      </c>
      <c r="K50" s="451">
        <v>90</v>
      </c>
      <c r="L50" s="1025">
        <f t="shared" ref="L50:L67" si="8">((((K50*D50)*$G$92)+((K50*E50)*$G$94)+((K50*F50)*$G$96)+((K50*G50)*$G$98)+((K50*H50)*$G$100)+((K50*I50)*$G$102)+((K50*J50)*$G$104))*(7/12))</f>
        <v>31938.384515590256</v>
      </c>
      <c r="M50" s="1025">
        <f>((F50*K50)*$G$106)*(7/12)</f>
        <v>0</v>
      </c>
      <c r="N50" s="1025">
        <f t="shared" ref="N50:N67" si="9">SUM(L50:M50)</f>
        <v>31938.384515590256</v>
      </c>
      <c r="O50" s="235"/>
      <c r="P50" s="235">
        <f t="shared" ref="P50:P67" si="10">(J50*K50*$G$104)*7/12</f>
        <v>0</v>
      </c>
      <c r="Q50" s="233" t="s">
        <v>207</v>
      </c>
      <c r="R50" s="296" t="s">
        <v>277</v>
      </c>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row>
    <row r="51" spans="1:52" x14ac:dyDescent="0.25">
      <c r="A51" s="244">
        <v>9257005</v>
      </c>
      <c r="B51" s="237" t="s">
        <v>208</v>
      </c>
      <c r="C51" s="365">
        <v>4</v>
      </c>
      <c r="D51" s="1024">
        <f>VLOOKUP(A51,'2122 Band Moderations'!$B$5:$S$22,6,(FALSE))</f>
        <v>0.05</v>
      </c>
      <c r="E51" s="1024">
        <f>VLOOKUP(A51,'2122 Band Moderations'!$B$5:$S$22,8,(FALSE))</f>
        <v>0.4</v>
      </c>
      <c r="F51" s="1024">
        <f>VLOOKUP(A51,'2122 Band Moderations'!$B$5:$S$22,10,(FALSE))</f>
        <v>6.25E-2</v>
      </c>
      <c r="G51" s="1024">
        <f>VLOOKUP(A51,'2122 Band Moderations'!$B$5:$S$22,12,(FALSE))</f>
        <v>0.15</v>
      </c>
      <c r="H51" s="1024">
        <f>VLOOKUP(A51,'2122 Band Moderations'!$B$5:$S$22,14,(FALSE))</f>
        <v>0.125</v>
      </c>
      <c r="I51" s="1024">
        <f>VLOOKUP(A51,'2122 Band Moderations'!$B$5:$S$22,16,(FALSE))</f>
        <v>0.15</v>
      </c>
      <c r="J51" s="1024">
        <f>VLOOKUP(A51,'2122 Band Moderations'!$B$5:$S$22,18,(FALSE))</f>
        <v>6.25E-2</v>
      </c>
      <c r="K51" s="451">
        <v>58</v>
      </c>
      <c r="L51" s="1025">
        <f t="shared" si="8"/>
        <v>21707.752947028981</v>
      </c>
      <c r="M51" s="1025">
        <f t="shared" ref="M51:M67" si="11">((F51*K51)*$G$106)*(7/12)</f>
        <v>0</v>
      </c>
      <c r="N51" s="1025">
        <f t="shared" si="9"/>
        <v>21707.752947028981</v>
      </c>
      <c r="O51" s="235"/>
      <c r="P51" s="235">
        <f t="shared" si="10"/>
        <v>0</v>
      </c>
      <c r="Q51" s="269"/>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row>
    <row r="52" spans="1:52" x14ac:dyDescent="0.25">
      <c r="A52" s="244">
        <v>9257025</v>
      </c>
      <c r="B52" s="237" t="s">
        <v>209</v>
      </c>
      <c r="C52" s="365">
        <v>4</v>
      </c>
      <c r="D52" s="1024">
        <f>VLOOKUP(A52,'2122 Band Moderations'!$B$5:$S$22,6,(FALSE))</f>
        <v>0.15584415584415584</v>
      </c>
      <c r="E52" s="1024">
        <f>VLOOKUP(A52,'2122 Band Moderations'!$B$5:$S$22,8,(FALSE))</f>
        <v>0.40259740259740262</v>
      </c>
      <c r="F52" s="1024">
        <f>VLOOKUP(A52,'2122 Band Moderations'!$B$5:$S$22,10,(FALSE))</f>
        <v>3.896103896103896E-2</v>
      </c>
      <c r="G52" s="1024">
        <f>VLOOKUP(A52,'2122 Band Moderations'!$B$5:$S$22,12,(FALSE))</f>
        <v>0.15584415584415584</v>
      </c>
      <c r="H52" s="1024">
        <f>VLOOKUP(A52,'2122 Band Moderations'!$B$5:$S$22,14,(FALSE))</f>
        <v>5.1948051948051951E-2</v>
      </c>
      <c r="I52" s="1024">
        <f>VLOOKUP(A52,'2122 Band Moderations'!$B$5:$S$22,16,(FALSE))</f>
        <v>0.14285714285714285</v>
      </c>
      <c r="J52" s="1024">
        <f>VLOOKUP(A52,'2122 Band Moderations'!$B$5:$S$22,18,(FALSE))</f>
        <v>5.1948051948051951E-2</v>
      </c>
      <c r="K52" s="451">
        <v>54</v>
      </c>
      <c r="L52" s="1025">
        <f t="shared" si="8"/>
        <v>19683.223872886352</v>
      </c>
      <c r="M52" s="1025">
        <f t="shared" si="11"/>
        <v>0</v>
      </c>
      <c r="N52" s="1025">
        <f t="shared" si="9"/>
        <v>19683.223872886352</v>
      </c>
      <c r="O52" s="235"/>
      <c r="P52" s="235">
        <f t="shared" si="10"/>
        <v>0</v>
      </c>
      <c r="Q52" s="269"/>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row>
    <row r="53" spans="1:52" x14ac:dyDescent="0.25">
      <c r="A53" s="244">
        <v>9257011</v>
      </c>
      <c r="B53" s="237" t="s">
        <v>210</v>
      </c>
      <c r="C53" s="365" t="s">
        <v>1251</v>
      </c>
      <c r="D53" s="1024">
        <f>VLOOKUP(A53,'2122 Band Moderations'!$B$5:$S$22,6,(FALSE))</f>
        <v>5.6603773584905662E-2</v>
      </c>
      <c r="E53" s="1024">
        <f>VLOOKUP(A53,'2122 Band Moderations'!$B$5:$S$22,8,(FALSE))</f>
        <v>0.35849056603773582</v>
      </c>
      <c r="F53" s="1024">
        <f>VLOOKUP(A53,'2122 Band Moderations'!$B$5:$S$22,10,(FALSE))</f>
        <v>1.8867924528301886E-2</v>
      </c>
      <c r="G53" s="1024">
        <f>VLOOKUP(A53,'2122 Band Moderations'!$B$5:$S$22,12,(FALSE))</f>
        <v>0.16981132075471697</v>
      </c>
      <c r="H53" s="1024">
        <f>VLOOKUP(A53,'2122 Band Moderations'!$B$5:$S$22,14,(FALSE))</f>
        <v>0.13207547169811321</v>
      </c>
      <c r="I53" s="1024">
        <f>VLOOKUP(A53,'2122 Band Moderations'!$B$5:$S$22,16,(FALSE))</f>
        <v>0.15094339622641509</v>
      </c>
      <c r="J53" s="1024">
        <f>VLOOKUP(A53,'2122 Band Moderations'!$B$5:$S$22,18,(FALSE))</f>
        <v>0.11320754716981132</v>
      </c>
      <c r="K53" s="451">
        <v>50</v>
      </c>
      <c r="L53" s="1025">
        <f t="shared" si="8"/>
        <v>17955.817815218805</v>
      </c>
      <c r="M53" s="1025">
        <f t="shared" si="11"/>
        <v>0</v>
      </c>
      <c r="N53" s="1025">
        <f t="shared" si="9"/>
        <v>17955.817815218805</v>
      </c>
      <c r="O53" s="235"/>
      <c r="P53" s="235">
        <f t="shared" si="10"/>
        <v>0</v>
      </c>
      <c r="Q53" s="269"/>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row>
    <row r="54" spans="1:52" x14ac:dyDescent="0.25">
      <c r="A54" s="244">
        <v>9257024</v>
      </c>
      <c r="B54" s="237" t="s">
        <v>211</v>
      </c>
      <c r="C54" s="365">
        <v>4</v>
      </c>
      <c r="D54" s="1024">
        <f>VLOOKUP(A54,'2122 Band Moderations'!$B$5:$S$22,6,(FALSE))</f>
        <v>8.4337349397590355E-2</v>
      </c>
      <c r="E54" s="1024">
        <f>VLOOKUP(A54,'2122 Band Moderations'!$B$5:$S$22,8,(FALSE))</f>
        <v>0.45783132530120479</v>
      </c>
      <c r="F54" s="1024">
        <f>VLOOKUP(A54,'2122 Band Moderations'!$B$5:$S$22,10,(FALSE))</f>
        <v>1.2048192771084338E-2</v>
      </c>
      <c r="G54" s="1024">
        <f>VLOOKUP(A54,'2122 Band Moderations'!$B$5:$S$22,12,(FALSE))</f>
        <v>0.18072289156626506</v>
      </c>
      <c r="H54" s="1024">
        <f>VLOOKUP(A54,'2122 Band Moderations'!$B$5:$S$22,14,(FALSE))</f>
        <v>8.4337349397590355E-2</v>
      </c>
      <c r="I54" s="1024">
        <f>VLOOKUP(A54,'2122 Band Moderations'!$B$5:$S$22,16,(FALSE))</f>
        <v>7.2289156626506021E-2</v>
      </c>
      <c r="J54" s="1024">
        <f>VLOOKUP(A54,'2122 Band Moderations'!$B$5:$S$22,18,(FALSE))</f>
        <v>0.10843373493975904</v>
      </c>
      <c r="K54" s="451">
        <v>71</v>
      </c>
      <c r="L54" s="1025">
        <f t="shared" si="8"/>
        <v>24008.965844058377</v>
      </c>
      <c r="M54" s="1025">
        <f t="shared" si="11"/>
        <v>0</v>
      </c>
      <c r="N54" s="1025">
        <f t="shared" si="9"/>
        <v>24008.965844058377</v>
      </c>
      <c r="O54" s="235"/>
      <c r="P54" s="235">
        <f t="shared" si="10"/>
        <v>0</v>
      </c>
      <c r="Q54" s="269"/>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row>
    <row r="55" spans="1:52" x14ac:dyDescent="0.25">
      <c r="A55" s="244">
        <v>9257031</v>
      </c>
      <c r="B55" s="237" t="s">
        <v>257</v>
      </c>
      <c r="C55" s="365">
        <v>5</v>
      </c>
      <c r="D55" s="1024">
        <f>VLOOKUP(A55,'2122 Band Moderations'!$B$5:$S$22,6,(FALSE))</f>
        <v>0</v>
      </c>
      <c r="E55" s="1024">
        <f>VLOOKUP(A55,'2122 Band Moderations'!$B$5:$S$22,8,(FALSE))</f>
        <v>0</v>
      </c>
      <c r="F55" s="1024">
        <f>VLOOKUP(A55,'2122 Band Moderations'!$B$5:$S$22,10,(FALSE))</f>
        <v>1</v>
      </c>
      <c r="G55" s="1024">
        <f>VLOOKUP(A55,'2122 Band Moderations'!$B$5:$S$22,12,(FALSE))</f>
        <v>0</v>
      </c>
      <c r="H55" s="1024">
        <f>VLOOKUP(A55,'2122 Band Moderations'!$B$5:$S$22,14,(FALSE))</f>
        <v>0</v>
      </c>
      <c r="I55" s="1024">
        <f>VLOOKUP(A55,'2122 Band Moderations'!$B$5:$S$22,16,(FALSE))</f>
        <v>0</v>
      </c>
      <c r="J55" s="1024">
        <f>VLOOKUP(A55,'2122 Band Moderations'!$B$5:$S$22,18,(FALSE))</f>
        <v>0</v>
      </c>
      <c r="K55" s="451">
        <v>81</v>
      </c>
      <c r="L55" s="1025">
        <f t="shared" si="8"/>
        <v>27612.295837874964</v>
      </c>
      <c r="M55" s="1025">
        <f t="shared" si="11"/>
        <v>0</v>
      </c>
      <c r="N55" s="1025">
        <f t="shared" si="9"/>
        <v>27612.295837874964</v>
      </c>
      <c r="O55" s="235"/>
      <c r="P55" s="235">
        <f t="shared" si="10"/>
        <v>0</v>
      </c>
      <c r="Q55" s="269"/>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row>
    <row r="56" spans="1:52" x14ac:dyDescent="0.25">
      <c r="A56" s="244">
        <v>9257033</v>
      </c>
      <c r="B56" s="237" t="s">
        <v>220</v>
      </c>
      <c r="C56" s="365" t="s">
        <v>1178</v>
      </c>
      <c r="D56" s="1024">
        <f>VLOOKUP(A56,'2122 Band Moderations'!$B$5:$S$22,6,(FALSE))</f>
        <v>0.16842105263157894</v>
      </c>
      <c r="E56" s="1024">
        <f>VLOOKUP(A56,'2122 Band Moderations'!$B$5:$S$22,8,(FALSE))</f>
        <v>0.5368421052631579</v>
      </c>
      <c r="F56" s="1024">
        <f>VLOOKUP(A56,'2122 Band Moderations'!$B$5:$S$22,10,(FALSE))</f>
        <v>6.3157894736842107E-2</v>
      </c>
      <c r="G56" s="1024">
        <f>VLOOKUP(A56,'2122 Band Moderations'!$B$5:$S$22,12,(FALSE))</f>
        <v>0.14736842105263157</v>
      </c>
      <c r="H56" s="1024">
        <f>VLOOKUP(A56,'2122 Band Moderations'!$B$5:$S$22,14,(FALSE))</f>
        <v>4.2105263157894736E-2</v>
      </c>
      <c r="I56" s="1024">
        <f>VLOOKUP(A56,'2122 Band Moderations'!$B$5:$S$22,16,(FALSE))</f>
        <v>4.2105263157894736E-2</v>
      </c>
      <c r="J56" s="1024">
        <f>VLOOKUP(A56,'2122 Band Moderations'!$B$5:$S$22,18,(FALSE))</f>
        <v>0</v>
      </c>
      <c r="K56" s="451">
        <v>98</v>
      </c>
      <c r="L56" s="1025">
        <f t="shared" si="8"/>
        <v>34989.928098131109</v>
      </c>
      <c r="M56" s="1025">
        <f t="shared" si="11"/>
        <v>0</v>
      </c>
      <c r="N56" s="1025">
        <f t="shared" si="9"/>
        <v>34989.928098131109</v>
      </c>
      <c r="O56" s="235"/>
      <c r="P56" s="235">
        <f t="shared" si="10"/>
        <v>0</v>
      </c>
      <c r="Q56" s="269"/>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row>
    <row r="57" spans="1:52" x14ac:dyDescent="0.25">
      <c r="A57" s="244">
        <v>9257008</v>
      </c>
      <c r="B57" s="237" t="s">
        <v>212</v>
      </c>
      <c r="C57" s="365">
        <v>4</v>
      </c>
      <c r="D57" s="1024">
        <f>VLOOKUP(A57,'2122 Band Moderations'!$B$5:$S$22,6,(FALSE))</f>
        <v>0.10101010101010101</v>
      </c>
      <c r="E57" s="1024">
        <f>VLOOKUP(A57,'2122 Band Moderations'!$B$5:$S$22,8,(FALSE))</f>
        <v>0.58585858585858586</v>
      </c>
      <c r="F57" s="1024">
        <f>VLOOKUP(A57,'2122 Band Moderations'!$B$5:$S$22,10,(FALSE))</f>
        <v>8.0808080808080815E-2</v>
      </c>
      <c r="G57" s="1024">
        <f>VLOOKUP(A57,'2122 Band Moderations'!$B$5:$S$22,12,(FALSE))</f>
        <v>9.0909090909090912E-2</v>
      </c>
      <c r="H57" s="1024">
        <f>VLOOKUP(A57,'2122 Band Moderations'!$B$5:$S$22,14,(FALSE))</f>
        <v>1.0101010101010102E-2</v>
      </c>
      <c r="I57" s="1024">
        <f>VLOOKUP(A57,'2122 Band Moderations'!$B$5:$S$22,16,(FALSE))</f>
        <v>0.12121212121212122</v>
      </c>
      <c r="J57" s="1024">
        <f>VLOOKUP(A57,'2122 Band Moderations'!$B$5:$S$22,18,(FALSE))</f>
        <v>1.0101010101010102E-2</v>
      </c>
      <c r="K57" s="451">
        <v>99</v>
      </c>
      <c r="L57" s="1025">
        <f t="shared" si="8"/>
        <v>36418.686485756916</v>
      </c>
      <c r="M57" s="1025">
        <f t="shared" si="11"/>
        <v>0</v>
      </c>
      <c r="N57" s="1025">
        <f t="shared" si="9"/>
        <v>36418.686485756916</v>
      </c>
      <c r="O57" s="235"/>
      <c r="P57" s="235">
        <f t="shared" si="10"/>
        <v>0</v>
      </c>
      <c r="Q57" s="269"/>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row>
    <row r="58" spans="1:52" x14ac:dyDescent="0.25">
      <c r="A58" s="244">
        <v>9257034</v>
      </c>
      <c r="B58" s="237" t="s">
        <v>221</v>
      </c>
      <c r="C58" s="365" t="s">
        <v>1178</v>
      </c>
      <c r="D58" s="1024">
        <f>VLOOKUP(A58,'2122 Band Moderations'!$B$5:$S$22,6,(FALSE))</f>
        <v>0.42424242424242425</v>
      </c>
      <c r="E58" s="1024">
        <f>VLOOKUP(A58,'2122 Band Moderations'!$B$5:$S$22,8,(FALSE))</f>
        <v>0.29292929292929293</v>
      </c>
      <c r="F58" s="1024">
        <f>VLOOKUP(A58,'2122 Band Moderations'!$B$5:$S$22,10,(FALSE))</f>
        <v>0.14141414141414141</v>
      </c>
      <c r="G58" s="1024">
        <f>VLOOKUP(A58,'2122 Band Moderations'!$B$5:$S$22,12,(FALSE))</f>
        <v>3.0303030303030304E-2</v>
      </c>
      <c r="H58" s="1024">
        <f>VLOOKUP(A58,'2122 Band Moderations'!$B$5:$S$22,14,(FALSE))</f>
        <v>4.0404040404040407E-2</v>
      </c>
      <c r="I58" s="1024">
        <f>VLOOKUP(A58,'2122 Band Moderations'!$B$5:$S$22,16,(FALSE))</f>
        <v>6.0606060606060608E-2</v>
      </c>
      <c r="J58" s="1024">
        <f>VLOOKUP(A58,'2122 Band Moderations'!$B$5:$S$22,18,(FALSE))</f>
        <v>1.0101010101010102E-2</v>
      </c>
      <c r="K58" s="451">
        <v>88</v>
      </c>
      <c r="L58" s="1025">
        <f t="shared" si="8"/>
        <v>29316.758543916647</v>
      </c>
      <c r="M58" s="1025">
        <f t="shared" si="11"/>
        <v>0</v>
      </c>
      <c r="N58" s="1025">
        <f t="shared" si="9"/>
        <v>29316.758543916647</v>
      </c>
      <c r="O58" s="235"/>
      <c r="P58" s="235">
        <f t="shared" si="10"/>
        <v>0</v>
      </c>
      <c r="Q58" s="269"/>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row>
    <row r="59" spans="1:52" x14ac:dyDescent="0.25">
      <c r="A59" s="244">
        <v>9257002</v>
      </c>
      <c r="B59" s="237" t="s">
        <v>213</v>
      </c>
      <c r="C59" s="365">
        <v>5</v>
      </c>
      <c r="D59" s="1024">
        <f>VLOOKUP(A59,'2122 Band Moderations'!$B$5:$S$22,6,(FALSE))</f>
        <v>0.3546099290780142</v>
      </c>
      <c r="E59" s="1024">
        <f>VLOOKUP(A59,'2122 Band Moderations'!$B$5:$S$22,8,(FALSE))</f>
        <v>0.38297872340425532</v>
      </c>
      <c r="F59" s="1024">
        <f>VLOOKUP(A59,'2122 Band Moderations'!$B$5:$S$22,10,(FALSE))</f>
        <v>0.1276595744680851</v>
      </c>
      <c r="G59" s="1024">
        <f>VLOOKUP(A59,'2122 Band Moderations'!$B$5:$S$22,12,(FALSE))</f>
        <v>2.8368794326241134E-2</v>
      </c>
      <c r="H59" s="1024">
        <f>VLOOKUP(A59,'2122 Band Moderations'!$B$5:$S$22,14,(FALSE))</f>
        <v>2.1276595744680851E-2</v>
      </c>
      <c r="I59" s="1024">
        <f>VLOOKUP(A59,'2122 Band Moderations'!$B$5:$S$22,16,(FALSE))</f>
        <v>7.8014184397163122E-2</v>
      </c>
      <c r="J59" s="1024">
        <f>VLOOKUP(A59,'2122 Band Moderations'!$B$5:$S$22,18,(FALSE))</f>
        <v>7.0921985815602835E-3</v>
      </c>
      <c r="K59" s="451">
        <v>151</v>
      </c>
      <c r="L59" s="1025">
        <f t="shared" si="8"/>
        <v>51383.506393163159</v>
      </c>
      <c r="M59" s="1025">
        <f t="shared" si="11"/>
        <v>0</v>
      </c>
      <c r="N59" s="1025">
        <f t="shared" si="9"/>
        <v>51383.506393163159</v>
      </c>
      <c r="O59" s="235"/>
      <c r="P59" s="235">
        <f t="shared" si="10"/>
        <v>0</v>
      </c>
      <c r="Q59" s="269"/>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row>
    <row r="60" spans="1:52" x14ac:dyDescent="0.25">
      <c r="A60" s="244">
        <v>9257009</v>
      </c>
      <c r="B60" s="237" t="s">
        <v>214</v>
      </c>
      <c r="C60" s="365" t="s">
        <v>1178</v>
      </c>
      <c r="D60" s="1024">
        <f>VLOOKUP(A60,'2122 Band Moderations'!$B$5:$S$22,6,(FALSE))</f>
        <v>0.23200000000000001</v>
      </c>
      <c r="E60" s="1024">
        <f>VLOOKUP(A60,'2122 Band Moderations'!$B$5:$S$22,8,(FALSE))</f>
        <v>0.57599999999999996</v>
      </c>
      <c r="F60" s="1024">
        <f>VLOOKUP(A60,'2122 Band Moderations'!$B$5:$S$22,10,(FALSE))</f>
        <v>0.08</v>
      </c>
      <c r="G60" s="1024">
        <f>VLOOKUP(A60,'2122 Band Moderations'!$B$5:$S$22,12,(FALSE))</f>
        <v>2.4E-2</v>
      </c>
      <c r="H60" s="1024">
        <f>VLOOKUP(A60,'2122 Band Moderations'!$B$5:$S$22,14,(FALSE))</f>
        <v>8.0000000000000002E-3</v>
      </c>
      <c r="I60" s="1024">
        <f>VLOOKUP(A60,'2122 Band Moderations'!$B$5:$S$22,16,(FALSE))</f>
        <v>0.08</v>
      </c>
      <c r="J60" s="1024">
        <f>VLOOKUP(A60,'2122 Band Moderations'!$B$5:$S$22,18,(FALSE))</f>
        <v>0</v>
      </c>
      <c r="K60" s="451">
        <v>136</v>
      </c>
      <c r="L60" s="1025">
        <f t="shared" si="8"/>
        <v>47412.243678031518</v>
      </c>
      <c r="M60" s="1025">
        <f t="shared" si="11"/>
        <v>0</v>
      </c>
      <c r="N60" s="1025">
        <f t="shared" si="9"/>
        <v>47412.243678031518</v>
      </c>
      <c r="O60" s="235"/>
      <c r="P60" s="235">
        <f t="shared" si="10"/>
        <v>0</v>
      </c>
      <c r="Q60" s="269"/>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row>
    <row r="61" spans="1:52" x14ac:dyDescent="0.25">
      <c r="A61" s="244">
        <v>9257029</v>
      </c>
      <c r="B61" s="237" t="s">
        <v>890</v>
      </c>
      <c r="C61" s="365" t="s">
        <v>1179</v>
      </c>
      <c r="D61" s="1024">
        <f>VLOOKUP(A61,'2122 Band Moderations'!$B$5:$S$22,6,(FALSE))</f>
        <v>0</v>
      </c>
      <c r="E61" s="1024">
        <f>VLOOKUP(A61,'2122 Band Moderations'!$B$5:$S$22,8,(FALSE))</f>
        <v>0</v>
      </c>
      <c r="F61" s="1024">
        <f>VLOOKUP(A61,'2122 Band Moderations'!$B$5:$S$22,10,(FALSE))</f>
        <v>1</v>
      </c>
      <c r="G61" s="1024">
        <f>VLOOKUP(A61,'2122 Band Moderations'!$B$5:$S$22,12,(FALSE))</f>
        <v>0</v>
      </c>
      <c r="H61" s="1024">
        <f>VLOOKUP(A61,'2122 Band Moderations'!$B$5:$S$22,14,(FALSE))</f>
        <v>0</v>
      </c>
      <c r="I61" s="1024">
        <f>VLOOKUP(A61,'2122 Band Moderations'!$B$5:$S$22,16,(FALSE))</f>
        <v>0</v>
      </c>
      <c r="J61" s="1024">
        <f>VLOOKUP(A61,'2122 Band Moderations'!$B$5:$S$22,18,(FALSE))</f>
        <v>0</v>
      </c>
      <c r="K61" s="451">
        <v>78</v>
      </c>
      <c r="L61" s="1025">
        <f t="shared" si="8"/>
        <v>26589.618214249967</v>
      </c>
      <c r="M61" s="1025">
        <f t="shared" si="11"/>
        <v>0</v>
      </c>
      <c r="N61" s="1025">
        <f t="shared" si="9"/>
        <v>26589.618214249967</v>
      </c>
      <c r="O61" s="235"/>
      <c r="P61" s="235">
        <f t="shared" si="10"/>
        <v>0</v>
      </c>
      <c r="Q61" s="269"/>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row>
    <row r="62" spans="1:52" x14ac:dyDescent="0.25">
      <c r="A62" s="244">
        <v>9257032</v>
      </c>
      <c r="B62" s="237" t="s">
        <v>1043</v>
      </c>
      <c r="C62" s="365" t="s">
        <v>1179</v>
      </c>
      <c r="D62" s="1024">
        <f>VLOOKUP(A62,'2122 Band Moderations'!$B$5:$S$22,6,(FALSE))</f>
        <v>0</v>
      </c>
      <c r="E62" s="1024">
        <f>VLOOKUP(A62,'2122 Band Moderations'!$B$5:$S$22,8,(FALSE))</f>
        <v>0</v>
      </c>
      <c r="F62" s="1024">
        <f>VLOOKUP(A62,'2122 Band Moderations'!$B$5:$S$22,10,(FALSE))</f>
        <v>1</v>
      </c>
      <c r="G62" s="1024">
        <f>VLOOKUP(A62,'2122 Band Moderations'!$B$5:$S$22,12,(FALSE))</f>
        <v>0</v>
      </c>
      <c r="H62" s="1024">
        <f>VLOOKUP(A62,'2122 Band Moderations'!$B$5:$S$22,14,(FALSE))</f>
        <v>0</v>
      </c>
      <c r="I62" s="1024">
        <f>VLOOKUP(A62,'2122 Band Moderations'!$B$5:$S$22,16,(FALSE))</f>
        <v>0</v>
      </c>
      <c r="J62" s="1024">
        <f>VLOOKUP(A62,'2122 Band Moderations'!$B$5:$S$22,18,(FALSE))</f>
        <v>0</v>
      </c>
      <c r="K62" s="451">
        <v>104</v>
      </c>
      <c r="L62" s="1025">
        <f t="shared" si="8"/>
        <v>35452.824285666626</v>
      </c>
      <c r="M62" s="1025">
        <f t="shared" si="11"/>
        <v>0</v>
      </c>
      <c r="N62" s="1025">
        <f t="shared" si="9"/>
        <v>35452.824285666626</v>
      </c>
      <c r="O62" s="235"/>
      <c r="P62" s="235">
        <f t="shared" si="10"/>
        <v>0</v>
      </c>
      <c r="Q62" s="269"/>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row>
    <row r="63" spans="1:52" x14ac:dyDescent="0.25">
      <c r="A63" s="244">
        <v>9257030</v>
      </c>
      <c r="B63" s="237" t="s">
        <v>1046</v>
      </c>
      <c r="C63" s="365" t="s">
        <v>1179</v>
      </c>
      <c r="D63" s="1024">
        <f>VLOOKUP(A63,'2122 Band Moderations'!$B$5:$S$22,6,(FALSE))</f>
        <v>0</v>
      </c>
      <c r="E63" s="1024">
        <f>VLOOKUP(A63,'2122 Band Moderations'!$B$5:$S$22,8,(FALSE))</f>
        <v>0</v>
      </c>
      <c r="F63" s="1024">
        <f>VLOOKUP(A63,'2122 Band Moderations'!$B$5:$S$22,10,(FALSE))</f>
        <v>1</v>
      </c>
      <c r="G63" s="1024">
        <f>VLOOKUP(A63,'2122 Band Moderations'!$B$5:$S$22,12,(FALSE))</f>
        <v>0</v>
      </c>
      <c r="H63" s="1024">
        <f>VLOOKUP(A63,'2122 Band Moderations'!$B$5:$S$22,14,(FALSE))</f>
        <v>0</v>
      </c>
      <c r="I63" s="1024">
        <f>VLOOKUP(A63,'2122 Band Moderations'!$B$5:$S$22,16,(FALSE))</f>
        <v>0</v>
      </c>
      <c r="J63" s="1024">
        <f>VLOOKUP(A63,'2122 Band Moderations'!$B$5:$S$22,18,(FALSE))</f>
        <v>0</v>
      </c>
      <c r="K63" s="451">
        <v>72</v>
      </c>
      <c r="L63" s="1025">
        <f t="shared" si="8"/>
        <v>24544.26296699997</v>
      </c>
      <c r="M63" s="1025">
        <f t="shared" si="11"/>
        <v>0</v>
      </c>
      <c r="N63" s="1025">
        <f t="shared" si="9"/>
        <v>24544.26296699997</v>
      </c>
      <c r="O63" s="235"/>
      <c r="P63" s="235">
        <f t="shared" si="10"/>
        <v>0</v>
      </c>
      <c r="Q63" s="269"/>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row>
    <row r="64" spans="1:52" x14ac:dyDescent="0.25">
      <c r="A64" s="244">
        <v>9257028</v>
      </c>
      <c r="B64" s="237" t="s">
        <v>215</v>
      </c>
      <c r="C64" s="365">
        <v>5</v>
      </c>
      <c r="D64" s="1024">
        <f>VLOOKUP(A64,'2122 Band Moderations'!$B$5:$S$22,6,(FALSE))</f>
        <v>8.9108910891089105E-2</v>
      </c>
      <c r="E64" s="1024">
        <f>VLOOKUP(A64,'2122 Band Moderations'!$B$5:$S$22,8,(FALSE))</f>
        <v>0.40594059405940597</v>
      </c>
      <c r="F64" s="1024">
        <f>VLOOKUP(A64,'2122 Band Moderations'!$B$5:$S$22,10,(FALSE))</f>
        <v>7.9207920792079209E-2</v>
      </c>
      <c r="G64" s="1024">
        <f>VLOOKUP(A64,'2122 Band Moderations'!$B$5:$S$22,12,(FALSE))</f>
        <v>8.9108910891089105E-2</v>
      </c>
      <c r="H64" s="1024">
        <f>VLOOKUP(A64,'2122 Band Moderations'!$B$5:$S$22,14,(FALSE))</f>
        <v>0.12871287128712872</v>
      </c>
      <c r="I64" s="1024">
        <f>VLOOKUP(A64,'2122 Band Moderations'!$B$5:$S$22,16,(FALSE))</f>
        <v>9.9009900990099015E-2</v>
      </c>
      <c r="J64" s="1024">
        <f>VLOOKUP(A64,'2122 Band Moderations'!$B$5:$S$22,18,(FALSE))</f>
        <v>0.10891089108910891</v>
      </c>
      <c r="K64" s="451">
        <v>117</v>
      </c>
      <c r="L64" s="1025">
        <f t="shared" si="8"/>
        <v>39752.795548037095</v>
      </c>
      <c r="M64" s="1025">
        <f t="shared" si="11"/>
        <v>0</v>
      </c>
      <c r="N64" s="1025">
        <f t="shared" si="9"/>
        <v>39752.795548037095</v>
      </c>
      <c r="O64" s="235"/>
      <c r="P64" s="235">
        <f t="shared" si="10"/>
        <v>0</v>
      </c>
      <c r="Q64" s="269"/>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row>
    <row r="65" spans="1:52" x14ac:dyDescent="0.25">
      <c r="A65" s="244">
        <v>9257021</v>
      </c>
      <c r="B65" s="237" t="s">
        <v>216</v>
      </c>
      <c r="C65" s="365" t="s">
        <v>1180</v>
      </c>
      <c r="D65" s="1024">
        <f>VLOOKUP(A65,'2122 Band Moderations'!$B$5:$S$22,6,(FALSE))</f>
        <v>0.26829268292682928</v>
      </c>
      <c r="E65" s="1024">
        <f>VLOOKUP(A65,'2122 Band Moderations'!$B$5:$S$22,8,(FALSE))</f>
        <v>0.42682926829268292</v>
      </c>
      <c r="F65" s="1024">
        <f>VLOOKUP(A65,'2122 Band Moderations'!$B$5:$S$22,10,(FALSE))</f>
        <v>7.926829268292683E-2</v>
      </c>
      <c r="G65" s="1024">
        <f>VLOOKUP(A65,'2122 Band Moderations'!$B$5:$S$22,12,(FALSE))</f>
        <v>6.7073170731707321E-2</v>
      </c>
      <c r="H65" s="1024">
        <f>VLOOKUP(A65,'2122 Band Moderations'!$B$5:$S$22,14,(FALSE))</f>
        <v>5.4878048780487805E-2</v>
      </c>
      <c r="I65" s="1024">
        <f>VLOOKUP(A65,'2122 Band Moderations'!$B$5:$S$22,16,(FALSE))</f>
        <v>9.1463414634146339E-2</v>
      </c>
      <c r="J65" s="1024">
        <f>VLOOKUP(A65,'2122 Band Moderations'!$B$5:$S$22,18,(FALSE))</f>
        <v>1.2195121951219513E-2</v>
      </c>
      <c r="K65" s="451">
        <v>169</v>
      </c>
      <c r="L65" s="1025">
        <f t="shared" si="8"/>
        <v>59601.457900979716</v>
      </c>
      <c r="M65" s="1025">
        <f t="shared" si="11"/>
        <v>0</v>
      </c>
      <c r="N65" s="1025">
        <f t="shared" si="9"/>
        <v>59601.457900979716</v>
      </c>
      <c r="O65" s="235"/>
      <c r="P65" s="235">
        <f t="shared" si="10"/>
        <v>0</v>
      </c>
      <c r="Q65" s="269"/>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row>
    <row r="66" spans="1:52" x14ac:dyDescent="0.25">
      <c r="A66" s="244">
        <v>9257015</v>
      </c>
      <c r="B66" s="237" t="s">
        <v>217</v>
      </c>
      <c r="C66" s="365" t="s">
        <v>1181</v>
      </c>
      <c r="D66" s="1024">
        <f>VLOOKUP(A66,'2122 Band Moderations'!$B$5:$S$22,6,(FALSE))</f>
        <v>0.33185840707964603</v>
      </c>
      <c r="E66" s="1024">
        <f>VLOOKUP(A66,'2122 Band Moderations'!$B$5:$S$22,8,(FALSE))</f>
        <v>0.38495575221238937</v>
      </c>
      <c r="F66" s="1024">
        <f>VLOOKUP(A66,'2122 Band Moderations'!$B$5:$S$22,10,(FALSE))</f>
        <v>1.7699115044247787E-2</v>
      </c>
      <c r="G66" s="1024">
        <f>VLOOKUP(A66,'2122 Band Moderations'!$B$5:$S$22,12,(FALSE))</f>
        <v>8.8495575221238937E-2</v>
      </c>
      <c r="H66" s="1024">
        <f>VLOOKUP(A66,'2122 Band Moderations'!$B$5:$S$22,14,(FALSE))</f>
        <v>2.2123893805309734E-2</v>
      </c>
      <c r="I66" s="1024">
        <f>VLOOKUP(A66,'2122 Band Moderations'!$B$5:$S$22,16,(FALSE))</f>
        <v>0.1415929203539823</v>
      </c>
      <c r="J66" s="1024">
        <f>VLOOKUP(A66,'2122 Band Moderations'!$B$5:$S$22,18,(FALSE))</f>
        <v>1.3274336283185841E-2</v>
      </c>
      <c r="K66" s="451">
        <v>223</v>
      </c>
      <c r="L66" s="1025">
        <f t="shared" si="8"/>
        <v>80083.476335465457</v>
      </c>
      <c r="M66" s="1025">
        <f t="shared" si="11"/>
        <v>0</v>
      </c>
      <c r="N66" s="1025">
        <f t="shared" si="9"/>
        <v>80083.476335465457</v>
      </c>
      <c r="O66" s="235"/>
      <c r="P66" s="235">
        <f t="shared" si="10"/>
        <v>0</v>
      </c>
      <c r="Q66" s="269"/>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row>
    <row r="67" spans="1:52" x14ac:dyDescent="0.25">
      <c r="A67" s="244">
        <v>9257016</v>
      </c>
      <c r="B67" s="237" t="s">
        <v>219</v>
      </c>
      <c r="C67" s="365" t="s">
        <v>1181</v>
      </c>
      <c r="D67" s="1024">
        <f>VLOOKUP(A67,'2122 Band Moderations'!$B$5:$S$22,6,(FALSE))</f>
        <v>0.18012422360248448</v>
      </c>
      <c r="E67" s="1024">
        <f>VLOOKUP(A67,'2122 Band Moderations'!$B$5:$S$22,8,(FALSE))</f>
        <v>0.15527950310559005</v>
      </c>
      <c r="F67" s="1024">
        <f>VLOOKUP(A67,'2122 Band Moderations'!$B$5:$S$22,10,(FALSE))</f>
        <v>6.2111801242236021E-3</v>
      </c>
      <c r="G67" s="1024">
        <f>VLOOKUP(A67,'2122 Band Moderations'!$B$5:$S$22,12,(FALSE))</f>
        <v>0.2236024844720497</v>
      </c>
      <c r="H67" s="1024">
        <f>VLOOKUP(A67,'2122 Band Moderations'!$B$5:$S$22,14,(FALSE))</f>
        <v>0.21118012422360249</v>
      </c>
      <c r="I67" s="1024">
        <f>VLOOKUP(A67,'2122 Band Moderations'!$B$5:$S$22,16,(FALSE))</f>
        <v>1.2422360248447204E-2</v>
      </c>
      <c r="J67" s="1024">
        <f>VLOOKUP(A67,'2122 Band Moderations'!$B$5:$S$22,18,(FALSE))</f>
        <v>0.21118012422360249</v>
      </c>
      <c r="K67" s="451">
        <v>105</v>
      </c>
      <c r="L67" s="1025">
        <f t="shared" si="8"/>
        <v>31347.292376331508</v>
      </c>
      <c r="M67" s="1025">
        <f t="shared" si="11"/>
        <v>0</v>
      </c>
      <c r="N67" s="1025">
        <f t="shared" si="9"/>
        <v>31347.292376331508</v>
      </c>
      <c r="O67" s="299" t="s">
        <v>207</v>
      </c>
      <c r="P67" s="235">
        <f t="shared" si="10"/>
        <v>0</v>
      </c>
      <c r="Q67" s="269"/>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row>
    <row r="68" spans="1:52" x14ac:dyDescent="0.25">
      <c r="A68" s="36"/>
      <c r="B68" s="36"/>
      <c r="C68" s="36"/>
      <c r="D68" s="36"/>
      <c r="E68" s="36"/>
      <c r="F68" s="299" t="s">
        <v>207</v>
      </c>
      <c r="G68" s="36"/>
      <c r="H68" s="36"/>
      <c r="I68" s="36"/>
      <c r="J68" s="299" t="s">
        <v>207</v>
      </c>
      <c r="K68" s="234"/>
      <c r="L68" s="36"/>
      <c r="M68" s="36"/>
      <c r="N68" s="299" t="s">
        <v>207</v>
      </c>
      <c r="O68" s="36"/>
      <c r="P68" s="36"/>
      <c r="Q68" s="288"/>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row>
    <row r="69" spans="1:52" ht="13" x14ac:dyDescent="0.3">
      <c r="A69" s="93" t="s">
        <v>1185</v>
      </c>
      <c r="B69" s="36"/>
      <c r="C69" s="36"/>
      <c r="D69" s="36"/>
      <c r="E69" s="36"/>
      <c r="F69" s="36"/>
      <c r="G69" s="36"/>
      <c r="H69" s="36"/>
      <c r="I69" s="36"/>
      <c r="J69" s="36"/>
      <c r="K69" s="234"/>
      <c r="L69" s="234"/>
      <c r="M69" s="36"/>
      <c r="N69" s="36"/>
      <c r="O69" s="36"/>
      <c r="P69" s="36"/>
      <c r="Q69" s="288"/>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row>
    <row r="70" spans="1:52" x14ac:dyDescent="0.25">
      <c r="A70" s="36"/>
      <c r="B70" s="36"/>
      <c r="C70" s="36"/>
      <c r="D70" s="36"/>
      <c r="E70" s="36"/>
      <c r="F70" s="36"/>
      <c r="G70" s="36"/>
      <c r="H70" s="36"/>
      <c r="I70" s="36"/>
      <c r="J70" s="36"/>
      <c r="K70" s="234"/>
      <c r="L70" s="234"/>
      <c r="M70" s="36"/>
      <c r="N70" s="36"/>
      <c r="O70" s="36"/>
      <c r="P70" s="36"/>
      <c r="Q70" s="288"/>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row>
    <row r="71" spans="1:52" ht="37.5" x14ac:dyDescent="0.25">
      <c r="A71" s="265" t="s">
        <v>182</v>
      </c>
      <c r="B71" s="237" t="s">
        <v>183</v>
      </c>
      <c r="C71" s="238" t="s">
        <v>184</v>
      </c>
      <c r="D71" s="234" t="s">
        <v>901</v>
      </c>
      <c r="E71" s="234" t="s">
        <v>902</v>
      </c>
      <c r="F71" s="234" t="s">
        <v>903</v>
      </c>
      <c r="G71" s="234" t="s">
        <v>904</v>
      </c>
      <c r="H71" s="234" t="s">
        <v>905</v>
      </c>
      <c r="I71" s="234" t="s">
        <v>906</v>
      </c>
      <c r="J71" s="234" t="s">
        <v>907</v>
      </c>
      <c r="K71" s="243" t="s">
        <v>264</v>
      </c>
      <c r="L71" s="243" t="s">
        <v>279</v>
      </c>
      <c r="M71" s="243" t="s">
        <v>280</v>
      </c>
      <c r="N71" s="243" t="s">
        <v>279</v>
      </c>
      <c r="O71" s="243"/>
      <c r="P71" s="243"/>
      <c r="Q71" s="27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row>
    <row r="72" spans="1:52" x14ac:dyDescent="0.25">
      <c r="A72" s="244">
        <v>9257010</v>
      </c>
      <c r="B72" s="237" t="s">
        <v>205</v>
      </c>
      <c r="C72" s="365">
        <v>5</v>
      </c>
      <c r="D72" s="1024">
        <f>VLOOKUP(A72,'2122 Band Moderations'!$B$5:$S$22,6,(FALSE))</f>
        <v>1.5873015873015872E-2</v>
      </c>
      <c r="E72" s="1024">
        <f>VLOOKUP(A72,'2122 Band Moderations'!$B$5:$S$22,8,(FALSE))</f>
        <v>0.31746031746031744</v>
      </c>
      <c r="F72" s="1024">
        <f>VLOOKUP(A72,'2122 Band Moderations'!$B$5:$S$22,10,(FALSE))</f>
        <v>9.5238095238095233E-2</v>
      </c>
      <c r="G72" s="1024">
        <f>VLOOKUP(A72,'2122 Band Moderations'!$B$5:$S$22,12,(FALSE))</f>
        <v>0.17460317460317459</v>
      </c>
      <c r="H72" s="1024">
        <f>VLOOKUP(A72,'2122 Band Moderations'!$B$5:$S$22,14,(FALSE))</f>
        <v>6.3492063492063489E-2</v>
      </c>
      <c r="I72" s="1024">
        <f>VLOOKUP(A72,'2122 Band Moderations'!$B$5:$S$22,16,(FALSE))</f>
        <v>0.19047619047619047</v>
      </c>
      <c r="J72" s="1024">
        <f>VLOOKUP(A72,'2122 Band Moderations'!$B$5:$S$22,18,(FALSE))</f>
        <v>0.14285714285714285</v>
      </c>
      <c r="K72" s="451">
        <v>10</v>
      </c>
      <c r="L72" s="1025">
        <f>((((K72*D72)*$G$92)+((K72*E72)*$G$94)+((K72*F72)*$G$96)+((K72*G72)*$G$98)+((K72*H72)*$G$100)+((K72*I72)*$G$102)+((K72*J72)*$G$104)))*(8/12)</f>
        <v>4055.6678749955872</v>
      </c>
      <c r="M72" s="1025">
        <f t="shared" ref="M72:M89" si="12">((F72*K72)*$G$106)*(8/12)</f>
        <v>0</v>
      </c>
      <c r="N72" s="1025">
        <f>SUM(L72:M72)</f>
        <v>4055.6678749955872</v>
      </c>
      <c r="O72" s="235"/>
      <c r="P72" s="235">
        <f t="shared" ref="P72:P89" si="13">(J72*K72*$G$104)*8/12</f>
        <v>0</v>
      </c>
      <c r="Q72" s="269"/>
      <c r="R72" s="280"/>
      <c r="S72" s="36"/>
      <c r="T72" s="297" t="s">
        <v>207</v>
      </c>
      <c r="U72" s="296" t="s">
        <v>282</v>
      </c>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row>
    <row r="73" spans="1:52" x14ac:dyDescent="0.25">
      <c r="A73" s="244">
        <v>9257005</v>
      </c>
      <c r="B73" s="237" t="s">
        <v>208</v>
      </c>
      <c r="C73" s="365">
        <v>4</v>
      </c>
      <c r="D73" s="1024">
        <f>VLOOKUP(A73,'2122 Band Moderations'!$B$5:$S$22,6,(FALSE))</f>
        <v>0.05</v>
      </c>
      <c r="E73" s="1024">
        <f>VLOOKUP(A73,'2122 Band Moderations'!$B$5:$S$22,8,(FALSE))</f>
        <v>0.4</v>
      </c>
      <c r="F73" s="1024">
        <f>VLOOKUP(A73,'2122 Band Moderations'!$B$5:$S$22,10,(FALSE))</f>
        <v>6.25E-2</v>
      </c>
      <c r="G73" s="1024">
        <f>VLOOKUP(A73,'2122 Band Moderations'!$B$5:$S$22,12,(FALSE))</f>
        <v>0.15</v>
      </c>
      <c r="H73" s="1024">
        <f>VLOOKUP(A73,'2122 Band Moderations'!$B$5:$S$22,14,(FALSE))</f>
        <v>0.125</v>
      </c>
      <c r="I73" s="1024">
        <f>VLOOKUP(A73,'2122 Band Moderations'!$B$5:$S$22,16,(FALSE))</f>
        <v>0.15</v>
      </c>
      <c r="J73" s="1024">
        <f>VLOOKUP(A73,'2122 Band Moderations'!$B$5:$S$22,18,(FALSE))</f>
        <v>6.25E-2</v>
      </c>
      <c r="K73" s="451">
        <v>28</v>
      </c>
      <c r="L73" s="1025">
        <f t="shared" ref="L73:L89" si="14">((((K73*D73)*$G$92)+((K73*E73)*$G$94)+((K73*F73)*$G$96)+((K73*G73)*$G$98)+((K73*H73)*$G$100)+((K73*I73)*$G$102)+((K73*J73)*$G$104)))*(8/12)</f>
        <v>11976.691281119436</v>
      </c>
      <c r="M73" s="1025">
        <f t="shared" si="12"/>
        <v>0</v>
      </c>
      <c r="N73" s="1025">
        <f>SUM(L73:M73)</f>
        <v>11976.691281119436</v>
      </c>
      <c r="O73" s="235"/>
      <c r="P73" s="235">
        <f t="shared" si="13"/>
        <v>0</v>
      </c>
      <c r="Q73" s="269"/>
      <c r="R73" s="280"/>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row>
    <row r="74" spans="1:52" x14ac:dyDescent="0.25">
      <c r="A74" s="244">
        <v>9257025</v>
      </c>
      <c r="B74" s="237" t="s">
        <v>209</v>
      </c>
      <c r="C74" s="365">
        <v>4</v>
      </c>
      <c r="D74" s="1024">
        <f>VLOOKUP(A74,'2122 Band Moderations'!$B$5:$S$22,6,(FALSE))</f>
        <v>0.15584415584415584</v>
      </c>
      <c r="E74" s="1024">
        <f>VLOOKUP(A74,'2122 Band Moderations'!$B$5:$S$22,8,(FALSE))</f>
        <v>0.40259740259740262</v>
      </c>
      <c r="F74" s="1024">
        <f>VLOOKUP(A74,'2122 Band Moderations'!$B$5:$S$22,10,(FALSE))</f>
        <v>3.896103896103896E-2</v>
      </c>
      <c r="G74" s="1024">
        <f>VLOOKUP(A74,'2122 Band Moderations'!$B$5:$S$22,12,(FALSE))</f>
        <v>0.15584415584415584</v>
      </c>
      <c r="H74" s="1024">
        <f>VLOOKUP(A74,'2122 Band Moderations'!$B$5:$S$22,14,(FALSE))</f>
        <v>5.1948051948051951E-2</v>
      </c>
      <c r="I74" s="1024">
        <f>VLOOKUP(A74,'2122 Band Moderations'!$B$5:$S$22,16,(FALSE))</f>
        <v>0.14285714285714285</v>
      </c>
      <c r="J74" s="1024">
        <f>VLOOKUP(A74,'2122 Band Moderations'!$B$5:$S$22,18,(FALSE))</f>
        <v>5.1948051948051951E-2</v>
      </c>
      <c r="K74" s="451">
        <v>24</v>
      </c>
      <c r="L74" s="1025">
        <f t="shared" si="14"/>
        <v>9997.8279989263974</v>
      </c>
      <c r="M74" s="1025">
        <f t="shared" si="12"/>
        <v>0</v>
      </c>
      <c r="N74" s="1025">
        <f t="shared" ref="N74:N89" si="15">SUM(L74:M74)</f>
        <v>9997.8279989263974</v>
      </c>
      <c r="O74" s="235"/>
      <c r="P74" s="235">
        <f t="shared" si="13"/>
        <v>0</v>
      </c>
      <c r="Q74" s="269"/>
      <c r="R74" s="280"/>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row>
    <row r="75" spans="1:52" x14ac:dyDescent="0.25">
      <c r="A75" s="244">
        <v>9257011</v>
      </c>
      <c r="B75" s="237" t="s">
        <v>210</v>
      </c>
      <c r="C75" s="365" t="s">
        <v>1251</v>
      </c>
      <c r="D75" s="1024">
        <f>VLOOKUP(A75,'2122 Band Moderations'!$B$5:$S$22,6,(FALSE))</f>
        <v>5.6603773584905662E-2</v>
      </c>
      <c r="E75" s="1024">
        <f>VLOOKUP(A75,'2122 Band Moderations'!$B$5:$S$22,8,(FALSE))</f>
        <v>0.35849056603773582</v>
      </c>
      <c r="F75" s="1024">
        <f>VLOOKUP(A75,'2122 Band Moderations'!$B$5:$S$22,10,(FALSE))</f>
        <v>1.8867924528301886E-2</v>
      </c>
      <c r="G75" s="1024">
        <f>VLOOKUP(A75,'2122 Band Moderations'!$B$5:$S$22,12,(FALSE))</f>
        <v>0.16981132075471697</v>
      </c>
      <c r="H75" s="1024">
        <f>VLOOKUP(A75,'2122 Band Moderations'!$B$5:$S$22,14,(FALSE))</f>
        <v>0.13207547169811321</v>
      </c>
      <c r="I75" s="1024">
        <f>VLOOKUP(A75,'2122 Band Moderations'!$B$5:$S$22,16,(FALSE))</f>
        <v>0.15094339622641509</v>
      </c>
      <c r="J75" s="1024">
        <f>VLOOKUP(A75,'2122 Band Moderations'!$B$5:$S$22,18,(FALSE))</f>
        <v>0.11320754716981132</v>
      </c>
      <c r="K75" s="451">
        <v>8</v>
      </c>
      <c r="L75" s="1025">
        <f t="shared" si="14"/>
        <v>3283.3495433542948</v>
      </c>
      <c r="M75" s="1025">
        <f t="shared" si="12"/>
        <v>0</v>
      </c>
      <c r="N75" s="1025">
        <f t="shared" si="15"/>
        <v>3283.3495433542948</v>
      </c>
      <c r="O75" s="235"/>
      <c r="P75" s="235">
        <f t="shared" si="13"/>
        <v>0</v>
      </c>
      <c r="Q75" s="269"/>
      <c r="R75" s="280"/>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row>
    <row r="76" spans="1:52" x14ac:dyDescent="0.25">
      <c r="A76" s="244">
        <v>9257024</v>
      </c>
      <c r="B76" s="237" t="s">
        <v>211</v>
      </c>
      <c r="C76" s="365">
        <v>4</v>
      </c>
      <c r="D76" s="1024">
        <f>VLOOKUP(A76,'2122 Band Moderations'!$B$5:$S$22,6,(FALSE))</f>
        <v>8.4337349397590355E-2</v>
      </c>
      <c r="E76" s="1024">
        <f>VLOOKUP(A76,'2122 Band Moderations'!$B$5:$S$22,8,(FALSE))</f>
        <v>0.45783132530120479</v>
      </c>
      <c r="F76" s="1024">
        <f>VLOOKUP(A76,'2122 Band Moderations'!$B$5:$S$22,10,(FALSE))</f>
        <v>1.2048192771084338E-2</v>
      </c>
      <c r="G76" s="1024">
        <f>VLOOKUP(A76,'2122 Band Moderations'!$B$5:$S$22,12,(FALSE))</f>
        <v>0.18072289156626506</v>
      </c>
      <c r="H76" s="1024">
        <f>VLOOKUP(A76,'2122 Band Moderations'!$B$5:$S$22,14,(FALSE))</f>
        <v>8.4337349397590355E-2</v>
      </c>
      <c r="I76" s="1024">
        <f>VLOOKUP(A76,'2122 Band Moderations'!$B$5:$S$22,16,(FALSE))</f>
        <v>7.2289156626506021E-2</v>
      </c>
      <c r="J76" s="1024">
        <f>VLOOKUP(A76,'2122 Band Moderations'!$B$5:$S$22,18,(FALSE))</f>
        <v>0.10843373493975904</v>
      </c>
      <c r="K76" s="451">
        <v>13</v>
      </c>
      <c r="L76" s="1025">
        <f t="shared" si="14"/>
        <v>5024.0089492597008</v>
      </c>
      <c r="M76" s="1025">
        <f t="shared" si="12"/>
        <v>0</v>
      </c>
      <c r="N76" s="1025">
        <f t="shared" si="15"/>
        <v>5024.0089492597008</v>
      </c>
      <c r="O76" s="235"/>
      <c r="P76" s="235">
        <f t="shared" si="13"/>
        <v>0</v>
      </c>
      <c r="Q76" s="269"/>
      <c r="R76" s="280"/>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row>
    <row r="77" spans="1:52" x14ac:dyDescent="0.25">
      <c r="A77" s="244">
        <v>9257031</v>
      </c>
      <c r="B77" s="237" t="s">
        <v>257</v>
      </c>
      <c r="C77" s="365">
        <v>5</v>
      </c>
      <c r="D77" s="1024">
        <f>VLOOKUP(A77,'2122 Band Moderations'!$B$5:$S$22,6,(FALSE))</f>
        <v>0</v>
      </c>
      <c r="E77" s="1024">
        <f>VLOOKUP(A77,'2122 Band Moderations'!$B$5:$S$22,8,(FALSE))</f>
        <v>0</v>
      </c>
      <c r="F77" s="1024">
        <f>VLOOKUP(A77,'2122 Band Moderations'!$B$5:$S$22,10,(FALSE))</f>
        <v>1</v>
      </c>
      <c r="G77" s="1024">
        <f>VLOOKUP(A77,'2122 Band Moderations'!$B$5:$S$22,12,(FALSE))</f>
        <v>0</v>
      </c>
      <c r="H77" s="1024">
        <f>VLOOKUP(A77,'2122 Band Moderations'!$B$5:$S$22,14,(FALSE))</f>
        <v>0</v>
      </c>
      <c r="I77" s="1024">
        <f>VLOOKUP(A77,'2122 Band Moderations'!$B$5:$S$22,16,(FALSE))</f>
        <v>0</v>
      </c>
      <c r="J77" s="1024">
        <f>VLOOKUP(A77,'2122 Band Moderations'!$B$5:$S$22,18,(FALSE))</f>
        <v>0</v>
      </c>
      <c r="K77" s="451">
        <v>0</v>
      </c>
      <c r="L77" s="1025">
        <f t="shared" si="14"/>
        <v>0</v>
      </c>
      <c r="M77" s="1025">
        <f t="shared" si="12"/>
        <v>0</v>
      </c>
      <c r="N77" s="1025">
        <f t="shared" si="15"/>
        <v>0</v>
      </c>
      <c r="O77" s="235"/>
      <c r="P77" s="235">
        <f t="shared" si="13"/>
        <v>0</v>
      </c>
      <c r="Q77" s="269"/>
      <c r="R77" s="280"/>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row>
    <row r="78" spans="1:52" x14ac:dyDescent="0.25">
      <c r="A78" s="244">
        <v>9257033</v>
      </c>
      <c r="B78" s="237" t="s">
        <v>220</v>
      </c>
      <c r="C78" s="365" t="s">
        <v>1178</v>
      </c>
      <c r="D78" s="1024">
        <f>VLOOKUP(A78,'2122 Band Moderations'!$B$5:$S$22,6,(FALSE))</f>
        <v>0.16842105263157894</v>
      </c>
      <c r="E78" s="1024">
        <f>VLOOKUP(A78,'2122 Band Moderations'!$B$5:$S$22,8,(FALSE))</f>
        <v>0.5368421052631579</v>
      </c>
      <c r="F78" s="1024">
        <f>VLOOKUP(A78,'2122 Band Moderations'!$B$5:$S$22,10,(FALSE))</f>
        <v>6.3157894736842107E-2</v>
      </c>
      <c r="G78" s="1024">
        <f>VLOOKUP(A78,'2122 Band Moderations'!$B$5:$S$22,12,(FALSE))</f>
        <v>0.14736842105263157</v>
      </c>
      <c r="H78" s="1024">
        <f>VLOOKUP(A78,'2122 Band Moderations'!$B$5:$S$22,14,(FALSE))</f>
        <v>4.2105263157894736E-2</v>
      </c>
      <c r="I78" s="1024">
        <f>VLOOKUP(A78,'2122 Band Moderations'!$B$5:$S$22,16,(FALSE))</f>
        <v>4.2105263157894736E-2</v>
      </c>
      <c r="J78" s="1024">
        <f>VLOOKUP(A78,'2122 Band Moderations'!$B$5:$S$22,18,(FALSE))</f>
        <v>0</v>
      </c>
      <c r="K78" s="451">
        <v>0</v>
      </c>
      <c r="L78" s="1025">
        <f t="shared" si="14"/>
        <v>0</v>
      </c>
      <c r="M78" s="1025">
        <f t="shared" si="12"/>
        <v>0</v>
      </c>
      <c r="N78" s="1025">
        <f t="shared" si="15"/>
        <v>0</v>
      </c>
      <c r="O78" s="235"/>
      <c r="P78" s="235">
        <f t="shared" si="13"/>
        <v>0</v>
      </c>
      <c r="Q78" s="269"/>
      <c r="R78" s="280"/>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row>
    <row r="79" spans="1:52" x14ac:dyDescent="0.25">
      <c r="A79" s="244">
        <v>9257008</v>
      </c>
      <c r="B79" s="237" t="s">
        <v>212</v>
      </c>
      <c r="C79" s="365">
        <v>4</v>
      </c>
      <c r="D79" s="1024">
        <f>VLOOKUP(A79,'2122 Band Moderations'!$B$5:$S$22,6,(FALSE))</f>
        <v>0.10101010101010101</v>
      </c>
      <c r="E79" s="1024">
        <f>VLOOKUP(A79,'2122 Band Moderations'!$B$5:$S$22,8,(FALSE))</f>
        <v>0.58585858585858586</v>
      </c>
      <c r="F79" s="1024">
        <f>VLOOKUP(A79,'2122 Band Moderations'!$B$5:$S$22,10,(FALSE))</f>
        <v>8.0808080808080815E-2</v>
      </c>
      <c r="G79" s="1024">
        <f>VLOOKUP(A79,'2122 Band Moderations'!$B$5:$S$22,12,(FALSE))</f>
        <v>9.0909090909090912E-2</v>
      </c>
      <c r="H79" s="1024">
        <f>VLOOKUP(A79,'2122 Band Moderations'!$B$5:$S$22,14,(FALSE))</f>
        <v>1.0101010101010102E-2</v>
      </c>
      <c r="I79" s="1024">
        <f>VLOOKUP(A79,'2122 Band Moderations'!$B$5:$S$22,16,(FALSE))</f>
        <v>0.12121212121212122</v>
      </c>
      <c r="J79" s="1024">
        <f>VLOOKUP(A79,'2122 Band Moderations'!$B$5:$S$22,18,(FALSE))</f>
        <v>1.0101010101010102E-2</v>
      </c>
      <c r="K79" s="451">
        <v>0</v>
      </c>
      <c r="L79" s="1025">
        <f t="shared" si="14"/>
        <v>0</v>
      </c>
      <c r="M79" s="1025">
        <f t="shared" si="12"/>
        <v>0</v>
      </c>
      <c r="N79" s="1025">
        <f t="shared" si="15"/>
        <v>0</v>
      </c>
      <c r="O79" s="235"/>
      <c r="P79" s="235">
        <f t="shared" si="13"/>
        <v>0</v>
      </c>
      <c r="Q79" s="269"/>
      <c r="R79" s="280"/>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row>
    <row r="80" spans="1:52" x14ac:dyDescent="0.25">
      <c r="A80" s="244">
        <v>9257034</v>
      </c>
      <c r="B80" s="237" t="s">
        <v>221</v>
      </c>
      <c r="C80" s="365" t="s">
        <v>1178</v>
      </c>
      <c r="D80" s="1024">
        <f>VLOOKUP(A80,'2122 Band Moderations'!$B$5:$S$22,6,(FALSE))</f>
        <v>0.42424242424242425</v>
      </c>
      <c r="E80" s="1024">
        <f>VLOOKUP(A80,'2122 Band Moderations'!$B$5:$S$22,8,(FALSE))</f>
        <v>0.29292929292929293</v>
      </c>
      <c r="F80" s="1024">
        <f>VLOOKUP(A80,'2122 Band Moderations'!$B$5:$S$22,10,(FALSE))</f>
        <v>0.14141414141414141</v>
      </c>
      <c r="G80" s="1024">
        <f>VLOOKUP(A80,'2122 Band Moderations'!$B$5:$S$22,12,(FALSE))</f>
        <v>3.0303030303030304E-2</v>
      </c>
      <c r="H80" s="1024">
        <f>VLOOKUP(A80,'2122 Band Moderations'!$B$5:$S$22,14,(FALSE))</f>
        <v>4.0404040404040407E-2</v>
      </c>
      <c r="I80" s="1024">
        <f>VLOOKUP(A80,'2122 Band Moderations'!$B$5:$S$22,16,(FALSE))</f>
        <v>6.0606060606060608E-2</v>
      </c>
      <c r="J80" s="1024">
        <f>VLOOKUP(A80,'2122 Band Moderations'!$B$5:$S$22,18,(FALSE))</f>
        <v>1.0101010101010102E-2</v>
      </c>
      <c r="K80" s="451">
        <v>32</v>
      </c>
      <c r="L80" s="1025">
        <f t="shared" si="14"/>
        <v>12183.587966303021</v>
      </c>
      <c r="M80" s="1025">
        <f t="shared" si="12"/>
        <v>0</v>
      </c>
      <c r="N80" s="1025">
        <f t="shared" si="15"/>
        <v>12183.587966303021</v>
      </c>
      <c r="O80" s="235"/>
      <c r="P80" s="235">
        <f t="shared" si="13"/>
        <v>0</v>
      </c>
      <c r="Q80" s="269"/>
      <c r="R80" s="280"/>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row>
    <row r="81" spans="1:52" x14ac:dyDescent="0.25">
      <c r="A81" s="244">
        <v>9257002</v>
      </c>
      <c r="B81" s="237" t="s">
        <v>213</v>
      </c>
      <c r="C81" s="365">
        <v>5</v>
      </c>
      <c r="D81" s="1024">
        <f>VLOOKUP(A81,'2122 Band Moderations'!$B$5:$S$22,6,(FALSE))</f>
        <v>0.3546099290780142</v>
      </c>
      <c r="E81" s="1024">
        <f>VLOOKUP(A81,'2122 Band Moderations'!$B$5:$S$22,8,(FALSE))</f>
        <v>0.38297872340425532</v>
      </c>
      <c r="F81" s="1024">
        <f>VLOOKUP(A81,'2122 Band Moderations'!$B$5:$S$22,10,(FALSE))</f>
        <v>0.1276595744680851</v>
      </c>
      <c r="G81" s="1024">
        <f>VLOOKUP(A81,'2122 Band Moderations'!$B$5:$S$22,12,(FALSE))</f>
        <v>2.8368794326241134E-2</v>
      </c>
      <c r="H81" s="1024">
        <f>VLOOKUP(A81,'2122 Band Moderations'!$B$5:$S$22,14,(FALSE))</f>
        <v>2.1276595744680851E-2</v>
      </c>
      <c r="I81" s="1024">
        <f>VLOOKUP(A81,'2122 Band Moderations'!$B$5:$S$22,16,(FALSE))</f>
        <v>7.8014184397163122E-2</v>
      </c>
      <c r="J81" s="1024">
        <f>VLOOKUP(A81,'2122 Band Moderations'!$B$5:$S$22,18,(FALSE))</f>
        <v>7.0921985815602835E-3</v>
      </c>
      <c r="K81" s="451">
        <v>0</v>
      </c>
      <c r="L81" s="1025">
        <f t="shared" si="14"/>
        <v>0</v>
      </c>
      <c r="M81" s="1025">
        <f t="shared" si="12"/>
        <v>0</v>
      </c>
      <c r="N81" s="1025">
        <f t="shared" si="15"/>
        <v>0</v>
      </c>
      <c r="O81" s="235"/>
      <c r="P81" s="235">
        <f t="shared" si="13"/>
        <v>0</v>
      </c>
      <c r="Q81" s="269"/>
      <c r="R81" s="280"/>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row>
    <row r="82" spans="1:52" x14ac:dyDescent="0.25">
      <c r="A82" s="244">
        <v>9257009</v>
      </c>
      <c r="B82" s="237" t="s">
        <v>214</v>
      </c>
      <c r="C82" s="365" t="s">
        <v>1178</v>
      </c>
      <c r="D82" s="1024">
        <f>VLOOKUP(A82,'2122 Band Moderations'!$B$5:$S$22,6,(FALSE))</f>
        <v>0.23200000000000001</v>
      </c>
      <c r="E82" s="1024">
        <f>VLOOKUP(A82,'2122 Band Moderations'!$B$5:$S$22,8,(FALSE))</f>
        <v>0.57599999999999996</v>
      </c>
      <c r="F82" s="1024">
        <f>VLOOKUP(A82,'2122 Band Moderations'!$B$5:$S$22,10,(FALSE))</f>
        <v>0.08</v>
      </c>
      <c r="G82" s="1024">
        <f>VLOOKUP(A82,'2122 Band Moderations'!$B$5:$S$22,12,(FALSE))</f>
        <v>2.4E-2</v>
      </c>
      <c r="H82" s="1024">
        <f>VLOOKUP(A82,'2122 Band Moderations'!$B$5:$S$22,14,(FALSE))</f>
        <v>8.0000000000000002E-3</v>
      </c>
      <c r="I82" s="1024">
        <f>VLOOKUP(A82,'2122 Band Moderations'!$B$5:$S$22,16,(FALSE))</f>
        <v>0.08</v>
      </c>
      <c r="J82" s="1024">
        <f>VLOOKUP(A82,'2122 Band Moderations'!$B$5:$S$22,18,(FALSE))</f>
        <v>0</v>
      </c>
      <c r="K82" s="451">
        <v>0</v>
      </c>
      <c r="L82" s="1025">
        <f t="shared" si="14"/>
        <v>0</v>
      </c>
      <c r="M82" s="1025">
        <f t="shared" si="12"/>
        <v>0</v>
      </c>
      <c r="N82" s="1025">
        <f t="shared" si="15"/>
        <v>0</v>
      </c>
      <c r="O82" s="235"/>
      <c r="P82" s="235">
        <f t="shared" si="13"/>
        <v>0</v>
      </c>
      <c r="Q82" s="269"/>
      <c r="R82" s="280"/>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row>
    <row r="83" spans="1:52" x14ac:dyDescent="0.25">
      <c r="A83" s="244">
        <v>9257029</v>
      </c>
      <c r="B83" s="237" t="s">
        <v>890</v>
      </c>
      <c r="C83" s="365" t="s">
        <v>1179</v>
      </c>
      <c r="D83" s="1024">
        <f>VLOOKUP(A83,'2122 Band Moderations'!$B$5:$S$22,6,(FALSE))</f>
        <v>0</v>
      </c>
      <c r="E83" s="1024">
        <f>VLOOKUP(A83,'2122 Band Moderations'!$B$5:$S$22,8,(FALSE))</f>
        <v>0</v>
      </c>
      <c r="F83" s="1024">
        <f>VLOOKUP(A83,'2122 Band Moderations'!$B$5:$S$22,10,(FALSE))</f>
        <v>1</v>
      </c>
      <c r="G83" s="1024">
        <f>VLOOKUP(A83,'2122 Band Moderations'!$B$5:$S$22,12,(FALSE))</f>
        <v>0</v>
      </c>
      <c r="H83" s="1024">
        <f>VLOOKUP(A83,'2122 Band Moderations'!$B$5:$S$22,14,(FALSE))</f>
        <v>0</v>
      </c>
      <c r="I83" s="1024">
        <f>VLOOKUP(A83,'2122 Band Moderations'!$B$5:$S$22,16,(FALSE))</f>
        <v>0</v>
      </c>
      <c r="J83" s="1024">
        <f>VLOOKUP(A83,'2122 Band Moderations'!$B$5:$S$22,18,(FALSE))</f>
        <v>0</v>
      </c>
      <c r="K83" s="451">
        <v>0</v>
      </c>
      <c r="L83" s="1025">
        <f t="shared" si="14"/>
        <v>0</v>
      </c>
      <c r="M83" s="1025">
        <f t="shared" si="12"/>
        <v>0</v>
      </c>
      <c r="N83" s="1025">
        <f t="shared" si="15"/>
        <v>0</v>
      </c>
      <c r="O83" s="235"/>
      <c r="P83" s="235">
        <f t="shared" si="13"/>
        <v>0</v>
      </c>
      <c r="Q83" s="269"/>
      <c r="R83" s="280"/>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row>
    <row r="84" spans="1:52" x14ac:dyDescent="0.25">
      <c r="A84" s="244">
        <v>9257032</v>
      </c>
      <c r="B84" s="237" t="s">
        <v>1043</v>
      </c>
      <c r="C84" s="365" t="s">
        <v>1179</v>
      </c>
      <c r="D84" s="1024">
        <f>VLOOKUP(A84,'2122 Band Moderations'!$B$5:$S$22,6,(FALSE))</f>
        <v>0</v>
      </c>
      <c r="E84" s="1024">
        <f>VLOOKUP(A84,'2122 Band Moderations'!$B$5:$S$22,8,(FALSE))</f>
        <v>0</v>
      </c>
      <c r="F84" s="1024">
        <f>VLOOKUP(A84,'2122 Band Moderations'!$B$5:$S$22,10,(FALSE))</f>
        <v>1</v>
      </c>
      <c r="G84" s="1024">
        <f>VLOOKUP(A84,'2122 Band Moderations'!$B$5:$S$22,12,(FALSE))</f>
        <v>0</v>
      </c>
      <c r="H84" s="1024">
        <f>VLOOKUP(A84,'2122 Band Moderations'!$B$5:$S$22,14,(FALSE))</f>
        <v>0</v>
      </c>
      <c r="I84" s="1024">
        <f>VLOOKUP(A84,'2122 Band Moderations'!$B$5:$S$22,16,(FALSE))</f>
        <v>0</v>
      </c>
      <c r="J84" s="1024">
        <f>VLOOKUP(A84,'2122 Band Moderations'!$B$5:$S$22,18,(FALSE))</f>
        <v>0</v>
      </c>
      <c r="K84" s="451">
        <v>0</v>
      </c>
      <c r="L84" s="1025">
        <f t="shared" si="14"/>
        <v>0</v>
      </c>
      <c r="M84" s="1025">
        <f t="shared" si="12"/>
        <v>0</v>
      </c>
      <c r="N84" s="1025">
        <f t="shared" si="15"/>
        <v>0</v>
      </c>
      <c r="O84" s="235"/>
      <c r="P84" s="235">
        <f t="shared" si="13"/>
        <v>0</v>
      </c>
      <c r="Q84" s="269"/>
      <c r="R84" s="280"/>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row>
    <row r="85" spans="1:52" x14ac:dyDescent="0.25">
      <c r="A85" s="244">
        <v>9257030</v>
      </c>
      <c r="B85" s="237" t="s">
        <v>1046</v>
      </c>
      <c r="C85" s="365" t="s">
        <v>1179</v>
      </c>
      <c r="D85" s="1024">
        <f>VLOOKUP(A85,'2122 Band Moderations'!$B$5:$S$22,6,(FALSE))</f>
        <v>0</v>
      </c>
      <c r="E85" s="1024">
        <f>VLOOKUP(A85,'2122 Band Moderations'!$B$5:$S$22,8,(FALSE))</f>
        <v>0</v>
      </c>
      <c r="F85" s="1024">
        <f>VLOOKUP(A85,'2122 Band Moderations'!$B$5:$S$22,10,(FALSE))</f>
        <v>1</v>
      </c>
      <c r="G85" s="1024">
        <f>VLOOKUP(A85,'2122 Band Moderations'!$B$5:$S$22,12,(FALSE))</f>
        <v>0</v>
      </c>
      <c r="H85" s="1024">
        <f>VLOOKUP(A85,'2122 Band Moderations'!$B$5:$S$22,14,(FALSE))</f>
        <v>0</v>
      </c>
      <c r="I85" s="1024">
        <f>VLOOKUP(A85,'2122 Band Moderations'!$B$5:$S$22,16,(FALSE))</f>
        <v>0</v>
      </c>
      <c r="J85" s="1024">
        <f>VLOOKUP(A85,'2122 Band Moderations'!$B$5:$S$22,18,(FALSE))</f>
        <v>0</v>
      </c>
      <c r="K85" s="451">
        <v>0</v>
      </c>
      <c r="L85" s="1025">
        <f t="shared" si="14"/>
        <v>0</v>
      </c>
      <c r="M85" s="1025">
        <f t="shared" si="12"/>
        <v>0</v>
      </c>
      <c r="N85" s="1025">
        <f t="shared" si="15"/>
        <v>0</v>
      </c>
      <c r="O85" s="235"/>
      <c r="P85" s="235">
        <f t="shared" si="13"/>
        <v>0</v>
      </c>
      <c r="Q85" s="269"/>
      <c r="R85" s="280"/>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row>
    <row r="86" spans="1:52" x14ac:dyDescent="0.25">
      <c r="A86" s="244">
        <v>9257028</v>
      </c>
      <c r="B86" s="237" t="s">
        <v>215</v>
      </c>
      <c r="C86" s="365">
        <v>5</v>
      </c>
      <c r="D86" s="1024">
        <f>VLOOKUP(A86,'2122 Band Moderations'!$B$5:$S$22,6,(FALSE))</f>
        <v>8.9108910891089105E-2</v>
      </c>
      <c r="E86" s="1024">
        <f>VLOOKUP(A86,'2122 Band Moderations'!$B$5:$S$22,8,(FALSE))</f>
        <v>0.40594059405940597</v>
      </c>
      <c r="F86" s="1024">
        <f>VLOOKUP(A86,'2122 Band Moderations'!$B$5:$S$22,10,(FALSE))</f>
        <v>7.9207920792079209E-2</v>
      </c>
      <c r="G86" s="1024">
        <f>VLOOKUP(A86,'2122 Band Moderations'!$B$5:$S$22,12,(FALSE))</f>
        <v>8.9108910891089105E-2</v>
      </c>
      <c r="H86" s="1024">
        <f>VLOOKUP(A86,'2122 Band Moderations'!$B$5:$S$22,14,(FALSE))</f>
        <v>0.12871287128712872</v>
      </c>
      <c r="I86" s="1024">
        <f>VLOOKUP(A86,'2122 Band Moderations'!$B$5:$S$22,16,(FALSE))</f>
        <v>9.9009900990099015E-2</v>
      </c>
      <c r="J86" s="1024">
        <f>VLOOKUP(A86,'2122 Band Moderations'!$B$5:$S$22,18,(FALSE))</f>
        <v>0.10891089108910891</v>
      </c>
      <c r="K86" s="451">
        <v>5</v>
      </c>
      <c r="L86" s="1025">
        <f t="shared" si="14"/>
        <v>1941.5284760946079</v>
      </c>
      <c r="M86" s="1025">
        <f t="shared" si="12"/>
        <v>0</v>
      </c>
      <c r="N86" s="1025">
        <f t="shared" si="15"/>
        <v>1941.5284760946079</v>
      </c>
      <c r="O86" s="235"/>
      <c r="P86" s="235">
        <f t="shared" si="13"/>
        <v>0</v>
      </c>
      <c r="Q86" s="269"/>
      <c r="R86" s="280"/>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row>
    <row r="87" spans="1:52" x14ac:dyDescent="0.25">
      <c r="A87" s="244">
        <v>9257021</v>
      </c>
      <c r="B87" s="237" t="s">
        <v>216</v>
      </c>
      <c r="C87" s="365" t="s">
        <v>1180</v>
      </c>
      <c r="D87" s="1024">
        <f>VLOOKUP(A87,'2122 Band Moderations'!$B$5:$S$22,6,(FALSE))</f>
        <v>0.26829268292682928</v>
      </c>
      <c r="E87" s="1024">
        <f>VLOOKUP(A87,'2122 Band Moderations'!$B$5:$S$22,8,(FALSE))</f>
        <v>0.42682926829268292</v>
      </c>
      <c r="F87" s="1024">
        <f>VLOOKUP(A87,'2122 Band Moderations'!$B$5:$S$22,10,(FALSE))</f>
        <v>7.926829268292683E-2</v>
      </c>
      <c r="G87" s="1024">
        <f>VLOOKUP(A87,'2122 Band Moderations'!$B$5:$S$22,12,(FALSE))</f>
        <v>6.7073170731707321E-2</v>
      </c>
      <c r="H87" s="1024">
        <f>VLOOKUP(A87,'2122 Band Moderations'!$B$5:$S$22,14,(FALSE))</f>
        <v>5.4878048780487805E-2</v>
      </c>
      <c r="I87" s="1024">
        <f>VLOOKUP(A87,'2122 Band Moderations'!$B$5:$S$22,16,(FALSE))</f>
        <v>9.1463414634146339E-2</v>
      </c>
      <c r="J87" s="1024">
        <f>VLOOKUP(A87,'2122 Band Moderations'!$B$5:$S$22,18,(FALSE))</f>
        <v>1.2195121951219513E-2</v>
      </c>
      <c r="K87" s="451">
        <v>0</v>
      </c>
      <c r="L87" s="1025">
        <f t="shared" si="14"/>
        <v>0</v>
      </c>
      <c r="M87" s="1025">
        <f t="shared" si="12"/>
        <v>0</v>
      </c>
      <c r="N87" s="1025">
        <f t="shared" si="15"/>
        <v>0</v>
      </c>
      <c r="O87" s="235"/>
      <c r="P87" s="235">
        <f t="shared" si="13"/>
        <v>0</v>
      </c>
      <c r="Q87" s="269"/>
      <c r="R87" s="280"/>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row>
    <row r="88" spans="1:52" x14ac:dyDescent="0.25">
      <c r="A88" s="244">
        <v>9257015</v>
      </c>
      <c r="B88" s="237" t="s">
        <v>217</v>
      </c>
      <c r="C88" s="365" t="s">
        <v>1181</v>
      </c>
      <c r="D88" s="1024">
        <f>VLOOKUP(A88,'2122 Band Moderations'!$B$5:$S$22,6,(FALSE))</f>
        <v>0.33185840707964603</v>
      </c>
      <c r="E88" s="1024">
        <f>VLOOKUP(A88,'2122 Band Moderations'!$B$5:$S$22,8,(FALSE))</f>
        <v>0.38495575221238937</v>
      </c>
      <c r="F88" s="1024">
        <f>VLOOKUP(A88,'2122 Band Moderations'!$B$5:$S$22,10,(FALSE))</f>
        <v>1.7699115044247787E-2</v>
      </c>
      <c r="G88" s="1024">
        <f>VLOOKUP(A88,'2122 Band Moderations'!$B$5:$S$22,12,(FALSE))</f>
        <v>8.8495575221238937E-2</v>
      </c>
      <c r="H88" s="1024">
        <f>VLOOKUP(A88,'2122 Band Moderations'!$B$5:$S$22,14,(FALSE))</f>
        <v>2.2123893805309734E-2</v>
      </c>
      <c r="I88" s="1024">
        <f>VLOOKUP(A88,'2122 Band Moderations'!$B$5:$S$22,16,(FALSE))</f>
        <v>0.1415929203539823</v>
      </c>
      <c r="J88" s="1024">
        <f>VLOOKUP(A88,'2122 Band Moderations'!$B$5:$S$22,18,(FALSE))</f>
        <v>1.3274336283185841E-2</v>
      </c>
      <c r="K88" s="451">
        <v>3</v>
      </c>
      <c r="L88" s="1025">
        <f t="shared" si="14"/>
        <v>1231.2642101544975</v>
      </c>
      <c r="M88" s="1025">
        <f t="shared" si="12"/>
        <v>0</v>
      </c>
      <c r="N88" s="1025">
        <f t="shared" si="15"/>
        <v>1231.2642101544975</v>
      </c>
      <c r="O88" s="235"/>
      <c r="P88" s="235">
        <f t="shared" si="13"/>
        <v>0</v>
      </c>
      <c r="Q88" s="269"/>
      <c r="R88" s="280"/>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row>
    <row r="89" spans="1:52" x14ac:dyDescent="0.25">
      <c r="A89" s="244">
        <v>9257016</v>
      </c>
      <c r="B89" s="237" t="s">
        <v>219</v>
      </c>
      <c r="C89" s="365" t="s">
        <v>1181</v>
      </c>
      <c r="D89" s="1024">
        <f>VLOOKUP(A89,'2122 Band Moderations'!$B$5:$S$22,6,(FALSE))</f>
        <v>0.18012422360248448</v>
      </c>
      <c r="E89" s="1024">
        <f>VLOOKUP(A89,'2122 Band Moderations'!$B$5:$S$22,8,(FALSE))</f>
        <v>0.15527950310559005</v>
      </c>
      <c r="F89" s="1024">
        <f>VLOOKUP(A89,'2122 Band Moderations'!$B$5:$S$22,10,(FALSE))</f>
        <v>6.2111801242236021E-3</v>
      </c>
      <c r="G89" s="1024">
        <f>VLOOKUP(A89,'2122 Band Moderations'!$B$5:$S$22,12,(FALSE))</f>
        <v>0.2236024844720497</v>
      </c>
      <c r="H89" s="1024">
        <f>VLOOKUP(A89,'2122 Band Moderations'!$B$5:$S$22,14,(FALSE))</f>
        <v>0.21118012422360249</v>
      </c>
      <c r="I89" s="1024">
        <f>VLOOKUP(A89,'2122 Band Moderations'!$B$5:$S$22,16,(FALSE))</f>
        <v>1.2422360248447204E-2</v>
      </c>
      <c r="J89" s="1024">
        <f>VLOOKUP(A89,'2122 Band Moderations'!$B$5:$S$22,18,(FALSE))</f>
        <v>0.21118012422360249</v>
      </c>
      <c r="K89" s="451">
        <v>59</v>
      </c>
      <c r="L89" s="1025">
        <f t="shared" si="14"/>
        <v>20130.506124664586</v>
      </c>
      <c r="M89" s="1025">
        <f t="shared" si="12"/>
        <v>0</v>
      </c>
      <c r="N89" s="1025">
        <f t="shared" si="15"/>
        <v>20130.506124664586</v>
      </c>
      <c r="O89" s="299" t="s">
        <v>207</v>
      </c>
      <c r="P89" s="235">
        <f t="shared" si="13"/>
        <v>0</v>
      </c>
      <c r="Q89" s="269"/>
      <c r="R89" s="280"/>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row>
    <row r="90" spans="1:52" x14ac:dyDescent="0.25">
      <c r="A90" s="36"/>
      <c r="B90" s="36"/>
      <c r="C90" s="36"/>
      <c r="D90" s="36"/>
      <c r="E90" s="36"/>
      <c r="F90" s="299" t="s">
        <v>207</v>
      </c>
      <c r="G90" s="36"/>
      <c r="H90" s="234"/>
      <c r="I90" s="299" t="s">
        <v>207</v>
      </c>
      <c r="J90" s="36"/>
      <c r="K90" s="36"/>
      <c r="L90" s="36"/>
      <c r="M90" s="36"/>
      <c r="N90" s="36"/>
      <c r="O90" s="36"/>
      <c r="P90" s="36"/>
      <c r="Q90" s="288"/>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row>
    <row r="91" spans="1:52" ht="37.5" x14ac:dyDescent="0.25">
      <c r="A91" s="36"/>
      <c r="B91" s="36"/>
      <c r="C91" s="36"/>
      <c r="D91" s="36"/>
      <c r="E91" s="36"/>
      <c r="F91" s="36"/>
      <c r="G91" s="796" t="s">
        <v>1585</v>
      </c>
      <c r="H91" s="795" t="s">
        <v>1586</v>
      </c>
      <c r="I91" s="768" t="s">
        <v>1587</v>
      </c>
      <c r="J91" s="768" t="s">
        <v>1588</v>
      </c>
      <c r="K91" s="768" t="s">
        <v>1589</v>
      </c>
      <c r="L91" s="768" t="s">
        <v>1590</v>
      </c>
      <c r="M91" s="768" t="s">
        <v>1591</v>
      </c>
      <c r="N91" s="839" t="s">
        <v>1592</v>
      </c>
      <c r="O91" s="36"/>
      <c r="P91" s="243" t="s">
        <v>1593</v>
      </c>
      <c r="Q91" s="288"/>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row>
    <row r="92" spans="1:52" x14ac:dyDescent="0.25">
      <c r="A92" s="36"/>
      <c r="B92" s="36" t="s">
        <v>1594</v>
      </c>
      <c r="C92" s="36"/>
      <c r="D92" s="36"/>
      <c r="E92" s="36" t="s">
        <v>735</v>
      </c>
      <c r="F92" s="36"/>
      <c r="G92" s="235">
        <f>N92</f>
        <v>486.98934458333315</v>
      </c>
      <c r="H92" s="235">
        <f>'2122 Pay &amp; Pension Allocations'!C101</f>
        <v>564.11083333333363</v>
      </c>
      <c r="I92" s="235">
        <v>497.64690625000003</v>
      </c>
      <c r="J92" s="235">
        <v>510.90635833333408</v>
      </c>
      <c r="K92" s="235">
        <v>537.5085958333334</v>
      </c>
      <c r="L92" s="235">
        <v>431.0996458333334</v>
      </c>
      <c r="M92" s="235">
        <f>'2122 Band Values'!AN11-'2122 Band Values'!I11</f>
        <v>457.70188333333317</v>
      </c>
      <c r="N92" s="1253">
        <f>'2122 Band Values'!AX11-'2122 Band Values'!I11</f>
        <v>486.98934458333315</v>
      </c>
      <c r="O92" s="281"/>
      <c r="P92" s="1265">
        <f>N92/'2122 Band Values'!L11</f>
        <v>8.4827726326253489E-2</v>
      </c>
      <c r="Q92" s="288"/>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row>
    <row r="93" spans="1:52" x14ac:dyDescent="0.25">
      <c r="A93" s="36"/>
      <c r="B93" s="36" t="s">
        <v>1595</v>
      </c>
      <c r="C93" s="36"/>
      <c r="D93" s="36"/>
      <c r="E93" s="36"/>
      <c r="F93" s="36"/>
      <c r="G93" s="235"/>
      <c r="H93" s="235"/>
      <c r="I93" s="235"/>
      <c r="J93" s="235"/>
      <c r="K93" s="235"/>
      <c r="L93" s="235"/>
      <c r="M93" s="235"/>
      <c r="N93" s="1253"/>
      <c r="O93" s="281"/>
      <c r="P93" s="1265"/>
      <c r="Q93" s="288"/>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row>
    <row r="94" spans="1:52" x14ac:dyDescent="0.25">
      <c r="A94" s="36"/>
      <c r="B94" s="36"/>
      <c r="C94" s="36"/>
      <c r="D94" s="36"/>
      <c r="E94" s="36" t="s">
        <v>736</v>
      </c>
      <c r="F94" s="36"/>
      <c r="G94" s="235">
        <f t="shared" ref="G94:G106" si="16">N94</f>
        <v>584.38721349999923</v>
      </c>
      <c r="H94" s="235">
        <f>'2122 Pay &amp; Pension Allocations'!C102</f>
        <v>676.93299999999999</v>
      </c>
      <c r="I94" s="235">
        <v>597.17628749999949</v>
      </c>
      <c r="J94" s="235">
        <v>613.08762999999999</v>
      </c>
      <c r="K94" s="235">
        <v>645.01031500000045</v>
      </c>
      <c r="L94" s="235">
        <v>517.31957499999953</v>
      </c>
      <c r="M94" s="235">
        <f>'2122 Band Values'!AN8-'2122 Band Values'!I8</f>
        <v>549.24225999999999</v>
      </c>
      <c r="N94" s="1253">
        <f>'2122 Band Values'!AX8-'2122 Band Values'!I8</f>
        <v>584.38721349999923</v>
      </c>
      <c r="O94" s="281"/>
      <c r="P94" s="1265">
        <f>N94/'2122 Band Values'!L8</f>
        <v>8.5573311346926056E-2</v>
      </c>
      <c r="Q94" s="288"/>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row>
    <row r="95" spans="1:52" x14ac:dyDescent="0.25">
      <c r="A95" s="36"/>
      <c r="B95" s="36"/>
      <c r="C95" s="36"/>
      <c r="D95" s="36"/>
      <c r="E95" s="36"/>
      <c r="F95" s="36"/>
      <c r="G95" s="235"/>
      <c r="H95" s="235"/>
      <c r="I95" s="402"/>
      <c r="J95" s="235"/>
      <c r="K95" s="235"/>
      <c r="L95" s="235"/>
      <c r="M95" s="235"/>
      <c r="N95" s="1253"/>
      <c r="O95" s="281"/>
      <c r="P95" s="1265"/>
      <c r="Q95" s="288"/>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row>
    <row r="96" spans="1:52" x14ac:dyDescent="0.25">
      <c r="A96" s="36"/>
      <c r="B96" s="36"/>
      <c r="C96" s="36"/>
      <c r="D96" s="36"/>
      <c r="E96" s="36" t="s">
        <v>737</v>
      </c>
      <c r="F96" s="36"/>
      <c r="G96" s="235">
        <f t="shared" si="16"/>
        <v>584.38721349999923</v>
      </c>
      <c r="H96" s="235">
        <f>'2122 Pay &amp; Pension Allocations'!C103</f>
        <v>676.93299999999999</v>
      </c>
      <c r="I96" s="402">
        <v>597.17628749999949</v>
      </c>
      <c r="J96" s="235">
        <v>613.08762999999999</v>
      </c>
      <c r="K96" s="235">
        <v>645.01031500000045</v>
      </c>
      <c r="L96" s="235">
        <v>517.31957499999953</v>
      </c>
      <c r="M96" s="235">
        <f>'2122 Band Values'!AN17-'2122 Band Values'!I17</f>
        <v>549.24225999999999</v>
      </c>
      <c r="N96" s="1253">
        <f>'2122 Band Values'!AX17-'2122 Band Values'!I17</f>
        <v>584.38721349999923</v>
      </c>
      <c r="O96" s="281"/>
      <c r="P96" s="1265">
        <f>N96/'2122 Band Values'!L17</f>
        <v>5.1883674062824015E-2</v>
      </c>
      <c r="Q96" s="288"/>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row>
    <row r="97" spans="1:52" x14ac:dyDescent="0.25">
      <c r="A97" s="36"/>
      <c r="B97" s="36"/>
      <c r="C97" s="36"/>
      <c r="D97" s="36"/>
      <c r="E97" s="36"/>
      <c r="F97" s="36"/>
      <c r="G97" s="235"/>
      <c r="H97" s="235"/>
      <c r="I97" s="402"/>
      <c r="J97" s="235"/>
      <c r="K97" s="235"/>
      <c r="L97" s="235"/>
      <c r="M97" s="235"/>
      <c r="N97" s="1253"/>
      <c r="O97" s="281"/>
      <c r="P97" s="1265"/>
      <c r="Q97" s="288"/>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234"/>
      <c r="AU97" s="234"/>
      <c r="AV97" s="36"/>
      <c r="AW97" s="36"/>
      <c r="AX97" s="234"/>
      <c r="AY97" s="234"/>
      <c r="AZ97" s="234"/>
    </row>
    <row r="98" spans="1:52" x14ac:dyDescent="0.25">
      <c r="A98" s="36"/>
      <c r="B98" s="36"/>
      <c r="C98" s="36"/>
      <c r="D98" s="36"/>
      <c r="E98" s="36" t="s">
        <v>738</v>
      </c>
      <c r="F98" s="36"/>
      <c r="G98" s="235">
        <f t="shared" si="16"/>
        <v>730.48401687499972</v>
      </c>
      <c r="H98" s="235">
        <f>'2122 Pay &amp; Pension Allocations'!C104</f>
        <v>846.16625000000022</v>
      </c>
      <c r="I98" s="402">
        <v>746.47035937500004</v>
      </c>
      <c r="J98" s="235">
        <v>766.35953750000044</v>
      </c>
      <c r="K98" s="235">
        <v>806.26289375000033</v>
      </c>
      <c r="L98" s="235">
        <v>646.64946874999987</v>
      </c>
      <c r="M98" s="235">
        <f>'2122 Band Values'!AN5-'2122 Band Values'!I5</f>
        <v>686.55282499999976</v>
      </c>
      <c r="N98" s="1253">
        <f>'2122 Band Values'!AX5-'2122 Band Values'!I5</f>
        <v>730.48401687499972</v>
      </c>
      <c r="O98" s="281"/>
      <c r="P98" s="1265">
        <f>N98/'2122 Band Values'!L5</f>
        <v>5.216164732940607E-2</v>
      </c>
      <c r="Q98" s="288"/>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234"/>
      <c r="AU98" s="234"/>
      <c r="AV98" s="36"/>
      <c r="AW98" s="36"/>
      <c r="AX98" s="234"/>
      <c r="AY98" s="234"/>
      <c r="AZ98" s="234"/>
    </row>
    <row r="99" spans="1:52" x14ac:dyDescent="0.25">
      <c r="A99" s="36"/>
      <c r="B99" s="36"/>
      <c r="C99" s="36"/>
      <c r="D99" s="36"/>
      <c r="E99" s="36"/>
      <c r="F99" s="36"/>
      <c r="G99" s="235"/>
      <c r="H99" s="235"/>
      <c r="I99" s="402"/>
      <c r="J99" s="235"/>
      <c r="K99" s="235"/>
      <c r="L99" s="235"/>
      <c r="M99" s="235"/>
      <c r="N99" s="1253"/>
      <c r="O99" s="281"/>
      <c r="P99" s="1265"/>
      <c r="Q99" s="288"/>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234"/>
      <c r="AU99" s="234"/>
      <c r="AV99" s="36"/>
      <c r="AW99" s="36"/>
      <c r="AX99" s="234"/>
      <c r="AY99" s="234"/>
      <c r="AZ99" s="234"/>
    </row>
    <row r="100" spans="1:52" x14ac:dyDescent="0.25">
      <c r="A100" s="36"/>
      <c r="B100" s="36"/>
      <c r="C100" s="36"/>
      <c r="D100" s="36"/>
      <c r="E100" s="36" t="s">
        <v>739</v>
      </c>
      <c r="F100" s="36"/>
      <c r="G100" s="235">
        <f t="shared" si="16"/>
        <v>730.48401687499972</v>
      </c>
      <c r="H100" s="235">
        <f>'2122 Pay &amp; Pension Allocations'!C105</f>
        <v>846.16625000000022</v>
      </c>
      <c r="I100" s="402">
        <v>746.47035937500004</v>
      </c>
      <c r="J100" s="235">
        <v>766.35953750000044</v>
      </c>
      <c r="K100" s="235">
        <v>806.26289375000033</v>
      </c>
      <c r="L100" s="235">
        <v>646.64946874999987</v>
      </c>
      <c r="M100" s="235">
        <f>'2122 Band Values'!AN14-'2122 Band Values'!I14</f>
        <v>686.55282499999976</v>
      </c>
      <c r="N100" s="1253">
        <f>'2122 Band Values'!AX14-'2122 Band Values'!I14</f>
        <v>730.48401687499972</v>
      </c>
      <c r="O100" s="281"/>
      <c r="P100" s="1265">
        <f>N100/'2122 Band Values'!L14</f>
        <v>5.216164732940607E-2</v>
      </c>
      <c r="Q100" s="288"/>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234"/>
      <c r="AU100" s="234"/>
      <c r="AV100" s="36"/>
      <c r="AW100" s="36"/>
      <c r="AX100" s="234"/>
      <c r="AY100" s="234"/>
      <c r="AZ100" s="234"/>
    </row>
    <row r="101" spans="1:52" x14ac:dyDescent="0.25">
      <c r="A101" s="36"/>
      <c r="B101" s="36"/>
      <c r="C101" s="36"/>
      <c r="D101" s="36"/>
      <c r="E101" s="36"/>
      <c r="F101" s="36"/>
      <c r="G101" s="235"/>
      <c r="H101" s="235"/>
      <c r="I101" s="402"/>
      <c r="J101" s="235"/>
      <c r="K101" s="235"/>
      <c r="L101" s="235"/>
      <c r="M101" s="235"/>
      <c r="N101" s="1253"/>
      <c r="O101" s="281"/>
      <c r="P101" s="1265"/>
      <c r="Q101" s="288"/>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234"/>
      <c r="AU101" s="234"/>
      <c r="AV101" s="36"/>
      <c r="AW101" s="36"/>
      <c r="AX101" s="234"/>
      <c r="AY101" s="234"/>
      <c r="AZ101" s="234"/>
    </row>
    <row r="102" spans="1:52" x14ac:dyDescent="0.25">
      <c r="A102" s="36"/>
      <c r="B102" s="36"/>
      <c r="C102" s="36"/>
      <c r="D102" s="36"/>
      <c r="E102" s="36" t="s">
        <v>741</v>
      </c>
      <c r="F102" s="36"/>
      <c r="G102" s="235">
        <f t="shared" si="16"/>
        <v>973.9786891666663</v>
      </c>
      <c r="H102" s="235">
        <f>'2122 Pay &amp; Pension Allocations'!C106</f>
        <v>1128.2216666666673</v>
      </c>
      <c r="I102" s="402">
        <v>995.29381250000006</v>
      </c>
      <c r="J102" s="235">
        <v>1021.8127166666682</v>
      </c>
      <c r="K102" s="235">
        <v>1075.0171916666668</v>
      </c>
      <c r="L102" s="235">
        <v>862.1992916666668</v>
      </c>
      <c r="M102" s="235">
        <f>'2122 Band Values'!AN22-'2122 Band Values'!I22</f>
        <v>915.40376666666634</v>
      </c>
      <c r="N102" s="1253">
        <f>'2122 Band Values'!AX22-'2122 Band Values'!I22</f>
        <v>973.9786891666663</v>
      </c>
      <c r="O102" s="281"/>
      <c r="P102" s="1265">
        <f>N102/'2122 Band Values'!L22</f>
        <v>6.5468753775186753E-2</v>
      </c>
      <c r="Q102" s="288"/>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234"/>
      <c r="AU102" s="234"/>
      <c r="AV102" s="36"/>
      <c r="AW102" s="36"/>
      <c r="AX102" s="234"/>
      <c r="AY102" s="234"/>
      <c r="AZ102" s="234"/>
    </row>
    <row r="103" spans="1:52" x14ac:dyDescent="0.25">
      <c r="A103" s="36"/>
      <c r="B103" s="36"/>
      <c r="C103" s="36"/>
      <c r="D103" s="36"/>
      <c r="E103" s="36"/>
      <c r="F103" s="36"/>
      <c r="G103" s="235"/>
      <c r="H103" s="235"/>
      <c r="I103" s="402"/>
      <c r="J103" s="235"/>
      <c r="K103" s="235"/>
      <c r="L103" s="235"/>
      <c r="M103" s="235"/>
      <c r="N103" s="1253"/>
      <c r="O103" s="281"/>
      <c r="P103" s="36"/>
      <c r="Q103" s="288"/>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234"/>
      <c r="AU103" s="234"/>
      <c r="AV103" s="36"/>
      <c r="AW103" s="36"/>
      <c r="AX103" s="234"/>
      <c r="AY103" s="234"/>
      <c r="AZ103" s="234"/>
    </row>
    <row r="104" spans="1:52" x14ac:dyDescent="0.25">
      <c r="A104" s="36"/>
      <c r="B104" s="36"/>
      <c r="C104" s="36"/>
      <c r="D104" s="36"/>
      <c r="E104" s="36" t="s">
        <v>743</v>
      </c>
      <c r="F104" s="36"/>
      <c r="G104" s="235">
        <f t="shared" si="16"/>
        <v>0</v>
      </c>
      <c r="H104" s="235">
        <f>'2122 Pay &amp; Pension Allocations'!C107</f>
        <v>0</v>
      </c>
      <c r="I104" s="402">
        <v>0</v>
      </c>
      <c r="J104" s="402">
        <v>0</v>
      </c>
      <c r="K104" s="402">
        <v>0</v>
      </c>
      <c r="L104" s="402">
        <v>0</v>
      </c>
      <c r="M104" s="402">
        <v>0</v>
      </c>
      <c r="N104" s="1253">
        <v>0</v>
      </c>
      <c r="O104" s="281"/>
      <c r="P104" s="36"/>
      <c r="Q104" s="288"/>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234"/>
      <c r="AU104" s="234"/>
      <c r="AV104" s="36"/>
      <c r="AW104" s="36"/>
      <c r="AX104" s="234"/>
      <c r="AY104" s="234"/>
      <c r="AZ104" s="234"/>
    </row>
    <row r="105" spans="1:52" ht="14" x14ac:dyDescent="0.3">
      <c r="A105" s="36"/>
      <c r="B105" s="37"/>
      <c r="C105" s="38"/>
      <c r="D105" s="39"/>
      <c r="E105" s="281"/>
      <c r="F105" s="36"/>
      <c r="G105" s="235"/>
      <c r="H105" s="36"/>
      <c r="I105" s="402"/>
      <c r="J105" s="235"/>
      <c r="K105" s="235"/>
      <c r="L105" s="235"/>
      <c r="M105" s="235"/>
      <c r="N105" s="884"/>
      <c r="O105" s="36"/>
      <c r="P105" s="1266">
        <f>AVERAGE(P92:P102)</f>
        <v>6.5346126695000409E-2</v>
      </c>
      <c r="Q105" s="36" t="s">
        <v>1228</v>
      </c>
      <c r="R105" s="288"/>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234"/>
      <c r="AU105" s="234"/>
      <c r="AV105" s="36"/>
      <c r="AW105" s="36"/>
      <c r="AX105" s="234"/>
      <c r="AY105" s="234"/>
      <c r="AZ105" s="234"/>
    </row>
    <row r="106" spans="1:52" ht="14.25" customHeight="1" x14ac:dyDescent="0.3">
      <c r="A106" s="36"/>
      <c r="B106" s="40"/>
      <c r="C106" s="38"/>
      <c r="D106" s="36"/>
      <c r="E106" s="36" t="s">
        <v>913</v>
      </c>
      <c r="F106" s="36"/>
      <c r="G106" s="235">
        <f t="shared" si="16"/>
        <v>0</v>
      </c>
      <c r="H106" s="235">
        <v>0</v>
      </c>
      <c r="I106" s="402">
        <v>0</v>
      </c>
      <c r="J106" s="402">
        <v>0</v>
      </c>
      <c r="K106" s="402">
        <v>0</v>
      </c>
      <c r="L106" s="402">
        <v>0</v>
      </c>
      <c r="M106" s="402">
        <v>0</v>
      </c>
      <c r="N106" s="1253">
        <v>0</v>
      </c>
      <c r="O106" s="1590" t="s">
        <v>1596</v>
      </c>
      <c r="P106" s="1590"/>
      <c r="Q106" s="1590"/>
      <c r="R106" s="1590"/>
      <c r="S106" s="1590"/>
      <c r="T106" s="1590"/>
      <c r="U106" s="1590"/>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234"/>
      <c r="AU106" s="234"/>
      <c r="AV106" s="36"/>
      <c r="AW106" s="36"/>
      <c r="AX106" s="234"/>
      <c r="AY106" s="234"/>
      <c r="AZ106" s="234"/>
    </row>
    <row r="107" spans="1:52" x14ac:dyDescent="0.25">
      <c r="A107" s="36"/>
      <c r="B107" s="36"/>
      <c r="C107" s="36"/>
      <c r="D107" s="36"/>
      <c r="E107" s="36"/>
      <c r="F107" s="402"/>
      <c r="G107" s="234"/>
      <c r="H107" s="36"/>
      <c r="I107" s="235"/>
      <c r="J107" s="235"/>
      <c r="K107" s="235"/>
      <c r="L107" s="235"/>
      <c r="M107" s="235"/>
      <c r="N107" s="1267"/>
      <c r="O107" s="1590"/>
      <c r="P107" s="1590"/>
      <c r="Q107" s="1590"/>
      <c r="R107" s="1590"/>
      <c r="S107" s="1590"/>
      <c r="T107" s="1590"/>
      <c r="U107" s="1590"/>
      <c r="V107" s="36"/>
      <c r="W107" s="36"/>
      <c r="X107" s="36"/>
      <c r="Y107" s="36"/>
      <c r="Z107" s="36"/>
      <c r="AA107" s="36"/>
      <c r="AB107" s="36"/>
      <c r="AC107" s="36"/>
      <c r="AD107" s="36"/>
      <c r="AE107" s="36"/>
      <c r="AF107" s="36"/>
      <c r="AG107" s="36"/>
      <c r="AH107" s="36"/>
      <c r="AI107" s="36"/>
      <c r="AJ107" s="36"/>
      <c r="AK107" s="36"/>
      <c r="AL107" s="234"/>
      <c r="AM107" s="234"/>
      <c r="AN107" s="36"/>
      <c r="AO107" s="36"/>
      <c r="AP107" s="234"/>
      <c r="AQ107" s="234"/>
      <c r="AR107" s="234"/>
      <c r="AS107" s="36"/>
      <c r="AT107" s="36"/>
      <c r="AU107" s="36"/>
      <c r="AV107" s="36"/>
      <c r="AW107" s="36"/>
      <c r="AX107" s="36"/>
      <c r="AY107" s="36"/>
      <c r="AZ107" s="36"/>
    </row>
    <row r="108" spans="1:52" ht="12.75" customHeight="1" x14ac:dyDescent="0.3">
      <c r="A108" s="36"/>
      <c r="B108" s="36"/>
      <c r="C108" s="36"/>
      <c r="D108" s="36"/>
      <c r="E108" s="36"/>
      <c r="F108" s="234"/>
      <c r="G108" s="234"/>
      <c r="H108" s="235">
        <v>1365692.302626061</v>
      </c>
      <c r="I108" s="235">
        <v>1204785</v>
      </c>
      <c r="J108" s="235">
        <v>1236886</v>
      </c>
      <c r="K108" s="235">
        <v>1301289</v>
      </c>
      <c r="L108" s="235">
        <v>1043677</v>
      </c>
      <c r="M108" s="235">
        <v>1108080.0119937151</v>
      </c>
      <c r="N108" s="854">
        <v>1178983.9160301562</v>
      </c>
      <c r="O108" s="1591" t="s">
        <v>1597</v>
      </c>
      <c r="P108" s="1591"/>
      <c r="Q108" s="1591"/>
      <c r="R108" s="1591"/>
      <c r="S108" s="1591"/>
      <c r="T108" s="1591"/>
      <c r="U108" s="1591"/>
      <c r="V108" s="36"/>
      <c r="W108" s="36"/>
      <c r="X108" s="36"/>
      <c r="Y108" s="36"/>
      <c r="Z108" s="36"/>
      <c r="AA108" s="36"/>
      <c r="AB108" s="36"/>
      <c r="AC108" s="36"/>
      <c r="AD108" s="36"/>
      <c r="AE108" s="36"/>
      <c r="AF108" s="36"/>
      <c r="AG108" s="36"/>
      <c r="AH108" s="36"/>
      <c r="AI108" s="36"/>
      <c r="AJ108" s="36"/>
      <c r="AK108" s="36"/>
      <c r="AL108" s="234"/>
      <c r="AM108" s="234"/>
      <c r="AN108" s="36"/>
      <c r="AO108" s="36"/>
      <c r="AP108" s="234"/>
      <c r="AQ108" s="234"/>
      <c r="AR108" s="234"/>
      <c r="AS108" s="36"/>
      <c r="AT108" s="36"/>
      <c r="AU108" s="36"/>
      <c r="AV108" s="36"/>
      <c r="AW108" s="36"/>
      <c r="AX108" s="36"/>
      <c r="AY108" s="36"/>
      <c r="AZ108" s="36"/>
    </row>
    <row r="109" spans="1:52" ht="12.75" customHeight="1" x14ac:dyDescent="0.25">
      <c r="A109" s="36"/>
      <c r="B109" s="36"/>
      <c r="C109" s="36"/>
      <c r="D109" s="36"/>
      <c r="E109" s="36"/>
      <c r="F109" s="1041">
        <f>'2122 Pay &amp; Pension Allocations'!A95</f>
        <v>1400520</v>
      </c>
      <c r="G109" s="234"/>
      <c r="H109" s="297">
        <f t="shared" ref="H109:N109" si="17">H108-$F$109</f>
        <v>-34827.69737393898</v>
      </c>
      <c r="I109" s="297">
        <f t="shared" si="17"/>
        <v>-195735</v>
      </c>
      <c r="J109" s="297">
        <f t="shared" si="17"/>
        <v>-163634</v>
      </c>
      <c r="K109" s="297">
        <f t="shared" si="17"/>
        <v>-99231</v>
      </c>
      <c r="L109" s="297">
        <f t="shared" si="17"/>
        <v>-356843</v>
      </c>
      <c r="M109" s="297">
        <f t="shared" si="17"/>
        <v>-292439.98800628493</v>
      </c>
      <c r="N109" s="297">
        <f t="shared" si="17"/>
        <v>-221536.08396984381</v>
      </c>
      <c r="O109" s="1591"/>
      <c r="P109" s="1591"/>
      <c r="Q109" s="1591"/>
      <c r="R109" s="1591"/>
      <c r="S109" s="1591"/>
      <c r="T109" s="1591"/>
      <c r="U109" s="1591"/>
      <c r="V109" s="36"/>
      <c r="W109" s="36"/>
      <c r="X109" s="36"/>
      <c r="Y109" s="36"/>
      <c r="Z109" s="36"/>
      <c r="AA109" s="36"/>
      <c r="AB109" s="36"/>
      <c r="AC109" s="36"/>
      <c r="AD109" s="36"/>
      <c r="AE109" s="36"/>
      <c r="AF109" s="36"/>
      <c r="AG109" s="36"/>
      <c r="AH109" s="36"/>
      <c r="AI109" s="36"/>
      <c r="AJ109" s="36"/>
      <c r="AK109" s="36"/>
      <c r="AL109" s="234"/>
      <c r="AM109" s="234"/>
      <c r="AN109" s="36"/>
      <c r="AO109" s="36"/>
      <c r="AP109" s="234"/>
      <c r="AQ109" s="234"/>
      <c r="AR109" s="234"/>
      <c r="AS109" s="36"/>
      <c r="AT109" s="36"/>
      <c r="AU109" s="36"/>
      <c r="AV109" s="36"/>
      <c r="AW109" s="36"/>
      <c r="AX109" s="36"/>
      <c r="AY109" s="36"/>
      <c r="AZ109" s="36"/>
    </row>
    <row r="110" spans="1:52" ht="12.75" customHeight="1" thickBot="1" x14ac:dyDescent="0.35">
      <c r="A110" s="36"/>
      <c r="B110" s="36"/>
      <c r="C110" s="36"/>
      <c r="D110" s="890"/>
      <c r="E110" s="263" t="s">
        <v>1367</v>
      </c>
      <c r="F110" s="890"/>
      <c r="G110" s="139"/>
      <c r="H110" s="139"/>
      <c r="I110" s="139"/>
      <c r="J110" s="73"/>
      <c r="K110" s="139"/>
      <c r="L110" s="139"/>
      <c r="M110" s="36"/>
      <c r="N110" s="1245">
        <f>'2122 Band Values'!AX26-'2122 Band Values'!I26</f>
        <v>683.23401687499972</v>
      </c>
      <c r="O110" s="36"/>
      <c r="P110" s="36"/>
      <c r="Q110" s="36"/>
      <c r="R110" s="288"/>
      <c r="S110" s="36"/>
      <c r="T110" s="36"/>
      <c r="U110" s="36"/>
      <c r="V110" s="36"/>
      <c r="W110" s="36"/>
      <c r="X110" s="36"/>
      <c r="Y110" s="36"/>
      <c r="Z110" s="36"/>
      <c r="AA110" s="36"/>
      <c r="AB110" s="36"/>
      <c r="AC110" s="36"/>
      <c r="AD110" s="36"/>
      <c r="AE110" s="36"/>
      <c r="AF110" s="36"/>
      <c r="AG110" s="1589"/>
      <c r="AH110" s="36"/>
      <c r="AI110" s="36"/>
      <c r="AJ110" s="234"/>
      <c r="AK110" s="234"/>
      <c r="AL110" s="36"/>
      <c r="AM110" s="36"/>
      <c r="AN110" s="234"/>
      <c r="AO110" s="234"/>
      <c r="AP110" s="234"/>
      <c r="AQ110" s="36"/>
      <c r="AR110" s="36"/>
      <c r="AS110" s="36"/>
      <c r="AT110" s="36"/>
      <c r="AU110" s="36"/>
      <c r="AV110" s="36"/>
      <c r="AW110" s="36"/>
      <c r="AX110" s="36"/>
      <c r="AY110" s="36"/>
      <c r="AZ110" s="36"/>
    </row>
    <row r="111" spans="1:52" ht="41.25" customHeight="1" thickBot="1" x14ac:dyDescent="0.35">
      <c r="A111" s="1268" t="s">
        <v>182</v>
      </c>
      <c r="B111" s="1269" t="s">
        <v>183</v>
      </c>
      <c r="C111" s="1270"/>
      <c r="D111" s="788" t="s">
        <v>1598</v>
      </c>
      <c r="E111" s="789" t="s">
        <v>1599</v>
      </c>
      <c r="F111" s="788" t="s">
        <v>1600</v>
      </c>
      <c r="G111" s="789" t="s">
        <v>1601</v>
      </c>
      <c r="H111" s="788" t="s">
        <v>357</v>
      </c>
      <c r="I111" s="71"/>
      <c r="J111" s="71"/>
      <c r="K111" s="243"/>
      <c r="L111" s="243"/>
      <c r="M111" s="36"/>
      <c r="N111" s="1271">
        <f>'2122 Pay &amp; Pension Allocations'!C88</f>
        <v>1269805.554355996</v>
      </c>
      <c r="O111" s="36" t="s">
        <v>1602</v>
      </c>
      <c r="P111" s="36"/>
      <c r="Q111" s="288"/>
      <c r="R111" s="243"/>
      <c r="S111" s="243"/>
      <c r="T111" s="243"/>
      <c r="U111" s="243"/>
      <c r="V111" s="71"/>
      <c r="W111" s="71"/>
      <c r="X111" s="243"/>
      <c r="Y111" s="243"/>
      <c r="Z111" s="243"/>
      <c r="AA111" s="71"/>
      <c r="AB111" s="243"/>
      <c r="AC111" s="243"/>
      <c r="AD111" s="71"/>
      <c r="AE111" s="71"/>
      <c r="AF111" s="36"/>
      <c r="AG111" s="1589"/>
      <c r="AH111" s="36"/>
      <c r="AI111" s="36"/>
      <c r="AJ111" s="71"/>
      <c r="AK111" s="71"/>
      <c r="AL111" s="71"/>
      <c r="AM111" s="36"/>
      <c r="AN111" s="457"/>
      <c r="AO111" s="71"/>
      <c r="AP111" s="73"/>
      <c r="AQ111" s="36"/>
      <c r="AR111" s="36"/>
      <c r="AS111" s="36"/>
      <c r="AT111" s="36"/>
      <c r="AU111" s="36"/>
      <c r="AV111" s="36"/>
      <c r="AW111" s="36"/>
      <c r="AX111" s="36"/>
      <c r="AY111" s="36"/>
      <c r="AZ111" s="36"/>
    </row>
    <row r="112" spans="1:52" ht="13" x14ac:dyDescent="0.3">
      <c r="A112" s="244">
        <v>9257010</v>
      </c>
      <c r="B112" s="237" t="s">
        <v>205</v>
      </c>
      <c r="C112" s="238"/>
      <c r="D112" s="245">
        <f>VLOOKUP(A112,$A$6:$N$23,12,(FALSE))</f>
        <v>14701.796046859006</v>
      </c>
      <c r="E112" s="245">
        <f>VLOOKUP(A112,$A$28:$L$45,12,(FALSE))</f>
        <v>1419.4837562484556</v>
      </c>
      <c r="F112" s="245">
        <f>VLOOKUP(A112,$A$50:$L$67,12,FALSE)</f>
        <v>31938.384515590256</v>
      </c>
      <c r="G112" s="245">
        <f>VLOOKUP(A112,$A$72:$L$89,12,(FALSE))</f>
        <v>4055.6678749955872</v>
      </c>
      <c r="H112" s="68">
        <f>SUM(D112:G112)</f>
        <v>52115.332193693306</v>
      </c>
      <c r="I112" s="235"/>
      <c r="J112" s="42"/>
      <c r="K112" s="235"/>
      <c r="L112" s="235"/>
      <c r="M112" s="36"/>
      <c r="N112" s="36"/>
      <c r="O112" s="36"/>
      <c r="P112" s="36"/>
      <c r="Q112" s="288"/>
      <c r="R112" s="235"/>
      <c r="S112" s="36"/>
      <c r="T112" s="235"/>
      <c r="U112" s="235"/>
      <c r="V112" s="235"/>
      <c r="W112" s="235"/>
      <c r="X112" s="235"/>
      <c r="Y112" s="235"/>
      <c r="Z112" s="235"/>
      <c r="AA112" s="235"/>
      <c r="AB112" s="235"/>
      <c r="AC112" s="235"/>
      <c r="AD112" s="235"/>
      <c r="AE112" s="235"/>
      <c r="AF112" s="247"/>
      <c r="AG112" s="235"/>
      <c r="AH112" s="247"/>
      <c r="AI112" s="298"/>
      <c r="AJ112" s="235"/>
      <c r="AK112" s="235"/>
      <c r="AL112" s="235"/>
      <c r="AM112" s="36"/>
      <c r="AN112" s="269"/>
      <c r="AO112" s="269"/>
      <c r="AP112" s="269"/>
      <c r="AQ112" s="36"/>
      <c r="AR112" s="36"/>
      <c r="AS112" s="36"/>
      <c r="AT112" s="36"/>
      <c r="AU112" s="36"/>
      <c r="AV112" s="36"/>
      <c r="AW112" s="36"/>
      <c r="AX112" s="36"/>
      <c r="AY112" s="36"/>
      <c r="AZ112" s="36"/>
    </row>
    <row r="113" spans="1:52" ht="13" x14ac:dyDescent="0.3">
      <c r="A113" s="244">
        <v>9257005</v>
      </c>
      <c r="B113" s="237" t="s">
        <v>208</v>
      </c>
      <c r="C113" s="238"/>
      <c r="D113" s="245">
        <f t="shared" ref="D113:D129" si="18">VLOOKUP(A113,$A$6:$N$23,12,(FALSE))</f>
        <v>14168.853524538617</v>
      </c>
      <c r="E113" s="245">
        <f t="shared" ref="E113:E129" si="19">VLOOKUP(A113,$A$28:$L$45,12,(FALSE))</f>
        <v>5560.6066662340236</v>
      </c>
      <c r="F113" s="245">
        <f t="shared" ref="F113:F129" si="20">VLOOKUP(A113,$A$50:$L$67,12,FALSE)</f>
        <v>21707.752947028981</v>
      </c>
      <c r="G113" s="245">
        <f t="shared" ref="G113:G129" si="21">VLOOKUP(A113,$A$72:$L$89,12,(FALSE))</f>
        <v>11976.691281119436</v>
      </c>
      <c r="H113" s="68">
        <f t="shared" ref="H113:H129" si="22">SUM(D113:G113)</f>
        <v>53413.904418921054</v>
      </c>
      <c r="I113" s="235"/>
      <c r="J113" s="42"/>
      <c r="K113" s="235"/>
      <c r="L113" s="235"/>
      <c r="M113" s="36"/>
      <c r="N113" s="36"/>
      <c r="O113" s="36"/>
      <c r="P113" s="36"/>
      <c r="Q113" s="288"/>
      <c r="R113" s="235"/>
      <c r="S113" s="36"/>
      <c r="T113" s="235"/>
      <c r="U113" s="235"/>
      <c r="V113" s="235"/>
      <c r="W113" s="235"/>
      <c r="X113" s="235"/>
      <c r="Y113" s="235"/>
      <c r="Z113" s="235"/>
      <c r="AA113" s="235"/>
      <c r="AB113" s="235"/>
      <c r="AC113" s="235"/>
      <c r="AD113" s="235"/>
      <c r="AE113" s="235"/>
      <c r="AF113" s="247"/>
      <c r="AG113" s="235"/>
      <c r="AH113" s="247"/>
      <c r="AI113" s="298"/>
      <c r="AJ113" s="235"/>
      <c r="AK113" s="235"/>
      <c r="AL113" s="235"/>
      <c r="AM113" s="36"/>
      <c r="AN113" s="269"/>
      <c r="AO113" s="269"/>
      <c r="AP113" s="269"/>
      <c r="AQ113" s="36"/>
      <c r="AR113" s="36"/>
      <c r="AS113" s="36"/>
      <c r="AT113" s="36"/>
      <c r="AU113" s="36"/>
      <c r="AV113" s="36"/>
      <c r="AW113" s="36"/>
      <c r="AX113" s="36"/>
      <c r="AY113" s="36"/>
      <c r="AZ113" s="36"/>
    </row>
    <row r="114" spans="1:52" ht="13" x14ac:dyDescent="0.3">
      <c r="A114" s="244">
        <v>9257025</v>
      </c>
      <c r="B114" s="237" t="s">
        <v>209</v>
      </c>
      <c r="C114" s="238"/>
      <c r="D114" s="245">
        <f t="shared" si="18"/>
        <v>14580.165831767667</v>
      </c>
      <c r="E114" s="245">
        <f t="shared" si="19"/>
        <v>4165.7616662193323</v>
      </c>
      <c r="F114" s="245">
        <f t="shared" si="20"/>
        <v>19683.223872886352</v>
      </c>
      <c r="G114" s="245">
        <f t="shared" si="21"/>
        <v>9997.8279989263974</v>
      </c>
      <c r="H114" s="68">
        <f t="shared" si="22"/>
        <v>48426.979369799752</v>
      </c>
      <c r="I114" s="235"/>
      <c r="J114" s="42"/>
      <c r="K114" s="235"/>
      <c r="L114" s="235"/>
      <c r="M114" s="42"/>
      <c r="N114" s="235"/>
      <c r="O114" s="42"/>
      <c r="P114" s="42"/>
      <c r="Q114" s="269"/>
      <c r="R114" s="235"/>
      <c r="S114" s="36"/>
      <c r="T114" s="235"/>
      <c r="U114" s="235"/>
      <c r="V114" s="235"/>
      <c r="W114" s="235"/>
      <c r="X114" s="235"/>
      <c r="Y114" s="235"/>
      <c r="Z114" s="235"/>
      <c r="AA114" s="235"/>
      <c r="AB114" s="235"/>
      <c r="AC114" s="235"/>
      <c r="AD114" s="235"/>
      <c r="AE114" s="235"/>
      <c r="AF114" s="247"/>
      <c r="AG114" s="235"/>
      <c r="AH114" s="247"/>
      <c r="AI114" s="298"/>
      <c r="AJ114" s="235"/>
      <c r="AK114" s="235"/>
      <c r="AL114" s="235"/>
      <c r="AM114" s="36"/>
      <c r="AN114" s="269"/>
      <c r="AO114" s="269"/>
      <c r="AP114" s="269"/>
      <c r="AQ114" s="36"/>
      <c r="AR114" s="36"/>
      <c r="AS114" s="36"/>
      <c r="AT114" s="36"/>
      <c r="AU114" s="36"/>
      <c r="AV114" s="36"/>
      <c r="AW114" s="36"/>
      <c r="AX114" s="36"/>
      <c r="AY114" s="36"/>
      <c r="AZ114" s="36"/>
    </row>
    <row r="115" spans="1:52" ht="13" x14ac:dyDescent="0.3">
      <c r="A115" s="244">
        <v>9257011</v>
      </c>
      <c r="B115" s="237" t="s">
        <v>210</v>
      </c>
      <c r="C115" s="238"/>
      <c r="D115" s="245">
        <f t="shared" si="18"/>
        <v>12825.584153727717</v>
      </c>
      <c r="E115" s="245">
        <f t="shared" si="19"/>
        <v>1641.6747716771474</v>
      </c>
      <c r="F115" s="245">
        <f t="shared" si="20"/>
        <v>17955.817815218805</v>
      </c>
      <c r="G115" s="245">
        <f t="shared" si="21"/>
        <v>3283.3495433542948</v>
      </c>
      <c r="H115" s="68">
        <f t="shared" si="22"/>
        <v>35706.426283977962</v>
      </c>
      <c r="I115" s="235"/>
      <c r="J115" s="42"/>
      <c r="K115" s="235"/>
      <c r="L115" s="235"/>
      <c r="M115" s="42"/>
      <c r="N115" s="235"/>
      <c r="O115" s="42"/>
      <c r="P115" s="42"/>
      <c r="Q115" s="269"/>
      <c r="R115" s="235"/>
      <c r="S115" s="36"/>
      <c r="T115" s="235"/>
      <c r="U115" s="235"/>
      <c r="V115" s="235"/>
      <c r="W115" s="235"/>
      <c r="X115" s="235"/>
      <c r="Y115" s="235"/>
      <c r="Z115" s="235"/>
      <c r="AA115" s="235"/>
      <c r="AB115" s="235"/>
      <c r="AC115" s="235"/>
      <c r="AD115" s="235"/>
      <c r="AE115" s="235"/>
      <c r="AF115" s="247"/>
      <c r="AG115" s="235"/>
      <c r="AH115" s="247"/>
      <c r="AI115" s="298"/>
      <c r="AJ115" s="235"/>
      <c r="AK115" s="235"/>
      <c r="AL115" s="235"/>
      <c r="AM115" s="36"/>
      <c r="AN115" s="269"/>
      <c r="AO115" s="269"/>
      <c r="AP115" s="269"/>
      <c r="AQ115" s="36"/>
      <c r="AR115" s="36"/>
      <c r="AS115" s="36"/>
      <c r="AT115" s="36"/>
      <c r="AU115" s="36"/>
      <c r="AV115" s="36"/>
      <c r="AW115" s="36"/>
      <c r="AX115" s="36"/>
      <c r="AY115" s="36"/>
      <c r="AZ115" s="36"/>
    </row>
    <row r="116" spans="1:52" ht="13" x14ac:dyDescent="0.3">
      <c r="A116" s="244">
        <v>9257024</v>
      </c>
      <c r="B116" s="237" t="s">
        <v>211</v>
      </c>
      <c r="C116" s="238"/>
      <c r="D116" s="245">
        <f t="shared" si="18"/>
        <v>16907.722425393229</v>
      </c>
      <c r="E116" s="245">
        <f t="shared" si="19"/>
        <v>2705.2355880629161</v>
      </c>
      <c r="F116" s="245">
        <f t="shared" si="20"/>
        <v>24008.965844058377</v>
      </c>
      <c r="G116" s="245">
        <f t="shared" si="21"/>
        <v>5024.0089492597008</v>
      </c>
      <c r="H116" s="68">
        <f t="shared" si="22"/>
        <v>48645.932806774224</v>
      </c>
      <c r="I116" s="235"/>
      <c r="J116" s="42"/>
      <c r="K116" s="235"/>
      <c r="L116" s="235"/>
      <c r="M116" s="42"/>
      <c r="N116" s="235"/>
      <c r="O116" s="42"/>
      <c r="P116" s="42"/>
      <c r="Q116" s="269"/>
      <c r="R116" s="235"/>
      <c r="S116" s="36"/>
      <c r="T116" s="235"/>
      <c r="U116" s="235"/>
      <c r="V116" s="235"/>
      <c r="W116" s="235"/>
      <c r="X116" s="235"/>
      <c r="Y116" s="235"/>
      <c r="Z116" s="235"/>
      <c r="AA116" s="235"/>
      <c r="AB116" s="235"/>
      <c r="AC116" s="235"/>
      <c r="AD116" s="235"/>
      <c r="AE116" s="235"/>
      <c r="AF116" s="247"/>
      <c r="AG116" s="235"/>
      <c r="AH116" s="247"/>
      <c r="AI116" s="298"/>
      <c r="AJ116" s="235"/>
      <c r="AK116" s="235"/>
      <c r="AL116" s="235"/>
      <c r="AM116" s="36"/>
      <c r="AN116" s="269"/>
      <c r="AO116" s="269"/>
      <c r="AP116" s="269"/>
      <c r="AQ116" s="36"/>
      <c r="AR116" s="36"/>
      <c r="AS116" s="36"/>
      <c r="AT116" s="36"/>
      <c r="AU116" s="36"/>
      <c r="AV116" s="36"/>
      <c r="AW116" s="36"/>
      <c r="AX116" s="36"/>
      <c r="AY116" s="36"/>
      <c r="AZ116" s="36"/>
    </row>
    <row r="117" spans="1:52" ht="13" x14ac:dyDescent="0.3">
      <c r="A117" s="244">
        <v>9257031</v>
      </c>
      <c r="B117" s="237" t="s">
        <v>257</v>
      </c>
      <c r="C117" s="238"/>
      <c r="D117" s="245">
        <f t="shared" si="18"/>
        <v>19479.573783333308</v>
      </c>
      <c r="E117" s="245">
        <f t="shared" si="19"/>
        <v>0</v>
      </c>
      <c r="F117" s="245">
        <f t="shared" si="20"/>
        <v>27612.295837874964</v>
      </c>
      <c r="G117" s="245">
        <f t="shared" si="21"/>
        <v>0</v>
      </c>
      <c r="H117" s="68">
        <f t="shared" si="22"/>
        <v>47091.869621208272</v>
      </c>
      <c r="I117" s="235"/>
      <c r="J117" s="42"/>
      <c r="K117" s="235"/>
      <c r="L117" s="235"/>
      <c r="M117" s="42"/>
      <c r="N117" s="235"/>
      <c r="O117" s="42"/>
      <c r="P117" s="42"/>
      <c r="Q117" s="269"/>
      <c r="R117" s="235"/>
      <c r="S117" s="36"/>
      <c r="T117" s="235"/>
      <c r="U117" s="235"/>
      <c r="V117" s="235"/>
      <c r="W117" s="235"/>
      <c r="X117" s="235"/>
      <c r="Y117" s="235"/>
      <c r="Z117" s="235"/>
      <c r="AA117" s="235"/>
      <c r="AB117" s="235"/>
      <c r="AC117" s="235"/>
      <c r="AD117" s="235"/>
      <c r="AE117" s="235"/>
      <c r="AF117" s="247"/>
      <c r="AG117" s="235"/>
      <c r="AH117" s="382"/>
      <c r="AI117" s="298"/>
      <c r="AJ117" s="235"/>
      <c r="AK117" s="235"/>
      <c r="AL117" s="235"/>
      <c r="AM117" s="36"/>
      <c r="AN117" s="269"/>
      <c r="AO117" s="269"/>
      <c r="AP117" s="269"/>
      <c r="AQ117" s="36"/>
      <c r="AR117" s="36"/>
      <c r="AS117" s="36"/>
      <c r="AT117" s="36"/>
      <c r="AU117" s="36"/>
      <c r="AV117" s="36"/>
      <c r="AW117" s="36"/>
      <c r="AX117" s="36"/>
      <c r="AY117" s="36"/>
      <c r="AZ117" s="36"/>
    </row>
    <row r="118" spans="1:52" ht="13" x14ac:dyDescent="0.3">
      <c r="A118" s="244">
        <v>9257033</v>
      </c>
      <c r="B118" s="237" t="s">
        <v>220</v>
      </c>
      <c r="C118" s="238"/>
      <c r="D118" s="245">
        <f t="shared" si="18"/>
        <v>25247.834414832214</v>
      </c>
      <c r="E118" s="245">
        <f t="shared" si="19"/>
        <v>0</v>
      </c>
      <c r="F118" s="245">
        <f t="shared" si="20"/>
        <v>34989.928098131109</v>
      </c>
      <c r="G118" s="245">
        <f t="shared" si="21"/>
        <v>0</v>
      </c>
      <c r="H118" s="68">
        <f t="shared" si="22"/>
        <v>60237.762512963323</v>
      </c>
      <c r="I118" s="235"/>
      <c r="J118" s="42"/>
      <c r="K118" s="235"/>
      <c r="L118" s="235"/>
      <c r="M118" s="42"/>
      <c r="N118" s="235"/>
      <c r="O118" s="42"/>
      <c r="P118" s="42"/>
      <c r="Q118" s="269"/>
      <c r="R118" s="235"/>
      <c r="S118" s="36"/>
      <c r="T118" s="235"/>
      <c r="U118" s="235"/>
      <c r="V118" s="235"/>
      <c r="W118" s="235"/>
      <c r="X118" s="235"/>
      <c r="Y118" s="235"/>
      <c r="Z118" s="235"/>
      <c r="AA118" s="235"/>
      <c r="AB118" s="235"/>
      <c r="AC118" s="235"/>
      <c r="AD118" s="235"/>
      <c r="AE118" s="235"/>
      <c r="AF118" s="247"/>
      <c r="AG118" s="235"/>
      <c r="AH118" s="382"/>
      <c r="AI118" s="298"/>
      <c r="AJ118" s="235"/>
      <c r="AK118" s="235"/>
      <c r="AL118" s="235"/>
      <c r="AM118" s="36"/>
      <c r="AN118" s="269"/>
      <c r="AO118" s="269"/>
      <c r="AP118" s="269"/>
      <c r="AQ118" s="36"/>
      <c r="AR118" s="36"/>
      <c r="AS118" s="36"/>
      <c r="AT118" s="36"/>
      <c r="AU118" s="36"/>
      <c r="AV118" s="36"/>
      <c r="AW118" s="36"/>
      <c r="AX118" s="36"/>
      <c r="AY118" s="36"/>
      <c r="AZ118" s="36"/>
    </row>
    <row r="119" spans="1:52" ht="13" x14ac:dyDescent="0.3">
      <c r="A119" s="244">
        <v>9257008</v>
      </c>
      <c r="B119" s="237" t="s">
        <v>212</v>
      </c>
      <c r="C119" s="238"/>
      <c r="D119" s="245">
        <f t="shared" si="18"/>
        <v>25750.586404070542</v>
      </c>
      <c r="E119" s="245">
        <f t="shared" si="19"/>
        <v>0</v>
      </c>
      <c r="F119" s="245">
        <f t="shared" si="20"/>
        <v>36418.686485756916</v>
      </c>
      <c r="G119" s="245">
        <f t="shared" si="21"/>
        <v>0</v>
      </c>
      <c r="H119" s="68">
        <f t="shared" si="22"/>
        <v>62169.272889827458</v>
      </c>
      <c r="I119" s="235"/>
      <c r="J119" s="42"/>
      <c r="K119" s="235"/>
      <c r="L119" s="235"/>
      <c r="M119" s="42"/>
      <c r="N119" s="235"/>
      <c r="O119" s="42"/>
      <c r="P119" s="42"/>
      <c r="Q119" s="269"/>
      <c r="R119" s="235"/>
      <c r="S119" s="36"/>
      <c r="T119" s="235"/>
      <c r="U119" s="235"/>
      <c r="V119" s="235"/>
      <c r="W119" s="235"/>
      <c r="X119" s="235"/>
      <c r="Y119" s="235"/>
      <c r="Z119" s="235"/>
      <c r="AA119" s="235"/>
      <c r="AB119" s="235"/>
      <c r="AC119" s="235"/>
      <c r="AD119" s="235"/>
      <c r="AE119" s="235"/>
      <c r="AF119" s="247"/>
      <c r="AG119" s="235"/>
      <c r="AH119" s="382"/>
      <c r="AI119" s="298"/>
      <c r="AJ119" s="235"/>
      <c r="AK119" s="235"/>
      <c r="AL119" s="235"/>
      <c r="AM119" s="36"/>
      <c r="AN119" s="269"/>
      <c r="AO119" s="269"/>
      <c r="AP119" s="269"/>
      <c r="AQ119" s="36"/>
      <c r="AR119" s="36"/>
      <c r="AS119" s="36"/>
      <c r="AT119" s="36"/>
      <c r="AU119" s="36"/>
      <c r="AV119" s="36"/>
      <c r="AW119" s="36"/>
      <c r="AX119" s="36"/>
      <c r="AY119" s="36"/>
      <c r="AZ119" s="36"/>
    </row>
    <row r="120" spans="1:52" ht="13" x14ac:dyDescent="0.3">
      <c r="A120" s="244">
        <v>9257034</v>
      </c>
      <c r="B120" s="237" t="s">
        <v>221</v>
      </c>
      <c r="C120" s="238"/>
      <c r="D120" s="245">
        <f t="shared" si="18"/>
        <v>22368.306031884455</v>
      </c>
      <c r="E120" s="245">
        <f t="shared" si="19"/>
        <v>6472.531107098479</v>
      </c>
      <c r="F120" s="245">
        <f t="shared" si="20"/>
        <v>29316.758543916647</v>
      </c>
      <c r="G120" s="245">
        <f t="shared" si="21"/>
        <v>12183.587966303021</v>
      </c>
      <c r="H120" s="68">
        <f t="shared" si="22"/>
        <v>70341.183649202605</v>
      </c>
      <c r="I120" s="235"/>
      <c r="J120" s="42"/>
      <c r="K120" s="235"/>
      <c r="L120" s="235"/>
      <c r="M120" s="42"/>
      <c r="N120" s="235"/>
      <c r="O120" s="42"/>
      <c r="P120" s="42"/>
      <c r="Q120" s="269"/>
      <c r="R120" s="235"/>
      <c r="S120" s="36"/>
      <c r="T120" s="235"/>
      <c r="U120" s="235"/>
      <c r="V120" s="235"/>
      <c r="W120" s="235"/>
      <c r="X120" s="235"/>
      <c r="Y120" s="235"/>
      <c r="Z120" s="235"/>
      <c r="AA120" s="235"/>
      <c r="AB120" s="235"/>
      <c r="AC120" s="235"/>
      <c r="AD120" s="235"/>
      <c r="AE120" s="235"/>
      <c r="AF120" s="247"/>
      <c r="AG120" s="235"/>
      <c r="AH120" s="382"/>
      <c r="AI120" s="298"/>
      <c r="AJ120" s="235"/>
      <c r="AK120" s="235"/>
      <c r="AL120" s="235"/>
      <c r="AM120" s="36"/>
      <c r="AN120" s="269"/>
      <c r="AO120" s="269"/>
      <c r="AP120" s="269"/>
      <c r="AQ120" s="36"/>
      <c r="AR120" s="36"/>
      <c r="AS120" s="36"/>
      <c r="AT120" s="36"/>
      <c r="AU120" s="36"/>
      <c r="AV120" s="36"/>
      <c r="AW120" s="36"/>
      <c r="AX120" s="36"/>
      <c r="AY120" s="36"/>
      <c r="AZ120" s="36"/>
    </row>
    <row r="121" spans="1:52" ht="13" x14ac:dyDescent="0.3">
      <c r="A121" s="244">
        <v>9257002</v>
      </c>
      <c r="B121" s="237" t="s">
        <v>213</v>
      </c>
      <c r="C121" s="238"/>
      <c r="D121" s="245">
        <f t="shared" si="18"/>
        <v>36459.441622395811</v>
      </c>
      <c r="E121" s="245">
        <f t="shared" si="19"/>
        <v>0</v>
      </c>
      <c r="F121" s="245">
        <f t="shared" si="20"/>
        <v>51383.506393163159</v>
      </c>
      <c r="G121" s="245">
        <f t="shared" si="21"/>
        <v>0</v>
      </c>
      <c r="H121" s="68">
        <f t="shared" si="22"/>
        <v>87842.94801555897</v>
      </c>
      <c r="I121" s="235"/>
      <c r="J121" s="42"/>
      <c r="K121" s="235"/>
      <c r="L121" s="235"/>
      <c r="M121" s="42"/>
      <c r="N121" s="235"/>
      <c r="O121" s="42"/>
      <c r="P121" s="42"/>
      <c r="Q121" s="269"/>
      <c r="R121" s="235"/>
      <c r="S121" s="36"/>
      <c r="T121" s="235"/>
      <c r="U121" s="235"/>
      <c r="V121" s="235"/>
      <c r="W121" s="235"/>
      <c r="X121" s="235"/>
      <c r="Y121" s="235"/>
      <c r="Z121" s="235"/>
      <c r="AA121" s="235"/>
      <c r="AB121" s="235"/>
      <c r="AC121" s="235"/>
      <c r="AD121" s="235"/>
      <c r="AE121" s="235"/>
      <c r="AF121" s="247"/>
      <c r="AG121" s="235"/>
      <c r="AH121" s="382"/>
      <c r="AI121" s="298"/>
      <c r="AJ121" s="235"/>
      <c r="AK121" s="235"/>
      <c r="AL121" s="235"/>
      <c r="AM121" s="36"/>
      <c r="AN121" s="269"/>
      <c r="AO121" s="269"/>
      <c r="AP121" s="269"/>
      <c r="AQ121" s="36"/>
      <c r="AR121" s="36"/>
      <c r="AS121" s="36"/>
      <c r="AT121" s="36"/>
      <c r="AU121" s="36"/>
      <c r="AV121" s="36"/>
      <c r="AW121" s="36"/>
      <c r="AX121" s="36"/>
      <c r="AY121" s="36"/>
      <c r="AZ121" s="36"/>
    </row>
    <row r="122" spans="1:52" ht="13" x14ac:dyDescent="0.3">
      <c r="A122" s="244">
        <v>9257009</v>
      </c>
      <c r="B122" s="237" t="s">
        <v>214</v>
      </c>
      <c r="C122" s="238"/>
      <c r="D122" s="245">
        <f t="shared" si="18"/>
        <v>33865.888341451086</v>
      </c>
      <c r="E122" s="245">
        <f t="shared" si="19"/>
        <v>0</v>
      </c>
      <c r="F122" s="245">
        <f t="shared" si="20"/>
        <v>47412.243678031518</v>
      </c>
      <c r="G122" s="245">
        <f t="shared" si="21"/>
        <v>0</v>
      </c>
      <c r="H122" s="68">
        <f t="shared" si="22"/>
        <v>81278.132019482611</v>
      </c>
      <c r="I122" s="235"/>
      <c r="J122" s="42"/>
      <c r="K122" s="235"/>
      <c r="L122" s="235"/>
      <c r="M122" s="42"/>
      <c r="N122" s="235"/>
      <c r="O122" s="42"/>
      <c r="P122" s="42"/>
      <c r="Q122" s="269"/>
      <c r="R122" s="235"/>
      <c r="S122" s="36"/>
      <c r="T122" s="235"/>
      <c r="U122" s="235"/>
      <c r="V122" s="235"/>
      <c r="W122" s="235"/>
      <c r="X122" s="235"/>
      <c r="Y122" s="235"/>
      <c r="Z122" s="235"/>
      <c r="AA122" s="235"/>
      <c r="AB122" s="235"/>
      <c r="AC122" s="235"/>
      <c r="AD122" s="235"/>
      <c r="AE122" s="235"/>
      <c r="AF122" s="247"/>
      <c r="AG122" s="235"/>
      <c r="AH122" s="382"/>
      <c r="AI122" s="298"/>
      <c r="AJ122" s="235"/>
      <c r="AK122" s="235"/>
      <c r="AL122" s="235"/>
      <c r="AM122" s="36"/>
      <c r="AN122" s="269"/>
      <c r="AO122" s="269"/>
      <c r="AP122" s="269"/>
      <c r="AQ122" s="36"/>
      <c r="AR122" s="36"/>
      <c r="AS122" s="36"/>
      <c r="AT122" s="36"/>
      <c r="AU122" s="36"/>
      <c r="AV122" s="36"/>
      <c r="AW122" s="36"/>
      <c r="AX122" s="36"/>
      <c r="AY122" s="36"/>
      <c r="AZ122" s="36"/>
    </row>
    <row r="123" spans="1:52" ht="13" x14ac:dyDescent="0.3">
      <c r="A123" s="244">
        <v>9257029</v>
      </c>
      <c r="B123" s="237" t="s">
        <v>890</v>
      </c>
      <c r="C123" s="238"/>
      <c r="D123" s="245">
        <f t="shared" si="18"/>
        <v>17044.627060416646</v>
      </c>
      <c r="E123" s="245">
        <f t="shared" si="19"/>
        <v>0</v>
      </c>
      <c r="F123" s="245">
        <f t="shared" si="20"/>
        <v>26589.618214249967</v>
      </c>
      <c r="G123" s="245">
        <f t="shared" si="21"/>
        <v>0</v>
      </c>
      <c r="H123" s="68">
        <f t="shared" si="22"/>
        <v>43634.245274666609</v>
      </c>
      <c r="I123" s="235"/>
      <c r="J123" s="42"/>
      <c r="K123" s="235"/>
      <c r="L123" s="235"/>
      <c r="M123" s="42"/>
      <c r="N123" s="235"/>
      <c r="O123" s="42"/>
      <c r="P123" s="42"/>
      <c r="Q123" s="269"/>
      <c r="R123" s="235"/>
      <c r="S123" s="36"/>
      <c r="T123" s="235"/>
      <c r="U123" s="235"/>
      <c r="V123" s="235"/>
      <c r="W123" s="235"/>
      <c r="X123" s="235"/>
      <c r="Y123" s="235"/>
      <c r="Z123" s="235"/>
      <c r="AA123" s="235"/>
      <c r="AB123" s="235"/>
      <c r="AC123" s="235"/>
      <c r="AD123" s="235"/>
      <c r="AE123" s="235"/>
      <c r="AF123" s="247"/>
      <c r="AG123" s="235"/>
      <c r="AH123" s="382"/>
      <c r="AI123" s="298"/>
      <c r="AJ123" s="235"/>
      <c r="AK123" s="235"/>
      <c r="AL123" s="235"/>
      <c r="AM123" s="36"/>
      <c r="AN123" s="269"/>
      <c r="AO123" s="269"/>
      <c r="AP123" s="269"/>
      <c r="AQ123" s="36"/>
      <c r="AR123" s="36"/>
      <c r="AS123" s="36"/>
      <c r="AT123" s="36"/>
      <c r="AU123" s="36"/>
      <c r="AV123" s="36"/>
      <c r="AW123" s="36"/>
      <c r="AX123" s="36"/>
      <c r="AY123" s="36"/>
      <c r="AZ123" s="36"/>
    </row>
    <row r="124" spans="1:52" ht="13" x14ac:dyDescent="0.3">
      <c r="A124" s="244">
        <v>9257032</v>
      </c>
      <c r="B124" s="237" t="s">
        <v>1043</v>
      </c>
      <c r="C124" s="238"/>
      <c r="D124" s="245">
        <f t="shared" si="18"/>
        <v>19966.563127916641</v>
      </c>
      <c r="E124" s="245">
        <f t="shared" si="19"/>
        <v>0</v>
      </c>
      <c r="F124" s="245">
        <f t="shared" si="20"/>
        <v>35452.824285666626</v>
      </c>
      <c r="G124" s="245">
        <f t="shared" si="21"/>
        <v>0</v>
      </c>
      <c r="H124" s="68">
        <f t="shared" si="22"/>
        <v>55419.387413583267</v>
      </c>
      <c r="I124" s="235"/>
      <c r="J124" s="42"/>
      <c r="K124" s="235"/>
      <c r="L124" s="235"/>
      <c r="M124" s="42"/>
      <c r="N124" s="235"/>
      <c r="O124" s="42"/>
      <c r="P124" s="42"/>
      <c r="Q124" s="269"/>
      <c r="R124" s="235"/>
      <c r="S124" s="36"/>
      <c r="T124" s="235"/>
      <c r="U124" s="235"/>
      <c r="V124" s="235"/>
      <c r="W124" s="235"/>
      <c r="X124" s="235"/>
      <c r="Y124" s="235"/>
      <c r="Z124" s="235"/>
      <c r="AA124" s="235"/>
      <c r="AB124" s="235"/>
      <c r="AC124" s="235"/>
      <c r="AD124" s="235"/>
      <c r="AE124" s="235"/>
      <c r="AF124" s="247"/>
      <c r="AG124" s="235"/>
      <c r="AH124" s="382"/>
      <c r="AI124" s="298"/>
      <c r="AJ124" s="235"/>
      <c r="AK124" s="235"/>
      <c r="AL124" s="235"/>
      <c r="AM124" s="36"/>
      <c r="AN124" s="269"/>
      <c r="AO124" s="269"/>
      <c r="AP124" s="269"/>
      <c r="AQ124" s="36"/>
      <c r="AR124" s="36"/>
      <c r="AS124" s="36"/>
      <c r="AT124" s="36"/>
      <c r="AU124" s="36"/>
      <c r="AV124" s="36"/>
      <c r="AW124" s="36"/>
      <c r="AX124" s="36"/>
      <c r="AY124" s="36"/>
      <c r="AZ124" s="36"/>
    </row>
    <row r="125" spans="1:52" ht="13" x14ac:dyDescent="0.3">
      <c r="A125" s="244">
        <v>9257030</v>
      </c>
      <c r="B125" s="237" t="s">
        <v>1046</v>
      </c>
      <c r="C125" s="238"/>
      <c r="D125" s="245">
        <f t="shared" si="18"/>
        <v>18262.100421874977</v>
      </c>
      <c r="E125" s="245">
        <f t="shared" si="19"/>
        <v>0</v>
      </c>
      <c r="F125" s="245">
        <f t="shared" si="20"/>
        <v>24544.26296699997</v>
      </c>
      <c r="G125" s="245">
        <f t="shared" si="21"/>
        <v>0</v>
      </c>
      <c r="H125" s="68">
        <f t="shared" si="22"/>
        <v>42806.363388874946</v>
      </c>
      <c r="I125" s="235"/>
      <c r="J125" s="42"/>
      <c r="K125" s="235"/>
      <c r="L125" s="235"/>
      <c r="M125" s="42"/>
      <c r="N125" s="235"/>
      <c r="O125" s="42"/>
      <c r="P125" s="42"/>
      <c r="Q125" s="269"/>
      <c r="R125" s="235"/>
      <c r="S125" s="36"/>
      <c r="T125" s="235"/>
      <c r="U125" s="235"/>
      <c r="V125" s="235"/>
      <c r="W125" s="235"/>
      <c r="X125" s="235"/>
      <c r="Y125" s="235"/>
      <c r="Z125" s="235"/>
      <c r="AA125" s="235"/>
      <c r="AB125" s="235"/>
      <c r="AC125" s="235"/>
      <c r="AD125" s="235"/>
      <c r="AE125" s="235"/>
      <c r="AF125" s="247"/>
      <c r="AG125" s="235"/>
      <c r="AH125" s="382"/>
      <c r="AI125" s="298"/>
      <c r="AJ125" s="235"/>
      <c r="AK125" s="235"/>
      <c r="AL125" s="235"/>
      <c r="AM125" s="36"/>
      <c r="AN125" s="269"/>
      <c r="AO125" s="269"/>
      <c r="AP125" s="269"/>
      <c r="AQ125" s="36"/>
      <c r="AR125" s="36"/>
      <c r="AS125" s="36"/>
      <c r="AT125" s="36"/>
      <c r="AU125" s="36"/>
      <c r="AV125" s="36"/>
      <c r="AW125" s="36"/>
      <c r="AX125" s="36"/>
      <c r="AY125" s="36"/>
      <c r="AZ125" s="36"/>
    </row>
    <row r="126" spans="1:52" ht="13" x14ac:dyDescent="0.3">
      <c r="A126" s="244">
        <v>9257028</v>
      </c>
      <c r="B126" s="237" t="s">
        <v>215</v>
      </c>
      <c r="C126" s="238"/>
      <c r="D126" s="245">
        <f t="shared" si="18"/>
        <v>22084.886415576166</v>
      </c>
      <c r="E126" s="245">
        <f t="shared" si="19"/>
        <v>1553.2227808756861</v>
      </c>
      <c r="F126" s="245">
        <f t="shared" si="20"/>
        <v>39752.795548037095</v>
      </c>
      <c r="G126" s="245">
        <f t="shared" si="21"/>
        <v>1941.5284760946079</v>
      </c>
      <c r="H126" s="68">
        <f t="shared" si="22"/>
        <v>65332.433220583553</v>
      </c>
      <c r="I126" s="235"/>
      <c r="J126" s="42"/>
      <c r="K126" s="235"/>
      <c r="L126" s="235"/>
      <c r="M126" s="42"/>
      <c r="N126" s="235"/>
      <c r="O126" s="42"/>
      <c r="P126" s="42"/>
      <c r="Q126" s="269"/>
      <c r="R126" s="235"/>
      <c r="S126" s="36"/>
      <c r="T126" s="235"/>
      <c r="U126" s="235"/>
      <c r="V126" s="235"/>
      <c r="W126" s="235"/>
      <c r="X126" s="235"/>
      <c r="Y126" s="235"/>
      <c r="Z126" s="235"/>
      <c r="AA126" s="235"/>
      <c r="AB126" s="235"/>
      <c r="AC126" s="235"/>
      <c r="AD126" s="235"/>
      <c r="AE126" s="235"/>
      <c r="AF126" s="247"/>
      <c r="AG126" s="235"/>
      <c r="AH126" s="382"/>
      <c r="AI126" s="298"/>
      <c r="AJ126" s="235"/>
      <c r="AK126" s="235"/>
      <c r="AL126" s="235"/>
      <c r="AM126" s="36"/>
      <c r="AN126" s="269"/>
      <c r="AO126" s="269"/>
      <c r="AP126" s="269"/>
      <c r="AQ126" s="36"/>
      <c r="AR126" s="36"/>
      <c r="AS126" s="36"/>
      <c r="AT126" s="36"/>
      <c r="AU126" s="36"/>
      <c r="AV126" s="36"/>
      <c r="AW126" s="36"/>
      <c r="AX126" s="36"/>
      <c r="AY126" s="36"/>
      <c r="AZ126" s="36"/>
    </row>
    <row r="127" spans="1:52" ht="13" x14ac:dyDescent="0.3">
      <c r="A127" s="244">
        <v>9257021</v>
      </c>
      <c r="B127" s="237" t="s">
        <v>216</v>
      </c>
      <c r="C127" s="238"/>
      <c r="D127" s="245">
        <f t="shared" si="18"/>
        <v>41816.745611000137</v>
      </c>
      <c r="E127" s="245">
        <f t="shared" si="19"/>
        <v>0</v>
      </c>
      <c r="F127" s="245">
        <f t="shared" si="20"/>
        <v>59601.457900979716</v>
      </c>
      <c r="G127" s="245">
        <f t="shared" si="21"/>
        <v>0</v>
      </c>
      <c r="H127" s="68">
        <f t="shared" si="22"/>
        <v>101418.20351197985</v>
      </c>
      <c r="I127" s="235"/>
      <c r="J127" s="42"/>
      <c r="K127" s="235"/>
      <c r="L127" s="235"/>
      <c r="M127" s="42"/>
      <c r="N127" s="235"/>
      <c r="O127" s="42"/>
      <c r="P127" s="42"/>
      <c r="Q127" s="269"/>
      <c r="R127" s="235"/>
      <c r="S127" s="36"/>
      <c r="T127" s="235"/>
      <c r="U127" s="235"/>
      <c r="V127" s="235"/>
      <c r="W127" s="235"/>
      <c r="X127" s="235"/>
      <c r="Y127" s="235"/>
      <c r="Z127" s="235"/>
      <c r="AA127" s="235"/>
      <c r="AB127" s="235"/>
      <c r="AC127" s="235"/>
      <c r="AD127" s="235"/>
      <c r="AE127" s="235"/>
      <c r="AF127" s="247"/>
      <c r="AG127" s="235"/>
      <c r="AH127" s="382"/>
      <c r="AI127" s="298"/>
      <c r="AJ127" s="235"/>
      <c r="AK127" s="235"/>
      <c r="AL127" s="235"/>
      <c r="AM127" s="36"/>
      <c r="AN127" s="269"/>
      <c r="AO127" s="269"/>
      <c r="AP127" s="269"/>
      <c r="AQ127" s="36"/>
      <c r="AR127" s="36"/>
      <c r="AS127" s="36"/>
      <c r="AT127" s="36"/>
      <c r="AU127" s="36"/>
      <c r="AV127" s="36"/>
      <c r="AW127" s="36"/>
      <c r="AX127" s="36"/>
      <c r="AY127" s="36"/>
      <c r="AZ127" s="36"/>
    </row>
    <row r="128" spans="1:52" ht="13" x14ac:dyDescent="0.3">
      <c r="A128" s="244">
        <v>9257015</v>
      </c>
      <c r="B128" s="237" t="s">
        <v>217</v>
      </c>
      <c r="C128" s="238"/>
      <c r="D128" s="245">
        <f t="shared" si="18"/>
        <v>57458.99647387657</v>
      </c>
      <c r="E128" s="245">
        <f t="shared" si="19"/>
        <v>1641.68561353933</v>
      </c>
      <c r="F128" s="245">
        <f t="shared" si="20"/>
        <v>80083.476335465457</v>
      </c>
      <c r="G128" s="245">
        <f t="shared" si="21"/>
        <v>1231.2642101544975</v>
      </c>
      <c r="H128" s="68">
        <f t="shared" si="22"/>
        <v>140415.42263303587</v>
      </c>
      <c r="I128" s="235"/>
      <c r="J128" s="42"/>
      <c r="K128" s="235"/>
      <c r="L128" s="235"/>
      <c r="M128" s="42"/>
      <c r="N128" s="235"/>
      <c r="O128" s="42"/>
      <c r="P128" s="42"/>
      <c r="Q128" s="269"/>
      <c r="R128" s="235"/>
      <c r="S128" s="36"/>
      <c r="T128" s="235"/>
      <c r="U128" s="235"/>
      <c r="V128" s="235"/>
      <c r="W128" s="235"/>
      <c r="X128" s="235"/>
      <c r="Y128" s="235"/>
      <c r="Z128" s="235"/>
      <c r="AA128" s="235"/>
      <c r="AB128" s="235"/>
      <c r="AC128" s="235"/>
      <c r="AD128" s="235"/>
      <c r="AE128" s="235"/>
      <c r="AF128" s="247"/>
      <c r="AG128" s="235"/>
      <c r="AH128" s="382"/>
      <c r="AI128" s="298"/>
      <c r="AJ128" s="235"/>
      <c r="AK128" s="235"/>
      <c r="AL128" s="235"/>
      <c r="AM128" s="36"/>
      <c r="AN128" s="269"/>
      <c r="AO128" s="269"/>
      <c r="AP128" s="269"/>
      <c r="AQ128" s="36"/>
      <c r="AR128" s="36"/>
      <c r="AS128" s="36"/>
      <c r="AT128" s="36"/>
      <c r="AU128" s="36"/>
      <c r="AV128" s="36"/>
      <c r="AW128" s="36"/>
      <c r="AX128" s="36"/>
      <c r="AY128" s="36"/>
      <c r="AZ128" s="36"/>
    </row>
    <row r="129" spans="1:52" ht="13" x14ac:dyDescent="0.3">
      <c r="A129" s="244">
        <v>9257016</v>
      </c>
      <c r="B129" s="237" t="s">
        <v>219</v>
      </c>
      <c r="C129" s="238"/>
      <c r="D129" s="245">
        <f t="shared" si="18"/>
        <v>23457.157560520176</v>
      </c>
      <c r="E129" s="245">
        <f t="shared" si="19"/>
        <v>8018.0829479596223</v>
      </c>
      <c r="F129" s="245">
        <f t="shared" si="20"/>
        <v>31347.292376331508</v>
      </c>
      <c r="G129" s="245">
        <f t="shared" si="21"/>
        <v>20130.506124664586</v>
      </c>
      <c r="H129" s="68">
        <f t="shared" si="22"/>
        <v>82953.039009475891</v>
      </c>
      <c r="I129" s="235"/>
      <c r="J129" s="42"/>
      <c r="K129" s="235"/>
      <c r="L129" s="235"/>
      <c r="M129" s="42"/>
      <c r="N129" s="235"/>
      <c r="O129" s="42"/>
      <c r="P129" s="42"/>
      <c r="Q129" s="269"/>
      <c r="R129" s="235"/>
      <c r="S129" s="36"/>
      <c r="T129" s="235"/>
      <c r="U129" s="235"/>
      <c r="V129" s="235"/>
      <c r="W129" s="235"/>
      <c r="X129" s="235"/>
      <c r="Y129" s="235"/>
      <c r="Z129" s="235"/>
      <c r="AA129" s="235"/>
      <c r="AB129" s="235"/>
      <c r="AC129" s="235"/>
      <c r="AD129" s="235"/>
      <c r="AE129" s="235"/>
      <c r="AF129" s="247"/>
      <c r="AG129" s="235"/>
      <c r="AH129" s="382"/>
      <c r="AI129" s="298"/>
      <c r="AJ129" s="235"/>
      <c r="AK129" s="235"/>
      <c r="AL129" s="235"/>
      <c r="AM129" s="36"/>
      <c r="AN129" s="269"/>
      <c r="AO129" s="269"/>
      <c r="AP129" s="269"/>
      <c r="AQ129" s="36"/>
      <c r="AR129" s="36"/>
      <c r="AS129" s="36"/>
      <c r="AT129" s="36"/>
      <c r="AU129" s="36"/>
      <c r="AV129" s="36"/>
      <c r="AW129" s="36"/>
      <c r="AX129" s="36"/>
      <c r="AY129" s="36"/>
      <c r="AZ129" s="36"/>
    </row>
    <row r="130" spans="1:52" ht="13" x14ac:dyDescent="0.3">
      <c r="A130" s="36"/>
      <c r="B130" s="36"/>
      <c r="C130" s="36"/>
      <c r="D130" s="42">
        <f>SUM(D112:D129)</f>
        <v>436446.829251435</v>
      </c>
      <c r="E130" s="42">
        <f>SUM(E112:E129)</f>
        <v>33178.284897914993</v>
      </c>
      <c r="F130" s="42">
        <f>SUM(F112:F129)</f>
        <v>639799.29165938741</v>
      </c>
      <c r="G130" s="42">
        <f>SUM(G112:G129)</f>
        <v>69824.432424872124</v>
      </c>
      <c r="H130" s="854">
        <f>SUM(D130:G130)</f>
        <v>1179248.8382336097</v>
      </c>
      <c r="I130" s="36" t="s">
        <v>1603</v>
      </c>
      <c r="J130" s="36"/>
      <c r="K130" s="36"/>
      <c r="L130" s="36"/>
      <c r="M130" s="36"/>
      <c r="N130" s="36"/>
      <c r="O130" s="36"/>
      <c r="P130" s="36"/>
      <c r="Q130" s="288"/>
      <c r="R130" s="36"/>
      <c r="S130" s="36"/>
      <c r="T130" s="36"/>
      <c r="U130" s="36"/>
      <c r="V130" s="36"/>
      <c r="W130" s="36"/>
      <c r="X130" s="36"/>
      <c r="Y130" s="36"/>
      <c r="Z130" s="36"/>
      <c r="AA130" s="36"/>
      <c r="AB130" s="36"/>
      <c r="AC130" s="36"/>
      <c r="AD130" s="36"/>
      <c r="AE130" s="36"/>
      <c r="AF130" s="36"/>
      <c r="AG130" s="36"/>
      <c r="AH130" s="36"/>
      <c r="AI130" s="36"/>
      <c r="AJ130" s="234"/>
      <c r="AK130" s="235"/>
      <c r="AL130" s="36"/>
      <c r="AM130" s="36"/>
      <c r="AN130" s="36"/>
      <c r="AO130" s="36"/>
      <c r="AP130" s="36"/>
      <c r="AQ130" s="36"/>
      <c r="AR130" s="36"/>
      <c r="AS130" s="36"/>
      <c r="AT130" s="36"/>
      <c r="AU130" s="36"/>
      <c r="AV130" s="36"/>
      <c r="AW130" s="36"/>
      <c r="AX130" s="36"/>
      <c r="AY130" s="36"/>
      <c r="AZ130" s="36"/>
    </row>
    <row r="131" spans="1:52" x14ac:dyDescent="0.25">
      <c r="A131" s="36"/>
      <c r="B131" s="36"/>
      <c r="C131" s="36"/>
      <c r="D131" s="235"/>
      <c r="E131" s="235"/>
      <c r="F131" s="235"/>
      <c r="G131" s="235"/>
      <c r="H131" s="235"/>
      <c r="I131" s="235"/>
      <c r="J131" s="235"/>
      <c r="K131" s="235"/>
      <c r="L131" s="235"/>
      <c r="M131" s="235"/>
      <c r="N131" s="235"/>
      <c r="O131" s="235"/>
      <c r="P131" s="235"/>
      <c r="Q131" s="269"/>
      <c r="R131" s="235"/>
      <c r="S131" s="36"/>
      <c r="T131" s="247"/>
      <c r="U131" s="247"/>
      <c r="V131" s="235"/>
      <c r="W131" s="235"/>
      <c r="X131" s="235"/>
      <c r="Y131" s="235"/>
      <c r="Z131" s="235"/>
      <c r="AA131" s="235"/>
      <c r="AB131" s="235"/>
      <c r="AC131" s="235"/>
      <c r="AD131" s="235"/>
      <c r="AE131" s="235"/>
      <c r="AF131" s="247"/>
      <c r="AG131" s="235"/>
      <c r="AH131" s="296"/>
      <c r="AI131" s="36"/>
      <c r="AJ131" s="235"/>
      <c r="AK131" s="235"/>
      <c r="AL131" s="235"/>
      <c r="AM131" s="36"/>
      <c r="AN131" s="36"/>
      <c r="AO131" s="36"/>
      <c r="AP131" s="36"/>
      <c r="AQ131" s="36"/>
      <c r="AR131" s="36"/>
      <c r="AS131" s="36"/>
      <c r="AT131" s="36"/>
      <c r="AU131" s="36"/>
      <c r="AV131" s="36"/>
      <c r="AW131" s="36"/>
      <c r="AX131" s="36"/>
      <c r="AY131" s="36"/>
      <c r="AZ131" s="36"/>
    </row>
    <row r="132" spans="1:52" x14ac:dyDescent="0.25">
      <c r="A132" s="36"/>
      <c r="B132" s="235">
        <v>1365692.302626061</v>
      </c>
      <c r="C132" s="36" t="s">
        <v>1604</v>
      </c>
      <c r="D132" s="36"/>
      <c r="E132" s="36"/>
      <c r="F132" s="234"/>
      <c r="G132" s="234"/>
      <c r="H132" s="36"/>
      <c r="I132" s="36"/>
      <c r="J132" s="36"/>
      <c r="K132" s="36"/>
      <c r="L132" s="36"/>
      <c r="M132" s="36"/>
      <c r="N132" s="36"/>
      <c r="O132" s="36"/>
      <c r="P132" s="36"/>
      <c r="Q132" s="288"/>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234"/>
      <c r="AU132" s="234"/>
      <c r="AV132" s="36"/>
      <c r="AW132" s="36"/>
      <c r="AX132" s="234"/>
      <c r="AY132" s="234"/>
      <c r="AZ132" s="234"/>
    </row>
    <row r="133" spans="1:52" x14ac:dyDescent="0.25">
      <c r="A133" s="36"/>
      <c r="B133" s="36"/>
      <c r="C133" s="36" t="s">
        <v>1605</v>
      </c>
      <c r="D133" s="298"/>
      <c r="E133" s="298"/>
      <c r="F133" s="298"/>
      <c r="G133" s="298"/>
      <c r="H133" s="298"/>
      <c r="I133" s="298"/>
      <c r="J133" s="298"/>
      <c r="K133" s="298"/>
      <c r="L133" s="298"/>
      <c r="M133" s="298"/>
      <c r="N133" s="298"/>
      <c r="O133" s="298"/>
      <c r="P133" s="298"/>
      <c r="Q133" s="233"/>
      <c r="R133" s="298"/>
      <c r="S133" s="36"/>
      <c r="T133" s="298"/>
      <c r="U133" s="298"/>
      <c r="V133" s="298"/>
      <c r="W133" s="298"/>
      <c r="X133" s="298"/>
      <c r="Y133" s="298"/>
      <c r="Z133" s="298"/>
      <c r="AA133" s="298"/>
      <c r="AB133" s="298"/>
      <c r="AC133" s="298"/>
      <c r="AD133" s="298"/>
      <c r="AE133" s="298"/>
      <c r="AF133" s="298"/>
      <c r="AG133" s="298"/>
      <c r="AH133" s="36"/>
      <c r="AI133" s="36"/>
      <c r="AJ133" s="36"/>
      <c r="AK133" s="36"/>
      <c r="AL133" s="296"/>
      <c r="AM133" s="36"/>
      <c r="AN133" s="36"/>
      <c r="AO133" s="36"/>
      <c r="AP133" s="36"/>
      <c r="AQ133" s="36"/>
      <c r="AR133" s="36"/>
      <c r="AS133" s="36"/>
      <c r="AT133" s="234"/>
      <c r="AU133" s="234"/>
      <c r="AV133" s="36"/>
      <c r="AW133" s="36"/>
      <c r="AX133" s="234"/>
      <c r="AY133" s="234"/>
      <c r="AZ133" s="234"/>
    </row>
    <row r="134" spans="1:52" x14ac:dyDescent="0.25">
      <c r="A134" s="36" t="s">
        <v>571</v>
      </c>
      <c r="B134" s="1041">
        <f>'2122 Pay &amp; Pension Allocations'!A95</f>
        <v>1400520</v>
      </c>
      <c r="C134" s="36"/>
      <c r="D134" s="36"/>
      <c r="E134" s="36"/>
      <c r="F134" s="36"/>
      <c r="G134" s="36"/>
      <c r="H134" s="36"/>
      <c r="I134" s="234"/>
      <c r="J134" s="234"/>
      <c r="K134" s="36"/>
      <c r="L134" s="36"/>
      <c r="M134" s="36"/>
      <c r="N134" s="36"/>
      <c r="O134" s="36"/>
      <c r="P134" s="36"/>
      <c r="Q134" s="288"/>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234"/>
      <c r="AU134" s="234"/>
      <c r="AV134" s="36"/>
      <c r="AW134" s="36"/>
      <c r="AX134" s="234"/>
      <c r="AY134" s="234"/>
      <c r="AZ134" s="234"/>
    </row>
    <row r="136" spans="1:52" x14ac:dyDescent="0.25">
      <c r="A136" s="36"/>
      <c r="B136" s="793">
        <f>B132-B134</f>
        <v>-34827.69737393898</v>
      </c>
      <c r="C136" s="36" t="s">
        <v>1606</v>
      </c>
      <c r="D136" s="36"/>
      <c r="E136" s="36"/>
      <c r="F136" s="36"/>
      <c r="G136" s="36"/>
      <c r="H136" s="36"/>
      <c r="I136" s="234"/>
      <c r="J136" s="234"/>
      <c r="K136" s="36"/>
      <c r="L136" s="36"/>
      <c r="M136" s="36"/>
      <c r="N136" s="36"/>
      <c r="O136" s="36"/>
      <c r="P136" s="36"/>
      <c r="Q136" s="288"/>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234"/>
      <c r="AU136" s="234"/>
      <c r="AV136" s="36"/>
      <c r="AW136" s="36"/>
      <c r="AX136" s="234"/>
      <c r="AY136" s="234"/>
      <c r="AZ136" s="234"/>
    </row>
    <row r="137" spans="1:52" x14ac:dyDescent="0.25">
      <c r="A137" s="36"/>
      <c r="B137" s="36"/>
      <c r="C137" s="36" t="s">
        <v>1607</v>
      </c>
      <c r="D137" s="36"/>
      <c r="E137" s="36"/>
      <c r="F137" s="36"/>
      <c r="G137" s="36"/>
      <c r="H137" s="36"/>
      <c r="I137" s="234"/>
      <c r="J137" s="234"/>
      <c r="K137" s="36"/>
      <c r="L137" s="36"/>
      <c r="M137" s="36"/>
      <c r="N137" s="36"/>
      <c r="O137" s="36"/>
      <c r="P137" s="36"/>
      <c r="Q137" s="288"/>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234"/>
      <c r="AU137" s="234"/>
      <c r="AV137" s="36"/>
      <c r="AW137" s="36"/>
      <c r="AX137" s="234"/>
      <c r="AY137" s="234"/>
      <c r="AZ137" s="234"/>
    </row>
    <row r="138" spans="1:52" x14ac:dyDescent="0.25">
      <c r="A138" s="36"/>
      <c r="B138" s="36"/>
      <c r="C138" s="36" t="s">
        <v>1608</v>
      </c>
      <c r="D138" s="36"/>
      <c r="E138" s="36"/>
      <c r="F138" s="36"/>
      <c r="G138" s="36"/>
      <c r="H138" s="36"/>
      <c r="I138" s="234"/>
      <c r="J138" s="234"/>
      <c r="K138" s="36"/>
      <c r="L138" s="36"/>
      <c r="M138" s="36"/>
      <c r="N138" s="36"/>
      <c r="O138" s="36"/>
      <c r="P138" s="36"/>
      <c r="Q138" s="288"/>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234"/>
      <c r="AU138" s="234"/>
      <c r="AV138" s="36"/>
      <c r="AW138" s="36"/>
      <c r="AX138" s="234"/>
      <c r="AY138" s="234"/>
      <c r="AZ138" s="234"/>
    </row>
  </sheetData>
  <mergeCells count="3">
    <mergeCell ref="AG110:AG111"/>
    <mergeCell ref="O106:U107"/>
    <mergeCell ref="O108:U109"/>
  </mergeCells>
  <pageMargins left="0.7" right="0.7" top="0.75" bottom="0.75" header="0.3" footer="0.3"/>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FFC000"/>
  </sheetPr>
  <dimension ref="A1:BB148"/>
  <sheetViews>
    <sheetView topLeftCell="A78" workbookViewId="0">
      <selection activeCell="M94" sqref="M94"/>
    </sheetView>
  </sheetViews>
  <sheetFormatPr defaultColWidth="10.26953125" defaultRowHeight="12.5" x14ac:dyDescent="0.25"/>
  <cols>
    <col min="1" max="1" width="9.1796875" style="29" customWidth="1"/>
    <col min="2" max="2" width="26.7265625" style="29" customWidth="1"/>
    <col min="3" max="3" width="10.7265625" style="29" bestFit="1" customWidth="1"/>
    <col min="4" max="4" width="12.1796875" style="29" bestFit="1" customWidth="1"/>
    <col min="5" max="5" width="16.453125" style="29" customWidth="1"/>
    <col min="6" max="6" width="12.7265625" style="29" customWidth="1"/>
    <col min="7" max="7" width="14.54296875" style="29" customWidth="1"/>
    <col min="8" max="8" width="13.26953125" style="29" customWidth="1"/>
    <col min="9" max="9" width="13" style="30" customWidth="1"/>
    <col min="10" max="10" width="12.81640625" style="30" customWidth="1"/>
    <col min="11" max="11" width="12.26953125" style="29" customWidth="1"/>
    <col min="12" max="12" width="11.1796875" style="29" customWidth="1"/>
    <col min="13" max="13" width="13.26953125" style="29" customWidth="1"/>
    <col min="14" max="14" width="11.453125" style="29" customWidth="1"/>
    <col min="15" max="15" width="12.81640625" style="29" customWidth="1"/>
    <col min="16" max="16" width="12.453125" style="29" customWidth="1"/>
    <col min="17" max="17" width="12.453125" style="29" bestFit="1" customWidth="1"/>
    <col min="18" max="18" width="11.54296875" style="29" customWidth="1"/>
    <col min="19" max="19" width="12.453125" style="140" customWidth="1"/>
    <col min="20" max="20" width="12.26953125" style="29" customWidth="1"/>
    <col min="21" max="22" width="11.26953125" style="29" customWidth="1"/>
    <col min="23" max="23" width="10.26953125" style="29" customWidth="1"/>
    <col min="24" max="24" width="11.1796875" style="29" bestFit="1" customWidth="1"/>
    <col min="25" max="25" width="11.1796875" style="29" customWidth="1"/>
    <col min="26" max="26" width="12.81640625" style="29" customWidth="1"/>
    <col min="27" max="27" width="11" style="29" customWidth="1"/>
    <col min="28" max="28" width="12.7265625" style="29" customWidth="1"/>
    <col min="29" max="29" width="13.1796875" style="29" customWidth="1"/>
    <col min="30" max="30" width="12.1796875" style="29" customWidth="1"/>
    <col min="31" max="31" width="11" style="29" customWidth="1"/>
    <col min="32" max="32" width="10.54296875" style="29" bestFit="1" customWidth="1"/>
    <col min="33" max="33" width="12.453125" style="29" customWidth="1"/>
    <col min="34" max="34" width="10.26953125" style="29" customWidth="1"/>
    <col min="35" max="35" width="28.54296875" style="29" bestFit="1" customWidth="1"/>
    <col min="36" max="36" width="11.1796875" style="29" customWidth="1"/>
    <col min="37" max="37" width="2" style="29" customWidth="1"/>
    <col min="38" max="38" width="10" style="29" customWidth="1"/>
    <col min="39" max="39" width="9.7265625" style="29" customWidth="1"/>
    <col min="40" max="40" width="10.54296875" style="29" bestFit="1" customWidth="1"/>
    <col min="41" max="41" width="10.26953125" style="29" customWidth="1"/>
    <col min="42" max="42" width="15" style="29" customWidth="1"/>
    <col min="43" max="43" width="14.1796875" style="29" customWidth="1"/>
    <col min="44" max="47" width="10.26953125" style="29"/>
    <col min="48" max="48" width="14.7265625" style="30" customWidth="1"/>
    <col min="49" max="49" width="13.26953125" style="30" customWidth="1"/>
    <col min="50" max="51" width="10.26953125" style="29"/>
    <col min="52" max="52" width="19" style="30" bestFit="1" customWidth="1"/>
    <col min="53" max="53" width="16.81640625" style="30" customWidth="1"/>
    <col min="54" max="54" width="10.26953125" style="30"/>
    <col min="55" max="16384" width="10.26953125" style="29"/>
  </cols>
  <sheetData>
    <row r="1" spans="1:54" x14ac:dyDescent="0.25">
      <c r="A1" s="94" t="s">
        <v>230</v>
      </c>
      <c r="B1" s="36"/>
      <c r="C1" s="36"/>
      <c r="D1" s="36"/>
      <c r="E1" s="36"/>
      <c r="F1" s="36"/>
      <c r="G1" s="36"/>
      <c r="H1" s="36"/>
      <c r="I1" s="234"/>
      <c r="J1" s="234"/>
      <c r="K1" s="36"/>
      <c r="L1" s="36"/>
      <c r="M1" s="36"/>
      <c r="N1" s="36"/>
      <c r="O1" s="36"/>
      <c r="P1" s="36"/>
      <c r="Q1" s="36"/>
      <c r="R1" s="36"/>
      <c r="S1" s="1023"/>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row>
    <row r="2" spans="1:54" ht="13" x14ac:dyDescent="0.3">
      <c r="A2" s="94"/>
      <c r="B2" s="36"/>
      <c r="C2" s="36"/>
      <c r="D2" s="36"/>
      <c r="E2" s="139" t="s">
        <v>1176</v>
      </c>
      <c r="F2" s="36"/>
      <c r="G2" s="36"/>
      <c r="H2" s="36"/>
      <c r="I2" s="234"/>
      <c r="J2" s="234"/>
      <c r="K2" s="36"/>
      <c r="L2" s="36"/>
      <c r="M2" s="36"/>
      <c r="N2" s="36"/>
      <c r="O2" s="36"/>
      <c r="P2" s="36"/>
      <c r="Q2" s="36"/>
      <c r="R2" s="36"/>
      <c r="S2" s="1023"/>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row>
    <row r="3" spans="1:54" ht="13" x14ac:dyDescent="0.3">
      <c r="A3" s="93" t="s">
        <v>1177</v>
      </c>
      <c r="B3" s="36"/>
      <c r="C3" s="36"/>
      <c r="D3" s="36"/>
      <c r="E3" s="36"/>
      <c r="F3" s="36"/>
      <c r="G3" s="36"/>
      <c r="H3" s="36"/>
      <c r="I3" s="234"/>
      <c r="J3" s="234"/>
      <c r="K3" s="94" t="s">
        <v>911</v>
      </c>
      <c r="L3" s="36"/>
      <c r="M3" s="36"/>
      <c r="N3" s="36"/>
      <c r="O3" s="36"/>
      <c r="P3" s="36"/>
      <c r="Q3" s="36"/>
      <c r="R3" s="36"/>
      <c r="S3" s="1023"/>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row>
    <row r="4" spans="1:54" x14ac:dyDescent="0.25">
      <c r="A4" s="36"/>
      <c r="B4" s="263"/>
      <c r="C4" s="263"/>
      <c r="D4" s="36"/>
      <c r="E4" s="36"/>
      <c r="F4" s="36"/>
      <c r="G4" s="36"/>
      <c r="H4" s="36"/>
      <c r="I4" s="234"/>
      <c r="J4" s="234"/>
      <c r="K4" s="36"/>
      <c r="L4" s="36"/>
      <c r="M4" s="36"/>
      <c r="N4" s="36"/>
      <c r="O4" s="1439"/>
      <c r="P4" s="1439"/>
      <c r="Q4" s="36"/>
      <c r="R4" s="1023"/>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row>
    <row r="5" spans="1:54" ht="37.5" x14ac:dyDescent="0.25">
      <c r="A5" s="265" t="s">
        <v>182</v>
      </c>
      <c r="B5" s="237" t="s">
        <v>183</v>
      </c>
      <c r="C5" s="238" t="s">
        <v>184</v>
      </c>
      <c r="D5" s="234" t="s">
        <v>901</v>
      </c>
      <c r="E5" s="234" t="s">
        <v>902</v>
      </c>
      <c r="F5" s="234" t="s">
        <v>903</v>
      </c>
      <c r="G5" s="234" t="s">
        <v>904</v>
      </c>
      <c r="H5" s="234" t="s">
        <v>905</v>
      </c>
      <c r="I5" s="234" t="s">
        <v>906</v>
      </c>
      <c r="J5" s="234" t="s">
        <v>907</v>
      </c>
      <c r="K5" s="243" t="s">
        <v>246</v>
      </c>
      <c r="L5" s="243" t="s">
        <v>249</v>
      </c>
      <c r="M5" s="243" t="s">
        <v>250</v>
      </c>
      <c r="N5" s="243" t="s">
        <v>251</v>
      </c>
      <c r="O5" s="243"/>
      <c r="P5" s="243"/>
      <c r="Q5" s="36"/>
      <c r="R5" s="449" t="s">
        <v>908</v>
      </c>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row>
    <row r="6" spans="1:54" x14ac:dyDescent="0.25">
      <c r="A6" s="244">
        <v>9257010</v>
      </c>
      <c r="B6" s="237" t="s">
        <v>205</v>
      </c>
      <c r="C6" s="365">
        <v>5</v>
      </c>
      <c r="D6" s="1024">
        <f>VLOOKUP(A6,'2122 Band Moderations'!$B$5:$S$22,6,(FALSE))</f>
        <v>1.5873015873015872E-2</v>
      </c>
      <c r="E6" s="1024">
        <f>VLOOKUP(A6,'2122 Band Moderations'!$B$5:$S$22,8,(FALSE))</f>
        <v>0.31746031746031744</v>
      </c>
      <c r="F6" s="1024">
        <f>VLOOKUP(A6,'2122 Band Moderations'!$B$5:$S$22,10,(FALSE))</f>
        <v>9.5238095238095233E-2</v>
      </c>
      <c r="G6" s="1024">
        <f>VLOOKUP(A6,'2122 Band Moderations'!$B$5:$S$22,12,(FALSE))</f>
        <v>0.17460317460317459</v>
      </c>
      <c r="H6" s="1024">
        <f>VLOOKUP(A6,'2122 Band Moderations'!$B$5:$S$22,14,(FALSE))</f>
        <v>6.3492063492063489E-2</v>
      </c>
      <c r="I6" s="1024">
        <f>VLOOKUP(A6,'2122 Band Moderations'!$B$5:$S$22,16,(FALSE))</f>
        <v>0.19047619047619047</v>
      </c>
      <c r="J6" s="1024">
        <f>VLOOKUP(A6,'2122 Band Moderations'!$B$5:$S$22,18,(FALSE))</f>
        <v>0.14285714285714285</v>
      </c>
      <c r="K6" s="451">
        <v>58</v>
      </c>
      <c r="L6" s="1025">
        <f t="shared" ref="L6:L23" si="0">((((K6*D6)*$G$92)+((K6*E6)*$G$94)+((K6*F6)*$G$96)+((K6*G6)*$G$98)+((K6*H6)*$G$100)+((K6*I6)*$G$102)+((K6*J6)*$G$104))*(5/12))</f>
        <v>4905.4888944271843</v>
      </c>
      <c r="M6" s="1025">
        <f>((K6*F6)*$G$106)*(5/12)</f>
        <v>0</v>
      </c>
      <c r="N6" s="1025">
        <f t="shared" ref="N6:N23" si="1">SUM(L6:M6)</f>
        <v>4905.4888944271843</v>
      </c>
      <c r="O6" s="235"/>
      <c r="P6" s="235"/>
      <c r="Q6" s="235"/>
      <c r="R6" s="235">
        <f t="shared" ref="R6:R23" si="2">(J6*K6*$G$104)*5/12</f>
        <v>1254.7256736167717</v>
      </c>
      <c r="S6" s="269"/>
      <c r="T6" s="295"/>
      <c r="U6" s="36"/>
      <c r="V6" s="36"/>
      <c r="W6" s="235"/>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row>
    <row r="7" spans="1:54" ht="12.75" customHeight="1" x14ac:dyDescent="0.25">
      <c r="A7" s="244">
        <v>9257005</v>
      </c>
      <c r="B7" s="237" t="s">
        <v>208</v>
      </c>
      <c r="C7" s="365">
        <v>4</v>
      </c>
      <c r="D7" s="1024">
        <f>VLOOKUP(A7,'2122 Band Moderations'!$B$5:$S$22,6,(FALSE))</f>
        <v>0.05</v>
      </c>
      <c r="E7" s="1024">
        <f>VLOOKUP(A7,'2122 Band Moderations'!$B$5:$S$22,8,(FALSE))</f>
        <v>0.4</v>
      </c>
      <c r="F7" s="1024">
        <f>VLOOKUP(A7,'2122 Band Moderations'!$B$5:$S$22,10,(FALSE))</f>
        <v>6.25E-2</v>
      </c>
      <c r="G7" s="1024">
        <f>VLOOKUP(A7,'2122 Band Moderations'!$B$5:$S$22,12,(FALSE))</f>
        <v>0.15</v>
      </c>
      <c r="H7" s="1024">
        <f>VLOOKUP(A7,'2122 Band Moderations'!$B$5:$S$22,14,(FALSE))</f>
        <v>0.125</v>
      </c>
      <c r="I7" s="1024">
        <f>VLOOKUP(A7,'2122 Band Moderations'!$B$5:$S$22,16,(FALSE))</f>
        <v>0.15</v>
      </c>
      <c r="J7" s="1024">
        <f>VLOOKUP(A7,'2122 Band Moderations'!$B$5:$S$22,18,(FALSE))</f>
        <v>6.25E-2</v>
      </c>
      <c r="K7" s="451">
        <v>53</v>
      </c>
      <c r="L7" s="1025">
        <f t="shared" si="0"/>
        <v>3862.9242415892982</v>
      </c>
      <c r="M7" s="1025">
        <f t="shared" ref="M7:M23" si="3">((K7*F7)*$G$106)*(5/12)</f>
        <v>0</v>
      </c>
      <c r="N7" s="1025">
        <f t="shared" si="1"/>
        <v>3862.9242415892982</v>
      </c>
      <c r="O7" s="235"/>
      <c r="P7" s="235"/>
      <c r="Q7" s="235"/>
      <c r="R7" s="235">
        <f t="shared" si="2"/>
        <v>501.61985443084296</v>
      </c>
      <c r="S7" s="233"/>
      <c r="T7" s="296"/>
      <c r="U7" s="36"/>
      <c r="V7" s="36"/>
      <c r="W7" s="235"/>
      <c r="X7" s="234"/>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row>
    <row r="8" spans="1:54" ht="12.75" customHeight="1" x14ac:dyDescent="0.25">
      <c r="A8" s="244">
        <v>9257025</v>
      </c>
      <c r="B8" s="237" t="s">
        <v>209</v>
      </c>
      <c r="C8" s="365">
        <v>4</v>
      </c>
      <c r="D8" s="1024">
        <f>VLOOKUP(A8,'2122 Band Moderations'!$B$5:$S$22,6,(FALSE))</f>
        <v>0.15584415584415584</v>
      </c>
      <c r="E8" s="1024">
        <f>VLOOKUP(A8,'2122 Band Moderations'!$B$5:$S$22,8,(FALSE))</f>
        <v>0.40259740259740262</v>
      </c>
      <c r="F8" s="1024">
        <f>VLOOKUP(A8,'2122 Band Moderations'!$B$5:$S$22,10,(FALSE))</f>
        <v>3.896103896103896E-2</v>
      </c>
      <c r="G8" s="1024">
        <f>VLOOKUP(A8,'2122 Band Moderations'!$B$5:$S$22,12,(FALSE))</f>
        <v>0.15584415584415584</v>
      </c>
      <c r="H8" s="1024">
        <f>VLOOKUP(A8,'2122 Band Moderations'!$B$5:$S$22,14,(FALSE))</f>
        <v>5.1948051948051951E-2</v>
      </c>
      <c r="I8" s="1024">
        <f>VLOOKUP(A8,'2122 Band Moderations'!$B$5:$S$22,16,(FALSE))</f>
        <v>0.14285714285714285</v>
      </c>
      <c r="J8" s="1024">
        <f>VLOOKUP(A8,'2122 Band Moderations'!$B$5:$S$22,18,(FALSE))</f>
        <v>5.1948051948051951E-2</v>
      </c>
      <c r="K8" s="451">
        <v>56</v>
      </c>
      <c r="L8" s="1025">
        <f t="shared" si="0"/>
        <v>3571.8198240381557</v>
      </c>
      <c r="M8" s="1025">
        <f t="shared" si="3"/>
        <v>0</v>
      </c>
      <c r="N8" s="1025">
        <f t="shared" si="1"/>
        <v>3571.8198240381557</v>
      </c>
      <c r="O8" s="235"/>
      <c r="P8" s="235"/>
      <c r="Q8" s="235"/>
      <c r="R8" s="235">
        <f t="shared" si="2"/>
        <v>440.53064402845911</v>
      </c>
      <c r="S8" s="233"/>
      <c r="T8" s="380"/>
      <c r="U8" s="380"/>
      <c r="V8" s="380"/>
      <c r="W8" s="380"/>
      <c r="X8" s="380"/>
      <c r="Y8" s="380"/>
      <c r="Z8" s="380"/>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row>
    <row r="9" spans="1:54" x14ac:dyDescent="0.25">
      <c r="A9" s="244">
        <v>9257011</v>
      </c>
      <c r="B9" s="237" t="s">
        <v>210</v>
      </c>
      <c r="C9" s="365" t="s">
        <v>1251</v>
      </c>
      <c r="D9" s="1024">
        <f>VLOOKUP(A9,'2122 Band Moderations'!$B$5:$S$22,6,(FALSE))</f>
        <v>5.6603773584905662E-2</v>
      </c>
      <c r="E9" s="1024">
        <f>VLOOKUP(A9,'2122 Band Moderations'!$B$5:$S$22,8,(FALSE))</f>
        <v>0.35849056603773582</v>
      </c>
      <c r="F9" s="1024">
        <f>VLOOKUP(A9,'2122 Band Moderations'!$B$5:$S$22,10,(FALSE))</f>
        <v>1.8867924528301886E-2</v>
      </c>
      <c r="G9" s="1024">
        <f>VLOOKUP(A9,'2122 Band Moderations'!$B$5:$S$22,12,(FALSE))</f>
        <v>0.16981132075471697</v>
      </c>
      <c r="H9" s="1024">
        <f>VLOOKUP(A9,'2122 Band Moderations'!$B$5:$S$22,14,(FALSE))</f>
        <v>0.13207547169811321</v>
      </c>
      <c r="I9" s="1024">
        <f>VLOOKUP(A9,'2122 Band Moderations'!$B$5:$S$22,16,(FALSE))</f>
        <v>0.15094339622641509</v>
      </c>
      <c r="J9" s="1024">
        <f>VLOOKUP(A9,'2122 Band Moderations'!$B$5:$S$22,18,(FALSE))</f>
        <v>0.11320754716981132</v>
      </c>
      <c r="K9" s="451">
        <v>50</v>
      </c>
      <c r="L9" s="1025">
        <f t="shared" si="0"/>
        <v>3935.8348071698592</v>
      </c>
      <c r="M9" s="1025">
        <f t="shared" si="3"/>
        <v>0</v>
      </c>
      <c r="N9" s="1025">
        <f t="shared" si="1"/>
        <v>3935.8348071698592</v>
      </c>
      <c r="O9" s="235"/>
      <c r="P9" s="235"/>
      <c r="Q9" s="235"/>
      <c r="R9" s="235">
        <f t="shared" si="2"/>
        <v>857.16457859311038</v>
      </c>
      <c r="S9" s="233"/>
      <c r="T9" s="380"/>
      <c r="U9" s="380"/>
      <c r="V9" s="380"/>
      <c r="W9" s="380"/>
      <c r="X9" s="380"/>
      <c r="Y9" s="380"/>
      <c r="Z9" s="380"/>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row>
    <row r="10" spans="1:54" x14ac:dyDescent="0.25">
      <c r="A10" s="244">
        <v>9257024</v>
      </c>
      <c r="B10" s="237" t="s">
        <v>211</v>
      </c>
      <c r="C10" s="365">
        <v>4</v>
      </c>
      <c r="D10" s="1024">
        <f>VLOOKUP(A10,'2122 Band Moderations'!$B$5:$S$22,6,(FALSE))</f>
        <v>8.4337349397590355E-2</v>
      </c>
      <c r="E10" s="1024">
        <f>VLOOKUP(A10,'2122 Band Moderations'!$B$5:$S$22,8,(FALSE))</f>
        <v>0.45783132530120479</v>
      </c>
      <c r="F10" s="1024">
        <f>VLOOKUP(A10,'2122 Band Moderations'!$B$5:$S$22,10,(FALSE))</f>
        <v>1.2048192771084338E-2</v>
      </c>
      <c r="G10" s="1024">
        <f>VLOOKUP(A10,'2122 Band Moderations'!$B$5:$S$22,12,(FALSE))</f>
        <v>0.18072289156626506</v>
      </c>
      <c r="H10" s="1024">
        <f>VLOOKUP(A10,'2122 Band Moderations'!$B$5:$S$22,14,(FALSE))</f>
        <v>8.4337349397590355E-2</v>
      </c>
      <c r="I10" s="1024">
        <f>VLOOKUP(A10,'2122 Band Moderations'!$B$5:$S$22,16,(FALSE))</f>
        <v>7.2289156626506021E-2</v>
      </c>
      <c r="J10" s="1024">
        <f>VLOOKUP(A10,'2122 Band Moderations'!$B$5:$S$22,18,(FALSE))</f>
        <v>0.10843373493975904</v>
      </c>
      <c r="K10" s="451">
        <v>70</v>
      </c>
      <c r="L10" s="1025">
        <f t="shared" si="0"/>
        <v>4846.6115329923286</v>
      </c>
      <c r="M10" s="1025">
        <f t="shared" si="3"/>
        <v>0</v>
      </c>
      <c r="N10" s="1025">
        <f t="shared" si="1"/>
        <v>4846.6115329923286</v>
      </c>
      <c r="O10" s="235"/>
      <c r="P10" s="235"/>
      <c r="Q10" s="235"/>
      <c r="R10" s="235">
        <f t="shared" si="2"/>
        <v>1149.4267180411225</v>
      </c>
      <c r="S10" s="233"/>
      <c r="T10" s="380"/>
      <c r="U10" s="380"/>
      <c r="V10" s="380"/>
      <c r="W10" s="380"/>
      <c r="X10" s="380"/>
      <c r="Y10" s="380"/>
      <c r="Z10" s="380"/>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row>
    <row r="11" spans="1:54" ht="12.75" customHeight="1" x14ac:dyDescent="0.25">
      <c r="A11" s="244">
        <v>9257031</v>
      </c>
      <c r="B11" s="237" t="s">
        <v>257</v>
      </c>
      <c r="C11" s="365">
        <v>5</v>
      </c>
      <c r="D11" s="1024">
        <f>VLOOKUP(A11,'2122 Band Moderations'!$B$5:$S$22,6,(FALSE))</f>
        <v>0</v>
      </c>
      <c r="E11" s="1024">
        <f>VLOOKUP(A11,'2122 Band Moderations'!$B$5:$S$22,8,(FALSE))</f>
        <v>0</v>
      </c>
      <c r="F11" s="1024">
        <f>VLOOKUP(A11,'2122 Band Moderations'!$B$5:$S$22,10,(FALSE))</f>
        <v>1</v>
      </c>
      <c r="G11" s="1024">
        <f>VLOOKUP(A11,'2122 Band Moderations'!$B$5:$S$22,12,(FALSE))</f>
        <v>0</v>
      </c>
      <c r="H11" s="1024">
        <f>VLOOKUP(A11,'2122 Band Moderations'!$B$5:$S$22,14,(FALSE))</f>
        <v>0</v>
      </c>
      <c r="I11" s="1024">
        <f>VLOOKUP(A11,'2122 Band Moderations'!$B$5:$S$22,16,(FALSE))</f>
        <v>0</v>
      </c>
      <c r="J11" s="1024">
        <f>VLOOKUP(A11,'2122 Band Moderations'!$B$5:$S$22,18,(FALSE))</f>
        <v>0</v>
      </c>
      <c r="K11" s="451">
        <v>80</v>
      </c>
      <c r="L11" s="1025">
        <f t="shared" si="0"/>
        <v>7045.4006550218164</v>
      </c>
      <c r="M11" s="1025">
        <f t="shared" si="3"/>
        <v>0</v>
      </c>
      <c r="N11" s="1025">
        <f t="shared" si="1"/>
        <v>7045.4006550218164</v>
      </c>
      <c r="O11" s="235"/>
      <c r="P11" s="235"/>
      <c r="Q11" s="235"/>
      <c r="R11" s="235">
        <f t="shared" si="2"/>
        <v>0</v>
      </c>
      <c r="S11" s="233"/>
      <c r="T11" s="380"/>
      <c r="U11" s="380"/>
      <c r="V11" s="380"/>
      <c r="W11" s="380"/>
      <c r="X11" s="380"/>
      <c r="Y11" s="380"/>
      <c r="Z11" s="380"/>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row>
    <row r="12" spans="1:54" x14ac:dyDescent="0.25">
      <c r="A12" s="244">
        <v>9257033</v>
      </c>
      <c r="B12" s="237" t="s">
        <v>220</v>
      </c>
      <c r="C12" s="365" t="s">
        <v>1178</v>
      </c>
      <c r="D12" s="1024">
        <f>VLOOKUP(A12,'2122 Band Moderations'!$B$5:$S$22,6,(FALSE))</f>
        <v>0.16842105263157894</v>
      </c>
      <c r="E12" s="1024">
        <f>VLOOKUP(A12,'2122 Band Moderations'!$B$5:$S$22,8,(FALSE))</f>
        <v>0.5368421052631579</v>
      </c>
      <c r="F12" s="1024">
        <f>VLOOKUP(A12,'2122 Band Moderations'!$B$5:$S$22,10,(FALSE))</f>
        <v>6.3157894736842107E-2</v>
      </c>
      <c r="G12" s="1024">
        <f>VLOOKUP(A12,'2122 Band Moderations'!$B$5:$S$22,12,(FALSE))</f>
        <v>0.14736842105263157</v>
      </c>
      <c r="H12" s="1024">
        <f>VLOOKUP(A12,'2122 Band Moderations'!$B$5:$S$22,14,(FALSE))</f>
        <v>4.2105263157894736E-2</v>
      </c>
      <c r="I12" s="1024">
        <f>VLOOKUP(A12,'2122 Band Moderations'!$B$5:$S$22,16,(FALSE))</f>
        <v>4.2105263157894736E-2</v>
      </c>
      <c r="J12" s="1024">
        <f>VLOOKUP(A12,'2122 Band Moderations'!$B$5:$S$22,18,(FALSE))</f>
        <v>0</v>
      </c>
      <c r="K12" s="451">
        <v>99</v>
      </c>
      <c r="L12" s="1025">
        <f t="shared" si="0"/>
        <v>4991.5736614427587</v>
      </c>
      <c r="M12" s="1025">
        <f t="shared" si="3"/>
        <v>0</v>
      </c>
      <c r="N12" s="1025">
        <f t="shared" si="1"/>
        <v>4991.5736614427587</v>
      </c>
      <c r="O12" s="235"/>
      <c r="P12" s="235"/>
      <c r="Q12" s="235"/>
      <c r="R12" s="235">
        <f t="shared" si="2"/>
        <v>0</v>
      </c>
      <c r="S12" s="233"/>
      <c r="T12" s="380"/>
      <c r="U12" s="380"/>
      <c r="V12" s="380"/>
      <c r="W12" s="380"/>
      <c r="X12" s="380"/>
      <c r="Y12" s="380"/>
      <c r="Z12" s="380"/>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row>
    <row r="13" spans="1:54" x14ac:dyDescent="0.25">
      <c r="A13" s="244">
        <v>9257008</v>
      </c>
      <c r="B13" s="237" t="s">
        <v>212</v>
      </c>
      <c r="C13" s="365">
        <v>4</v>
      </c>
      <c r="D13" s="1024">
        <f>VLOOKUP(A13,'2122 Band Moderations'!$B$5:$S$22,6,(FALSE))</f>
        <v>0.10101010101010101</v>
      </c>
      <c r="E13" s="1024">
        <f>VLOOKUP(A13,'2122 Band Moderations'!$B$5:$S$22,8,(FALSE))</f>
        <v>0.58585858585858586</v>
      </c>
      <c r="F13" s="1024">
        <f>VLOOKUP(A13,'2122 Band Moderations'!$B$5:$S$22,10,(FALSE))</f>
        <v>8.0808080808080815E-2</v>
      </c>
      <c r="G13" s="1024">
        <f>VLOOKUP(A13,'2122 Band Moderations'!$B$5:$S$22,12,(FALSE))</f>
        <v>9.0909090909090912E-2</v>
      </c>
      <c r="H13" s="1024">
        <f>VLOOKUP(A13,'2122 Band Moderations'!$B$5:$S$22,14,(FALSE))</f>
        <v>1.0101010101010102E-2</v>
      </c>
      <c r="I13" s="1024">
        <f>VLOOKUP(A13,'2122 Band Moderations'!$B$5:$S$22,16,(FALSE))</f>
        <v>0.12121212121212122</v>
      </c>
      <c r="J13" s="1024">
        <f>VLOOKUP(A13,'2122 Band Moderations'!$B$5:$S$22,18,(FALSE))</f>
        <v>1.0101010101010102E-2</v>
      </c>
      <c r="K13" s="451">
        <v>98</v>
      </c>
      <c r="L13" s="1025">
        <f t="shared" si="0"/>
        <v>5027.0240641365317</v>
      </c>
      <c r="M13" s="1025">
        <f t="shared" si="3"/>
        <v>0</v>
      </c>
      <c r="N13" s="1025">
        <f t="shared" si="1"/>
        <v>5027.0240641365317</v>
      </c>
      <c r="O13" s="235"/>
      <c r="P13" s="235"/>
      <c r="Q13" s="235"/>
      <c r="R13" s="235">
        <f t="shared" si="2"/>
        <v>149.90278859301733</v>
      </c>
      <c r="S13" s="233"/>
      <c r="T13" s="380"/>
      <c r="U13" s="380"/>
      <c r="V13" s="380"/>
      <c r="W13" s="380"/>
      <c r="X13" s="380"/>
      <c r="Y13" s="380"/>
      <c r="Z13" s="380"/>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row>
    <row r="14" spans="1:54" x14ac:dyDescent="0.25">
      <c r="A14" s="244">
        <v>9257034</v>
      </c>
      <c r="B14" s="237" t="s">
        <v>221</v>
      </c>
      <c r="C14" s="365" t="s">
        <v>1178</v>
      </c>
      <c r="D14" s="1024">
        <f>VLOOKUP(A14,'2122 Band Moderations'!$B$5:$S$22,6,(FALSE))</f>
        <v>0.42424242424242425</v>
      </c>
      <c r="E14" s="1024">
        <f>VLOOKUP(A14,'2122 Band Moderations'!$B$5:$S$22,8,(FALSE))</f>
        <v>0.29292929292929293</v>
      </c>
      <c r="F14" s="1272">
        <f>VLOOKUP(A14,'2122 Band Moderations'!$B$5:$S$22,10,(FALSE))</f>
        <v>0.14141414141414141</v>
      </c>
      <c r="G14" s="1024">
        <f>VLOOKUP(A14,'2122 Band Moderations'!$B$5:$S$22,12,(FALSE))</f>
        <v>3.0303030303030304E-2</v>
      </c>
      <c r="H14" s="1024">
        <f>VLOOKUP(A14,'2122 Band Moderations'!$B$5:$S$22,14,(FALSE))</f>
        <v>4.0404040404040407E-2</v>
      </c>
      <c r="I14" s="1024">
        <f>VLOOKUP(A14,'2122 Band Moderations'!$B$5:$S$22,16,(FALSE))</f>
        <v>6.0606060606060608E-2</v>
      </c>
      <c r="J14" s="1024">
        <f>VLOOKUP(A14,'2122 Band Moderations'!$B$5:$S$22,18,(FALSE))</f>
        <v>1.0101010101010102E-2</v>
      </c>
      <c r="K14" s="451">
        <v>94</v>
      </c>
      <c r="L14" s="1025">
        <f t="shared" si="0"/>
        <v>4387.4817600498927</v>
      </c>
      <c r="M14" s="1025">
        <f t="shared" si="3"/>
        <v>0</v>
      </c>
      <c r="N14" s="1025">
        <f t="shared" si="1"/>
        <v>4387.4817600498927</v>
      </c>
      <c r="O14" s="235"/>
      <c r="P14" s="235"/>
      <c r="Q14" s="235"/>
      <c r="R14" s="235">
        <f t="shared" si="2"/>
        <v>143.7843074259554</v>
      </c>
      <c r="S14" s="233"/>
      <c r="T14" s="380"/>
      <c r="U14" s="380"/>
      <c r="V14" s="380"/>
      <c r="W14" s="380"/>
      <c r="X14" s="380"/>
      <c r="Y14" s="380"/>
      <c r="Z14" s="380"/>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row>
    <row r="15" spans="1:54" x14ac:dyDescent="0.25">
      <c r="A15" s="244">
        <v>9257002</v>
      </c>
      <c r="B15" s="237" t="s">
        <v>213</v>
      </c>
      <c r="C15" s="365">
        <v>5</v>
      </c>
      <c r="D15" s="1024">
        <f>VLOOKUP(A15,'2122 Band Moderations'!$B$5:$S$22,6,(FALSE))</f>
        <v>0.3546099290780142</v>
      </c>
      <c r="E15" s="1024">
        <f>VLOOKUP(A15,'2122 Band Moderations'!$B$5:$S$22,8,(FALSE))</f>
        <v>0.38297872340425532</v>
      </c>
      <c r="F15" s="1024">
        <f>VLOOKUP(A15,'2122 Band Moderations'!$B$5:$S$22,10,(FALSE))</f>
        <v>0.1276595744680851</v>
      </c>
      <c r="G15" s="1024">
        <f>VLOOKUP(A15,'2122 Band Moderations'!$B$5:$S$22,12,(FALSE))</f>
        <v>2.8368794326241134E-2</v>
      </c>
      <c r="H15" s="1024">
        <f>VLOOKUP(A15,'2122 Band Moderations'!$B$5:$S$22,14,(FALSE))</f>
        <v>2.1276595744680851E-2</v>
      </c>
      <c r="I15" s="1024">
        <f>VLOOKUP(A15,'2122 Band Moderations'!$B$5:$S$22,16,(FALSE))</f>
        <v>7.8014184397163122E-2</v>
      </c>
      <c r="J15" s="1024">
        <f>VLOOKUP(A15,'2122 Band Moderations'!$B$5:$S$22,18,(FALSE))</f>
        <v>7.0921985815602835E-3</v>
      </c>
      <c r="K15" s="451">
        <v>150</v>
      </c>
      <c r="L15" s="1025">
        <f t="shared" si="0"/>
        <v>6799.9935019757831</v>
      </c>
      <c r="M15" s="1025">
        <f t="shared" si="3"/>
        <v>0</v>
      </c>
      <c r="N15" s="1025">
        <f t="shared" si="1"/>
        <v>6799.9935019757831</v>
      </c>
      <c r="O15" s="235"/>
      <c r="P15" s="235"/>
      <c r="Q15" s="235"/>
      <c r="R15" s="235">
        <f t="shared" si="2"/>
        <v>161.098307324237</v>
      </c>
      <c r="S15" s="233"/>
      <c r="T15" s="380"/>
      <c r="U15" s="380"/>
      <c r="V15" s="380"/>
      <c r="W15" s="380"/>
      <c r="X15" s="380"/>
      <c r="Y15" s="380"/>
      <c r="Z15" s="380"/>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row>
    <row r="16" spans="1:54" x14ac:dyDescent="0.25">
      <c r="A16" s="244">
        <v>9257009</v>
      </c>
      <c r="B16" s="237" t="s">
        <v>214</v>
      </c>
      <c r="C16" s="365" t="s">
        <v>1178</v>
      </c>
      <c r="D16" s="1024">
        <f>VLOOKUP(A16,'2122 Band Moderations'!$B$5:$S$22,6,(FALSE))</f>
        <v>0.23200000000000001</v>
      </c>
      <c r="E16" s="1024">
        <f>VLOOKUP(A16,'2122 Band Moderations'!$B$5:$S$22,8,(FALSE))</f>
        <v>0.57599999999999996</v>
      </c>
      <c r="F16" s="1024">
        <f>VLOOKUP(A16,'2122 Band Moderations'!$B$5:$S$22,10,(FALSE))</f>
        <v>0.08</v>
      </c>
      <c r="G16" s="1024">
        <f>VLOOKUP(A16,'2122 Band Moderations'!$B$5:$S$22,12,(FALSE))</f>
        <v>2.4E-2</v>
      </c>
      <c r="H16" s="1024">
        <f>VLOOKUP(A16,'2122 Band Moderations'!$B$5:$S$22,14,(FALSE))</f>
        <v>8.0000000000000002E-3</v>
      </c>
      <c r="I16" s="1024">
        <f>VLOOKUP(A16,'2122 Band Moderations'!$B$5:$S$22,16,(FALSE))</f>
        <v>0.08</v>
      </c>
      <c r="J16" s="1024">
        <f>VLOOKUP(A16,'2122 Band Moderations'!$B$5:$S$22,18,(FALSE))</f>
        <v>0</v>
      </c>
      <c r="K16" s="451">
        <v>136</v>
      </c>
      <c r="L16" s="1025">
        <f t="shared" si="0"/>
        <v>5573.3816114992642</v>
      </c>
      <c r="M16" s="1025">
        <f t="shared" si="3"/>
        <v>0</v>
      </c>
      <c r="N16" s="1025">
        <f t="shared" si="1"/>
        <v>5573.3816114992642</v>
      </c>
      <c r="O16" s="235"/>
      <c r="P16" s="235"/>
      <c r="Q16" s="235"/>
      <c r="R16" s="235">
        <f t="shared" si="2"/>
        <v>0</v>
      </c>
      <c r="S16" s="233"/>
      <c r="T16" s="380"/>
      <c r="U16" s="380"/>
      <c r="V16" s="380"/>
      <c r="W16" s="380"/>
      <c r="X16" s="380"/>
      <c r="Y16" s="380"/>
      <c r="Z16" s="380"/>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row>
    <row r="17" spans="1:23" s="29" customFormat="1" x14ac:dyDescent="0.25">
      <c r="A17" s="244">
        <v>9257029</v>
      </c>
      <c r="B17" s="237" t="s">
        <v>890</v>
      </c>
      <c r="C17" s="365" t="s">
        <v>1179</v>
      </c>
      <c r="D17" s="1024">
        <f>VLOOKUP(A17,'2122 Band Moderations'!$B$5:$S$22,6,(FALSE))</f>
        <v>0</v>
      </c>
      <c r="E17" s="1024">
        <f>VLOOKUP(A17,'2122 Band Moderations'!$B$5:$S$22,8,(FALSE))</f>
        <v>0</v>
      </c>
      <c r="F17" s="1024">
        <f>VLOOKUP(A17,'2122 Band Moderations'!$B$5:$S$22,10,(FALSE))</f>
        <v>1</v>
      </c>
      <c r="G17" s="1024">
        <f>VLOOKUP(A17,'2122 Band Moderations'!$B$5:$S$22,12,(FALSE))</f>
        <v>0</v>
      </c>
      <c r="H17" s="1024">
        <f>VLOOKUP(A17,'2122 Band Moderations'!$B$5:$S$22,14,(FALSE))</f>
        <v>0</v>
      </c>
      <c r="I17" s="1024">
        <f>VLOOKUP(A17,'2122 Band Moderations'!$B$5:$S$22,16,(FALSE))</f>
        <v>0</v>
      </c>
      <c r="J17" s="1024">
        <f>VLOOKUP(A17,'2122 Band Moderations'!$B$5:$S$22,18,(FALSE))</f>
        <v>0</v>
      </c>
      <c r="K17" s="451">
        <v>70</v>
      </c>
      <c r="L17" s="1025">
        <f t="shared" si="0"/>
        <v>6164.7255731440891</v>
      </c>
      <c r="M17" s="1025">
        <f t="shared" si="3"/>
        <v>0</v>
      </c>
      <c r="N17" s="1025">
        <f t="shared" si="1"/>
        <v>6164.7255731440891</v>
      </c>
      <c r="O17" s="235"/>
      <c r="P17" s="235"/>
      <c r="Q17" s="235"/>
      <c r="R17" s="235">
        <f t="shared" si="2"/>
        <v>0</v>
      </c>
      <c r="S17" s="233"/>
      <c r="T17" s="296"/>
      <c r="U17" s="36"/>
      <c r="V17" s="36"/>
      <c r="W17" s="235"/>
    </row>
    <row r="18" spans="1:23" s="29" customFormat="1" x14ac:dyDescent="0.25">
      <c r="A18" s="244">
        <v>9257032</v>
      </c>
      <c r="B18" s="237" t="s">
        <v>1043</v>
      </c>
      <c r="C18" s="365" t="s">
        <v>1179</v>
      </c>
      <c r="D18" s="1024">
        <f>VLOOKUP(A18,'2122 Band Moderations'!$B$5:$S$22,6,(FALSE))</f>
        <v>0</v>
      </c>
      <c r="E18" s="1024">
        <f>VLOOKUP(A18,'2122 Band Moderations'!$B$5:$S$22,8,(FALSE))</f>
        <v>0</v>
      </c>
      <c r="F18" s="1024">
        <f>VLOOKUP(A18,'2122 Band Moderations'!$B$5:$S$22,10,(FALSE))</f>
        <v>1</v>
      </c>
      <c r="G18" s="1024">
        <f>VLOOKUP(A18,'2122 Band Moderations'!$B$5:$S$22,12,(FALSE))</f>
        <v>0</v>
      </c>
      <c r="H18" s="1024">
        <f>VLOOKUP(A18,'2122 Band Moderations'!$B$5:$S$22,14,(FALSE))</f>
        <v>0</v>
      </c>
      <c r="I18" s="1024">
        <f>VLOOKUP(A18,'2122 Band Moderations'!$B$5:$S$22,16,(FALSE))</f>
        <v>0</v>
      </c>
      <c r="J18" s="1024">
        <f>VLOOKUP(A18,'2122 Band Moderations'!$B$5:$S$22,18,(FALSE))</f>
        <v>0</v>
      </c>
      <c r="K18" s="451">
        <v>82</v>
      </c>
      <c r="L18" s="1025">
        <f t="shared" si="0"/>
        <v>7221.5356713973615</v>
      </c>
      <c r="M18" s="1025">
        <f t="shared" si="3"/>
        <v>0</v>
      </c>
      <c r="N18" s="1025">
        <f t="shared" si="1"/>
        <v>7221.5356713973615</v>
      </c>
      <c r="O18" s="235"/>
      <c r="P18" s="235"/>
      <c r="Q18" s="235"/>
      <c r="R18" s="235">
        <f t="shared" si="2"/>
        <v>0</v>
      </c>
      <c r="S18" s="269"/>
      <c r="T18" s="36"/>
      <c r="U18" s="36"/>
      <c r="V18" s="36"/>
      <c r="W18" s="235"/>
    </row>
    <row r="19" spans="1:23" s="29" customFormat="1" x14ac:dyDescent="0.25">
      <c r="A19" s="244">
        <v>9257030</v>
      </c>
      <c r="B19" s="237" t="s">
        <v>1046</v>
      </c>
      <c r="C19" s="365" t="s">
        <v>1179</v>
      </c>
      <c r="D19" s="1024">
        <f>VLOOKUP(A19,'2122 Band Moderations'!$B$5:$S$22,6,(FALSE))</f>
        <v>0</v>
      </c>
      <c r="E19" s="1024">
        <f>VLOOKUP(A19,'2122 Band Moderations'!$B$5:$S$22,8,(FALSE))</f>
        <v>0</v>
      </c>
      <c r="F19" s="1024">
        <f>VLOOKUP(A19,'2122 Band Moderations'!$B$5:$S$22,10,(FALSE))</f>
        <v>1</v>
      </c>
      <c r="G19" s="1024">
        <f>VLOOKUP(A19,'2122 Band Moderations'!$B$5:$S$22,12,(FALSE))</f>
        <v>0</v>
      </c>
      <c r="H19" s="1024">
        <f>VLOOKUP(A19,'2122 Band Moderations'!$B$5:$S$22,14,(FALSE))</f>
        <v>0</v>
      </c>
      <c r="I19" s="1024">
        <f>VLOOKUP(A19,'2122 Band Moderations'!$B$5:$S$22,16,(FALSE))</f>
        <v>0</v>
      </c>
      <c r="J19" s="1024">
        <f>VLOOKUP(A19,'2122 Band Moderations'!$B$5:$S$22,18,(FALSE))</f>
        <v>0</v>
      </c>
      <c r="K19" s="451">
        <v>75</v>
      </c>
      <c r="L19" s="1025">
        <f t="shared" si="0"/>
        <v>6605.0631140829528</v>
      </c>
      <c r="M19" s="1025">
        <f t="shared" si="3"/>
        <v>0</v>
      </c>
      <c r="N19" s="1025">
        <f t="shared" si="1"/>
        <v>6605.0631140829528</v>
      </c>
      <c r="O19" s="235"/>
      <c r="P19" s="235"/>
      <c r="Q19" s="235"/>
      <c r="R19" s="235">
        <f t="shared" si="2"/>
        <v>0</v>
      </c>
      <c r="S19" s="269"/>
      <c r="T19" s="36"/>
      <c r="U19" s="36"/>
      <c r="V19" s="36"/>
      <c r="W19" s="235"/>
    </row>
    <row r="20" spans="1:23" s="29" customFormat="1" x14ac:dyDescent="0.25">
      <c r="A20" s="244">
        <v>9257028</v>
      </c>
      <c r="B20" s="237" t="s">
        <v>215</v>
      </c>
      <c r="C20" s="365">
        <v>5</v>
      </c>
      <c r="D20" s="1024">
        <f>VLOOKUP(A20,'2122 Band Moderations'!$B$5:$S$22,6,(FALSE))</f>
        <v>8.9108910891089105E-2</v>
      </c>
      <c r="E20" s="1024">
        <f>VLOOKUP(A20,'2122 Band Moderations'!$B$5:$S$22,8,(FALSE))</f>
        <v>0.40594059405940597</v>
      </c>
      <c r="F20" s="1024">
        <f>VLOOKUP(A20,'2122 Band Moderations'!$B$5:$S$22,10,(FALSE))</f>
        <v>7.9207920792079209E-2</v>
      </c>
      <c r="G20" s="1024">
        <f>VLOOKUP(A20,'2122 Band Moderations'!$B$5:$S$22,12,(FALSE))</f>
        <v>8.9108910891089105E-2</v>
      </c>
      <c r="H20" s="1024">
        <f>VLOOKUP(A20,'2122 Band Moderations'!$B$5:$S$22,14,(FALSE))</f>
        <v>0.12871287128712872</v>
      </c>
      <c r="I20" s="1024">
        <f>VLOOKUP(A20,'2122 Band Moderations'!$B$5:$S$22,16,(FALSE))</f>
        <v>9.9009900990099015E-2</v>
      </c>
      <c r="J20" s="1024">
        <f>VLOOKUP(A20,'2122 Band Moderations'!$B$5:$S$22,18,(FALSE))</f>
        <v>0.10891089108910891</v>
      </c>
      <c r="K20" s="451">
        <v>91</v>
      </c>
      <c r="L20" s="1025">
        <f t="shared" si="0"/>
        <v>6482.1182674558213</v>
      </c>
      <c r="M20" s="1025">
        <f t="shared" si="3"/>
        <v>0</v>
      </c>
      <c r="N20" s="1025">
        <f t="shared" si="1"/>
        <v>6482.1182674558213</v>
      </c>
      <c r="O20" s="235"/>
      <c r="P20" s="235"/>
      <c r="Q20" s="235"/>
      <c r="R20" s="235">
        <f t="shared" si="2"/>
        <v>1500.8301118184909</v>
      </c>
      <c r="S20" s="269"/>
      <c r="T20" s="36"/>
      <c r="U20" s="36"/>
      <c r="V20" s="36"/>
      <c r="W20" s="235"/>
    </row>
    <row r="21" spans="1:23" s="29" customFormat="1" x14ac:dyDescent="0.25">
      <c r="A21" s="244">
        <v>9257021</v>
      </c>
      <c r="B21" s="237" t="s">
        <v>216</v>
      </c>
      <c r="C21" s="365" t="s">
        <v>1180</v>
      </c>
      <c r="D21" s="1024">
        <f>VLOOKUP(A21,'2122 Band Moderations'!$B$5:$S$22,6,(FALSE))</f>
        <v>0.26829268292682928</v>
      </c>
      <c r="E21" s="1024">
        <f>VLOOKUP(A21,'2122 Band Moderations'!$B$5:$S$22,8,(FALSE))</f>
        <v>0.42682926829268292</v>
      </c>
      <c r="F21" s="1024">
        <f>VLOOKUP(A21,'2122 Band Moderations'!$B$5:$S$22,10,(FALSE))</f>
        <v>7.926829268292683E-2</v>
      </c>
      <c r="G21" s="1024">
        <f>VLOOKUP(A21,'2122 Band Moderations'!$B$5:$S$22,12,(FALSE))</f>
        <v>6.7073170731707321E-2</v>
      </c>
      <c r="H21" s="1024">
        <f>VLOOKUP(A21,'2122 Band Moderations'!$B$5:$S$22,14,(FALSE))</f>
        <v>5.4878048780487805E-2</v>
      </c>
      <c r="I21" s="1024">
        <f>VLOOKUP(A21,'2122 Band Moderations'!$B$5:$S$22,16,(FALSE))</f>
        <v>9.1463414634146339E-2</v>
      </c>
      <c r="J21" s="1024">
        <f>VLOOKUP(A21,'2122 Band Moderations'!$B$5:$S$22,18,(FALSE))</f>
        <v>1.2195121951219513E-2</v>
      </c>
      <c r="K21" s="451">
        <v>166</v>
      </c>
      <c r="L21" s="1025">
        <f t="shared" si="0"/>
        <v>8349.1027109715415</v>
      </c>
      <c r="M21" s="1025">
        <f t="shared" si="3"/>
        <v>0</v>
      </c>
      <c r="N21" s="1025">
        <f t="shared" si="1"/>
        <v>8349.1027109715415</v>
      </c>
      <c r="O21" s="235"/>
      <c r="P21" s="235"/>
      <c r="Q21" s="235"/>
      <c r="R21" s="235">
        <f t="shared" si="2"/>
        <v>306.5582911569993</v>
      </c>
      <c r="S21" s="269"/>
      <c r="T21" s="36"/>
      <c r="U21" s="36"/>
      <c r="V21" s="36"/>
      <c r="W21" s="235"/>
    </row>
    <row r="22" spans="1:23" s="29" customFormat="1" x14ac:dyDescent="0.25">
      <c r="A22" s="244">
        <v>9257015</v>
      </c>
      <c r="B22" s="237" t="s">
        <v>217</v>
      </c>
      <c r="C22" s="365" t="s">
        <v>1181</v>
      </c>
      <c r="D22" s="1024">
        <f>VLOOKUP(A22,'2122 Band Moderations'!$B$5:$S$22,6,(FALSE))</f>
        <v>0.33185840707964603</v>
      </c>
      <c r="E22" s="1024">
        <f>VLOOKUP(A22,'2122 Band Moderations'!$B$5:$S$22,8,(FALSE))</f>
        <v>0.38495575221238937</v>
      </c>
      <c r="F22" s="1024">
        <f>VLOOKUP(A22,'2122 Band Moderations'!$B$5:$S$22,10,(FALSE))</f>
        <v>1.7699115044247787E-2</v>
      </c>
      <c r="G22" s="1024">
        <f>VLOOKUP(A22,'2122 Band Moderations'!$B$5:$S$22,12,(FALSE))</f>
        <v>8.8495575221238937E-2</v>
      </c>
      <c r="H22" s="1024">
        <f>VLOOKUP(A22,'2122 Band Moderations'!$B$5:$S$22,14,(FALSE))</f>
        <v>2.2123893805309734E-2</v>
      </c>
      <c r="I22" s="1024">
        <f>VLOOKUP(A22,'2122 Band Moderations'!$B$5:$S$22,16,(FALSE))</f>
        <v>0.1415929203539823</v>
      </c>
      <c r="J22" s="1024">
        <f>VLOOKUP(A22,'2122 Band Moderations'!$B$5:$S$22,18,(FALSE))</f>
        <v>1.3274336283185841E-2</v>
      </c>
      <c r="K22" s="451">
        <v>224</v>
      </c>
      <c r="L22" s="1025">
        <f t="shared" si="0"/>
        <v>10980.622291183381</v>
      </c>
      <c r="M22" s="1025">
        <f t="shared" si="3"/>
        <v>0</v>
      </c>
      <c r="N22" s="1025">
        <f t="shared" si="1"/>
        <v>10980.622291183381</v>
      </c>
      <c r="O22" s="235"/>
      <c r="P22" s="235"/>
      <c r="Q22" s="235"/>
      <c r="R22" s="235">
        <f t="shared" si="2"/>
        <v>450.27689721492942</v>
      </c>
      <c r="S22" s="269"/>
      <c r="T22" s="36"/>
      <c r="U22" s="36"/>
      <c r="V22" s="36"/>
      <c r="W22" s="235"/>
    </row>
    <row r="23" spans="1:23" s="29" customFormat="1" x14ac:dyDescent="0.25">
      <c r="A23" s="244">
        <v>9257016</v>
      </c>
      <c r="B23" s="237" t="s">
        <v>219</v>
      </c>
      <c r="C23" s="365" t="s">
        <v>1181</v>
      </c>
      <c r="D23" s="1024">
        <f>VLOOKUP(A23,'2122 Band Moderations'!$B$5:$S$22,6,(FALSE))</f>
        <v>0.18012422360248448</v>
      </c>
      <c r="E23" s="1024">
        <f>VLOOKUP(A23,'2122 Band Moderations'!$B$5:$S$22,8,(FALSE))</f>
        <v>0.15527950310559005</v>
      </c>
      <c r="F23" s="1024">
        <f>VLOOKUP(A23,'2122 Band Moderations'!$B$5:$S$22,10,(FALSE))</f>
        <v>6.2111801242236021E-3</v>
      </c>
      <c r="G23" s="1024">
        <f>VLOOKUP(A23,'2122 Band Moderations'!$B$5:$S$22,12,(FALSE))</f>
        <v>0.2236024844720497</v>
      </c>
      <c r="H23" s="1024">
        <f>VLOOKUP(A23,'2122 Band Moderations'!$B$5:$S$22,14,(FALSE))</f>
        <v>0.21118012422360249</v>
      </c>
      <c r="I23" s="1024">
        <f>VLOOKUP(A23,'2122 Band Moderations'!$B$5:$S$22,16,(FALSE))</f>
        <v>1.2422360248447204E-2</v>
      </c>
      <c r="J23" s="1024">
        <f>VLOOKUP(A23,'2122 Band Moderations'!$B$5:$S$22,18,(FALSE))</f>
        <v>0.21118012422360249</v>
      </c>
      <c r="K23" s="451">
        <v>110</v>
      </c>
      <c r="L23" s="1025">
        <f t="shared" si="0"/>
        <v>9962.6593866757739</v>
      </c>
      <c r="M23" s="1025">
        <f t="shared" si="3"/>
        <v>0</v>
      </c>
      <c r="N23" s="1025">
        <f t="shared" si="1"/>
        <v>9962.6593866757739</v>
      </c>
      <c r="O23" s="235"/>
      <c r="P23" s="235"/>
      <c r="Q23" s="299" t="s">
        <v>207</v>
      </c>
      <c r="R23" s="235">
        <f t="shared" si="2"/>
        <v>3517.7466411744572</v>
      </c>
      <c r="S23" s="269"/>
      <c r="T23" s="36"/>
      <c r="U23" s="36"/>
      <c r="V23" s="36"/>
      <c r="W23" s="235"/>
    </row>
    <row r="24" spans="1:23" s="29" customFormat="1" x14ac:dyDescent="0.25">
      <c r="A24" s="249"/>
      <c r="B24" s="36"/>
      <c r="C24" s="234"/>
      <c r="D24" s="268"/>
      <c r="E24" s="268"/>
      <c r="F24" s="36"/>
      <c r="G24" s="299"/>
      <c r="H24" s="268"/>
      <c r="I24" s="268"/>
      <c r="J24" s="299"/>
      <c r="K24" s="299"/>
      <c r="L24" s="269"/>
      <c r="M24" s="299" t="s">
        <v>207</v>
      </c>
      <c r="N24" s="235"/>
      <c r="O24" s="235"/>
      <c r="P24" s="235"/>
      <c r="Q24" s="299" t="s">
        <v>207</v>
      </c>
      <c r="R24" s="269"/>
      <c r="S24" s="269"/>
      <c r="T24" s="36"/>
      <c r="U24" s="36"/>
      <c r="V24" s="36"/>
      <c r="W24" s="36"/>
    </row>
    <row r="25" spans="1:23" s="29" customFormat="1" ht="13" x14ac:dyDescent="0.3">
      <c r="A25" s="93" t="s">
        <v>1182</v>
      </c>
      <c r="B25" s="36"/>
      <c r="C25" s="234"/>
      <c r="D25" s="268"/>
      <c r="E25" s="268"/>
      <c r="F25" s="36"/>
      <c r="G25" s="268"/>
      <c r="H25" s="268"/>
      <c r="I25" s="268"/>
      <c r="J25" s="268"/>
      <c r="K25" s="269"/>
      <c r="L25" s="269"/>
      <c r="M25" s="269"/>
      <c r="N25" s="235"/>
      <c r="O25" s="235"/>
      <c r="P25" s="235"/>
      <c r="Q25" s="235"/>
      <c r="R25" s="269"/>
      <c r="S25" s="269"/>
      <c r="T25" s="36"/>
      <c r="U25" s="36"/>
      <c r="V25" s="36"/>
      <c r="W25" s="36"/>
    </row>
    <row r="26" spans="1:23" s="29" customFormat="1" x14ac:dyDescent="0.25">
      <c r="A26" s="249"/>
      <c r="B26" s="36"/>
      <c r="C26" s="234"/>
      <c r="D26" s="268"/>
      <c r="E26" s="268"/>
      <c r="F26" s="36"/>
      <c r="G26" s="268"/>
      <c r="H26" s="268"/>
      <c r="I26" s="268"/>
      <c r="J26" s="268"/>
      <c r="K26" s="94" t="s">
        <v>911</v>
      </c>
      <c r="L26" s="269"/>
      <c r="M26" s="269"/>
      <c r="N26" s="235"/>
      <c r="O26" s="1439"/>
      <c r="P26" s="1439"/>
      <c r="Q26" s="235"/>
      <c r="R26" s="269"/>
      <c r="S26" s="269"/>
      <c r="T26" s="36"/>
      <c r="U26" s="36"/>
      <c r="V26" s="36"/>
      <c r="W26" s="36"/>
    </row>
    <row r="27" spans="1:23" s="29" customFormat="1" ht="37.5" x14ac:dyDescent="0.25">
      <c r="A27" s="265" t="s">
        <v>182</v>
      </c>
      <c r="B27" s="237" t="s">
        <v>183</v>
      </c>
      <c r="C27" s="238" t="s">
        <v>184</v>
      </c>
      <c r="D27" s="234" t="s">
        <v>901</v>
      </c>
      <c r="E27" s="234" t="s">
        <v>902</v>
      </c>
      <c r="F27" s="234" t="s">
        <v>903</v>
      </c>
      <c r="G27" s="234" t="s">
        <v>904</v>
      </c>
      <c r="H27" s="234" t="s">
        <v>905</v>
      </c>
      <c r="I27" s="234" t="s">
        <v>906</v>
      </c>
      <c r="J27" s="234" t="s">
        <v>907</v>
      </c>
      <c r="K27" s="243" t="s">
        <v>264</v>
      </c>
      <c r="L27" s="243" t="s">
        <v>265</v>
      </c>
      <c r="M27" s="243" t="s">
        <v>266</v>
      </c>
      <c r="N27" s="243" t="s">
        <v>265</v>
      </c>
      <c r="O27" s="276"/>
      <c r="P27" s="243"/>
      <c r="Q27" s="243"/>
      <c r="R27" s="243"/>
      <c r="S27" s="276"/>
      <c r="T27" s="36"/>
      <c r="U27" s="36"/>
      <c r="V27" s="36"/>
      <c r="W27" s="36"/>
    </row>
    <row r="28" spans="1:23" s="29" customFormat="1" x14ac:dyDescent="0.25">
      <c r="A28" s="244">
        <v>9257010</v>
      </c>
      <c r="B28" s="237" t="s">
        <v>205</v>
      </c>
      <c r="C28" s="365">
        <v>5</v>
      </c>
      <c r="D28" s="1024">
        <f>VLOOKUP(A28,'2122 Band Moderations'!$B$5:$S$22,6,(FALSE))</f>
        <v>1.5873015873015872E-2</v>
      </c>
      <c r="E28" s="1024">
        <f>VLOOKUP(A28,'2122 Band Moderations'!$B$5:$S$22,8,(FALSE))</f>
        <v>0.31746031746031744</v>
      </c>
      <c r="F28" s="1024">
        <f>VLOOKUP(A28,'2122 Band Moderations'!$B$5:$S$22,10,(FALSE))</f>
        <v>9.5238095238095233E-2</v>
      </c>
      <c r="G28" s="1024">
        <f>VLOOKUP(A28,'2122 Band Moderations'!$B$5:$S$22,12,(FALSE))</f>
        <v>0.17460317460317459</v>
      </c>
      <c r="H28" s="1024">
        <f>VLOOKUP(A28,'2122 Band Moderations'!$B$5:$S$22,14,(FALSE))</f>
        <v>6.3492063492063489E-2</v>
      </c>
      <c r="I28" s="1024">
        <f>VLOOKUP(A28,'2122 Band Moderations'!$B$5:$S$22,16,(FALSE))</f>
        <v>0.19047619047619047</v>
      </c>
      <c r="J28" s="1024">
        <f>VLOOKUP(A28,'2122 Band Moderations'!$B$5:$S$22,18,(FALSE))</f>
        <v>0.14285714285714285</v>
      </c>
      <c r="K28" s="451">
        <v>7</v>
      </c>
      <c r="L28" s="1025">
        <f>((((K28*D28)*$G$92)+((K28*E28)*$G$94)+((K28*F28)*$G$96)+((K28*G28)*$G$98)+((K28*H28)*$G$100)+((K28*I28)*$G$102)+((K28*J28)*$G$104)))*(4/12)</f>
        <v>473.63341049641758</v>
      </c>
      <c r="M28" s="1025">
        <f t="shared" ref="M28:M45" si="4">((K28*F28)*$G$106)*(4/12)</f>
        <v>0</v>
      </c>
      <c r="N28" s="1025">
        <f>SUM(L28:M28)</f>
        <v>473.63341049641758</v>
      </c>
      <c r="O28" s="235"/>
      <c r="P28" s="235"/>
      <c r="Q28" s="235"/>
      <c r="R28" s="235">
        <f t="shared" ref="R28:R45" si="5">(J28*K28*$G$104)*4/12</f>
        <v>121.14592710782624</v>
      </c>
      <c r="S28" s="269"/>
      <c r="T28" s="235"/>
      <c r="U28" s="235"/>
      <c r="V28" s="297"/>
      <c r="W28" s="296"/>
    </row>
    <row r="29" spans="1:23" s="29" customFormat="1" x14ac:dyDescent="0.25">
      <c r="A29" s="244">
        <v>9257005</v>
      </c>
      <c r="B29" s="237" t="s">
        <v>208</v>
      </c>
      <c r="C29" s="365">
        <v>4</v>
      </c>
      <c r="D29" s="1024">
        <f>VLOOKUP(A29,'2122 Band Moderations'!$B$5:$S$22,6,(FALSE))</f>
        <v>0.05</v>
      </c>
      <c r="E29" s="1024">
        <f>VLOOKUP(A29,'2122 Band Moderations'!$B$5:$S$22,8,(FALSE))</f>
        <v>0.4</v>
      </c>
      <c r="F29" s="1024">
        <f>VLOOKUP(A29,'2122 Band Moderations'!$B$5:$S$22,10,(FALSE))</f>
        <v>6.25E-2</v>
      </c>
      <c r="G29" s="1024">
        <f>VLOOKUP(A29,'2122 Band Moderations'!$B$5:$S$22,12,(FALSE))</f>
        <v>0.15</v>
      </c>
      <c r="H29" s="1024">
        <f>VLOOKUP(A29,'2122 Band Moderations'!$B$5:$S$22,14,(FALSE))</f>
        <v>0.125</v>
      </c>
      <c r="I29" s="1024">
        <f>VLOOKUP(A29,'2122 Band Moderations'!$B$5:$S$22,16,(FALSE))</f>
        <v>0.15</v>
      </c>
      <c r="J29" s="1024">
        <f>VLOOKUP(A29,'2122 Band Moderations'!$B$5:$S$22,18,(FALSE))</f>
        <v>6.25E-2</v>
      </c>
      <c r="K29" s="451">
        <v>26</v>
      </c>
      <c r="L29" s="1025">
        <f t="shared" ref="L29:L45" si="6">((((K29*D29)*$G$92)+((K29*E29)*$G$94)+((K29*F29)*$G$96)+((K29*G29)*$G$98)+((K29*H29)*$G$100)+((K29*I29)*$G$102)+((K29*J29)*$G$104)))*(4/12)</f>
        <v>1516.015551416177</v>
      </c>
      <c r="M29" s="1025">
        <f t="shared" si="4"/>
        <v>0</v>
      </c>
      <c r="N29" s="1025">
        <f>SUM(L29:M29)</f>
        <v>1516.015551416177</v>
      </c>
      <c r="O29" s="235"/>
      <c r="P29" s="235"/>
      <c r="Q29" s="235"/>
      <c r="R29" s="235">
        <f t="shared" si="5"/>
        <v>196.86213155021764</v>
      </c>
      <c r="S29" s="269"/>
      <c r="T29" s="235"/>
      <c r="U29" s="235"/>
      <c r="V29" s="235"/>
      <c r="W29" s="36"/>
    </row>
    <row r="30" spans="1:23" s="29" customFormat="1" x14ac:dyDescent="0.25">
      <c r="A30" s="244">
        <v>9257025</v>
      </c>
      <c r="B30" s="237" t="s">
        <v>209</v>
      </c>
      <c r="C30" s="365">
        <v>4</v>
      </c>
      <c r="D30" s="1024">
        <f>VLOOKUP(A30,'2122 Band Moderations'!$B$5:$S$22,6,(FALSE))</f>
        <v>0.15584415584415584</v>
      </c>
      <c r="E30" s="1024">
        <f>VLOOKUP(A30,'2122 Band Moderations'!$B$5:$S$22,8,(FALSE))</f>
        <v>0.40259740259740262</v>
      </c>
      <c r="F30" s="1024">
        <f>VLOOKUP(A30,'2122 Band Moderations'!$B$5:$S$22,10,(FALSE))</f>
        <v>3.896103896103896E-2</v>
      </c>
      <c r="G30" s="1024">
        <f>VLOOKUP(A30,'2122 Band Moderations'!$B$5:$S$22,12,(FALSE))</f>
        <v>0.15584415584415584</v>
      </c>
      <c r="H30" s="1024">
        <f>VLOOKUP(A30,'2122 Band Moderations'!$B$5:$S$22,14,(FALSE))</f>
        <v>5.1948051948051951E-2</v>
      </c>
      <c r="I30" s="1024">
        <f>VLOOKUP(A30,'2122 Band Moderations'!$B$5:$S$22,16,(FALSE))</f>
        <v>0.14285714285714285</v>
      </c>
      <c r="J30" s="1024">
        <f>VLOOKUP(A30,'2122 Band Moderations'!$B$5:$S$22,18,(FALSE))</f>
        <v>5.1948051948051951E-2</v>
      </c>
      <c r="K30" s="451">
        <v>20</v>
      </c>
      <c r="L30" s="1025">
        <f t="shared" si="6"/>
        <v>1020.5199497251871</v>
      </c>
      <c r="M30" s="1025">
        <f t="shared" si="4"/>
        <v>0</v>
      </c>
      <c r="N30" s="1025">
        <f t="shared" ref="N30:N45" si="7">SUM(L30:M30)</f>
        <v>1020.5199497251871</v>
      </c>
      <c r="O30" s="235"/>
      <c r="P30" s="235"/>
      <c r="Q30" s="235"/>
      <c r="R30" s="235">
        <f t="shared" si="5"/>
        <v>125.86589829384546</v>
      </c>
      <c r="S30" s="269"/>
      <c r="T30" s="235"/>
      <c r="U30" s="235"/>
      <c r="V30" s="235"/>
      <c r="W30" s="36"/>
    </row>
    <row r="31" spans="1:23" s="29" customFormat="1" x14ac:dyDescent="0.25">
      <c r="A31" s="244">
        <v>9257011</v>
      </c>
      <c r="B31" s="237" t="s">
        <v>210</v>
      </c>
      <c r="C31" s="365" t="s">
        <v>1251</v>
      </c>
      <c r="D31" s="1024">
        <f>VLOOKUP(A31,'2122 Band Moderations'!$B$5:$S$22,6,(FALSE))</f>
        <v>5.6603773584905662E-2</v>
      </c>
      <c r="E31" s="1024">
        <f>VLOOKUP(A31,'2122 Band Moderations'!$B$5:$S$22,8,(FALSE))</f>
        <v>0.35849056603773582</v>
      </c>
      <c r="F31" s="1024">
        <f>VLOOKUP(A31,'2122 Band Moderations'!$B$5:$S$22,10,(FALSE))</f>
        <v>1.8867924528301886E-2</v>
      </c>
      <c r="G31" s="1024">
        <f>VLOOKUP(A31,'2122 Band Moderations'!$B$5:$S$22,12,(FALSE))</f>
        <v>0.16981132075471697</v>
      </c>
      <c r="H31" s="1024">
        <f>VLOOKUP(A31,'2122 Band Moderations'!$B$5:$S$22,14,(FALSE))</f>
        <v>0.13207547169811321</v>
      </c>
      <c r="I31" s="1024">
        <f>VLOOKUP(A31,'2122 Band Moderations'!$B$5:$S$22,16,(FALSE))</f>
        <v>0.15094339622641509</v>
      </c>
      <c r="J31" s="1024">
        <f>VLOOKUP(A31,'2122 Band Moderations'!$B$5:$S$22,18,(FALSE))</f>
        <v>0.11320754716981132</v>
      </c>
      <c r="K31" s="451">
        <v>8</v>
      </c>
      <c r="L31" s="1025">
        <f t="shared" si="6"/>
        <v>503.78685531774192</v>
      </c>
      <c r="M31" s="1025">
        <f t="shared" si="4"/>
        <v>0</v>
      </c>
      <c r="N31" s="1025">
        <f t="shared" si="7"/>
        <v>503.78685531774192</v>
      </c>
      <c r="O31" s="235"/>
      <c r="P31" s="235"/>
      <c r="Q31" s="235"/>
      <c r="R31" s="235">
        <f t="shared" si="5"/>
        <v>109.71706605991811</v>
      </c>
      <c r="S31" s="269"/>
      <c r="T31" s="235"/>
      <c r="U31" s="235"/>
      <c r="V31" s="235"/>
      <c r="W31" s="36"/>
    </row>
    <row r="32" spans="1:23" s="29" customFormat="1" x14ac:dyDescent="0.25">
      <c r="A32" s="244">
        <v>9257024</v>
      </c>
      <c r="B32" s="237" t="s">
        <v>211</v>
      </c>
      <c r="C32" s="365">
        <v>4</v>
      </c>
      <c r="D32" s="1024">
        <f>VLOOKUP(A32,'2122 Band Moderations'!$B$5:$S$22,6,(FALSE))</f>
        <v>8.4337349397590355E-2</v>
      </c>
      <c r="E32" s="1024">
        <f>VLOOKUP(A32,'2122 Band Moderations'!$B$5:$S$22,8,(FALSE))</f>
        <v>0.45783132530120479</v>
      </c>
      <c r="F32" s="1024">
        <f>VLOOKUP(A32,'2122 Band Moderations'!$B$5:$S$22,10,(FALSE))</f>
        <v>1.2048192771084338E-2</v>
      </c>
      <c r="G32" s="1024">
        <f>VLOOKUP(A32,'2122 Band Moderations'!$B$5:$S$22,12,(FALSE))</f>
        <v>0.18072289156626506</v>
      </c>
      <c r="H32" s="1024">
        <f>VLOOKUP(A32,'2122 Band Moderations'!$B$5:$S$22,14,(FALSE))</f>
        <v>8.4337349397590355E-2</v>
      </c>
      <c r="I32" s="1024">
        <f>VLOOKUP(A32,'2122 Band Moderations'!$B$5:$S$22,16,(FALSE))</f>
        <v>7.2289156626506021E-2</v>
      </c>
      <c r="J32" s="1024">
        <f>VLOOKUP(A32,'2122 Band Moderations'!$B$5:$S$22,18,(FALSE))</f>
        <v>0.10843373493975904</v>
      </c>
      <c r="K32" s="451">
        <v>14</v>
      </c>
      <c r="L32" s="1025">
        <f t="shared" si="6"/>
        <v>775.45784527877242</v>
      </c>
      <c r="M32" s="1025">
        <f t="shared" si="4"/>
        <v>0</v>
      </c>
      <c r="N32" s="1025">
        <f t="shared" si="7"/>
        <v>775.45784527877242</v>
      </c>
      <c r="O32" s="235"/>
      <c r="P32" s="235"/>
      <c r="Q32" s="235"/>
      <c r="R32" s="235">
        <f t="shared" si="5"/>
        <v>183.90827488657956</v>
      </c>
      <c r="S32" s="269"/>
      <c r="T32" s="235"/>
      <c r="U32" s="235"/>
      <c r="V32" s="235"/>
      <c r="W32" s="36"/>
    </row>
    <row r="33" spans="1:22" s="29" customFormat="1" x14ac:dyDescent="0.25">
      <c r="A33" s="244">
        <v>9257031</v>
      </c>
      <c r="B33" s="237" t="s">
        <v>257</v>
      </c>
      <c r="C33" s="365">
        <v>5</v>
      </c>
      <c r="D33" s="1024">
        <f>VLOOKUP(A33,'2122 Band Moderations'!$B$5:$S$22,6,(FALSE))</f>
        <v>0</v>
      </c>
      <c r="E33" s="1024">
        <f>VLOOKUP(A33,'2122 Band Moderations'!$B$5:$S$22,8,(FALSE))</f>
        <v>0</v>
      </c>
      <c r="F33" s="1024">
        <f>VLOOKUP(A33,'2122 Band Moderations'!$B$5:$S$22,10,(FALSE))</f>
        <v>1</v>
      </c>
      <c r="G33" s="1024">
        <f>VLOOKUP(A33,'2122 Band Moderations'!$B$5:$S$22,12,(FALSE))</f>
        <v>0</v>
      </c>
      <c r="H33" s="1024">
        <f>VLOOKUP(A33,'2122 Band Moderations'!$B$5:$S$22,14,(FALSE))</f>
        <v>0</v>
      </c>
      <c r="I33" s="1024">
        <f>VLOOKUP(A33,'2122 Band Moderations'!$B$5:$S$22,16,(FALSE))</f>
        <v>0</v>
      </c>
      <c r="J33" s="1024">
        <f>VLOOKUP(A33,'2122 Band Moderations'!$B$5:$S$22,18,(FALSE))</f>
        <v>0</v>
      </c>
      <c r="K33" s="451">
        <v>0</v>
      </c>
      <c r="L33" s="1025">
        <f t="shared" si="6"/>
        <v>0</v>
      </c>
      <c r="M33" s="1025">
        <f t="shared" si="4"/>
        <v>0</v>
      </c>
      <c r="N33" s="1025">
        <f t="shared" si="7"/>
        <v>0</v>
      </c>
      <c r="O33" s="235"/>
      <c r="P33" s="235"/>
      <c r="Q33" s="235"/>
      <c r="R33" s="235">
        <f t="shared" si="5"/>
        <v>0</v>
      </c>
      <c r="S33" s="269"/>
      <c r="T33" s="235"/>
      <c r="U33" s="235"/>
      <c r="V33" s="235"/>
    </row>
    <row r="34" spans="1:22" s="29" customFormat="1" x14ac:dyDescent="0.25">
      <c r="A34" s="244">
        <v>9257033</v>
      </c>
      <c r="B34" s="237" t="s">
        <v>220</v>
      </c>
      <c r="C34" s="365" t="s">
        <v>1178</v>
      </c>
      <c r="D34" s="1024">
        <f>VLOOKUP(A34,'2122 Band Moderations'!$B$5:$S$22,6,(FALSE))</f>
        <v>0.16842105263157894</v>
      </c>
      <c r="E34" s="1024">
        <f>VLOOKUP(A34,'2122 Band Moderations'!$B$5:$S$22,8,(FALSE))</f>
        <v>0.5368421052631579</v>
      </c>
      <c r="F34" s="1024">
        <f>VLOOKUP(A34,'2122 Band Moderations'!$B$5:$S$22,10,(FALSE))</f>
        <v>6.3157894736842107E-2</v>
      </c>
      <c r="G34" s="1024">
        <f>VLOOKUP(A34,'2122 Band Moderations'!$B$5:$S$22,12,(FALSE))</f>
        <v>0.14736842105263157</v>
      </c>
      <c r="H34" s="1024">
        <f>VLOOKUP(A34,'2122 Band Moderations'!$B$5:$S$22,14,(FALSE))</f>
        <v>4.2105263157894736E-2</v>
      </c>
      <c r="I34" s="1024">
        <f>VLOOKUP(A34,'2122 Band Moderations'!$B$5:$S$22,16,(FALSE))</f>
        <v>4.2105263157894736E-2</v>
      </c>
      <c r="J34" s="1024">
        <f>VLOOKUP(A34,'2122 Band Moderations'!$B$5:$S$22,18,(FALSE))</f>
        <v>0</v>
      </c>
      <c r="K34" s="451">
        <v>0</v>
      </c>
      <c r="L34" s="1025">
        <f t="shared" si="6"/>
        <v>0</v>
      </c>
      <c r="M34" s="1025">
        <f t="shared" si="4"/>
        <v>0</v>
      </c>
      <c r="N34" s="1025">
        <f t="shared" si="7"/>
        <v>0</v>
      </c>
      <c r="O34" s="235"/>
      <c r="P34" s="235"/>
      <c r="Q34" s="235"/>
      <c r="R34" s="235">
        <f t="shared" si="5"/>
        <v>0</v>
      </c>
      <c r="S34" s="269"/>
      <c r="T34" s="235"/>
      <c r="U34" s="235"/>
      <c r="V34" s="235"/>
    </row>
    <row r="35" spans="1:22" s="29" customFormat="1" x14ac:dyDescent="0.25">
      <c r="A35" s="244">
        <v>9257008</v>
      </c>
      <c r="B35" s="237" t="s">
        <v>212</v>
      </c>
      <c r="C35" s="365">
        <v>4</v>
      </c>
      <c r="D35" s="1024">
        <f>VLOOKUP(A35,'2122 Band Moderations'!$B$5:$S$22,6,(FALSE))</f>
        <v>0.10101010101010101</v>
      </c>
      <c r="E35" s="1024">
        <f>VLOOKUP(A35,'2122 Band Moderations'!$B$5:$S$22,8,(FALSE))</f>
        <v>0.58585858585858586</v>
      </c>
      <c r="F35" s="1024">
        <f>VLOOKUP(A35,'2122 Band Moderations'!$B$5:$S$22,10,(FALSE))</f>
        <v>8.0808080808080815E-2</v>
      </c>
      <c r="G35" s="1024">
        <f>VLOOKUP(A35,'2122 Band Moderations'!$B$5:$S$22,12,(FALSE))</f>
        <v>9.0909090909090912E-2</v>
      </c>
      <c r="H35" s="1024">
        <f>VLOOKUP(A35,'2122 Band Moderations'!$B$5:$S$22,14,(FALSE))</f>
        <v>1.0101010101010102E-2</v>
      </c>
      <c r="I35" s="1024">
        <f>VLOOKUP(A35,'2122 Band Moderations'!$B$5:$S$22,16,(FALSE))</f>
        <v>0.12121212121212122</v>
      </c>
      <c r="J35" s="1024">
        <f>VLOOKUP(A35,'2122 Band Moderations'!$B$5:$S$22,18,(FALSE))</f>
        <v>1.0101010101010102E-2</v>
      </c>
      <c r="K35" s="451">
        <v>0</v>
      </c>
      <c r="L35" s="1025">
        <f t="shared" si="6"/>
        <v>0</v>
      </c>
      <c r="M35" s="1025">
        <f t="shared" si="4"/>
        <v>0</v>
      </c>
      <c r="N35" s="1025">
        <f t="shared" si="7"/>
        <v>0</v>
      </c>
      <c r="O35" s="235"/>
      <c r="P35" s="235"/>
      <c r="Q35" s="235"/>
      <c r="R35" s="235">
        <f t="shared" si="5"/>
        <v>0</v>
      </c>
      <c r="S35" s="269"/>
      <c r="T35" s="235"/>
      <c r="U35" s="235"/>
      <c r="V35" s="235"/>
    </row>
    <row r="36" spans="1:22" s="29" customFormat="1" x14ac:dyDescent="0.25">
      <c r="A36" s="244">
        <v>9257034</v>
      </c>
      <c r="B36" s="237" t="s">
        <v>221</v>
      </c>
      <c r="C36" s="365" t="s">
        <v>1178</v>
      </c>
      <c r="D36" s="1024">
        <f>VLOOKUP(A36,'2122 Band Moderations'!$B$5:$S$22,6,(FALSE))</f>
        <v>0.42424242424242425</v>
      </c>
      <c r="E36" s="1024">
        <f>VLOOKUP(A36,'2122 Band Moderations'!$B$5:$S$22,8,(FALSE))</f>
        <v>0.29292929292929293</v>
      </c>
      <c r="F36" s="1024">
        <f>VLOOKUP(A36,'2122 Band Moderations'!$B$5:$S$22,10,(FALSE))</f>
        <v>0.14141414141414141</v>
      </c>
      <c r="G36" s="1024">
        <f>VLOOKUP(A36,'2122 Band Moderations'!$B$5:$S$22,12,(FALSE))</f>
        <v>3.0303030303030304E-2</v>
      </c>
      <c r="H36" s="1024">
        <f>VLOOKUP(A36,'2122 Band Moderations'!$B$5:$S$22,14,(FALSE))</f>
        <v>4.0404040404040407E-2</v>
      </c>
      <c r="I36" s="1024">
        <f>VLOOKUP(A36,'2122 Band Moderations'!$B$5:$S$22,16,(FALSE))</f>
        <v>6.0606060606060608E-2</v>
      </c>
      <c r="J36" s="1024">
        <f>VLOOKUP(A36,'2122 Band Moderations'!$B$5:$S$22,18,(FALSE))</f>
        <v>1.0101010101010102E-2</v>
      </c>
      <c r="K36" s="451">
        <v>34</v>
      </c>
      <c r="L36" s="1025">
        <f t="shared" si="6"/>
        <v>1269.5691901420967</v>
      </c>
      <c r="M36" s="1025">
        <f t="shared" si="4"/>
        <v>0</v>
      </c>
      <c r="N36" s="1025">
        <f t="shared" si="7"/>
        <v>1269.5691901420967</v>
      </c>
      <c r="O36" s="235"/>
      <c r="P36" s="235"/>
      <c r="Q36" s="235"/>
      <c r="R36" s="235">
        <f t="shared" si="5"/>
        <v>41.605671936021139</v>
      </c>
      <c r="S36" s="269"/>
      <c r="T36" s="235"/>
      <c r="U36" s="235"/>
      <c r="V36" s="235"/>
    </row>
    <row r="37" spans="1:22" s="29" customFormat="1" x14ac:dyDescent="0.25">
      <c r="A37" s="244">
        <v>9257002</v>
      </c>
      <c r="B37" s="237" t="s">
        <v>213</v>
      </c>
      <c r="C37" s="365">
        <v>5</v>
      </c>
      <c r="D37" s="1024">
        <f>VLOOKUP(A37,'2122 Band Moderations'!$B$5:$S$22,6,(FALSE))</f>
        <v>0.3546099290780142</v>
      </c>
      <c r="E37" s="1024">
        <f>VLOOKUP(A37,'2122 Band Moderations'!$B$5:$S$22,8,(FALSE))</f>
        <v>0.38297872340425532</v>
      </c>
      <c r="F37" s="1024">
        <f>VLOOKUP(A37,'2122 Band Moderations'!$B$5:$S$22,10,(FALSE))</f>
        <v>0.1276595744680851</v>
      </c>
      <c r="G37" s="1024">
        <f>VLOOKUP(A37,'2122 Band Moderations'!$B$5:$S$22,12,(FALSE))</f>
        <v>2.8368794326241134E-2</v>
      </c>
      <c r="H37" s="1024">
        <f>VLOOKUP(A37,'2122 Band Moderations'!$B$5:$S$22,14,(FALSE))</f>
        <v>2.1276595744680851E-2</v>
      </c>
      <c r="I37" s="1024">
        <f>VLOOKUP(A37,'2122 Band Moderations'!$B$5:$S$22,16,(FALSE))</f>
        <v>7.8014184397163122E-2</v>
      </c>
      <c r="J37" s="1024">
        <f>VLOOKUP(A37,'2122 Band Moderations'!$B$5:$S$22,18,(FALSE))</f>
        <v>7.0921985815602835E-3</v>
      </c>
      <c r="K37" s="451">
        <v>0</v>
      </c>
      <c r="L37" s="1025">
        <f t="shared" si="6"/>
        <v>0</v>
      </c>
      <c r="M37" s="1025">
        <f t="shared" si="4"/>
        <v>0</v>
      </c>
      <c r="N37" s="1025">
        <f t="shared" si="7"/>
        <v>0</v>
      </c>
      <c r="O37" s="235"/>
      <c r="P37" s="235"/>
      <c r="Q37" s="235"/>
      <c r="R37" s="235">
        <f t="shared" si="5"/>
        <v>0</v>
      </c>
      <c r="S37" s="269"/>
      <c r="T37" s="235"/>
      <c r="U37" s="235"/>
      <c r="V37" s="235"/>
    </row>
    <row r="38" spans="1:22" s="29" customFormat="1" x14ac:dyDescent="0.25">
      <c r="A38" s="244">
        <v>9257009</v>
      </c>
      <c r="B38" s="237" t="s">
        <v>214</v>
      </c>
      <c r="C38" s="365" t="s">
        <v>1178</v>
      </c>
      <c r="D38" s="1024">
        <f>VLOOKUP(A38,'2122 Band Moderations'!$B$5:$S$22,6,(FALSE))</f>
        <v>0.23200000000000001</v>
      </c>
      <c r="E38" s="1024">
        <f>VLOOKUP(A38,'2122 Band Moderations'!$B$5:$S$22,8,(FALSE))</f>
        <v>0.57599999999999996</v>
      </c>
      <c r="F38" s="1024">
        <f>VLOOKUP(A38,'2122 Band Moderations'!$B$5:$S$22,10,(FALSE))</f>
        <v>0.08</v>
      </c>
      <c r="G38" s="1024">
        <f>VLOOKUP(A38,'2122 Band Moderations'!$B$5:$S$22,12,(FALSE))</f>
        <v>2.4E-2</v>
      </c>
      <c r="H38" s="1024">
        <f>VLOOKUP(A38,'2122 Band Moderations'!$B$5:$S$22,14,(FALSE))</f>
        <v>8.0000000000000002E-3</v>
      </c>
      <c r="I38" s="1024">
        <f>VLOOKUP(A38,'2122 Band Moderations'!$B$5:$S$22,16,(FALSE))</f>
        <v>0.08</v>
      </c>
      <c r="J38" s="1024">
        <f>VLOOKUP(A38,'2122 Band Moderations'!$B$5:$S$22,18,(FALSE))</f>
        <v>0</v>
      </c>
      <c r="K38" s="451">
        <v>0</v>
      </c>
      <c r="L38" s="1025">
        <f t="shared" si="6"/>
        <v>0</v>
      </c>
      <c r="M38" s="1025">
        <f t="shared" si="4"/>
        <v>0</v>
      </c>
      <c r="N38" s="1025">
        <f t="shared" si="7"/>
        <v>0</v>
      </c>
      <c r="O38" s="235"/>
      <c r="P38" s="235"/>
      <c r="Q38" s="235"/>
      <c r="R38" s="235">
        <f t="shared" si="5"/>
        <v>0</v>
      </c>
      <c r="S38" s="269"/>
      <c r="T38" s="235"/>
      <c r="U38" s="235"/>
      <c r="V38" s="235"/>
    </row>
    <row r="39" spans="1:22" s="29" customFormat="1" x14ac:dyDescent="0.25">
      <c r="A39" s="244">
        <v>9257029</v>
      </c>
      <c r="B39" s="237" t="s">
        <v>890</v>
      </c>
      <c r="C39" s="365" t="s">
        <v>1179</v>
      </c>
      <c r="D39" s="1024">
        <f>VLOOKUP(A39,'2122 Band Moderations'!$B$5:$S$22,6,(FALSE))</f>
        <v>0</v>
      </c>
      <c r="E39" s="1024">
        <f>VLOOKUP(A39,'2122 Band Moderations'!$B$5:$S$22,8,(FALSE))</f>
        <v>0</v>
      </c>
      <c r="F39" s="1024">
        <f>VLOOKUP(A39,'2122 Band Moderations'!$B$5:$S$22,10,(FALSE))</f>
        <v>1</v>
      </c>
      <c r="G39" s="1024">
        <f>VLOOKUP(A39,'2122 Band Moderations'!$B$5:$S$22,12,(FALSE))</f>
        <v>0</v>
      </c>
      <c r="H39" s="1024">
        <f>VLOOKUP(A39,'2122 Band Moderations'!$B$5:$S$22,14,(FALSE))</f>
        <v>0</v>
      </c>
      <c r="I39" s="1024">
        <f>VLOOKUP(A39,'2122 Band Moderations'!$B$5:$S$22,16,(FALSE))</f>
        <v>0</v>
      </c>
      <c r="J39" s="1024">
        <f>VLOOKUP(A39,'2122 Band Moderations'!$B$5:$S$22,18,(FALSE))</f>
        <v>0</v>
      </c>
      <c r="K39" s="451">
        <v>0</v>
      </c>
      <c r="L39" s="1025">
        <f t="shared" si="6"/>
        <v>0</v>
      </c>
      <c r="M39" s="1025">
        <f t="shared" si="4"/>
        <v>0</v>
      </c>
      <c r="N39" s="1025">
        <f t="shared" si="7"/>
        <v>0</v>
      </c>
      <c r="O39" s="235"/>
      <c r="P39" s="235"/>
      <c r="Q39" s="235"/>
      <c r="R39" s="235">
        <f t="shared" si="5"/>
        <v>0</v>
      </c>
      <c r="S39" s="269"/>
      <c r="T39" s="235"/>
      <c r="U39" s="235"/>
      <c r="V39" s="235"/>
    </row>
    <row r="40" spans="1:22" s="29" customFormat="1" x14ac:dyDescent="0.25">
      <c r="A40" s="244">
        <v>9257032</v>
      </c>
      <c r="B40" s="237" t="s">
        <v>1043</v>
      </c>
      <c r="C40" s="365" t="s">
        <v>1179</v>
      </c>
      <c r="D40" s="1024">
        <f>VLOOKUP(A40,'2122 Band Moderations'!$B$5:$S$22,6,(FALSE))</f>
        <v>0</v>
      </c>
      <c r="E40" s="1024">
        <f>VLOOKUP(A40,'2122 Band Moderations'!$B$5:$S$22,8,(FALSE))</f>
        <v>0</v>
      </c>
      <c r="F40" s="1024">
        <f>VLOOKUP(A40,'2122 Band Moderations'!$B$5:$S$22,10,(FALSE))</f>
        <v>1</v>
      </c>
      <c r="G40" s="1024">
        <f>VLOOKUP(A40,'2122 Band Moderations'!$B$5:$S$22,12,(FALSE))</f>
        <v>0</v>
      </c>
      <c r="H40" s="1024">
        <f>VLOOKUP(A40,'2122 Band Moderations'!$B$5:$S$22,14,(FALSE))</f>
        <v>0</v>
      </c>
      <c r="I40" s="1024">
        <f>VLOOKUP(A40,'2122 Band Moderations'!$B$5:$S$22,16,(FALSE))</f>
        <v>0</v>
      </c>
      <c r="J40" s="1024">
        <f>VLOOKUP(A40,'2122 Band Moderations'!$B$5:$S$22,18,(FALSE))</f>
        <v>0</v>
      </c>
      <c r="K40" s="451">
        <v>0</v>
      </c>
      <c r="L40" s="1025">
        <f t="shared" si="6"/>
        <v>0</v>
      </c>
      <c r="M40" s="1025">
        <f t="shared" si="4"/>
        <v>0</v>
      </c>
      <c r="N40" s="1025">
        <f t="shared" si="7"/>
        <v>0</v>
      </c>
      <c r="O40" s="235"/>
      <c r="P40" s="235"/>
      <c r="Q40" s="235"/>
      <c r="R40" s="235">
        <f t="shared" si="5"/>
        <v>0</v>
      </c>
      <c r="S40" s="269"/>
      <c r="T40" s="235"/>
      <c r="U40" s="235"/>
      <c r="V40" s="235"/>
    </row>
    <row r="41" spans="1:22" s="29" customFormat="1" x14ac:dyDescent="0.25">
      <c r="A41" s="244">
        <v>9257030</v>
      </c>
      <c r="B41" s="237" t="s">
        <v>1046</v>
      </c>
      <c r="C41" s="365" t="s">
        <v>1179</v>
      </c>
      <c r="D41" s="1024">
        <f>VLOOKUP(A41,'2122 Band Moderations'!$B$5:$S$22,6,(FALSE))</f>
        <v>0</v>
      </c>
      <c r="E41" s="1024">
        <f>VLOOKUP(A41,'2122 Band Moderations'!$B$5:$S$22,8,(FALSE))</f>
        <v>0</v>
      </c>
      <c r="F41" s="1024">
        <f>VLOOKUP(A41,'2122 Band Moderations'!$B$5:$S$22,10,(FALSE))</f>
        <v>1</v>
      </c>
      <c r="G41" s="1024">
        <f>VLOOKUP(A41,'2122 Band Moderations'!$B$5:$S$22,12,(FALSE))</f>
        <v>0</v>
      </c>
      <c r="H41" s="1024">
        <f>VLOOKUP(A41,'2122 Band Moderations'!$B$5:$S$22,14,(FALSE))</f>
        <v>0</v>
      </c>
      <c r="I41" s="1024">
        <f>VLOOKUP(A41,'2122 Band Moderations'!$B$5:$S$22,16,(FALSE))</f>
        <v>0</v>
      </c>
      <c r="J41" s="1024">
        <f>VLOOKUP(A41,'2122 Band Moderations'!$B$5:$S$22,18,(FALSE))</f>
        <v>0</v>
      </c>
      <c r="K41" s="451">
        <v>0</v>
      </c>
      <c r="L41" s="1025">
        <f t="shared" si="6"/>
        <v>0</v>
      </c>
      <c r="M41" s="1025">
        <f t="shared" si="4"/>
        <v>0</v>
      </c>
      <c r="N41" s="1025">
        <f t="shared" si="7"/>
        <v>0</v>
      </c>
      <c r="O41" s="235"/>
      <c r="P41" s="235"/>
      <c r="Q41" s="235"/>
      <c r="R41" s="235">
        <f t="shared" si="5"/>
        <v>0</v>
      </c>
      <c r="S41" s="269"/>
      <c r="T41" s="235"/>
      <c r="U41" s="235"/>
      <c r="V41" s="235"/>
    </row>
    <row r="42" spans="1:22" s="29" customFormat="1" x14ac:dyDescent="0.25">
      <c r="A42" s="244">
        <v>9257028</v>
      </c>
      <c r="B42" s="237" t="s">
        <v>215</v>
      </c>
      <c r="C42" s="365">
        <v>5</v>
      </c>
      <c r="D42" s="1024">
        <f>VLOOKUP(A42,'2122 Band Moderations'!$B$5:$S$22,6,(FALSE))</f>
        <v>8.9108910891089105E-2</v>
      </c>
      <c r="E42" s="1024">
        <f>VLOOKUP(A42,'2122 Band Moderations'!$B$5:$S$22,8,(FALSE))</f>
        <v>0.40594059405940597</v>
      </c>
      <c r="F42" s="1024">
        <f>VLOOKUP(A42,'2122 Band Moderations'!$B$5:$S$22,10,(FALSE))</f>
        <v>7.9207920792079209E-2</v>
      </c>
      <c r="G42" s="1024">
        <f>VLOOKUP(A42,'2122 Band Moderations'!$B$5:$S$22,12,(FALSE))</f>
        <v>8.9108910891089105E-2</v>
      </c>
      <c r="H42" s="1024">
        <f>VLOOKUP(A42,'2122 Band Moderations'!$B$5:$S$22,14,(FALSE))</f>
        <v>0.12871287128712872</v>
      </c>
      <c r="I42" s="1024">
        <f>VLOOKUP(A42,'2122 Band Moderations'!$B$5:$S$22,16,(FALSE))</f>
        <v>9.9009900990099015E-2</v>
      </c>
      <c r="J42" s="1024">
        <f>VLOOKUP(A42,'2122 Band Moderations'!$B$5:$S$22,18,(FALSE))</f>
        <v>0.10891089108910891</v>
      </c>
      <c r="K42" s="451">
        <v>8</v>
      </c>
      <c r="L42" s="1025">
        <f t="shared" si="6"/>
        <v>455.88524078810167</v>
      </c>
      <c r="M42" s="1025">
        <f t="shared" si="4"/>
        <v>0</v>
      </c>
      <c r="N42" s="1025">
        <f t="shared" si="7"/>
        <v>455.88524078810167</v>
      </c>
      <c r="O42" s="235"/>
      <c r="P42" s="235"/>
      <c r="Q42" s="235"/>
      <c r="R42" s="235">
        <f t="shared" si="5"/>
        <v>105.55288698503672</v>
      </c>
      <c r="S42" s="269"/>
      <c r="T42" s="235"/>
      <c r="U42" s="235"/>
      <c r="V42" s="235"/>
    </row>
    <row r="43" spans="1:22" s="29" customFormat="1" x14ac:dyDescent="0.25">
      <c r="A43" s="244">
        <v>9257021</v>
      </c>
      <c r="B43" s="237" t="s">
        <v>216</v>
      </c>
      <c r="C43" s="365" t="s">
        <v>1180</v>
      </c>
      <c r="D43" s="1024">
        <f>VLOOKUP(A43,'2122 Band Moderations'!$B$5:$S$22,6,(FALSE))</f>
        <v>0.26829268292682928</v>
      </c>
      <c r="E43" s="1024">
        <f>VLOOKUP(A43,'2122 Band Moderations'!$B$5:$S$22,8,(FALSE))</f>
        <v>0.42682926829268292</v>
      </c>
      <c r="F43" s="1024">
        <f>VLOOKUP(A43,'2122 Band Moderations'!$B$5:$S$22,10,(FALSE))</f>
        <v>7.926829268292683E-2</v>
      </c>
      <c r="G43" s="1024">
        <f>VLOOKUP(A43,'2122 Band Moderations'!$B$5:$S$22,12,(FALSE))</f>
        <v>6.7073170731707321E-2</v>
      </c>
      <c r="H43" s="1024">
        <f>VLOOKUP(A43,'2122 Band Moderations'!$B$5:$S$22,14,(FALSE))</f>
        <v>5.4878048780487805E-2</v>
      </c>
      <c r="I43" s="1024">
        <f>VLOOKUP(A43,'2122 Band Moderations'!$B$5:$S$22,16,(FALSE))</f>
        <v>9.1463414634146339E-2</v>
      </c>
      <c r="J43" s="1024">
        <f>VLOOKUP(A43,'2122 Band Moderations'!$B$5:$S$22,18,(FALSE))</f>
        <v>1.2195121951219513E-2</v>
      </c>
      <c r="K43" s="451">
        <v>0</v>
      </c>
      <c r="L43" s="1025">
        <f t="shared" si="6"/>
        <v>0</v>
      </c>
      <c r="M43" s="1025">
        <f t="shared" si="4"/>
        <v>0</v>
      </c>
      <c r="N43" s="1025">
        <f t="shared" si="7"/>
        <v>0</v>
      </c>
      <c r="O43" s="235"/>
      <c r="P43" s="235"/>
      <c r="Q43" s="235"/>
      <c r="R43" s="235">
        <f t="shared" si="5"/>
        <v>0</v>
      </c>
      <c r="S43" s="269"/>
      <c r="T43" s="235"/>
      <c r="U43" s="235"/>
      <c r="V43" s="235"/>
    </row>
    <row r="44" spans="1:22" s="29" customFormat="1" x14ac:dyDescent="0.25">
      <c r="A44" s="244">
        <v>9257015</v>
      </c>
      <c r="B44" s="237" t="s">
        <v>217</v>
      </c>
      <c r="C44" s="365" t="s">
        <v>1181</v>
      </c>
      <c r="D44" s="1024">
        <f>VLOOKUP(A44,'2122 Band Moderations'!$B$5:$S$22,6,(FALSE))</f>
        <v>0.33185840707964603</v>
      </c>
      <c r="E44" s="1024">
        <f>VLOOKUP(A44,'2122 Band Moderations'!$B$5:$S$22,8,(FALSE))</f>
        <v>0.38495575221238937</v>
      </c>
      <c r="F44" s="1024">
        <f>VLOOKUP(A44,'2122 Band Moderations'!$B$5:$S$22,10,(FALSE))</f>
        <v>1.7699115044247787E-2</v>
      </c>
      <c r="G44" s="1024">
        <f>VLOOKUP(A44,'2122 Band Moderations'!$B$5:$S$22,12,(FALSE))</f>
        <v>8.8495575221238937E-2</v>
      </c>
      <c r="H44" s="1024">
        <f>VLOOKUP(A44,'2122 Band Moderations'!$B$5:$S$22,14,(FALSE))</f>
        <v>2.2123893805309734E-2</v>
      </c>
      <c r="I44" s="1024">
        <f>VLOOKUP(A44,'2122 Band Moderations'!$B$5:$S$22,16,(FALSE))</f>
        <v>0.1415929203539823</v>
      </c>
      <c r="J44" s="1024">
        <f>VLOOKUP(A44,'2122 Band Moderations'!$B$5:$S$22,18,(FALSE))</f>
        <v>1.3274336283185841E-2</v>
      </c>
      <c r="K44" s="451">
        <v>8</v>
      </c>
      <c r="L44" s="1025">
        <f t="shared" si="6"/>
        <v>313.73206546238237</v>
      </c>
      <c r="M44" s="1025">
        <f t="shared" si="4"/>
        <v>0</v>
      </c>
      <c r="N44" s="1025">
        <f t="shared" si="7"/>
        <v>313.73206546238237</v>
      </c>
      <c r="O44" s="235"/>
      <c r="P44" s="235"/>
      <c r="Q44" s="235"/>
      <c r="R44" s="235">
        <f t="shared" si="5"/>
        <v>12.865054206140838</v>
      </c>
      <c r="S44" s="269"/>
      <c r="T44" s="235"/>
      <c r="U44" s="235"/>
      <c r="V44" s="235"/>
    </row>
    <row r="45" spans="1:22" s="29" customFormat="1" x14ac:dyDescent="0.25">
      <c r="A45" s="244">
        <v>9257016</v>
      </c>
      <c r="B45" s="237" t="s">
        <v>219</v>
      </c>
      <c r="C45" s="365" t="s">
        <v>1181</v>
      </c>
      <c r="D45" s="1024">
        <f>VLOOKUP(A45,'2122 Band Moderations'!$B$5:$S$22,6,(FALSE))</f>
        <v>0.18012422360248448</v>
      </c>
      <c r="E45" s="1024">
        <f>VLOOKUP(A45,'2122 Band Moderations'!$B$5:$S$22,8,(FALSE))</f>
        <v>0.15527950310559005</v>
      </c>
      <c r="F45" s="1024">
        <f>VLOOKUP(A45,'2122 Band Moderations'!$B$5:$S$22,10,(FALSE))</f>
        <v>6.2111801242236021E-3</v>
      </c>
      <c r="G45" s="1024">
        <f>VLOOKUP(A45,'2122 Band Moderations'!$B$5:$S$22,12,(FALSE))</f>
        <v>0.2236024844720497</v>
      </c>
      <c r="H45" s="1024">
        <f>VLOOKUP(A45,'2122 Band Moderations'!$B$5:$S$22,14,(FALSE))</f>
        <v>0.21118012422360249</v>
      </c>
      <c r="I45" s="1024">
        <f>VLOOKUP(A45,'2122 Band Moderations'!$B$5:$S$22,16,(FALSE))</f>
        <v>1.2422360248447204E-2</v>
      </c>
      <c r="J45" s="1024">
        <f>VLOOKUP(A45,'2122 Band Moderations'!$B$5:$S$22,18,(FALSE))</f>
        <v>0.21118012422360249</v>
      </c>
      <c r="K45" s="451">
        <v>47</v>
      </c>
      <c r="L45" s="1025">
        <f t="shared" si="6"/>
        <v>3405.4181176273551</v>
      </c>
      <c r="M45" s="1025">
        <f t="shared" si="4"/>
        <v>0</v>
      </c>
      <c r="N45" s="1025">
        <f t="shared" si="7"/>
        <v>3405.4181176273551</v>
      </c>
      <c r="O45" s="235"/>
      <c r="P45" s="235"/>
      <c r="Q45" s="299" t="s">
        <v>207</v>
      </c>
      <c r="R45" s="235">
        <f t="shared" si="5"/>
        <v>1202.4297609832693</v>
      </c>
      <c r="S45" s="269"/>
      <c r="T45" s="235"/>
      <c r="U45" s="235"/>
      <c r="V45" s="235"/>
    </row>
    <row r="46" spans="1:22" s="29" customFormat="1" x14ac:dyDescent="0.25">
      <c r="A46" s="249"/>
      <c r="B46" s="36"/>
      <c r="C46" s="234"/>
      <c r="D46" s="268"/>
      <c r="E46" s="268"/>
      <c r="F46" s="299" t="s">
        <v>207</v>
      </c>
      <c r="G46" s="268"/>
      <c r="H46" s="268"/>
      <c r="I46" s="268"/>
      <c r="J46" s="299" t="s">
        <v>207</v>
      </c>
      <c r="K46" s="36"/>
      <c r="L46" s="269"/>
      <c r="M46" s="269"/>
      <c r="N46" s="299" t="s">
        <v>207</v>
      </c>
      <c r="O46" s="235"/>
      <c r="P46" s="235"/>
      <c r="Q46" s="235"/>
      <c r="R46" s="269"/>
      <c r="S46" s="269"/>
      <c r="T46" s="36"/>
      <c r="U46" s="36"/>
      <c r="V46" s="36"/>
    </row>
    <row r="47" spans="1:22" s="29" customFormat="1" ht="13" x14ac:dyDescent="0.3">
      <c r="A47" s="93" t="s">
        <v>1183</v>
      </c>
      <c r="B47" s="36"/>
      <c r="C47" s="36"/>
      <c r="D47" s="36"/>
      <c r="E47" s="36"/>
      <c r="F47" s="36"/>
      <c r="G47" s="36"/>
      <c r="H47" s="36"/>
      <c r="I47" s="36"/>
      <c r="J47" s="36"/>
      <c r="K47" s="234"/>
      <c r="L47" s="234"/>
      <c r="M47" s="36"/>
      <c r="N47" s="36"/>
      <c r="O47" s="36"/>
      <c r="P47" s="36"/>
      <c r="Q47" s="36"/>
      <c r="R47" s="36"/>
      <c r="S47" s="288"/>
      <c r="T47" s="36"/>
      <c r="U47" s="36"/>
      <c r="V47" s="36"/>
    </row>
    <row r="48" spans="1:22" s="29" customFormat="1" x14ac:dyDescent="0.25">
      <c r="A48" s="36"/>
      <c r="B48" s="36"/>
      <c r="C48" s="36"/>
      <c r="D48" s="36"/>
      <c r="E48" s="36"/>
      <c r="F48" s="36"/>
      <c r="G48" s="36"/>
      <c r="H48" s="36"/>
      <c r="I48" s="36"/>
      <c r="J48" s="36"/>
      <c r="K48" s="94" t="s">
        <v>1184</v>
      </c>
      <c r="L48" s="234"/>
      <c r="M48" s="36"/>
      <c r="N48" s="36"/>
      <c r="O48" s="1439"/>
      <c r="P48" s="1439"/>
      <c r="Q48" s="36"/>
      <c r="R48" s="36"/>
      <c r="S48" s="36"/>
      <c r="T48" s="36"/>
      <c r="U48" s="36"/>
      <c r="V48" s="36"/>
    </row>
    <row r="49" spans="1:20" s="29" customFormat="1" ht="39.75" customHeight="1" x14ac:dyDescent="0.25">
      <c r="A49" s="265" t="s">
        <v>182</v>
      </c>
      <c r="B49" s="237" t="s">
        <v>183</v>
      </c>
      <c r="C49" s="238" t="s">
        <v>184</v>
      </c>
      <c r="D49" s="234" t="s">
        <v>901</v>
      </c>
      <c r="E49" s="234" t="s">
        <v>902</v>
      </c>
      <c r="F49" s="234" t="s">
        <v>903</v>
      </c>
      <c r="G49" s="234" t="s">
        <v>904</v>
      </c>
      <c r="H49" s="234" t="s">
        <v>905</v>
      </c>
      <c r="I49" s="234" t="s">
        <v>906</v>
      </c>
      <c r="J49" s="234" t="s">
        <v>907</v>
      </c>
      <c r="K49" s="243" t="s">
        <v>246</v>
      </c>
      <c r="L49" s="243" t="s">
        <v>272</v>
      </c>
      <c r="M49" s="243" t="s">
        <v>273</v>
      </c>
      <c r="N49" s="243" t="s">
        <v>274</v>
      </c>
      <c r="O49" s="277"/>
      <c r="P49" s="243"/>
      <c r="Q49" s="36"/>
      <c r="R49" s="36"/>
      <c r="S49" s="288"/>
      <c r="T49" s="36"/>
    </row>
    <row r="50" spans="1:20" s="29" customFormat="1" x14ac:dyDescent="0.25">
      <c r="A50" s="244">
        <v>9257010</v>
      </c>
      <c r="B50" s="237" t="s">
        <v>205</v>
      </c>
      <c r="C50" s="365">
        <v>5</v>
      </c>
      <c r="D50" s="1024">
        <f>VLOOKUP(A50,'2122 Band Moderations'!$B$5:$S$22,6,(FALSE))</f>
        <v>1.5873015873015872E-2</v>
      </c>
      <c r="E50" s="1024">
        <f>VLOOKUP(A50,'2122 Band Moderations'!$B$5:$S$22,8,(FALSE))</f>
        <v>0.31746031746031744</v>
      </c>
      <c r="F50" s="1024">
        <f>VLOOKUP(A50,'2122 Band Moderations'!$B$5:$S$22,10,(FALSE))</f>
        <v>9.5238095238095233E-2</v>
      </c>
      <c r="G50" s="1024">
        <f>VLOOKUP(A50,'2122 Band Moderations'!$B$5:$S$22,12,(FALSE))</f>
        <v>0.17460317460317459</v>
      </c>
      <c r="H50" s="1024">
        <f>VLOOKUP(A50,'2122 Band Moderations'!$B$5:$S$22,14,(FALSE))</f>
        <v>6.3492063492063489E-2</v>
      </c>
      <c r="I50" s="1024">
        <f>VLOOKUP(A50,'2122 Band Moderations'!$B$5:$S$22,16,(FALSE))</f>
        <v>0.19047619047619047</v>
      </c>
      <c r="J50" s="1024">
        <f>VLOOKUP(A50,'2122 Band Moderations'!$B$5:$S$22,18,(FALSE))</f>
        <v>0.14285714285714285</v>
      </c>
      <c r="K50" s="451">
        <v>90</v>
      </c>
      <c r="L50" s="1025">
        <f t="shared" ref="L50:L67" si="8">((((K50*D50)*$G$92)+((K50*E50)*$G$94)+((K50*F50)*$G$96)+((K50*G50)*$G$98)+((K50*H50)*$G$100)+((K50*I50)*$G$102)+((K50*J50)*$G$104))*(7/12))</f>
        <v>10656.751736169397</v>
      </c>
      <c r="M50" s="1025">
        <f>((F50*K50)*$G$106)*(7/12)</f>
        <v>0</v>
      </c>
      <c r="N50" s="1025">
        <f t="shared" ref="N50:N67" si="9">SUM(L50:M50)</f>
        <v>10656.751736169397</v>
      </c>
      <c r="O50" s="235"/>
      <c r="P50" s="235"/>
      <c r="Q50" s="235"/>
      <c r="R50" s="235">
        <f t="shared" ref="R50:R67" si="10">(J50*K50*$G$104)*7/12</f>
        <v>2725.7833599260903</v>
      </c>
      <c r="S50" s="233" t="s">
        <v>207</v>
      </c>
      <c r="T50" s="296" t="s">
        <v>277</v>
      </c>
    </row>
    <row r="51" spans="1:20" s="29" customFormat="1" x14ac:dyDescent="0.25">
      <c r="A51" s="244">
        <v>9257005</v>
      </c>
      <c r="B51" s="237" t="s">
        <v>208</v>
      </c>
      <c r="C51" s="365">
        <v>4</v>
      </c>
      <c r="D51" s="1024">
        <f>VLOOKUP(A51,'2122 Band Moderations'!$B$5:$S$22,6,(FALSE))</f>
        <v>0.05</v>
      </c>
      <c r="E51" s="1024">
        <f>VLOOKUP(A51,'2122 Band Moderations'!$B$5:$S$22,8,(FALSE))</f>
        <v>0.4</v>
      </c>
      <c r="F51" s="1024">
        <f>VLOOKUP(A51,'2122 Band Moderations'!$B$5:$S$22,10,(FALSE))</f>
        <v>6.25E-2</v>
      </c>
      <c r="G51" s="1024">
        <f>VLOOKUP(A51,'2122 Band Moderations'!$B$5:$S$22,12,(FALSE))</f>
        <v>0.15</v>
      </c>
      <c r="H51" s="1024">
        <f>VLOOKUP(A51,'2122 Band Moderations'!$B$5:$S$22,14,(FALSE))</f>
        <v>0.125</v>
      </c>
      <c r="I51" s="1024">
        <f>VLOOKUP(A51,'2122 Band Moderations'!$B$5:$S$22,16,(FALSE))</f>
        <v>0.15</v>
      </c>
      <c r="J51" s="1024">
        <f>VLOOKUP(A51,'2122 Band Moderations'!$B$5:$S$22,18,(FALSE))</f>
        <v>6.25E-2</v>
      </c>
      <c r="K51" s="451">
        <v>58</v>
      </c>
      <c r="L51" s="1025">
        <f t="shared" si="8"/>
        <v>5918.2914795669985</v>
      </c>
      <c r="M51" s="1025">
        <f t="shared" ref="M51:M67" si="11">((F51*K51)*$G$106)*(7/12)</f>
        <v>0</v>
      </c>
      <c r="N51" s="1025">
        <f t="shared" si="9"/>
        <v>5918.2914795669985</v>
      </c>
      <c r="O51" s="235"/>
      <c r="P51" s="235"/>
      <c r="Q51" s="235"/>
      <c r="R51" s="235">
        <f t="shared" si="10"/>
        <v>768.51947509027275</v>
      </c>
      <c r="S51" s="269"/>
      <c r="T51" s="36"/>
    </row>
    <row r="52" spans="1:20" s="29" customFormat="1" x14ac:dyDescent="0.25">
      <c r="A52" s="244">
        <v>9257025</v>
      </c>
      <c r="B52" s="237" t="s">
        <v>209</v>
      </c>
      <c r="C52" s="365">
        <v>4</v>
      </c>
      <c r="D52" s="1024">
        <f>VLOOKUP(A52,'2122 Band Moderations'!$B$5:$S$22,6,(FALSE))</f>
        <v>0.15584415584415584</v>
      </c>
      <c r="E52" s="1024">
        <f>VLOOKUP(A52,'2122 Band Moderations'!$B$5:$S$22,8,(FALSE))</f>
        <v>0.40259740259740262</v>
      </c>
      <c r="F52" s="1024">
        <f>VLOOKUP(A52,'2122 Band Moderations'!$B$5:$S$22,10,(FALSE))</f>
        <v>3.896103896103896E-2</v>
      </c>
      <c r="G52" s="1024">
        <f>VLOOKUP(A52,'2122 Band Moderations'!$B$5:$S$22,12,(FALSE))</f>
        <v>0.15584415584415584</v>
      </c>
      <c r="H52" s="1024">
        <f>VLOOKUP(A52,'2122 Band Moderations'!$B$5:$S$22,14,(FALSE))</f>
        <v>5.1948051948051951E-2</v>
      </c>
      <c r="I52" s="1024">
        <f>VLOOKUP(A52,'2122 Band Moderations'!$B$5:$S$22,16,(FALSE))</f>
        <v>0.14285714285714285</v>
      </c>
      <c r="J52" s="1024">
        <f>VLOOKUP(A52,'2122 Band Moderations'!$B$5:$S$22,18,(FALSE))</f>
        <v>5.1948051948051951E-2</v>
      </c>
      <c r="K52" s="451">
        <v>54</v>
      </c>
      <c r="L52" s="1025">
        <f t="shared" si="8"/>
        <v>4821.9567624515093</v>
      </c>
      <c r="M52" s="1025">
        <f t="shared" si="11"/>
        <v>0</v>
      </c>
      <c r="N52" s="1025">
        <f t="shared" si="9"/>
        <v>4821.9567624515093</v>
      </c>
      <c r="O52" s="235"/>
      <c r="P52" s="235"/>
      <c r="Q52" s="235"/>
      <c r="R52" s="235">
        <f t="shared" si="10"/>
        <v>594.71636943841975</v>
      </c>
      <c r="S52" s="269"/>
      <c r="T52" s="36"/>
    </row>
    <row r="53" spans="1:20" s="29" customFormat="1" x14ac:dyDescent="0.25">
      <c r="A53" s="244">
        <v>9257011</v>
      </c>
      <c r="B53" s="237" t="s">
        <v>210</v>
      </c>
      <c r="C53" s="365" t="s">
        <v>1251</v>
      </c>
      <c r="D53" s="1024">
        <f>VLOOKUP(A53,'2122 Band Moderations'!$B$5:$S$22,6,(FALSE))</f>
        <v>5.6603773584905662E-2</v>
      </c>
      <c r="E53" s="1024">
        <f>VLOOKUP(A53,'2122 Band Moderations'!$B$5:$S$22,8,(FALSE))</f>
        <v>0.35849056603773582</v>
      </c>
      <c r="F53" s="1024">
        <f>VLOOKUP(A53,'2122 Band Moderations'!$B$5:$S$22,10,(FALSE))</f>
        <v>1.8867924528301886E-2</v>
      </c>
      <c r="G53" s="1024">
        <f>VLOOKUP(A53,'2122 Band Moderations'!$B$5:$S$22,12,(FALSE))</f>
        <v>0.16981132075471697</v>
      </c>
      <c r="H53" s="1024">
        <f>VLOOKUP(A53,'2122 Band Moderations'!$B$5:$S$22,14,(FALSE))</f>
        <v>0.13207547169811321</v>
      </c>
      <c r="I53" s="1024">
        <f>VLOOKUP(A53,'2122 Band Moderations'!$B$5:$S$22,16,(FALSE))</f>
        <v>0.15094339622641509</v>
      </c>
      <c r="J53" s="1024">
        <f>VLOOKUP(A53,'2122 Band Moderations'!$B$5:$S$22,18,(FALSE))</f>
        <v>0.11320754716981132</v>
      </c>
      <c r="K53" s="451">
        <v>50</v>
      </c>
      <c r="L53" s="1025">
        <f t="shared" si="8"/>
        <v>5510.1687300378035</v>
      </c>
      <c r="M53" s="1025">
        <f t="shared" si="11"/>
        <v>0</v>
      </c>
      <c r="N53" s="1025">
        <f t="shared" si="9"/>
        <v>5510.1687300378035</v>
      </c>
      <c r="O53" s="235"/>
      <c r="P53" s="235"/>
      <c r="Q53" s="235"/>
      <c r="R53" s="235">
        <f t="shared" si="10"/>
        <v>1200.0304100303545</v>
      </c>
      <c r="S53" s="269"/>
      <c r="T53" s="36"/>
    </row>
    <row r="54" spans="1:20" s="29" customFormat="1" x14ac:dyDescent="0.25">
      <c r="A54" s="244">
        <v>9257024</v>
      </c>
      <c r="B54" s="237" t="s">
        <v>211</v>
      </c>
      <c r="C54" s="365">
        <v>4</v>
      </c>
      <c r="D54" s="1024">
        <f>VLOOKUP(A54,'2122 Band Moderations'!$B$5:$S$22,6,(FALSE))</f>
        <v>8.4337349397590355E-2</v>
      </c>
      <c r="E54" s="1024">
        <f>VLOOKUP(A54,'2122 Band Moderations'!$B$5:$S$22,8,(FALSE))</f>
        <v>0.45783132530120479</v>
      </c>
      <c r="F54" s="1024">
        <f>VLOOKUP(A54,'2122 Band Moderations'!$B$5:$S$22,10,(FALSE))</f>
        <v>1.2048192771084338E-2</v>
      </c>
      <c r="G54" s="1024">
        <f>VLOOKUP(A54,'2122 Band Moderations'!$B$5:$S$22,12,(FALSE))</f>
        <v>0.18072289156626506</v>
      </c>
      <c r="H54" s="1024">
        <f>VLOOKUP(A54,'2122 Band Moderations'!$B$5:$S$22,14,(FALSE))</f>
        <v>8.4337349397590355E-2</v>
      </c>
      <c r="I54" s="1024">
        <f>VLOOKUP(A54,'2122 Band Moderations'!$B$5:$S$22,16,(FALSE))</f>
        <v>7.2289156626506021E-2</v>
      </c>
      <c r="J54" s="1024">
        <f>VLOOKUP(A54,'2122 Band Moderations'!$B$5:$S$22,18,(FALSE))</f>
        <v>0.10843373493975904</v>
      </c>
      <c r="K54" s="451">
        <v>71</v>
      </c>
      <c r="L54" s="1025">
        <f t="shared" si="8"/>
        <v>6882.1883768491061</v>
      </c>
      <c r="M54" s="1025">
        <f t="shared" si="11"/>
        <v>0</v>
      </c>
      <c r="N54" s="1025">
        <f t="shared" si="9"/>
        <v>6882.1883768491061</v>
      </c>
      <c r="O54" s="235"/>
      <c r="P54" s="235"/>
      <c r="Q54" s="235"/>
      <c r="R54" s="235">
        <f t="shared" si="10"/>
        <v>1632.1859396183938</v>
      </c>
      <c r="S54" s="269"/>
      <c r="T54" s="36"/>
    </row>
    <row r="55" spans="1:20" s="29" customFormat="1" x14ac:dyDescent="0.25">
      <c r="A55" s="244">
        <v>9257031</v>
      </c>
      <c r="B55" s="237" t="s">
        <v>257</v>
      </c>
      <c r="C55" s="365">
        <v>5</v>
      </c>
      <c r="D55" s="1024">
        <f>VLOOKUP(A55,'2122 Band Moderations'!$B$5:$S$22,6,(FALSE))</f>
        <v>0</v>
      </c>
      <c r="E55" s="1024">
        <f>VLOOKUP(A55,'2122 Band Moderations'!$B$5:$S$22,8,(FALSE))</f>
        <v>0</v>
      </c>
      <c r="F55" s="1024">
        <f>VLOOKUP(A55,'2122 Band Moderations'!$B$5:$S$22,10,(FALSE))</f>
        <v>1</v>
      </c>
      <c r="G55" s="1024">
        <f>VLOOKUP(A55,'2122 Band Moderations'!$B$5:$S$22,12,(FALSE))</f>
        <v>0</v>
      </c>
      <c r="H55" s="1024">
        <f>VLOOKUP(A55,'2122 Band Moderations'!$B$5:$S$22,14,(FALSE))</f>
        <v>0</v>
      </c>
      <c r="I55" s="1024">
        <f>VLOOKUP(A55,'2122 Band Moderations'!$B$5:$S$22,16,(FALSE))</f>
        <v>0</v>
      </c>
      <c r="J55" s="1024">
        <f>VLOOKUP(A55,'2122 Band Moderations'!$B$5:$S$22,18,(FALSE))</f>
        <v>0</v>
      </c>
      <c r="K55" s="451">
        <v>81</v>
      </c>
      <c r="L55" s="1025">
        <f t="shared" si="8"/>
        <v>9986.8554284934235</v>
      </c>
      <c r="M55" s="1025">
        <f t="shared" si="11"/>
        <v>0</v>
      </c>
      <c r="N55" s="1025">
        <f t="shared" si="9"/>
        <v>9986.8554284934235</v>
      </c>
      <c r="O55" s="235"/>
      <c r="P55" s="235"/>
      <c r="Q55" s="235"/>
      <c r="R55" s="235">
        <f t="shared" si="10"/>
        <v>0</v>
      </c>
      <c r="S55" s="269"/>
      <c r="T55" s="36"/>
    </row>
    <row r="56" spans="1:20" s="29" customFormat="1" x14ac:dyDescent="0.25">
      <c r="A56" s="244">
        <v>9257033</v>
      </c>
      <c r="B56" s="237" t="s">
        <v>220</v>
      </c>
      <c r="C56" s="365" t="s">
        <v>1178</v>
      </c>
      <c r="D56" s="1024">
        <f>VLOOKUP(A56,'2122 Band Moderations'!$B$5:$S$22,6,(FALSE))</f>
        <v>0.16842105263157894</v>
      </c>
      <c r="E56" s="1024">
        <f>VLOOKUP(A56,'2122 Band Moderations'!$B$5:$S$22,8,(FALSE))</f>
        <v>0.5368421052631579</v>
      </c>
      <c r="F56" s="1024">
        <f>VLOOKUP(A56,'2122 Band Moderations'!$B$5:$S$22,10,(FALSE))</f>
        <v>6.3157894736842107E-2</v>
      </c>
      <c r="G56" s="1024">
        <f>VLOOKUP(A56,'2122 Band Moderations'!$B$5:$S$22,12,(FALSE))</f>
        <v>0.14736842105263157</v>
      </c>
      <c r="H56" s="1024">
        <f>VLOOKUP(A56,'2122 Band Moderations'!$B$5:$S$22,14,(FALSE))</f>
        <v>4.2105263157894736E-2</v>
      </c>
      <c r="I56" s="1024">
        <f>VLOOKUP(A56,'2122 Band Moderations'!$B$5:$S$22,16,(FALSE))</f>
        <v>4.2105263157894736E-2</v>
      </c>
      <c r="J56" s="1024">
        <f>VLOOKUP(A56,'2122 Band Moderations'!$B$5:$S$22,18,(FALSE))</f>
        <v>0</v>
      </c>
      <c r="K56" s="451">
        <v>98</v>
      </c>
      <c r="L56" s="1025">
        <f t="shared" si="8"/>
        <v>6917.6152156560265</v>
      </c>
      <c r="M56" s="1025">
        <f t="shared" si="11"/>
        <v>0</v>
      </c>
      <c r="N56" s="1025">
        <f t="shared" si="9"/>
        <v>6917.6152156560265</v>
      </c>
      <c r="O56" s="235"/>
      <c r="P56" s="235"/>
      <c r="Q56" s="235"/>
      <c r="R56" s="235">
        <f t="shared" si="10"/>
        <v>0</v>
      </c>
      <c r="S56" s="269"/>
      <c r="T56" s="36"/>
    </row>
    <row r="57" spans="1:20" s="29" customFormat="1" x14ac:dyDescent="0.25">
      <c r="A57" s="244">
        <v>9257008</v>
      </c>
      <c r="B57" s="237" t="s">
        <v>212</v>
      </c>
      <c r="C57" s="365">
        <v>4</v>
      </c>
      <c r="D57" s="1024">
        <f>VLOOKUP(A57,'2122 Band Moderations'!$B$5:$S$22,6,(FALSE))</f>
        <v>0.10101010101010101</v>
      </c>
      <c r="E57" s="1024">
        <f>VLOOKUP(A57,'2122 Band Moderations'!$B$5:$S$22,8,(FALSE))</f>
        <v>0.58585858585858586</v>
      </c>
      <c r="F57" s="1024">
        <f>VLOOKUP(A57,'2122 Band Moderations'!$B$5:$S$22,10,(FALSE))</f>
        <v>8.0808080808080815E-2</v>
      </c>
      <c r="G57" s="1024">
        <f>VLOOKUP(A57,'2122 Band Moderations'!$B$5:$S$22,12,(FALSE))</f>
        <v>9.0909090909090912E-2</v>
      </c>
      <c r="H57" s="1024">
        <f>VLOOKUP(A57,'2122 Band Moderations'!$B$5:$S$22,14,(FALSE))</f>
        <v>1.0101010101010102E-2</v>
      </c>
      <c r="I57" s="1024">
        <f>VLOOKUP(A57,'2122 Band Moderations'!$B$5:$S$22,16,(FALSE))</f>
        <v>0.12121212121212122</v>
      </c>
      <c r="J57" s="1024">
        <f>VLOOKUP(A57,'2122 Band Moderations'!$B$5:$S$22,18,(FALSE))</f>
        <v>1.0101010101010102E-2</v>
      </c>
      <c r="K57" s="451">
        <v>99</v>
      </c>
      <c r="L57" s="1025">
        <f t="shared" si="8"/>
        <v>7109.6483192788091</v>
      </c>
      <c r="M57" s="1025">
        <f t="shared" si="11"/>
        <v>0</v>
      </c>
      <c r="N57" s="1025">
        <f t="shared" si="9"/>
        <v>7109.6483192788091</v>
      </c>
      <c r="O57" s="235"/>
      <c r="P57" s="235"/>
      <c r="Q57" s="235"/>
      <c r="R57" s="235">
        <f t="shared" si="10"/>
        <v>212.0053724386959</v>
      </c>
      <c r="S57" s="269"/>
      <c r="T57" s="36"/>
    </row>
    <row r="58" spans="1:20" s="29" customFormat="1" x14ac:dyDescent="0.25">
      <c r="A58" s="244">
        <v>9257034</v>
      </c>
      <c r="B58" s="237" t="s">
        <v>221</v>
      </c>
      <c r="C58" s="365" t="s">
        <v>1178</v>
      </c>
      <c r="D58" s="1024">
        <f>VLOOKUP(A58,'2122 Band Moderations'!$B$5:$S$22,6,(FALSE))</f>
        <v>0.42424242424242425</v>
      </c>
      <c r="E58" s="1024">
        <f>VLOOKUP(A58,'2122 Band Moderations'!$B$5:$S$22,8,(FALSE))</f>
        <v>0.29292929292929293</v>
      </c>
      <c r="F58" s="1024">
        <f>VLOOKUP(A58,'2122 Band Moderations'!$B$5:$S$22,10,(FALSE))</f>
        <v>0.14141414141414141</v>
      </c>
      <c r="G58" s="1024">
        <f>VLOOKUP(A58,'2122 Band Moderations'!$B$5:$S$22,12,(FALSE))</f>
        <v>3.0303030303030304E-2</v>
      </c>
      <c r="H58" s="1024">
        <f>VLOOKUP(A58,'2122 Band Moderations'!$B$5:$S$22,14,(FALSE))</f>
        <v>4.0404040404040407E-2</v>
      </c>
      <c r="I58" s="1024">
        <f>VLOOKUP(A58,'2122 Band Moderations'!$B$5:$S$22,16,(FALSE))</f>
        <v>6.0606060606060608E-2</v>
      </c>
      <c r="J58" s="1024">
        <f>VLOOKUP(A58,'2122 Band Moderations'!$B$5:$S$22,18,(FALSE))</f>
        <v>1.0101010101010102E-2</v>
      </c>
      <c r="K58" s="451">
        <v>88</v>
      </c>
      <c r="L58" s="1025">
        <f t="shared" si="8"/>
        <v>5750.4016259377322</v>
      </c>
      <c r="M58" s="1025">
        <f t="shared" si="11"/>
        <v>0</v>
      </c>
      <c r="N58" s="1025">
        <f t="shared" si="9"/>
        <v>5750.4016259377322</v>
      </c>
      <c r="O58" s="235"/>
      <c r="P58" s="235"/>
      <c r="Q58" s="235"/>
      <c r="R58" s="235">
        <f t="shared" si="10"/>
        <v>188.44921994550748</v>
      </c>
      <c r="S58" s="269"/>
      <c r="T58" s="36"/>
    </row>
    <row r="59" spans="1:20" s="29" customFormat="1" x14ac:dyDescent="0.25">
      <c r="A59" s="244">
        <v>9257002</v>
      </c>
      <c r="B59" s="237" t="s">
        <v>213</v>
      </c>
      <c r="C59" s="365">
        <v>5</v>
      </c>
      <c r="D59" s="1024">
        <f>VLOOKUP(A59,'2122 Band Moderations'!$B$5:$S$22,6,(FALSE))</f>
        <v>0.3546099290780142</v>
      </c>
      <c r="E59" s="1024">
        <f>VLOOKUP(A59,'2122 Band Moderations'!$B$5:$S$22,8,(FALSE))</f>
        <v>0.38297872340425532</v>
      </c>
      <c r="F59" s="1024">
        <f>VLOOKUP(A59,'2122 Band Moderations'!$B$5:$S$22,10,(FALSE))</f>
        <v>0.1276595744680851</v>
      </c>
      <c r="G59" s="1024">
        <f>VLOOKUP(A59,'2122 Band Moderations'!$B$5:$S$22,12,(FALSE))</f>
        <v>2.8368794326241134E-2</v>
      </c>
      <c r="H59" s="1024">
        <f>VLOOKUP(A59,'2122 Band Moderations'!$B$5:$S$22,14,(FALSE))</f>
        <v>2.1276595744680851E-2</v>
      </c>
      <c r="I59" s="1024">
        <f>VLOOKUP(A59,'2122 Band Moderations'!$B$5:$S$22,16,(FALSE))</f>
        <v>7.8014184397163122E-2</v>
      </c>
      <c r="J59" s="1024">
        <f>VLOOKUP(A59,'2122 Band Moderations'!$B$5:$S$22,18,(FALSE))</f>
        <v>7.0921985815602835E-3</v>
      </c>
      <c r="K59" s="451">
        <v>151</v>
      </c>
      <c r="L59" s="1025">
        <f t="shared" si="8"/>
        <v>9583.4575087845351</v>
      </c>
      <c r="M59" s="1025">
        <f t="shared" si="11"/>
        <v>0</v>
      </c>
      <c r="N59" s="1025">
        <f t="shared" si="9"/>
        <v>9583.4575087845351</v>
      </c>
      <c r="O59" s="235"/>
      <c r="P59" s="235"/>
      <c r="Q59" s="235"/>
      <c r="R59" s="235">
        <f t="shared" si="10"/>
        <v>227.04121445562464</v>
      </c>
      <c r="S59" s="269"/>
      <c r="T59" s="36"/>
    </row>
    <row r="60" spans="1:20" s="29" customFormat="1" x14ac:dyDescent="0.25">
      <c r="A60" s="244">
        <v>9257009</v>
      </c>
      <c r="B60" s="237" t="s">
        <v>214</v>
      </c>
      <c r="C60" s="365" t="s">
        <v>1178</v>
      </c>
      <c r="D60" s="1024">
        <f>VLOOKUP(A60,'2122 Band Moderations'!$B$5:$S$22,6,(FALSE))</f>
        <v>0.23200000000000001</v>
      </c>
      <c r="E60" s="1024">
        <f>VLOOKUP(A60,'2122 Band Moderations'!$B$5:$S$22,8,(FALSE))</f>
        <v>0.57599999999999996</v>
      </c>
      <c r="F60" s="1024">
        <f>VLOOKUP(A60,'2122 Band Moderations'!$B$5:$S$22,10,(FALSE))</f>
        <v>0.08</v>
      </c>
      <c r="G60" s="1024">
        <f>VLOOKUP(A60,'2122 Band Moderations'!$B$5:$S$22,12,(FALSE))</f>
        <v>2.4E-2</v>
      </c>
      <c r="H60" s="1024">
        <f>VLOOKUP(A60,'2122 Band Moderations'!$B$5:$S$22,14,(FALSE))</f>
        <v>8.0000000000000002E-3</v>
      </c>
      <c r="I60" s="1024">
        <f>VLOOKUP(A60,'2122 Band Moderations'!$B$5:$S$22,16,(FALSE))</f>
        <v>0.08</v>
      </c>
      <c r="J60" s="1024">
        <f>VLOOKUP(A60,'2122 Band Moderations'!$B$5:$S$22,18,(FALSE))</f>
        <v>0</v>
      </c>
      <c r="K60" s="451">
        <v>136</v>
      </c>
      <c r="L60" s="1025">
        <f t="shared" si="8"/>
        <v>7802.73425609897</v>
      </c>
      <c r="M60" s="1025">
        <f t="shared" si="11"/>
        <v>0</v>
      </c>
      <c r="N60" s="1025">
        <f t="shared" si="9"/>
        <v>7802.73425609897</v>
      </c>
      <c r="O60" s="235"/>
      <c r="P60" s="235"/>
      <c r="Q60" s="235"/>
      <c r="R60" s="235">
        <f t="shared" si="10"/>
        <v>0</v>
      </c>
      <c r="S60" s="269"/>
      <c r="T60" s="36"/>
    </row>
    <row r="61" spans="1:20" s="29" customFormat="1" x14ac:dyDescent="0.25">
      <c r="A61" s="244">
        <v>9257029</v>
      </c>
      <c r="B61" s="237" t="s">
        <v>890</v>
      </c>
      <c r="C61" s="365" t="s">
        <v>1179</v>
      </c>
      <c r="D61" s="1024">
        <f>VLOOKUP(A61,'2122 Band Moderations'!$B$5:$S$22,6,(FALSE))</f>
        <v>0</v>
      </c>
      <c r="E61" s="1024">
        <f>VLOOKUP(A61,'2122 Band Moderations'!$B$5:$S$22,8,(FALSE))</f>
        <v>0</v>
      </c>
      <c r="F61" s="1024">
        <f>VLOOKUP(A61,'2122 Band Moderations'!$B$5:$S$22,10,(FALSE))</f>
        <v>1</v>
      </c>
      <c r="G61" s="1024">
        <f>VLOOKUP(A61,'2122 Band Moderations'!$B$5:$S$22,12,(FALSE))</f>
        <v>0</v>
      </c>
      <c r="H61" s="1024">
        <f>VLOOKUP(A61,'2122 Band Moderations'!$B$5:$S$22,14,(FALSE))</f>
        <v>0</v>
      </c>
      <c r="I61" s="1024">
        <f>VLOOKUP(A61,'2122 Band Moderations'!$B$5:$S$22,16,(FALSE))</f>
        <v>0</v>
      </c>
      <c r="J61" s="1024">
        <f>VLOOKUP(A61,'2122 Band Moderations'!$B$5:$S$22,18,(FALSE))</f>
        <v>0</v>
      </c>
      <c r="K61" s="451">
        <v>78</v>
      </c>
      <c r="L61" s="1025">
        <f t="shared" si="8"/>
        <v>9616.9718941047795</v>
      </c>
      <c r="M61" s="1025">
        <f t="shared" si="11"/>
        <v>0</v>
      </c>
      <c r="N61" s="1025">
        <f t="shared" si="9"/>
        <v>9616.9718941047795</v>
      </c>
      <c r="O61" s="235"/>
      <c r="P61" s="235"/>
      <c r="Q61" s="235"/>
      <c r="R61" s="235">
        <f t="shared" si="10"/>
        <v>0</v>
      </c>
      <c r="S61" s="269"/>
      <c r="T61" s="36"/>
    </row>
    <row r="62" spans="1:20" s="29" customFormat="1" x14ac:dyDescent="0.25">
      <c r="A62" s="244">
        <v>9257032</v>
      </c>
      <c r="B62" s="237" t="s">
        <v>1043</v>
      </c>
      <c r="C62" s="365" t="s">
        <v>1179</v>
      </c>
      <c r="D62" s="1024">
        <f>VLOOKUP(A62,'2122 Band Moderations'!$B$5:$S$22,6,(FALSE))</f>
        <v>0</v>
      </c>
      <c r="E62" s="1024">
        <f>VLOOKUP(A62,'2122 Band Moderations'!$B$5:$S$22,8,(FALSE))</f>
        <v>0</v>
      </c>
      <c r="F62" s="1024">
        <f>VLOOKUP(A62,'2122 Band Moderations'!$B$5:$S$22,10,(FALSE))</f>
        <v>1</v>
      </c>
      <c r="G62" s="1024">
        <f>VLOOKUP(A62,'2122 Band Moderations'!$B$5:$S$22,12,(FALSE))</f>
        <v>0</v>
      </c>
      <c r="H62" s="1024">
        <f>VLOOKUP(A62,'2122 Band Moderations'!$B$5:$S$22,14,(FALSE))</f>
        <v>0</v>
      </c>
      <c r="I62" s="1024">
        <f>VLOOKUP(A62,'2122 Band Moderations'!$B$5:$S$22,16,(FALSE))</f>
        <v>0</v>
      </c>
      <c r="J62" s="1024">
        <f>VLOOKUP(A62,'2122 Band Moderations'!$B$5:$S$22,18,(FALSE))</f>
        <v>0</v>
      </c>
      <c r="K62" s="451">
        <v>104</v>
      </c>
      <c r="L62" s="1025">
        <f t="shared" si="8"/>
        <v>12822.629192139706</v>
      </c>
      <c r="M62" s="1025">
        <f t="shared" si="11"/>
        <v>0</v>
      </c>
      <c r="N62" s="1025">
        <f t="shared" si="9"/>
        <v>12822.629192139706</v>
      </c>
      <c r="O62" s="235"/>
      <c r="P62" s="235"/>
      <c r="Q62" s="235"/>
      <c r="R62" s="235">
        <f t="shared" si="10"/>
        <v>0</v>
      </c>
      <c r="S62" s="269"/>
      <c r="T62" s="36"/>
    </row>
    <row r="63" spans="1:20" s="29" customFormat="1" x14ac:dyDescent="0.25">
      <c r="A63" s="244">
        <v>9257030</v>
      </c>
      <c r="B63" s="237" t="s">
        <v>1046</v>
      </c>
      <c r="C63" s="365" t="s">
        <v>1179</v>
      </c>
      <c r="D63" s="1024">
        <f>VLOOKUP(A63,'2122 Band Moderations'!$B$5:$S$22,6,(FALSE))</f>
        <v>0</v>
      </c>
      <c r="E63" s="1024">
        <f>VLOOKUP(A63,'2122 Band Moderations'!$B$5:$S$22,8,(FALSE))</f>
        <v>0</v>
      </c>
      <c r="F63" s="1024">
        <f>VLOOKUP(A63,'2122 Band Moderations'!$B$5:$S$22,10,(FALSE))</f>
        <v>1</v>
      </c>
      <c r="G63" s="1024">
        <f>VLOOKUP(A63,'2122 Band Moderations'!$B$5:$S$22,12,(FALSE))</f>
        <v>0</v>
      </c>
      <c r="H63" s="1024">
        <f>VLOOKUP(A63,'2122 Band Moderations'!$B$5:$S$22,14,(FALSE))</f>
        <v>0</v>
      </c>
      <c r="I63" s="1024">
        <f>VLOOKUP(A63,'2122 Band Moderations'!$B$5:$S$22,16,(FALSE))</f>
        <v>0</v>
      </c>
      <c r="J63" s="1024">
        <f>VLOOKUP(A63,'2122 Band Moderations'!$B$5:$S$22,18,(FALSE))</f>
        <v>0</v>
      </c>
      <c r="K63" s="451">
        <v>72</v>
      </c>
      <c r="L63" s="1025">
        <f t="shared" si="8"/>
        <v>8877.2048253274879</v>
      </c>
      <c r="M63" s="1025">
        <f t="shared" si="11"/>
        <v>0</v>
      </c>
      <c r="N63" s="1025">
        <f t="shared" si="9"/>
        <v>8877.2048253274879</v>
      </c>
      <c r="O63" s="235"/>
      <c r="P63" s="235"/>
      <c r="Q63" s="235"/>
      <c r="R63" s="235">
        <f t="shared" si="10"/>
        <v>0</v>
      </c>
      <c r="S63" s="269"/>
      <c r="T63" s="36"/>
    </row>
    <row r="64" spans="1:20" s="29" customFormat="1" x14ac:dyDescent="0.25">
      <c r="A64" s="244">
        <v>9257028</v>
      </c>
      <c r="B64" s="237" t="s">
        <v>215</v>
      </c>
      <c r="C64" s="365">
        <v>5</v>
      </c>
      <c r="D64" s="1024">
        <f>VLOOKUP(A64,'2122 Band Moderations'!$B$5:$S$22,6,(FALSE))</f>
        <v>8.9108910891089105E-2</v>
      </c>
      <c r="E64" s="1024">
        <f>VLOOKUP(A64,'2122 Band Moderations'!$B$5:$S$22,8,(FALSE))</f>
        <v>0.40594059405940597</v>
      </c>
      <c r="F64" s="1024">
        <f>VLOOKUP(A64,'2122 Band Moderations'!$B$5:$S$22,10,(FALSE))</f>
        <v>7.9207920792079209E-2</v>
      </c>
      <c r="G64" s="1024">
        <f>VLOOKUP(A64,'2122 Band Moderations'!$B$5:$S$22,12,(FALSE))</f>
        <v>8.9108910891089105E-2</v>
      </c>
      <c r="H64" s="1024">
        <f>VLOOKUP(A64,'2122 Band Moderations'!$B$5:$S$22,14,(FALSE))</f>
        <v>0.12871287128712872</v>
      </c>
      <c r="I64" s="1024">
        <f>VLOOKUP(A64,'2122 Band Moderations'!$B$5:$S$22,16,(FALSE))</f>
        <v>9.9009900990099015E-2</v>
      </c>
      <c r="J64" s="1024">
        <f>VLOOKUP(A64,'2122 Band Moderations'!$B$5:$S$22,18,(FALSE))</f>
        <v>0.10891089108910891</v>
      </c>
      <c r="K64" s="451">
        <v>117</v>
      </c>
      <c r="L64" s="1025">
        <f t="shared" si="8"/>
        <v>11667.812881420479</v>
      </c>
      <c r="M64" s="1025">
        <f t="shared" si="11"/>
        <v>0</v>
      </c>
      <c r="N64" s="1025">
        <f t="shared" si="9"/>
        <v>11667.812881420479</v>
      </c>
      <c r="O64" s="235"/>
      <c r="P64" s="235"/>
      <c r="Q64" s="235"/>
      <c r="R64" s="235">
        <f t="shared" si="10"/>
        <v>2701.4942012732831</v>
      </c>
      <c r="S64" s="269"/>
      <c r="T64" s="36"/>
    </row>
    <row r="65" spans="1:23" s="29" customFormat="1" x14ac:dyDescent="0.25">
      <c r="A65" s="244">
        <v>9257021</v>
      </c>
      <c r="B65" s="237" t="s">
        <v>216</v>
      </c>
      <c r="C65" s="365" t="s">
        <v>1180</v>
      </c>
      <c r="D65" s="1024">
        <f>VLOOKUP(A65,'2122 Band Moderations'!$B$5:$S$22,6,(FALSE))</f>
        <v>0.26829268292682928</v>
      </c>
      <c r="E65" s="1024">
        <f>VLOOKUP(A65,'2122 Band Moderations'!$B$5:$S$22,8,(FALSE))</f>
        <v>0.42682926829268292</v>
      </c>
      <c r="F65" s="1024">
        <f>VLOOKUP(A65,'2122 Band Moderations'!$B$5:$S$22,10,(FALSE))</f>
        <v>7.926829268292683E-2</v>
      </c>
      <c r="G65" s="1024">
        <f>VLOOKUP(A65,'2122 Band Moderations'!$B$5:$S$22,12,(FALSE))</f>
        <v>6.7073170731707321E-2</v>
      </c>
      <c r="H65" s="1024">
        <f>VLOOKUP(A65,'2122 Band Moderations'!$B$5:$S$22,14,(FALSE))</f>
        <v>5.4878048780487805E-2</v>
      </c>
      <c r="I65" s="1024">
        <f>VLOOKUP(A65,'2122 Band Moderations'!$B$5:$S$22,16,(FALSE))</f>
        <v>9.1463414634146339E-2</v>
      </c>
      <c r="J65" s="1024">
        <f>VLOOKUP(A65,'2122 Band Moderations'!$B$5:$S$22,18,(FALSE))</f>
        <v>1.2195121951219513E-2</v>
      </c>
      <c r="K65" s="451">
        <v>169</v>
      </c>
      <c r="L65" s="1025">
        <f t="shared" si="8"/>
        <v>11899.986153107629</v>
      </c>
      <c r="M65" s="1025">
        <f t="shared" si="11"/>
        <v>0</v>
      </c>
      <c r="N65" s="1025">
        <f t="shared" si="9"/>
        <v>11899.986153107629</v>
      </c>
      <c r="O65" s="235"/>
      <c r="P65" s="235"/>
      <c r="Q65" s="235"/>
      <c r="R65" s="235">
        <f t="shared" si="10"/>
        <v>436.93790173340989</v>
      </c>
      <c r="S65" s="269"/>
      <c r="T65" s="36"/>
      <c r="U65" s="36"/>
      <c r="V65" s="36"/>
      <c r="W65" s="36"/>
    </row>
    <row r="66" spans="1:23" s="29" customFormat="1" x14ac:dyDescent="0.25">
      <c r="A66" s="244">
        <v>9257015</v>
      </c>
      <c r="B66" s="237" t="s">
        <v>217</v>
      </c>
      <c r="C66" s="365" t="s">
        <v>1181</v>
      </c>
      <c r="D66" s="1024">
        <f>VLOOKUP(A66,'2122 Band Moderations'!$B$5:$S$22,6,(FALSE))</f>
        <v>0.33185840707964603</v>
      </c>
      <c r="E66" s="1024">
        <f>VLOOKUP(A66,'2122 Band Moderations'!$B$5:$S$22,8,(FALSE))</f>
        <v>0.38495575221238937</v>
      </c>
      <c r="F66" s="1024">
        <f>VLOOKUP(A66,'2122 Band Moderations'!$B$5:$S$22,10,(FALSE))</f>
        <v>1.7699115044247787E-2</v>
      </c>
      <c r="G66" s="1024">
        <f>VLOOKUP(A66,'2122 Band Moderations'!$B$5:$S$22,12,(FALSE))</f>
        <v>8.8495575221238937E-2</v>
      </c>
      <c r="H66" s="1024">
        <f>VLOOKUP(A66,'2122 Band Moderations'!$B$5:$S$22,14,(FALSE))</f>
        <v>2.2123893805309734E-2</v>
      </c>
      <c r="I66" s="1024">
        <f>VLOOKUP(A66,'2122 Band Moderations'!$B$5:$S$22,16,(FALSE))</f>
        <v>0.1415929203539823</v>
      </c>
      <c r="J66" s="1024">
        <f>VLOOKUP(A66,'2122 Band Moderations'!$B$5:$S$22,18,(FALSE))</f>
        <v>1.3274336283185841E-2</v>
      </c>
      <c r="K66" s="451">
        <v>223</v>
      </c>
      <c r="L66" s="1025">
        <f t="shared" si="8"/>
        <v>15304.242318336839</v>
      </c>
      <c r="M66" s="1025">
        <f t="shared" si="11"/>
        <v>0</v>
      </c>
      <c r="N66" s="1025">
        <f t="shared" si="9"/>
        <v>15304.242318336839</v>
      </c>
      <c r="O66" s="235"/>
      <c r="P66" s="235"/>
      <c r="Q66" s="235"/>
      <c r="R66" s="235">
        <f t="shared" si="10"/>
        <v>627.57342549330781</v>
      </c>
      <c r="S66" s="269"/>
      <c r="T66" s="36"/>
      <c r="U66" s="36"/>
      <c r="V66" s="36"/>
      <c r="W66" s="36"/>
    </row>
    <row r="67" spans="1:23" s="29" customFormat="1" x14ac:dyDescent="0.25">
      <c r="A67" s="244">
        <v>9257016</v>
      </c>
      <c r="B67" s="237" t="s">
        <v>219</v>
      </c>
      <c r="C67" s="365" t="s">
        <v>1181</v>
      </c>
      <c r="D67" s="1024">
        <f>VLOOKUP(A67,'2122 Band Moderations'!$B$5:$S$22,6,(FALSE))</f>
        <v>0.18012422360248448</v>
      </c>
      <c r="E67" s="1024">
        <f>VLOOKUP(A67,'2122 Band Moderations'!$B$5:$S$22,8,(FALSE))</f>
        <v>0.15527950310559005</v>
      </c>
      <c r="F67" s="1024">
        <f>VLOOKUP(A67,'2122 Band Moderations'!$B$5:$S$22,10,(FALSE))</f>
        <v>6.2111801242236021E-3</v>
      </c>
      <c r="G67" s="1024">
        <f>VLOOKUP(A67,'2122 Band Moderations'!$B$5:$S$22,12,(FALSE))</f>
        <v>0.2236024844720497</v>
      </c>
      <c r="H67" s="1024">
        <f>VLOOKUP(A67,'2122 Band Moderations'!$B$5:$S$22,14,(FALSE))</f>
        <v>0.21118012422360249</v>
      </c>
      <c r="I67" s="1024">
        <f>VLOOKUP(A67,'2122 Band Moderations'!$B$5:$S$22,16,(FALSE))</f>
        <v>1.2422360248447204E-2</v>
      </c>
      <c r="J67" s="1024">
        <f>VLOOKUP(A67,'2122 Band Moderations'!$B$5:$S$22,18,(FALSE))</f>
        <v>0.21118012422360249</v>
      </c>
      <c r="K67" s="451">
        <v>105</v>
      </c>
      <c r="L67" s="1025">
        <f t="shared" si="8"/>
        <v>13313.735725830351</v>
      </c>
      <c r="M67" s="1025">
        <f t="shared" si="11"/>
        <v>0</v>
      </c>
      <c r="N67" s="1025">
        <f t="shared" si="9"/>
        <v>13313.735725830351</v>
      </c>
      <c r="O67" s="235"/>
      <c r="P67" s="235"/>
      <c r="Q67" s="299" t="s">
        <v>207</v>
      </c>
      <c r="R67" s="235">
        <f t="shared" si="10"/>
        <v>4700.9886932058662</v>
      </c>
      <c r="S67" s="269"/>
      <c r="T67" s="36"/>
      <c r="U67" s="36"/>
      <c r="V67" s="36"/>
      <c r="W67" s="36"/>
    </row>
    <row r="68" spans="1:23" s="29" customFormat="1" x14ac:dyDescent="0.25">
      <c r="A68" s="36"/>
      <c r="B68" s="36"/>
      <c r="C68" s="36"/>
      <c r="D68" s="36"/>
      <c r="E68" s="36"/>
      <c r="F68" s="299" t="s">
        <v>207</v>
      </c>
      <c r="G68" s="36"/>
      <c r="H68" s="36"/>
      <c r="I68" s="36"/>
      <c r="J68" s="299" t="s">
        <v>207</v>
      </c>
      <c r="K68" s="234"/>
      <c r="L68" s="36"/>
      <c r="M68" s="36"/>
      <c r="N68" s="299" t="s">
        <v>207</v>
      </c>
      <c r="O68" s="36"/>
      <c r="P68" s="36"/>
      <c r="Q68" s="36"/>
      <c r="R68" s="36"/>
      <c r="S68" s="288"/>
      <c r="T68" s="36"/>
      <c r="U68" s="36"/>
      <c r="V68" s="36"/>
      <c r="W68" s="36"/>
    </row>
    <row r="69" spans="1:23" s="29" customFormat="1" ht="13" x14ac:dyDescent="0.3">
      <c r="A69" s="93" t="s">
        <v>1185</v>
      </c>
      <c r="B69" s="36"/>
      <c r="C69" s="36"/>
      <c r="D69" s="36"/>
      <c r="E69" s="36"/>
      <c r="F69" s="36"/>
      <c r="G69" s="36"/>
      <c r="H69" s="36"/>
      <c r="I69" s="36"/>
      <c r="J69" s="36"/>
      <c r="K69" s="234"/>
      <c r="L69" s="234"/>
      <c r="M69" s="36"/>
      <c r="N69" s="36"/>
      <c r="O69" s="36"/>
      <c r="P69" s="36"/>
      <c r="Q69" s="36"/>
      <c r="R69" s="36"/>
      <c r="S69" s="288"/>
      <c r="T69" s="36"/>
      <c r="U69" s="36"/>
      <c r="V69" s="36"/>
      <c r="W69" s="36"/>
    </row>
    <row r="70" spans="1:23" s="29" customFormat="1" x14ac:dyDescent="0.25">
      <c r="A70" s="36"/>
      <c r="B70" s="36"/>
      <c r="C70" s="36"/>
      <c r="D70" s="36"/>
      <c r="E70" s="36"/>
      <c r="F70" s="36"/>
      <c r="G70" s="36"/>
      <c r="H70" s="36"/>
      <c r="I70" s="36"/>
      <c r="J70" s="36"/>
      <c r="K70" s="234"/>
      <c r="L70" s="234"/>
      <c r="M70" s="36"/>
      <c r="N70" s="36"/>
      <c r="O70" s="1439"/>
      <c r="P70" s="1439"/>
      <c r="Q70" s="36"/>
      <c r="R70" s="36"/>
      <c r="S70" s="288"/>
      <c r="T70" s="36"/>
      <c r="U70" s="36"/>
      <c r="V70" s="36"/>
      <c r="W70" s="36"/>
    </row>
    <row r="71" spans="1:23" s="29" customFormat="1" ht="37.5" x14ac:dyDescent="0.25">
      <c r="A71" s="265" t="s">
        <v>182</v>
      </c>
      <c r="B71" s="237" t="s">
        <v>183</v>
      </c>
      <c r="C71" s="238" t="s">
        <v>184</v>
      </c>
      <c r="D71" s="234" t="s">
        <v>901</v>
      </c>
      <c r="E71" s="234" t="s">
        <v>902</v>
      </c>
      <c r="F71" s="234" t="s">
        <v>903</v>
      </c>
      <c r="G71" s="234" t="s">
        <v>904</v>
      </c>
      <c r="H71" s="234" t="s">
        <v>905</v>
      </c>
      <c r="I71" s="234" t="s">
        <v>906</v>
      </c>
      <c r="J71" s="234" t="s">
        <v>907</v>
      </c>
      <c r="K71" s="243" t="s">
        <v>264</v>
      </c>
      <c r="L71" s="243" t="s">
        <v>279</v>
      </c>
      <c r="M71" s="243" t="s">
        <v>280</v>
      </c>
      <c r="N71" s="243" t="s">
        <v>279</v>
      </c>
      <c r="O71" s="243"/>
      <c r="P71" s="243"/>
      <c r="Q71" s="243"/>
      <c r="R71" s="243"/>
      <c r="S71" s="276"/>
      <c r="T71" s="36"/>
      <c r="U71" s="36"/>
      <c r="V71" s="36"/>
      <c r="W71" s="36"/>
    </row>
    <row r="72" spans="1:23" s="29" customFormat="1" x14ac:dyDescent="0.25">
      <c r="A72" s="244">
        <v>9257010</v>
      </c>
      <c r="B72" s="237" t="s">
        <v>205</v>
      </c>
      <c r="C72" s="365">
        <v>5</v>
      </c>
      <c r="D72" s="1024">
        <f>VLOOKUP(A72,'2122 Band Moderations'!$B$5:$S$22,6,(FALSE))</f>
        <v>1.5873015873015872E-2</v>
      </c>
      <c r="E72" s="1024">
        <f>VLOOKUP(A72,'2122 Band Moderations'!$B$5:$S$22,8,(FALSE))</f>
        <v>0.31746031746031744</v>
      </c>
      <c r="F72" s="1024">
        <f>VLOOKUP(A72,'2122 Band Moderations'!$B$5:$S$22,10,(FALSE))</f>
        <v>9.5238095238095233E-2</v>
      </c>
      <c r="G72" s="1024">
        <f>VLOOKUP(A72,'2122 Band Moderations'!$B$5:$S$22,12,(FALSE))</f>
        <v>0.17460317460317459</v>
      </c>
      <c r="H72" s="1024">
        <f>VLOOKUP(A72,'2122 Band Moderations'!$B$5:$S$22,14,(FALSE))</f>
        <v>6.3492063492063489E-2</v>
      </c>
      <c r="I72" s="1024">
        <f>VLOOKUP(A72,'2122 Band Moderations'!$B$5:$S$22,16,(FALSE))</f>
        <v>0.19047619047619047</v>
      </c>
      <c r="J72" s="1024">
        <f>VLOOKUP(A72,'2122 Band Moderations'!$B$5:$S$22,18,(FALSE))</f>
        <v>0.14285714285714285</v>
      </c>
      <c r="K72" s="451">
        <v>10</v>
      </c>
      <c r="L72" s="1025">
        <f>((((K72*D72)*$G$92)+((K72*E72)*$G$94)+((K72*F72)*$G$96)+((K72*G72)*$G$98)+((K72*H72)*$G$100)+((K72*I72)*$G$102)+((K72*J72)*$G$104)))*(8/12)</f>
        <v>1353.2383157040504</v>
      </c>
      <c r="M72" s="1025">
        <f t="shared" ref="M72:M89" si="12">((F72*K72)*$G$106)*(8/12)</f>
        <v>0</v>
      </c>
      <c r="N72" s="1025">
        <f>SUM(L72:M72)</f>
        <v>1353.2383157040504</v>
      </c>
      <c r="O72" s="235"/>
      <c r="P72" s="235"/>
      <c r="Q72" s="235"/>
      <c r="R72" s="235">
        <f t="shared" ref="R72:R89" si="13">(J72*K72*$G$104)*8/12</f>
        <v>346.13122030807494</v>
      </c>
      <c r="S72" s="269"/>
      <c r="T72" s="280"/>
      <c r="U72" s="36"/>
      <c r="V72" s="297" t="s">
        <v>207</v>
      </c>
      <c r="W72" s="296" t="s">
        <v>282</v>
      </c>
    </row>
    <row r="73" spans="1:23" s="29" customFormat="1" x14ac:dyDescent="0.25">
      <c r="A73" s="244">
        <v>9257005</v>
      </c>
      <c r="B73" s="237" t="s">
        <v>208</v>
      </c>
      <c r="C73" s="365">
        <v>4</v>
      </c>
      <c r="D73" s="1024">
        <f>VLOOKUP(A73,'2122 Band Moderations'!$B$5:$S$22,6,(FALSE))</f>
        <v>0.05</v>
      </c>
      <c r="E73" s="1024">
        <f>VLOOKUP(A73,'2122 Band Moderations'!$B$5:$S$22,8,(FALSE))</f>
        <v>0.4</v>
      </c>
      <c r="F73" s="1024">
        <f>VLOOKUP(A73,'2122 Band Moderations'!$B$5:$S$22,10,(FALSE))</f>
        <v>6.25E-2</v>
      </c>
      <c r="G73" s="1024">
        <f>VLOOKUP(A73,'2122 Band Moderations'!$B$5:$S$22,12,(FALSE))</f>
        <v>0.15</v>
      </c>
      <c r="H73" s="1024">
        <f>VLOOKUP(A73,'2122 Band Moderations'!$B$5:$S$22,14,(FALSE))</f>
        <v>0.125</v>
      </c>
      <c r="I73" s="1024">
        <f>VLOOKUP(A73,'2122 Band Moderations'!$B$5:$S$22,16,(FALSE))</f>
        <v>0.15</v>
      </c>
      <c r="J73" s="1024">
        <f>VLOOKUP(A73,'2122 Band Moderations'!$B$5:$S$22,18,(FALSE))</f>
        <v>6.25E-2</v>
      </c>
      <c r="K73" s="451">
        <v>28</v>
      </c>
      <c r="L73" s="1025">
        <f t="shared" ref="L73:L89" si="14">((((K73*D73)*$G$92)+((K73*E73)*$G$94)+((K73*F73)*$G$96)+((K73*G73)*$G$98)+((K73*H73)*$G$100)+((K73*I73)*$G$102)+((K73*J73)*$G$104)))*(8/12)</f>
        <v>3265.264264588689</v>
      </c>
      <c r="M73" s="1025">
        <f t="shared" si="12"/>
        <v>0</v>
      </c>
      <c r="N73" s="1025">
        <f>SUM(L73:M73)</f>
        <v>3265.264264588689</v>
      </c>
      <c r="O73" s="235"/>
      <c r="P73" s="235"/>
      <c r="Q73" s="235"/>
      <c r="R73" s="235">
        <f t="shared" si="13"/>
        <v>424.0107448773918</v>
      </c>
      <c r="S73" s="269"/>
      <c r="T73" s="280"/>
      <c r="U73" s="36"/>
      <c r="V73" s="36"/>
      <c r="W73" s="36"/>
    </row>
    <row r="74" spans="1:23" s="29" customFormat="1" x14ac:dyDescent="0.25">
      <c r="A74" s="244">
        <v>9257025</v>
      </c>
      <c r="B74" s="237" t="s">
        <v>209</v>
      </c>
      <c r="C74" s="365">
        <v>4</v>
      </c>
      <c r="D74" s="1024">
        <f>VLOOKUP(A74,'2122 Band Moderations'!$B$5:$S$22,6,(FALSE))</f>
        <v>0.15584415584415584</v>
      </c>
      <c r="E74" s="1024">
        <f>VLOOKUP(A74,'2122 Band Moderations'!$B$5:$S$22,8,(FALSE))</f>
        <v>0.40259740259740262</v>
      </c>
      <c r="F74" s="1024">
        <f>VLOOKUP(A74,'2122 Band Moderations'!$B$5:$S$22,10,(FALSE))</f>
        <v>3.896103896103896E-2</v>
      </c>
      <c r="G74" s="1024">
        <f>VLOOKUP(A74,'2122 Band Moderations'!$B$5:$S$22,12,(FALSE))</f>
        <v>0.15584415584415584</v>
      </c>
      <c r="H74" s="1024">
        <f>VLOOKUP(A74,'2122 Band Moderations'!$B$5:$S$22,14,(FALSE))</f>
        <v>5.1948051948051951E-2</v>
      </c>
      <c r="I74" s="1024">
        <f>VLOOKUP(A74,'2122 Band Moderations'!$B$5:$S$22,16,(FALSE))</f>
        <v>0.14285714285714285</v>
      </c>
      <c r="J74" s="1024">
        <f>VLOOKUP(A74,'2122 Band Moderations'!$B$5:$S$22,18,(FALSE))</f>
        <v>5.1948051948051951E-2</v>
      </c>
      <c r="K74" s="451">
        <v>24</v>
      </c>
      <c r="L74" s="1025">
        <f t="shared" si="14"/>
        <v>2449.2478793404489</v>
      </c>
      <c r="M74" s="1025">
        <f t="shared" si="12"/>
        <v>0</v>
      </c>
      <c r="N74" s="1025">
        <f t="shared" ref="N74:N89" si="15">SUM(L74:M74)</f>
        <v>2449.2478793404489</v>
      </c>
      <c r="O74" s="235"/>
      <c r="P74" s="235"/>
      <c r="Q74" s="235"/>
      <c r="R74" s="235">
        <f t="shared" si="13"/>
        <v>302.07815590522904</v>
      </c>
      <c r="S74" s="269"/>
      <c r="T74" s="280"/>
      <c r="U74" s="36"/>
      <c r="V74" s="36"/>
      <c r="W74" s="36"/>
    </row>
    <row r="75" spans="1:23" s="29" customFormat="1" x14ac:dyDescent="0.25">
      <c r="A75" s="244">
        <v>9257011</v>
      </c>
      <c r="B75" s="237" t="s">
        <v>210</v>
      </c>
      <c r="C75" s="365" t="s">
        <v>1251</v>
      </c>
      <c r="D75" s="1024">
        <f>VLOOKUP(A75,'2122 Band Moderations'!$B$5:$S$22,6,(FALSE))</f>
        <v>5.6603773584905662E-2</v>
      </c>
      <c r="E75" s="1024">
        <f>VLOOKUP(A75,'2122 Band Moderations'!$B$5:$S$22,8,(FALSE))</f>
        <v>0.35849056603773582</v>
      </c>
      <c r="F75" s="1024">
        <f>VLOOKUP(A75,'2122 Band Moderations'!$B$5:$S$22,10,(FALSE))</f>
        <v>1.8867924528301886E-2</v>
      </c>
      <c r="G75" s="1024">
        <f>VLOOKUP(A75,'2122 Band Moderations'!$B$5:$S$22,12,(FALSE))</f>
        <v>0.16981132075471697</v>
      </c>
      <c r="H75" s="1024">
        <f>VLOOKUP(A75,'2122 Band Moderations'!$B$5:$S$22,14,(FALSE))</f>
        <v>0.13207547169811321</v>
      </c>
      <c r="I75" s="1024">
        <f>VLOOKUP(A75,'2122 Band Moderations'!$B$5:$S$22,16,(FALSE))</f>
        <v>0.15094339622641509</v>
      </c>
      <c r="J75" s="1024">
        <f>VLOOKUP(A75,'2122 Band Moderations'!$B$5:$S$22,18,(FALSE))</f>
        <v>0.11320754716981132</v>
      </c>
      <c r="K75" s="451">
        <v>8</v>
      </c>
      <c r="L75" s="1025">
        <f t="shared" si="14"/>
        <v>1007.5737106354838</v>
      </c>
      <c r="M75" s="1025">
        <f t="shared" si="12"/>
        <v>0</v>
      </c>
      <c r="N75" s="1025">
        <f t="shared" si="15"/>
        <v>1007.5737106354838</v>
      </c>
      <c r="O75" s="235"/>
      <c r="P75" s="235"/>
      <c r="Q75" s="235"/>
      <c r="R75" s="235">
        <f t="shared" si="13"/>
        <v>219.43413211983622</v>
      </c>
      <c r="S75" s="269"/>
      <c r="T75" s="280"/>
      <c r="U75" s="36"/>
      <c r="V75" s="36"/>
      <c r="W75" s="36"/>
    </row>
    <row r="76" spans="1:23" s="29" customFormat="1" x14ac:dyDescent="0.25">
      <c r="A76" s="244">
        <v>9257024</v>
      </c>
      <c r="B76" s="237" t="s">
        <v>211</v>
      </c>
      <c r="C76" s="365">
        <v>4</v>
      </c>
      <c r="D76" s="1024">
        <f>VLOOKUP(A76,'2122 Band Moderations'!$B$5:$S$22,6,(FALSE))</f>
        <v>8.4337349397590355E-2</v>
      </c>
      <c r="E76" s="1024">
        <f>VLOOKUP(A76,'2122 Band Moderations'!$B$5:$S$22,8,(FALSE))</f>
        <v>0.45783132530120479</v>
      </c>
      <c r="F76" s="1024">
        <f>VLOOKUP(A76,'2122 Band Moderations'!$B$5:$S$22,10,(FALSE))</f>
        <v>1.2048192771084338E-2</v>
      </c>
      <c r="G76" s="1024">
        <f>VLOOKUP(A76,'2122 Band Moderations'!$B$5:$S$22,12,(FALSE))</f>
        <v>0.18072289156626506</v>
      </c>
      <c r="H76" s="1024">
        <f>VLOOKUP(A76,'2122 Band Moderations'!$B$5:$S$22,14,(FALSE))</f>
        <v>8.4337349397590355E-2</v>
      </c>
      <c r="I76" s="1024">
        <f>VLOOKUP(A76,'2122 Band Moderations'!$B$5:$S$22,16,(FALSE))</f>
        <v>7.2289156626506021E-2</v>
      </c>
      <c r="J76" s="1024">
        <f>VLOOKUP(A76,'2122 Band Moderations'!$B$5:$S$22,18,(FALSE))</f>
        <v>0.10843373493975904</v>
      </c>
      <c r="K76" s="451">
        <v>13</v>
      </c>
      <c r="L76" s="1025">
        <f t="shared" si="14"/>
        <v>1440.135998374863</v>
      </c>
      <c r="M76" s="1025">
        <f t="shared" si="12"/>
        <v>0</v>
      </c>
      <c r="N76" s="1025">
        <f t="shared" si="15"/>
        <v>1440.135998374863</v>
      </c>
      <c r="O76" s="235"/>
      <c r="P76" s="235"/>
      <c r="Q76" s="235"/>
      <c r="R76" s="235">
        <f t="shared" si="13"/>
        <v>341.54393907507637</v>
      </c>
      <c r="S76" s="269"/>
      <c r="T76" s="280"/>
      <c r="U76" s="36"/>
      <c r="V76" s="36"/>
      <c r="W76" s="36"/>
    </row>
    <row r="77" spans="1:23" s="29" customFormat="1" x14ac:dyDescent="0.25">
      <c r="A77" s="244">
        <v>9257031</v>
      </c>
      <c r="B77" s="237" t="s">
        <v>257</v>
      </c>
      <c r="C77" s="365">
        <v>5</v>
      </c>
      <c r="D77" s="1024">
        <f>VLOOKUP(A77,'2122 Band Moderations'!$B$5:$S$22,6,(FALSE))</f>
        <v>0</v>
      </c>
      <c r="E77" s="1024">
        <f>VLOOKUP(A77,'2122 Band Moderations'!$B$5:$S$22,8,(FALSE))</f>
        <v>0</v>
      </c>
      <c r="F77" s="1024">
        <f>VLOOKUP(A77,'2122 Band Moderations'!$B$5:$S$22,10,(FALSE))</f>
        <v>1</v>
      </c>
      <c r="G77" s="1024">
        <f>VLOOKUP(A77,'2122 Band Moderations'!$B$5:$S$22,12,(FALSE))</f>
        <v>0</v>
      </c>
      <c r="H77" s="1024">
        <f>VLOOKUP(A77,'2122 Band Moderations'!$B$5:$S$22,14,(FALSE))</f>
        <v>0</v>
      </c>
      <c r="I77" s="1024">
        <f>VLOOKUP(A77,'2122 Band Moderations'!$B$5:$S$22,16,(FALSE))</f>
        <v>0</v>
      </c>
      <c r="J77" s="1024">
        <f>VLOOKUP(A77,'2122 Band Moderations'!$B$5:$S$22,18,(FALSE))</f>
        <v>0</v>
      </c>
      <c r="K77" s="451">
        <v>0</v>
      </c>
      <c r="L77" s="1025">
        <f t="shared" si="14"/>
        <v>0</v>
      </c>
      <c r="M77" s="1025">
        <f t="shared" si="12"/>
        <v>0</v>
      </c>
      <c r="N77" s="1025">
        <f t="shared" si="15"/>
        <v>0</v>
      </c>
      <c r="O77" s="235"/>
      <c r="P77" s="235"/>
      <c r="Q77" s="235"/>
      <c r="R77" s="235">
        <f t="shared" si="13"/>
        <v>0</v>
      </c>
      <c r="S77" s="269"/>
      <c r="T77" s="280"/>
      <c r="U77" s="36"/>
      <c r="V77" s="36"/>
      <c r="W77" s="36"/>
    </row>
    <row r="78" spans="1:23" s="29" customFormat="1" x14ac:dyDescent="0.25">
      <c r="A78" s="244">
        <v>9257033</v>
      </c>
      <c r="B78" s="237" t="s">
        <v>220</v>
      </c>
      <c r="C78" s="365" t="s">
        <v>1178</v>
      </c>
      <c r="D78" s="1024">
        <f>VLOOKUP(A78,'2122 Band Moderations'!$B$5:$S$22,6,(FALSE))</f>
        <v>0.16842105263157894</v>
      </c>
      <c r="E78" s="1024">
        <f>VLOOKUP(A78,'2122 Band Moderations'!$B$5:$S$22,8,(FALSE))</f>
        <v>0.5368421052631579</v>
      </c>
      <c r="F78" s="1024">
        <f>VLOOKUP(A78,'2122 Band Moderations'!$B$5:$S$22,10,(FALSE))</f>
        <v>6.3157894736842107E-2</v>
      </c>
      <c r="G78" s="1024">
        <f>VLOOKUP(A78,'2122 Band Moderations'!$B$5:$S$22,12,(FALSE))</f>
        <v>0.14736842105263157</v>
      </c>
      <c r="H78" s="1024">
        <f>VLOOKUP(A78,'2122 Band Moderations'!$B$5:$S$22,14,(FALSE))</f>
        <v>4.2105263157894736E-2</v>
      </c>
      <c r="I78" s="1024">
        <f>VLOOKUP(A78,'2122 Band Moderations'!$B$5:$S$22,16,(FALSE))</f>
        <v>4.2105263157894736E-2</v>
      </c>
      <c r="J78" s="1024">
        <f>VLOOKUP(A78,'2122 Band Moderations'!$B$5:$S$22,18,(FALSE))</f>
        <v>0</v>
      </c>
      <c r="K78" s="451">
        <v>0</v>
      </c>
      <c r="L78" s="1025">
        <f t="shared" si="14"/>
        <v>0</v>
      </c>
      <c r="M78" s="1025">
        <f t="shared" si="12"/>
        <v>0</v>
      </c>
      <c r="N78" s="1025">
        <f t="shared" si="15"/>
        <v>0</v>
      </c>
      <c r="O78" s="235"/>
      <c r="P78" s="235"/>
      <c r="Q78" s="235"/>
      <c r="R78" s="235">
        <f t="shared" si="13"/>
        <v>0</v>
      </c>
      <c r="S78" s="269"/>
      <c r="T78" s="280"/>
      <c r="U78" s="36"/>
      <c r="V78" s="36"/>
      <c r="W78" s="36"/>
    </row>
    <row r="79" spans="1:23" s="29" customFormat="1" x14ac:dyDescent="0.25">
      <c r="A79" s="244">
        <v>9257008</v>
      </c>
      <c r="B79" s="237" t="s">
        <v>212</v>
      </c>
      <c r="C79" s="365">
        <v>4</v>
      </c>
      <c r="D79" s="1024">
        <f>VLOOKUP(A79,'2122 Band Moderations'!$B$5:$S$22,6,(FALSE))</f>
        <v>0.10101010101010101</v>
      </c>
      <c r="E79" s="1024">
        <f>VLOOKUP(A79,'2122 Band Moderations'!$B$5:$S$22,8,(FALSE))</f>
        <v>0.58585858585858586</v>
      </c>
      <c r="F79" s="1024">
        <f>VLOOKUP(A79,'2122 Band Moderations'!$B$5:$S$22,10,(FALSE))</f>
        <v>8.0808080808080815E-2</v>
      </c>
      <c r="G79" s="1024">
        <f>VLOOKUP(A79,'2122 Band Moderations'!$B$5:$S$22,12,(FALSE))</f>
        <v>9.0909090909090912E-2</v>
      </c>
      <c r="H79" s="1024">
        <f>VLOOKUP(A79,'2122 Band Moderations'!$B$5:$S$22,14,(FALSE))</f>
        <v>1.0101010101010102E-2</v>
      </c>
      <c r="I79" s="1024">
        <f>VLOOKUP(A79,'2122 Band Moderations'!$B$5:$S$22,16,(FALSE))</f>
        <v>0.12121212121212122</v>
      </c>
      <c r="J79" s="1024">
        <f>VLOOKUP(A79,'2122 Band Moderations'!$B$5:$S$22,18,(FALSE))</f>
        <v>1.0101010101010102E-2</v>
      </c>
      <c r="K79" s="451">
        <v>0</v>
      </c>
      <c r="L79" s="1025">
        <f t="shared" si="14"/>
        <v>0</v>
      </c>
      <c r="M79" s="1025">
        <f t="shared" si="12"/>
        <v>0</v>
      </c>
      <c r="N79" s="1025">
        <f t="shared" si="15"/>
        <v>0</v>
      </c>
      <c r="O79" s="235"/>
      <c r="P79" s="235"/>
      <c r="Q79" s="235"/>
      <c r="R79" s="235">
        <f t="shared" si="13"/>
        <v>0</v>
      </c>
      <c r="S79" s="269"/>
      <c r="T79" s="280"/>
      <c r="U79" s="36"/>
      <c r="V79" s="36"/>
      <c r="W79" s="36"/>
    </row>
    <row r="80" spans="1:23" s="29" customFormat="1" x14ac:dyDescent="0.25">
      <c r="A80" s="244">
        <v>9257034</v>
      </c>
      <c r="B80" s="237" t="s">
        <v>221</v>
      </c>
      <c r="C80" s="365" t="s">
        <v>1178</v>
      </c>
      <c r="D80" s="1024">
        <f>VLOOKUP(A80,'2122 Band Moderations'!$B$5:$S$22,6,(FALSE))</f>
        <v>0.42424242424242425</v>
      </c>
      <c r="E80" s="1024">
        <f>VLOOKUP(A80,'2122 Band Moderations'!$B$5:$S$22,8,(FALSE))</f>
        <v>0.29292929292929293</v>
      </c>
      <c r="F80" s="1024">
        <f>VLOOKUP(A80,'2122 Band Moderations'!$B$5:$S$22,10,(FALSE))</f>
        <v>0.14141414141414141</v>
      </c>
      <c r="G80" s="1024">
        <f>VLOOKUP(A80,'2122 Band Moderations'!$B$5:$S$22,12,(FALSE))</f>
        <v>3.0303030303030304E-2</v>
      </c>
      <c r="H80" s="1024">
        <f>VLOOKUP(A80,'2122 Band Moderations'!$B$5:$S$22,14,(FALSE))</f>
        <v>4.0404040404040407E-2</v>
      </c>
      <c r="I80" s="1024">
        <f>VLOOKUP(A80,'2122 Band Moderations'!$B$5:$S$22,16,(FALSE))</f>
        <v>6.0606060606060608E-2</v>
      </c>
      <c r="J80" s="1024">
        <f>VLOOKUP(A80,'2122 Band Moderations'!$B$5:$S$22,18,(FALSE))</f>
        <v>1.0101010101010102E-2</v>
      </c>
      <c r="K80" s="451">
        <v>32</v>
      </c>
      <c r="L80" s="1025">
        <f t="shared" si="14"/>
        <v>2389.7772990910057</v>
      </c>
      <c r="M80" s="1025">
        <f t="shared" si="12"/>
        <v>0</v>
      </c>
      <c r="N80" s="1025">
        <f t="shared" si="15"/>
        <v>2389.7772990910057</v>
      </c>
      <c r="O80" s="235"/>
      <c r="P80" s="235"/>
      <c r="Q80" s="235"/>
      <c r="R80" s="235">
        <f t="shared" si="13"/>
        <v>78.316558938392731</v>
      </c>
      <c r="S80" s="269"/>
      <c r="T80" s="280"/>
      <c r="U80" s="36"/>
      <c r="V80" s="36"/>
      <c r="W80" s="36"/>
    </row>
    <row r="81" spans="1:20" s="29" customFormat="1" x14ac:dyDescent="0.25">
      <c r="A81" s="244">
        <v>9257002</v>
      </c>
      <c r="B81" s="237" t="s">
        <v>213</v>
      </c>
      <c r="C81" s="365">
        <v>5</v>
      </c>
      <c r="D81" s="1024">
        <f>VLOOKUP(A81,'2122 Band Moderations'!$B$5:$S$22,6,(FALSE))</f>
        <v>0.3546099290780142</v>
      </c>
      <c r="E81" s="1024">
        <f>VLOOKUP(A81,'2122 Band Moderations'!$B$5:$S$22,8,(FALSE))</f>
        <v>0.38297872340425532</v>
      </c>
      <c r="F81" s="1024">
        <f>VLOOKUP(A81,'2122 Band Moderations'!$B$5:$S$22,10,(FALSE))</f>
        <v>0.1276595744680851</v>
      </c>
      <c r="G81" s="1024">
        <f>VLOOKUP(A81,'2122 Band Moderations'!$B$5:$S$22,12,(FALSE))</f>
        <v>2.8368794326241134E-2</v>
      </c>
      <c r="H81" s="1024">
        <f>VLOOKUP(A81,'2122 Band Moderations'!$B$5:$S$22,14,(FALSE))</f>
        <v>2.1276595744680851E-2</v>
      </c>
      <c r="I81" s="1024">
        <f>VLOOKUP(A81,'2122 Band Moderations'!$B$5:$S$22,16,(FALSE))</f>
        <v>7.8014184397163122E-2</v>
      </c>
      <c r="J81" s="1024">
        <f>VLOOKUP(A81,'2122 Band Moderations'!$B$5:$S$22,18,(FALSE))</f>
        <v>7.0921985815602835E-3</v>
      </c>
      <c r="K81" s="451">
        <v>0</v>
      </c>
      <c r="L81" s="1025">
        <f t="shared" si="14"/>
        <v>0</v>
      </c>
      <c r="M81" s="1025">
        <f t="shared" si="12"/>
        <v>0</v>
      </c>
      <c r="N81" s="1025">
        <f t="shared" si="15"/>
        <v>0</v>
      </c>
      <c r="O81" s="235"/>
      <c r="P81" s="235"/>
      <c r="Q81" s="235"/>
      <c r="R81" s="235">
        <f t="shared" si="13"/>
        <v>0</v>
      </c>
      <c r="S81" s="269"/>
      <c r="T81" s="280"/>
    </row>
    <row r="82" spans="1:20" s="29" customFormat="1" x14ac:dyDescent="0.25">
      <c r="A82" s="244">
        <v>9257009</v>
      </c>
      <c r="B82" s="237" t="s">
        <v>214</v>
      </c>
      <c r="C82" s="365" t="s">
        <v>1178</v>
      </c>
      <c r="D82" s="1024">
        <f>VLOOKUP(A82,'2122 Band Moderations'!$B$5:$S$22,6,(FALSE))</f>
        <v>0.23200000000000001</v>
      </c>
      <c r="E82" s="1024">
        <f>VLOOKUP(A82,'2122 Band Moderations'!$B$5:$S$22,8,(FALSE))</f>
        <v>0.57599999999999996</v>
      </c>
      <c r="F82" s="1024">
        <f>VLOOKUP(A82,'2122 Band Moderations'!$B$5:$S$22,10,(FALSE))</f>
        <v>0.08</v>
      </c>
      <c r="G82" s="1024">
        <f>VLOOKUP(A82,'2122 Band Moderations'!$B$5:$S$22,12,(FALSE))</f>
        <v>2.4E-2</v>
      </c>
      <c r="H82" s="1024">
        <f>VLOOKUP(A82,'2122 Band Moderations'!$B$5:$S$22,14,(FALSE))</f>
        <v>8.0000000000000002E-3</v>
      </c>
      <c r="I82" s="1024">
        <f>VLOOKUP(A82,'2122 Band Moderations'!$B$5:$S$22,16,(FALSE))</f>
        <v>0.08</v>
      </c>
      <c r="J82" s="1024">
        <f>VLOOKUP(A82,'2122 Band Moderations'!$B$5:$S$22,18,(FALSE))</f>
        <v>0</v>
      </c>
      <c r="K82" s="451">
        <v>0</v>
      </c>
      <c r="L82" s="1025">
        <f t="shared" si="14"/>
        <v>0</v>
      </c>
      <c r="M82" s="1025">
        <f t="shared" si="12"/>
        <v>0</v>
      </c>
      <c r="N82" s="1025">
        <f t="shared" si="15"/>
        <v>0</v>
      </c>
      <c r="O82" s="235"/>
      <c r="P82" s="235"/>
      <c r="Q82" s="235"/>
      <c r="R82" s="235">
        <f t="shared" si="13"/>
        <v>0</v>
      </c>
      <c r="S82" s="269"/>
      <c r="T82" s="280"/>
    </row>
    <row r="83" spans="1:20" s="29" customFormat="1" x14ac:dyDescent="0.25">
      <c r="A83" s="244">
        <v>9257029</v>
      </c>
      <c r="B83" s="237" t="s">
        <v>890</v>
      </c>
      <c r="C83" s="365" t="s">
        <v>1179</v>
      </c>
      <c r="D83" s="1024">
        <f>VLOOKUP(A83,'2122 Band Moderations'!$B$5:$S$22,6,(FALSE))</f>
        <v>0</v>
      </c>
      <c r="E83" s="1024">
        <f>VLOOKUP(A83,'2122 Band Moderations'!$B$5:$S$22,8,(FALSE))</f>
        <v>0</v>
      </c>
      <c r="F83" s="1024">
        <f>VLOOKUP(A83,'2122 Band Moderations'!$B$5:$S$22,10,(FALSE))</f>
        <v>1</v>
      </c>
      <c r="G83" s="1024">
        <f>VLOOKUP(A83,'2122 Band Moderations'!$B$5:$S$22,12,(FALSE))</f>
        <v>0</v>
      </c>
      <c r="H83" s="1024">
        <f>VLOOKUP(A83,'2122 Band Moderations'!$B$5:$S$22,14,(FALSE))</f>
        <v>0</v>
      </c>
      <c r="I83" s="1024">
        <f>VLOOKUP(A83,'2122 Band Moderations'!$B$5:$S$22,16,(FALSE))</f>
        <v>0</v>
      </c>
      <c r="J83" s="1024">
        <f>VLOOKUP(A83,'2122 Band Moderations'!$B$5:$S$22,18,(FALSE))</f>
        <v>0</v>
      </c>
      <c r="K83" s="451">
        <v>0</v>
      </c>
      <c r="L83" s="1025">
        <f t="shared" si="14"/>
        <v>0</v>
      </c>
      <c r="M83" s="1025">
        <f t="shared" si="12"/>
        <v>0</v>
      </c>
      <c r="N83" s="1025">
        <f t="shared" si="15"/>
        <v>0</v>
      </c>
      <c r="O83" s="235"/>
      <c r="P83" s="235"/>
      <c r="Q83" s="235"/>
      <c r="R83" s="235">
        <f t="shared" si="13"/>
        <v>0</v>
      </c>
      <c r="S83" s="269"/>
      <c r="T83" s="280"/>
    </row>
    <row r="84" spans="1:20" s="29" customFormat="1" x14ac:dyDescent="0.25">
      <c r="A84" s="244">
        <v>9257032</v>
      </c>
      <c r="B84" s="237" t="s">
        <v>1043</v>
      </c>
      <c r="C84" s="365" t="s">
        <v>1179</v>
      </c>
      <c r="D84" s="1024">
        <f>VLOOKUP(A84,'2122 Band Moderations'!$B$5:$S$22,6,(FALSE))</f>
        <v>0</v>
      </c>
      <c r="E84" s="1024">
        <f>VLOOKUP(A84,'2122 Band Moderations'!$B$5:$S$22,8,(FALSE))</f>
        <v>0</v>
      </c>
      <c r="F84" s="1024">
        <f>VLOOKUP(A84,'2122 Band Moderations'!$B$5:$S$22,10,(FALSE))</f>
        <v>1</v>
      </c>
      <c r="G84" s="1024">
        <f>VLOOKUP(A84,'2122 Band Moderations'!$B$5:$S$22,12,(FALSE))</f>
        <v>0</v>
      </c>
      <c r="H84" s="1024">
        <f>VLOOKUP(A84,'2122 Band Moderations'!$B$5:$S$22,14,(FALSE))</f>
        <v>0</v>
      </c>
      <c r="I84" s="1024">
        <f>VLOOKUP(A84,'2122 Band Moderations'!$B$5:$S$22,16,(FALSE))</f>
        <v>0</v>
      </c>
      <c r="J84" s="1024">
        <f>VLOOKUP(A84,'2122 Band Moderations'!$B$5:$S$22,18,(FALSE))</f>
        <v>0</v>
      </c>
      <c r="K84" s="451">
        <v>0</v>
      </c>
      <c r="L84" s="1025">
        <f t="shared" si="14"/>
        <v>0</v>
      </c>
      <c r="M84" s="1025">
        <f t="shared" si="12"/>
        <v>0</v>
      </c>
      <c r="N84" s="1025">
        <f t="shared" si="15"/>
        <v>0</v>
      </c>
      <c r="O84" s="235"/>
      <c r="P84" s="235"/>
      <c r="Q84" s="235"/>
      <c r="R84" s="235">
        <f t="shared" si="13"/>
        <v>0</v>
      </c>
      <c r="S84" s="269"/>
      <c r="T84" s="280"/>
    </row>
    <row r="85" spans="1:20" s="29" customFormat="1" x14ac:dyDescent="0.25">
      <c r="A85" s="244">
        <v>9257030</v>
      </c>
      <c r="B85" s="237" t="s">
        <v>1046</v>
      </c>
      <c r="C85" s="365" t="s">
        <v>1179</v>
      </c>
      <c r="D85" s="1024">
        <f>VLOOKUP(A85,'2122 Band Moderations'!$B$5:$S$22,6,(FALSE))</f>
        <v>0</v>
      </c>
      <c r="E85" s="1024">
        <f>VLOOKUP(A85,'2122 Band Moderations'!$B$5:$S$22,8,(FALSE))</f>
        <v>0</v>
      </c>
      <c r="F85" s="1024">
        <f>VLOOKUP(A85,'2122 Band Moderations'!$B$5:$S$22,10,(FALSE))</f>
        <v>1</v>
      </c>
      <c r="G85" s="1024">
        <f>VLOOKUP(A85,'2122 Band Moderations'!$B$5:$S$22,12,(FALSE))</f>
        <v>0</v>
      </c>
      <c r="H85" s="1024">
        <f>VLOOKUP(A85,'2122 Band Moderations'!$B$5:$S$22,14,(FALSE))</f>
        <v>0</v>
      </c>
      <c r="I85" s="1024">
        <f>VLOOKUP(A85,'2122 Band Moderations'!$B$5:$S$22,16,(FALSE))</f>
        <v>0</v>
      </c>
      <c r="J85" s="1024">
        <f>VLOOKUP(A85,'2122 Band Moderations'!$B$5:$S$22,18,(FALSE))</f>
        <v>0</v>
      </c>
      <c r="K85" s="451">
        <v>0</v>
      </c>
      <c r="L85" s="1025">
        <f t="shared" si="14"/>
        <v>0</v>
      </c>
      <c r="M85" s="1025">
        <f t="shared" si="12"/>
        <v>0</v>
      </c>
      <c r="N85" s="1025">
        <f t="shared" si="15"/>
        <v>0</v>
      </c>
      <c r="O85" s="235"/>
      <c r="P85" s="235"/>
      <c r="Q85" s="235"/>
      <c r="R85" s="235">
        <f t="shared" si="13"/>
        <v>0</v>
      </c>
      <c r="S85" s="269"/>
      <c r="T85" s="280"/>
    </row>
    <row r="86" spans="1:20" s="29" customFormat="1" x14ac:dyDescent="0.25">
      <c r="A86" s="244">
        <v>9257028</v>
      </c>
      <c r="B86" s="237" t="s">
        <v>215</v>
      </c>
      <c r="C86" s="365">
        <v>5</v>
      </c>
      <c r="D86" s="1024">
        <f>VLOOKUP(A86,'2122 Band Moderations'!$B$5:$S$22,6,(FALSE))</f>
        <v>8.9108910891089105E-2</v>
      </c>
      <c r="E86" s="1024">
        <f>VLOOKUP(A86,'2122 Band Moderations'!$B$5:$S$22,8,(FALSE))</f>
        <v>0.40594059405940597</v>
      </c>
      <c r="F86" s="1024">
        <f>VLOOKUP(A86,'2122 Band Moderations'!$B$5:$S$22,10,(FALSE))</f>
        <v>7.9207920792079209E-2</v>
      </c>
      <c r="G86" s="1024">
        <f>VLOOKUP(A86,'2122 Band Moderations'!$B$5:$S$22,12,(FALSE))</f>
        <v>8.9108910891089105E-2</v>
      </c>
      <c r="H86" s="1024">
        <f>VLOOKUP(A86,'2122 Band Moderations'!$B$5:$S$22,14,(FALSE))</f>
        <v>0.12871287128712872</v>
      </c>
      <c r="I86" s="1024">
        <f>VLOOKUP(A86,'2122 Band Moderations'!$B$5:$S$22,16,(FALSE))</f>
        <v>9.9009900990099015E-2</v>
      </c>
      <c r="J86" s="1024">
        <f>VLOOKUP(A86,'2122 Band Moderations'!$B$5:$S$22,18,(FALSE))</f>
        <v>0.10891089108910891</v>
      </c>
      <c r="K86" s="451">
        <v>5</v>
      </c>
      <c r="L86" s="1025">
        <f t="shared" si="14"/>
        <v>569.856550985127</v>
      </c>
      <c r="M86" s="1025">
        <f t="shared" si="12"/>
        <v>0</v>
      </c>
      <c r="N86" s="1025">
        <f t="shared" si="15"/>
        <v>569.856550985127</v>
      </c>
      <c r="O86" s="235"/>
      <c r="P86" s="235"/>
      <c r="Q86" s="235"/>
      <c r="R86" s="235">
        <f t="shared" si="13"/>
        <v>131.94110873129591</v>
      </c>
      <c r="S86" s="269"/>
      <c r="T86" s="280"/>
    </row>
    <row r="87" spans="1:20" s="29" customFormat="1" x14ac:dyDescent="0.25">
      <c r="A87" s="244">
        <v>9257021</v>
      </c>
      <c r="B87" s="237" t="s">
        <v>216</v>
      </c>
      <c r="C87" s="365" t="s">
        <v>1180</v>
      </c>
      <c r="D87" s="1024">
        <f>VLOOKUP(A87,'2122 Band Moderations'!$B$5:$S$22,6,(FALSE))</f>
        <v>0.26829268292682928</v>
      </c>
      <c r="E87" s="1024">
        <f>VLOOKUP(A87,'2122 Band Moderations'!$B$5:$S$22,8,(FALSE))</f>
        <v>0.42682926829268292</v>
      </c>
      <c r="F87" s="1024">
        <f>VLOOKUP(A87,'2122 Band Moderations'!$B$5:$S$22,10,(FALSE))</f>
        <v>7.926829268292683E-2</v>
      </c>
      <c r="G87" s="1024">
        <f>VLOOKUP(A87,'2122 Band Moderations'!$B$5:$S$22,12,(FALSE))</f>
        <v>6.7073170731707321E-2</v>
      </c>
      <c r="H87" s="1024">
        <f>VLOOKUP(A87,'2122 Band Moderations'!$B$5:$S$22,14,(FALSE))</f>
        <v>5.4878048780487805E-2</v>
      </c>
      <c r="I87" s="1024">
        <f>VLOOKUP(A87,'2122 Band Moderations'!$B$5:$S$22,16,(FALSE))</f>
        <v>9.1463414634146339E-2</v>
      </c>
      <c r="J87" s="1024">
        <f>VLOOKUP(A87,'2122 Band Moderations'!$B$5:$S$22,18,(FALSE))</f>
        <v>1.2195121951219513E-2</v>
      </c>
      <c r="K87" s="451">
        <v>0</v>
      </c>
      <c r="L87" s="1025">
        <f t="shared" si="14"/>
        <v>0</v>
      </c>
      <c r="M87" s="1025">
        <f t="shared" si="12"/>
        <v>0</v>
      </c>
      <c r="N87" s="1025">
        <f t="shared" si="15"/>
        <v>0</v>
      </c>
      <c r="O87" s="235"/>
      <c r="P87" s="235"/>
      <c r="Q87" s="235"/>
      <c r="R87" s="235">
        <f t="shared" si="13"/>
        <v>0</v>
      </c>
      <c r="S87" s="269"/>
      <c r="T87" s="280"/>
    </row>
    <row r="88" spans="1:20" s="29" customFormat="1" x14ac:dyDescent="0.25">
      <c r="A88" s="244">
        <v>9257015</v>
      </c>
      <c r="B88" s="237" t="s">
        <v>217</v>
      </c>
      <c r="C88" s="365" t="s">
        <v>1181</v>
      </c>
      <c r="D88" s="1024">
        <f>VLOOKUP(A88,'2122 Band Moderations'!$B$5:$S$22,6,(FALSE))</f>
        <v>0.33185840707964603</v>
      </c>
      <c r="E88" s="1024">
        <f>VLOOKUP(A88,'2122 Band Moderations'!$B$5:$S$22,8,(FALSE))</f>
        <v>0.38495575221238937</v>
      </c>
      <c r="F88" s="1024">
        <f>VLOOKUP(A88,'2122 Band Moderations'!$B$5:$S$22,10,(FALSE))</f>
        <v>1.7699115044247787E-2</v>
      </c>
      <c r="G88" s="1024">
        <f>VLOOKUP(A88,'2122 Band Moderations'!$B$5:$S$22,12,(FALSE))</f>
        <v>8.8495575221238937E-2</v>
      </c>
      <c r="H88" s="1024">
        <f>VLOOKUP(A88,'2122 Band Moderations'!$B$5:$S$22,14,(FALSE))</f>
        <v>2.2123893805309734E-2</v>
      </c>
      <c r="I88" s="1024">
        <f>VLOOKUP(A88,'2122 Band Moderations'!$B$5:$S$22,16,(FALSE))</f>
        <v>0.1415929203539823</v>
      </c>
      <c r="J88" s="1024">
        <f>VLOOKUP(A88,'2122 Band Moderations'!$B$5:$S$22,18,(FALSE))</f>
        <v>1.3274336283185841E-2</v>
      </c>
      <c r="K88" s="451">
        <v>3</v>
      </c>
      <c r="L88" s="1025">
        <f t="shared" si="14"/>
        <v>235.29904909678672</v>
      </c>
      <c r="M88" s="1025">
        <f t="shared" si="12"/>
        <v>0</v>
      </c>
      <c r="N88" s="1025">
        <f t="shared" si="15"/>
        <v>235.29904909678672</v>
      </c>
      <c r="O88" s="235"/>
      <c r="P88" s="235"/>
      <c r="Q88" s="235"/>
      <c r="R88" s="235">
        <f t="shared" si="13"/>
        <v>9.6487906546056283</v>
      </c>
      <c r="S88" s="269"/>
      <c r="T88" s="280"/>
    </row>
    <row r="89" spans="1:20" s="29" customFormat="1" x14ac:dyDescent="0.25">
      <c r="A89" s="244">
        <v>9257016</v>
      </c>
      <c r="B89" s="237" t="s">
        <v>219</v>
      </c>
      <c r="C89" s="365" t="s">
        <v>1181</v>
      </c>
      <c r="D89" s="1024">
        <f>VLOOKUP(A89,'2122 Band Moderations'!$B$5:$S$22,6,(FALSE))</f>
        <v>0.18012422360248448</v>
      </c>
      <c r="E89" s="1024">
        <f>VLOOKUP(A89,'2122 Band Moderations'!$B$5:$S$22,8,(FALSE))</f>
        <v>0.15527950310559005</v>
      </c>
      <c r="F89" s="1024">
        <f>VLOOKUP(A89,'2122 Band Moderations'!$B$5:$S$22,10,(FALSE))</f>
        <v>6.2111801242236021E-3</v>
      </c>
      <c r="G89" s="1024">
        <f>VLOOKUP(A89,'2122 Band Moderations'!$B$5:$S$22,12,(FALSE))</f>
        <v>0.2236024844720497</v>
      </c>
      <c r="H89" s="1024">
        <f>VLOOKUP(A89,'2122 Band Moderations'!$B$5:$S$22,14,(FALSE))</f>
        <v>0.21118012422360249</v>
      </c>
      <c r="I89" s="1024">
        <f>VLOOKUP(A89,'2122 Band Moderations'!$B$5:$S$22,16,(FALSE))</f>
        <v>1.2422360248447204E-2</v>
      </c>
      <c r="J89" s="1024">
        <f>VLOOKUP(A89,'2122 Band Moderations'!$B$5:$S$22,18,(FALSE))</f>
        <v>0.21118012422360249</v>
      </c>
      <c r="K89" s="451">
        <v>59</v>
      </c>
      <c r="L89" s="1025">
        <f t="shared" si="14"/>
        <v>8549.7731463835717</v>
      </c>
      <c r="M89" s="1025">
        <f t="shared" si="12"/>
        <v>0</v>
      </c>
      <c r="N89" s="1025">
        <f t="shared" si="15"/>
        <v>8549.7731463835717</v>
      </c>
      <c r="O89" s="235"/>
      <c r="P89" s="235"/>
      <c r="Q89" s="299" t="s">
        <v>207</v>
      </c>
      <c r="R89" s="235">
        <f t="shared" si="13"/>
        <v>3018.8662084260795</v>
      </c>
      <c r="S89" s="269"/>
      <c r="T89" s="280"/>
    </row>
    <row r="90" spans="1:20" s="29" customFormat="1" x14ac:dyDescent="0.25">
      <c r="A90" s="36"/>
      <c r="B90" s="36"/>
      <c r="C90" s="36"/>
      <c r="D90" s="36"/>
      <c r="E90" s="36"/>
      <c r="F90" s="299" t="s">
        <v>207</v>
      </c>
      <c r="G90" s="36"/>
      <c r="H90" s="234"/>
      <c r="I90" s="299" t="s">
        <v>207</v>
      </c>
      <c r="J90" s="36"/>
      <c r="K90" s="36"/>
      <c r="L90" s="36"/>
      <c r="M90" s="36"/>
      <c r="N90" s="36"/>
      <c r="O90" s="36"/>
      <c r="P90" s="36"/>
      <c r="Q90" s="36"/>
      <c r="R90" s="36"/>
      <c r="S90" s="288"/>
      <c r="T90" s="36"/>
    </row>
    <row r="91" spans="1:20" s="29" customFormat="1" x14ac:dyDescent="0.25">
      <c r="A91" s="36"/>
      <c r="B91" s="36"/>
      <c r="C91" s="36"/>
      <c r="D91" s="36"/>
      <c r="E91" s="36"/>
      <c r="F91" s="36"/>
      <c r="G91" s="36"/>
      <c r="H91" s="36"/>
      <c r="I91" s="234" t="s">
        <v>1609</v>
      </c>
      <c r="J91" s="234" t="s">
        <v>1610</v>
      </c>
      <c r="K91" s="234" t="s">
        <v>1611</v>
      </c>
      <c r="L91" s="36"/>
      <c r="M91" s="36"/>
      <c r="N91" s="36"/>
      <c r="O91" s="36"/>
      <c r="P91" s="36"/>
      <c r="Q91" s="36"/>
      <c r="R91" s="36"/>
      <c r="S91" s="288"/>
      <c r="T91" s="36"/>
    </row>
    <row r="92" spans="1:20" s="29" customFormat="1" ht="13" x14ac:dyDescent="0.3">
      <c r="A92" s="36"/>
      <c r="B92" s="792"/>
      <c r="C92" s="36"/>
      <c r="D92" s="36"/>
      <c r="E92" s="36" t="s">
        <v>735</v>
      </c>
      <c r="F92" s="36"/>
      <c r="G92" s="235">
        <f>J92</f>
        <v>58.711672125181849</v>
      </c>
      <c r="H92" s="281"/>
      <c r="I92" s="235">
        <v>154.38271532535475</v>
      </c>
      <c r="J92" s="281">
        <f>'2122 Band Values'!AO11-'2122 Band Values'!J11</f>
        <v>58.711672125181849</v>
      </c>
      <c r="K92" s="281">
        <f>'2122 Band Values'!AY11-'2122 Band Values'!J11</f>
        <v>69.284111171761197</v>
      </c>
      <c r="L92" s="281"/>
      <c r="M92" s="1265">
        <f>G92/'2122 Band Values'!L11</f>
        <v>1.0226871923558922E-2</v>
      </c>
      <c r="N92" s="281"/>
      <c r="O92" s="281"/>
      <c r="P92" s="281"/>
      <c r="Q92" s="281"/>
      <c r="R92" s="36"/>
      <c r="S92" s="288"/>
      <c r="T92" s="36"/>
    </row>
    <row r="93" spans="1:20" s="29" customFormat="1" x14ac:dyDescent="0.25">
      <c r="A93" s="36"/>
      <c r="B93" s="36"/>
      <c r="C93" s="36"/>
      <c r="D93" s="36"/>
      <c r="E93" s="36"/>
      <c r="F93" s="36"/>
      <c r="G93" s="235"/>
      <c r="H93" s="281"/>
      <c r="I93" s="235"/>
      <c r="J93" s="281"/>
      <c r="K93" s="281"/>
      <c r="L93" s="281"/>
      <c r="M93" s="1265"/>
      <c r="N93" s="281"/>
      <c r="O93" s="281"/>
      <c r="P93" s="281"/>
      <c r="Q93" s="281"/>
      <c r="R93" s="36"/>
      <c r="S93" s="288"/>
      <c r="T93" s="36"/>
    </row>
    <row r="94" spans="1:20" s="29" customFormat="1" x14ac:dyDescent="0.25">
      <c r="A94" s="36"/>
      <c r="B94" s="36"/>
      <c r="C94" s="36"/>
      <c r="D94" s="36"/>
      <c r="E94" s="36" t="s">
        <v>736</v>
      </c>
      <c r="F94" s="36"/>
      <c r="G94" s="235">
        <f t="shared" ref="G94:G104" si="16">J94</f>
        <v>70.45400655021831</v>
      </c>
      <c r="H94" s="281"/>
      <c r="I94" s="235">
        <v>174.61633432098813</v>
      </c>
      <c r="J94" s="281">
        <f>'2122 Band Values'!AO8-'2122 Band Values'!J8</f>
        <v>70.45400655021831</v>
      </c>
      <c r="K94" s="281">
        <f>'2122 Band Values'!AY8-'2122 Band Values'!J8</f>
        <v>83.140933406113618</v>
      </c>
      <c r="L94" s="281"/>
      <c r="M94" s="1265">
        <f>G94/'2122 Band Values'!L8</f>
        <v>1.0316760016105668E-2</v>
      </c>
      <c r="N94" s="281"/>
      <c r="O94" s="281"/>
      <c r="P94" s="281"/>
      <c r="Q94" s="281"/>
      <c r="R94" s="36"/>
      <c r="S94" s="288"/>
      <c r="T94" s="36"/>
    </row>
    <row r="95" spans="1:20" s="29" customFormat="1" x14ac:dyDescent="0.25">
      <c r="A95" s="36"/>
      <c r="B95" s="36"/>
      <c r="C95" s="36"/>
      <c r="D95" s="36"/>
      <c r="E95" s="36"/>
      <c r="F95" s="36"/>
      <c r="G95" s="235"/>
      <c r="H95" s="281"/>
      <c r="I95" s="235"/>
      <c r="J95" s="281"/>
      <c r="K95" s="281"/>
      <c r="L95" s="281"/>
      <c r="M95" s="1265"/>
      <c r="N95" s="281"/>
      <c r="O95" s="281"/>
      <c r="P95" s="281"/>
      <c r="Q95" s="281"/>
      <c r="R95" s="36"/>
      <c r="S95" s="288"/>
      <c r="T95" s="36"/>
    </row>
    <row r="96" spans="1:20" s="29" customFormat="1" x14ac:dyDescent="0.25">
      <c r="A96" s="36"/>
      <c r="B96" s="36"/>
      <c r="C96" s="36"/>
      <c r="D96" s="36"/>
      <c r="E96" s="36" t="s">
        <v>737</v>
      </c>
      <c r="F96" s="36"/>
      <c r="G96" s="235">
        <f t="shared" si="16"/>
        <v>211.36201965065447</v>
      </c>
      <c r="H96" s="281"/>
      <c r="I96" s="235">
        <v>417.4197622685864</v>
      </c>
      <c r="J96" s="281">
        <f>'2122 Band Values'!AO17-'2122 Band Values'!J17</f>
        <v>211.36201965065447</v>
      </c>
      <c r="K96" s="281">
        <f>'2122 Band Values'!AY17-'2122 Band Values'!J17</f>
        <v>249.42280021834085</v>
      </c>
      <c r="L96" s="281"/>
      <c r="M96" s="1265">
        <f>G96/'2122 Band Values'!L17</f>
        <v>1.8765362902340054E-2</v>
      </c>
      <c r="N96" s="281"/>
      <c r="O96" s="281"/>
      <c r="P96" s="281"/>
      <c r="Q96" s="281"/>
      <c r="R96" s="36"/>
      <c r="S96" s="288"/>
      <c r="T96" s="36"/>
    </row>
    <row r="97" spans="1:54" x14ac:dyDescent="0.25">
      <c r="A97" s="36"/>
      <c r="B97" s="36"/>
      <c r="C97" s="36"/>
      <c r="D97" s="36"/>
      <c r="E97" s="36"/>
      <c r="F97" s="36"/>
      <c r="G97" s="235"/>
      <c r="H97" s="281"/>
      <c r="I97" s="235"/>
      <c r="J97" s="281"/>
      <c r="K97" s="281"/>
      <c r="L97" s="281"/>
      <c r="M97" s="1265"/>
      <c r="N97" s="281"/>
      <c r="O97" s="281"/>
      <c r="P97" s="281"/>
      <c r="Q97" s="281"/>
      <c r="R97" s="36"/>
      <c r="S97" s="288"/>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234"/>
      <c r="AW97" s="234"/>
      <c r="AX97" s="36"/>
      <c r="AY97" s="36"/>
      <c r="AZ97" s="234"/>
      <c r="BA97" s="234"/>
      <c r="BB97" s="234"/>
    </row>
    <row r="98" spans="1:54" x14ac:dyDescent="0.25">
      <c r="A98" s="36"/>
      <c r="B98" s="36"/>
      <c r="C98" s="36"/>
      <c r="D98" s="36"/>
      <c r="E98" s="36" t="s">
        <v>738</v>
      </c>
      <c r="F98" s="36"/>
      <c r="G98" s="235">
        <f t="shared" si="16"/>
        <v>264.20252456331764</v>
      </c>
      <c r="H98" s="281"/>
      <c r="I98" s="235">
        <v>508.47104774893467</v>
      </c>
      <c r="J98" s="281">
        <f>'2122 Band Values'!AO5-'2122 Band Values'!J5</f>
        <v>264.20252456331764</v>
      </c>
      <c r="K98" s="281">
        <f>'2122 Band Values'!AY5-'2122 Band Values'!J5</f>
        <v>311.77850027292516</v>
      </c>
      <c r="L98" s="281"/>
      <c r="M98" s="1265">
        <f>G98/'2122 Band Values'!L5</f>
        <v>1.8865900678794404E-2</v>
      </c>
      <c r="N98" s="281"/>
      <c r="O98" s="281"/>
      <c r="P98" s="281"/>
      <c r="Q98" s="281"/>
      <c r="R98" s="36"/>
      <c r="S98" s="288"/>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234"/>
      <c r="AW98" s="234"/>
      <c r="AX98" s="36"/>
      <c r="AY98" s="36"/>
      <c r="AZ98" s="234"/>
      <c r="BA98" s="234"/>
      <c r="BB98" s="234"/>
    </row>
    <row r="99" spans="1:54" x14ac:dyDescent="0.25">
      <c r="A99" s="36"/>
      <c r="B99" s="36"/>
      <c r="C99" s="36"/>
      <c r="D99" s="36"/>
      <c r="E99" s="36"/>
      <c r="F99" s="36"/>
      <c r="G99" s="235"/>
      <c r="H99" s="281"/>
      <c r="I99" s="235"/>
      <c r="J99" s="281"/>
      <c r="K99" s="281"/>
      <c r="L99" s="281"/>
      <c r="M99" s="1265"/>
      <c r="N99" s="281"/>
      <c r="O99" s="281"/>
      <c r="P99" s="281"/>
      <c r="Q99" s="281"/>
      <c r="R99" s="36"/>
      <c r="S99" s="288"/>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234"/>
      <c r="AW99" s="234"/>
      <c r="AX99" s="36"/>
      <c r="AY99" s="36"/>
      <c r="AZ99" s="234"/>
      <c r="BA99" s="234"/>
      <c r="BB99" s="234"/>
    </row>
    <row r="100" spans="1:54" x14ac:dyDescent="0.25">
      <c r="A100" s="36"/>
      <c r="B100" s="36"/>
      <c r="C100" s="36"/>
      <c r="D100" s="36"/>
      <c r="E100" s="36" t="s">
        <v>739</v>
      </c>
      <c r="F100" s="36"/>
      <c r="G100" s="235">
        <f t="shared" si="16"/>
        <v>264.20252456331764</v>
      </c>
      <c r="H100" s="281"/>
      <c r="I100" s="235">
        <v>508.47104774893467</v>
      </c>
      <c r="J100" s="281">
        <f>'2122 Band Values'!AO14-'2122 Band Values'!J14</f>
        <v>264.20252456331764</v>
      </c>
      <c r="K100" s="281">
        <f>'2122 Band Values'!AY14-'2122 Band Values'!J14</f>
        <v>311.77850027292516</v>
      </c>
      <c r="L100" s="281"/>
      <c r="M100" s="1265">
        <f>G100/'2122 Band Values'!L14</f>
        <v>1.8865900678794404E-2</v>
      </c>
      <c r="N100" s="281"/>
      <c r="O100" s="281"/>
      <c r="P100" s="281"/>
      <c r="Q100" s="281"/>
      <c r="R100" s="36"/>
      <c r="S100" s="288"/>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234"/>
      <c r="AW100" s="234"/>
      <c r="AX100" s="36"/>
      <c r="AY100" s="36"/>
      <c r="AZ100" s="234"/>
      <c r="BA100" s="234"/>
      <c r="BB100" s="234"/>
    </row>
    <row r="101" spans="1:54" x14ac:dyDescent="0.25">
      <c r="A101" s="36"/>
      <c r="B101" s="36"/>
      <c r="C101" s="36"/>
      <c r="D101" s="36"/>
      <c r="E101" s="36"/>
      <c r="F101" s="36"/>
      <c r="G101" s="235"/>
      <c r="H101" s="281"/>
      <c r="I101" s="235"/>
      <c r="J101" s="281"/>
      <c r="K101" s="281"/>
      <c r="L101" s="281"/>
      <c r="M101" s="1265"/>
      <c r="N101" s="281"/>
      <c r="O101" s="281"/>
      <c r="P101" s="281"/>
      <c r="Q101" s="281"/>
      <c r="R101" s="36"/>
      <c r="S101" s="288"/>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234"/>
      <c r="AW101" s="234"/>
      <c r="AX101" s="36"/>
      <c r="AY101" s="36"/>
      <c r="AZ101" s="234"/>
      <c r="BA101" s="234"/>
      <c r="BB101" s="234"/>
    </row>
    <row r="102" spans="1:54" x14ac:dyDescent="0.25">
      <c r="A102" s="36"/>
      <c r="B102" s="36"/>
      <c r="C102" s="36"/>
      <c r="D102" s="36"/>
      <c r="E102" s="36" t="s">
        <v>741</v>
      </c>
      <c r="F102" s="36"/>
      <c r="G102" s="235">
        <f t="shared" si="16"/>
        <v>234.8466885007274</v>
      </c>
      <c r="H102" s="281"/>
      <c r="I102" s="235">
        <v>457.8870002598527</v>
      </c>
      <c r="J102" s="281">
        <f>'2122 Band Values'!AO22-'2122 Band Values'!J22</f>
        <v>234.8466885007274</v>
      </c>
      <c r="K102" s="281">
        <f>'2122 Band Values'!AY22-'2122 Band Values'!J22</f>
        <v>277.13644468704479</v>
      </c>
      <c r="L102" s="281"/>
      <c r="M102" s="1265">
        <f>G102/'2122 Band Values'!L22</f>
        <v>1.5785889563484205E-2</v>
      </c>
      <c r="N102" s="281"/>
      <c r="O102" s="281"/>
      <c r="P102" s="281"/>
      <c r="Q102" s="281"/>
      <c r="R102" s="36"/>
      <c r="S102" s="288"/>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234"/>
      <c r="AW102" s="234"/>
      <c r="AX102" s="36"/>
      <c r="AY102" s="36"/>
      <c r="AZ102" s="234"/>
      <c r="BA102" s="234"/>
      <c r="BB102" s="234"/>
    </row>
    <row r="103" spans="1:54" x14ac:dyDescent="0.25">
      <c r="A103" s="36"/>
      <c r="B103" s="36"/>
      <c r="C103" s="36"/>
      <c r="D103" s="36"/>
      <c r="E103" s="36"/>
      <c r="F103" s="36"/>
      <c r="G103" s="235"/>
      <c r="H103" s="281"/>
      <c r="I103" s="235"/>
      <c r="J103" s="281"/>
      <c r="K103" s="281"/>
      <c r="L103" s="281"/>
      <c r="M103" s="1265"/>
      <c r="N103" s="281"/>
      <c r="O103" s="281"/>
      <c r="P103" s="281"/>
      <c r="Q103" s="281"/>
      <c r="R103" s="36"/>
      <c r="S103" s="288"/>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234"/>
      <c r="AW103" s="234"/>
      <c r="AX103" s="36"/>
      <c r="AY103" s="36"/>
      <c r="AZ103" s="234"/>
      <c r="BA103" s="234"/>
      <c r="BB103" s="234"/>
    </row>
    <row r="104" spans="1:54" x14ac:dyDescent="0.25">
      <c r="A104" s="36"/>
      <c r="B104" s="36"/>
      <c r="C104" s="36"/>
      <c r="D104" s="36"/>
      <c r="E104" s="36" t="s">
        <v>743</v>
      </c>
      <c r="F104" s="36"/>
      <c r="G104" s="235">
        <f t="shared" si="16"/>
        <v>363.4377813234787</v>
      </c>
      <c r="H104" s="281"/>
      <c r="I104" s="235">
        <v>872.91485555928739</v>
      </c>
      <c r="J104" s="281">
        <f>'2122 Band Values'!AO24-'2122 Band Values'!J24</f>
        <v>363.4377813234787</v>
      </c>
      <c r="K104" s="281"/>
      <c r="L104" s="281"/>
      <c r="M104" s="1265">
        <f>G104/'2122 Band Values'!L24</f>
        <v>1.6143641675148718E-2</v>
      </c>
      <c r="N104" s="281"/>
      <c r="O104" s="281"/>
      <c r="P104" s="281"/>
      <c r="Q104" s="281"/>
      <c r="R104" s="36"/>
      <c r="S104" s="288"/>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234"/>
      <c r="AW104" s="234"/>
      <c r="AX104" s="36"/>
      <c r="AY104" s="36"/>
      <c r="AZ104" s="234"/>
      <c r="BA104" s="234"/>
      <c r="BB104" s="234"/>
    </row>
    <row r="105" spans="1:54" ht="14" x14ac:dyDescent="0.3">
      <c r="A105" s="36"/>
      <c r="B105" s="37"/>
      <c r="C105" s="38"/>
      <c r="D105" s="39"/>
      <c r="E105" s="281"/>
      <c r="F105" s="36"/>
      <c r="G105" s="36"/>
      <c r="H105" s="282"/>
      <c r="I105" s="402"/>
      <c r="J105" s="281"/>
      <c r="K105" s="282"/>
      <c r="L105" s="282"/>
      <c r="M105" s="282"/>
      <c r="N105" s="282"/>
      <c r="O105" s="282"/>
      <c r="P105" s="282"/>
      <c r="Q105" s="282"/>
      <c r="R105" s="36"/>
      <c r="S105" s="288"/>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234"/>
      <c r="AW105" s="234"/>
      <c r="AX105" s="36"/>
      <c r="AY105" s="36"/>
      <c r="AZ105" s="234"/>
      <c r="BA105" s="234"/>
      <c r="BB105" s="234"/>
    </row>
    <row r="106" spans="1:54" ht="14" x14ac:dyDescent="0.3">
      <c r="A106" s="36"/>
      <c r="B106" s="40"/>
      <c r="C106" s="38"/>
      <c r="D106" s="36"/>
      <c r="E106" s="36" t="s">
        <v>913</v>
      </c>
      <c r="F106" s="36"/>
      <c r="G106" s="235"/>
      <c r="H106" s="281"/>
      <c r="I106" s="402"/>
      <c r="J106" s="281"/>
      <c r="K106" s="281"/>
      <c r="L106" s="281"/>
      <c r="M106" s="1074">
        <f>AVERAGE(M92:M104)</f>
        <v>1.5567189634032337E-2</v>
      </c>
      <c r="N106" s="281"/>
      <c r="O106" s="281"/>
      <c r="P106" s="281"/>
      <c r="Q106" s="281"/>
      <c r="R106" s="36"/>
      <c r="S106" s="288"/>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234"/>
      <c r="AW106" s="234"/>
      <c r="AX106" s="36"/>
      <c r="AY106" s="36"/>
      <c r="AZ106" s="234"/>
      <c r="BA106" s="234"/>
      <c r="BB106" s="234"/>
    </row>
    <row r="107" spans="1:54" ht="13" x14ac:dyDescent="0.3">
      <c r="A107" s="36"/>
      <c r="B107" s="36"/>
      <c r="C107" s="36"/>
      <c r="D107" s="36"/>
      <c r="E107" s="36"/>
      <c r="F107" s="402"/>
      <c r="G107" s="234"/>
      <c r="H107" s="73" t="s">
        <v>1569</v>
      </c>
      <c r="I107" s="42">
        <v>544677.74863031949</v>
      </c>
      <c r="J107" s="853">
        <f>J131</f>
        <v>306150.19843929959</v>
      </c>
      <c r="K107" s="42">
        <v>366484</v>
      </c>
      <c r="L107" s="36"/>
      <c r="M107" s="36"/>
      <c r="N107" s="36"/>
      <c r="O107" s="36"/>
      <c r="P107" s="36"/>
      <c r="Q107" s="36"/>
      <c r="R107" s="36"/>
      <c r="S107" s="288"/>
      <c r="T107" s="36"/>
      <c r="U107" s="36"/>
      <c r="V107" s="36"/>
      <c r="W107" s="36"/>
      <c r="X107" s="36"/>
      <c r="Y107" s="36"/>
      <c r="Z107" s="36"/>
      <c r="AA107" s="36"/>
      <c r="AB107" s="36"/>
      <c r="AC107" s="36"/>
      <c r="AD107" s="36"/>
      <c r="AE107" s="36"/>
      <c r="AF107" s="36"/>
      <c r="AG107" s="36"/>
      <c r="AH107" s="36"/>
      <c r="AI107" s="36"/>
      <c r="AJ107" s="36"/>
      <c r="AK107" s="36"/>
      <c r="AL107" s="36"/>
      <c r="AM107" s="36"/>
      <c r="AN107" s="234"/>
      <c r="AO107" s="234"/>
      <c r="AP107" s="36"/>
      <c r="AQ107" s="36"/>
      <c r="AR107" s="234"/>
      <c r="AS107" s="234"/>
      <c r="AT107" s="234"/>
      <c r="AU107" s="36"/>
      <c r="AV107" s="36"/>
      <c r="AW107" s="36"/>
      <c r="AX107" s="36"/>
      <c r="AY107" s="36"/>
      <c r="AZ107" s="36"/>
      <c r="BA107" s="36"/>
      <c r="BB107" s="36"/>
    </row>
    <row r="108" spans="1:54" x14ac:dyDescent="0.25">
      <c r="A108" s="36"/>
      <c r="B108" s="36"/>
      <c r="C108" s="36"/>
      <c r="D108" s="36"/>
      <c r="E108" s="36" t="s">
        <v>1367</v>
      </c>
      <c r="F108" s="234"/>
      <c r="G108" s="234"/>
      <c r="H108" s="36"/>
      <c r="I108" s="36"/>
      <c r="J108" s="1245">
        <f>'2122 Band Values'!AO26-'2122 Band Values'!J26</f>
        <v>176.135016375546</v>
      </c>
      <c r="K108" s="36"/>
      <c r="L108" s="36"/>
      <c r="M108" s="36"/>
      <c r="N108" s="36"/>
      <c r="O108" s="36"/>
      <c r="P108" s="36"/>
      <c r="Q108" s="36"/>
      <c r="R108" s="36"/>
      <c r="S108" s="288"/>
      <c r="T108" s="36"/>
      <c r="U108" s="36"/>
      <c r="V108" s="36"/>
      <c r="W108" s="36"/>
      <c r="X108" s="36"/>
      <c r="Y108" s="36"/>
      <c r="Z108" s="36"/>
      <c r="AA108" s="36"/>
      <c r="AB108" s="36"/>
      <c r="AC108" s="36"/>
      <c r="AD108" s="36"/>
      <c r="AE108" s="36"/>
      <c r="AF108" s="36"/>
      <c r="AG108" s="36"/>
      <c r="AH108" s="36"/>
      <c r="AI108" s="36"/>
      <c r="AJ108" s="36"/>
      <c r="AK108" s="36"/>
      <c r="AL108" s="36"/>
      <c r="AM108" s="36"/>
      <c r="AN108" s="234"/>
      <c r="AO108" s="234"/>
      <c r="AP108" s="36"/>
      <c r="AQ108" s="36"/>
      <c r="AR108" s="234"/>
      <c r="AS108" s="234"/>
      <c r="AT108" s="234"/>
      <c r="AU108" s="36"/>
      <c r="AV108" s="36"/>
      <c r="AW108" s="36"/>
      <c r="AX108" s="36"/>
      <c r="AY108" s="36"/>
      <c r="AZ108" s="36"/>
      <c r="BA108" s="36"/>
      <c r="BB108" s="36"/>
    </row>
    <row r="109" spans="1:54" ht="12.75" customHeight="1" x14ac:dyDescent="0.25">
      <c r="A109" s="36"/>
      <c r="B109" s="36"/>
      <c r="C109" s="36"/>
      <c r="D109" s="36"/>
      <c r="E109" s="36"/>
      <c r="F109" s="234"/>
      <c r="G109" s="234"/>
      <c r="H109" s="36"/>
      <c r="I109" s="36"/>
      <c r="J109" s="36"/>
      <c r="K109" s="36"/>
      <c r="L109" s="36"/>
      <c r="M109" s="36"/>
      <c r="N109" s="36"/>
      <c r="O109" s="36"/>
      <c r="P109" s="36"/>
      <c r="Q109" s="36"/>
      <c r="R109" s="36"/>
      <c r="S109" s="288"/>
      <c r="T109" s="36"/>
      <c r="U109" s="36"/>
      <c r="V109" s="36"/>
      <c r="W109" s="36"/>
      <c r="X109" s="36"/>
      <c r="Y109" s="36"/>
      <c r="Z109" s="36"/>
      <c r="AA109" s="36"/>
      <c r="AB109" s="36"/>
      <c r="AC109" s="36"/>
      <c r="AD109" s="36"/>
      <c r="AE109" s="36"/>
      <c r="AF109" s="36"/>
      <c r="AG109" s="36"/>
      <c r="AH109" s="36"/>
      <c r="AI109" s="36"/>
      <c r="AJ109" s="36"/>
      <c r="AK109" s="36"/>
      <c r="AL109" s="36"/>
      <c r="AM109" s="36"/>
      <c r="AN109" s="234"/>
      <c r="AO109" s="234"/>
      <c r="AP109" s="36"/>
      <c r="AQ109" s="36"/>
      <c r="AR109" s="234"/>
      <c r="AS109" s="234"/>
      <c r="AT109" s="234"/>
      <c r="AU109" s="36"/>
      <c r="AV109" s="36"/>
      <c r="AW109" s="36"/>
      <c r="AX109" s="36"/>
      <c r="AY109" s="36"/>
      <c r="AZ109" s="36"/>
      <c r="BA109" s="36"/>
      <c r="BB109" s="36"/>
    </row>
    <row r="110" spans="1:54" ht="12.75" customHeight="1" x14ac:dyDescent="0.3">
      <c r="A110" s="36"/>
      <c r="B110" s="36"/>
      <c r="C110" s="36"/>
      <c r="D110" s="1448" t="s">
        <v>284</v>
      </c>
      <c r="E110" s="1449"/>
      <c r="F110" s="1450"/>
      <c r="G110" s="1448" t="s">
        <v>264</v>
      </c>
      <c r="H110" s="1449"/>
      <c r="I110" s="1450"/>
      <c r="J110" s="448" t="s">
        <v>285</v>
      </c>
      <c r="K110" s="1592"/>
      <c r="L110" s="1592"/>
      <c r="M110" s="1592"/>
      <c r="N110" s="1592"/>
      <c r="O110" s="1592"/>
      <c r="P110" s="1592"/>
      <c r="Q110" s="73"/>
      <c r="R110" s="139"/>
      <c r="S110" s="813"/>
      <c r="T110" s="139"/>
      <c r="U110" s="36"/>
      <c r="V110" s="36"/>
      <c r="W110" s="36"/>
      <c r="X110" s="36"/>
      <c r="Y110" s="36"/>
      <c r="Z110" s="36"/>
      <c r="AA110" s="36"/>
      <c r="AB110" s="36"/>
      <c r="AC110" s="36"/>
      <c r="AD110" s="36"/>
      <c r="AE110" s="36"/>
      <c r="AF110" s="36"/>
      <c r="AG110" s="36"/>
      <c r="AH110" s="36"/>
      <c r="AI110" s="1589"/>
      <c r="AJ110" s="36"/>
      <c r="AK110" s="36"/>
      <c r="AL110" s="234"/>
      <c r="AM110" s="234"/>
      <c r="AN110" s="36"/>
      <c r="AO110" s="36"/>
      <c r="AP110" s="234"/>
      <c r="AQ110" s="234"/>
      <c r="AR110" s="234"/>
      <c r="AS110" s="36"/>
      <c r="AT110" s="36"/>
      <c r="AU110" s="36"/>
      <c r="AV110" s="36"/>
      <c r="AW110" s="36"/>
      <c r="AX110" s="36"/>
      <c r="AY110" s="36"/>
      <c r="AZ110" s="36"/>
      <c r="BA110" s="36"/>
      <c r="BB110" s="36"/>
    </row>
    <row r="111" spans="1:54" ht="41.25" customHeight="1" x14ac:dyDescent="0.3">
      <c r="A111" s="283" t="s">
        <v>182</v>
      </c>
      <c r="B111" s="284" t="s">
        <v>183</v>
      </c>
      <c r="C111" s="238" t="s">
        <v>184</v>
      </c>
      <c r="D111" s="241" t="str">
        <f t="shared" ref="D111:D129" si="17">L5</f>
        <v>Pre-16 Funding (Apr-Aug)</v>
      </c>
      <c r="E111" s="242" t="str">
        <f t="shared" ref="E111:E129" si="18">L49</f>
        <v>Pre-16 Funding (Sept-Mar)</v>
      </c>
      <c r="F111" s="96" t="s">
        <v>288</v>
      </c>
      <c r="G111" s="242" t="str">
        <f t="shared" ref="G111:G129" si="19">L27</f>
        <v>Post-16 Funding (Apr-Jul)</v>
      </c>
      <c r="H111" s="241" t="str">
        <f t="shared" ref="H111:H129" si="20">L71</f>
        <v>Post-16 Funding (Aug-Mar)</v>
      </c>
      <c r="I111" s="96" t="s">
        <v>289</v>
      </c>
      <c r="J111" s="811" t="s">
        <v>290</v>
      </c>
      <c r="K111" s="243"/>
      <c r="L111" s="243"/>
      <c r="M111" s="71"/>
      <c r="N111" s="243"/>
      <c r="O111" s="277"/>
      <c r="P111" s="71"/>
      <c r="Q111" s="71"/>
      <c r="R111" s="71"/>
      <c r="S111" s="276"/>
      <c r="T111" s="243"/>
      <c r="U111" s="243"/>
      <c r="V111" s="243"/>
      <c r="W111" s="243"/>
      <c r="X111" s="71"/>
      <c r="Y111" s="71"/>
      <c r="Z111" s="243"/>
      <c r="AA111" s="243"/>
      <c r="AB111" s="243"/>
      <c r="AC111" s="71"/>
      <c r="AD111" s="243"/>
      <c r="AE111" s="243"/>
      <c r="AF111" s="71"/>
      <c r="AG111" s="71"/>
      <c r="AH111" s="36"/>
      <c r="AI111" s="1589"/>
      <c r="AJ111" s="36"/>
      <c r="AK111" s="36"/>
      <c r="AL111" s="71"/>
      <c r="AM111" s="71"/>
      <c r="AN111" s="71"/>
      <c r="AO111" s="36"/>
      <c r="AP111" s="457"/>
      <c r="AQ111" s="71"/>
      <c r="AR111" s="73"/>
      <c r="AS111" s="36"/>
      <c r="AT111" s="36"/>
      <c r="AU111" s="36"/>
      <c r="AV111" s="36"/>
      <c r="AW111" s="36"/>
      <c r="AX111" s="36"/>
      <c r="AY111" s="36"/>
      <c r="AZ111" s="36"/>
      <c r="BA111" s="36"/>
      <c r="BB111" s="36"/>
    </row>
    <row r="112" spans="1:54" ht="13" x14ac:dyDescent="0.3">
      <c r="A112" s="244">
        <v>9257010</v>
      </c>
      <c r="B112" s="237" t="s">
        <v>205</v>
      </c>
      <c r="C112" s="238">
        <v>4</v>
      </c>
      <c r="D112" s="245">
        <f t="shared" si="17"/>
        <v>4905.4888944271843</v>
      </c>
      <c r="E112" s="245">
        <f t="shared" si="18"/>
        <v>10656.751736169397</v>
      </c>
      <c r="F112" s="68">
        <f>SUM(D112:E112)</f>
        <v>15562.240630596581</v>
      </c>
      <c r="G112" s="245">
        <f t="shared" si="19"/>
        <v>473.63341049641758</v>
      </c>
      <c r="H112" s="245">
        <f t="shared" si="20"/>
        <v>1353.2383157040504</v>
      </c>
      <c r="I112" s="68">
        <f>SUM(G112:H112)</f>
        <v>1826.8717262004679</v>
      </c>
      <c r="J112" s="812">
        <f>F112+I112</f>
        <v>17389.11235679705</v>
      </c>
      <c r="K112" s="235"/>
      <c r="L112" s="235"/>
      <c r="M112" s="42"/>
      <c r="N112" s="235"/>
      <c r="O112" s="235"/>
      <c r="P112" s="42"/>
      <c r="Q112" s="42"/>
      <c r="R112" s="42"/>
      <c r="S112" s="269"/>
      <c r="T112" s="235"/>
      <c r="U112" s="36"/>
      <c r="V112" s="235"/>
      <c r="W112" s="235"/>
      <c r="X112" s="235"/>
      <c r="Y112" s="235"/>
      <c r="Z112" s="235"/>
      <c r="AA112" s="235"/>
      <c r="AB112" s="235"/>
      <c r="AC112" s="235"/>
      <c r="AD112" s="235"/>
      <c r="AE112" s="235"/>
      <c r="AF112" s="235"/>
      <c r="AG112" s="235"/>
      <c r="AH112" s="247"/>
      <c r="AI112" s="235"/>
      <c r="AJ112" s="247"/>
      <c r="AK112" s="298"/>
      <c r="AL112" s="235"/>
      <c r="AM112" s="235"/>
      <c r="AN112" s="235"/>
      <c r="AO112" s="36"/>
      <c r="AP112" s="269"/>
      <c r="AQ112" s="269"/>
      <c r="AR112" s="269"/>
      <c r="AS112" s="36"/>
      <c r="AT112" s="36"/>
      <c r="AU112" s="36"/>
      <c r="AV112" s="36"/>
      <c r="AW112" s="36"/>
      <c r="AX112" s="36"/>
      <c r="AY112" s="36"/>
      <c r="AZ112" s="36"/>
      <c r="BA112" s="36"/>
      <c r="BB112" s="36"/>
    </row>
    <row r="113" spans="1:54" ht="13" x14ac:dyDescent="0.3">
      <c r="A113" s="244">
        <v>9257005</v>
      </c>
      <c r="B113" s="237" t="s">
        <v>208</v>
      </c>
      <c r="C113" s="238">
        <v>4</v>
      </c>
      <c r="D113" s="245">
        <f>L7</f>
        <v>3862.9242415892982</v>
      </c>
      <c r="E113" s="245">
        <f t="shared" si="18"/>
        <v>5918.2914795669985</v>
      </c>
      <c r="F113" s="68">
        <f t="shared" ref="F113:F129" si="21">SUM(D113:E113)</f>
        <v>9781.2157211562971</v>
      </c>
      <c r="G113" s="245">
        <f t="shared" si="19"/>
        <v>1516.015551416177</v>
      </c>
      <c r="H113" s="245">
        <f t="shared" si="20"/>
        <v>3265.264264588689</v>
      </c>
      <c r="I113" s="68">
        <f t="shared" ref="I113:I129" si="22">SUM(G113:H113)</f>
        <v>4781.279816004866</v>
      </c>
      <c r="J113" s="812">
        <f t="shared" ref="J113:J128" si="23">F113+I113</f>
        <v>14562.495537161163</v>
      </c>
      <c r="K113" s="235"/>
      <c r="L113" s="235"/>
      <c r="M113" s="42"/>
      <c r="N113" s="235"/>
      <c r="O113" s="235"/>
      <c r="P113" s="42"/>
      <c r="Q113" s="42"/>
      <c r="R113" s="42"/>
      <c r="S113" s="269"/>
      <c r="T113" s="235"/>
      <c r="U113" s="36"/>
      <c r="V113" s="235"/>
      <c r="W113" s="235"/>
      <c r="X113" s="235"/>
      <c r="Y113" s="235"/>
      <c r="Z113" s="235"/>
      <c r="AA113" s="235"/>
      <c r="AB113" s="235"/>
      <c r="AC113" s="235"/>
      <c r="AD113" s="235"/>
      <c r="AE113" s="235"/>
      <c r="AF113" s="235"/>
      <c r="AG113" s="235"/>
      <c r="AH113" s="247"/>
      <c r="AI113" s="235"/>
      <c r="AJ113" s="247"/>
      <c r="AK113" s="298"/>
      <c r="AL113" s="235"/>
      <c r="AM113" s="235"/>
      <c r="AN113" s="235"/>
      <c r="AO113" s="36"/>
      <c r="AP113" s="269"/>
      <c r="AQ113" s="269"/>
      <c r="AR113" s="269"/>
      <c r="AS113" s="36"/>
      <c r="AT113" s="36"/>
      <c r="AU113" s="36"/>
      <c r="AV113" s="36"/>
      <c r="AW113" s="36"/>
      <c r="AX113" s="36"/>
      <c r="AY113" s="36"/>
      <c r="AZ113" s="36"/>
      <c r="BA113" s="36"/>
      <c r="BB113" s="36"/>
    </row>
    <row r="114" spans="1:54" ht="13" x14ac:dyDescent="0.3">
      <c r="A114" s="244">
        <v>9257025</v>
      </c>
      <c r="B114" s="237" t="s">
        <v>209</v>
      </c>
      <c r="C114" s="238">
        <v>4</v>
      </c>
      <c r="D114" s="245">
        <f t="shared" si="17"/>
        <v>3571.8198240381557</v>
      </c>
      <c r="E114" s="245">
        <f t="shared" si="18"/>
        <v>4821.9567624515093</v>
      </c>
      <c r="F114" s="68">
        <f t="shared" si="21"/>
        <v>8393.7765864896646</v>
      </c>
      <c r="G114" s="245">
        <f t="shared" si="19"/>
        <v>1020.5199497251871</v>
      </c>
      <c r="H114" s="245">
        <f t="shared" si="20"/>
        <v>2449.2478793404489</v>
      </c>
      <c r="I114" s="68">
        <f t="shared" si="22"/>
        <v>3469.7678290656359</v>
      </c>
      <c r="J114" s="812">
        <f t="shared" si="23"/>
        <v>11863.544415555301</v>
      </c>
      <c r="K114" s="235"/>
      <c r="L114" s="235"/>
      <c r="M114" s="42"/>
      <c r="N114" s="235"/>
      <c r="O114" s="235"/>
      <c r="P114" s="42"/>
      <c r="Q114" s="42"/>
      <c r="R114" s="42"/>
      <c r="S114" s="269"/>
      <c r="T114" s="235"/>
      <c r="U114" s="36"/>
      <c r="V114" s="235"/>
      <c r="W114" s="235"/>
      <c r="X114" s="235"/>
      <c r="Y114" s="235"/>
      <c r="Z114" s="235"/>
      <c r="AA114" s="235"/>
      <c r="AB114" s="235"/>
      <c r="AC114" s="235"/>
      <c r="AD114" s="235"/>
      <c r="AE114" s="235"/>
      <c r="AF114" s="235"/>
      <c r="AG114" s="235"/>
      <c r="AH114" s="247"/>
      <c r="AI114" s="235"/>
      <c r="AJ114" s="247"/>
      <c r="AK114" s="298"/>
      <c r="AL114" s="235"/>
      <c r="AM114" s="235"/>
      <c r="AN114" s="235"/>
      <c r="AO114" s="36"/>
      <c r="AP114" s="269"/>
      <c r="AQ114" s="269"/>
      <c r="AR114" s="269"/>
      <c r="AS114" s="36"/>
      <c r="AT114" s="36"/>
      <c r="AU114" s="36"/>
      <c r="AV114" s="36"/>
      <c r="AW114" s="36"/>
      <c r="AX114" s="36"/>
      <c r="AY114" s="36"/>
      <c r="AZ114" s="36"/>
      <c r="BA114" s="36"/>
      <c r="BB114" s="36"/>
    </row>
    <row r="115" spans="1:54" ht="13" x14ac:dyDescent="0.3">
      <c r="A115" s="244">
        <v>9257011</v>
      </c>
      <c r="B115" s="237" t="s">
        <v>210</v>
      </c>
      <c r="C115" s="238">
        <v>4</v>
      </c>
      <c r="D115" s="245">
        <f t="shared" si="17"/>
        <v>3935.8348071698592</v>
      </c>
      <c r="E115" s="245">
        <f t="shared" si="18"/>
        <v>5510.1687300378035</v>
      </c>
      <c r="F115" s="68">
        <f t="shared" si="21"/>
        <v>9446.0035372076636</v>
      </c>
      <c r="G115" s="245">
        <f t="shared" si="19"/>
        <v>503.78685531774192</v>
      </c>
      <c r="H115" s="245">
        <f t="shared" si="20"/>
        <v>1007.5737106354838</v>
      </c>
      <c r="I115" s="68">
        <f t="shared" si="22"/>
        <v>1511.3605659532259</v>
      </c>
      <c r="J115" s="812">
        <f t="shared" si="23"/>
        <v>10957.364103160889</v>
      </c>
      <c r="K115" s="235"/>
      <c r="L115" s="235"/>
      <c r="M115" s="42"/>
      <c r="N115" s="235"/>
      <c r="O115" s="235"/>
      <c r="P115" s="42"/>
      <c r="Q115" s="42"/>
      <c r="R115" s="42"/>
      <c r="S115" s="269"/>
      <c r="T115" s="235"/>
      <c r="U115" s="36"/>
      <c r="V115" s="235"/>
      <c r="W115" s="235"/>
      <c r="X115" s="235"/>
      <c r="Y115" s="235"/>
      <c r="Z115" s="235"/>
      <c r="AA115" s="235"/>
      <c r="AB115" s="235"/>
      <c r="AC115" s="235"/>
      <c r="AD115" s="235"/>
      <c r="AE115" s="235"/>
      <c r="AF115" s="235"/>
      <c r="AG115" s="235"/>
      <c r="AH115" s="247"/>
      <c r="AI115" s="235"/>
      <c r="AJ115" s="247"/>
      <c r="AK115" s="298"/>
      <c r="AL115" s="235"/>
      <c r="AM115" s="235"/>
      <c r="AN115" s="235"/>
      <c r="AO115" s="36"/>
      <c r="AP115" s="269"/>
      <c r="AQ115" s="269"/>
      <c r="AR115" s="269"/>
      <c r="AS115" s="36"/>
      <c r="AT115" s="36"/>
      <c r="AU115" s="36"/>
      <c r="AV115" s="36"/>
      <c r="AW115" s="36"/>
      <c r="AX115" s="36"/>
      <c r="AY115" s="36"/>
      <c r="AZ115" s="36"/>
      <c r="BA115" s="36"/>
      <c r="BB115" s="36"/>
    </row>
    <row r="116" spans="1:54" ht="13" x14ac:dyDescent="0.3">
      <c r="A116" s="244">
        <v>9257024</v>
      </c>
      <c r="B116" s="237" t="s">
        <v>211</v>
      </c>
      <c r="C116" s="238">
        <v>3</v>
      </c>
      <c r="D116" s="245">
        <f t="shared" si="17"/>
        <v>4846.6115329923286</v>
      </c>
      <c r="E116" s="245">
        <f t="shared" si="18"/>
        <v>6882.1883768491061</v>
      </c>
      <c r="F116" s="68">
        <f t="shared" si="21"/>
        <v>11728.799909841435</v>
      </c>
      <c r="G116" s="245">
        <f t="shared" si="19"/>
        <v>775.45784527877242</v>
      </c>
      <c r="H116" s="245">
        <f t="shared" si="20"/>
        <v>1440.135998374863</v>
      </c>
      <c r="I116" s="68">
        <f t="shared" si="22"/>
        <v>2215.5938436536353</v>
      </c>
      <c r="J116" s="812">
        <f t="shared" si="23"/>
        <v>13944.393753495071</v>
      </c>
      <c r="K116" s="235"/>
      <c r="L116" s="235"/>
      <c r="M116" s="42"/>
      <c r="N116" s="235"/>
      <c r="O116" s="235"/>
      <c r="P116" s="42"/>
      <c r="Q116" s="42"/>
      <c r="R116" s="42"/>
      <c r="S116" s="269"/>
      <c r="T116" s="235"/>
      <c r="U116" s="36"/>
      <c r="V116" s="235"/>
      <c r="W116" s="235"/>
      <c r="X116" s="235"/>
      <c r="Y116" s="235"/>
      <c r="Z116" s="235"/>
      <c r="AA116" s="235"/>
      <c r="AB116" s="235"/>
      <c r="AC116" s="235"/>
      <c r="AD116" s="235"/>
      <c r="AE116" s="235"/>
      <c r="AF116" s="235"/>
      <c r="AG116" s="235"/>
      <c r="AH116" s="247"/>
      <c r="AI116" s="235"/>
      <c r="AJ116" s="247"/>
      <c r="AK116" s="298"/>
      <c r="AL116" s="235"/>
      <c r="AM116" s="235"/>
      <c r="AN116" s="235"/>
      <c r="AO116" s="36"/>
      <c r="AP116" s="269"/>
      <c r="AQ116" s="269"/>
      <c r="AR116" s="269"/>
      <c r="AS116" s="36"/>
      <c r="AT116" s="36"/>
      <c r="AU116" s="36"/>
      <c r="AV116" s="36"/>
      <c r="AW116" s="36"/>
      <c r="AX116" s="36"/>
      <c r="AY116" s="36"/>
      <c r="AZ116" s="36"/>
      <c r="BA116" s="36"/>
      <c r="BB116" s="36"/>
    </row>
    <row r="117" spans="1:54" ht="13" x14ac:dyDescent="0.3">
      <c r="A117" s="244">
        <v>9257031</v>
      </c>
      <c r="B117" s="237" t="s">
        <v>257</v>
      </c>
      <c r="C117" s="238">
        <v>4</v>
      </c>
      <c r="D117" s="245">
        <f t="shared" si="17"/>
        <v>7045.4006550218164</v>
      </c>
      <c r="E117" s="245">
        <f t="shared" si="18"/>
        <v>9986.8554284934235</v>
      </c>
      <c r="F117" s="68">
        <f t="shared" si="21"/>
        <v>17032.25608351524</v>
      </c>
      <c r="G117" s="245">
        <f t="shared" si="19"/>
        <v>0</v>
      </c>
      <c r="H117" s="245">
        <f t="shared" si="20"/>
        <v>0</v>
      </c>
      <c r="I117" s="68">
        <f t="shared" si="22"/>
        <v>0</v>
      </c>
      <c r="J117" s="812">
        <f t="shared" si="23"/>
        <v>17032.25608351524</v>
      </c>
      <c r="K117" s="235"/>
      <c r="L117" s="235"/>
      <c r="M117" s="42"/>
      <c r="N117" s="235"/>
      <c r="O117" s="235"/>
      <c r="P117" s="42"/>
      <c r="Q117" s="42"/>
      <c r="R117" s="42"/>
      <c r="S117" s="269"/>
      <c r="T117" s="235"/>
      <c r="U117" s="36"/>
      <c r="V117" s="235"/>
      <c r="W117" s="235"/>
      <c r="X117" s="235"/>
      <c r="Y117" s="235"/>
      <c r="Z117" s="235"/>
      <c r="AA117" s="235"/>
      <c r="AB117" s="235"/>
      <c r="AC117" s="235"/>
      <c r="AD117" s="235"/>
      <c r="AE117" s="235"/>
      <c r="AF117" s="235"/>
      <c r="AG117" s="235"/>
      <c r="AH117" s="247"/>
      <c r="AI117" s="235"/>
      <c r="AJ117" s="382"/>
      <c r="AK117" s="298"/>
      <c r="AL117" s="235"/>
      <c r="AM117" s="235"/>
      <c r="AN117" s="235"/>
      <c r="AO117" s="36"/>
      <c r="AP117" s="269"/>
      <c r="AQ117" s="269"/>
      <c r="AR117" s="269"/>
      <c r="AS117" s="36"/>
      <c r="AT117" s="36"/>
      <c r="AU117" s="36"/>
      <c r="AV117" s="36"/>
      <c r="AW117" s="36"/>
      <c r="AX117" s="36"/>
      <c r="AY117" s="36"/>
      <c r="AZ117" s="36"/>
      <c r="BA117" s="36"/>
      <c r="BB117" s="36"/>
    </row>
    <row r="118" spans="1:54" ht="13" x14ac:dyDescent="0.3">
      <c r="A118" s="244">
        <v>9257033</v>
      </c>
      <c r="B118" s="237" t="s">
        <v>220</v>
      </c>
      <c r="C118" s="238">
        <v>3</v>
      </c>
      <c r="D118" s="245">
        <f t="shared" si="17"/>
        <v>4991.5736614427587</v>
      </c>
      <c r="E118" s="245">
        <f t="shared" si="18"/>
        <v>6917.6152156560265</v>
      </c>
      <c r="F118" s="68">
        <f t="shared" si="21"/>
        <v>11909.188877098786</v>
      </c>
      <c r="G118" s="245">
        <f t="shared" si="19"/>
        <v>0</v>
      </c>
      <c r="H118" s="245">
        <f t="shared" si="20"/>
        <v>0</v>
      </c>
      <c r="I118" s="68">
        <f t="shared" si="22"/>
        <v>0</v>
      </c>
      <c r="J118" s="812">
        <f t="shared" si="23"/>
        <v>11909.188877098786</v>
      </c>
      <c r="K118" s="235"/>
      <c r="L118" s="235"/>
      <c r="M118" s="42"/>
      <c r="N118" s="235"/>
      <c r="O118" s="235"/>
      <c r="P118" s="42"/>
      <c r="Q118" s="42"/>
      <c r="R118" s="42"/>
      <c r="S118" s="269"/>
      <c r="T118" s="235"/>
      <c r="U118" s="36"/>
      <c r="V118" s="235"/>
      <c r="W118" s="235"/>
      <c r="X118" s="235"/>
      <c r="Y118" s="235"/>
      <c r="Z118" s="235"/>
      <c r="AA118" s="235"/>
      <c r="AB118" s="235"/>
      <c r="AC118" s="235"/>
      <c r="AD118" s="235"/>
      <c r="AE118" s="235"/>
      <c r="AF118" s="235"/>
      <c r="AG118" s="235"/>
      <c r="AH118" s="247"/>
      <c r="AI118" s="235"/>
      <c r="AJ118" s="382"/>
      <c r="AK118" s="298"/>
      <c r="AL118" s="235"/>
      <c r="AM118" s="235"/>
      <c r="AN118" s="235"/>
      <c r="AO118" s="36"/>
      <c r="AP118" s="269"/>
      <c r="AQ118" s="269"/>
      <c r="AR118" s="269"/>
      <c r="AS118" s="36"/>
      <c r="AT118" s="36"/>
      <c r="AU118" s="36"/>
      <c r="AV118" s="36"/>
      <c r="AW118" s="36"/>
      <c r="AX118" s="36"/>
      <c r="AY118" s="36"/>
      <c r="AZ118" s="36"/>
      <c r="BA118" s="36"/>
      <c r="BB118" s="36"/>
    </row>
    <row r="119" spans="1:54" ht="13" x14ac:dyDescent="0.3">
      <c r="A119" s="244">
        <v>9257008</v>
      </c>
      <c r="B119" s="237" t="s">
        <v>212</v>
      </c>
      <c r="C119" s="238">
        <v>4</v>
      </c>
      <c r="D119" s="245">
        <f t="shared" si="17"/>
        <v>5027.0240641365317</v>
      </c>
      <c r="E119" s="245">
        <f t="shared" si="18"/>
        <v>7109.6483192788091</v>
      </c>
      <c r="F119" s="68">
        <f t="shared" si="21"/>
        <v>12136.672383415342</v>
      </c>
      <c r="G119" s="245">
        <f t="shared" si="19"/>
        <v>0</v>
      </c>
      <c r="H119" s="245">
        <f t="shared" si="20"/>
        <v>0</v>
      </c>
      <c r="I119" s="68">
        <f t="shared" si="22"/>
        <v>0</v>
      </c>
      <c r="J119" s="812">
        <f t="shared" si="23"/>
        <v>12136.672383415342</v>
      </c>
      <c r="K119" s="235"/>
      <c r="L119" s="235"/>
      <c r="M119" s="42"/>
      <c r="N119" s="235"/>
      <c r="O119" s="235"/>
      <c r="P119" s="42"/>
      <c r="Q119" s="42"/>
      <c r="R119" s="42"/>
      <c r="S119" s="269"/>
      <c r="T119" s="235"/>
      <c r="U119" s="36"/>
      <c r="V119" s="235"/>
      <c r="W119" s="235"/>
      <c r="X119" s="235"/>
      <c r="Y119" s="235"/>
      <c r="Z119" s="235"/>
      <c r="AA119" s="235"/>
      <c r="AB119" s="235"/>
      <c r="AC119" s="235"/>
      <c r="AD119" s="235"/>
      <c r="AE119" s="235"/>
      <c r="AF119" s="235"/>
      <c r="AG119" s="235"/>
      <c r="AH119" s="247"/>
      <c r="AI119" s="235"/>
      <c r="AJ119" s="382"/>
      <c r="AK119" s="298"/>
      <c r="AL119" s="235"/>
      <c r="AM119" s="235"/>
      <c r="AN119" s="235"/>
      <c r="AO119" s="36"/>
      <c r="AP119" s="269"/>
      <c r="AQ119" s="269"/>
      <c r="AR119" s="269"/>
      <c r="AS119" s="36"/>
      <c r="AT119" s="36"/>
      <c r="AU119" s="36"/>
      <c r="AV119" s="36"/>
      <c r="AW119" s="36"/>
      <c r="AX119" s="36"/>
      <c r="AY119" s="36"/>
      <c r="AZ119" s="36"/>
      <c r="BA119" s="36"/>
      <c r="BB119" s="36"/>
    </row>
    <row r="120" spans="1:54" ht="13" x14ac:dyDescent="0.3">
      <c r="A120" s="244">
        <v>9257034</v>
      </c>
      <c r="B120" s="237" t="s">
        <v>221</v>
      </c>
      <c r="C120" s="238">
        <v>5</v>
      </c>
      <c r="D120" s="245">
        <f t="shared" si="17"/>
        <v>4387.4817600498927</v>
      </c>
      <c r="E120" s="245">
        <f t="shared" si="18"/>
        <v>5750.4016259377322</v>
      </c>
      <c r="F120" s="68">
        <f t="shared" si="21"/>
        <v>10137.883385987625</v>
      </c>
      <c r="G120" s="245">
        <f t="shared" si="19"/>
        <v>1269.5691901420967</v>
      </c>
      <c r="H120" s="245">
        <f t="shared" si="20"/>
        <v>2389.7772990910057</v>
      </c>
      <c r="I120" s="68">
        <f t="shared" si="22"/>
        <v>3659.3464892331021</v>
      </c>
      <c r="J120" s="812">
        <f t="shared" si="23"/>
        <v>13797.229875220728</v>
      </c>
      <c r="K120" s="235"/>
      <c r="L120" s="235"/>
      <c r="M120" s="42"/>
      <c r="N120" s="235"/>
      <c r="O120" s="235"/>
      <c r="P120" s="42"/>
      <c r="Q120" s="42"/>
      <c r="R120" s="42"/>
      <c r="S120" s="269"/>
      <c r="T120" s="235"/>
      <c r="U120" s="36"/>
      <c r="V120" s="235"/>
      <c r="W120" s="235"/>
      <c r="X120" s="235"/>
      <c r="Y120" s="235"/>
      <c r="Z120" s="235"/>
      <c r="AA120" s="235"/>
      <c r="AB120" s="235"/>
      <c r="AC120" s="235"/>
      <c r="AD120" s="235"/>
      <c r="AE120" s="235"/>
      <c r="AF120" s="235"/>
      <c r="AG120" s="235"/>
      <c r="AH120" s="247"/>
      <c r="AI120" s="235"/>
      <c r="AJ120" s="382"/>
      <c r="AK120" s="298"/>
      <c r="AL120" s="235"/>
      <c r="AM120" s="235"/>
      <c r="AN120" s="235"/>
      <c r="AO120" s="36"/>
      <c r="AP120" s="269"/>
      <c r="AQ120" s="269"/>
      <c r="AR120" s="269"/>
      <c r="AS120" s="36"/>
      <c r="AT120" s="36"/>
      <c r="AU120" s="36"/>
      <c r="AV120" s="36"/>
      <c r="AW120" s="36"/>
      <c r="AX120" s="36"/>
      <c r="AY120" s="36"/>
      <c r="AZ120" s="36"/>
      <c r="BA120" s="36"/>
      <c r="BB120" s="36"/>
    </row>
    <row r="121" spans="1:54" ht="13" x14ac:dyDescent="0.3">
      <c r="A121" s="244">
        <v>9257002</v>
      </c>
      <c r="B121" s="237" t="s">
        <v>213</v>
      </c>
      <c r="C121" s="238">
        <v>5</v>
      </c>
      <c r="D121" s="245">
        <f t="shared" si="17"/>
        <v>6799.9935019757831</v>
      </c>
      <c r="E121" s="245">
        <f t="shared" si="18"/>
        <v>9583.4575087845351</v>
      </c>
      <c r="F121" s="68">
        <f t="shared" si="21"/>
        <v>16383.451010760318</v>
      </c>
      <c r="G121" s="245">
        <f t="shared" si="19"/>
        <v>0</v>
      </c>
      <c r="H121" s="245">
        <f t="shared" si="20"/>
        <v>0</v>
      </c>
      <c r="I121" s="68">
        <f t="shared" si="22"/>
        <v>0</v>
      </c>
      <c r="J121" s="812">
        <f t="shared" si="23"/>
        <v>16383.451010760318</v>
      </c>
      <c r="K121" s="235"/>
      <c r="L121" s="235"/>
      <c r="M121" s="42"/>
      <c r="N121" s="235"/>
      <c r="O121" s="235"/>
      <c r="P121" s="42"/>
      <c r="Q121" s="42"/>
      <c r="R121" s="42"/>
      <c r="S121" s="269"/>
      <c r="T121" s="235"/>
      <c r="U121" s="36"/>
      <c r="V121" s="235"/>
      <c r="W121" s="235"/>
      <c r="X121" s="235"/>
      <c r="Y121" s="235"/>
      <c r="Z121" s="235"/>
      <c r="AA121" s="235"/>
      <c r="AB121" s="235"/>
      <c r="AC121" s="235"/>
      <c r="AD121" s="235"/>
      <c r="AE121" s="235"/>
      <c r="AF121" s="235"/>
      <c r="AG121" s="235"/>
      <c r="AH121" s="247"/>
      <c r="AI121" s="235"/>
      <c r="AJ121" s="382"/>
      <c r="AK121" s="298"/>
      <c r="AL121" s="235"/>
      <c r="AM121" s="235"/>
      <c r="AN121" s="235"/>
      <c r="AO121" s="36"/>
      <c r="AP121" s="269"/>
      <c r="AQ121" s="269"/>
      <c r="AR121" s="269"/>
      <c r="AS121" s="36"/>
      <c r="AT121" s="36"/>
      <c r="AU121" s="36"/>
      <c r="AV121" s="36"/>
      <c r="AW121" s="36"/>
      <c r="AX121" s="36"/>
      <c r="AY121" s="36"/>
      <c r="AZ121" s="36"/>
      <c r="BA121" s="36"/>
      <c r="BB121" s="36"/>
    </row>
    <row r="122" spans="1:54" ht="13" x14ac:dyDescent="0.3">
      <c r="A122" s="244">
        <v>9257009</v>
      </c>
      <c r="B122" s="237" t="s">
        <v>214</v>
      </c>
      <c r="C122" s="238">
        <v>4</v>
      </c>
      <c r="D122" s="245">
        <f t="shared" si="17"/>
        <v>5573.3816114992642</v>
      </c>
      <c r="E122" s="245">
        <f t="shared" si="18"/>
        <v>7802.73425609897</v>
      </c>
      <c r="F122" s="68">
        <f t="shared" si="21"/>
        <v>13376.115867598233</v>
      </c>
      <c r="G122" s="245">
        <f t="shared" si="19"/>
        <v>0</v>
      </c>
      <c r="H122" s="245">
        <f t="shared" si="20"/>
        <v>0</v>
      </c>
      <c r="I122" s="68">
        <f t="shared" si="22"/>
        <v>0</v>
      </c>
      <c r="J122" s="812">
        <f t="shared" si="23"/>
        <v>13376.115867598233</v>
      </c>
      <c r="K122" s="235"/>
      <c r="L122" s="235"/>
      <c r="M122" s="42"/>
      <c r="N122" s="235"/>
      <c r="O122" s="235"/>
      <c r="P122" s="42"/>
      <c r="Q122" s="42"/>
      <c r="R122" s="42"/>
      <c r="S122" s="269"/>
      <c r="T122" s="235"/>
      <c r="U122" s="36"/>
      <c r="V122" s="235"/>
      <c r="W122" s="235"/>
      <c r="X122" s="235"/>
      <c r="Y122" s="235"/>
      <c r="Z122" s="235"/>
      <c r="AA122" s="235"/>
      <c r="AB122" s="235"/>
      <c r="AC122" s="235"/>
      <c r="AD122" s="235"/>
      <c r="AE122" s="235"/>
      <c r="AF122" s="235"/>
      <c r="AG122" s="235"/>
      <c r="AH122" s="247"/>
      <c r="AI122" s="235"/>
      <c r="AJ122" s="382"/>
      <c r="AK122" s="298"/>
      <c r="AL122" s="235"/>
      <c r="AM122" s="235"/>
      <c r="AN122" s="235"/>
      <c r="AO122" s="36"/>
      <c r="AP122" s="269"/>
      <c r="AQ122" s="269"/>
      <c r="AR122" s="269"/>
      <c r="AS122" s="36"/>
      <c r="AT122" s="36"/>
      <c r="AU122" s="36"/>
      <c r="AV122" s="36"/>
      <c r="AW122" s="36"/>
      <c r="AX122" s="36"/>
      <c r="AY122" s="36"/>
      <c r="AZ122" s="36"/>
      <c r="BA122" s="36"/>
      <c r="BB122" s="36"/>
    </row>
    <row r="123" spans="1:54" ht="13" x14ac:dyDescent="0.3">
      <c r="A123" s="244">
        <v>9257029</v>
      </c>
      <c r="B123" s="237" t="s">
        <v>890</v>
      </c>
      <c r="C123" s="238">
        <v>3</v>
      </c>
      <c r="D123" s="245">
        <f t="shared" si="17"/>
        <v>6164.7255731440891</v>
      </c>
      <c r="E123" s="245">
        <f t="shared" si="18"/>
        <v>9616.9718941047795</v>
      </c>
      <c r="F123" s="68">
        <f t="shared" si="21"/>
        <v>15781.697467248869</v>
      </c>
      <c r="G123" s="245">
        <f t="shared" si="19"/>
        <v>0</v>
      </c>
      <c r="H123" s="245">
        <f t="shared" si="20"/>
        <v>0</v>
      </c>
      <c r="I123" s="68">
        <f t="shared" si="22"/>
        <v>0</v>
      </c>
      <c r="J123" s="812">
        <f t="shared" si="23"/>
        <v>15781.697467248869</v>
      </c>
      <c r="K123" s="235"/>
      <c r="L123" s="235"/>
      <c r="M123" s="42"/>
      <c r="N123" s="235"/>
      <c r="O123" s="235"/>
      <c r="P123" s="42"/>
      <c r="Q123" s="42"/>
      <c r="R123" s="42"/>
      <c r="S123" s="269"/>
      <c r="T123" s="235"/>
      <c r="U123" s="36"/>
      <c r="V123" s="235"/>
      <c r="W123" s="235"/>
      <c r="X123" s="235"/>
      <c r="Y123" s="235"/>
      <c r="Z123" s="235"/>
      <c r="AA123" s="235"/>
      <c r="AB123" s="235"/>
      <c r="AC123" s="235"/>
      <c r="AD123" s="235"/>
      <c r="AE123" s="235"/>
      <c r="AF123" s="235"/>
      <c r="AG123" s="235"/>
      <c r="AH123" s="247"/>
      <c r="AI123" s="235"/>
      <c r="AJ123" s="382"/>
      <c r="AK123" s="298"/>
      <c r="AL123" s="235"/>
      <c r="AM123" s="235"/>
      <c r="AN123" s="235"/>
      <c r="AO123" s="36"/>
      <c r="AP123" s="269"/>
      <c r="AQ123" s="269"/>
      <c r="AR123" s="269"/>
      <c r="AS123" s="36"/>
      <c r="AT123" s="36"/>
      <c r="AU123" s="36"/>
      <c r="AV123" s="36"/>
      <c r="AW123" s="36"/>
      <c r="AX123" s="36"/>
      <c r="AY123" s="36"/>
      <c r="AZ123" s="36"/>
      <c r="BA123" s="36"/>
      <c r="BB123" s="36"/>
    </row>
    <row r="124" spans="1:54" ht="13" x14ac:dyDescent="0.3">
      <c r="A124" s="244">
        <v>9257032</v>
      </c>
      <c r="B124" s="237" t="s">
        <v>1043</v>
      </c>
      <c r="C124" s="238">
        <v>4</v>
      </c>
      <c r="D124" s="245">
        <f t="shared" si="17"/>
        <v>7221.5356713973615</v>
      </c>
      <c r="E124" s="245">
        <f t="shared" si="18"/>
        <v>12822.629192139706</v>
      </c>
      <c r="F124" s="68">
        <f t="shared" si="21"/>
        <v>20044.164863537066</v>
      </c>
      <c r="G124" s="245">
        <f t="shared" si="19"/>
        <v>0</v>
      </c>
      <c r="H124" s="245">
        <f t="shared" si="20"/>
        <v>0</v>
      </c>
      <c r="I124" s="68">
        <f t="shared" si="22"/>
        <v>0</v>
      </c>
      <c r="J124" s="812">
        <f t="shared" si="23"/>
        <v>20044.164863537066</v>
      </c>
      <c r="K124" s="235"/>
      <c r="L124" s="235"/>
      <c r="M124" s="42"/>
      <c r="N124" s="235"/>
      <c r="O124" s="235"/>
      <c r="P124" s="42"/>
      <c r="Q124" s="42"/>
      <c r="R124" s="42"/>
      <c r="S124" s="269"/>
      <c r="T124" s="235"/>
      <c r="U124" s="36"/>
      <c r="V124" s="235"/>
      <c r="W124" s="235"/>
      <c r="X124" s="235"/>
      <c r="Y124" s="235"/>
      <c r="Z124" s="235"/>
      <c r="AA124" s="235"/>
      <c r="AB124" s="235"/>
      <c r="AC124" s="235"/>
      <c r="AD124" s="235"/>
      <c r="AE124" s="235"/>
      <c r="AF124" s="235"/>
      <c r="AG124" s="235"/>
      <c r="AH124" s="247"/>
      <c r="AI124" s="235"/>
      <c r="AJ124" s="382"/>
      <c r="AK124" s="298"/>
      <c r="AL124" s="235"/>
      <c r="AM124" s="235"/>
      <c r="AN124" s="235"/>
      <c r="AO124" s="36"/>
      <c r="AP124" s="269"/>
      <c r="AQ124" s="269"/>
      <c r="AR124" s="269"/>
      <c r="AS124" s="36"/>
      <c r="AT124" s="36"/>
      <c r="AU124" s="36"/>
      <c r="AV124" s="36"/>
      <c r="AW124" s="36"/>
      <c r="AX124" s="36"/>
      <c r="AY124" s="36"/>
      <c r="AZ124" s="36"/>
      <c r="BA124" s="36"/>
      <c r="BB124" s="36"/>
    </row>
    <row r="125" spans="1:54" ht="13" x14ac:dyDescent="0.3">
      <c r="A125" s="244">
        <v>9257030</v>
      </c>
      <c r="B125" s="237" t="s">
        <v>1046</v>
      </c>
      <c r="C125" s="238">
        <v>4</v>
      </c>
      <c r="D125" s="245">
        <f t="shared" si="17"/>
        <v>6605.0631140829528</v>
      </c>
      <c r="E125" s="245">
        <f t="shared" si="18"/>
        <v>8877.2048253274879</v>
      </c>
      <c r="F125" s="68">
        <f t="shared" si="21"/>
        <v>15482.267939410442</v>
      </c>
      <c r="G125" s="245">
        <f t="shared" si="19"/>
        <v>0</v>
      </c>
      <c r="H125" s="245">
        <f t="shared" si="20"/>
        <v>0</v>
      </c>
      <c r="I125" s="68">
        <f t="shared" si="22"/>
        <v>0</v>
      </c>
      <c r="J125" s="812">
        <f t="shared" si="23"/>
        <v>15482.267939410442</v>
      </c>
      <c r="K125" s="235"/>
      <c r="L125" s="235"/>
      <c r="M125" s="42"/>
      <c r="N125" s="235"/>
      <c r="O125" s="235"/>
      <c r="P125" s="42"/>
      <c r="Q125" s="42"/>
      <c r="R125" s="42"/>
      <c r="S125" s="269"/>
      <c r="T125" s="235"/>
      <c r="U125" s="36"/>
      <c r="V125" s="235"/>
      <c r="W125" s="235"/>
      <c r="X125" s="235"/>
      <c r="Y125" s="235"/>
      <c r="Z125" s="235"/>
      <c r="AA125" s="235"/>
      <c r="AB125" s="235"/>
      <c r="AC125" s="235"/>
      <c r="AD125" s="235"/>
      <c r="AE125" s="235"/>
      <c r="AF125" s="235"/>
      <c r="AG125" s="235"/>
      <c r="AH125" s="247"/>
      <c r="AI125" s="235"/>
      <c r="AJ125" s="382"/>
      <c r="AK125" s="298"/>
      <c r="AL125" s="235"/>
      <c r="AM125" s="235"/>
      <c r="AN125" s="235"/>
      <c r="AO125" s="36"/>
      <c r="AP125" s="269"/>
      <c r="AQ125" s="269"/>
      <c r="AR125" s="269"/>
      <c r="AS125" s="36"/>
      <c r="AT125" s="36"/>
      <c r="AU125" s="36"/>
      <c r="AV125" s="36"/>
      <c r="AW125" s="36"/>
      <c r="AX125" s="36"/>
      <c r="AY125" s="36"/>
      <c r="AZ125" s="36"/>
      <c r="BA125" s="36"/>
      <c r="BB125" s="36"/>
    </row>
    <row r="126" spans="1:54" ht="13" x14ac:dyDescent="0.3">
      <c r="A126" s="244">
        <v>9257028</v>
      </c>
      <c r="B126" s="237" t="s">
        <v>215</v>
      </c>
      <c r="C126" s="238">
        <v>5</v>
      </c>
      <c r="D126" s="245">
        <f t="shared" si="17"/>
        <v>6482.1182674558213</v>
      </c>
      <c r="E126" s="245">
        <f t="shared" si="18"/>
        <v>11667.812881420479</v>
      </c>
      <c r="F126" s="68">
        <f t="shared" si="21"/>
        <v>18149.931148876301</v>
      </c>
      <c r="G126" s="245">
        <f t="shared" si="19"/>
        <v>455.88524078810167</v>
      </c>
      <c r="H126" s="245">
        <f t="shared" si="20"/>
        <v>569.856550985127</v>
      </c>
      <c r="I126" s="68">
        <f t="shared" si="22"/>
        <v>1025.7417917732287</v>
      </c>
      <c r="J126" s="812">
        <f t="shared" si="23"/>
        <v>19175.672940649529</v>
      </c>
      <c r="K126" s="235"/>
      <c r="L126" s="235"/>
      <c r="M126" s="42"/>
      <c r="N126" s="235"/>
      <c r="O126" s="235"/>
      <c r="P126" s="42"/>
      <c r="Q126" s="42"/>
      <c r="R126" s="42"/>
      <c r="S126" s="269"/>
      <c r="T126" s="235"/>
      <c r="U126" s="36"/>
      <c r="V126" s="235"/>
      <c r="W126" s="235"/>
      <c r="X126" s="235"/>
      <c r="Y126" s="235"/>
      <c r="Z126" s="235"/>
      <c r="AA126" s="235"/>
      <c r="AB126" s="235"/>
      <c r="AC126" s="235"/>
      <c r="AD126" s="235"/>
      <c r="AE126" s="235"/>
      <c r="AF126" s="235"/>
      <c r="AG126" s="235"/>
      <c r="AH126" s="247"/>
      <c r="AI126" s="235"/>
      <c r="AJ126" s="382"/>
      <c r="AK126" s="298"/>
      <c r="AL126" s="235"/>
      <c r="AM126" s="235"/>
      <c r="AN126" s="235"/>
      <c r="AO126" s="36"/>
      <c r="AP126" s="269"/>
      <c r="AQ126" s="269"/>
      <c r="AR126" s="269"/>
      <c r="AS126" s="36"/>
      <c r="AT126" s="36"/>
      <c r="AU126" s="36"/>
      <c r="AV126" s="36"/>
      <c r="AW126" s="36"/>
      <c r="AX126" s="36"/>
      <c r="AY126" s="36"/>
      <c r="AZ126" s="36"/>
      <c r="BA126" s="36"/>
      <c r="BB126" s="36"/>
    </row>
    <row r="127" spans="1:54" ht="13" x14ac:dyDescent="0.3">
      <c r="A127" s="244">
        <v>9257021</v>
      </c>
      <c r="B127" s="237" t="s">
        <v>216</v>
      </c>
      <c r="C127" s="238">
        <v>5</v>
      </c>
      <c r="D127" s="245">
        <f t="shared" si="17"/>
        <v>8349.1027109715415</v>
      </c>
      <c r="E127" s="245">
        <f t="shared" si="18"/>
        <v>11899.986153107629</v>
      </c>
      <c r="F127" s="68">
        <f t="shared" si="21"/>
        <v>20249.088864079171</v>
      </c>
      <c r="G127" s="245">
        <f t="shared" si="19"/>
        <v>0</v>
      </c>
      <c r="H127" s="245">
        <f t="shared" si="20"/>
        <v>0</v>
      </c>
      <c r="I127" s="68">
        <f t="shared" si="22"/>
        <v>0</v>
      </c>
      <c r="J127" s="812">
        <f t="shared" si="23"/>
        <v>20249.088864079171</v>
      </c>
      <c r="K127" s="235"/>
      <c r="L127" s="235"/>
      <c r="M127" s="42"/>
      <c r="N127" s="235"/>
      <c r="O127" s="235"/>
      <c r="P127" s="42"/>
      <c r="Q127" s="42"/>
      <c r="R127" s="42"/>
      <c r="S127" s="269"/>
      <c r="T127" s="235"/>
      <c r="U127" s="36"/>
      <c r="V127" s="235"/>
      <c r="W127" s="235"/>
      <c r="X127" s="235"/>
      <c r="Y127" s="235"/>
      <c r="Z127" s="235"/>
      <c r="AA127" s="235"/>
      <c r="AB127" s="235"/>
      <c r="AC127" s="235"/>
      <c r="AD127" s="235"/>
      <c r="AE127" s="235"/>
      <c r="AF127" s="235"/>
      <c r="AG127" s="235"/>
      <c r="AH127" s="247"/>
      <c r="AI127" s="235"/>
      <c r="AJ127" s="382"/>
      <c r="AK127" s="298"/>
      <c r="AL127" s="235"/>
      <c r="AM127" s="235"/>
      <c r="AN127" s="235"/>
      <c r="AO127" s="36"/>
      <c r="AP127" s="269"/>
      <c r="AQ127" s="269"/>
      <c r="AR127" s="269"/>
      <c r="AS127" s="36"/>
      <c r="AT127" s="36"/>
      <c r="AU127" s="36"/>
      <c r="AV127" s="36"/>
      <c r="AW127" s="36"/>
      <c r="AX127" s="36"/>
      <c r="AY127" s="36"/>
      <c r="AZ127" s="36"/>
      <c r="BA127" s="36"/>
      <c r="BB127" s="36"/>
    </row>
    <row r="128" spans="1:54" ht="13" x14ac:dyDescent="0.3">
      <c r="A128" s="244">
        <v>9257015</v>
      </c>
      <c r="B128" s="237" t="s">
        <v>217</v>
      </c>
      <c r="C128" s="238">
        <v>6</v>
      </c>
      <c r="D128" s="245">
        <f t="shared" si="17"/>
        <v>10980.622291183381</v>
      </c>
      <c r="E128" s="245">
        <f t="shared" si="18"/>
        <v>15304.242318336839</v>
      </c>
      <c r="F128" s="68">
        <f t="shared" si="21"/>
        <v>26284.86460952022</v>
      </c>
      <c r="G128" s="245">
        <f t="shared" si="19"/>
        <v>313.73206546238237</v>
      </c>
      <c r="H128" s="245">
        <f t="shared" si="20"/>
        <v>235.29904909678672</v>
      </c>
      <c r="I128" s="68">
        <f t="shared" si="22"/>
        <v>549.03111455916905</v>
      </c>
      <c r="J128" s="812">
        <f t="shared" si="23"/>
        <v>26833.89572407939</v>
      </c>
      <c r="K128" s="235"/>
      <c r="L128" s="235"/>
      <c r="M128" s="42"/>
      <c r="N128" s="235"/>
      <c r="O128" s="235"/>
      <c r="P128" s="42"/>
      <c r="Q128" s="42"/>
      <c r="R128" s="42"/>
      <c r="S128" s="269"/>
      <c r="T128" s="235"/>
      <c r="U128" s="36"/>
      <c r="V128" s="235"/>
      <c r="W128" s="235"/>
      <c r="X128" s="235"/>
      <c r="Y128" s="235"/>
      <c r="Z128" s="235"/>
      <c r="AA128" s="235"/>
      <c r="AB128" s="235"/>
      <c r="AC128" s="235"/>
      <c r="AD128" s="235"/>
      <c r="AE128" s="235"/>
      <c r="AF128" s="235"/>
      <c r="AG128" s="235"/>
      <c r="AH128" s="247"/>
      <c r="AI128" s="235"/>
      <c r="AJ128" s="382"/>
      <c r="AK128" s="298"/>
      <c r="AL128" s="235"/>
      <c r="AM128" s="235"/>
      <c r="AN128" s="235"/>
      <c r="AO128" s="36"/>
      <c r="AP128" s="269"/>
      <c r="AQ128" s="269"/>
      <c r="AR128" s="269"/>
      <c r="AS128" s="36"/>
      <c r="AT128" s="36"/>
      <c r="AU128" s="36"/>
      <c r="AV128" s="36"/>
      <c r="AW128" s="36"/>
      <c r="AX128" s="36"/>
      <c r="AY128" s="36"/>
      <c r="AZ128" s="36"/>
      <c r="BA128" s="36"/>
      <c r="BB128" s="36"/>
    </row>
    <row r="129" spans="1:54" ht="13" x14ac:dyDescent="0.3">
      <c r="A129" s="244">
        <v>9257016</v>
      </c>
      <c r="B129" s="237" t="s">
        <v>219</v>
      </c>
      <c r="C129" s="238">
        <v>6</v>
      </c>
      <c r="D129" s="245">
        <f t="shared" si="17"/>
        <v>9962.6593866757739</v>
      </c>
      <c r="E129" s="245">
        <f t="shared" si="18"/>
        <v>13313.735725830351</v>
      </c>
      <c r="F129" s="68">
        <f t="shared" si="21"/>
        <v>23276.395112506125</v>
      </c>
      <c r="G129" s="245">
        <f t="shared" si="19"/>
        <v>3405.4181176273551</v>
      </c>
      <c r="H129" s="245">
        <f t="shared" si="20"/>
        <v>8549.7731463835717</v>
      </c>
      <c r="I129" s="68">
        <f t="shared" si="22"/>
        <v>11955.191264010926</v>
      </c>
      <c r="J129" s="812">
        <f>F129+I129</f>
        <v>35231.586376517051</v>
      </c>
      <c r="K129" s="235"/>
      <c r="L129" s="235"/>
      <c r="M129" s="42"/>
      <c r="N129" s="235"/>
      <c r="O129" s="235"/>
      <c r="P129" s="42"/>
      <c r="Q129" s="42"/>
      <c r="R129" s="42"/>
      <c r="S129" s="269"/>
      <c r="T129" s="235"/>
      <c r="U129" s="36"/>
      <c r="V129" s="235"/>
      <c r="W129" s="235"/>
      <c r="X129" s="235"/>
      <c r="Y129" s="235"/>
      <c r="Z129" s="235"/>
      <c r="AA129" s="235"/>
      <c r="AB129" s="235"/>
      <c r="AC129" s="235"/>
      <c r="AD129" s="235"/>
      <c r="AE129" s="235"/>
      <c r="AF129" s="235"/>
      <c r="AG129" s="235"/>
      <c r="AH129" s="247"/>
      <c r="AI129" s="235"/>
      <c r="AJ129" s="382"/>
      <c r="AK129" s="298"/>
      <c r="AL129" s="235"/>
      <c r="AM129" s="235"/>
      <c r="AN129" s="235"/>
      <c r="AO129" s="36"/>
      <c r="AP129" s="269"/>
      <c r="AQ129" s="269"/>
      <c r="AR129" s="269"/>
      <c r="AS129" s="36"/>
      <c r="AT129" s="36"/>
      <c r="AU129" s="36"/>
      <c r="AV129" s="36"/>
      <c r="AW129" s="36"/>
      <c r="AX129" s="36"/>
      <c r="AY129" s="36"/>
      <c r="AZ129" s="36"/>
      <c r="BA129" s="36"/>
      <c r="BB129" s="36"/>
    </row>
    <row r="130" spans="1:54" x14ac:dyDescent="0.25">
      <c r="A130" s="36"/>
      <c r="B130" s="36"/>
      <c r="C130" s="36"/>
      <c r="D130" s="36"/>
      <c r="E130" s="36"/>
      <c r="F130" s="234"/>
      <c r="G130" s="234"/>
      <c r="H130" s="36"/>
      <c r="I130" s="36"/>
      <c r="J130" s="36"/>
      <c r="K130" s="36"/>
      <c r="L130" s="36"/>
      <c r="M130" s="234" t="s">
        <v>1612</v>
      </c>
      <c r="N130" s="36"/>
      <c r="O130" s="36"/>
      <c r="P130" s="36"/>
      <c r="Q130" s="36"/>
      <c r="R130" s="36"/>
      <c r="S130" s="288"/>
      <c r="T130" s="36"/>
      <c r="U130" s="36"/>
      <c r="V130" s="36"/>
      <c r="W130" s="36"/>
      <c r="X130" s="36"/>
      <c r="Y130" s="36"/>
      <c r="Z130" s="36"/>
      <c r="AA130" s="36"/>
      <c r="AB130" s="36"/>
      <c r="AC130" s="36"/>
      <c r="AD130" s="36"/>
      <c r="AE130" s="36"/>
      <c r="AF130" s="36"/>
      <c r="AG130" s="36"/>
      <c r="AH130" s="36"/>
      <c r="AI130" s="36"/>
      <c r="AJ130" s="36"/>
      <c r="AK130" s="36"/>
      <c r="AL130" s="234"/>
      <c r="AM130" s="235"/>
      <c r="AN130" s="36"/>
      <c r="AO130" s="36"/>
      <c r="AP130" s="36"/>
      <c r="AQ130" s="36"/>
      <c r="AR130" s="36"/>
      <c r="AS130" s="36"/>
      <c r="AT130" s="36"/>
      <c r="AU130" s="36"/>
      <c r="AV130" s="36"/>
      <c r="AW130" s="36"/>
      <c r="AX130" s="36"/>
      <c r="AY130" s="36"/>
      <c r="AZ130" s="36"/>
      <c r="BA130" s="36"/>
      <c r="BB130" s="36"/>
    </row>
    <row r="131" spans="1:54" ht="13" thickBot="1" x14ac:dyDescent="0.3">
      <c r="A131" s="36"/>
      <c r="B131" s="36"/>
      <c r="C131" s="36"/>
      <c r="D131" s="250">
        <f t="shared" ref="D131:I131" si="24">SUM(D112:D129)</f>
        <v>110713.36156925379</v>
      </c>
      <c r="E131" s="250">
        <f t="shared" si="24"/>
        <v>164442.65242959157</v>
      </c>
      <c r="F131" s="250">
        <f t="shared" si="24"/>
        <v>275156.01399884536</v>
      </c>
      <c r="G131" s="250">
        <f t="shared" si="24"/>
        <v>9734.018226254233</v>
      </c>
      <c r="H131" s="250">
        <f t="shared" si="24"/>
        <v>21260.166214200024</v>
      </c>
      <c r="I131" s="250">
        <f t="shared" si="24"/>
        <v>30994.184440454257</v>
      </c>
      <c r="J131" s="250">
        <f>SUM(J112:J129)</f>
        <v>306150.19843929959</v>
      </c>
      <c r="K131" s="235"/>
      <c r="L131" s="235"/>
      <c r="M131" s="235">
        <v>427672.30972198473</v>
      </c>
      <c r="N131" s="235">
        <f>J131-M131</f>
        <v>-121522.11128268513</v>
      </c>
      <c r="O131" s="235"/>
      <c r="P131" s="235"/>
      <c r="Q131" s="235"/>
      <c r="R131" s="235"/>
      <c r="S131" s="269"/>
      <c r="T131" s="235"/>
      <c r="U131" s="36"/>
      <c r="V131" s="247"/>
      <c r="W131" s="247"/>
      <c r="X131" s="235"/>
      <c r="Y131" s="235"/>
      <c r="Z131" s="235"/>
      <c r="AA131" s="235"/>
      <c r="AB131" s="235"/>
      <c r="AC131" s="235"/>
      <c r="AD131" s="235"/>
      <c r="AE131" s="235"/>
      <c r="AF131" s="235"/>
      <c r="AG131" s="235"/>
      <c r="AH131" s="247"/>
      <c r="AI131" s="235"/>
      <c r="AJ131" s="296"/>
      <c r="AK131" s="36"/>
      <c r="AL131" s="235"/>
      <c r="AM131" s="235"/>
      <c r="AN131" s="235"/>
      <c r="AO131" s="36"/>
      <c r="AP131" s="36"/>
      <c r="AQ131" s="36"/>
      <c r="AR131" s="36"/>
      <c r="AS131" s="36"/>
      <c r="AT131" s="36"/>
      <c r="AU131" s="36"/>
      <c r="AV131" s="36"/>
      <c r="AW131" s="36"/>
      <c r="AX131" s="36"/>
      <c r="AY131" s="36"/>
      <c r="AZ131" s="36"/>
      <c r="BA131" s="36"/>
      <c r="BB131" s="36"/>
    </row>
    <row r="132" spans="1:54" x14ac:dyDescent="0.25">
      <c r="A132" s="36"/>
      <c r="B132" s="36"/>
      <c r="C132" s="36"/>
      <c r="D132" s="36"/>
      <c r="E132" s="36"/>
      <c r="F132" s="234"/>
      <c r="G132" s="234"/>
      <c r="H132" s="36"/>
      <c r="I132" s="36"/>
      <c r="J132" s="36"/>
      <c r="K132" s="36"/>
      <c r="L132" s="36"/>
      <c r="M132" s="36"/>
      <c r="N132" s="36"/>
      <c r="O132" s="36"/>
      <c r="P132" s="36"/>
      <c r="Q132" s="36"/>
      <c r="R132" s="36"/>
      <c r="S132" s="288"/>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234"/>
      <c r="AW132" s="234"/>
      <c r="AX132" s="36"/>
      <c r="AY132" s="36"/>
      <c r="AZ132" s="234"/>
      <c r="BA132" s="234"/>
      <c r="BB132" s="234"/>
    </row>
    <row r="133" spans="1:54" x14ac:dyDescent="0.25">
      <c r="A133" s="36"/>
      <c r="B133" s="36"/>
      <c r="C133" s="36"/>
      <c r="D133" s="381" t="s">
        <v>206</v>
      </c>
      <c r="E133" s="381" t="s">
        <v>206</v>
      </c>
      <c r="F133" s="381" t="s">
        <v>206</v>
      </c>
      <c r="G133" s="381" t="s">
        <v>206</v>
      </c>
      <c r="H133" s="381" t="s">
        <v>206</v>
      </c>
      <c r="I133" s="381" t="s">
        <v>206</v>
      </c>
      <c r="J133" s="381" t="s">
        <v>206</v>
      </c>
      <c r="K133" s="298"/>
      <c r="L133" s="298"/>
      <c r="M133" s="298"/>
      <c r="N133" s="298"/>
      <c r="O133" s="298"/>
      <c r="P133" s="298"/>
      <c r="Q133" s="298"/>
      <c r="R133" s="298"/>
      <c r="S133" s="233"/>
      <c r="T133" s="298"/>
      <c r="U133" s="36"/>
      <c r="V133" s="298"/>
      <c r="W133" s="298"/>
      <c r="X133" s="298"/>
      <c r="Y133" s="298"/>
      <c r="Z133" s="298"/>
      <c r="AA133" s="298"/>
      <c r="AB133" s="298"/>
      <c r="AC133" s="298"/>
      <c r="AD133" s="298"/>
      <c r="AE133" s="298"/>
      <c r="AF133" s="298"/>
      <c r="AG133" s="298"/>
      <c r="AH133" s="298"/>
      <c r="AI133" s="298"/>
      <c r="AJ133" s="36"/>
      <c r="AK133" s="36"/>
      <c r="AL133" s="36"/>
      <c r="AM133" s="36"/>
      <c r="AN133" s="296"/>
      <c r="AO133" s="36"/>
      <c r="AP133" s="36"/>
      <c r="AQ133" s="36"/>
      <c r="AR133" s="36"/>
      <c r="AS133" s="36"/>
      <c r="AT133" s="36"/>
      <c r="AU133" s="36"/>
      <c r="AV133" s="234"/>
      <c r="AW133" s="234"/>
      <c r="AX133" s="36"/>
      <c r="AY133" s="36"/>
      <c r="AZ133" s="234"/>
      <c r="BA133" s="234"/>
      <c r="BB133" s="234"/>
    </row>
    <row r="135" spans="1:54" x14ac:dyDescent="0.25">
      <c r="A135" s="36"/>
      <c r="B135" s="36"/>
      <c r="C135" s="36"/>
      <c r="D135" s="36"/>
      <c r="E135" s="36"/>
      <c r="F135" s="36"/>
      <c r="G135" s="36"/>
      <c r="H135" s="36"/>
      <c r="I135" s="234"/>
      <c r="J135" s="234" t="s">
        <v>1613</v>
      </c>
      <c r="K135" s="36"/>
      <c r="L135" s="36"/>
      <c r="M135" s="36"/>
      <c r="N135" s="36"/>
      <c r="O135" s="36"/>
      <c r="P135" s="36"/>
      <c r="Q135" s="36"/>
      <c r="R135" s="36"/>
      <c r="S135" s="288"/>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234"/>
      <c r="AW135" s="234"/>
      <c r="AX135" s="36"/>
      <c r="AY135" s="36"/>
      <c r="AZ135" s="234"/>
      <c r="BA135" s="234"/>
      <c r="BB135" s="234"/>
    </row>
    <row r="137" spans="1:54" x14ac:dyDescent="0.25">
      <c r="A137" s="36"/>
      <c r="B137" s="36"/>
      <c r="C137" s="36"/>
      <c r="D137" s="36"/>
      <c r="E137" s="36"/>
      <c r="F137" s="36"/>
      <c r="G137" s="36"/>
      <c r="H137" s="36"/>
      <c r="I137" s="234"/>
      <c r="J137" s="298" t="s">
        <v>1614</v>
      </c>
      <c r="K137" s="296"/>
      <c r="L137" s="297">
        <f>('2122 Band Values'!E5-'2122 Band Values'!K5)*'2223 Funding Detail'!M22</f>
        <v>111058.91266458297</v>
      </c>
      <c r="M137" s="36"/>
      <c r="N137" s="36"/>
      <c r="O137" s="36"/>
      <c r="P137" s="36"/>
      <c r="Q137" s="36"/>
      <c r="R137" s="36"/>
      <c r="S137" s="288"/>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234"/>
      <c r="AW137" s="234"/>
      <c r="AX137" s="36"/>
      <c r="AY137" s="36"/>
      <c r="AZ137" s="234"/>
      <c r="BA137" s="234"/>
      <c r="BB137" s="234"/>
    </row>
    <row r="140" spans="1:54" x14ac:dyDescent="0.25">
      <c r="A140"/>
      <c r="B140"/>
      <c r="C140" s="316" t="s">
        <v>1615</v>
      </c>
      <c r="D140" s="36"/>
      <c r="E140" s="36"/>
      <c r="F140" s="36"/>
      <c r="G140" s="36"/>
      <c r="H140" s="36"/>
      <c r="I140" s="234"/>
      <c r="J140" s="234"/>
      <c r="K140" s="36"/>
      <c r="L140" s="36"/>
      <c r="M140" s="36"/>
      <c r="N140" s="36"/>
      <c r="O140" s="36"/>
      <c r="P140" s="36"/>
      <c r="Q140" s="36"/>
      <c r="R140" s="36"/>
      <c r="S140" s="288"/>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234"/>
      <c r="AW140" s="234"/>
      <c r="AX140" s="36"/>
      <c r="AY140" s="36"/>
      <c r="AZ140" s="234"/>
      <c r="BA140" s="234"/>
      <c r="BB140" s="234"/>
    </row>
    <row r="141" spans="1:54" x14ac:dyDescent="0.25">
      <c r="A141" s="289" t="s">
        <v>1616</v>
      </c>
      <c r="B141"/>
      <c r="C141" s="316" t="s">
        <v>1584</v>
      </c>
      <c r="D141" s="36"/>
      <c r="E141" s="36"/>
      <c r="F141" s="36"/>
      <c r="G141" s="36"/>
      <c r="H141" s="36"/>
      <c r="I141" s="234"/>
      <c r="J141" s="234"/>
      <c r="K141" s="36"/>
      <c r="L141" s="36"/>
      <c r="M141" s="36"/>
      <c r="N141" s="36"/>
      <c r="O141" s="36"/>
      <c r="P141" s="36"/>
      <c r="Q141" s="36"/>
      <c r="R141" s="36"/>
      <c r="S141" s="288"/>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234"/>
      <c r="AW141" s="234"/>
      <c r="AX141" s="36"/>
      <c r="AY141" s="36"/>
      <c r="AZ141" s="234"/>
      <c r="BA141" s="234"/>
      <c r="BB141" s="234"/>
    </row>
    <row r="142" spans="1:54" x14ac:dyDescent="0.25">
      <c r="A142"/>
      <c r="B142" s="289" t="s">
        <v>735</v>
      </c>
      <c r="C142" s="16">
        <f>('2122 Band Values'!D11-'2122 Band Values'!J11)+('2122 Band Values'!E11-'2122 Band Values'!K11)</f>
        <v>154.38271532535475</v>
      </c>
      <c r="D142" s="36"/>
      <c r="E142" s="36"/>
      <c r="F142" s="36"/>
      <c r="G142" s="36"/>
      <c r="H142" s="36"/>
      <c r="I142" s="234"/>
      <c r="J142" s="234"/>
      <c r="K142" s="36"/>
      <c r="L142" s="36"/>
      <c r="M142" s="36"/>
      <c r="N142" s="36"/>
      <c r="O142" s="36"/>
      <c r="P142" s="36"/>
      <c r="Q142" s="36"/>
      <c r="R142" s="36"/>
      <c r="S142" s="288"/>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234"/>
      <c r="AW142" s="234"/>
      <c r="AX142" s="36"/>
      <c r="AY142" s="36"/>
      <c r="AZ142" s="234"/>
      <c r="BA142" s="234"/>
      <c r="BB142" s="234"/>
    </row>
    <row r="143" spans="1:54" x14ac:dyDescent="0.25">
      <c r="A143"/>
      <c r="B143" s="289" t="s">
        <v>736</v>
      </c>
      <c r="C143" s="16">
        <f>('2122 Band Values'!D8-'2122 Band Values'!J8)+('2122 Band Values'!E8-'2122 Band Values'!K8)</f>
        <v>174.61633432098813</v>
      </c>
      <c r="D143" s="36"/>
      <c r="E143" s="36"/>
      <c r="F143" s="36"/>
      <c r="G143" s="36"/>
      <c r="H143" s="36"/>
      <c r="I143" s="234"/>
      <c r="J143" s="234"/>
      <c r="K143" s="36"/>
      <c r="L143" s="36"/>
      <c r="M143" s="36"/>
      <c r="N143" s="36"/>
      <c r="O143" s="36"/>
      <c r="P143" s="36"/>
      <c r="Q143" s="36"/>
      <c r="R143" s="36"/>
      <c r="S143" s="288"/>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234"/>
      <c r="AW143" s="234"/>
      <c r="AX143" s="36"/>
      <c r="AY143" s="36"/>
      <c r="AZ143" s="234"/>
      <c r="BA143" s="234"/>
      <c r="BB143" s="234"/>
    </row>
    <row r="144" spans="1:54" x14ac:dyDescent="0.25">
      <c r="A144"/>
      <c r="B144" s="289" t="s">
        <v>737</v>
      </c>
      <c r="C144" s="16">
        <f>('2122 Band Values'!D17-'2122 Band Values'!J17)+('2122 Band Values'!E17-'2122 Band Values'!K17)</f>
        <v>417.4197622685864</v>
      </c>
      <c r="D144" s="36"/>
      <c r="E144" s="36"/>
      <c r="F144" s="36"/>
      <c r="G144" s="36"/>
      <c r="H144" s="36"/>
      <c r="I144" s="234"/>
      <c r="J144" s="234"/>
      <c r="K144" s="36"/>
      <c r="L144" s="36"/>
      <c r="M144" s="36"/>
      <c r="N144" s="36"/>
      <c r="O144" s="36"/>
      <c r="P144" s="36"/>
      <c r="Q144" s="36"/>
      <c r="R144" s="36"/>
      <c r="S144" s="288"/>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234"/>
      <c r="AW144" s="234"/>
      <c r="AX144" s="36"/>
      <c r="AY144" s="36"/>
      <c r="AZ144" s="234"/>
      <c r="BA144" s="234"/>
      <c r="BB144" s="234"/>
    </row>
    <row r="145" spans="1:3" x14ac:dyDescent="0.25">
      <c r="A145"/>
      <c r="B145" s="289" t="s">
        <v>738</v>
      </c>
      <c r="C145" s="16">
        <f>('2122 Band Values'!D5-'2122 Band Values'!J5)+('2122 Band Values'!E5-'2122 Band Values'!K5)</f>
        <v>508.47104774893467</v>
      </c>
    </row>
    <row r="146" spans="1:3" x14ac:dyDescent="0.25">
      <c r="A146"/>
      <c r="B146" s="289" t="s">
        <v>739</v>
      </c>
      <c r="C146" s="16">
        <f>('2122 Band Values'!D14-'2122 Band Values'!J14)+('2122 Band Values'!E14-'2122 Band Values'!K14)</f>
        <v>508.47104774893467</v>
      </c>
    </row>
    <row r="147" spans="1:3" x14ac:dyDescent="0.25">
      <c r="A147"/>
      <c r="B147" t="s">
        <v>741</v>
      </c>
      <c r="C147" s="16">
        <f>('2122 Band Values'!D22-'2122 Band Values'!J22)+('2122 Band Values'!E22-'2122 Band Values'!K22)</f>
        <v>457.8870002598527</v>
      </c>
    </row>
    <row r="148" spans="1:3" x14ac:dyDescent="0.25">
      <c r="A148"/>
      <c r="B148" t="s">
        <v>743</v>
      </c>
      <c r="C148" s="16">
        <f>'2122 Band Values'!D24-'2122 Band Values'!J24</f>
        <v>872.91485555928739</v>
      </c>
    </row>
  </sheetData>
  <mergeCells count="9">
    <mergeCell ref="O4:P4"/>
    <mergeCell ref="O26:P26"/>
    <mergeCell ref="O48:P48"/>
    <mergeCell ref="O70:P70"/>
    <mergeCell ref="D110:F110"/>
    <mergeCell ref="G110:I110"/>
    <mergeCell ref="K110:M110"/>
    <mergeCell ref="N110:P110"/>
    <mergeCell ref="AI110:AI111"/>
  </mergeCells>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FC000"/>
  </sheetPr>
  <dimension ref="B2:V68"/>
  <sheetViews>
    <sheetView workbookViewId="0">
      <selection activeCell="B48" sqref="B48:S68"/>
    </sheetView>
  </sheetViews>
  <sheetFormatPr defaultColWidth="9.1796875" defaultRowHeight="12.5" x14ac:dyDescent="0.25"/>
  <cols>
    <col min="1" max="1" width="9.1796875" style="34"/>
    <col min="2" max="2" width="18" style="34" customWidth="1"/>
    <col min="3" max="3" width="11" style="34" customWidth="1"/>
    <col min="4" max="4" width="11.7265625" style="34" customWidth="1"/>
    <col min="5" max="5" width="10.453125" style="34" customWidth="1"/>
    <col min="6" max="8" width="9.54296875" style="34" bestFit="1" customWidth="1"/>
    <col min="9" max="9" width="9" style="34" customWidth="1"/>
    <col min="10" max="11" width="9.54296875" style="34" bestFit="1" customWidth="1"/>
    <col min="12" max="16" width="9.1796875" style="34"/>
    <col min="17" max="17" width="10.81640625" style="34" customWidth="1"/>
    <col min="18" max="18" width="9.1796875" style="34"/>
    <col min="19" max="19" width="10" style="34" customWidth="1"/>
    <col min="20" max="22" width="9.1796875" style="34"/>
    <col min="23" max="23" width="10.453125" style="34" customWidth="1"/>
    <col min="24" max="16384" width="9.1796875" style="34"/>
  </cols>
  <sheetData>
    <row r="2" spans="2:22" ht="13" x14ac:dyDescent="0.3">
      <c r="B2" s="454" t="s">
        <v>1617</v>
      </c>
      <c r="C2" s="316"/>
      <c r="D2" s="316"/>
      <c r="E2" s="316"/>
      <c r="F2" s="316"/>
      <c r="G2" s="316"/>
      <c r="H2" s="316"/>
      <c r="I2" s="316"/>
      <c r="J2" s="316"/>
      <c r="K2" s="316"/>
      <c r="L2" s="316"/>
      <c r="M2" s="316"/>
      <c r="N2" s="316"/>
      <c r="O2" s="316"/>
      <c r="P2" s="316"/>
      <c r="Q2" s="316"/>
      <c r="R2" s="316"/>
      <c r="S2" s="316"/>
      <c r="T2" s="316"/>
      <c r="U2" s="1541" t="s">
        <v>992</v>
      </c>
      <c r="V2" s="1542"/>
    </row>
    <row r="4" spans="2:22" ht="21" x14ac:dyDescent="0.25">
      <c r="B4" s="316"/>
      <c r="C4" s="358" t="s">
        <v>183</v>
      </c>
      <c r="D4" s="358" t="s">
        <v>184</v>
      </c>
      <c r="E4" s="359" t="s">
        <v>792</v>
      </c>
      <c r="F4" s="360" t="s">
        <v>735</v>
      </c>
      <c r="G4" s="361" t="s">
        <v>901</v>
      </c>
      <c r="H4" s="360" t="s">
        <v>736</v>
      </c>
      <c r="I4" s="361" t="s">
        <v>920</v>
      </c>
      <c r="J4" s="360" t="s">
        <v>737</v>
      </c>
      <c r="K4" s="361" t="s">
        <v>921</v>
      </c>
      <c r="L4" s="360" t="s">
        <v>738</v>
      </c>
      <c r="M4" s="361" t="s">
        <v>922</v>
      </c>
      <c r="N4" s="362" t="s">
        <v>739</v>
      </c>
      <c r="O4" s="363" t="s">
        <v>923</v>
      </c>
      <c r="P4" s="360" t="s">
        <v>741</v>
      </c>
      <c r="Q4" s="361" t="s">
        <v>924</v>
      </c>
      <c r="R4" s="362" t="s">
        <v>743</v>
      </c>
      <c r="S4" s="363" t="s">
        <v>925</v>
      </c>
      <c r="T4" s="316"/>
      <c r="U4" s="316"/>
      <c r="V4" s="316"/>
    </row>
    <row r="5" spans="2:22" ht="20.5" x14ac:dyDescent="0.25">
      <c r="B5" s="238">
        <v>9257010</v>
      </c>
      <c r="C5" s="455" t="s">
        <v>205</v>
      </c>
      <c r="D5" s="365">
        <v>4</v>
      </c>
      <c r="E5" s="453">
        <v>63</v>
      </c>
      <c r="F5" s="367">
        <v>1</v>
      </c>
      <c r="G5" s="368">
        <f>F5/E5</f>
        <v>1.5873015873015872E-2</v>
      </c>
      <c r="H5" s="369">
        <v>20</v>
      </c>
      <c r="I5" s="368">
        <f>H5/E5</f>
        <v>0.31746031746031744</v>
      </c>
      <c r="J5" s="369">
        <v>6</v>
      </c>
      <c r="K5" s="368">
        <f>J5/E5</f>
        <v>9.5238095238095233E-2</v>
      </c>
      <c r="L5" s="369">
        <v>11</v>
      </c>
      <c r="M5" s="368">
        <f>L5/E5</f>
        <v>0.17460317460317459</v>
      </c>
      <c r="N5" s="370">
        <v>4</v>
      </c>
      <c r="O5" s="371">
        <f>N5/E5</f>
        <v>6.3492063492063489E-2</v>
      </c>
      <c r="P5" s="369">
        <v>12</v>
      </c>
      <c r="Q5" s="368">
        <f>P5/E5</f>
        <v>0.19047619047619047</v>
      </c>
      <c r="R5" s="370">
        <v>9</v>
      </c>
      <c r="S5" s="371">
        <f>R5/E5</f>
        <v>0.14285714285714285</v>
      </c>
      <c r="T5" s="316"/>
      <c r="U5" s="376">
        <f>F5+H5+J5+L5+N5+P5+R5</f>
        <v>63</v>
      </c>
      <c r="V5" s="379">
        <f>G5+I5+K5+M5+O5+Q5+S5</f>
        <v>1</v>
      </c>
    </row>
    <row r="6" spans="2:22" ht="20.5" x14ac:dyDescent="0.25">
      <c r="B6" s="238">
        <v>9257005</v>
      </c>
      <c r="C6" s="455" t="s">
        <v>208</v>
      </c>
      <c r="D6" s="365" t="s">
        <v>1178</v>
      </c>
      <c r="E6" s="453">
        <v>80</v>
      </c>
      <c r="F6" s="367">
        <v>4</v>
      </c>
      <c r="G6" s="368">
        <f>F6/E6</f>
        <v>0.05</v>
      </c>
      <c r="H6" s="369">
        <v>32</v>
      </c>
      <c r="I6" s="368">
        <f>H6/E6</f>
        <v>0.4</v>
      </c>
      <c r="J6" s="369">
        <v>5</v>
      </c>
      <c r="K6" s="368">
        <f>J6/E6</f>
        <v>6.25E-2</v>
      </c>
      <c r="L6" s="369">
        <v>12</v>
      </c>
      <c r="M6" s="368">
        <f>L6/E6</f>
        <v>0.15</v>
      </c>
      <c r="N6" s="370">
        <v>10</v>
      </c>
      <c r="O6" s="371">
        <f>N6/E6</f>
        <v>0.125</v>
      </c>
      <c r="P6" s="369">
        <v>12</v>
      </c>
      <c r="Q6" s="368">
        <f>P6/E6</f>
        <v>0.15</v>
      </c>
      <c r="R6" s="370">
        <v>5</v>
      </c>
      <c r="S6" s="371">
        <f>R6/E6</f>
        <v>6.25E-2</v>
      </c>
      <c r="T6" s="316"/>
      <c r="U6" s="376">
        <f t="shared" ref="U6:V22" si="0">F6+H6+J6+L6+N6+P6+R6</f>
        <v>80</v>
      </c>
      <c r="V6" s="379">
        <f t="shared" si="0"/>
        <v>1</v>
      </c>
    </row>
    <row r="7" spans="2:22" ht="20.5" x14ac:dyDescent="0.25">
      <c r="B7" s="238">
        <v>9257025</v>
      </c>
      <c r="C7" s="455" t="s">
        <v>209</v>
      </c>
      <c r="D7" s="365">
        <v>4</v>
      </c>
      <c r="E7" s="453">
        <v>77</v>
      </c>
      <c r="F7" s="367">
        <v>12</v>
      </c>
      <c r="G7" s="368">
        <f>F7/E7</f>
        <v>0.15584415584415584</v>
      </c>
      <c r="H7" s="369">
        <v>31</v>
      </c>
      <c r="I7" s="368">
        <f>H7/E7</f>
        <v>0.40259740259740262</v>
      </c>
      <c r="J7" s="369">
        <v>3</v>
      </c>
      <c r="K7" s="368">
        <f>J7/E7</f>
        <v>3.896103896103896E-2</v>
      </c>
      <c r="L7" s="369">
        <v>12</v>
      </c>
      <c r="M7" s="368">
        <f>L7/E7</f>
        <v>0.15584415584415584</v>
      </c>
      <c r="N7" s="370">
        <v>4</v>
      </c>
      <c r="O7" s="371">
        <f>N7/E7</f>
        <v>5.1948051948051951E-2</v>
      </c>
      <c r="P7" s="369">
        <v>11</v>
      </c>
      <c r="Q7" s="368">
        <f>P7/E7</f>
        <v>0.14285714285714285</v>
      </c>
      <c r="R7" s="370">
        <v>4</v>
      </c>
      <c r="S7" s="371">
        <f>R7/E7</f>
        <v>5.1948051948051951E-2</v>
      </c>
      <c r="T7" s="316"/>
      <c r="U7" s="376">
        <f t="shared" si="0"/>
        <v>77</v>
      </c>
      <c r="V7" s="379">
        <f t="shared" si="0"/>
        <v>1</v>
      </c>
    </row>
    <row r="8" spans="2:22" ht="20.5" x14ac:dyDescent="0.25">
      <c r="B8" s="238">
        <v>9257011</v>
      </c>
      <c r="C8" s="455" t="s">
        <v>210</v>
      </c>
      <c r="D8" s="365">
        <v>4</v>
      </c>
      <c r="E8" s="453">
        <v>53</v>
      </c>
      <c r="F8" s="367">
        <v>3</v>
      </c>
      <c r="G8" s="368">
        <f>F8/E8</f>
        <v>5.6603773584905662E-2</v>
      </c>
      <c r="H8" s="369">
        <v>19</v>
      </c>
      <c r="I8" s="368">
        <f>H8/E8</f>
        <v>0.35849056603773582</v>
      </c>
      <c r="J8" s="369">
        <v>1</v>
      </c>
      <c r="K8" s="368">
        <f>J8/E8</f>
        <v>1.8867924528301886E-2</v>
      </c>
      <c r="L8" s="369">
        <v>9</v>
      </c>
      <c r="M8" s="368">
        <f>L8/E8</f>
        <v>0.16981132075471697</v>
      </c>
      <c r="N8" s="370">
        <v>7</v>
      </c>
      <c r="O8" s="371">
        <f>N8/E8</f>
        <v>0.13207547169811321</v>
      </c>
      <c r="P8" s="369">
        <v>8</v>
      </c>
      <c r="Q8" s="368">
        <f>P8/E8</f>
        <v>0.15094339622641509</v>
      </c>
      <c r="R8" s="370">
        <v>6</v>
      </c>
      <c r="S8" s="371">
        <f>R8/E8</f>
        <v>0.11320754716981132</v>
      </c>
      <c r="T8" s="316"/>
      <c r="U8" s="376">
        <f t="shared" si="0"/>
        <v>53</v>
      </c>
      <c r="V8" s="379">
        <f t="shared" si="0"/>
        <v>0.99999999999999989</v>
      </c>
    </row>
    <row r="9" spans="2:22" ht="20.5" x14ac:dyDescent="0.25">
      <c r="B9" s="238">
        <v>9257024</v>
      </c>
      <c r="C9" s="455" t="s">
        <v>211</v>
      </c>
      <c r="D9" s="365">
        <v>4</v>
      </c>
      <c r="E9" s="453">
        <v>83</v>
      </c>
      <c r="F9" s="369">
        <v>7</v>
      </c>
      <c r="G9" s="368">
        <f>F9/E9</f>
        <v>8.4337349397590355E-2</v>
      </c>
      <c r="H9" s="369">
        <v>38</v>
      </c>
      <c r="I9" s="368">
        <f>H9/E9</f>
        <v>0.45783132530120479</v>
      </c>
      <c r="J9" s="369">
        <v>1</v>
      </c>
      <c r="K9" s="368">
        <f>J9/E9</f>
        <v>1.2048192771084338E-2</v>
      </c>
      <c r="L9" s="369">
        <v>15</v>
      </c>
      <c r="M9" s="368">
        <f>L9/E9</f>
        <v>0.18072289156626506</v>
      </c>
      <c r="N9" s="370">
        <v>7</v>
      </c>
      <c r="O9" s="371">
        <f>N9/E9</f>
        <v>8.4337349397590355E-2</v>
      </c>
      <c r="P9" s="369">
        <v>6</v>
      </c>
      <c r="Q9" s="368">
        <f>P9/E9</f>
        <v>7.2289156626506021E-2</v>
      </c>
      <c r="R9" s="370">
        <v>9</v>
      </c>
      <c r="S9" s="371">
        <f>R9/E9</f>
        <v>0.10843373493975904</v>
      </c>
      <c r="T9" s="316"/>
      <c r="U9" s="376">
        <f t="shared" si="0"/>
        <v>83</v>
      </c>
      <c r="V9" s="379">
        <f t="shared" si="0"/>
        <v>1</v>
      </c>
    </row>
    <row r="10" spans="2:22" x14ac:dyDescent="0.25">
      <c r="B10" s="238">
        <v>9257031</v>
      </c>
      <c r="C10" s="455" t="s">
        <v>257</v>
      </c>
      <c r="D10" s="365" t="s">
        <v>1179</v>
      </c>
      <c r="E10" s="453">
        <f>F10+H10+J10+L10+N10+P10+R10</f>
        <v>0</v>
      </c>
      <c r="F10" s="369">
        <v>0</v>
      </c>
      <c r="G10" s="368">
        <v>0</v>
      </c>
      <c r="H10" s="369">
        <v>0</v>
      </c>
      <c r="I10" s="368">
        <v>0</v>
      </c>
      <c r="J10" s="369">
        <v>0</v>
      </c>
      <c r="K10" s="368">
        <v>1</v>
      </c>
      <c r="L10" s="369">
        <v>0</v>
      </c>
      <c r="M10" s="368">
        <v>0</v>
      </c>
      <c r="N10" s="370">
        <v>0</v>
      </c>
      <c r="O10" s="371">
        <v>0</v>
      </c>
      <c r="P10" s="369">
        <v>0</v>
      </c>
      <c r="Q10" s="368">
        <v>0</v>
      </c>
      <c r="R10" s="370">
        <v>0</v>
      </c>
      <c r="S10" s="371">
        <v>0</v>
      </c>
      <c r="T10" s="316"/>
      <c r="U10" s="376">
        <f>F10+H10+J10+L10+N10+P10+R10</f>
        <v>0</v>
      </c>
      <c r="V10" s="379">
        <f>G10+I10+K10+M10+O10+Q10+S10</f>
        <v>1</v>
      </c>
    </row>
    <row r="11" spans="2:22" ht="20.5" x14ac:dyDescent="0.25">
      <c r="B11" s="238">
        <v>9257033</v>
      </c>
      <c r="C11" s="455" t="s">
        <v>220</v>
      </c>
      <c r="D11" s="365" t="s">
        <v>1178</v>
      </c>
      <c r="E11" s="453">
        <v>95</v>
      </c>
      <c r="F11" s="369">
        <v>16</v>
      </c>
      <c r="G11" s="368">
        <f>F11/E11</f>
        <v>0.16842105263157894</v>
      </c>
      <c r="H11" s="369">
        <v>51</v>
      </c>
      <c r="I11" s="368">
        <f>H11/E11</f>
        <v>0.5368421052631579</v>
      </c>
      <c r="J11" s="369">
        <v>6</v>
      </c>
      <c r="K11" s="368">
        <f>J11/E11</f>
        <v>6.3157894736842107E-2</v>
      </c>
      <c r="L11" s="369">
        <v>14</v>
      </c>
      <c r="M11" s="368">
        <f>L11/E11</f>
        <v>0.14736842105263157</v>
      </c>
      <c r="N11" s="370">
        <v>4</v>
      </c>
      <c r="O11" s="371">
        <f>N11/E11</f>
        <v>4.2105263157894736E-2</v>
      </c>
      <c r="P11" s="369">
        <v>4</v>
      </c>
      <c r="Q11" s="368">
        <f>P11/E11</f>
        <v>4.2105263157894736E-2</v>
      </c>
      <c r="R11" s="370">
        <v>0</v>
      </c>
      <c r="S11" s="371">
        <f>R11/E11</f>
        <v>0</v>
      </c>
      <c r="T11" s="316"/>
      <c r="U11" s="376">
        <f>F11+H11+J11+L11+N11+P11+R11</f>
        <v>95</v>
      </c>
      <c r="V11" s="379">
        <f>G11+I11+K11+M11+O11+Q11+S11</f>
        <v>1</v>
      </c>
    </row>
    <row r="12" spans="2:22" ht="20.5" x14ac:dyDescent="0.25">
      <c r="B12" s="238">
        <v>9257008</v>
      </c>
      <c r="C12" s="455" t="s">
        <v>212</v>
      </c>
      <c r="D12" s="365">
        <v>4</v>
      </c>
      <c r="E12" s="453">
        <v>99</v>
      </c>
      <c r="F12" s="369">
        <v>10</v>
      </c>
      <c r="G12" s="368">
        <f>F12/E12</f>
        <v>0.10101010101010101</v>
      </c>
      <c r="H12" s="369">
        <v>58</v>
      </c>
      <c r="I12" s="368">
        <f>H12/E12</f>
        <v>0.58585858585858586</v>
      </c>
      <c r="J12" s="369">
        <v>8</v>
      </c>
      <c r="K12" s="368">
        <f>J12/E12</f>
        <v>8.0808080808080815E-2</v>
      </c>
      <c r="L12" s="369">
        <v>9</v>
      </c>
      <c r="M12" s="368">
        <f>L12/E12</f>
        <v>9.0909090909090912E-2</v>
      </c>
      <c r="N12" s="373">
        <v>1</v>
      </c>
      <c r="O12" s="371">
        <f>N12/E12</f>
        <v>1.0101010101010102E-2</v>
      </c>
      <c r="P12" s="369">
        <v>12</v>
      </c>
      <c r="Q12" s="368">
        <f>P12/E12</f>
        <v>0.12121212121212122</v>
      </c>
      <c r="R12" s="373">
        <v>1</v>
      </c>
      <c r="S12" s="371">
        <f>R12/E12</f>
        <v>1.0101010101010102E-2</v>
      </c>
      <c r="T12" s="316"/>
      <c r="U12" s="376">
        <f t="shared" si="0"/>
        <v>99</v>
      </c>
      <c r="V12" s="379">
        <f t="shared" si="0"/>
        <v>0.99999999999999989</v>
      </c>
    </row>
    <row r="13" spans="2:22" ht="20.5" x14ac:dyDescent="0.25">
      <c r="B13" s="238">
        <v>9257034</v>
      </c>
      <c r="C13" s="455" t="s">
        <v>221</v>
      </c>
      <c r="D13" s="365" t="s">
        <v>1178</v>
      </c>
      <c r="E13" s="453">
        <v>99</v>
      </c>
      <c r="F13" s="369">
        <v>42</v>
      </c>
      <c r="G13" s="368">
        <f>F13/E13</f>
        <v>0.42424242424242425</v>
      </c>
      <c r="H13" s="369">
        <v>29</v>
      </c>
      <c r="I13" s="368">
        <f>H13/E13</f>
        <v>0.29292929292929293</v>
      </c>
      <c r="J13" s="369">
        <v>14</v>
      </c>
      <c r="K13" s="368">
        <f>J13/E13</f>
        <v>0.14141414141414141</v>
      </c>
      <c r="L13" s="369">
        <v>3</v>
      </c>
      <c r="M13" s="368">
        <f>L13/E13</f>
        <v>3.0303030303030304E-2</v>
      </c>
      <c r="N13" s="370">
        <v>4</v>
      </c>
      <c r="O13" s="371">
        <f>N13/E13</f>
        <v>4.0404040404040407E-2</v>
      </c>
      <c r="P13" s="369">
        <v>6</v>
      </c>
      <c r="Q13" s="368">
        <f>P13/E13</f>
        <v>6.0606060606060608E-2</v>
      </c>
      <c r="R13" s="370">
        <v>1</v>
      </c>
      <c r="S13" s="371">
        <f>R13/E13</f>
        <v>1.0101010101010102E-2</v>
      </c>
      <c r="T13" s="316"/>
      <c r="U13" s="376">
        <f>F13+H13+J13+L13+N13+P13+R13</f>
        <v>99</v>
      </c>
      <c r="V13" s="379">
        <f>G13+I13+K13+M13+O13+Q13+S13</f>
        <v>0.99999999999999989</v>
      </c>
    </row>
    <row r="14" spans="2:22" ht="20.5" x14ac:dyDescent="0.25">
      <c r="B14" s="238">
        <v>9257002</v>
      </c>
      <c r="C14" s="455" t="s">
        <v>213</v>
      </c>
      <c r="D14" s="365">
        <v>4</v>
      </c>
      <c r="E14" s="453">
        <v>141</v>
      </c>
      <c r="F14" s="369">
        <v>50</v>
      </c>
      <c r="G14" s="368">
        <f>F14/E14</f>
        <v>0.3546099290780142</v>
      </c>
      <c r="H14" s="369">
        <v>54</v>
      </c>
      <c r="I14" s="368">
        <f>H14/E14</f>
        <v>0.38297872340425532</v>
      </c>
      <c r="J14" s="369">
        <v>18</v>
      </c>
      <c r="K14" s="368">
        <f>J14/E14</f>
        <v>0.1276595744680851</v>
      </c>
      <c r="L14" s="369">
        <v>4</v>
      </c>
      <c r="M14" s="368">
        <f>L14/E14</f>
        <v>2.8368794326241134E-2</v>
      </c>
      <c r="N14" s="370">
        <v>3</v>
      </c>
      <c r="O14" s="371">
        <f>N14/E14</f>
        <v>2.1276595744680851E-2</v>
      </c>
      <c r="P14" s="369">
        <v>11</v>
      </c>
      <c r="Q14" s="368">
        <f>P14/E14</f>
        <v>7.8014184397163122E-2</v>
      </c>
      <c r="R14" s="370">
        <v>1</v>
      </c>
      <c r="S14" s="371">
        <f>R14/E14</f>
        <v>7.0921985815602835E-3</v>
      </c>
      <c r="T14" s="316"/>
      <c r="U14" s="376">
        <f t="shared" si="0"/>
        <v>141</v>
      </c>
      <c r="V14" s="379">
        <f t="shared" si="0"/>
        <v>1</v>
      </c>
    </row>
    <row r="15" spans="2:22" ht="20.5" x14ac:dyDescent="0.25">
      <c r="B15" s="238">
        <v>9257009</v>
      </c>
      <c r="C15" s="455" t="s">
        <v>214</v>
      </c>
      <c r="D15" s="365">
        <v>4</v>
      </c>
      <c r="E15" s="453">
        <v>125</v>
      </c>
      <c r="F15" s="369">
        <v>29</v>
      </c>
      <c r="G15" s="368">
        <f>F15/E15</f>
        <v>0.23200000000000001</v>
      </c>
      <c r="H15" s="369">
        <v>72</v>
      </c>
      <c r="I15" s="368">
        <f>H15/E15</f>
        <v>0.57599999999999996</v>
      </c>
      <c r="J15" s="369">
        <v>10</v>
      </c>
      <c r="K15" s="368">
        <f>J15/E15</f>
        <v>0.08</v>
      </c>
      <c r="L15" s="369">
        <v>3</v>
      </c>
      <c r="M15" s="368">
        <f>L15/E15</f>
        <v>2.4E-2</v>
      </c>
      <c r="N15" s="370">
        <v>1</v>
      </c>
      <c r="O15" s="371">
        <f>N15/E15</f>
        <v>8.0000000000000002E-3</v>
      </c>
      <c r="P15" s="369">
        <v>10</v>
      </c>
      <c r="Q15" s="368">
        <f>P15/E15</f>
        <v>0.08</v>
      </c>
      <c r="R15" s="370">
        <v>0</v>
      </c>
      <c r="S15" s="371">
        <f>R15/E15</f>
        <v>0</v>
      </c>
      <c r="T15" s="316"/>
      <c r="U15" s="376">
        <f t="shared" si="0"/>
        <v>125</v>
      </c>
      <c r="V15" s="379">
        <f t="shared" si="0"/>
        <v>0.99999999999999989</v>
      </c>
    </row>
    <row r="16" spans="2:22" ht="20.5" x14ac:dyDescent="0.25">
      <c r="B16" s="238">
        <v>9257029</v>
      </c>
      <c r="C16" s="455" t="s">
        <v>890</v>
      </c>
      <c r="D16" s="365" t="s">
        <v>1179</v>
      </c>
      <c r="E16" s="453">
        <f>F16+H16+J16+L16+N16+P16+R16</f>
        <v>0</v>
      </c>
      <c r="F16" s="369">
        <v>0</v>
      </c>
      <c r="G16" s="368">
        <v>0</v>
      </c>
      <c r="H16" s="369">
        <v>0</v>
      </c>
      <c r="I16" s="368">
        <v>0</v>
      </c>
      <c r="J16" s="369">
        <v>0</v>
      </c>
      <c r="K16" s="368">
        <v>1</v>
      </c>
      <c r="L16" s="369">
        <v>0</v>
      </c>
      <c r="M16" s="368">
        <v>0</v>
      </c>
      <c r="N16" s="370">
        <v>0</v>
      </c>
      <c r="O16" s="371">
        <v>0</v>
      </c>
      <c r="P16" s="369">
        <v>0</v>
      </c>
      <c r="Q16" s="368">
        <v>0</v>
      </c>
      <c r="R16" s="370">
        <v>0</v>
      </c>
      <c r="S16" s="371">
        <v>0</v>
      </c>
      <c r="T16" s="316"/>
      <c r="U16" s="376">
        <f t="shared" si="0"/>
        <v>0</v>
      </c>
      <c r="V16" s="379">
        <f t="shared" si="0"/>
        <v>1</v>
      </c>
    </row>
    <row r="17" spans="2:22" x14ac:dyDescent="0.25">
      <c r="B17" s="238">
        <v>9257032</v>
      </c>
      <c r="C17" s="455" t="s">
        <v>813</v>
      </c>
      <c r="D17" s="365" t="s">
        <v>1179</v>
      </c>
      <c r="E17" s="453">
        <f>F17+H17+J17+L17+N17+P17+R17</f>
        <v>0</v>
      </c>
      <c r="F17" s="369">
        <v>0</v>
      </c>
      <c r="G17" s="368">
        <v>0</v>
      </c>
      <c r="H17" s="369">
        <v>0</v>
      </c>
      <c r="I17" s="368">
        <v>0</v>
      </c>
      <c r="J17" s="369">
        <v>0</v>
      </c>
      <c r="K17" s="368">
        <v>1</v>
      </c>
      <c r="L17" s="369">
        <v>0</v>
      </c>
      <c r="M17" s="368">
        <v>0</v>
      </c>
      <c r="N17" s="370">
        <v>0</v>
      </c>
      <c r="O17" s="371">
        <v>0</v>
      </c>
      <c r="P17" s="369">
        <v>0</v>
      </c>
      <c r="Q17" s="368">
        <v>0</v>
      </c>
      <c r="R17" s="370">
        <v>0</v>
      </c>
      <c r="S17" s="371">
        <v>0</v>
      </c>
      <c r="T17" s="316"/>
      <c r="U17" s="376">
        <f t="shared" si="0"/>
        <v>0</v>
      </c>
      <c r="V17" s="379">
        <f t="shared" si="0"/>
        <v>1</v>
      </c>
    </row>
    <row r="18" spans="2:22" ht="20.5" x14ac:dyDescent="0.25">
      <c r="B18" s="238">
        <v>9257030</v>
      </c>
      <c r="C18" s="455" t="s">
        <v>815</v>
      </c>
      <c r="D18" s="365" t="s">
        <v>1179</v>
      </c>
      <c r="E18" s="453">
        <f>F18+H18+J18+L18+N18+P18+R18</f>
        <v>0</v>
      </c>
      <c r="F18" s="367">
        <v>0</v>
      </c>
      <c r="G18" s="368">
        <v>0</v>
      </c>
      <c r="H18" s="369">
        <v>0</v>
      </c>
      <c r="I18" s="368">
        <v>0</v>
      </c>
      <c r="J18" s="369">
        <v>0</v>
      </c>
      <c r="K18" s="368">
        <v>1</v>
      </c>
      <c r="L18" s="369">
        <v>0</v>
      </c>
      <c r="M18" s="368">
        <v>0</v>
      </c>
      <c r="N18" s="370">
        <v>0</v>
      </c>
      <c r="O18" s="371">
        <v>0</v>
      </c>
      <c r="P18" s="369">
        <v>0</v>
      </c>
      <c r="Q18" s="368">
        <v>0</v>
      </c>
      <c r="R18" s="370">
        <v>0</v>
      </c>
      <c r="S18" s="371">
        <v>0</v>
      </c>
      <c r="T18" s="316"/>
      <c r="U18" s="376">
        <f t="shared" si="0"/>
        <v>0</v>
      </c>
      <c r="V18" s="379">
        <f t="shared" si="0"/>
        <v>1</v>
      </c>
    </row>
    <row r="19" spans="2:22" ht="20.5" x14ac:dyDescent="0.25">
      <c r="B19" s="238">
        <v>9257028</v>
      </c>
      <c r="C19" s="455" t="s">
        <v>215</v>
      </c>
      <c r="D19" s="365">
        <v>4</v>
      </c>
      <c r="E19" s="453">
        <v>101</v>
      </c>
      <c r="F19" s="369">
        <v>9</v>
      </c>
      <c r="G19" s="368">
        <f>F19/E19</f>
        <v>8.9108910891089105E-2</v>
      </c>
      <c r="H19" s="367">
        <v>41</v>
      </c>
      <c r="I19" s="368">
        <f>H19/E19</f>
        <v>0.40594059405940597</v>
      </c>
      <c r="J19" s="367">
        <v>8</v>
      </c>
      <c r="K19" s="368">
        <f>J19/E19</f>
        <v>7.9207920792079209E-2</v>
      </c>
      <c r="L19" s="367">
        <v>9</v>
      </c>
      <c r="M19" s="368">
        <f>L19/E19</f>
        <v>8.9108910891089105E-2</v>
      </c>
      <c r="N19" s="370">
        <v>13</v>
      </c>
      <c r="O19" s="371">
        <f>N19/E19</f>
        <v>0.12871287128712872</v>
      </c>
      <c r="P19" s="367">
        <v>10</v>
      </c>
      <c r="Q19" s="368">
        <f>P19/E19</f>
        <v>9.9009900990099015E-2</v>
      </c>
      <c r="R19" s="370">
        <v>11</v>
      </c>
      <c r="S19" s="371">
        <f>R19/E19</f>
        <v>0.10891089108910891</v>
      </c>
      <c r="T19" s="316"/>
      <c r="U19" s="376">
        <f t="shared" si="0"/>
        <v>101</v>
      </c>
      <c r="V19" s="379">
        <f t="shared" si="0"/>
        <v>0.99999999999999989</v>
      </c>
    </row>
    <row r="20" spans="2:22" ht="20.5" x14ac:dyDescent="0.25">
      <c r="B20" s="238">
        <v>9257021</v>
      </c>
      <c r="C20" s="455" t="s">
        <v>216</v>
      </c>
      <c r="D20" s="365" t="s">
        <v>1180</v>
      </c>
      <c r="E20" s="453">
        <v>164</v>
      </c>
      <c r="F20" s="369">
        <v>44</v>
      </c>
      <c r="G20" s="368">
        <f>F20/E20</f>
        <v>0.26829268292682928</v>
      </c>
      <c r="H20" s="369">
        <v>70</v>
      </c>
      <c r="I20" s="368">
        <f>H20/E20</f>
        <v>0.42682926829268292</v>
      </c>
      <c r="J20" s="369">
        <v>13</v>
      </c>
      <c r="K20" s="368">
        <f>J20/E20</f>
        <v>7.926829268292683E-2</v>
      </c>
      <c r="L20" s="369">
        <v>11</v>
      </c>
      <c r="M20" s="368">
        <f>L20/E20</f>
        <v>6.7073170731707321E-2</v>
      </c>
      <c r="N20" s="370">
        <v>9</v>
      </c>
      <c r="O20" s="371">
        <f>N20/E20</f>
        <v>5.4878048780487805E-2</v>
      </c>
      <c r="P20" s="369">
        <v>15</v>
      </c>
      <c r="Q20" s="368">
        <f>P20/E20</f>
        <v>9.1463414634146339E-2</v>
      </c>
      <c r="R20" s="370">
        <v>2</v>
      </c>
      <c r="S20" s="371">
        <f>R20/E20</f>
        <v>1.2195121951219513E-2</v>
      </c>
      <c r="T20" s="316"/>
      <c r="U20" s="376">
        <f t="shared" si="0"/>
        <v>164</v>
      </c>
      <c r="V20" s="379">
        <f t="shared" si="0"/>
        <v>0.99999999999999989</v>
      </c>
    </row>
    <row r="21" spans="2:22" ht="20.5" x14ac:dyDescent="0.25">
      <c r="B21" s="238">
        <v>9257015</v>
      </c>
      <c r="C21" s="455" t="s">
        <v>217</v>
      </c>
      <c r="D21" s="365" t="s">
        <v>1181</v>
      </c>
      <c r="E21" s="453">
        <v>226</v>
      </c>
      <c r="F21" s="369">
        <v>75</v>
      </c>
      <c r="G21" s="368">
        <f>F21/E21</f>
        <v>0.33185840707964603</v>
      </c>
      <c r="H21" s="369">
        <v>87</v>
      </c>
      <c r="I21" s="368">
        <f>H21/E21</f>
        <v>0.38495575221238937</v>
      </c>
      <c r="J21" s="369">
        <v>4</v>
      </c>
      <c r="K21" s="368">
        <f>J21/E21</f>
        <v>1.7699115044247787E-2</v>
      </c>
      <c r="L21" s="369">
        <v>20</v>
      </c>
      <c r="M21" s="368">
        <f>L21/E21</f>
        <v>8.8495575221238937E-2</v>
      </c>
      <c r="N21" s="370">
        <v>5</v>
      </c>
      <c r="O21" s="371">
        <f>N21/E21</f>
        <v>2.2123893805309734E-2</v>
      </c>
      <c r="P21" s="369">
        <v>32</v>
      </c>
      <c r="Q21" s="368">
        <f>P21/E21</f>
        <v>0.1415929203539823</v>
      </c>
      <c r="R21" s="370">
        <v>3</v>
      </c>
      <c r="S21" s="371">
        <f>R21/E21</f>
        <v>1.3274336283185841E-2</v>
      </c>
      <c r="T21" s="316"/>
      <c r="U21" s="376">
        <f t="shared" si="0"/>
        <v>226</v>
      </c>
      <c r="V21" s="379">
        <f t="shared" si="0"/>
        <v>1</v>
      </c>
    </row>
    <row r="22" spans="2:22" ht="20.5" x14ac:dyDescent="0.25">
      <c r="B22" s="238">
        <v>9257016</v>
      </c>
      <c r="C22" s="455" t="s">
        <v>219</v>
      </c>
      <c r="D22" s="365" t="s">
        <v>1181</v>
      </c>
      <c r="E22" s="453">
        <v>161</v>
      </c>
      <c r="F22" s="369">
        <v>29</v>
      </c>
      <c r="G22" s="368">
        <f>F22/E22</f>
        <v>0.18012422360248448</v>
      </c>
      <c r="H22" s="369">
        <v>25</v>
      </c>
      <c r="I22" s="368">
        <f>H22/E22</f>
        <v>0.15527950310559005</v>
      </c>
      <c r="J22" s="369">
        <v>1</v>
      </c>
      <c r="K22" s="368">
        <f>J22/E22</f>
        <v>6.2111801242236021E-3</v>
      </c>
      <c r="L22" s="369">
        <v>36</v>
      </c>
      <c r="M22" s="368">
        <f>L22/E22</f>
        <v>0.2236024844720497</v>
      </c>
      <c r="N22" s="370">
        <v>34</v>
      </c>
      <c r="O22" s="371">
        <f>N22/E22</f>
        <v>0.21118012422360249</v>
      </c>
      <c r="P22" s="369">
        <v>2</v>
      </c>
      <c r="Q22" s="368">
        <f>P22/E22</f>
        <v>1.2422360248447204E-2</v>
      </c>
      <c r="R22" s="370">
        <v>34</v>
      </c>
      <c r="S22" s="371">
        <f>R22/E22</f>
        <v>0.21118012422360249</v>
      </c>
      <c r="T22" s="316"/>
      <c r="U22" s="376">
        <f t="shared" si="0"/>
        <v>161</v>
      </c>
      <c r="V22" s="379">
        <f t="shared" si="0"/>
        <v>1</v>
      </c>
    </row>
    <row r="24" spans="2:22" x14ac:dyDescent="0.25">
      <c r="B24" s="316"/>
      <c r="C24" s="316"/>
      <c r="D24" s="316"/>
      <c r="E24" s="376">
        <f>SUM(E5:E23)</f>
        <v>1567</v>
      </c>
      <c r="F24" s="316"/>
      <c r="G24" s="316"/>
      <c r="H24" s="316"/>
      <c r="I24" s="316"/>
      <c r="J24" s="316"/>
      <c r="K24" s="316"/>
      <c r="L24" s="316"/>
      <c r="M24" s="316"/>
      <c r="N24" s="316"/>
      <c r="O24" s="316"/>
      <c r="P24" s="316"/>
      <c r="Q24" s="316"/>
      <c r="R24" s="316"/>
      <c r="S24" s="316"/>
      <c r="T24" s="316"/>
      <c r="U24" s="376">
        <f>SUM(U5:U23)</f>
        <v>1567</v>
      </c>
      <c r="V24" s="316"/>
    </row>
    <row r="26" spans="2:22" ht="13" x14ac:dyDescent="0.3">
      <c r="B26" s="454" t="s">
        <v>1197</v>
      </c>
      <c r="C26" s="316"/>
      <c r="D26" s="316"/>
      <c r="E26" s="316"/>
      <c r="F26" s="316"/>
      <c r="G26" s="316"/>
      <c r="H26" s="316"/>
      <c r="I26" s="316"/>
      <c r="J26" s="316"/>
      <c r="K26" s="316"/>
      <c r="L26" s="316"/>
      <c r="M26" s="316"/>
      <c r="N26" s="316"/>
      <c r="O26" s="316"/>
      <c r="P26" s="316"/>
      <c r="Q26" s="316"/>
      <c r="R26" s="316"/>
      <c r="S26" s="316"/>
      <c r="T26" s="316"/>
      <c r="U26" s="316"/>
      <c r="V26" s="316"/>
    </row>
    <row r="28" spans="2:22" ht="21" x14ac:dyDescent="0.25">
      <c r="B28" s="316"/>
      <c r="C28" s="357" t="s">
        <v>183</v>
      </c>
      <c r="D28" s="358" t="s">
        <v>184</v>
      </c>
      <c r="E28" s="359" t="s">
        <v>792</v>
      </c>
      <c r="F28" s="360" t="s">
        <v>735</v>
      </c>
      <c r="G28" s="361" t="s">
        <v>901</v>
      </c>
      <c r="H28" s="360" t="s">
        <v>736</v>
      </c>
      <c r="I28" s="361" t="s">
        <v>920</v>
      </c>
      <c r="J28" s="360" t="s">
        <v>737</v>
      </c>
      <c r="K28" s="361" t="s">
        <v>921</v>
      </c>
      <c r="L28" s="360" t="s">
        <v>738</v>
      </c>
      <c r="M28" s="361" t="s">
        <v>922</v>
      </c>
      <c r="N28" s="362" t="s">
        <v>739</v>
      </c>
      <c r="O28" s="363" t="s">
        <v>923</v>
      </c>
      <c r="P28" s="360" t="s">
        <v>741</v>
      </c>
      <c r="Q28" s="361" t="s">
        <v>924</v>
      </c>
      <c r="R28" s="362" t="s">
        <v>743</v>
      </c>
      <c r="S28" s="363" t="s">
        <v>925</v>
      </c>
      <c r="T28" s="316"/>
      <c r="U28" s="316"/>
      <c r="V28" s="316"/>
    </row>
    <row r="29" spans="2:22" ht="20.5" x14ac:dyDescent="0.25">
      <c r="B29" s="316"/>
      <c r="C29" s="455" t="s">
        <v>205</v>
      </c>
      <c r="D29" s="365">
        <v>4</v>
      </c>
      <c r="E29" s="453">
        <v>64</v>
      </c>
      <c r="F29" s="367">
        <v>4</v>
      </c>
      <c r="G29" s="368">
        <f>F29/E29</f>
        <v>6.25E-2</v>
      </c>
      <c r="H29" s="369">
        <v>22</v>
      </c>
      <c r="I29" s="368">
        <f>H29/E29</f>
        <v>0.34375</v>
      </c>
      <c r="J29" s="369">
        <v>4</v>
      </c>
      <c r="K29" s="368">
        <f>J29/E29</f>
        <v>6.25E-2</v>
      </c>
      <c r="L29" s="369">
        <v>11</v>
      </c>
      <c r="M29" s="368">
        <f>L29/E29</f>
        <v>0.171875</v>
      </c>
      <c r="N29" s="370">
        <v>3</v>
      </c>
      <c r="O29" s="371">
        <f>N29/E29</f>
        <v>4.6875E-2</v>
      </c>
      <c r="P29" s="369">
        <v>11</v>
      </c>
      <c r="Q29" s="368">
        <f>P29/E29</f>
        <v>0.171875</v>
      </c>
      <c r="R29" s="370">
        <v>9</v>
      </c>
      <c r="S29" s="371">
        <f>R29/E29</f>
        <v>0.140625</v>
      </c>
      <c r="T29" s="316"/>
      <c r="U29" s="316"/>
      <c r="V29" s="316"/>
    </row>
    <row r="30" spans="2:22" ht="20.5" x14ac:dyDescent="0.25">
      <c r="B30" s="316"/>
      <c r="C30" s="455" t="s">
        <v>208</v>
      </c>
      <c r="D30" s="365" t="s">
        <v>1178</v>
      </c>
      <c r="E30" s="453">
        <v>76</v>
      </c>
      <c r="F30" s="367">
        <v>6</v>
      </c>
      <c r="G30" s="368">
        <f>F30/E30</f>
        <v>7.8947368421052627E-2</v>
      </c>
      <c r="H30" s="369">
        <v>27</v>
      </c>
      <c r="I30" s="368">
        <f>H30/E30</f>
        <v>0.35526315789473684</v>
      </c>
      <c r="J30" s="369">
        <v>5</v>
      </c>
      <c r="K30" s="368">
        <f>J30/E30</f>
        <v>6.5789473684210523E-2</v>
      </c>
      <c r="L30" s="369">
        <v>11</v>
      </c>
      <c r="M30" s="368">
        <f>L30/E30</f>
        <v>0.14473684210526316</v>
      </c>
      <c r="N30" s="370">
        <v>11</v>
      </c>
      <c r="O30" s="371">
        <f>N30/E30</f>
        <v>0.14473684210526316</v>
      </c>
      <c r="P30" s="369">
        <v>12</v>
      </c>
      <c r="Q30" s="368">
        <f>P30/E30</f>
        <v>0.15789473684210525</v>
      </c>
      <c r="R30" s="370">
        <v>4</v>
      </c>
      <c r="S30" s="371">
        <f>R30/E30</f>
        <v>5.2631578947368418E-2</v>
      </c>
      <c r="T30" s="316"/>
      <c r="U30" s="316"/>
      <c r="V30" s="316"/>
    </row>
    <row r="31" spans="2:22" ht="20.5" x14ac:dyDescent="0.25">
      <c r="B31" s="316"/>
      <c r="C31" s="455" t="s">
        <v>209</v>
      </c>
      <c r="D31" s="365">
        <v>4</v>
      </c>
      <c r="E31" s="453">
        <f>F31+H31+J31+L31+N31+P31+R31</f>
        <v>74</v>
      </c>
      <c r="F31" s="367">
        <v>12</v>
      </c>
      <c r="G31" s="368">
        <f>F31/E31</f>
        <v>0.16216216216216217</v>
      </c>
      <c r="H31" s="369">
        <v>26</v>
      </c>
      <c r="I31" s="368">
        <f>H31/E31</f>
        <v>0.35135135135135137</v>
      </c>
      <c r="J31" s="369">
        <v>5</v>
      </c>
      <c r="K31" s="368">
        <f>J31/E31</f>
        <v>6.7567567567567571E-2</v>
      </c>
      <c r="L31" s="369">
        <v>13</v>
      </c>
      <c r="M31" s="368">
        <f>L31/E31</f>
        <v>0.17567567567567569</v>
      </c>
      <c r="N31" s="370">
        <v>4</v>
      </c>
      <c r="O31" s="371">
        <f>N31/E31</f>
        <v>5.4054054054054057E-2</v>
      </c>
      <c r="P31" s="369">
        <v>10</v>
      </c>
      <c r="Q31" s="368">
        <f>P31/E31</f>
        <v>0.13513513513513514</v>
      </c>
      <c r="R31" s="370">
        <v>4</v>
      </c>
      <c r="S31" s="371">
        <f>R31/E31</f>
        <v>5.4054054054054057E-2</v>
      </c>
      <c r="T31" s="316"/>
      <c r="U31" s="316"/>
      <c r="V31" s="316"/>
    </row>
    <row r="32" spans="2:22" ht="20.5" x14ac:dyDescent="0.25">
      <c r="B32" s="316"/>
      <c r="C32" s="455" t="s">
        <v>210</v>
      </c>
      <c r="D32" s="365">
        <v>4</v>
      </c>
      <c r="E32" s="453">
        <v>53</v>
      </c>
      <c r="F32" s="367">
        <v>3</v>
      </c>
      <c r="G32" s="368">
        <f>F32/E32</f>
        <v>5.6603773584905662E-2</v>
      </c>
      <c r="H32" s="369">
        <v>17</v>
      </c>
      <c r="I32" s="368">
        <f>H32/E32</f>
        <v>0.32075471698113206</v>
      </c>
      <c r="J32" s="369">
        <v>2</v>
      </c>
      <c r="K32" s="368">
        <f>J32/E32</f>
        <v>3.7735849056603772E-2</v>
      </c>
      <c r="L32" s="369">
        <v>9</v>
      </c>
      <c r="M32" s="368">
        <f>L32/E32</f>
        <v>0.16981132075471697</v>
      </c>
      <c r="N32" s="370">
        <v>9</v>
      </c>
      <c r="O32" s="371">
        <f>N32/E32</f>
        <v>0.16981132075471697</v>
      </c>
      <c r="P32" s="369">
        <v>8</v>
      </c>
      <c r="Q32" s="368">
        <f>P32/E32</f>
        <v>0.15094339622641509</v>
      </c>
      <c r="R32" s="370">
        <v>5</v>
      </c>
      <c r="S32" s="371">
        <f>R32/E32</f>
        <v>9.4339622641509441E-2</v>
      </c>
      <c r="T32" s="316"/>
      <c r="U32" s="316"/>
      <c r="V32" s="316"/>
    </row>
    <row r="33" spans="2:19" ht="20.5" x14ac:dyDescent="0.25">
      <c r="B33" s="316"/>
      <c r="C33" s="455" t="s">
        <v>211</v>
      </c>
      <c r="D33" s="365">
        <v>4</v>
      </c>
      <c r="E33" s="453">
        <v>83</v>
      </c>
      <c r="F33" s="369">
        <v>9</v>
      </c>
      <c r="G33" s="368">
        <f>F33/E33</f>
        <v>0.10843373493975904</v>
      </c>
      <c r="H33" s="369">
        <v>36</v>
      </c>
      <c r="I33" s="368">
        <f>H33/E33</f>
        <v>0.43373493975903615</v>
      </c>
      <c r="J33" s="369">
        <v>2</v>
      </c>
      <c r="K33" s="368">
        <f>J33/E33</f>
        <v>2.4096385542168676E-2</v>
      </c>
      <c r="L33" s="369">
        <v>13</v>
      </c>
      <c r="M33" s="368">
        <f>L33/E33</f>
        <v>0.15662650602409639</v>
      </c>
      <c r="N33" s="370">
        <v>9</v>
      </c>
      <c r="O33" s="371">
        <f>N33/E33</f>
        <v>0.10843373493975904</v>
      </c>
      <c r="P33" s="369">
        <v>6</v>
      </c>
      <c r="Q33" s="368">
        <f>P33/E33</f>
        <v>7.2289156626506021E-2</v>
      </c>
      <c r="R33" s="370">
        <v>8</v>
      </c>
      <c r="S33" s="371">
        <f>R33/E33</f>
        <v>9.6385542168674704E-2</v>
      </c>
    </row>
    <row r="34" spans="2:19" x14ac:dyDescent="0.25">
      <c r="B34" s="316"/>
      <c r="C34" s="455" t="s">
        <v>257</v>
      </c>
      <c r="D34" s="365" t="s">
        <v>1179</v>
      </c>
      <c r="E34" s="453">
        <f>F34+H34+J34+L34+N34+P34+R34</f>
        <v>0</v>
      </c>
      <c r="F34" s="369">
        <v>0</v>
      </c>
      <c r="G34" s="368">
        <v>0</v>
      </c>
      <c r="H34" s="369">
        <v>0</v>
      </c>
      <c r="I34" s="368">
        <v>0</v>
      </c>
      <c r="J34" s="369">
        <v>0</v>
      </c>
      <c r="K34" s="368">
        <v>1</v>
      </c>
      <c r="L34" s="369">
        <v>0</v>
      </c>
      <c r="M34" s="368">
        <v>0</v>
      </c>
      <c r="N34" s="370">
        <v>0</v>
      </c>
      <c r="O34" s="371">
        <v>0</v>
      </c>
      <c r="P34" s="369">
        <v>0</v>
      </c>
      <c r="Q34" s="368">
        <v>0</v>
      </c>
      <c r="R34" s="370">
        <v>0</v>
      </c>
      <c r="S34" s="371">
        <v>0</v>
      </c>
    </row>
    <row r="35" spans="2:19" ht="20.5" x14ac:dyDescent="0.25">
      <c r="B35" s="316"/>
      <c r="C35" s="455" t="s">
        <v>220</v>
      </c>
      <c r="D35" s="365" t="s">
        <v>1178</v>
      </c>
      <c r="E35" s="453">
        <v>95</v>
      </c>
      <c r="F35" s="369">
        <v>17</v>
      </c>
      <c r="G35" s="368">
        <f>F35/E35</f>
        <v>0.17894736842105263</v>
      </c>
      <c r="H35" s="369">
        <v>42</v>
      </c>
      <c r="I35" s="368">
        <f>H35/E35</f>
        <v>0.44210526315789472</v>
      </c>
      <c r="J35" s="369">
        <v>12</v>
      </c>
      <c r="K35" s="368">
        <f>J35/E35</f>
        <v>0.12631578947368421</v>
      </c>
      <c r="L35" s="369">
        <v>15</v>
      </c>
      <c r="M35" s="368">
        <f>L35/E35</f>
        <v>0.15789473684210525</v>
      </c>
      <c r="N35" s="370">
        <v>4</v>
      </c>
      <c r="O35" s="371">
        <f>N35/E35</f>
        <v>4.2105263157894736E-2</v>
      </c>
      <c r="P35" s="369">
        <v>5</v>
      </c>
      <c r="Q35" s="368">
        <f>P35/E35</f>
        <v>5.2631578947368418E-2</v>
      </c>
      <c r="R35" s="370">
        <v>0</v>
      </c>
      <c r="S35" s="371">
        <f>R35/E35</f>
        <v>0</v>
      </c>
    </row>
    <row r="36" spans="2:19" ht="20.5" x14ac:dyDescent="0.25">
      <c r="B36" s="316"/>
      <c r="C36" s="455" t="s">
        <v>212</v>
      </c>
      <c r="D36" s="365">
        <v>4</v>
      </c>
      <c r="E36" s="453">
        <v>97</v>
      </c>
      <c r="F36" s="369">
        <v>10</v>
      </c>
      <c r="G36" s="368">
        <f>F36/E36</f>
        <v>0.10309278350515463</v>
      </c>
      <c r="H36" s="369">
        <v>51</v>
      </c>
      <c r="I36" s="368">
        <f>H36/E36</f>
        <v>0.52577319587628868</v>
      </c>
      <c r="J36" s="369">
        <v>8</v>
      </c>
      <c r="K36" s="368">
        <f>J36/E36</f>
        <v>8.247422680412371E-2</v>
      </c>
      <c r="L36" s="369">
        <v>9</v>
      </c>
      <c r="M36" s="368">
        <f>L36/E36</f>
        <v>9.2783505154639179E-2</v>
      </c>
      <c r="N36" s="373">
        <v>1</v>
      </c>
      <c r="O36" s="371">
        <f>N36/E36</f>
        <v>1.0309278350515464E-2</v>
      </c>
      <c r="P36" s="369">
        <v>18</v>
      </c>
      <c r="Q36" s="368">
        <f>P36/E36</f>
        <v>0.18556701030927836</v>
      </c>
      <c r="R36" s="373">
        <v>0</v>
      </c>
      <c r="S36" s="371">
        <f>R36/E36</f>
        <v>0</v>
      </c>
    </row>
    <row r="37" spans="2:19" ht="20.5" x14ac:dyDescent="0.25">
      <c r="B37" s="316"/>
      <c r="C37" s="455" t="s">
        <v>221</v>
      </c>
      <c r="D37" s="365" t="s">
        <v>1178</v>
      </c>
      <c r="E37" s="453">
        <v>109</v>
      </c>
      <c r="F37" s="369">
        <v>46</v>
      </c>
      <c r="G37" s="368">
        <f>F37/E37</f>
        <v>0.42201834862385323</v>
      </c>
      <c r="H37" s="369">
        <v>29</v>
      </c>
      <c r="I37" s="368">
        <f>H37/E37</f>
        <v>0.26605504587155965</v>
      </c>
      <c r="J37" s="369">
        <v>17</v>
      </c>
      <c r="K37" s="368">
        <f>J37/E37</f>
        <v>0.15596330275229359</v>
      </c>
      <c r="L37" s="369">
        <v>5</v>
      </c>
      <c r="M37" s="368">
        <f>L37/E37</f>
        <v>4.5871559633027525E-2</v>
      </c>
      <c r="N37" s="370">
        <v>5</v>
      </c>
      <c r="O37" s="371">
        <f>N37/E37</f>
        <v>4.5871559633027525E-2</v>
      </c>
      <c r="P37" s="369">
        <v>6</v>
      </c>
      <c r="Q37" s="368">
        <f>P37/E37</f>
        <v>5.5045871559633031E-2</v>
      </c>
      <c r="R37" s="370">
        <v>1</v>
      </c>
      <c r="S37" s="371">
        <f>R37/E37</f>
        <v>9.1743119266055051E-3</v>
      </c>
    </row>
    <row r="38" spans="2:19" ht="20.5" x14ac:dyDescent="0.25">
      <c r="B38" s="316"/>
      <c r="C38" s="455" t="s">
        <v>213</v>
      </c>
      <c r="D38" s="365">
        <v>4</v>
      </c>
      <c r="E38" s="453">
        <v>142</v>
      </c>
      <c r="F38" s="369">
        <v>61</v>
      </c>
      <c r="G38" s="368">
        <f>F38/E38</f>
        <v>0.42957746478873238</v>
      </c>
      <c r="H38" s="369">
        <v>36</v>
      </c>
      <c r="I38" s="368">
        <f>H38/E38</f>
        <v>0.25352112676056338</v>
      </c>
      <c r="J38" s="369">
        <v>22</v>
      </c>
      <c r="K38" s="368">
        <f>J38/E38</f>
        <v>0.15492957746478872</v>
      </c>
      <c r="L38" s="369">
        <v>3</v>
      </c>
      <c r="M38" s="368">
        <f>L38/E38</f>
        <v>2.1126760563380281E-2</v>
      </c>
      <c r="N38" s="370">
        <v>6</v>
      </c>
      <c r="O38" s="371">
        <f>N38/E38</f>
        <v>4.2253521126760563E-2</v>
      </c>
      <c r="P38" s="369">
        <v>12</v>
      </c>
      <c r="Q38" s="368">
        <f>P38/E38</f>
        <v>8.4507042253521125E-2</v>
      </c>
      <c r="R38" s="370">
        <v>2</v>
      </c>
      <c r="S38" s="371">
        <f>R38/E38</f>
        <v>1.4084507042253521E-2</v>
      </c>
    </row>
    <row r="39" spans="2:19" ht="20.5" x14ac:dyDescent="0.25">
      <c r="B39" s="316"/>
      <c r="C39" s="455" t="s">
        <v>214</v>
      </c>
      <c r="D39" s="365">
        <v>4</v>
      </c>
      <c r="E39" s="453">
        <v>129</v>
      </c>
      <c r="F39" s="369">
        <v>22</v>
      </c>
      <c r="G39" s="368">
        <f>F39/E39</f>
        <v>0.17054263565891473</v>
      </c>
      <c r="H39" s="369">
        <v>75</v>
      </c>
      <c r="I39" s="368">
        <f>H39/E39</f>
        <v>0.58139534883720934</v>
      </c>
      <c r="J39" s="369">
        <v>11</v>
      </c>
      <c r="K39" s="368">
        <f>J39/E39</f>
        <v>8.5271317829457363E-2</v>
      </c>
      <c r="L39" s="369">
        <v>2</v>
      </c>
      <c r="M39" s="368">
        <f>L39/E39</f>
        <v>1.5503875968992248E-2</v>
      </c>
      <c r="N39" s="370">
        <v>4</v>
      </c>
      <c r="O39" s="371">
        <f>N39/E39</f>
        <v>3.1007751937984496E-2</v>
      </c>
      <c r="P39" s="369">
        <v>15</v>
      </c>
      <c r="Q39" s="368">
        <f>P39/E39</f>
        <v>0.11627906976744186</v>
      </c>
      <c r="R39" s="370">
        <v>0</v>
      </c>
      <c r="S39" s="371">
        <f>R39/E39</f>
        <v>0</v>
      </c>
    </row>
    <row r="40" spans="2:19" ht="20.5" x14ac:dyDescent="0.25">
      <c r="B40" s="316"/>
      <c r="C40" s="455" t="s">
        <v>890</v>
      </c>
      <c r="D40" s="365" t="s">
        <v>1179</v>
      </c>
      <c r="E40" s="453">
        <f>F40+H40+J40+L40+N40+P40+R40</f>
        <v>0</v>
      </c>
      <c r="F40" s="369">
        <v>0</v>
      </c>
      <c r="G40" s="368">
        <v>0</v>
      </c>
      <c r="H40" s="369">
        <v>0</v>
      </c>
      <c r="I40" s="368">
        <v>0</v>
      </c>
      <c r="J40" s="369">
        <v>0</v>
      </c>
      <c r="K40" s="368">
        <v>1</v>
      </c>
      <c r="L40" s="369">
        <v>0</v>
      </c>
      <c r="M40" s="368">
        <v>0</v>
      </c>
      <c r="N40" s="370">
        <v>0</v>
      </c>
      <c r="O40" s="371">
        <v>0</v>
      </c>
      <c r="P40" s="369">
        <v>0</v>
      </c>
      <c r="Q40" s="368">
        <v>0</v>
      </c>
      <c r="R40" s="370">
        <v>0</v>
      </c>
      <c r="S40" s="371">
        <v>0</v>
      </c>
    </row>
    <row r="41" spans="2:19" x14ac:dyDescent="0.25">
      <c r="B41" s="316"/>
      <c r="C41" s="455" t="s">
        <v>813</v>
      </c>
      <c r="D41" s="365" t="s">
        <v>1179</v>
      </c>
      <c r="E41" s="453">
        <f>F41+H41+J41+L41+N41+P41+R41</f>
        <v>0</v>
      </c>
      <c r="F41" s="369">
        <v>0</v>
      </c>
      <c r="G41" s="368">
        <v>0</v>
      </c>
      <c r="H41" s="369">
        <v>0</v>
      </c>
      <c r="I41" s="368">
        <v>0</v>
      </c>
      <c r="J41" s="369">
        <v>0</v>
      </c>
      <c r="K41" s="368">
        <v>1</v>
      </c>
      <c r="L41" s="369">
        <v>0</v>
      </c>
      <c r="M41" s="368">
        <v>0</v>
      </c>
      <c r="N41" s="370">
        <v>0</v>
      </c>
      <c r="O41" s="371">
        <v>0</v>
      </c>
      <c r="P41" s="369">
        <v>0</v>
      </c>
      <c r="Q41" s="368">
        <v>0</v>
      </c>
      <c r="R41" s="370">
        <v>0</v>
      </c>
      <c r="S41" s="371">
        <v>0</v>
      </c>
    </row>
    <row r="42" spans="2:19" ht="20.5" x14ac:dyDescent="0.25">
      <c r="B42" s="316"/>
      <c r="C42" s="455" t="s">
        <v>815</v>
      </c>
      <c r="D42" s="365" t="s">
        <v>1179</v>
      </c>
      <c r="E42" s="453">
        <f>F42+H42+J42+L42+N42+P42+R42</f>
        <v>0</v>
      </c>
      <c r="F42" s="367">
        <v>0</v>
      </c>
      <c r="G42" s="368">
        <v>0</v>
      </c>
      <c r="H42" s="369">
        <v>0</v>
      </c>
      <c r="I42" s="368">
        <v>0</v>
      </c>
      <c r="J42" s="369">
        <v>0</v>
      </c>
      <c r="K42" s="368">
        <v>1</v>
      </c>
      <c r="L42" s="369">
        <v>0</v>
      </c>
      <c r="M42" s="368">
        <v>0</v>
      </c>
      <c r="N42" s="370">
        <v>0</v>
      </c>
      <c r="O42" s="371">
        <v>0</v>
      </c>
      <c r="P42" s="369">
        <v>0</v>
      </c>
      <c r="Q42" s="368">
        <v>0</v>
      </c>
      <c r="R42" s="370">
        <v>0</v>
      </c>
      <c r="S42" s="371">
        <v>0</v>
      </c>
    </row>
    <row r="43" spans="2:19" ht="20.5" x14ac:dyDescent="0.25">
      <c r="B43" s="316"/>
      <c r="C43" s="455" t="s">
        <v>215</v>
      </c>
      <c r="D43" s="365">
        <v>4</v>
      </c>
      <c r="E43" s="453">
        <v>95</v>
      </c>
      <c r="F43" s="369">
        <v>9</v>
      </c>
      <c r="G43" s="368">
        <f>F43/E43</f>
        <v>9.4736842105263161E-2</v>
      </c>
      <c r="H43" s="367">
        <v>34</v>
      </c>
      <c r="I43" s="368">
        <f>H43/E43</f>
        <v>0.35789473684210527</v>
      </c>
      <c r="J43" s="367">
        <v>4</v>
      </c>
      <c r="K43" s="368">
        <f>J43/E43</f>
        <v>4.2105263157894736E-2</v>
      </c>
      <c r="L43" s="367">
        <v>9</v>
      </c>
      <c r="M43" s="368">
        <f>L43/E43</f>
        <v>9.4736842105263161E-2</v>
      </c>
      <c r="N43" s="370">
        <v>14</v>
      </c>
      <c r="O43" s="371">
        <f>N43/E43</f>
        <v>0.14736842105263157</v>
      </c>
      <c r="P43" s="367">
        <v>13</v>
      </c>
      <c r="Q43" s="368">
        <f>P43/E43</f>
        <v>0.1368421052631579</v>
      </c>
      <c r="R43" s="370">
        <v>12</v>
      </c>
      <c r="S43" s="371">
        <f>R43/E43</f>
        <v>0.12631578947368421</v>
      </c>
    </row>
    <row r="44" spans="2:19" ht="20.5" x14ac:dyDescent="0.25">
      <c r="B44" s="316"/>
      <c r="C44" s="455" t="s">
        <v>216</v>
      </c>
      <c r="D44" s="365" t="s">
        <v>1180</v>
      </c>
      <c r="E44" s="453">
        <v>163</v>
      </c>
      <c r="F44" s="369">
        <v>47</v>
      </c>
      <c r="G44" s="368">
        <f>F44/E44</f>
        <v>0.28834355828220859</v>
      </c>
      <c r="H44" s="369">
        <v>58</v>
      </c>
      <c r="I44" s="368">
        <f>H44/E44</f>
        <v>0.35582822085889571</v>
      </c>
      <c r="J44" s="369">
        <v>16</v>
      </c>
      <c r="K44" s="368">
        <f>J44/E44</f>
        <v>9.815950920245399E-2</v>
      </c>
      <c r="L44" s="369">
        <v>10</v>
      </c>
      <c r="M44" s="368">
        <f>L44/E44</f>
        <v>6.1349693251533742E-2</v>
      </c>
      <c r="N44" s="370">
        <v>10</v>
      </c>
      <c r="O44" s="371">
        <f>N44/E44</f>
        <v>6.1349693251533742E-2</v>
      </c>
      <c r="P44" s="369">
        <v>20</v>
      </c>
      <c r="Q44" s="368">
        <f>P44/E44</f>
        <v>0.12269938650306748</v>
      </c>
      <c r="R44" s="370">
        <v>2</v>
      </c>
      <c r="S44" s="371">
        <f>R44/E44</f>
        <v>1.2269938650306749E-2</v>
      </c>
    </row>
    <row r="45" spans="2:19" ht="20.5" x14ac:dyDescent="0.25">
      <c r="B45" s="316"/>
      <c r="C45" s="455" t="s">
        <v>217</v>
      </c>
      <c r="D45" s="365" t="s">
        <v>1181</v>
      </c>
      <c r="E45" s="453">
        <v>232</v>
      </c>
      <c r="F45" s="369">
        <v>88</v>
      </c>
      <c r="G45" s="368">
        <f>F45/E45</f>
        <v>0.37931034482758619</v>
      </c>
      <c r="H45" s="369">
        <v>77</v>
      </c>
      <c r="I45" s="368">
        <f>H45/E45</f>
        <v>0.33189655172413796</v>
      </c>
      <c r="J45" s="369">
        <v>6</v>
      </c>
      <c r="K45" s="368">
        <f>J45/E45</f>
        <v>2.5862068965517241E-2</v>
      </c>
      <c r="L45" s="369">
        <v>15</v>
      </c>
      <c r="M45" s="368">
        <f>L45/E45</f>
        <v>6.4655172413793108E-2</v>
      </c>
      <c r="N45" s="370">
        <v>9</v>
      </c>
      <c r="O45" s="371">
        <f>N45/E45</f>
        <v>3.8793103448275863E-2</v>
      </c>
      <c r="P45" s="369">
        <v>34</v>
      </c>
      <c r="Q45" s="368">
        <f>P45/E45</f>
        <v>0.14655172413793102</v>
      </c>
      <c r="R45" s="370">
        <v>3</v>
      </c>
      <c r="S45" s="371">
        <f>R45/E45</f>
        <v>1.2931034482758621E-2</v>
      </c>
    </row>
    <row r="46" spans="2:19" ht="20.5" x14ac:dyDescent="0.25">
      <c r="B46" s="316"/>
      <c r="C46" s="455" t="s">
        <v>219</v>
      </c>
      <c r="D46" s="365" t="s">
        <v>1181</v>
      </c>
      <c r="E46" s="453">
        <v>152</v>
      </c>
      <c r="F46" s="369">
        <v>32</v>
      </c>
      <c r="G46" s="368">
        <f>F46/E46</f>
        <v>0.21052631578947367</v>
      </c>
      <c r="H46" s="369">
        <v>21</v>
      </c>
      <c r="I46" s="368">
        <f>H46/E46</f>
        <v>0.13815789473684212</v>
      </c>
      <c r="J46" s="369">
        <v>1</v>
      </c>
      <c r="K46" s="368">
        <f>J46/E46</f>
        <v>6.5789473684210523E-3</v>
      </c>
      <c r="L46" s="369">
        <v>33</v>
      </c>
      <c r="M46" s="368">
        <f>L46/E46</f>
        <v>0.21710526315789475</v>
      </c>
      <c r="N46" s="370">
        <v>30</v>
      </c>
      <c r="O46" s="371">
        <f>N46/E46</f>
        <v>0.19736842105263158</v>
      </c>
      <c r="P46" s="369">
        <v>1</v>
      </c>
      <c r="Q46" s="368">
        <f>P46/E46</f>
        <v>6.5789473684210523E-3</v>
      </c>
      <c r="R46" s="370">
        <v>34</v>
      </c>
      <c r="S46" s="371">
        <f>R46/E46</f>
        <v>0.22368421052631579</v>
      </c>
    </row>
    <row r="48" spans="2:19" ht="13" x14ac:dyDescent="0.3">
      <c r="B48" s="458" t="s">
        <v>1618</v>
      </c>
      <c r="C48" s="316"/>
      <c r="D48" s="316"/>
      <c r="E48" s="316"/>
      <c r="F48" s="316"/>
      <c r="G48" s="316"/>
      <c r="H48" s="316"/>
      <c r="I48" s="316"/>
      <c r="J48" s="316"/>
      <c r="K48" s="316"/>
      <c r="L48" s="316"/>
      <c r="M48" s="316"/>
      <c r="N48" s="316"/>
      <c r="O48" s="316"/>
      <c r="P48" s="316"/>
      <c r="Q48" s="316"/>
      <c r="R48" s="316"/>
      <c r="S48" s="316"/>
    </row>
    <row r="50" spans="3:19" ht="21" x14ac:dyDescent="0.25">
      <c r="C50" s="357" t="s">
        <v>183</v>
      </c>
      <c r="D50" s="358" t="s">
        <v>184</v>
      </c>
      <c r="E50" s="359" t="s">
        <v>792</v>
      </c>
      <c r="F50" s="360" t="s">
        <v>735</v>
      </c>
      <c r="G50" s="361" t="s">
        <v>901</v>
      </c>
      <c r="H50" s="360" t="s">
        <v>736</v>
      </c>
      <c r="I50" s="361" t="s">
        <v>920</v>
      </c>
      <c r="J50" s="360" t="s">
        <v>737</v>
      </c>
      <c r="K50" s="361" t="s">
        <v>921</v>
      </c>
      <c r="L50" s="360" t="s">
        <v>738</v>
      </c>
      <c r="M50" s="361" t="s">
        <v>922</v>
      </c>
      <c r="N50" s="362" t="s">
        <v>739</v>
      </c>
      <c r="O50" s="363" t="s">
        <v>923</v>
      </c>
      <c r="P50" s="360" t="s">
        <v>741</v>
      </c>
      <c r="Q50" s="361" t="s">
        <v>924</v>
      </c>
      <c r="R50" s="362" t="s">
        <v>743</v>
      </c>
      <c r="S50" s="363" t="s">
        <v>925</v>
      </c>
    </row>
    <row r="51" spans="3:19" ht="20.5" x14ac:dyDescent="0.25">
      <c r="C51" s="364" t="s">
        <v>205</v>
      </c>
      <c r="D51" s="365">
        <v>3</v>
      </c>
      <c r="E51" s="366">
        <f t="shared" ref="E51:S66" si="1">E5-E29</f>
        <v>-1</v>
      </c>
      <c r="F51" s="385">
        <f t="shared" si="1"/>
        <v>-3</v>
      </c>
      <c r="G51" s="384">
        <f t="shared" si="1"/>
        <v>-4.6626984126984128E-2</v>
      </c>
      <c r="H51" s="385">
        <f t="shared" si="1"/>
        <v>-2</v>
      </c>
      <c r="I51" s="384">
        <f t="shared" si="1"/>
        <v>-2.6289682539682557E-2</v>
      </c>
      <c r="J51" s="385">
        <f t="shared" si="1"/>
        <v>2</v>
      </c>
      <c r="K51" s="384">
        <f t="shared" si="1"/>
        <v>3.2738095238095233E-2</v>
      </c>
      <c r="L51" s="385">
        <f t="shared" si="1"/>
        <v>0</v>
      </c>
      <c r="M51" s="384">
        <f t="shared" si="1"/>
        <v>2.7281746031745935E-3</v>
      </c>
      <c r="N51" s="385">
        <f t="shared" si="1"/>
        <v>1</v>
      </c>
      <c r="O51" s="384">
        <f t="shared" si="1"/>
        <v>1.6617063492063489E-2</v>
      </c>
      <c r="P51" s="385">
        <f t="shared" si="1"/>
        <v>1</v>
      </c>
      <c r="Q51" s="384">
        <f t="shared" si="1"/>
        <v>1.8601190476190466E-2</v>
      </c>
      <c r="R51" s="385">
        <f t="shared" si="1"/>
        <v>0</v>
      </c>
      <c r="S51" s="384">
        <f t="shared" si="1"/>
        <v>2.2321428571428492E-3</v>
      </c>
    </row>
    <row r="52" spans="3:19" ht="20.5" x14ac:dyDescent="0.25">
      <c r="C52" s="364" t="s">
        <v>208</v>
      </c>
      <c r="D52" s="365">
        <v>3</v>
      </c>
      <c r="E52" s="366">
        <f t="shared" si="1"/>
        <v>4</v>
      </c>
      <c r="F52" s="385">
        <f t="shared" si="1"/>
        <v>-2</v>
      </c>
      <c r="G52" s="384">
        <f t="shared" si="1"/>
        <v>-2.8947368421052624E-2</v>
      </c>
      <c r="H52" s="385">
        <f t="shared" si="1"/>
        <v>5</v>
      </c>
      <c r="I52" s="384">
        <f t="shared" si="1"/>
        <v>4.4736842105263186E-2</v>
      </c>
      <c r="J52" s="385">
        <f t="shared" si="1"/>
        <v>0</v>
      </c>
      <c r="K52" s="384">
        <f t="shared" si="1"/>
        <v>-3.2894736842105227E-3</v>
      </c>
      <c r="L52" s="385">
        <f t="shared" si="1"/>
        <v>1</v>
      </c>
      <c r="M52" s="384">
        <f t="shared" si="1"/>
        <v>5.2631578947368307E-3</v>
      </c>
      <c r="N52" s="385">
        <f t="shared" si="1"/>
        <v>-1</v>
      </c>
      <c r="O52" s="384">
        <f t="shared" si="1"/>
        <v>-1.9736842105263164E-2</v>
      </c>
      <c r="P52" s="385">
        <f t="shared" si="1"/>
        <v>0</v>
      </c>
      <c r="Q52" s="384">
        <f t="shared" si="1"/>
        <v>-7.8947368421052599E-3</v>
      </c>
      <c r="R52" s="385">
        <f t="shared" si="1"/>
        <v>1</v>
      </c>
      <c r="S52" s="384">
        <f t="shared" si="1"/>
        <v>9.8684210526315819E-3</v>
      </c>
    </row>
    <row r="53" spans="3:19" ht="20.5" x14ac:dyDescent="0.25">
      <c r="C53" s="364" t="s">
        <v>209</v>
      </c>
      <c r="D53" s="365">
        <v>3</v>
      </c>
      <c r="E53" s="366">
        <f t="shared" si="1"/>
        <v>3</v>
      </c>
      <c r="F53" s="385">
        <f t="shared" si="1"/>
        <v>0</v>
      </c>
      <c r="G53" s="384">
        <f t="shared" si="1"/>
        <v>-6.3180063180063306E-3</v>
      </c>
      <c r="H53" s="385">
        <f t="shared" si="1"/>
        <v>5</v>
      </c>
      <c r="I53" s="384">
        <f t="shared" si="1"/>
        <v>5.124605124605125E-2</v>
      </c>
      <c r="J53" s="385">
        <f t="shared" si="1"/>
        <v>-2</v>
      </c>
      <c r="K53" s="384">
        <f t="shared" si="1"/>
        <v>-2.8606528606528611E-2</v>
      </c>
      <c r="L53" s="385">
        <f t="shared" si="1"/>
        <v>-1</v>
      </c>
      <c r="M53" s="384">
        <f t="shared" si="1"/>
        <v>-1.9831519831519845E-2</v>
      </c>
      <c r="N53" s="385">
        <f t="shared" si="1"/>
        <v>0</v>
      </c>
      <c r="O53" s="384">
        <f t="shared" si="1"/>
        <v>-2.1060021060021056E-3</v>
      </c>
      <c r="P53" s="385">
        <f t="shared" si="1"/>
        <v>1</v>
      </c>
      <c r="Q53" s="384">
        <f t="shared" si="1"/>
        <v>7.7220077220077066E-3</v>
      </c>
      <c r="R53" s="385">
        <f t="shared" si="1"/>
        <v>0</v>
      </c>
      <c r="S53" s="384">
        <f t="shared" si="1"/>
        <v>-2.1060021060021056E-3</v>
      </c>
    </row>
    <row r="54" spans="3:19" ht="20.5" x14ac:dyDescent="0.25">
      <c r="C54" s="364" t="s">
        <v>210</v>
      </c>
      <c r="D54" s="365">
        <v>3</v>
      </c>
      <c r="E54" s="366">
        <f t="shared" si="1"/>
        <v>0</v>
      </c>
      <c r="F54" s="385">
        <f t="shared" si="1"/>
        <v>0</v>
      </c>
      <c r="G54" s="384">
        <f t="shared" si="1"/>
        <v>0</v>
      </c>
      <c r="H54" s="385">
        <f t="shared" si="1"/>
        <v>2</v>
      </c>
      <c r="I54" s="384">
        <f t="shared" si="1"/>
        <v>3.7735849056603765E-2</v>
      </c>
      <c r="J54" s="385">
        <f t="shared" si="1"/>
        <v>-1</v>
      </c>
      <c r="K54" s="384">
        <f t="shared" si="1"/>
        <v>-1.8867924528301886E-2</v>
      </c>
      <c r="L54" s="385">
        <f t="shared" si="1"/>
        <v>0</v>
      </c>
      <c r="M54" s="384">
        <f t="shared" si="1"/>
        <v>0</v>
      </c>
      <c r="N54" s="385">
        <f t="shared" si="1"/>
        <v>-2</v>
      </c>
      <c r="O54" s="384">
        <f t="shared" si="1"/>
        <v>-3.7735849056603765E-2</v>
      </c>
      <c r="P54" s="385">
        <f t="shared" si="1"/>
        <v>0</v>
      </c>
      <c r="Q54" s="384">
        <f t="shared" si="1"/>
        <v>0</v>
      </c>
      <c r="R54" s="385">
        <f t="shared" si="1"/>
        <v>1</v>
      </c>
      <c r="S54" s="384">
        <f t="shared" si="1"/>
        <v>1.8867924528301883E-2</v>
      </c>
    </row>
    <row r="55" spans="3:19" ht="20.5" x14ac:dyDescent="0.25">
      <c r="C55" s="364" t="s">
        <v>211</v>
      </c>
      <c r="D55" s="365">
        <v>3</v>
      </c>
      <c r="E55" s="366">
        <f t="shared" si="1"/>
        <v>0</v>
      </c>
      <c r="F55" s="385">
        <f t="shared" si="1"/>
        <v>-2</v>
      </c>
      <c r="G55" s="384">
        <f t="shared" si="1"/>
        <v>-2.4096385542168683E-2</v>
      </c>
      <c r="H55" s="385">
        <f t="shared" si="1"/>
        <v>2</v>
      </c>
      <c r="I55" s="384">
        <f t="shared" si="1"/>
        <v>2.4096385542168641E-2</v>
      </c>
      <c r="J55" s="385">
        <f t="shared" si="1"/>
        <v>-1</v>
      </c>
      <c r="K55" s="384">
        <f t="shared" si="1"/>
        <v>-1.2048192771084338E-2</v>
      </c>
      <c r="L55" s="385">
        <f t="shared" si="1"/>
        <v>2</v>
      </c>
      <c r="M55" s="384">
        <f t="shared" si="1"/>
        <v>2.4096385542168669E-2</v>
      </c>
      <c r="N55" s="385">
        <f t="shared" si="1"/>
        <v>-2</v>
      </c>
      <c r="O55" s="384">
        <f t="shared" si="1"/>
        <v>-2.4096385542168683E-2</v>
      </c>
      <c r="P55" s="385">
        <f t="shared" si="1"/>
        <v>0</v>
      </c>
      <c r="Q55" s="384">
        <f t="shared" si="1"/>
        <v>0</v>
      </c>
      <c r="R55" s="385">
        <f t="shared" si="1"/>
        <v>1</v>
      </c>
      <c r="S55" s="384">
        <f t="shared" si="1"/>
        <v>1.2048192771084335E-2</v>
      </c>
    </row>
    <row r="56" spans="3:19" x14ac:dyDescent="0.25">
      <c r="C56" s="364" t="s">
        <v>257</v>
      </c>
      <c r="D56" s="365">
        <v>3</v>
      </c>
      <c r="E56" s="366">
        <f t="shared" si="1"/>
        <v>0</v>
      </c>
      <c r="F56" s="385">
        <f t="shared" si="1"/>
        <v>0</v>
      </c>
      <c r="G56" s="384">
        <f t="shared" si="1"/>
        <v>0</v>
      </c>
      <c r="H56" s="385">
        <f t="shared" si="1"/>
        <v>0</v>
      </c>
      <c r="I56" s="384">
        <f t="shared" si="1"/>
        <v>0</v>
      </c>
      <c r="J56" s="385">
        <f t="shared" si="1"/>
        <v>0</v>
      </c>
      <c r="K56" s="384">
        <f t="shared" si="1"/>
        <v>0</v>
      </c>
      <c r="L56" s="385">
        <f t="shared" si="1"/>
        <v>0</v>
      </c>
      <c r="M56" s="384">
        <f t="shared" si="1"/>
        <v>0</v>
      </c>
      <c r="N56" s="385">
        <f t="shared" si="1"/>
        <v>0</v>
      </c>
      <c r="O56" s="384">
        <f t="shared" si="1"/>
        <v>0</v>
      </c>
      <c r="P56" s="385">
        <f t="shared" si="1"/>
        <v>0</v>
      </c>
      <c r="Q56" s="384">
        <f t="shared" si="1"/>
        <v>0</v>
      </c>
      <c r="R56" s="385">
        <f t="shared" si="1"/>
        <v>0</v>
      </c>
      <c r="S56" s="384">
        <f t="shared" si="1"/>
        <v>0</v>
      </c>
    </row>
    <row r="57" spans="3:19" ht="20.5" x14ac:dyDescent="0.25">
      <c r="C57" s="364" t="s">
        <v>220</v>
      </c>
      <c r="D57" s="365">
        <v>3</v>
      </c>
      <c r="E57" s="366">
        <f t="shared" si="1"/>
        <v>0</v>
      </c>
      <c r="F57" s="385">
        <f t="shared" si="1"/>
        <v>-1</v>
      </c>
      <c r="G57" s="384">
        <f t="shared" si="1"/>
        <v>-1.0526315789473689E-2</v>
      </c>
      <c r="H57" s="385">
        <f t="shared" si="1"/>
        <v>9</v>
      </c>
      <c r="I57" s="384">
        <f t="shared" si="1"/>
        <v>9.4736842105263175E-2</v>
      </c>
      <c r="J57" s="385">
        <f t="shared" si="1"/>
        <v>-6</v>
      </c>
      <c r="K57" s="384">
        <f t="shared" si="1"/>
        <v>-6.3157894736842107E-2</v>
      </c>
      <c r="L57" s="385">
        <f t="shared" si="1"/>
        <v>-1</v>
      </c>
      <c r="M57" s="384">
        <f t="shared" si="1"/>
        <v>-1.0526315789473689E-2</v>
      </c>
      <c r="N57" s="385">
        <f t="shared" si="1"/>
        <v>0</v>
      </c>
      <c r="O57" s="384">
        <f t="shared" si="1"/>
        <v>0</v>
      </c>
      <c r="P57" s="385">
        <f t="shared" si="1"/>
        <v>-1</v>
      </c>
      <c r="Q57" s="384">
        <f t="shared" si="1"/>
        <v>-1.0526315789473682E-2</v>
      </c>
      <c r="R57" s="385">
        <f t="shared" si="1"/>
        <v>0</v>
      </c>
      <c r="S57" s="384">
        <f t="shared" si="1"/>
        <v>0</v>
      </c>
    </row>
    <row r="58" spans="3:19" ht="20.5" x14ac:dyDescent="0.25">
      <c r="C58" s="364" t="s">
        <v>212</v>
      </c>
      <c r="D58" s="365">
        <v>3</v>
      </c>
      <c r="E58" s="366">
        <f t="shared" si="1"/>
        <v>2</v>
      </c>
      <c r="F58" s="385">
        <f t="shared" si="1"/>
        <v>0</v>
      </c>
      <c r="G58" s="384">
        <f t="shared" si="1"/>
        <v>-2.0826824950536255E-3</v>
      </c>
      <c r="H58" s="385">
        <f t="shared" si="1"/>
        <v>7</v>
      </c>
      <c r="I58" s="384">
        <f t="shared" si="1"/>
        <v>6.0085389982297177E-2</v>
      </c>
      <c r="J58" s="385">
        <f t="shared" si="1"/>
        <v>0</v>
      </c>
      <c r="K58" s="384">
        <f t="shared" si="1"/>
        <v>-1.6661459960428948E-3</v>
      </c>
      <c r="L58" s="385">
        <f t="shared" si="1"/>
        <v>0</v>
      </c>
      <c r="M58" s="384">
        <f t="shared" si="1"/>
        <v>-1.8744142455482671E-3</v>
      </c>
      <c r="N58" s="385">
        <f t="shared" si="1"/>
        <v>0</v>
      </c>
      <c r="O58" s="384">
        <f t="shared" si="1"/>
        <v>-2.0826824950536185E-4</v>
      </c>
      <c r="P58" s="385">
        <f t="shared" si="1"/>
        <v>-6</v>
      </c>
      <c r="Q58" s="384">
        <f t="shared" si="1"/>
        <v>-6.4354889097157142E-2</v>
      </c>
      <c r="R58" s="385">
        <f t="shared" si="1"/>
        <v>1</v>
      </c>
      <c r="S58" s="384">
        <f t="shared" si="1"/>
        <v>1.0101010101010102E-2</v>
      </c>
    </row>
    <row r="59" spans="3:19" ht="20.5" x14ac:dyDescent="0.25">
      <c r="C59" s="364" t="s">
        <v>221</v>
      </c>
      <c r="D59" s="365">
        <v>4</v>
      </c>
      <c r="E59" s="366">
        <f t="shared" si="1"/>
        <v>-10</v>
      </c>
      <c r="F59" s="385">
        <f t="shared" si="1"/>
        <v>-4</v>
      </c>
      <c r="G59" s="384">
        <f t="shared" si="1"/>
        <v>2.2240756185710198E-3</v>
      </c>
      <c r="H59" s="385">
        <f t="shared" si="1"/>
        <v>0</v>
      </c>
      <c r="I59" s="384">
        <f t="shared" si="1"/>
        <v>2.687424705773328E-2</v>
      </c>
      <c r="J59" s="385">
        <f t="shared" si="1"/>
        <v>-3</v>
      </c>
      <c r="K59" s="384">
        <f t="shared" si="1"/>
        <v>-1.4549161338152178E-2</v>
      </c>
      <c r="L59" s="385">
        <f t="shared" si="1"/>
        <v>-2</v>
      </c>
      <c r="M59" s="384">
        <f t="shared" si="1"/>
        <v>-1.5568529329997222E-2</v>
      </c>
      <c r="N59" s="385">
        <f t="shared" si="1"/>
        <v>-1</v>
      </c>
      <c r="O59" s="384">
        <f t="shared" si="1"/>
        <v>-5.467519228987118E-3</v>
      </c>
      <c r="P59" s="385">
        <f t="shared" si="1"/>
        <v>0</v>
      </c>
      <c r="Q59" s="384">
        <f t="shared" si="1"/>
        <v>5.5601890464275772E-3</v>
      </c>
      <c r="R59" s="385">
        <f t="shared" si="1"/>
        <v>0</v>
      </c>
      <c r="S59" s="384">
        <f t="shared" si="1"/>
        <v>9.2669817440459677E-4</v>
      </c>
    </row>
    <row r="60" spans="3:19" ht="20.5" x14ac:dyDescent="0.25">
      <c r="C60" s="364" t="s">
        <v>213</v>
      </c>
      <c r="D60" s="365">
        <v>4</v>
      </c>
      <c r="E60" s="366">
        <f t="shared" si="1"/>
        <v>-1</v>
      </c>
      <c r="F60" s="385">
        <f t="shared" si="1"/>
        <v>-11</v>
      </c>
      <c r="G60" s="384">
        <f t="shared" si="1"/>
        <v>-7.4967535710718181E-2</v>
      </c>
      <c r="H60" s="385">
        <f t="shared" si="1"/>
        <v>18</v>
      </c>
      <c r="I60" s="384">
        <f t="shared" si="1"/>
        <v>0.12945759664369194</v>
      </c>
      <c r="J60" s="385">
        <f t="shared" si="1"/>
        <v>-4</v>
      </c>
      <c r="K60" s="384">
        <f t="shared" si="1"/>
        <v>-2.7270002996703624E-2</v>
      </c>
      <c r="L60" s="385">
        <f t="shared" si="1"/>
        <v>1</v>
      </c>
      <c r="M60" s="384">
        <f t="shared" si="1"/>
        <v>7.2420337628608528E-3</v>
      </c>
      <c r="N60" s="385">
        <f t="shared" si="1"/>
        <v>-3</v>
      </c>
      <c r="O60" s="384">
        <f t="shared" si="1"/>
        <v>-2.0976925382079712E-2</v>
      </c>
      <c r="P60" s="385">
        <f t="shared" si="1"/>
        <v>-1</v>
      </c>
      <c r="Q60" s="384">
        <f t="shared" si="1"/>
        <v>-6.4928578563580031E-3</v>
      </c>
      <c r="R60" s="385">
        <f t="shared" si="1"/>
        <v>-1</v>
      </c>
      <c r="S60" s="384">
        <f t="shared" si="1"/>
        <v>-6.9923084606932379E-3</v>
      </c>
    </row>
    <row r="61" spans="3:19" ht="20.5" x14ac:dyDescent="0.25">
      <c r="C61" s="364" t="s">
        <v>214</v>
      </c>
      <c r="D61" s="365">
        <v>4</v>
      </c>
      <c r="E61" s="366">
        <f t="shared" si="1"/>
        <v>-4</v>
      </c>
      <c r="F61" s="385">
        <f t="shared" si="1"/>
        <v>7</v>
      </c>
      <c r="G61" s="384">
        <f t="shared" si="1"/>
        <v>6.1457364341085285E-2</v>
      </c>
      <c r="H61" s="385">
        <f t="shared" si="1"/>
        <v>-3</v>
      </c>
      <c r="I61" s="384">
        <f t="shared" si="1"/>
        <v>-5.3953488372093794E-3</v>
      </c>
      <c r="J61" s="385">
        <f t="shared" si="1"/>
        <v>-1</v>
      </c>
      <c r="K61" s="384">
        <f t="shared" si="1"/>
        <v>-5.2713178294573615E-3</v>
      </c>
      <c r="L61" s="385">
        <f t="shared" si="1"/>
        <v>1</v>
      </c>
      <c r="M61" s="384">
        <f t="shared" si="1"/>
        <v>8.4961240310077527E-3</v>
      </c>
      <c r="N61" s="385">
        <f t="shared" si="1"/>
        <v>-3</v>
      </c>
      <c r="O61" s="384">
        <f t="shared" si="1"/>
        <v>-2.3007751937984496E-2</v>
      </c>
      <c r="P61" s="385">
        <f t="shared" si="1"/>
        <v>-5</v>
      </c>
      <c r="Q61" s="384">
        <f t="shared" si="1"/>
        <v>-3.6279069767441857E-2</v>
      </c>
      <c r="R61" s="385">
        <f t="shared" si="1"/>
        <v>0</v>
      </c>
      <c r="S61" s="384">
        <f t="shared" si="1"/>
        <v>0</v>
      </c>
    </row>
    <row r="62" spans="3:19" ht="20.5" x14ac:dyDescent="0.25">
      <c r="C62" s="364" t="s">
        <v>259</v>
      </c>
      <c r="D62" s="365">
        <v>4</v>
      </c>
      <c r="E62" s="366">
        <f t="shared" si="1"/>
        <v>0</v>
      </c>
      <c r="F62" s="385">
        <f t="shared" si="1"/>
        <v>0</v>
      </c>
      <c r="G62" s="384">
        <f t="shared" si="1"/>
        <v>0</v>
      </c>
      <c r="H62" s="385">
        <f t="shared" si="1"/>
        <v>0</v>
      </c>
      <c r="I62" s="384">
        <f t="shared" si="1"/>
        <v>0</v>
      </c>
      <c r="J62" s="385">
        <f t="shared" si="1"/>
        <v>0</v>
      </c>
      <c r="K62" s="384">
        <f t="shared" si="1"/>
        <v>0</v>
      </c>
      <c r="L62" s="385">
        <f t="shared" si="1"/>
        <v>0</v>
      </c>
      <c r="M62" s="384">
        <f t="shared" si="1"/>
        <v>0</v>
      </c>
      <c r="N62" s="385">
        <f t="shared" si="1"/>
        <v>0</v>
      </c>
      <c r="O62" s="384">
        <f t="shared" si="1"/>
        <v>0</v>
      </c>
      <c r="P62" s="385">
        <f t="shared" si="1"/>
        <v>0</v>
      </c>
      <c r="Q62" s="384">
        <f t="shared" si="1"/>
        <v>0</v>
      </c>
      <c r="R62" s="385">
        <f t="shared" si="1"/>
        <v>0</v>
      </c>
      <c r="S62" s="384">
        <f t="shared" si="1"/>
        <v>0</v>
      </c>
    </row>
    <row r="63" spans="3:19" ht="20.5" x14ac:dyDescent="0.25">
      <c r="C63" s="364" t="s">
        <v>261</v>
      </c>
      <c r="D63" s="365">
        <v>4</v>
      </c>
      <c r="E63" s="366">
        <f t="shared" si="1"/>
        <v>0</v>
      </c>
      <c r="F63" s="385">
        <f t="shared" si="1"/>
        <v>0</v>
      </c>
      <c r="G63" s="384">
        <f t="shared" si="1"/>
        <v>0</v>
      </c>
      <c r="H63" s="385">
        <f t="shared" si="1"/>
        <v>0</v>
      </c>
      <c r="I63" s="384">
        <f t="shared" si="1"/>
        <v>0</v>
      </c>
      <c r="J63" s="385">
        <f t="shared" si="1"/>
        <v>0</v>
      </c>
      <c r="K63" s="384">
        <f t="shared" si="1"/>
        <v>0</v>
      </c>
      <c r="L63" s="385">
        <f t="shared" si="1"/>
        <v>0</v>
      </c>
      <c r="M63" s="384">
        <f t="shared" si="1"/>
        <v>0</v>
      </c>
      <c r="N63" s="385">
        <f t="shared" si="1"/>
        <v>0</v>
      </c>
      <c r="O63" s="384">
        <f t="shared" si="1"/>
        <v>0</v>
      </c>
      <c r="P63" s="385">
        <f t="shared" si="1"/>
        <v>0</v>
      </c>
      <c r="Q63" s="384">
        <f t="shared" si="1"/>
        <v>0</v>
      </c>
      <c r="R63" s="385">
        <f t="shared" si="1"/>
        <v>0</v>
      </c>
      <c r="S63" s="384">
        <f t="shared" si="1"/>
        <v>0</v>
      </c>
    </row>
    <row r="64" spans="3:19" ht="30.5" x14ac:dyDescent="0.25">
      <c r="C64" s="364" t="s">
        <v>262</v>
      </c>
      <c r="D64" s="365">
        <v>4</v>
      </c>
      <c r="E64" s="366">
        <f t="shared" si="1"/>
        <v>0</v>
      </c>
      <c r="F64" s="385">
        <f t="shared" si="1"/>
        <v>0</v>
      </c>
      <c r="G64" s="384">
        <f t="shared" si="1"/>
        <v>0</v>
      </c>
      <c r="H64" s="385">
        <f t="shared" si="1"/>
        <v>0</v>
      </c>
      <c r="I64" s="384">
        <f t="shared" si="1"/>
        <v>0</v>
      </c>
      <c r="J64" s="385">
        <f t="shared" si="1"/>
        <v>0</v>
      </c>
      <c r="K64" s="384">
        <f t="shared" si="1"/>
        <v>0</v>
      </c>
      <c r="L64" s="385">
        <f t="shared" si="1"/>
        <v>0</v>
      </c>
      <c r="M64" s="384">
        <f t="shared" si="1"/>
        <v>0</v>
      </c>
      <c r="N64" s="385">
        <f t="shared" si="1"/>
        <v>0</v>
      </c>
      <c r="O64" s="384">
        <f t="shared" si="1"/>
        <v>0</v>
      </c>
      <c r="P64" s="385">
        <f t="shared" si="1"/>
        <v>0</v>
      </c>
      <c r="Q64" s="384">
        <f t="shared" si="1"/>
        <v>0</v>
      </c>
      <c r="R64" s="385">
        <f t="shared" si="1"/>
        <v>0</v>
      </c>
      <c r="S64" s="384">
        <f t="shared" si="1"/>
        <v>0</v>
      </c>
    </row>
    <row r="65" spans="3:19" ht="20.5" x14ac:dyDescent="0.25">
      <c r="C65" s="364" t="s">
        <v>215</v>
      </c>
      <c r="D65" s="365">
        <v>4</v>
      </c>
      <c r="E65" s="366">
        <f t="shared" si="1"/>
        <v>6</v>
      </c>
      <c r="F65" s="385">
        <f t="shared" si="1"/>
        <v>0</v>
      </c>
      <c r="G65" s="384">
        <f t="shared" si="1"/>
        <v>-5.6279312141740562E-3</v>
      </c>
      <c r="H65" s="385">
        <f t="shared" si="1"/>
        <v>7</v>
      </c>
      <c r="I65" s="384">
        <f t="shared" si="1"/>
        <v>4.8045857217300703E-2</v>
      </c>
      <c r="J65" s="385">
        <f t="shared" si="1"/>
        <v>4</v>
      </c>
      <c r="K65" s="384">
        <f t="shared" si="1"/>
        <v>3.7102657634184473E-2</v>
      </c>
      <c r="L65" s="385">
        <f t="shared" si="1"/>
        <v>0</v>
      </c>
      <c r="M65" s="384">
        <f t="shared" si="1"/>
        <v>-5.6279312141740562E-3</v>
      </c>
      <c r="N65" s="385">
        <f t="shared" si="1"/>
        <v>-1</v>
      </c>
      <c r="O65" s="384">
        <f t="shared" si="1"/>
        <v>-1.8655549765502849E-2</v>
      </c>
      <c r="P65" s="385">
        <f t="shared" si="1"/>
        <v>-3</v>
      </c>
      <c r="Q65" s="384">
        <f t="shared" si="1"/>
        <v>-3.7832204273058889E-2</v>
      </c>
      <c r="R65" s="385">
        <f t="shared" si="1"/>
        <v>-1</v>
      </c>
      <c r="S65" s="384">
        <f t="shared" si="1"/>
        <v>-1.7404898384575304E-2</v>
      </c>
    </row>
    <row r="66" spans="3:19" ht="20.5" x14ac:dyDescent="0.25">
      <c r="C66" s="364" t="s">
        <v>216</v>
      </c>
      <c r="D66" s="365">
        <v>5</v>
      </c>
      <c r="E66" s="366">
        <f t="shared" si="1"/>
        <v>1</v>
      </c>
      <c r="F66" s="385">
        <f t="shared" si="1"/>
        <v>-3</v>
      </c>
      <c r="G66" s="384">
        <f t="shared" si="1"/>
        <v>-2.0050875355379305E-2</v>
      </c>
      <c r="H66" s="385">
        <f t="shared" si="1"/>
        <v>12</v>
      </c>
      <c r="I66" s="384">
        <f t="shared" si="1"/>
        <v>7.1001047433787212E-2</v>
      </c>
      <c r="J66" s="385">
        <f t="shared" si="1"/>
        <v>-3</v>
      </c>
      <c r="K66" s="384">
        <f t="shared" si="1"/>
        <v>-1.889121651952716E-2</v>
      </c>
      <c r="L66" s="385">
        <f t="shared" si="1"/>
        <v>1</v>
      </c>
      <c r="M66" s="384">
        <f t="shared" si="1"/>
        <v>5.7234774801735791E-3</v>
      </c>
      <c r="N66" s="385">
        <f t="shared" si="1"/>
        <v>-1</v>
      </c>
      <c r="O66" s="384">
        <f t="shared" si="1"/>
        <v>-6.471644471045937E-3</v>
      </c>
      <c r="P66" s="385">
        <f t="shared" si="1"/>
        <v>-5</v>
      </c>
      <c r="Q66" s="384">
        <f t="shared" si="1"/>
        <v>-3.1235971868921145E-2</v>
      </c>
      <c r="R66" s="385">
        <f t="shared" si="1"/>
        <v>0</v>
      </c>
      <c r="S66" s="384">
        <f t="shared" si="1"/>
        <v>-7.4816699087236135E-5</v>
      </c>
    </row>
    <row r="67" spans="3:19" ht="20.5" x14ac:dyDescent="0.25">
      <c r="C67" s="364" t="s">
        <v>217</v>
      </c>
      <c r="D67" s="365">
        <v>5</v>
      </c>
      <c r="E67" s="366">
        <f t="shared" ref="E67:S68" si="2">E21-E45</f>
        <v>-6</v>
      </c>
      <c r="F67" s="385">
        <f t="shared" si="2"/>
        <v>-13</v>
      </c>
      <c r="G67" s="384">
        <f t="shared" si="2"/>
        <v>-4.7451937747940154E-2</v>
      </c>
      <c r="H67" s="385">
        <f t="shared" si="2"/>
        <v>10</v>
      </c>
      <c r="I67" s="384">
        <f t="shared" si="2"/>
        <v>5.3059200488251412E-2</v>
      </c>
      <c r="J67" s="385">
        <f t="shared" si="2"/>
        <v>-2</v>
      </c>
      <c r="K67" s="384">
        <f t="shared" si="2"/>
        <v>-8.1629539212694537E-3</v>
      </c>
      <c r="L67" s="385">
        <f t="shared" si="2"/>
        <v>5</v>
      </c>
      <c r="M67" s="384">
        <f t="shared" si="2"/>
        <v>2.3840402807445829E-2</v>
      </c>
      <c r="N67" s="385">
        <f t="shared" si="2"/>
        <v>-4</v>
      </c>
      <c r="O67" s="384">
        <f t="shared" si="2"/>
        <v>-1.6669209642966129E-2</v>
      </c>
      <c r="P67" s="385">
        <f t="shared" si="2"/>
        <v>-2</v>
      </c>
      <c r="Q67" s="384">
        <f t="shared" si="2"/>
        <v>-4.9588037839487231E-3</v>
      </c>
      <c r="R67" s="385">
        <f t="shared" si="2"/>
        <v>0</v>
      </c>
      <c r="S67" s="384">
        <f t="shared" si="2"/>
        <v>3.4330180042722001E-4</v>
      </c>
    </row>
    <row r="68" spans="3:19" ht="20.5" x14ac:dyDescent="0.25">
      <c r="C68" s="364" t="s">
        <v>219</v>
      </c>
      <c r="D68" s="365">
        <v>6</v>
      </c>
      <c r="E68" s="366">
        <f t="shared" si="2"/>
        <v>9</v>
      </c>
      <c r="F68" s="385">
        <f t="shared" si="2"/>
        <v>-3</v>
      </c>
      <c r="G68" s="384">
        <f t="shared" si="2"/>
        <v>-3.0402092186989194E-2</v>
      </c>
      <c r="H68" s="385">
        <f t="shared" si="2"/>
        <v>4</v>
      </c>
      <c r="I68" s="384">
        <f t="shared" si="2"/>
        <v>1.7121608368747931E-2</v>
      </c>
      <c r="J68" s="385">
        <f t="shared" si="2"/>
        <v>0</v>
      </c>
      <c r="K68" s="384">
        <f t="shared" si="2"/>
        <v>-3.677672441974502E-4</v>
      </c>
      <c r="L68" s="385">
        <f t="shared" si="2"/>
        <v>3</v>
      </c>
      <c r="M68" s="384">
        <f t="shared" si="2"/>
        <v>6.4972213141549495E-3</v>
      </c>
      <c r="N68" s="385">
        <f t="shared" si="2"/>
        <v>4</v>
      </c>
      <c r="O68" s="384">
        <f t="shared" si="2"/>
        <v>1.3811703170970913E-2</v>
      </c>
      <c r="P68" s="385">
        <f t="shared" si="2"/>
        <v>1</v>
      </c>
      <c r="Q68" s="384">
        <f t="shared" si="2"/>
        <v>5.8434128800261519E-3</v>
      </c>
      <c r="R68" s="385">
        <f t="shared" si="2"/>
        <v>0</v>
      </c>
      <c r="S68" s="384">
        <f t="shared" si="2"/>
        <v>-1.2504086302713296E-2</v>
      </c>
    </row>
  </sheetData>
  <mergeCells count="1">
    <mergeCell ref="U2:V2"/>
  </mergeCell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FFFF00"/>
  </sheetPr>
  <dimension ref="A1:BD150"/>
  <sheetViews>
    <sheetView workbookViewId="0">
      <selection activeCell="D15" sqref="D15"/>
    </sheetView>
  </sheetViews>
  <sheetFormatPr defaultColWidth="10.26953125" defaultRowHeight="12.5" x14ac:dyDescent="0.25"/>
  <cols>
    <col min="1" max="1" width="9.1796875" style="29" customWidth="1"/>
    <col min="2" max="2" width="26.7265625" style="29" customWidth="1"/>
    <col min="3" max="3" width="7.26953125" style="29" bestFit="1" customWidth="1"/>
    <col min="4" max="4" width="12.1796875" style="29" bestFit="1" customWidth="1"/>
    <col min="5" max="5" width="16.453125" style="29" customWidth="1"/>
    <col min="6" max="6" width="12.7265625" style="29" customWidth="1"/>
    <col min="7" max="7" width="14.54296875" style="29" customWidth="1"/>
    <col min="8" max="8" width="13.26953125" style="29" customWidth="1"/>
    <col min="9" max="9" width="13" style="30" customWidth="1"/>
    <col min="10" max="10" width="12.81640625" style="30" customWidth="1"/>
    <col min="11" max="11" width="12.26953125" style="29" customWidth="1"/>
    <col min="12" max="12" width="11.1796875" style="29" customWidth="1"/>
    <col min="13" max="13" width="13.26953125" style="29" customWidth="1"/>
    <col min="14" max="14" width="11.453125" style="29" customWidth="1"/>
    <col min="15" max="15" width="12.81640625" style="29" customWidth="1"/>
    <col min="16" max="16" width="12.453125" style="29" customWidth="1"/>
    <col min="17" max="17" width="12.453125" style="29" bestFit="1" customWidth="1"/>
    <col min="18" max="18" width="11.54296875" style="30" customWidth="1"/>
    <col min="19" max="19" width="12.453125" style="140" customWidth="1"/>
    <col min="20" max="20" width="12.26953125" style="29" customWidth="1"/>
    <col min="21" max="22" width="11.26953125" style="29" customWidth="1"/>
    <col min="23" max="23" width="10.26953125" style="29" customWidth="1"/>
    <col min="24" max="24" width="11.1796875" style="29" bestFit="1" customWidth="1"/>
    <col min="25" max="27" width="11.1796875" style="29" customWidth="1"/>
    <col min="28" max="28" width="12.81640625" style="29" customWidth="1"/>
    <col min="29" max="29" width="11" style="29" customWidth="1"/>
    <col min="30" max="30" width="12.7265625" style="29" customWidth="1"/>
    <col min="31" max="31" width="13.1796875" style="29" customWidth="1"/>
    <col min="32" max="32" width="12.1796875" style="29" customWidth="1"/>
    <col min="33" max="33" width="11" style="29" customWidth="1"/>
    <col min="34" max="34" width="10.54296875" style="29" bestFit="1" customWidth="1"/>
    <col min="35" max="35" width="12.453125" style="29" customWidth="1"/>
    <col min="36" max="36" width="10.26953125" style="29" customWidth="1"/>
    <col min="37" max="37" width="28.54296875" style="29" bestFit="1" customWidth="1"/>
    <col min="38" max="38" width="11.1796875" style="29" customWidth="1"/>
    <col min="39" max="39" width="1.26953125" style="29" customWidth="1"/>
    <col min="40" max="40" width="10" style="29" customWidth="1"/>
    <col min="41" max="41" width="11.453125" style="29" customWidth="1"/>
    <col min="42" max="42" width="10.54296875" style="29" bestFit="1" customWidth="1"/>
    <col min="43" max="43" width="10.26953125" style="29" customWidth="1"/>
    <col min="44" max="44" width="15" style="29" customWidth="1"/>
    <col min="45" max="45" width="14.1796875" style="29" customWidth="1"/>
    <col min="46" max="49" width="10.26953125" style="29"/>
    <col min="50" max="50" width="14.7265625" style="30" customWidth="1"/>
    <col min="51" max="51" width="13.26953125" style="30" customWidth="1"/>
    <col min="52" max="53" width="10.26953125" style="29"/>
    <col min="54" max="54" width="19" style="30" bestFit="1" customWidth="1"/>
    <col min="55" max="55" width="16.81640625" style="30" customWidth="1"/>
    <col min="56" max="56" width="10.26953125" style="30"/>
    <col min="57" max="16384" width="10.26953125" style="29"/>
  </cols>
  <sheetData>
    <row r="1" spans="1:56" x14ac:dyDescent="0.25">
      <c r="A1" s="94" t="s">
        <v>230</v>
      </c>
      <c r="B1" s="36"/>
      <c r="C1" s="36"/>
      <c r="D1" s="36"/>
      <c r="E1" s="36"/>
      <c r="F1" s="36"/>
      <c r="G1" s="36"/>
      <c r="H1" s="36"/>
      <c r="I1" s="234"/>
      <c r="J1" s="234"/>
      <c r="K1" s="36"/>
      <c r="L1" s="36"/>
      <c r="M1" s="36"/>
      <c r="N1" s="36"/>
      <c r="O1" s="36"/>
      <c r="P1" s="36"/>
      <c r="Q1" s="36"/>
      <c r="R1" s="234"/>
      <c r="S1" s="1023"/>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row>
    <row r="2" spans="1:56" ht="13" x14ac:dyDescent="0.3">
      <c r="A2" s="94"/>
      <c r="B2" s="36"/>
      <c r="C2" s="36"/>
      <c r="D2" s="36"/>
      <c r="E2" s="139" t="s">
        <v>1619</v>
      </c>
      <c r="F2" s="36"/>
      <c r="G2" s="36"/>
      <c r="H2" s="36"/>
      <c r="I2" s="234"/>
      <c r="J2" s="234"/>
      <c r="K2" s="36"/>
      <c r="L2" s="36"/>
      <c r="M2" s="36"/>
      <c r="N2" s="36"/>
      <c r="O2" s="36"/>
      <c r="P2" s="36"/>
      <c r="Q2" s="36"/>
      <c r="R2" s="234"/>
      <c r="S2" s="1023"/>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row>
    <row r="3" spans="1:56" ht="13" x14ac:dyDescent="0.3">
      <c r="A3" s="93" t="s">
        <v>1620</v>
      </c>
      <c r="B3" s="36"/>
      <c r="C3" s="36"/>
      <c r="D3" s="36"/>
      <c r="E3" s="36"/>
      <c r="F3" s="36"/>
      <c r="G3" s="36"/>
      <c r="H3" s="36"/>
      <c r="I3" s="234"/>
      <c r="J3" s="234"/>
      <c r="K3" s="94" t="s">
        <v>1621</v>
      </c>
      <c r="L3" s="36"/>
      <c r="M3" s="36"/>
      <c r="N3" s="36"/>
      <c r="O3" s="36"/>
      <c r="P3" s="36"/>
      <c r="Q3" s="36"/>
      <c r="R3" s="234"/>
      <c r="S3" s="1023"/>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row>
    <row r="4" spans="1:56" x14ac:dyDescent="0.25">
      <c r="A4" s="36"/>
      <c r="B4" s="263"/>
      <c r="C4" s="263"/>
      <c r="D4" s="36"/>
      <c r="E4" s="36"/>
      <c r="F4" s="36"/>
      <c r="G4" s="36"/>
      <c r="H4" s="36"/>
      <c r="I4" s="234"/>
      <c r="J4" s="234"/>
      <c r="K4" s="36"/>
      <c r="L4" s="36"/>
      <c r="M4" s="36"/>
      <c r="N4" s="36"/>
      <c r="O4" s="1445" t="s">
        <v>238</v>
      </c>
      <c r="P4" s="1446"/>
      <c r="Q4" s="36"/>
      <c r="R4" s="1273"/>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row>
    <row r="5" spans="1:56" ht="37.5" x14ac:dyDescent="0.25">
      <c r="A5" s="265" t="s">
        <v>182</v>
      </c>
      <c r="B5" s="237" t="s">
        <v>183</v>
      </c>
      <c r="C5" s="238" t="s">
        <v>184</v>
      </c>
      <c r="D5" s="234" t="s">
        <v>901</v>
      </c>
      <c r="E5" s="234" t="s">
        <v>902</v>
      </c>
      <c r="F5" s="234" t="s">
        <v>903</v>
      </c>
      <c r="G5" s="234" t="s">
        <v>904</v>
      </c>
      <c r="H5" s="234" t="s">
        <v>905</v>
      </c>
      <c r="I5" s="234" t="s">
        <v>906</v>
      </c>
      <c r="J5" s="234" t="s">
        <v>907</v>
      </c>
      <c r="K5" s="243" t="s">
        <v>246</v>
      </c>
      <c r="L5" s="243" t="s">
        <v>249</v>
      </c>
      <c r="M5" s="243" t="s">
        <v>250</v>
      </c>
      <c r="N5" s="243" t="s">
        <v>251</v>
      </c>
      <c r="O5" s="266" t="s">
        <v>252</v>
      </c>
      <c r="P5" s="320" t="s">
        <v>253</v>
      </c>
      <c r="Q5" s="36"/>
      <c r="R5" s="276" t="s">
        <v>908</v>
      </c>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row>
    <row r="6" spans="1:56" x14ac:dyDescent="0.25">
      <c r="A6" s="244">
        <v>9257010</v>
      </c>
      <c r="B6" s="237" t="s">
        <v>1164</v>
      </c>
      <c r="C6" s="365">
        <v>5</v>
      </c>
      <c r="D6" s="1024">
        <f>VLOOKUP(A6,'2223 Band Moderations'!$B$5:$S$21,6,(FALSE))</f>
        <v>6.1224489795918366E-2</v>
      </c>
      <c r="E6" s="1024">
        <f>VLOOKUP(A6,'2223 Band Moderations'!$B$5:$S$21,8,(FALSE))</f>
        <v>0.42857142857142855</v>
      </c>
      <c r="F6" s="1024">
        <f>VLOOKUP(A6,'2223 Band Moderations'!$B$5:$S$21,10,(FALSE))</f>
        <v>7.1428571428571425E-2</v>
      </c>
      <c r="G6" s="1024">
        <f>VLOOKUP(A6,'2223 Band Moderations'!$B$5:$S$21,12,(FALSE))</f>
        <v>0.1326530612244898</v>
      </c>
      <c r="H6" s="1024">
        <f>VLOOKUP(A6,'2223 Band Moderations'!$B$5:$S$21,14,(FALSE))</f>
        <v>8.1632653061224483E-2</v>
      </c>
      <c r="I6" s="1024">
        <f>VLOOKUP(A6,'2223 Band Moderations'!$B$5:$S$21,16,(FALSE))</f>
        <v>0.11224489795918367</v>
      </c>
      <c r="J6" s="1024">
        <f>VLOOKUP(A6,'2223 Band Moderations'!$B$5:$S$21,18,(FALSE))</f>
        <v>0.11224489795918367</v>
      </c>
      <c r="K6" s="451">
        <v>90</v>
      </c>
      <c r="L6" s="1025">
        <f t="shared" ref="L6:L22" si="0">((((K6*D6)*$G$88)+((K6*E6)*$G$90)+((K6*F6)*$G$92)+((K6*G6)*$G$94)+((K6*H6)*$G$96)+((K6*I6)*$G$98)+((K6*J6)*$G$100))*(5/12))</f>
        <v>471688.08886919718</v>
      </c>
      <c r="M6" s="1025">
        <v>0</v>
      </c>
      <c r="N6" s="1025">
        <f>SUM(L6:M6)</f>
        <v>471688.08886919718</v>
      </c>
      <c r="O6" s="1026">
        <f>(K6*(5/12))*10000</f>
        <v>375000</v>
      </c>
      <c r="P6" s="1026">
        <f>(VLOOKUP(A6,'2223 Funding Detail'!$A$4:$AA$20,25,FALSE)*5/12)*K6</f>
        <v>294622.35815307358</v>
      </c>
      <c r="Q6" s="235"/>
      <c r="R6" s="235">
        <f t="shared" ref="R6:R22" si="1">(J6*K6*$G$100)*5/12</f>
        <v>99734.385989717921</v>
      </c>
      <c r="S6" s="269"/>
      <c r="T6" s="1127"/>
      <c r="U6" s="1127"/>
      <c r="V6" s="1118"/>
      <c r="W6" s="1118"/>
      <c r="X6" s="1118"/>
      <c r="Y6" s="1118"/>
      <c r="Z6" s="1118"/>
      <c r="AA6" s="1118"/>
      <c r="AB6" s="1118"/>
      <c r="AC6" s="1118"/>
      <c r="AD6" s="1118"/>
      <c r="AE6" s="1118"/>
      <c r="AF6" s="1118"/>
      <c r="AG6" s="1118"/>
      <c r="AH6" s="1118"/>
      <c r="AI6" s="1118"/>
      <c r="AJ6" s="1118"/>
      <c r="AK6" s="1118"/>
      <c r="AL6" s="1118"/>
      <c r="AM6" s="1118"/>
      <c r="AN6" s="1118"/>
      <c r="AO6" s="36"/>
      <c r="AP6" s="36"/>
      <c r="AQ6" s="36"/>
      <c r="AR6" s="36"/>
      <c r="AS6" s="36"/>
      <c r="AT6" s="36"/>
      <c r="AU6" s="36"/>
      <c r="AV6" s="36"/>
      <c r="AW6" s="36"/>
      <c r="AX6" s="36"/>
      <c r="AY6" s="36"/>
      <c r="AZ6" s="36"/>
      <c r="BA6" s="36"/>
      <c r="BB6" s="36"/>
      <c r="BC6" s="36"/>
      <c r="BD6" s="36"/>
    </row>
    <row r="7" spans="1:56" ht="12.75" customHeight="1" x14ac:dyDescent="0.25">
      <c r="A7" s="244">
        <v>9257005</v>
      </c>
      <c r="B7" s="237" t="s">
        <v>208</v>
      </c>
      <c r="C7" s="365">
        <v>4</v>
      </c>
      <c r="D7" s="1024">
        <f>VLOOKUP(A7,'2223 Band Moderations'!$B$5:$S$21,6,(FALSE))</f>
        <v>5.8139534883720929E-2</v>
      </c>
      <c r="E7" s="1024">
        <f>VLOOKUP(A7,'2223 Band Moderations'!$B$5:$S$21,8,(FALSE))</f>
        <v>0.38372093023255816</v>
      </c>
      <c r="F7" s="1024">
        <f>VLOOKUP(A7,'2223 Band Moderations'!$B$5:$S$21,10,(FALSE))</f>
        <v>9.3023255813953487E-2</v>
      </c>
      <c r="G7" s="1024">
        <f>VLOOKUP(A7,'2223 Band Moderations'!$B$5:$S$21,12,(FALSE))</f>
        <v>0.13953488372093023</v>
      </c>
      <c r="H7" s="1024">
        <f>VLOOKUP(A7,'2223 Band Moderations'!$B$5:$S$21,14,(FALSE))</f>
        <v>0.11627906976744186</v>
      </c>
      <c r="I7" s="1024">
        <f>VLOOKUP(A7,'2223 Band Moderations'!$B$5:$S$21,16,(FALSE))</f>
        <v>0.15116279069767441</v>
      </c>
      <c r="J7" s="1024">
        <f>VLOOKUP(A7,'2223 Band Moderations'!$B$5:$S$21,18,(FALSE))</f>
        <v>5.8139534883720929E-2</v>
      </c>
      <c r="K7" s="451">
        <v>58</v>
      </c>
      <c r="L7" s="1025">
        <f t="shared" si="0"/>
        <v>303118.87264978001</v>
      </c>
      <c r="M7" s="1025">
        <v>0</v>
      </c>
      <c r="N7" s="1025">
        <f t="shared" ref="N7:N22" si="2">SUM(L7:M7)</f>
        <v>303118.87264978001</v>
      </c>
      <c r="O7" s="1026">
        <f t="shared" ref="O7:O22" si="3">(K7*(5/12))*10000</f>
        <v>241666.66666666669</v>
      </c>
      <c r="P7" s="1026">
        <f>(VLOOKUP(A7,'2223 Funding Detail'!$A$4:$AA$20,25,FALSE)*5/12)*K7</f>
        <v>213553.63213551213</v>
      </c>
      <c r="Q7" s="235"/>
      <c r="R7" s="235">
        <f t="shared" si="1"/>
        <v>33291.6519829432</v>
      </c>
      <c r="S7" s="233"/>
      <c r="T7" s="1127"/>
      <c r="U7" s="1127"/>
      <c r="V7" s="1118"/>
      <c r="W7" s="1118"/>
      <c r="X7" s="1118"/>
      <c r="Y7" s="1118"/>
      <c r="Z7" s="1118"/>
      <c r="AA7" s="1118"/>
      <c r="AB7" s="1118"/>
      <c r="AC7" s="1118"/>
      <c r="AD7" s="1118"/>
      <c r="AE7" s="1118"/>
      <c r="AF7" s="1118"/>
      <c r="AG7" s="1118"/>
      <c r="AH7" s="36"/>
      <c r="AI7" s="36"/>
      <c r="AJ7" s="36"/>
      <c r="AK7" s="36"/>
      <c r="AL7" s="36"/>
      <c r="AM7" s="36"/>
      <c r="AN7" s="36"/>
      <c r="AO7" s="36"/>
      <c r="AP7" s="36"/>
      <c r="AQ7" s="36"/>
      <c r="AR7" s="36"/>
      <c r="AS7" s="36"/>
      <c r="AT7" s="36"/>
      <c r="AU7" s="36"/>
      <c r="AV7" s="36"/>
      <c r="AW7" s="36"/>
      <c r="AX7" s="36"/>
      <c r="AY7" s="36"/>
      <c r="AZ7" s="36"/>
      <c r="BA7" s="36"/>
      <c r="BB7" s="36"/>
      <c r="BC7" s="36"/>
      <c r="BD7" s="36"/>
    </row>
    <row r="8" spans="1:56" ht="12.75" customHeight="1" x14ac:dyDescent="0.25">
      <c r="A8" s="244">
        <v>9257025</v>
      </c>
      <c r="B8" s="237" t="s">
        <v>209</v>
      </c>
      <c r="C8" s="365">
        <v>4</v>
      </c>
      <c r="D8" s="1024">
        <f>VLOOKUP(A8,'2223 Band Moderations'!$B$5:$S$21,6,(FALSE))</f>
        <v>0.13924050632911392</v>
      </c>
      <c r="E8" s="1024">
        <f>VLOOKUP(A8,'2223 Band Moderations'!$B$5:$S$21,8,(FALSE))</f>
        <v>0.46835443037974683</v>
      </c>
      <c r="F8" s="1024">
        <f>VLOOKUP(A8,'2223 Band Moderations'!$B$5:$S$21,10,(FALSE))</f>
        <v>3.7974683544303799E-2</v>
      </c>
      <c r="G8" s="1024">
        <f>VLOOKUP(A8,'2223 Band Moderations'!$B$5:$S$21,12,(FALSE))</f>
        <v>0.11392405063291139</v>
      </c>
      <c r="H8" s="1024">
        <f>VLOOKUP(A8,'2223 Band Moderations'!$B$5:$S$21,14,(FALSE))</f>
        <v>3.7974683544303799E-2</v>
      </c>
      <c r="I8" s="1024">
        <f>VLOOKUP(A8,'2223 Band Moderations'!$B$5:$S$21,16,(FALSE))</f>
        <v>0.15189873417721519</v>
      </c>
      <c r="J8" s="1024">
        <f>VLOOKUP(A8,'2223 Band Moderations'!$B$5:$S$21,18,(FALSE))</f>
        <v>5.0632911392405063E-2</v>
      </c>
      <c r="K8" s="451">
        <v>54</v>
      </c>
      <c r="L8" s="1025">
        <f t="shared" si="0"/>
        <v>250033.25084695575</v>
      </c>
      <c r="M8" s="1025">
        <v>0</v>
      </c>
      <c r="N8" s="1025">
        <f t="shared" si="2"/>
        <v>250033.25084695575</v>
      </c>
      <c r="O8" s="1026">
        <f t="shared" si="3"/>
        <v>225000</v>
      </c>
      <c r="P8" s="1026">
        <f>(VLOOKUP(A8,'2223 Funding Detail'!$A$4:$AA$20,25,FALSE)*5/12)*K8</f>
        <v>164263.77492545042</v>
      </c>
      <c r="Q8" s="235"/>
      <c r="R8" s="235">
        <f t="shared" si="1"/>
        <v>26993.702629207892</v>
      </c>
      <c r="S8" s="233"/>
      <c r="T8" s="1127"/>
      <c r="U8" s="1127"/>
      <c r="V8" s="1118"/>
      <c r="W8" s="1118"/>
      <c r="X8" s="1118"/>
      <c r="Y8" s="1118"/>
      <c r="Z8" s="1118"/>
      <c r="AA8" s="1118"/>
      <c r="AB8" s="1118"/>
      <c r="AC8" s="1118"/>
      <c r="AD8" s="1118"/>
      <c r="AE8" s="1118"/>
      <c r="AF8" s="1118"/>
      <c r="AG8" s="1118"/>
      <c r="AH8" s="36"/>
      <c r="AI8" s="36"/>
      <c r="AJ8" s="36"/>
      <c r="AK8" s="36"/>
      <c r="AL8" s="36"/>
      <c r="AM8" s="36"/>
      <c r="AN8" s="36"/>
      <c r="AO8" s="36"/>
      <c r="AP8" s="36"/>
      <c r="AQ8" s="36"/>
      <c r="AR8" s="36"/>
      <c r="AS8" s="36"/>
      <c r="AT8" s="36"/>
      <c r="AU8" s="36"/>
      <c r="AV8" s="36"/>
      <c r="AW8" s="36"/>
      <c r="AX8" s="36"/>
      <c r="AY8" s="36"/>
      <c r="AZ8" s="36"/>
      <c r="BA8" s="36"/>
      <c r="BB8" s="36"/>
      <c r="BC8" s="36"/>
      <c r="BD8" s="36"/>
    </row>
    <row r="9" spans="1:56" x14ac:dyDescent="0.25">
      <c r="A9" s="244">
        <v>9257024</v>
      </c>
      <c r="B9" s="237" t="s">
        <v>211</v>
      </c>
      <c r="C9" s="365">
        <v>4</v>
      </c>
      <c r="D9" s="1024">
        <f>VLOOKUP(A9,'2223 Band Moderations'!$B$5:$S$21,6,(FALSE))</f>
        <v>7.1428571428571425E-2</v>
      </c>
      <c r="E9" s="1024">
        <f>VLOOKUP(A9,'2223 Band Moderations'!$B$5:$S$21,8,(FALSE))</f>
        <v>0.51190476190476186</v>
      </c>
      <c r="F9" s="1024">
        <f>VLOOKUP(A9,'2223 Band Moderations'!$B$5:$S$21,10,(FALSE))</f>
        <v>2.3809523809523808E-2</v>
      </c>
      <c r="G9" s="1024">
        <f>VLOOKUP(A9,'2223 Band Moderations'!$B$5:$S$21,12,(FALSE))</f>
        <v>0.17857142857142858</v>
      </c>
      <c r="H9" s="1024">
        <f>VLOOKUP(A9,'2223 Band Moderations'!$B$5:$S$21,14,(FALSE))</f>
        <v>8.3333333333333329E-2</v>
      </c>
      <c r="I9" s="1024">
        <f>VLOOKUP(A9,'2223 Band Moderations'!$B$5:$S$21,16,(FALSE))</f>
        <v>7.1428571428571425E-2</v>
      </c>
      <c r="J9" s="1024">
        <f>VLOOKUP(A9,'2223 Band Moderations'!$B$5:$S$21,18,(FALSE))</f>
        <v>5.9523809523809521E-2</v>
      </c>
      <c r="K9" s="451">
        <v>71</v>
      </c>
      <c r="L9" s="1025">
        <f t="shared" si="0"/>
        <v>336485.1834975293</v>
      </c>
      <c r="M9" s="1025">
        <v>0</v>
      </c>
      <c r="N9" s="1025">
        <f t="shared" si="2"/>
        <v>336485.1834975293</v>
      </c>
      <c r="O9" s="1026">
        <f t="shared" si="3"/>
        <v>295833.33333333337</v>
      </c>
      <c r="P9" s="1026">
        <f>(VLOOKUP(A9,'2223 Funding Detail'!$A$4:$AA$20,25,FALSE)*5/12)*K9</f>
        <v>221026.84946924594</v>
      </c>
      <c r="Q9" s="235"/>
      <c r="R9" s="235">
        <f t="shared" si="1"/>
        <v>41723.897169099168</v>
      </c>
      <c r="S9" s="233"/>
      <c r="T9" s="1127"/>
      <c r="U9" s="1127"/>
      <c r="V9" s="1118"/>
      <c r="W9" s="1118"/>
      <c r="X9" s="1118"/>
      <c r="Y9" s="1118"/>
      <c r="Z9" s="1118"/>
      <c r="AA9" s="1118"/>
      <c r="AB9" s="1118"/>
      <c r="AC9" s="1118"/>
      <c r="AD9" s="1118"/>
      <c r="AE9" s="1118"/>
      <c r="AF9" s="1118"/>
      <c r="AG9" s="1118"/>
      <c r="AH9" s="36"/>
      <c r="AI9" s="36"/>
      <c r="AJ9" s="36"/>
      <c r="AK9" s="36"/>
      <c r="AL9" s="36"/>
      <c r="AM9" s="36"/>
      <c r="AN9" s="36"/>
      <c r="AO9" s="36"/>
      <c r="AP9" s="36"/>
      <c r="AQ9" s="36"/>
      <c r="AR9" s="36"/>
      <c r="AS9" s="36"/>
      <c r="AT9" s="36"/>
      <c r="AU9" s="36"/>
      <c r="AV9" s="36"/>
      <c r="AW9" s="36"/>
      <c r="AX9" s="36"/>
      <c r="AY9" s="36"/>
      <c r="AZ9" s="36"/>
      <c r="BA9" s="36"/>
      <c r="BB9" s="36"/>
      <c r="BC9" s="36"/>
      <c r="BD9" s="36"/>
    </row>
    <row r="10" spans="1:56" ht="12.75" customHeight="1" x14ac:dyDescent="0.25">
      <c r="A10" s="244">
        <v>9257031</v>
      </c>
      <c r="B10" s="237" t="s">
        <v>257</v>
      </c>
      <c r="C10" s="365">
        <v>5</v>
      </c>
      <c r="D10" s="1024">
        <f>VLOOKUP(A10,'2223 Band Moderations'!$B$5:$S$21,6,(FALSE))</f>
        <v>0</v>
      </c>
      <c r="E10" s="1024">
        <f>VLOOKUP(A10,'2223 Band Moderations'!$B$5:$S$21,8,(FALSE))</f>
        <v>0</v>
      </c>
      <c r="F10" s="1024">
        <f>VLOOKUP(A10,'2223 Band Moderations'!$B$5:$S$21,10,(FALSE))</f>
        <v>1</v>
      </c>
      <c r="G10" s="1024">
        <f>VLOOKUP(A10,'2223 Band Moderations'!$B$5:$S$21,12,(FALSE))</f>
        <v>0</v>
      </c>
      <c r="H10" s="1024">
        <f>VLOOKUP(A10,'2223 Band Moderations'!$B$5:$S$21,14,(FALSE))</f>
        <v>0</v>
      </c>
      <c r="I10" s="1024">
        <f>VLOOKUP(A10,'2223 Band Moderations'!$B$5:$S$21,16,(FALSE))</f>
        <v>0</v>
      </c>
      <c r="J10" s="1024">
        <f>VLOOKUP(A10,'2223 Band Moderations'!$B$5:$S$21,18,(FALSE))</f>
        <v>0</v>
      </c>
      <c r="K10" s="451">
        <v>81</v>
      </c>
      <c r="L10" s="1025">
        <f t="shared" si="0"/>
        <v>510058.90054183692</v>
      </c>
      <c r="M10" s="1025">
        <v>0</v>
      </c>
      <c r="N10" s="1025">
        <f t="shared" si="2"/>
        <v>510058.90054183692</v>
      </c>
      <c r="O10" s="1026">
        <f t="shared" si="3"/>
        <v>337500</v>
      </c>
      <c r="P10" s="1026">
        <f>(VLOOKUP(A10,'2223 Funding Detail'!$A$4:$AA$20,25,FALSE)*5/12)*K10</f>
        <v>386520.86219986796</v>
      </c>
      <c r="Q10" s="235"/>
      <c r="R10" s="235">
        <f t="shared" si="1"/>
        <v>0</v>
      </c>
      <c r="S10" s="233"/>
      <c r="T10" s="1127"/>
      <c r="U10" s="1127"/>
      <c r="V10" s="1118"/>
      <c r="W10" s="1118"/>
      <c r="X10" s="1118"/>
      <c r="Y10" s="1118"/>
      <c r="Z10" s="1118"/>
      <c r="AA10" s="1118"/>
      <c r="AB10" s="1118"/>
      <c r="AC10" s="1118"/>
      <c r="AD10" s="1118"/>
      <c r="AE10" s="1118"/>
      <c r="AF10" s="1118"/>
      <c r="AG10" s="1118"/>
      <c r="AH10" s="36"/>
      <c r="AI10" s="36"/>
      <c r="AJ10" s="36"/>
      <c r="AK10" s="36"/>
      <c r="AL10" s="36"/>
      <c r="AM10" s="36"/>
      <c r="AN10" s="36"/>
      <c r="AO10" s="36"/>
      <c r="AP10" s="36"/>
      <c r="AQ10" s="36"/>
      <c r="AR10" s="36"/>
      <c r="AS10" s="36"/>
      <c r="AT10" s="36"/>
      <c r="AU10" s="36"/>
      <c r="AV10" s="36"/>
      <c r="AW10" s="36"/>
      <c r="AX10" s="36"/>
      <c r="AY10" s="36"/>
      <c r="AZ10" s="36"/>
      <c r="BA10" s="36"/>
      <c r="BB10" s="36"/>
      <c r="BC10" s="36"/>
      <c r="BD10" s="36"/>
    </row>
    <row r="11" spans="1:56" x14ac:dyDescent="0.25">
      <c r="A11" s="244">
        <v>9257033</v>
      </c>
      <c r="B11" s="237" t="s">
        <v>220</v>
      </c>
      <c r="C11" s="365" t="s">
        <v>1178</v>
      </c>
      <c r="D11" s="1024">
        <f>VLOOKUP(A11,'2223 Band Moderations'!$B$5:$S$21,6,(FALSE))</f>
        <v>0.1388888888888889</v>
      </c>
      <c r="E11" s="1024">
        <f>VLOOKUP(A11,'2223 Band Moderations'!$B$5:$S$21,8,(FALSE))</f>
        <v>0.62962962962962965</v>
      </c>
      <c r="F11" s="1024">
        <f>VLOOKUP(A11,'2223 Band Moderations'!$B$5:$S$21,10,(FALSE))</f>
        <v>4.6296296296296294E-2</v>
      </c>
      <c r="G11" s="1024">
        <f>VLOOKUP(A11,'2223 Band Moderations'!$B$5:$S$21,12,(FALSE))</f>
        <v>0.10185185185185185</v>
      </c>
      <c r="H11" s="1024">
        <f>VLOOKUP(A11,'2223 Band Moderations'!$B$5:$S$21,14,(FALSE))</f>
        <v>3.7037037037037035E-2</v>
      </c>
      <c r="I11" s="1024">
        <f>VLOOKUP(A11,'2223 Band Moderations'!$B$5:$S$21,16,(FALSE))</f>
        <v>3.7037037037037035E-2</v>
      </c>
      <c r="J11" s="1024">
        <f>VLOOKUP(A11,'2223 Band Moderations'!$B$5:$S$21,18,(FALSE))</f>
        <v>9.2592592592592587E-3</v>
      </c>
      <c r="K11" s="451">
        <v>98</v>
      </c>
      <c r="L11" s="1025">
        <f t="shared" si="0"/>
        <v>383558.56916878762</v>
      </c>
      <c r="M11" s="1025">
        <v>0</v>
      </c>
      <c r="N11" s="1025">
        <f t="shared" si="2"/>
        <v>383558.56916878762</v>
      </c>
      <c r="O11" s="1026">
        <f t="shared" si="3"/>
        <v>408333.33333333337</v>
      </c>
      <c r="P11" s="1026">
        <f>(VLOOKUP(A11,'2223 Funding Detail'!$A$4:$AA$20,25,FALSE)*5/12)*K11</f>
        <v>177349.69737391575</v>
      </c>
      <c r="Q11" s="235"/>
      <c r="R11" s="235">
        <f t="shared" si="1"/>
        <v>8958.5582028175359</v>
      </c>
      <c r="S11" s="233"/>
      <c r="T11" s="1127"/>
      <c r="U11" s="1127"/>
      <c r="V11" s="1118"/>
      <c r="W11" s="1118"/>
      <c r="X11" s="1118"/>
      <c r="Y11" s="1118"/>
      <c r="Z11" s="1118"/>
      <c r="AA11" s="1118"/>
      <c r="AB11" s="1118"/>
      <c r="AC11" s="1118"/>
      <c r="AD11" s="1118"/>
      <c r="AE11" s="1118"/>
      <c r="AF11" s="1118"/>
      <c r="AG11" s="1118"/>
      <c r="AH11" s="36"/>
      <c r="AI11" s="36"/>
      <c r="AJ11" s="36"/>
      <c r="AK11" s="36"/>
      <c r="AL11" s="36"/>
      <c r="AM11" s="36"/>
      <c r="AN11" s="36"/>
      <c r="AO11" s="36"/>
      <c r="AP11" s="36"/>
      <c r="AQ11" s="36"/>
      <c r="AR11" s="36"/>
      <c r="AS11" s="36"/>
      <c r="AT11" s="36"/>
      <c r="AU11" s="36"/>
      <c r="AV11" s="36"/>
      <c r="AW11" s="36"/>
      <c r="AX11" s="36"/>
      <c r="AY11" s="36"/>
      <c r="AZ11" s="36"/>
      <c r="BA11" s="36"/>
      <c r="BB11" s="36"/>
      <c r="BC11" s="36"/>
      <c r="BD11" s="36"/>
    </row>
    <row r="12" spans="1:56" x14ac:dyDescent="0.25">
      <c r="A12" s="244">
        <v>9257008</v>
      </c>
      <c r="B12" s="237" t="s">
        <v>212</v>
      </c>
      <c r="C12" s="365">
        <v>4</v>
      </c>
      <c r="D12" s="1024">
        <f>VLOOKUP(A12,'2223 Band Moderations'!$B$5:$S$21,6,(FALSE))</f>
        <v>0.11</v>
      </c>
      <c r="E12" s="1024">
        <f>VLOOKUP(A12,'2223 Band Moderations'!$B$5:$S$21,8,(FALSE))</f>
        <v>0.64</v>
      </c>
      <c r="F12" s="1024">
        <f>VLOOKUP(A12,'2223 Band Moderations'!$B$5:$S$21,10,(FALSE))</f>
        <v>7.0000000000000007E-2</v>
      </c>
      <c r="G12" s="1024">
        <f>VLOOKUP(A12,'2223 Band Moderations'!$B$5:$S$21,12,(FALSE))</f>
        <v>0.09</v>
      </c>
      <c r="H12" s="1024">
        <f>VLOOKUP(A12,'2223 Band Moderations'!$B$5:$S$21,14,(FALSE))</f>
        <v>0</v>
      </c>
      <c r="I12" s="1024">
        <f>VLOOKUP(A12,'2223 Band Moderations'!$B$5:$S$21,16,(FALSE))</f>
        <v>0.09</v>
      </c>
      <c r="J12" s="1024">
        <f>VLOOKUP(A12,'2223 Band Moderations'!$B$5:$S$21,18,(FALSE))</f>
        <v>0</v>
      </c>
      <c r="K12" s="451">
        <v>99</v>
      </c>
      <c r="L12" s="1025">
        <f t="shared" si="0"/>
        <v>393789.93722473265</v>
      </c>
      <c r="M12" s="1025">
        <v>0</v>
      </c>
      <c r="N12" s="1025">
        <f t="shared" si="2"/>
        <v>393789.93722473265</v>
      </c>
      <c r="O12" s="1026">
        <f t="shared" si="3"/>
        <v>412500</v>
      </c>
      <c r="P12" s="1026">
        <f>(VLOOKUP(A12,'2223 Funding Detail'!$A$4:$AA$20,25,FALSE)*5/12)*K12</f>
        <v>192682.85818979089</v>
      </c>
      <c r="Q12" s="235"/>
      <c r="R12" s="235">
        <f t="shared" si="1"/>
        <v>0</v>
      </c>
      <c r="S12" s="233"/>
      <c r="T12" s="1127"/>
      <c r="U12" s="1127"/>
      <c r="V12" s="1118"/>
      <c r="W12" s="1118"/>
      <c r="X12" s="1118"/>
      <c r="Y12" s="1118"/>
      <c r="Z12" s="1118"/>
      <c r="AA12" s="1118"/>
      <c r="AB12" s="1118"/>
      <c r="AC12" s="1118"/>
      <c r="AD12" s="1118"/>
      <c r="AE12" s="1118"/>
      <c r="AF12" s="1118"/>
      <c r="AG12" s="1118"/>
      <c r="AH12" s="36"/>
      <c r="AI12" s="36"/>
      <c r="AJ12" s="36"/>
      <c r="AK12" s="36"/>
      <c r="AL12" s="36"/>
      <c r="AM12" s="36"/>
      <c r="AN12" s="36"/>
      <c r="AO12" s="36"/>
      <c r="AP12" s="36"/>
      <c r="AQ12" s="36"/>
      <c r="AR12" s="36"/>
      <c r="AS12" s="36"/>
      <c r="AT12" s="36"/>
      <c r="AU12" s="36"/>
      <c r="AV12" s="36"/>
      <c r="AW12" s="36"/>
      <c r="AX12" s="36"/>
      <c r="AY12" s="36"/>
      <c r="AZ12" s="36"/>
      <c r="BA12" s="36"/>
      <c r="BB12" s="36"/>
      <c r="BC12" s="36"/>
      <c r="BD12" s="36"/>
    </row>
    <row r="13" spans="1:56" x14ac:dyDescent="0.25">
      <c r="A13" s="244">
        <v>9257034</v>
      </c>
      <c r="B13" s="237" t="s">
        <v>221</v>
      </c>
      <c r="C13" s="365" t="s">
        <v>1178</v>
      </c>
      <c r="D13" s="1024">
        <f>VLOOKUP(A13,'2223 Band Moderations'!$B$5:$S$21,6,(FALSE))</f>
        <v>0.44444444444444442</v>
      </c>
      <c r="E13" s="1024">
        <f>VLOOKUP(A13,'2223 Band Moderations'!$B$5:$S$21,8,(FALSE))</f>
        <v>0.32407407407407407</v>
      </c>
      <c r="F13" s="1024">
        <f>VLOOKUP(A13,'2223 Band Moderations'!$B$5:$S$21,10,(FALSE))</f>
        <v>9.2592592592592587E-2</v>
      </c>
      <c r="G13" s="1024">
        <f>VLOOKUP(A13,'2223 Band Moderations'!$B$5:$S$21,12,(FALSE))</f>
        <v>4.6296296296296294E-2</v>
      </c>
      <c r="H13" s="1024">
        <f>VLOOKUP(A13,'2223 Band Moderations'!$B$5:$S$21,14,(FALSE))</f>
        <v>2.7777777777777776E-2</v>
      </c>
      <c r="I13" s="1024">
        <f>VLOOKUP(A13,'2223 Band Moderations'!$B$5:$S$21,16,(FALSE))</f>
        <v>5.5555555555555552E-2</v>
      </c>
      <c r="J13" s="1024">
        <f>VLOOKUP(A13,'2223 Band Moderations'!$B$5:$S$21,18,(FALSE))</f>
        <v>9.2592592592592587E-3</v>
      </c>
      <c r="K13" s="451">
        <v>88</v>
      </c>
      <c r="L13" s="1025">
        <f t="shared" si="0"/>
        <v>330876.38918571518</v>
      </c>
      <c r="M13" s="1025">
        <v>0</v>
      </c>
      <c r="N13" s="1025">
        <f t="shared" si="2"/>
        <v>330876.38918571518</v>
      </c>
      <c r="O13" s="1026">
        <f t="shared" si="3"/>
        <v>366666.66666666669</v>
      </c>
      <c r="P13" s="1026">
        <f>(VLOOKUP(A13,'2223 Funding Detail'!$A$4:$AA$20,25,FALSE)*5/12)*K13</f>
        <v>145415.20898178779</v>
      </c>
      <c r="Q13" s="235"/>
      <c r="R13" s="235">
        <f t="shared" si="1"/>
        <v>8044.4196106932986</v>
      </c>
      <c r="S13" s="233"/>
      <c r="T13" s="1127"/>
      <c r="U13" s="1127"/>
      <c r="V13" s="1118"/>
      <c r="W13" s="1118"/>
      <c r="X13" s="1118"/>
      <c r="Y13" s="1118"/>
      <c r="Z13" s="1118"/>
      <c r="AA13" s="1118"/>
      <c r="AB13" s="1118"/>
      <c r="AC13" s="1118"/>
      <c r="AD13" s="1118"/>
      <c r="AE13" s="1118"/>
      <c r="AF13" s="1118"/>
      <c r="AG13" s="1118"/>
      <c r="AH13" s="36"/>
      <c r="AI13" s="36"/>
      <c r="AJ13" s="36"/>
      <c r="AK13" s="36"/>
      <c r="AL13" s="36"/>
      <c r="AM13" s="36"/>
      <c r="AN13" s="36"/>
      <c r="AO13" s="36"/>
      <c r="AP13" s="36"/>
      <c r="AQ13" s="36"/>
      <c r="AR13" s="36"/>
      <c r="AS13" s="36"/>
      <c r="AT13" s="36"/>
      <c r="AU13" s="36"/>
      <c r="AV13" s="36"/>
      <c r="AW13" s="36"/>
      <c r="AX13" s="36"/>
      <c r="AY13" s="36"/>
      <c r="AZ13" s="36"/>
      <c r="BA13" s="36"/>
      <c r="BB13" s="36"/>
      <c r="BC13" s="36"/>
      <c r="BD13" s="36"/>
    </row>
    <row r="14" spans="1:56" x14ac:dyDescent="0.25">
      <c r="A14" s="244">
        <v>9257002</v>
      </c>
      <c r="B14" s="237" t="s">
        <v>213</v>
      </c>
      <c r="C14" s="365">
        <v>5</v>
      </c>
      <c r="D14" s="1024">
        <f>VLOOKUP(A14,'2223 Band Moderations'!$B$5:$S$21,6,(FALSE))</f>
        <v>0.33557046979865773</v>
      </c>
      <c r="E14" s="1024">
        <f>VLOOKUP(A14,'2223 Band Moderations'!$B$5:$S$21,8,(FALSE))</f>
        <v>0.38926174496644295</v>
      </c>
      <c r="F14" s="1024">
        <f>VLOOKUP(A14,'2223 Band Moderations'!$B$5:$S$21,10,(FALSE))</f>
        <v>0.13422818791946309</v>
      </c>
      <c r="G14" s="1024">
        <f>VLOOKUP(A14,'2223 Band Moderations'!$B$5:$S$21,12,(FALSE))</f>
        <v>3.3557046979865772E-2</v>
      </c>
      <c r="H14" s="1024">
        <f>VLOOKUP(A14,'2223 Band Moderations'!$B$5:$S$21,14,(FALSE))</f>
        <v>2.0134228187919462E-2</v>
      </c>
      <c r="I14" s="1024">
        <f>VLOOKUP(A14,'2223 Band Moderations'!$B$5:$S$21,16,(FALSE))</f>
        <v>7.3825503355704702E-2</v>
      </c>
      <c r="J14" s="1024">
        <f>VLOOKUP(A14,'2223 Band Moderations'!$B$5:$S$21,18,(FALSE))</f>
        <v>1.3422818791946308E-2</v>
      </c>
      <c r="K14" s="451">
        <v>151</v>
      </c>
      <c r="L14" s="1025">
        <f t="shared" si="0"/>
        <v>600098.1494541727</v>
      </c>
      <c r="M14" s="1025">
        <v>0</v>
      </c>
      <c r="N14" s="1025">
        <f t="shared" si="2"/>
        <v>600098.1494541727</v>
      </c>
      <c r="O14" s="1026">
        <f t="shared" si="3"/>
        <v>629166.66666666674</v>
      </c>
      <c r="P14" s="1026">
        <f>(VLOOKUP(A14,'2223 Funding Detail'!$A$4:$AA$20,25,FALSE)*5/12)*K14</f>
        <v>216226.17309799846</v>
      </c>
      <c r="Q14" s="235"/>
      <c r="R14" s="235">
        <f t="shared" si="1"/>
        <v>20010.432430016215</v>
      </c>
      <c r="S14" s="233"/>
      <c r="T14" s="1127"/>
      <c r="U14" s="1127"/>
      <c r="V14" s="1118"/>
      <c r="W14" s="1118"/>
      <c r="X14" s="1118"/>
      <c r="Y14" s="1118"/>
      <c r="Z14" s="1118"/>
      <c r="AA14" s="1118"/>
      <c r="AB14" s="1118"/>
      <c r="AC14" s="1118"/>
      <c r="AD14" s="1118"/>
      <c r="AE14" s="1118"/>
      <c r="AF14" s="1118"/>
      <c r="AG14" s="1118"/>
      <c r="AH14" s="36"/>
      <c r="AI14" s="36"/>
      <c r="AJ14" s="36"/>
      <c r="AK14" s="36"/>
      <c r="AL14" s="36"/>
      <c r="AM14" s="36"/>
      <c r="AN14" s="36"/>
      <c r="AO14" s="36"/>
      <c r="AP14" s="36"/>
      <c r="AQ14" s="36"/>
      <c r="AR14" s="36"/>
      <c r="AS14" s="36"/>
      <c r="AT14" s="36"/>
      <c r="AU14" s="36"/>
      <c r="AV14" s="36"/>
      <c r="AW14" s="36"/>
      <c r="AX14" s="36"/>
      <c r="AY14" s="36"/>
      <c r="AZ14" s="36"/>
      <c r="BA14" s="36"/>
      <c r="BB14" s="36"/>
      <c r="BC14" s="36"/>
      <c r="BD14" s="36"/>
    </row>
    <row r="15" spans="1:56" x14ac:dyDescent="0.25">
      <c r="A15" s="244">
        <v>9257009</v>
      </c>
      <c r="B15" s="237" t="s">
        <v>214</v>
      </c>
      <c r="C15" s="365" t="s">
        <v>1178</v>
      </c>
      <c r="D15" s="1024">
        <f>VLOOKUP(A15,'2223 Band Moderations'!$B$5:$S$21,6,(FALSE))</f>
        <v>0.16728126399462603</v>
      </c>
      <c r="E15" s="1024">
        <f>VLOOKUP(A15,'2223 Band Moderations'!$B$5:$S$21,8,(FALSE))</f>
        <v>0.5331117367060082</v>
      </c>
      <c r="F15" s="1024">
        <f>VLOOKUP(A15,'2223 Band Moderations'!$B$5:$S$21,10,(FALSE))</f>
        <v>5.951180875576037E-2</v>
      </c>
      <c r="G15" s="1024">
        <f>VLOOKUP(A15,'2223 Band Moderations'!$B$5:$S$21,12,(FALSE))</f>
        <v>7.4766176884850405E-2</v>
      </c>
      <c r="H15" s="1024">
        <f>VLOOKUP(A15,'2223 Band Moderations'!$B$5:$S$21,14,(FALSE))</f>
        <v>3.7220400914435951E-2</v>
      </c>
      <c r="I15" s="1024">
        <f>VLOOKUP(A15,'2223 Band Moderations'!$B$5:$S$21,16,(FALSE))</f>
        <v>8.0393258021177944E-2</v>
      </c>
      <c r="J15" s="1024">
        <f>VLOOKUP(A15,'2223 Band Moderations'!$B$5:$S$21,18,(FALSE))</f>
        <v>4.7715354723141153E-2</v>
      </c>
      <c r="K15" s="451">
        <f>136+50</f>
        <v>186</v>
      </c>
      <c r="L15" s="1025">
        <f t="shared" si="0"/>
        <v>794259.90960403963</v>
      </c>
      <c r="M15" s="1025">
        <v>0</v>
      </c>
      <c r="N15" s="1025">
        <f t="shared" si="2"/>
        <v>794259.90960403963</v>
      </c>
      <c r="O15" s="1026">
        <f t="shared" si="3"/>
        <v>775000</v>
      </c>
      <c r="P15" s="1026">
        <f>(VLOOKUP(A15,'2223 Funding Detail'!$A$4:$AA$20,25,FALSE)*5/12)*K15</f>
        <v>316130.56820382696</v>
      </c>
      <c r="Q15" s="235"/>
      <c r="R15" s="235">
        <f t="shared" si="1"/>
        <v>87620.736713907798</v>
      </c>
      <c r="S15" s="233"/>
      <c r="T15" s="1127"/>
      <c r="U15" s="1127"/>
      <c r="V15" s="1118"/>
      <c r="W15" s="1118"/>
      <c r="X15" s="1118"/>
      <c r="Y15" s="1118"/>
      <c r="Z15" s="1118"/>
      <c r="AA15" s="1118"/>
      <c r="AB15" s="1118"/>
      <c r="AC15" s="1118"/>
      <c r="AD15" s="1118"/>
      <c r="AE15" s="1118"/>
      <c r="AF15" s="1118"/>
      <c r="AG15" s="1118"/>
      <c r="AH15" s="36"/>
      <c r="AI15" s="36"/>
      <c r="AJ15" s="36"/>
      <c r="AK15" s="36"/>
      <c r="AL15" s="36"/>
      <c r="AM15" s="36"/>
      <c r="AN15" s="36"/>
      <c r="AO15" s="36"/>
      <c r="AP15" s="36"/>
      <c r="AQ15" s="36"/>
      <c r="AR15" s="36"/>
      <c r="AS15" s="36"/>
      <c r="AT15" s="36"/>
      <c r="AU15" s="36"/>
      <c r="AV15" s="36"/>
      <c r="AW15" s="36"/>
      <c r="AX15" s="36"/>
      <c r="AY15" s="36"/>
      <c r="AZ15" s="36"/>
      <c r="BA15" s="36"/>
      <c r="BB15" s="36"/>
      <c r="BC15" s="36"/>
      <c r="BD15" s="36"/>
    </row>
    <row r="16" spans="1:56" x14ac:dyDescent="0.25">
      <c r="A16" s="244">
        <v>9257029</v>
      </c>
      <c r="B16" s="237" t="s">
        <v>890</v>
      </c>
      <c r="C16" s="365" t="s">
        <v>1179</v>
      </c>
      <c r="D16" s="1024">
        <f>VLOOKUP(A16,'2223 Band Moderations'!$B$5:$S$21,6,(FALSE))</f>
        <v>0</v>
      </c>
      <c r="E16" s="1024">
        <f>VLOOKUP(A16,'2223 Band Moderations'!$B$5:$S$21,8,(FALSE))</f>
        <v>0</v>
      </c>
      <c r="F16" s="1024">
        <f>VLOOKUP(A16,'2223 Band Moderations'!$B$5:$S$21,10,(FALSE))</f>
        <v>1</v>
      </c>
      <c r="G16" s="1024">
        <f>VLOOKUP(A16,'2223 Band Moderations'!$B$5:$S$21,12,(FALSE))</f>
        <v>0</v>
      </c>
      <c r="H16" s="1024">
        <f>VLOOKUP(A16,'2223 Band Moderations'!$B$5:$S$21,14,(FALSE))</f>
        <v>0</v>
      </c>
      <c r="I16" s="1024">
        <f>VLOOKUP(A16,'2223 Band Moderations'!$B$5:$S$21,16,(FALSE))</f>
        <v>0</v>
      </c>
      <c r="J16" s="1024">
        <f>VLOOKUP(A16,'2223 Band Moderations'!$B$5:$S$21,18,(FALSE))</f>
        <v>0</v>
      </c>
      <c r="K16" s="451">
        <v>78</v>
      </c>
      <c r="L16" s="1025">
        <f t="shared" si="0"/>
        <v>491167.83015139849</v>
      </c>
      <c r="M16" s="1025">
        <v>0</v>
      </c>
      <c r="N16" s="1025">
        <f t="shared" si="2"/>
        <v>491167.83015139849</v>
      </c>
      <c r="O16" s="1026">
        <f t="shared" si="3"/>
        <v>325000</v>
      </c>
      <c r="P16" s="1026">
        <f>(VLOOKUP(A16,'2223 Funding Detail'!$A$4:$AA$20,25,FALSE)*5/12)*K16</f>
        <v>367513.1260156614</v>
      </c>
      <c r="Q16" s="235"/>
      <c r="R16" s="235">
        <f t="shared" si="1"/>
        <v>0</v>
      </c>
      <c r="S16" s="233"/>
      <c r="T16" s="1127"/>
      <c r="U16" s="1127"/>
      <c r="V16" s="1118"/>
      <c r="W16" s="1118"/>
      <c r="X16" s="1118"/>
      <c r="Y16" s="1118"/>
      <c r="Z16" s="1118"/>
      <c r="AA16" s="1118"/>
      <c r="AB16" s="1118"/>
      <c r="AC16" s="1118"/>
      <c r="AD16" s="1118"/>
      <c r="AE16" s="1118"/>
      <c r="AF16" s="1118"/>
      <c r="AG16" s="1118"/>
      <c r="AH16" s="36"/>
      <c r="AI16" s="36"/>
      <c r="AJ16" s="36"/>
      <c r="AK16" s="36"/>
      <c r="AL16" s="36"/>
      <c r="AM16" s="36"/>
      <c r="AN16" s="36"/>
      <c r="AO16" s="36"/>
      <c r="AP16" s="36"/>
      <c r="AQ16" s="36"/>
      <c r="AR16" s="36"/>
      <c r="AS16" s="36"/>
      <c r="AT16" s="36"/>
      <c r="AU16" s="36"/>
      <c r="AV16" s="36"/>
      <c r="AW16" s="36"/>
      <c r="AX16" s="36"/>
      <c r="AY16" s="36"/>
      <c r="AZ16" s="36"/>
      <c r="BA16" s="36"/>
      <c r="BB16" s="36"/>
      <c r="BC16" s="36"/>
      <c r="BD16" s="36"/>
    </row>
    <row r="17" spans="1:56" x14ac:dyDescent="0.25">
      <c r="A17" s="244">
        <v>9257032</v>
      </c>
      <c r="B17" s="237" t="s">
        <v>1043</v>
      </c>
      <c r="C17" s="365" t="s">
        <v>1179</v>
      </c>
      <c r="D17" s="1024">
        <f>VLOOKUP(A17,'2223 Band Moderations'!$B$5:$S$21,6,(FALSE))</f>
        <v>0</v>
      </c>
      <c r="E17" s="1024">
        <f>VLOOKUP(A17,'2223 Band Moderations'!$B$5:$S$21,8,(FALSE))</f>
        <v>0</v>
      </c>
      <c r="F17" s="1024">
        <f>VLOOKUP(A17,'2223 Band Moderations'!$B$5:$S$21,10,(FALSE))</f>
        <v>1</v>
      </c>
      <c r="G17" s="1024">
        <f>VLOOKUP(A17,'2223 Band Moderations'!$B$5:$S$21,12,(FALSE))</f>
        <v>0</v>
      </c>
      <c r="H17" s="1024">
        <f>VLOOKUP(A17,'2223 Band Moderations'!$B$5:$S$21,14,(FALSE))</f>
        <v>0</v>
      </c>
      <c r="I17" s="1024">
        <f>VLOOKUP(A17,'2223 Band Moderations'!$B$5:$S$21,16,(FALSE))</f>
        <v>0</v>
      </c>
      <c r="J17" s="1024">
        <f>VLOOKUP(A17,'2223 Band Moderations'!$B$5:$S$21,18,(FALSE))</f>
        <v>0</v>
      </c>
      <c r="K17" s="451">
        <v>104</v>
      </c>
      <c r="L17" s="1025">
        <f t="shared" si="0"/>
        <v>654890.44020186469</v>
      </c>
      <c r="M17" s="1025">
        <v>0</v>
      </c>
      <c r="N17" s="1025">
        <f t="shared" si="2"/>
        <v>654890.44020186469</v>
      </c>
      <c r="O17" s="1026">
        <f t="shared" si="3"/>
        <v>433333.33333333337</v>
      </c>
      <c r="P17" s="1026">
        <f>(VLOOKUP(A17,'2223 Funding Detail'!$A$4:$AA$20,25,FALSE)*5/12)*K17</f>
        <v>427341.31520186481</v>
      </c>
      <c r="Q17" s="235"/>
      <c r="R17" s="235">
        <f t="shared" si="1"/>
        <v>0</v>
      </c>
      <c r="S17" s="269"/>
      <c r="T17" s="1127"/>
      <c r="U17" s="1127"/>
      <c r="V17" s="1118"/>
      <c r="W17" s="1118"/>
      <c r="X17" s="1118"/>
      <c r="Y17" s="1118"/>
      <c r="Z17" s="1118"/>
      <c r="AA17" s="1118"/>
      <c r="AB17" s="1118"/>
      <c r="AC17" s="1118"/>
      <c r="AD17" s="1118"/>
      <c r="AE17" s="1118"/>
      <c r="AF17" s="1118"/>
      <c r="AG17" s="1118"/>
      <c r="AH17" s="36"/>
      <c r="AI17" s="36"/>
      <c r="AJ17" s="36"/>
      <c r="AK17" s="36"/>
      <c r="AL17" s="36"/>
      <c r="AM17" s="36"/>
      <c r="AN17" s="36"/>
      <c r="AO17" s="36"/>
      <c r="AP17" s="36"/>
      <c r="AQ17" s="36"/>
      <c r="AR17" s="36"/>
      <c r="AS17" s="36"/>
      <c r="AT17" s="36"/>
      <c r="AU17" s="36"/>
      <c r="AV17" s="36"/>
      <c r="AW17" s="36"/>
      <c r="AX17" s="36"/>
      <c r="AY17" s="36"/>
      <c r="AZ17" s="36"/>
      <c r="BA17" s="36"/>
      <c r="BB17" s="36"/>
      <c r="BC17" s="36"/>
      <c r="BD17" s="36"/>
    </row>
    <row r="18" spans="1:56" x14ac:dyDescent="0.25">
      <c r="A18" s="244">
        <v>9257030</v>
      </c>
      <c r="B18" s="237" t="s">
        <v>1046</v>
      </c>
      <c r="C18" s="365" t="s">
        <v>1179</v>
      </c>
      <c r="D18" s="1024">
        <f>VLOOKUP(A18,'2223 Band Moderations'!$B$5:$S$21,6,(FALSE))</f>
        <v>0</v>
      </c>
      <c r="E18" s="1024">
        <f>VLOOKUP(A18,'2223 Band Moderations'!$B$5:$S$21,8,(FALSE))</f>
        <v>0</v>
      </c>
      <c r="F18" s="1024">
        <f>VLOOKUP(A18,'2223 Band Moderations'!$B$5:$S$21,10,(FALSE))</f>
        <v>1</v>
      </c>
      <c r="G18" s="1024">
        <f>VLOOKUP(A18,'2223 Band Moderations'!$B$5:$S$21,12,(FALSE))</f>
        <v>0</v>
      </c>
      <c r="H18" s="1024">
        <f>VLOOKUP(A18,'2223 Band Moderations'!$B$5:$S$21,14,(FALSE))</f>
        <v>0</v>
      </c>
      <c r="I18" s="1024">
        <f>VLOOKUP(A18,'2223 Band Moderations'!$B$5:$S$21,16,(FALSE))</f>
        <v>0</v>
      </c>
      <c r="J18" s="1024">
        <f>VLOOKUP(A18,'2223 Band Moderations'!$B$5:$S$21,18,(FALSE))</f>
        <v>0</v>
      </c>
      <c r="K18" s="451">
        <v>72</v>
      </c>
      <c r="L18" s="1025">
        <f t="shared" si="0"/>
        <v>453385.68937052169</v>
      </c>
      <c r="M18" s="1025">
        <v>0</v>
      </c>
      <c r="N18" s="1025">
        <f t="shared" si="2"/>
        <v>453385.68937052169</v>
      </c>
      <c r="O18" s="1026">
        <f t="shared" si="3"/>
        <v>300000</v>
      </c>
      <c r="P18" s="1026">
        <f>(VLOOKUP(A18,'2223 Funding Detail'!$A$4:$AA$20,25,FALSE)*5/12)*K18</f>
        <v>361404.75890177267</v>
      </c>
      <c r="Q18" s="235"/>
      <c r="R18" s="235">
        <f t="shared" si="1"/>
        <v>0</v>
      </c>
      <c r="S18" s="269"/>
      <c r="T18" s="1127"/>
      <c r="U18" s="1127"/>
      <c r="V18" s="1118"/>
      <c r="W18" s="1118"/>
      <c r="X18" s="1118"/>
      <c r="Y18" s="1118"/>
      <c r="Z18" s="1118"/>
      <c r="AA18" s="1118"/>
      <c r="AB18" s="1118"/>
      <c r="AC18" s="1118"/>
      <c r="AD18" s="1118"/>
      <c r="AE18" s="1118"/>
      <c r="AF18" s="1118"/>
      <c r="AG18" s="1118"/>
      <c r="AH18" s="36"/>
      <c r="AI18" s="36"/>
      <c r="AJ18" s="36"/>
      <c r="AK18" s="36"/>
      <c r="AL18" s="36"/>
      <c r="AM18" s="36"/>
      <c r="AN18" s="36"/>
      <c r="AO18" s="36"/>
      <c r="AP18" s="36"/>
      <c r="AQ18" s="36"/>
      <c r="AR18" s="36"/>
      <c r="AS18" s="36"/>
      <c r="AT18" s="36"/>
      <c r="AU18" s="36"/>
      <c r="AV18" s="36"/>
      <c r="AW18" s="36"/>
      <c r="AX18" s="36"/>
      <c r="AY18" s="36"/>
      <c r="AZ18" s="36"/>
      <c r="BA18" s="36"/>
      <c r="BB18" s="36"/>
      <c r="BC18" s="36"/>
      <c r="BD18" s="36"/>
    </row>
    <row r="19" spans="1:56" x14ac:dyDescent="0.25">
      <c r="A19" s="244">
        <v>9257028</v>
      </c>
      <c r="B19" s="237" t="s">
        <v>215</v>
      </c>
      <c r="C19" s="365">
        <v>5</v>
      </c>
      <c r="D19" s="1024">
        <f>VLOOKUP(A19,'2223 Band Moderations'!$B$5:$S$21,6,(FALSE))</f>
        <v>9.2436974789915971E-2</v>
      </c>
      <c r="E19" s="1024">
        <f>VLOOKUP(A19,'2223 Band Moderations'!$B$5:$S$21,8,(FALSE))</f>
        <v>0.44537815126050423</v>
      </c>
      <c r="F19" s="1024">
        <f>VLOOKUP(A19,'2223 Band Moderations'!$B$5:$S$21,10,(FALSE))</f>
        <v>7.5630252100840331E-2</v>
      </c>
      <c r="G19" s="1024">
        <f>VLOOKUP(A19,'2223 Band Moderations'!$B$5:$S$21,12,(FALSE))</f>
        <v>9.2436974789915971E-2</v>
      </c>
      <c r="H19" s="1024">
        <f>VLOOKUP(A19,'2223 Band Moderations'!$B$5:$S$21,14,(FALSE))</f>
        <v>9.2436974789915971E-2</v>
      </c>
      <c r="I19" s="1024">
        <f>VLOOKUP(A19,'2223 Band Moderations'!$B$5:$S$21,16,(FALSE))</f>
        <v>7.5630252100840331E-2</v>
      </c>
      <c r="J19" s="1024">
        <f>VLOOKUP(A19,'2223 Band Moderations'!$B$5:$S$21,18,(FALSE))</f>
        <v>0.12605042016806722</v>
      </c>
      <c r="K19" s="451">
        <v>117</v>
      </c>
      <c r="L19" s="1025">
        <f t="shared" si="0"/>
        <v>596696.89775664592</v>
      </c>
      <c r="M19" s="1025">
        <v>0</v>
      </c>
      <c r="N19" s="1025">
        <f t="shared" si="2"/>
        <v>596696.89775664592</v>
      </c>
      <c r="O19" s="1026">
        <f t="shared" si="3"/>
        <v>487500</v>
      </c>
      <c r="P19" s="1026">
        <f>(VLOOKUP(A19,'2223 Funding Detail'!$A$4:$AA$20,25,FALSE)*5/12)*K19</f>
        <v>354409.76048916666</v>
      </c>
      <c r="Q19" s="235"/>
      <c r="R19" s="235">
        <f t="shared" si="1"/>
        <v>145601.53676573792</v>
      </c>
      <c r="S19" s="269"/>
      <c r="T19" s="1127"/>
      <c r="U19" s="1127"/>
      <c r="V19" s="1118"/>
      <c r="W19" s="1118"/>
      <c r="X19" s="1118"/>
      <c r="Y19" s="1118"/>
      <c r="Z19" s="1118"/>
      <c r="AA19" s="1118"/>
      <c r="AB19" s="1118"/>
      <c r="AC19" s="1118"/>
      <c r="AD19" s="1118"/>
      <c r="AE19" s="1118"/>
      <c r="AF19" s="1118"/>
      <c r="AG19" s="1118"/>
      <c r="AH19" s="36"/>
      <c r="AI19" s="36"/>
      <c r="AJ19" s="36"/>
      <c r="AK19" s="36"/>
      <c r="AL19" s="36"/>
      <c r="AM19" s="36"/>
      <c r="AN19" s="36"/>
      <c r="AO19" s="36"/>
      <c r="AP19" s="36"/>
      <c r="AQ19" s="36"/>
      <c r="AR19" s="36"/>
      <c r="AS19" s="36"/>
      <c r="AT19" s="36"/>
      <c r="AU19" s="36"/>
      <c r="AV19" s="36"/>
      <c r="AW19" s="36"/>
      <c r="AX19" s="36"/>
      <c r="AY19" s="36"/>
      <c r="AZ19" s="36"/>
      <c r="BA19" s="36"/>
      <c r="BB19" s="36"/>
      <c r="BC19" s="36"/>
      <c r="BD19" s="36"/>
    </row>
    <row r="20" spans="1:56" x14ac:dyDescent="0.25">
      <c r="A20" s="244">
        <v>9257021</v>
      </c>
      <c r="B20" s="237" t="s">
        <v>216</v>
      </c>
      <c r="C20" s="365" t="s">
        <v>1180</v>
      </c>
      <c r="D20" s="1024">
        <f>VLOOKUP(A20,'2223 Band Moderations'!$B$5:$S$21,6,(FALSE))</f>
        <v>0.25146198830409355</v>
      </c>
      <c r="E20" s="1024">
        <f>VLOOKUP(A20,'2223 Band Moderations'!$B$5:$S$21,8,(FALSE))</f>
        <v>0.47368421052631576</v>
      </c>
      <c r="F20" s="1024">
        <f>VLOOKUP(A20,'2223 Band Moderations'!$B$5:$S$21,10,(FALSE))</f>
        <v>9.3567251461988299E-2</v>
      </c>
      <c r="G20" s="1024">
        <f>VLOOKUP(A20,'2223 Band Moderations'!$B$5:$S$21,12,(FALSE))</f>
        <v>7.6023391812865493E-2</v>
      </c>
      <c r="H20" s="1024">
        <f>VLOOKUP(A20,'2223 Band Moderations'!$B$5:$S$21,14,(FALSE))</f>
        <v>3.5087719298245612E-2</v>
      </c>
      <c r="I20" s="1024">
        <f>VLOOKUP(A20,'2223 Band Moderations'!$B$5:$S$21,16,(FALSE))</f>
        <v>5.8479532163742687E-2</v>
      </c>
      <c r="J20" s="1024">
        <f>VLOOKUP(A20,'2223 Band Moderations'!$B$5:$S$21,18,(FALSE))</f>
        <v>1.1695906432748537E-2</v>
      </c>
      <c r="K20" s="451">
        <v>169</v>
      </c>
      <c r="L20" s="1025">
        <f t="shared" si="0"/>
        <v>677446.98594264616</v>
      </c>
      <c r="M20" s="1025">
        <v>0</v>
      </c>
      <c r="N20" s="1025">
        <f t="shared" si="2"/>
        <v>677446.98594264616</v>
      </c>
      <c r="O20" s="1026">
        <f t="shared" si="3"/>
        <v>704166.66666666674</v>
      </c>
      <c r="P20" s="1026">
        <f>(VLOOKUP(A20,'2223 Funding Detail'!$A$4:$AA$20,25,FALSE)*5/12)*K20</f>
        <v>242670.92616263661</v>
      </c>
      <c r="Q20" s="235"/>
      <c r="R20" s="235">
        <f t="shared" si="1"/>
        <v>19514.453313978476</v>
      </c>
      <c r="S20" s="269"/>
      <c r="T20" s="1127"/>
      <c r="U20" s="1127"/>
      <c r="V20" s="1118"/>
      <c r="W20" s="1118"/>
      <c r="X20" s="1118"/>
      <c r="Y20" s="1118"/>
      <c r="Z20" s="1118"/>
      <c r="AA20" s="1118"/>
      <c r="AB20" s="1118"/>
      <c r="AC20" s="1118"/>
      <c r="AD20" s="1118"/>
      <c r="AE20" s="1118"/>
      <c r="AF20" s="1118"/>
      <c r="AG20" s="1118"/>
      <c r="AH20" s="36"/>
      <c r="AI20" s="36"/>
      <c r="AJ20" s="36"/>
      <c r="AK20" s="36"/>
      <c r="AL20" s="36"/>
      <c r="AM20" s="36"/>
      <c r="AN20" s="36"/>
      <c r="AO20" s="36"/>
      <c r="AP20" s="36"/>
      <c r="AQ20" s="36"/>
      <c r="AR20" s="36"/>
      <c r="AS20" s="36"/>
      <c r="AT20" s="36"/>
      <c r="AU20" s="36"/>
      <c r="AV20" s="36"/>
      <c r="AW20" s="36"/>
      <c r="AX20" s="36"/>
      <c r="AY20" s="36"/>
      <c r="AZ20" s="36"/>
      <c r="BA20" s="36"/>
      <c r="BB20" s="36"/>
      <c r="BC20" s="36"/>
      <c r="BD20" s="36"/>
    </row>
    <row r="21" spans="1:56" x14ac:dyDescent="0.25">
      <c r="A21" s="244">
        <v>9257015</v>
      </c>
      <c r="B21" s="237" t="s">
        <v>217</v>
      </c>
      <c r="C21" s="365" t="s">
        <v>1181</v>
      </c>
      <c r="D21" s="1024">
        <f>VLOOKUP(A21,'2223 Band Moderations'!$B$5:$S$21,6,(FALSE))</f>
        <v>0.31555555555555553</v>
      </c>
      <c r="E21" s="1024">
        <f>VLOOKUP(A21,'2223 Band Moderations'!$B$5:$S$21,8,(FALSE))</f>
        <v>0.38666666666666666</v>
      </c>
      <c r="F21" s="1024">
        <f>VLOOKUP(A21,'2223 Band Moderations'!$B$5:$S$21,10,(FALSE))</f>
        <v>1.7777777777777778E-2</v>
      </c>
      <c r="G21" s="1024">
        <f>VLOOKUP(A21,'2223 Band Moderations'!$B$5:$S$21,12,(FALSE))</f>
        <v>9.3333333333333338E-2</v>
      </c>
      <c r="H21" s="1024">
        <f>VLOOKUP(A21,'2223 Band Moderations'!$B$5:$S$21,14,(FALSE))</f>
        <v>1.7777777777777778E-2</v>
      </c>
      <c r="I21" s="1024">
        <f>VLOOKUP(A21,'2223 Band Moderations'!$B$5:$S$21,16,(FALSE))</f>
        <v>0.16</v>
      </c>
      <c r="J21" s="1024">
        <f>VLOOKUP(A21,'2223 Band Moderations'!$B$5:$S$21,18,(FALSE))</f>
        <v>8.8888888888888889E-3</v>
      </c>
      <c r="K21" s="451">
        <v>223</v>
      </c>
      <c r="L21" s="1025">
        <f t="shared" si="0"/>
        <v>913523.01683981321</v>
      </c>
      <c r="M21" s="1025">
        <v>0</v>
      </c>
      <c r="N21" s="1025">
        <f t="shared" si="2"/>
        <v>913523.01683981321</v>
      </c>
      <c r="O21" s="1026">
        <f t="shared" si="3"/>
        <v>929166.66666666674</v>
      </c>
      <c r="P21" s="1026">
        <f>(VLOOKUP(A21,'2223 Funding Detail'!$A$4:$AA$20,25,FALSE)*5/12)*K21</f>
        <v>304703.02916505228</v>
      </c>
      <c r="Q21" s="235"/>
      <c r="R21" s="235">
        <f t="shared" si="1"/>
        <v>19569.878980195699</v>
      </c>
      <c r="S21" s="269"/>
      <c r="T21" s="1127"/>
      <c r="U21" s="1127"/>
      <c r="V21" s="1118"/>
      <c r="W21" s="1118"/>
      <c r="X21" s="1118"/>
      <c r="Y21" s="1118"/>
      <c r="Z21" s="1118"/>
      <c r="AA21" s="1118"/>
      <c r="AB21" s="1118"/>
      <c r="AC21" s="1118"/>
      <c r="AD21" s="1118"/>
      <c r="AE21" s="1118"/>
      <c r="AF21" s="1118"/>
      <c r="AG21" s="1118"/>
      <c r="AH21" s="36"/>
      <c r="AI21" s="36"/>
      <c r="AJ21" s="36"/>
      <c r="AK21" s="36"/>
      <c r="AL21" s="36"/>
      <c r="AM21" s="36"/>
      <c r="AN21" s="36"/>
      <c r="AO21" s="36"/>
      <c r="AP21" s="36"/>
      <c r="AQ21" s="36"/>
      <c r="AR21" s="36"/>
      <c r="AS21" s="36"/>
      <c r="AT21" s="36"/>
      <c r="AU21" s="36"/>
      <c r="AV21" s="36"/>
      <c r="AW21" s="36"/>
      <c r="AX21" s="36"/>
      <c r="AY21" s="36"/>
      <c r="AZ21" s="36"/>
      <c r="BA21" s="36"/>
      <c r="BB21" s="36"/>
      <c r="BC21" s="36"/>
      <c r="BD21" s="36"/>
    </row>
    <row r="22" spans="1:56" x14ac:dyDescent="0.25">
      <c r="A22" s="244">
        <v>9257016</v>
      </c>
      <c r="B22" s="237" t="s">
        <v>219</v>
      </c>
      <c r="C22" s="365" t="s">
        <v>1181</v>
      </c>
      <c r="D22" s="1024">
        <f>VLOOKUP(A22,'2223 Band Moderations'!$B$5:$S$21,6,(FALSE))</f>
        <v>0.15337423312883436</v>
      </c>
      <c r="E22" s="1024">
        <f>VLOOKUP(A22,'2223 Band Moderations'!$B$5:$S$21,8,(FALSE))</f>
        <v>0.19018404907975461</v>
      </c>
      <c r="F22" s="1024">
        <f>VLOOKUP(A22,'2223 Band Moderations'!$B$5:$S$21,10,(FALSE))</f>
        <v>1.2269938650306749E-2</v>
      </c>
      <c r="G22" s="1024">
        <f>VLOOKUP(A22,'2223 Band Moderations'!$B$5:$S$21,12,(FALSE))</f>
        <v>0.22699386503067484</v>
      </c>
      <c r="H22" s="1024">
        <f>VLOOKUP(A22,'2223 Band Moderations'!$B$5:$S$21,14,(FALSE))</f>
        <v>0.18404907975460122</v>
      </c>
      <c r="I22" s="1024">
        <f>VLOOKUP(A22,'2223 Band Moderations'!$B$5:$S$21,16,(FALSE))</f>
        <v>1.8404907975460124E-2</v>
      </c>
      <c r="J22" s="1024">
        <f>VLOOKUP(A22,'2223 Band Moderations'!$B$5:$S$21,18,(FALSE))</f>
        <v>0.21472392638036811</v>
      </c>
      <c r="K22" s="451">
        <v>105</v>
      </c>
      <c r="L22" s="1025">
        <f t="shared" si="0"/>
        <v>628418.54811585671</v>
      </c>
      <c r="M22" s="1025">
        <v>0</v>
      </c>
      <c r="N22" s="1025">
        <f t="shared" si="2"/>
        <v>628418.54811585671</v>
      </c>
      <c r="O22" s="1026">
        <f t="shared" si="3"/>
        <v>437500</v>
      </c>
      <c r="P22" s="1026">
        <f>(VLOOKUP(A22,'2223 Funding Detail'!$A$4:$AA$20,25,FALSE)*5/12)*K22</f>
        <v>395049.03749370179</v>
      </c>
      <c r="Q22" s="299" t="s">
        <v>207</v>
      </c>
      <c r="R22" s="235">
        <f t="shared" si="1"/>
        <v>222589.94307614127</v>
      </c>
      <c r="S22" s="269"/>
      <c r="T22" s="1127"/>
      <c r="U22" s="1127"/>
      <c r="V22" s="1118"/>
      <c r="W22" s="1118"/>
      <c r="X22" s="1118"/>
      <c r="Y22" s="1118"/>
      <c r="Z22" s="1118"/>
      <c r="AA22" s="1118"/>
      <c r="AB22" s="1118"/>
      <c r="AC22" s="1118"/>
      <c r="AD22" s="1118"/>
      <c r="AE22" s="1118"/>
      <c r="AF22" s="1118"/>
      <c r="AG22" s="1118"/>
      <c r="AH22" s="36"/>
      <c r="AI22" s="36"/>
      <c r="AJ22" s="36"/>
      <c r="AK22" s="36"/>
      <c r="AL22" s="36"/>
      <c r="AM22" s="36"/>
      <c r="AN22" s="36"/>
      <c r="AO22" s="36"/>
      <c r="AP22" s="36"/>
      <c r="AQ22" s="36"/>
      <c r="AR22" s="36"/>
      <c r="AS22" s="36"/>
      <c r="AT22" s="36"/>
      <c r="AU22" s="36"/>
      <c r="AV22" s="36"/>
      <c r="AW22" s="36"/>
      <c r="AX22" s="36"/>
      <c r="AY22" s="36"/>
      <c r="AZ22" s="36"/>
      <c r="BA22" s="36"/>
      <c r="BB22" s="36"/>
      <c r="BC22" s="36"/>
      <c r="BD22" s="36"/>
    </row>
    <row r="23" spans="1:56" x14ac:dyDescent="0.25">
      <c r="A23" s="249"/>
      <c r="B23" s="36"/>
      <c r="C23" s="234"/>
      <c r="D23" s="268"/>
      <c r="E23" s="268"/>
      <c r="F23" s="36"/>
      <c r="G23" s="268"/>
      <c r="H23" s="268"/>
      <c r="I23" s="268"/>
      <c r="J23" s="268"/>
      <c r="K23" s="268"/>
      <c r="L23" s="269"/>
      <c r="M23" s="36"/>
      <c r="N23" s="235"/>
      <c r="O23" s="235"/>
      <c r="P23" s="235"/>
      <c r="Q23" s="299" t="s">
        <v>207</v>
      </c>
      <c r="R23" s="269"/>
      <c r="S23" s="269"/>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row>
    <row r="24" spans="1:56" ht="13" x14ac:dyDescent="0.3">
      <c r="A24" s="93" t="s">
        <v>1622</v>
      </c>
      <c r="B24" s="36"/>
      <c r="C24" s="234"/>
      <c r="D24" s="268"/>
      <c r="E24" s="268"/>
      <c r="F24" s="268"/>
      <c r="G24" s="268"/>
      <c r="H24" s="268"/>
      <c r="I24" s="268"/>
      <c r="J24" s="268"/>
      <c r="K24" s="269"/>
      <c r="L24" s="269"/>
      <c r="M24" s="299" t="s">
        <v>207</v>
      </c>
      <c r="N24" s="235"/>
      <c r="O24" s="235"/>
      <c r="P24" s="235"/>
      <c r="Q24" s="235"/>
      <c r="R24" s="269"/>
      <c r="S24" s="269"/>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row>
    <row r="25" spans="1:56" x14ac:dyDescent="0.25">
      <c r="A25" s="249"/>
      <c r="B25" s="36"/>
      <c r="C25" s="234"/>
      <c r="D25" s="268"/>
      <c r="E25" s="268"/>
      <c r="F25" s="268"/>
      <c r="G25" s="268"/>
      <c r="H25" s="268"/>
      <c r="I25" s="268"/>
      <c r="J25" s="268"/>
      <c r="K25" s="94" t="s">
        <v>1621</v>
      </c>
      <c r="L25" s="269"/>
      <c r="M25" s="269"/>
      <c r="N25" s="235"/>
      <c r="O25" s="1445" t="s">
        <v>238</v>
      </c>
      <c r="P25" s="1446"/>
      <c r="Q25" s="235"/>
      <c r="R25" s="269"/>
      <c r="S25" s="269"/>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row>
    <row r="26" spans="1:56" ht="37.5" x14ac:dyDescent="0.25">
      <c r="A26" s="265" t="s">
        <v>182</v>
      </c>
      <c r="B26" s="237" t="s">
        <v>183</v>
      </c>
      <c r="C26" s="238" t="s">
        <v>184</v>
      </c>
      <c r="D26" s="234" t="s">
        <v>901</v>
      </c>
      <c r="E26" s="234" t="s">
        <v>902</v>
      </c>
      <c r="F26" s="234" t="s">
        <v>903</v>
      </c>
      <c r="G26" s="234" t="s">
        <v>904</v>
      </c>
      <c r="H26" s="234" t="s">
        <v>905</v>
      </c>
      <c r="I26" s="234" t="s">
        <v>906</v>
      </c>
      <c r="J26" s="234" t="s">
        <v>907</v>
      </c>
      <c r="K26" s="243" t="s">
        <v>264</v>
      </c>
      <c r="L26" s="243" t="s">
        <v>265</v>
      </c>
      <c r="M26" s="243" t="s">
        <v>266</v>
      </c>
      <c r="N26" s="243" t="s">
        <v>265</v>
      </c>
      <c r="O26" s="276" t="s">
        <v>267</v>
      </c>
      <c r="P26" s="320" t="s">
        <v>268</v>
      </c>
      <c r="Q26" s="243"/>
      <c r="R26" s="243"/>
      <c r="S26" s="27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row>
    <row r="27" spans="1:56" x14ac:dyDescent="0.25">
      <c r="A27" s="244">
        <v>9257010</v>
      </c>
      <c r="B27" s="237" t="s">
        <v>1164</v>
      </c>
      <c r="C27" s="365">
        <v>5</v>
      </c>
      <c r="D27" s="1024">
        <f>VLOOKUP(A27,'2223 Band Moderations'!$B$5:$S$21,6,(FALSE))</f>
        <v>6.1224489795918366E-2</v>
      </c>
      <c r="E27" s="1024">
        <f>VLOOKUP(A27,'2223 Band Moderations'!$B$5:$S$21,8,(FALSE))</f>
        <v>0.42857142857142855</v>
      </c>
      <c r="F27" s="1024">
        <f>VLOOKUP(A27,'2223 Band Moderations'!$B$5:$S$21,10,(FALSE))</f>
        <v>7.1428571428571425E-2</v>
      </c>
      <c r="G27" s="1024">
        <f>VLOOKUP(A27,'2223 Band Moderations'!$B$5:$S$21,12,(FALSE))</f>
        <v>0.1326530612244898</v>
      </c>
      <c r="H27" s="1024">
        <f>VLOOKUP(A27,'2223 Band Moderations'!$B$5:$S$21,14,(FALSE))</f>
        <v>8.1632653061224483E-2</v>
      </c>
      <c r="I27" s="1024">
        <f>VLOOKUP(A27,'2223 Band Moderations'!$B$5:$S$21,16,(FALSE))</f>
        <v>0.11224489795918367</v>
      </c>
      <c r="J27" s="1024">
        <f>VLOOKUP(A27,'2223 Band Moderations'!$B$5:$S$21,18,(FALSE))</f>
        <v>0.11224489795918367</v>
      </c>
      <c r="K27" s="451">
        <v>10</v>
      </c>
      <c r="L27" s="1025">
        <f t="shared" ref="L27:L43" si="4">((((K27*D27)*$G$88)+((K27*E27)*$G$90)+((K27*F27)*$G$92)+((K27*G27)*$G$94)+((K27*H27)*$G$96)+((K27*I27)*$G$98)+((K27*J27)*$G$100))*(4/12))</f>
        <v>41927.830121706415</v>
      </c>
      <c r="M27" s="1025">
        <v>0</v>
      </c>
      <c r="N27" s="1025">
        <f>SUM(L27:M27)</f>
        <v>41927.830121706415</v>
      </c>
      <c r="O27" s="1026">
        <f>(K27*(4/12))*10000</f>
        <v>33333.333333333328</v>
      </c>
      <c r="P27" s="1026">
        <f>(VLOOKUP(A27,'2223 Funding Detail'!$A$4:$AA$20,25,FALSE)*4/12)*K27</f>
        <v>26188.654058050983</v>
      </c>
      <c r="Q27" s="235"/>
      <c r="R27" s="235">
        <f t="shared" ref="R27:R43" si="5">(J27*K27*$G$100)*4/12</f>
        <v>8865.2787546415948</v>
      </c>
      <c r="S27" s="269"/>
      <c r="T27" s="235"/>
      <c r="U27" s="235"/>
      <c r="V27" s="297"/>
      <c r="W27" s="29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row>
    <row r="28" spans="1:56" x14ac:dyDescent="0.25">
      <c r="A28" s="244">
        <v>9257005</v>
      </c>
      <c r="B28" s="237" t="s">
        <v>208</v>
      </c>
      <c r="C28" s="365">
        <v>4</v>
      </c>
      <c r="D28" s="1024">
        <f>VLOOKUP(A28,'2223 Band Moderations'!$B$5:$S$21,6,(FALSE))</f>
        <v>5.8139534883720929E-2</v>
      </c>
      <c r="E28" s="1024">
        <f>VLOOKUP(A28,'2223 Band Moderations'!$B$5:$S$21,8,(FALSE))</f>
        <v>0.38372093023255816</v>
      </c>
      <c r="F28" s="1024">
        <f>VLOOKUP(A28,'2223 Band Moderations'!$B$5:$S$21,10,(FALSE))</f>
        <v>9.3023255813953487E-2</v>
      </c>
      <c r="G28" s="1024">
        <f>VLOOKUP(A28,'2223 Band Moderations'!$B$5:$S$21,12,(FALSE))</f>
        <v>0.13953488372093023</v>
      </c>
      <c r="H28" s="1024">
        <f>VLOOKUP(A28,'2223 Band Moderations'!$B$5:$S$21,14,(FALSE))</f>
        <v>0.11627906976744186</v>
      </c>
      <c r="I28" s="1024">
        <f>VLOOKUP(A28,'2223 Band Moderations'!$B$5:$S$21,16,(FALSE))</f>
        <v>0.15116279069767441</v>
      </c>
      <c r="J28" s="1024">
        <f>VLOOKUP(A28,'2223 Band Moderations'!$B$5:$S$21,18,(FALSE))</f>
        <v>5.8139534883720929E-2</v>
      </c>
      <c r="K28" s="451">
        <v>28</v>
      </c>
      <c r="L28" s="1025">
        <f t="shared" si="4"/>
        <v>117066.59909232882</v>
      </c>
      <c r="M28" s="1025">
        <v>0</v>
      </c>
      <c r="N28" s="1025">
        <f>SUM(L28:M28)</f>
        <v>117066.59909232882</v>
      </c>
      <c r="O28" s="1026">
        <f>(K28*(4/12))*10000</f>
        <v>93333.333333333328</v>
      </c>
      <c r="P28" s="1026">
        <f>(VLOOKUP(A28,'2223 Funding Detail'!$A$4:$AA$20,25,FALSE)*4/12)*K28</f>
        <v>82475.885514404683</v>
      </c>
      <c r="Q28" s="235"/>
      <c r="R28" s="235">
        <f t="shared" si="5"/>
        <v>12857.465593412546</v>
      </c>
      <c r="S28" s="269"/>
      <c r="T28" s="235"/>
      <c r="U28" s="235"/>
      <c r="V28" s="235"/>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row>
    <row r="29" spans="1:56" x14ac:dyDescent="0.25">
      <c r="A29" s="244">
        <v>9257025</v>
      </c>
      <c r="B29" s="237" t="s">
        <v>209</v>
      </c>
      <c r="C29" s="365">
        <v>4</v>
      </c>
      <c r="D29" s="1024">
        <f>VLOOKUP(A29,'2223 Band Moderations'!$B$5:$S$21,6,(FALSE))</f>
        <v>0.13924050632911392</v>
      </c>
      <c r="E29" s="1024">
        <f>VLOOKUP(A29,'2223 Band Moderations'!$B$5:$S$21,8,(FALSE))</f>
        <v>0.46835443037974683</v>
      </c>
      <c r="F29" s="1024">
        <f>VLOOKUP(A29,'2223 Band Moderations'!$B$5:$S$21,10,(FALSE))</f>
        <v>3.7974683544303799E-2</v>
      </c>
      <c r="G29" s="1024">
        <f>VLOOKUP(A29,'2223 Band Moderations'!$B$5:$S$21,12,(FALSE))</f>
        <v>0.11392405063291139</v>
      </c>
      <c r="H29" s="1024">
        <f>VLOOKUP(A29,'2223 Band Moderations'!$B$5:$S$21,14,(FALSE))</f>
        <v>3.7974683544303799E-2</v>
      </c>
      <c r="I29" s="1024">
        <f>VLOOKUP(A29,'2223 Band Moderations'!$B$5:$S$21,16,(FALSE))</f>
        <v>0.15189873417721519</v>
      </c>
      <c r="J29" s="1024">
        <f>VLOOKUP(A29,'2223 Band Moderations'!$B$5:$S$21,18,(FALSE))</f>
        <v>5.0632911392405063E-2</v>
      </c>
      <c r="K29" s="451">
        <v>24</v>
      </c>
      <c r="L29" s="1025">
        <f t="shared" si="4"/>
        <v>88900.711412250937</v>
      </c>
      <c r="M29" s="1025">
        <v>0</v>
      </c>
      <c r="N29" s="1025">
        <f t="shared" ref="N29:N43" si="6">SUM(L29:M29)</f>
        <v>88900.711412250937</v>
      </c>
      <c r="O29" s="1026">
        <f t="shared" ref="O29:O43" si="7">(K29*(4/12))*10000</f>
        <v>80000</v>
      </c>
      <c r="P29" s="1026">
        <f>(VLOOKUP(A29,'2223 Funding Detail'!$A$4:$AA$20,25,FALSE)*4/12)*K29</f>
        <v>58404.897751271259</v>
      </c>
      <c r="Q29" s="235"/>
      <c r="R29" s="235">
        <f t="shared" si="5"/>
        <v>9597.7609348294736</v>
      </c>
      <c r="S29" s="269"/>
      <c r="T29" s="235"/>
      <c r="U29" s="235"/>
      <c r="V29" s="235"/>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row>
    <row r="30" spans="1:56" x14ac:dyDescent="0.25">
      <c r="A30" s="244">
        <v>9257024</v>
      </c>
      <c r="B30" s="237" t="s">
        <v>211</v>
      </c>
      <c r="C30" s="365">
        <v>4</v>
      </c>
      <c r="D30" s="1024">
        <f>VLOOKUP(A30,'2223 Band Moderations'!$B$5:$S$21,6,(FALSE))</f>
        <v>7.1428571428571425E-2</v>
      </c>
      <c r="E30" s="1024">
        <f>VLOOKUP(A30,'2223 Band Moderations'!$B$5:$S$21,8,(FALSE))</f>
        <v>0.51190476190476186</v>
      </c>
      <c r="F30" s="1024">
        <f>VLOOKUP(A30,'2223 Band Moderations'!$B$5:$S$21,10,(FALSE))</f>
        <v>2.3809523809523808E-2</v>
      </c>
      <c r="G30" s="1024">
        <f>VLOOKUP(A30,'2223 Band Moderations'!$B$5:$S$21,12,(FALSE))</f>
        <v>0.17857142857142858</v>
      </c>
      <c r="H30" s="1024">
        <f>VLOOKUP(A30,'2223 Band Moderations'!$B$5:$S$21,14,(FALSE))</f>
        <v>8.3333333333333329E-2</v>
      </c>
      <c r="I30" s="1024">
        <f>VLOOKUP(A30,'2223 Band Moderations'!$B$5:$S$21,16,(FALSE))</f>
        <v>7.1428571428571425E-2</v>
      </c>
      <c r="J30" s="1024">
        <f>VLOOKUP(A30,'2223 Band Moderations'!$B$5:$S$21,18,(FALSE))</f>
        <v>5.9523809523809521E-2</v>
      </c>
      <c r="K30" s="451">
        <v>13</v>
      </c>
      <c r="L30" s="1025">
        <f t="shared" si="4"/>
        <v>49287.970540483162</v>
      </c>
      <c r="M30" s="1025">
        <v>0</v>
      </c>
      <c r="N30" s="1025">
        <f t="shared" si="6"/>
        <v>49287.970540483162</v>
      </c>
      <c r="O30" s="1026">
        <f t="shared" si="7"/>
        <v>43333.333333333328</v>
      </c>
      <c r="P30" s="1026">
        <f>(VLOOKUP(A30,'2223 Funding Detail'!$A$4:$AA$20,25,FALSE)*4/12)*K30</f>
        <v>32375.763865917717</v>
      </c>
      <c r="Q30" s="235"/>
      <c r="R30" s="235">
        <f t="shared" si="5"/>
        <v>6111.6694444877648</v>
      </c>
      <c r="S30" s="269"/>
      <c r="T30" s="235"/>
      <c r="U30" s="235"/>
      <c r="V30" s="235"/>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row>
    <row r="31" spans="1:56" x14ac:dyDescent="0.25">
      <c r="A31" s="244">
        <v>9257031</v>
      </c>
      <c r="B31" s="237" t="s">
        <v>257</v>
      </c>
      <c r="C31" s="365">
        <v>5</v>
      </c>
      <c r="D31" s="1024">
        <f>VLOOKUP(A31,'2223 Band Moderations'!$B$5:$S$21,6,(FALSE))</f>
        <v>0</v>
      </c>
      <c r="E31" s="1024">
        <f>VLOOKUP(A31,'2223 Band Moderations'!$B$5:$S$21,8,(FALSE))</f>
        <v>0</v>
      </c>
      <c r="F31" s="1024">
        <f>VLOOKUP(A31,'2223 Band Moderations'!$B$5:$S$21,10,(FALSE))</f>
        <v>1</v>
      </c>
      <c r="G31" s="1024">
        <f>VLOOKUP(A31,'2223 Band Moderations'!$B$5:$S$21,12,(FALSE))</f>
        <v>0</v>
      </c>
      <c r="H31" s="1024">
        <f>VLOOKUP(A31,'2223 Band Moderations'!$B$5:$S$21,14,(FALSE))</f>
        <v>0</v>
      </c>
      <c r="I31" s="1024">
        <f>VLOOKUP(A31,'2223 Band Moderations'!$B$5:$S$21,16,(FALSE))</f>
        <v>0</v>
      </c>
      <c r="J31" s="1024">
        <f>VLOOKUP(A31,'2223 Band Moderations'!$B$5:$S$21,18,(FALSE))</f>
        <v>0</v>
      </c>
      <c r="K31" s="451">
        <v>0</v>
      </c>
      <c r="L31" s="1025">
        <f t="shared" si="4"/>
        <v>0</v>
      </c>
      <c r="M31" s="1025">
        <v>0</v>
      </c>
      <c r="N31" s="1025">
        <f t="shared" si="6"/>
        <v>0</v>
      </c>
      <c r="O31" s="1026">
        <f t="shared" si="7"/>
        <v>0</v>
      </c>
      <c r="P31" s="1026">
        <f>(VLOOKUP(A31,'2223 Funding Detail'!$A$4:$AA$20,25,FALSE)*4/12)*K31</f>
        <v>0</v>
      </c>
      <c r="Q31" s="235"/>
      <c r="R31" s="235">
        <f t="shared" si="5"/>
        <v>0</v>
      </c>
      <c r="S31" s="269"/>
      <c r="T31" s="235"/>
      <c r="U31" s="235"/>
      <c r="V31" s="235"/>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row>
    <row r="32" spans="1:56" x14ac:dyDescent="0.25">
      <c r="A32" s="244">
        <v>9257033</v>
      </c>
      <c r="B32" s="237" t="s">
        <v>220</v>
      </c>
      <c r="C32" s="365" t="s">
        <v>1178</v>
      </c>
      <c r="D32" s="1024">
        <f>VLOOKUP(A32,'2223 Band Moderations'!$B$5:$S$21,6,(FALSE))</f>
        <v>0.1388888888888889</v>
      </c>
      <c r="E32" s="1024">
        <f>VLOOKUP(A32,'2223 Band Moderations'!$B$5:$S$21,8,(FALSE))</f>
        <v>0.62962962962962965</v>
      </c>
      <c r="F32" s="1024">
        <f>VLOOKUP(A32,'2223 Band Moderations'!$B$5:$S$21,10,(FALSE))</f>
        <v>4.6296296296296294E-2</v>
      </c>
      <c r="G32" s="1024">
        <f>VLOOKUP(A32,'2223 Band Moderations'!$B$5:$S$21,12,(FALSE))</f>
        <v>0.10185185185185185</v>
      </c>
      <c r="H32" s="1024">
        <f>VLOOKUP(A32,'2223 Band Moderations'!$B$5:$S$21,14,(FALSE))</f>
        <v>3.7037037037037035E-2</v>
      </c>
      <c r="I32" s="1024">
        <f>VLOOKUP(A32,'2223 Band Moderations'!$B$5:$S$21,16,(FALSE))</f>
        <v>3.7037037037037035E-2</v>
      </c>
      <c r="J32" s="1024">
        <f>VLOOKUP(A32,'2223 Band Moderations'!$B$5:$S$21,18,(FALSE))</f>
        <v>9.2592592592592587E-3</v>
      </c>
      <c r="K32" s="451">
        <v>0</v>
      </c>
      <c r="L32" s="1025">
        <f t="shared" si="4"/>
        <v>0</v>
      </c>
      <c r="M32" s="1025">
        <v>0</v>
      </c>
      <c r="N32" s="1025">
        <f t="shared" si="6"/>
        <v>0</v>
      </c>
      <c r="O32" s="1026">
        <f t="shared" si="7"/>
        <v>0</v>
      </c>
      <c r="P32" s="1026">
        <f>(VLOOKUP(A32,'2223 Funding Detail'!$A$4:$AA$20,25,FALSE)*4/12)*K32</f>
        <v>0</v>
      </c>
      <c r="Q32" s="235"/>
      <c r="R32" s="235">
        <f t="shared" si="5"/>
        <v>0</v>
      </c>
      <c r="S32" s="269"/>
      <c r="T32" s="235"/>
      <c r="U32" s="235"/>
      <c r="V32" s="235"/>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row>
    <row r="33" spans="1:56" x14ac:dyDescent="0.25">
      <c r="A33" s="244">
        <v>9257008</v>
      </c>
      <c r="B33" s="237" t="s">
        <v>212</v>
      </c>
      <c r="C33" s="365">
        <v>4</v>
      </c>
      <c r="D33" s="1024">
        <f>VLOOKUP(A33,'2223 Band Moderations'!$B$5:$S$21,6,(FALSE))</f>
        <v>0.11</v>
      </c>
      <c r="E33" s="1024">
        <f>VLOOKUP(A33,'2223 Band Moderations'!$B$5:$S$21,8,(FALSE))</f>
        <v>0.64</v>
      </c>
      <c r="F33" s="1024">
        <f>VLOOKUP(A33,'2223 Band Moderations'!$B$5:$S$21,10,(FALSE))</f>
        <v>7.0000000000000007E-2</v>
      </c>
      <c r="G33" s="1024">
        <f>VLOOKUP(A33,'2223 Band Moderations'!$B$5:$S$21,12,(FALSE))</f>
        <v>0.09</v>
      </c>
      <c r="H33" s="1024">
        <f>VLOOKUP(A33,'2223 Band Moderations'!$B$5:$S$21,14,(FALSE))</f>
        <v>0</v>
      </c>
      <c r="I33" s="1024">
        <f>VLOOKUP(A33,'2223 Band Moderations'!$B$5:$S$21,16,(FALSE))</f>
        <v>0.09</v>
      </c>
      <c r="J33" s="1024">
        <f>VLOOKUP(A33,'2223 Band Moderations'!$B$5:$S$21,18,(FALSE))</f>
        <v>0</v>
      </c>
      <c r="K33" s="451">
        <v>0</v>
      </c>
      <c r="L33" s="1025">
        <f t="shared" si="4"/>
        <v>0</v>
      </c>
      <c r="M33" s="1025">
        <v>0</v>
      </c>
      <c r="N33" s="1025">
        <f t="shared" si="6"/>
        <v>0</v>
      </c>
      <c r="O33" s="1026">
        <f t="shared" si="7"/>
        <v>0</v>
      </c>
      <c r="P33" s="1026">
        <f>(VLOOKUP(A33,'2223 Funding Detail'!$A$4:$AA$20,25,FALSE)*4/12)*K33</f>
        <v>0</v>
      </c>
      <c r="Q33" s="235"/>
      <c r="R33" s="235">
        <f t="shared" si="5"/>
        <v>0</v>
      </c>
      <c r="S33" s="269"/>
      <c r="T33" s="235"/>
      <c r="U33" s="235"/>
      <c r="V33" s="235"/>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row>
    <row r="34" spans="1:56" x14ac:dyDescent="0.25">
      <c r="A34" s="244">
        <v>9257034</v>
      </c>
      <c r="B34" s="237" t="s">
        <v>221</v>
      </c>
      <c r="C34" s="365" t="s">
        <v>1178</v>
      </c>
      <c r="D34" s="1024">
        <f>VLOOKUP(A34,'2223 Band Moderations'!$B$5:$S$21,6,(FALSE))</f>
        <v>0.44444444444444442</v>
      </c>
      <c r="E34" s="1024">
        <f>VLOOKUP(A34,'2223 Band Moderations'!$B$5:$S$21,8,(FALSE))</f>
        <v>0.32407407407407407</v>
      </c>
      <c r="F34" s="1024">
        <f>VLOOKUP(A34,'2223 Band Moderations'!$B$5:$S$21,10,(FALSE))</f>
        <v>9.2592592592592587E-2</v>
      </c>
      <c r="G34" s="1024">
        <f>VLOOKUP(A34,'2223 Band Moderations'!$B$5:$S$21,12,(FALSE))</f>
        <v>4.6296296296296294E-2</v>
      </c>
      <c r="H34" s="1024">
        <f>VLOOKUP(A34,'2223 Band Moderations'!$B$5:$S$21,14,(FALSE))</f>
        <v>2.7777777777777776E-2</v>
      </c>
      <c r="I34" s="1024">
        <f>VLOOKUP(A34,'2223 Band Moderations'!$B$5:$S$21,16,(FALSE))</f>
        <v>5.5555555555555552E-2</v>
      </c>
      <c r="J34" s="1024">
        <f>VLOOKUP(A34,'2223 Band Moderations'!$B$5:$S$21,18,(FALSE))</f>
        <v>9.2592592592592587E-3</v>
      </c>
      <c r="K34" s="451">
        <v>32</v>
      </c>
      <c r="L34" s="1025">
        <f t="shared" si="4"/>
        <v>96254.949581298948</v>
      </c>
      <c r="M34" s="1025">
        <v>0</v>
      </c>
      <c r="N34" s="1025">
        <f t="shared" si="6"/>
        <v>96254.949581298948</v>
      </c>
      <c r="O34" s="1026">
        <f t="shared" si="7"/>
        <v>106666.66666666666</v>
      </c>
      <c r="P34" s="1026">
        <f>(VLOOKUP(A34,'2223 Funding Detail'!$A$4:$AA$20,25,FALSE)*4/12)*K34</f>
        <v>42302.60624924735</v>
      </c>
      <c r="Q34" s="235"/>
      <c r="R34" s="235">
        <f t="shared" si="5"/>
        <v>2340.1947958380501</v>
      </c>
      <c r="S34" s="269"/>
      <c r="T34" s="235"/>
      <c r="U34" s="235"/>
      <c r="V34" s="235"/>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row>
    <row r="35" spans="1:56" x14ac:dyDescent="0.25">
      <c r="A35" s="244">
        <v>9257002</v>
      </c>
      <c r="B35" s="237" t="s">
        <v>213</v>
      </c>
      <c r="C35" s="365">
        <v>5</v>
      </c>
      <c r="D35" s="1024">
        <f>VLOOKUP(A35,'2223 Band Moderations'!$B$5:$S$21,6,(FALSE))</f>
        <v>0.33557046979865773</v>
      </c>
      <c r="E35" s="1024">
        <f>VLOOKUP(A35,'2223 Band Moderations'!$B$5:$S$21,8,(FALSE))</f>
        <v>0.38926174496644295</v>
      </c>
      <c r="F35" s="1024">
        <f>VLOOKUP(A35,'2223 Band Moderations'!$B$5:$S$21,10,(FALSE))</f>
        <v>0.13422818791946309</v>
      </c>
      <c r="G35" s="1024">
        <f>VLOOKUP(A35,'2223 Band Moderations'!$B$5:$S$21,12,(FALSE))</f>
        <v>3.3557046979865772E-2</v>
      </c>
      <c r="H35" s="1024">
        <f>VLOOKUP(A35,'2223 Band Moderations'!$B$5:$S$21,14,(FALSE))</f>
        <v>2.0134228187919462E-2</v>
      </c>
      <c r="I35" s="1024">
        <f>VLOOKUP(A35,'2223 Band Moderations'!$B$5:$S$21,16,(FALSE))</f>
        <v>7.3825503355704702E-2</v>
      </c>
      <c r="J35" s="1024">
        <f>VLOOKUP(A35,'2223 Band Moderations'!$B$5:$S$21,18,(FALSE))</f>
        <v>1.3422818791946308E-2</v>
      </c>
      <c r="K35" s="451">
        <v>0</v>
      </c>
      <c r="L35" s="1025">
        <f t="shared" si="4"/>
        <v>0</v>
      </c>
      <c r="M35" s="1025">
        <v>0</v>
      </c>
      <c r="N35" s="1025">
        <f t="shared" si="6"/>
        <v>0</v>
      </c>
      <c r="O35" s="1026">
        <f t="shared" si="7"/>
        <v>0</v>
      </c>
      <c r="P35" s="1026">
        <f>(VLOOKUP(A35,'2223 Funding Detail'!$A$4:$AA$20,25,FALSE)*4/12)*K35</f>
        <v>0</v>
      </c>
      <c r="Q35" s="235"/>
      <c r="R35" s="235">
        <f t="shared" si="5"/>
        <v>0</v>
      </c>
      <c r="S35" s="269"/>
      <c r="T35" s="235"/>
      <c r="U35" s="235"/>
      <c r="V35" s="235"/>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row>
    <row r="36" spans="1:56" x14ac:dyDescent="0.25">
      <c r="A36" s="244">
        <v>9257009</v>
      </c>
      <c r="B36" s="237" t="s">
        <v>214</v>
      </c>
      <c r="C36" s="365" t="s">
        <v>1178</v>
      </c>
      <c r="D36" s="1024">
        <f>VLOOKUP(A36,'2223 Band Moderations'!$B$5:$S$21,6,(FALSE))</f>
        <v>0.16728126399462603</v>
      </c>
      <c r="E36" s="1024">
        <f>VLOOKUP(A36,'2223 Band Moderations'!$B$5:$S$21,8,(FALSE))</f>
        <v>0.5331117367060082</v>
      </c>
      <c r="F36" s="1024">
        <f>VLOOKUP(A36,'2223 Band Moderations'!$B$5:$S$21,10,(FALSE))</f>
        <v>5.951180875576037E-2</v>
      </c>
      <c r="G36" s="1024">
        <f>VLOOKUP(A36,'2223 Band Moderations'!$B$5:$S$21,12,(FALSE))</f>
        <v>7.4766176884850405E-2</v>
      </c>
      <c r="H36" s="1024">
        <f>VLOOKUP(A36,'2223 Band Moderations'!$B$5:$S$21,14,(FALSE))</f>
        <v>3.7220400914435951E-2</v>
      </c>
      <c r="I36" s="1024">
        <f>VLOOKUP(A36,'2223 Band Moderations'!$B$5:$S$21,16,(FALSE))</f>
        <v>8.0393258021177944E-2</v>
      </c>
      <c r="J36" s="1024">
        <f>VLOOKUP(A36,'2223 Band Moderations'!$B$5:$S$21,18,(FALSE))</f>
        <v>4.7715354723141153E-2</v>
      </c>
      <c r="K36" s="451">
        <v>8</v>
      </c>
      <c r="L36" s="1025">
        <f t="shared" si="4"/>
        <v>27329.373233687384</v>
      </c>
      <c r="M36" s="1025">
        <v>0</v>
      </c>
      <c r="N36" s="1025">
        <f t="shared" si="6"/>
        <v>27329.373233687384</v>
      </c>
      <c r="O36" s="1026">
        <f t="shared" si="7"/>
        <v>26666.666666666664</v>
      </c>
      <c r="P36" s="1026">
        <f>(VLOOKUP(A36,'2223 Funding Detail'!$A$4:$AA$20,25,FALSE)*4/12)*K36</f>
        <v>10877.610948948883</v>
      </c>
      <c r="Q36" s="235"/>
      <c r="R36" s="235">
        <f t="shared" si="5"/>
        <v>3014.9070697258599</v>
      </c>
      <c r="S36" s="269"/>
      <c r="T36" s="235"/>
      <c r="U36" s="235"/>
      <c r="V36" s="235"/>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row>
    <row r="37" spans="1:56" x14ac:dyDescent="0.25">
      <c r="A37" s="244">
        <v>9257029</v>
      </c>
      <c r="B37" s="237" t="s">
        <v>890</v>
      </c>
      <c r="C37" s="365" t="s">
        <v>1179</v>
      </c>
      <c r="D37" s="1024">
        <f>VLOOKUP(A37,'2223 Band Moderations'!$B$5:$S$21,6,(FALSE))</f>
        <v>0</v>
      </c>
      <c r="E37" s="1024">
        <f>VLOOKUP(A37,'2223 Band Moderations'!$B$5:$S$21,8,(FALSE))</f>
        <v>0</v>
      </c>
      <c r="F37" s="1024">
        <f>VLOOKUP(A37,'2223 Band Moderations'!$B$5:$S$21,10,(FALSE))</f>
        <v>1</v>
      </c>
      <c r="G37" s="1024">
        <f>VLOOKUP(A37,'2223 Band Moderations'!$B$5:$S$21,12,(FALSE))</f>
        <v>0</v>
      </c>
      <c r="H37" s="1024">
        <f>VLOOKUP(A37,'2223 Band Moderations'!$B$5:$S$21,14,(FALSE))</f>
        <v>0</v>
      </c>
      <c r="I37" s="1024">
        <f>VLOOKUP(A37,'2223 Band Moderations'!$B$5:$S$21,16,(FALSE))</f>
        <v>0</v>
      </c>
      <c r="J37" s="1024">
        <f>VLOOKUP(A37,'2223 Band Moderations'!$B$5:$S$21,18,(FALSE))</f>
        <v>0</v>
      </c>
      <c r="K37" s="451">
        <v>0</v>
      </c>
      <c r="L37" s="1025">
        <f t="shared" si="4"/>
        <v>0</v>
      </c>
      <c r="M37" s="1025">
        <v>0</v>
      </c>
      <c r="N37" s="1025">
        <f t="shared" si="6"/>
        <v>0</v>
      </c>
      <c r="O37" s="1026">
        <f t="shared" si="7"/>
        <v>0</v>
      </c>
      <c r="P37" s="1026">
        <f>(VLOOKUP(A37,'2223 Funding Detail'!$A$4:$AA$20,25,FALSE)*4/12)*K37</f>
        <v>0</v>
      </c>
      <c r="Q37" s="235"/>
      <c r="R37" s="235">
        <f t="shared" si="5"/>
        <v>0</v>
      </c>
      <c r="S37" s="269"/>
      <c r="T37" s="235"/>
      <c r="U37" s="235"/>
      <c r="V37" s="235"/>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row>
    <row r="38" spans="1:56" x14ac:dyDescent="0.25">
      <c r="A38" s="244">
        <v>9257032</v>
      </c>
      <c r="B38" s="237" t="s">
        <v>1043</v>
      </c>
      <c r="C38" s="365" t="s">
        <v>1179</v>
      </c>
      <c r="D38" s="1024">
        <f>VLOOKUP(A38,'2223 Band Moderations'!$B$5:$S$21,6,(FALSE))</f>
        <v>0</v>
      </c>
      <c r="E38" s="1024">
        <f>VLOOKUP(A38,'2223 Band Moderations'!$B$5:$S$21,8,(FALSE))</f>
        <v>0</v>
      </c>
      <c r="F38" s="1024">
        <f>VLOOKUP(A38,'2223 Band Moderations'!$B$5:$S$21,10,(FALSE))</f>
        <v>1</v>
      </c>
      <c r="G38" s="1024">
        <f>VLOOKUP(A38,'2223 Band Moderations'!$B$5:$S$21,12,(FALSE))</f>
        <v>0</v>
      </c>
      <c r="H38" s="1024">
        <f>VLOOKUP(A38,'2223 Band Moderations'!$B$5:$S$21,14,(FALSE))</f>
        <v>0</v>
      </c>
      <c r="I38" s="1024">
        <f>VLOOKUP(A38,'2223 Band Moderations'!$B$5:$S$21,16,(FALSE))</f>
        <v>0</v>
      </c>
      <c r="J38" s="1024">
        <f>VLOOKUP(A38,'2223 Band Moderations'!$B$5:$S$21,18,(FALSE))</f>
        <v>0</v>
      </c>
      <c r="K38" s="451">
        <v>0</v>
      </c>
      <c r="L38" s="1025">
        <f t="shared" si="4"/>
        <v>0</v>
      </c>
      <c r="M38" s="1025">
        <v>0</v>
      </c>
      <c r="N38" s="1025">
        <f t="shared" si="6"/>
        <v>0</v>
      </c>
      <c r="O38" s="1026">
        <f t="shared" si="7"/>
        <v>0</v>
      </c>
      <c r="P38" s="1026">
        <f>(VLOOKUP(A38,'2223 Funding Detail'!$A$4:$AA$20,25,FALSE)*4/12)*K38</f>
        <v>0</v>
      </c>
      <c r="Q38" s="235"/>
      <c r="R38" s="235">
        <f t="shared" si="5"/>
        <v>0</v>
      </c>
      <c r="S38" s="269"/>
      <c r="T38" s="235"/>
      <c r="U38" s="235"/>
      <c r="V38" s="235"/>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row>
    <row r="39" spans="1:56" x14ac:dyDescent="0.25">
      <c r="A39" s="244">
        <v>9257030</v>
      </c>
      <c r="B39" s="237" t="s">
        <v>1046</v>
      </c>
      <c r="C39" s="365" t="s">
        <v>1179</v>
      </c>
      <c r="D39" s="1024">
        <f>VLOOKUP(A39,'2223 Band Moderations'!$B$5:$S$21,6,(FALSE))</f>
        <v>0</v>
      </c>
      <c r="E39" s="1024">
        <f>VLOOKUP(A39,'2223 Band Moderations'!$B$5:$S$21,8,(FALSE))</f>
        <v>0</v>
      </c>
      <c r="F39" s="1024">
        <f>VLOOKUP(A39,'2223 Band Moderations'!$B$5:$S$21,10,(FALSE))</f>
        <v>1</v>
      </c>
      <c r="G39" s="1024">
        <f>VLOOKUP(A39,'2223 Band Moderations'!$B$5:$S$21,12,(FALSE))</f>
        <v>0</v>
      </c>
      <c r="H39" s="1024">
        <f>VLOOKUP(A39,'2223 Band Moderations'!$B$5:$S$21,14,(FALSE))</f>
        <v>0</v>
      </c>
      <c r="I39" s="1024">
        <f>VLOOKUP(A39,'2223 Band Moderations'!$B$5:$S$21,16,(FALSE))</f>
        <v>0</v>
      </c>
      <c r="J39" s="1024">
        <f>VLOOKUP(A39,'2223 Band Moderations'!$B$5:$S$21,18,(FALSE))</f>
        <v>0</v>
      </c>
      <c r="K39" s="451">
        <v>0</v>
      </c>
      <c r="L39" s="1025">
        <f t="shared" si="4"/>
        <v>0</v>
      </c>
      <c r="M39" s="1025">
        <v>0</v>
      </c>
      <c r="N39" s="1025">
        <f t="shared" si="6"/>
        <v>0</v>
      </c>
      <c r="O39" s="1026">
        <f t="shared" si="7"/>
        <v>0</v>
      </c>
      <c r="P39" s="1026">
        <f>(VLOOKUP(A39,'2223 Funding Detail'!$A$4:$AA$20,25,FALSE)*4/12)*K39</f>
        <v>0</v>
      </c>
      <c r="Q39" s="235"/>
      <c r="R39" s="235">
        <f t="shared" si="5"/>
        <v>0</v>
      </c>
      <c r="S39" s="269"/>
      <c r="T39" s="235"/>
      <c r="U39" s="235"/>
      <c r="V39" s="235"/>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row>
    <row r="40" spans="1:56" x14ac:dyDescent="0.25">
      <c r="A40" s="244">
        <v>9257028</v>
      </c>
      <c r="B40" s="237" t="s">
        <v>215</v>
      </c>
      <c r="C40" s="365">
        <v>5</v>
      </c>
      <c r="D40" s="1024">
        <f>VLOOKUP(A40,'2223 Band Moderations'!$B$5:$S$21,6,(FALSE))</f>
        <v>9.2436974789915971E-2</v>
      </c>
      <c r="E40" s="1024">
        <f>VLOOKUP(A40,'2223 Band Moderations'!$B$5:$S$21,8,(FALSE))</f>
        <v>0.44537815126050423</v>
      </c>
      <c r="F40" s="1024">
        <f>VLOOKUP(A40,'2223 Band Moderations'!$B$5:$S$21,10,(FALSE))</f>
        <v>7.5630252100840331E-2</v>
      </c>
      <c r="G40" s="1024">
        <f>VLOOKUP(A40,'2223 Band Moderations'!$B$5:$S$21,12,(FALSE))</f>
        <v>9.2436974789915971E-2</v>
      </c>
      <c r="H40" s="1024">
        <f>VLOOKUP(A40,'2223 Band Moderations'!$B$5:$S$21,14,(FALSE))</f>
        <v>9.2436974789915971E-2</v>
      </c>
      <c r="I40" s="1024">
        <f>VLOOKUP(A40,'2223 Band Moderations'!$B$5:$S$21,16,(FALSE))</f>
        <v>7.5630252100840331E-2</v>
      </c>
      <c r="J40" s="1024">
        <f>VLOOKUP(A40,'2223 Band Moderations'!$B$5:$S$21,18,(FALSE))</f>
        <v>0.12605042016806722</v>
      </c>
      <c r="K40" s="451">
        <v>5</v>
      </c>
      <c r="L40" s="1025">
        <f t="shared" si="4"/>
        <v>20399.893940398149</v>
      </c>
      <c r="M40" s="1025">
        <v>0</v>
      </c>
      <c r="N40" s="1025">
        <f t="shared" si="6"/>
        <v>20399.893940398149</v>
      </c>
      <c r="O40" s="1026">
        <f t="shared" si="7"/>
        <v>16666.666666666664</v>
      </c>
      <c r="P40" s="1026">
        <f>(VLOOKUP(A40,'2223 Funding Detail'!$A$4:$AA$20,25,FALSE)*4/12)*K40</f>
        <v>12116.573008176638</v>
      </c>
      <c r="Q40" s="235"/>
      <c r="R40" s="235">
        <f t="shared" si="5"/>
        <v>4977.8303167773656</v>
      </c>
      <c r="S40" s="269"/>
      <c r="T40" s="235"/>
      <c r="U40" s="235"/>
      <c r="V40" s="235"/>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row>
    <row r="41" spans="1:56" x14ac:dyDescent="0.25">
      <c r="A41" s="244">
        <v>9257021</v>
      </c>
      <c r="B41" s="237" t="s">
        <v>216</v>
      </c>
      <c r="C41" s="365" t="s">
        <v>1180</v>
      </c>
      <c r="D41" s="1024">
        <f>VLOOKUP(A41,'2223 Band Moderations'!$B$5:$S$21,6,(FALSE))</f>
        <v>0.25146198830409355</v>
      </c>
      <c r="E41" s="1024">
        <f>VLOOKUP(A41,'2223 Band Moderations'!$B$5:$S$21,8,(FALSE))</f>
        <v>0.47368421052631576</v>
      </c>
      <c r="F41" s="1024">
        <f>VLOOKUP(A41,'2223 Band Moderations'!$B$5:$S$21,10,(FALSE))</f>
        <v>9.3567251461988299E-2</v>
      </c>
      <c r="G41" s="1024">
        <f>VLOOKUP(A41,'2223 Band Moderations'!$B$5:$S$21,12,(FALSE))</f>
        <v>7.6023391812865493E-2</v>
      </c>
      <c r="H41" s="1024">
        <f>VLOOKUP(A41,'2223 Band Moderations'!$B$5:$S$21,14,(FALSE))</f>
        <v>3.5087719298245612E-2</v>
      </c>
      <c r="I41" s="1024">
        <f>VLOOKUP(A41,'2223 Band Moderations'!$B$5:$S$21,16,(FALSE))</f>
        <v>5.8479532163742687E-2</v>
      </c>
      <c r="J41" s="1024">
        <f>VLOOKUP(A41,'2223 Band Moderations'!$B$5:$S$21,18,(FALSE))</f>
        <v>1.1695906432748537E-2</v>
      </c>
      <c r="K41" s="451">
        <v>0</v>
      </c>
      <c r="L41" s="1025">
        <f t="shared" si="4"/>
        <v>0</v>
      </c>
      <c r="M41" s="1025">
        <v>0</v>
      </c>
      <c r="N41" s="1025">
        <f t="shared" si="6"/>
        <v>0</v>
      </c>
      <c r="O41" s="1026">
        <f t="shared" si="7"/>
        <v>0</v>
      </c>
      <c r="P41" s="1026">
        <f>(VLOOKUP(A41,'2223 Funding Detail'!$A$4:$AA$20,25,FALSE)*4/12)*K41</f>
        <v>0</v>
      </c>
      <c r="Q41" s="235"/>
      <c r="R41" s="235">
        <f t="shared" si="5"/>
        <v>0</v>
      </c>
      <c r="S41" s="269"/>
      <c r="T41" s="235"/>
      <c r="U41" s="235"/>
      <c r="V41" s="235"/>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row>
    <row r="42" spans="1:56" x14ac:dyDescent="0.25">
      <c r="A42" s="244">
        <v>9257015</v>
      </c>
      <c r="B42" s="237" t="s">
        <v>217</v>
      </c>
      <c r="C42" s="365" t="s">
        <v>1181</v>
      </c>
      <c r="D42" s="1024">
        <f>VLOOKUP(A42,'2223 Band Moderations'!$B$5:$S$21,6,(FALSE))</f>
        <v>0.31555555555555553</v>
      </c>
      <c r="E42" s="1024">
        <f>VLOOKUP(A42,'2223 Band Moderations'!$B$5:$S$21,8,(FALSE))</f>
        <v>0.38666666666666666</v>
      </c>
      <c r="F42" s="1024">
        <f>VLOOKUP(A42,'2223 Band Moderations'!$B$5:$S$21,10,(FALSE))</f>
        <v>1.7777777777777778E-2</v>
      </c>
      <c r="G42" s="1024">
        <f>VLOOKUP(A42,'2223 Band Moderations'!$B$5:$S$21,12,(FALSE))</f>
        <v>9.3333333333333338E-2</v>
      </c>
      <c r="H42" s="1024">
        <f>VLOOKUP(A42,'2223 Band Moderations'!$B$5:$S$21,14,(FALSE))</f>
        <v>1.7777777777777778E-2</v>
      </c>
      <c r="I42" s="1024">
        <f>VLOOKUP(A42,'2223 Band Moderations'!$B$5:$S$21,16,(FALSE))</f>
        <v>0.16</v>
      </c>
      <c r="J42" s="1024">
        <f>VLOOKUP(A42,'2223 Band Moderations'!$B$5:$S$21,18,(FALSE))</f>
        <v>8.8888888888888889E-3</v>
      </c>
      <c r="K42" s="451">
        <v>3</v>
      </c>
      <c r="L42" s="1025">
        <f t="shared" si="4"/>
        <v>9831.6378493970897</v>
      </c>
      <c r="M42" s="1025">
        <v>0</v>
      </c>
      <c r="N42" s="1025">
        <f t="shared" si="6"/>
        <v>9831.6378493970897</v>
      </c>
      <c r="O42" s="1026">
        <f t="shared" si="7"/>
        <v>10000</v>
      </c>
      <c r="P42" s="1026">
        <f>(VLOOKUP(A42,'2223 Funding Detail'!$A$4:$AA$20,25,FALSE)*4/12)*K42</f>
        <v>3279.3151120902494</v>
      </c>
      <c r="Q42" s="235"/>
      <c r="R42" s="235">
        <f t="shared" si="5"/>
        <v>210.61753162542456</v>
      </c>
      <c r="S42" s="269"/>
      <c r="T42" s="235"/>
      <c r="U42" s="235"/>
      <c r="V42" s="235"/>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row>
    <row r="43" spans="1:56" x14ac:dyDescent="0.25">
      <c r="A43" s="244">
        <v>9257016</v>
      </c>
      <c r="B43" s="237" t="s">
        <v>219</v>
      </c>
      <c r="C43" s="365" t="s">
        <v>1181</v>
      </c>
      <c r="D43" s="1024">
        <f>VLOOKUP(A43,'2223 Band Moderations'!$B$5:$S$21,6,(FALSE))</f>
        <v>0.15337423312883436</v>
      </c>
      <c r="E43" s="1024">
        <f>VLOOKUP(A43,'2223 Band Moderations'!$B$5:$S$21,8,(FALSE))</f>
        <v>0.19018404907975461</v>
      </c>
      <c r="F43" s="1024">
        <f>VLOOKUP(A43,'2223 Band Moderations'!$B$5:$S$21,10,(FALSE))</f>
        <v>1.2269938650306749E-2</v>
      </c>
      <c r="G43" s="1024">
        <f>VLOOKUP(A43,'2223 Band Moderations'!$B$5:$S$21,12,(FALSE))</f>
        <v>0.22699386503067484</v>
      </c>
      <c r="H43" s="1024">
        <f>VLOOKUP(A43,'2223 Band Moderations'!$B$5:$S$21,14,(FALSE))</f>
        <v>0.18404907975460122</v>
      </c>
      <c r="I43" s="1024">
        <f>VLOOKUP(A43,'2223 Band Moderations'!$B$5:$S$21,16,(FALSE))</f>
        <v>1.8404907975460124E-2</v>
      </c>
      <c r="J43" s="1024">
        <f>VLOOKUP(A43,'2223 Band Moderations'!$B$5:$S$21,18,(FALSE))</f>
        <v>0.21472392638036811</v>
      </c>
      <c r="K43" s="451">
        <v>59</v>
      </c>
      <c r="L43" s="1025">
        <f t="shared" si="4"/>
        <v>282489.09972446121</v>
      </c>
      <c r="M43" s="1025">
        <v>0</v>
      </c>
      <c r="N43" s="1025">
        <f t="shared" si="6"/>
        <v>282489.09972446121</v>
      </c>
      <c r="O43" s="1026">
        <f t="shared" si="7"/>
        <v>196666.66666666666</v>
      </c>
      <c r="P43" s="1026">
        <f>(VLOOKUP(A43,'2223 Funding Detail'!$A$4:$AA$20,25,FALSE)*4/12)*K43</f>
        <v>177583.9482828831</v>
      </c>
      <c r="Q43" s="299" t="s">
        <v>207</v>
      </c>
      <c r="R43" s="235">
        <f t="shared" si="5"/>
        <v>100059.47917327494</v>
      </c>
      <c r="S43" s="269"/>
      <c r="T43" s="235"/>
      <c r="U43" s="235"/>
      <c r="V43" s="235"/>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row>
    <row r="44" spans="1:56" x14ac:dyDescent="0.25">
      <c r="A44" s="249"/>
      <c r="B44" s="36"/>
      <c r="C44" s="234"/>
      <c r="D44" s="268"/>
      <c r="E44" s="268"/>
      <c r="F44" s="299" t="s">
        <v>207</v>
      </c>
      <c r="G44" s="268"/>
      <c r="H44" s="268"/>
      <c r="I44" s="268"/>
      <c r="J44" s="299" t="s">
        <v>207</v>
      </c>
      <c r="K44" s="36"/>
      <c r="L44" s="269"/>
      <c r="M44" s="269"/>
      <c r="N44" s="299" t="s">
        <v>207</v>
      </c>
      <c r="O44" s="235"/>
      <c r="P44" s="235"/>
      <c r="Q44" s="235"/>
      <c r="R44" s="269"/>
      <c r="S44" s="269"/>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row>
    <row r="45" spans="1:56" ht="13" x14ac:dyDescent="0.3">
      <c r="A45" s="93" t="s">
        <v>1623</v>
      </c>
      <c r="B45" s="36"/>
      <c r="C45" s="36"/>
      <c r="D45" s="36"/>
      <c r="E45" s="36"/>
      <c r="F45" s="36"/>
      <c r="G45" s="36"/>
      <c r="H45" s="36"/>
      <c r="I45" s="36"/>
      <c r="J45" s="36"/>
      <c r="K45" s="234"/>
      <c r="L45" s="234"/>
      <c r="M45" s="36"/>
      <c r="N45" s="36"/>
      <c r="O45" s="36"/>
      <c r="P45" s="36"/>
      <c r="Q45" s="36"/>
      <c r="R45" s="234"/>
      <c r="S45" s="288"/>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c r="BD45" s="36"/>
    </row>
    <row r="46" spans="1:56" x14ac:dyDescent="0.25">
      <c r="A46" s="36"/>
      <c r="B46" s="36"/>
      <c r="C46" s="36"/>
      <c r="D46" s="36"/>
      <c r="E46" s="36"/>
      <c r="F46" s="36"/>
      <c r="G46" s="36"/>
      <c r="H46" s="36"/>
      <c r="I46" s="36"/>
      <c r="J46" s="36"/>
      <c r="K46" s="94" t="s">
        <v>1624</v>
      </c>
      <c r="L46" s="234"/>
      <c r="M46" s="36"/>
      <c r="N46" s="36"/>
      <c r="O46" s="1445" t="s">
        <v>238</v>
      </c>
      <c r="P46" s="1446"/>
      <c r="Q46" s="36"/>
      <c r="R46" s="234"/>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c r="BD46" s="36"/>
    </row>
    <row r="47" spans="1:56" ht="39.75" customHeight="1" x14ac:dyDescent="0.25">
      <c r="A47" s="265" t="s">
        <v>182</v>
      </c>
      <c r="B47" s="237" t="s">
        <v>183</v>
      </c>
      <c r="C47" s="238" t="s">
        <v>184</v>
      </c>
      <c r="D47" s="234" t="s">
        <v>901</v>
      </c>
      <c r="E47" s="234" t="s">
        <v>902</v>
      </c>
      <c r="F47" s="234" t="s">
        <v>903</v>
      </c>
      <c r="G47" s="234" t="s">
        <v>904</v>
      </c>
      <c r="H47" s="234" t="s">
        <v>905</v>
      </c>
      <c r="I47" s="234" t="s">
        <v>906</v>
      </c>
      <c r="J47" s="234" t="s">
        <v>907</v>
      </c>
      <c r="K47" s="243" t="s">
        <v>246</v>
      </c>
      <c r="L47" s="243" t="s">
        <v>272</v>
      </c>
      <c r="M47" s="243" t="s">
        <v>273</v>
      </c>
      <c r="N47" s="243" t="s">
        <v>274</v>
      </c>
      <c r="O47" s="277" t="s">
        <v>275</v>
      </c>
      <c r="P47" s="320" t="s">
        <v>276</v>
      </c>
      <c r="Q47" s="36"/>
      <c r="R47" s="234"/>
      <c r="S47" s="288"/>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c r="BA47" s="36"/>
      <c r="BB47" s="36"/>
      <c r="BC47" s="36"/>
      <c r="BD47" s="36"/>
    </row>
    <row r="48" spans="1:56" x14ac:dyDescent="0.25">
      <c r="A48" s="244">
        <v>9257010</v>
      </c>
      <c r="B48" s="237" t="s">
        <v>1164</v>
      </c>
      <c r="C48" s="365">
        <v>5</v>
      </c>
      <c r="D48" s="1024">
        <f>VLOOKUP(A48,'2223 Band Moderations'!$B$5:$S$21,6,(FALSE))</f>
        <v>6.1224489795918366E-2</v>
      </c>
      <c r="E48" s="1024">
        <f>VLOOKUP(A48,'2223 Band Moderations'!$B$5:$S$21,8,(FALSE))</f>
        <v>0.42857142857142855</v>
      </c>
      <c r="F48" s="1024">
        <f>VLOOKUP(A48,'2223 Band Moderations'!$B$5:$S$21,10,(FALSE))</f>
        <v>7.1428571428571425E-2</v>
      </c>
      <c r="G48" s="1024">
        <f>VLOOKUP(A48,'2223 Band Moderations'!$B$5:$S$21,12,(FALSE))</f>
        <v>0.1326530612244898</v>
      </c>
      <c r="H48" s="1024">
        <f>VLOOKUP(A48,'2223 Band Moderations'!$B$5:$S$21,14,(FALSE))</f>
        <v>8.1632653061224483E-2</v>
      </c>
      <c r="I48" s="1024">
        <f>VLOOKUP(A48,'2223 Band Moderations'!$B$5:$S$21,16,(FALSE))</f>
        <v>0.11224489795918367</v>
      </c>
      <c r="J48" s="1024">
        <f>VLOOKUP(A48,'2223 Band Moderations'!$B$5:$S$21,18,(FALSE))</f>
        <v>0.11224489795918367</v>
      </c>
      <c r="K48" s="451">
        <v>114</v>
      </c>
      <c r="L48" s="1025">
        <f t="shared" ref="L48:L64" si="8">((((K48*D48)*$G$88)+((K48*E48)*$G$90)+((K48*F48)*$G$92)+((K48*G48)*$G$94)+((K48*H48)*$G$96)+((K48*I48)*$G$98)+((K48*J48)*$G$100))*(7/12))</f>
        <v>836460.210928043</v>
      </c>
      <c r="M48" s="1025">
        <v>0</v>
      </c>
      <c r="N48" s="1025">
        <f t="shared" ref="N48:N64" si="9">SUM(L48:M48)</f>
        <v>836460.210928043</v>
      </c>
      <c r="O48" s="1026">
        <f>(K48*(7/12))*10000</f>
        <v>665000</v>
      </c>
      <c r="P48" s="1026">
        <f>(VLOOKUP(A48,'2223 Funding Detail'!$A$4:$AA$20,25,FALSE)*7/12)*K48</f>
        <v>522463.64845811721</v>
      </c>
      <c r="Q48" s="235"/>
      <c r="R48" s="235">
        <f t="shared" ref="R48:R64" si="10">(J48*K48*$G$100)*7/12</f>
        <v>176862.3111550998</v>
      </c>
      <c r="S48" s="233"/>
      <c r="T48" s="29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row>
    <row r="49" spans="1:56" x14ac:dyDescent="0.25">
      <c r="A49" s="244">
        <v>9257005</v>
      </c>
      <c r="B49" s="237" t="s">
        <v>208</v>
      </c>
      <c r="C49" s="365">
        <v>4</v>
      </c>
      <c r="D49" s="1024">
        <f>VLOOKUP(A49,'2223 Band Moderations'!$B$5:$S$21,6,(FALSE))</f>
        <v>5.8139534883720929E-2</v>
      </c>
      <c r="E49" s="1024">
        <f>VLOOKUP(A49,'2223 Band Moderations'!$B$5:$S$21,8,(FALSE))</f>
        <v>0.38372093023255816</v>
      </c>
      <c r="F49" s="1024">
        <f>VLOOKUP(A49,'2223 Band Moderations'!$B$5:$S$21,10,(FALSE))</f>
        <v>9.3023255813953487E-2</v>
      </c>
      <c r="G49" s="1024">
        <f>VLOOKUP(A49,'2223 Band Moderations'!$B$5:$S$21,12,(FALSE))</f>
        <v>0.13953488372093023</v>
      </c>
      <c r="H49" s="1024">
        <f>VLOOKUP(A49,'2223 Band Moderations'!$B$5:$S$21,14,(FALSE))</f>
        <v>0.11627906976744186</v>
      </c>
      <c r="I49" s="1024">
        <f>VLOOKUP(A49,'2223 Band Moderations'!$B$5:$S$21,16,(FALSE))</f>
        <v>0.15116279069767441</v>
      </c>
      <c r="J49" s="1024">
        <f>VLOOKUP(A49,'2223 Band Moderations'!$B$5:$S$21,18,(FALSE))</f>
        <v>5.8139534883720929E-2</v>
      </c>
      <c r="K49" s="451">
        <v>59</v>
      </c>
      <c r="L49" s="1025">
        <f t="shared" si="8"/>
        <v>431683.08415296261</v>
      </c>
      <c r="M49" s="1025">
        <v>0</v>
      </c>
      <c r="N49" s="1025">
        <f t="shared" si="9"/>
        <v>431683.08415296261</v>
      </c>
      <c r="O49" s="1026">
        <f t="shared" ref="O49:O64" si="11">(K49*(7/12))*10000</f>
        <v>344166.66666666669</v>
      </c>
      <c r="P49" s="1026">
        <f>(VLOOKUP(A49,'2223 Funding Detail'!$A$4:$AA$20,25,FALSE)*7/12)*K49</f>
        <v>304129.82783436729</v>
      </c>
      <c r="Q49" s="235"/>
      <c r="R49" s="235">
        <f t="shared" si="10"/>
        <v>47411.904375708757</v>
      </c>
      <c r="S49" s="269"/>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c r="BD49" s="36"/>
    </row>
    <row r="50" spans="1:56" x14ac:dyDescent="0.25">
      <c r="A50" s="244">
        <v>9257025</v>
      </c>
      <c r="B50" s="237" t="s">
        <v>209</v>
      </c>
      <c r="C50" s="365">
        <v>4</v>
      </c>
      <c r="D50" s="1024">
        <f>VLOOKUP(A50,'2223 Band Moderations'!$B$5:$S$21,6,(FALSE))</f>
        <v>0.13924050632911392</v>
      </c>
      <c r="E50" s="1024">
        <f>VLOOKUP(A50,'2223 Band Moderations'!$B$5:$S$21,8,(FALSE))</f>
        <v>0.46835443037974683</v>
      </c>
      <c r="F50" s="1024">
        <f>VLOOKUP(A50,'2223 Band Moderations'!$B$5:$S$21,10,(FALSE))</f>
        <v>3.7974683544303799E-2</v>
      </c>
      <c r="G50" s="1024">
        <f>VLOOKUP(A50,'2223 Band Moderations'!$B$5:$S$21,12,(FALSE))</f>
        <v>0.11392405063291139</v>
      </c>
      <c r="H50" s="1024">
        <f>VLOOKUP(A50,'2223 Band Moderations'!$B$5:$S$21,14,(FALSE))</f>
        <v>3.7974683544303799E-2</v>
      </c>
      <c r="I50" s="1024">
        <f>VLOOKUP(A50,'2223 Band Moderations'!$B$5:$S$21,16,(FALSE))</f>
        <v>0.15189873417721519</v>
      </c>
      <c r="J50" s="1024">
        <f>VLOOKUP(A50,'2223 Band Moderations'!$B$5:$S$21,18,(FALSE))</f>
        <v>5.0632911392405063E-2</v>
      </c>
      <c r="K50" s="451">
        <v>65</v>
      </c>
      <c r="L50" s="1025">
        <f t="shared" si="8"/>
        <v>421352.33013098105</v>
      </c>
      <c r="M50" s="1025">
        <v>0</v>
      </c>
      <c r="N50" s="1025">
        <f t="shared" si="9"/>
        <v>421352.33013098105</v>
      </c>
      <c r="O50" s="1026">
        <f t="shared" si="11"/>
        <v>379166.66666666669</v>
      </c>
      <c r="P50" s="1026">
        <f>(VLOOKUP(A50,'2223 Funding Detail'!$A$4:$AA$20,25,FALSE)*7/12)*K50</f>
        <v>276814.87996696273</v>
      </c>
      <c r="Q50" s="235"/>
      <c r="R50" s="235">
        <f t="shared" si="10"/>
        <v>45489.38776403552</v>
      </c>
      <c r="S50" s="269"/>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row>
    <row r="51" spans="1:56" x14ac:dyDescent="0.25">
      <c r="A51" s="244">
        <v>9257024</v>
      </c>
      <c r="B51" s="237" t="s">
        <v>211</v>
      </c>
      <c r="C51" s="365">
        <v>4</v>
      </c>
      <c r="D51" s="1024">
        <f>VLOOKUP(A51,'2223 Band Moderations'!$B$5:$S$21,6,(FALSE))</f>
        <v>7.1428571428571425E-2</v>
      </c>
      <c r="E51" s="1024">
        <f>VLOOKUP(A51,'2223 Band Moderations'!$B$5:$S$21,8,(FALSE))</f>
        <v>0.51190476190476186</v>
      </c>
      <c r="F51" s="1024">
        <f>VLOOKUP(A51,'2223 Band Moderations'!$B$5:$S$21,10,(FALSE))</f>
        <v>2.3809523809523808E-2</v>
      </c>
      <c r="G51" s="1024">
        <f>VLOOKUP(A51,'2223 Band Moderations'!$B$5:$S$21,12,(FALSE))</f>
        <v>0.17857142857142858</v>
      </c>
      <c r="H51" s="1024">
        <f>VLOOKUP(A51,'2223 Band Moderations'!$B$5:$S$21,14,(FALSE))</f>
        <v>8.3333333333333329E-2</v>
      </c>
      <c r="I51" s="1024">
        <f>VLOOKUP(A51,'2223 Band Moderations'!$B$5:$S$21,16,(FALSE))</f>
        <v>7.1428571428571425E-2</v>
      </c>
      <c r="J51" s="1024">
        <f>VLOOKUP(A51,'2223 Band Moderations'!$B$5:$S$21,18,(FALSE))</f>
        <v>5.9523809523809521E-2</v>
      </c>
      <c r="K51" s="451">
        <v>75</v>
      </c>
      <c r="L51" s="1025">
        <f t="shared" si="8"/>
        <v>497618.93334141659</v>
      </c>
      <c r="M51" s="1025">
        <v>0</v>
      </c>
      <c r="N51" s="1025">
        <f t="shared" si="9"/>
        <v>497618.93334141659</v>
      </c>
      <c r="O51" s="1026">
        <f t="shared" si="11"/>
        <v>437500</v>
      </c>
      <c r="P51" s="1026">
        <f>(VLOOKUP(A51,'2223 Funding Detail'!$A$4:$AA$20,25,FALSE)*7/12)*K51</f>
        <v>326870.69287705381</v>
      </c>
      <c r="Q51" s="235"/>
      <c r="R51" s="235">
        <f t="shared" si="10"/>
        <v>61704.354968386098</v>
      </c>
      <c r="S51" s="269"/>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row>
    <row r="52" spans="1:56" x14ac:dyDescent="0.25">
      <c r="A52" s="244">
        <v>9257031</v>
      </c>
      <c r="B52" s="237" t="s">
        <v>257</v>
      </c>
      <c r="C52" s="365">
        <v>5</v>
      </c>
      <c r="D52" s="1024">
        <f>VLOOKUP(A52,'2223 Band Moderations'!$B$5:$S$21,6,(FALSE))</f>
        <v>0</v>
      </c>
      <c r="E52" s="1024">
        <f>VLOOKUP(A52,'2223 Band Moderations'!$B$5:$S$21,8,(FALSE))</f>
        <v>0</v>
      </c>
      <c r="F52" s="1024">
        <f>VLOOKUP(A52,'2223 Band Moderations'!$B$5:$S$21,10,(FALSE))</f>
        <v>1</v>
      </c>
      <c r="G52" s="1024">
        <f>VLOOKUP(A52,'2223 Band Moderations'!$B$5:$S$21,12,(FALSE))</f>
        <v>0</v>
      </c>
      <c r="H52" s="1024">
        <f>VLOOKUP(A52,'2223 Band Moderations'!$B$5:$S$21,14,(FALSE))</f>
        <v>0</v>
      </c>
      <c r="I52" s="1024">
        <f>VLOOKUP(A52,'2223 Band Moderations'!$B$5:$S$21,16,(FALSE))</f>
        <v>0</v>
      </c>
      <c r="J52" s="1024">
        <f>VLOOKUP(A52,'2223 Band Moderations'!$B$5:$S$21,18,(FALSE))</f>
        <v>0</v>
      </c>
      <c r="K52" s="451">
        <v>80</v>
      </c>
      <c r="L52" s="1025">
        <f t="shared" si="8"/>
        <v>705266.62790970039</v>
      </c>
      <c r="M52" s="1025">
        <v>0</v>
      </c>
      <c r="N52" s="1025">
        <f t="shared" si="9"/>
        <v>705266.62790970039</v>
      </c>
      <c r="O52" s="1026">
        <f t="shared" si="11"/>
        <v>466666.66666666669</v>
      </c>
      <c r="P52" s="1026">
        <f>(VLOOKUP(A52,'2223 Funding Detail'!$A$4:$AA$20,25,FALSE)*7/12)*K52</f>
        <v>534448.59958500264</v>
      </c>
      <c r="Q52" s="235"/>
      <c r="R52" s="235">
        <f t="shared" si="10"/>
        <v>0</v>
      </c>
      <c r="S52" s="269"/>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36"/>
      <c r="BD52" s="36"/>
    </row>
    <row r="53" spans="1:56" x14ac:dyDescent="0.25">
      <c r="A53" s="244">
        <v>9257033</v>
      </c>
      <c r="B53" s="237" t="s">
        <v>220</v>
      </c>
      <c r="C53" s="365" t="s">
        <v>1178</v>
      </c>
      <c r="D53" s="1024">
        <f>VLOOKUP(A53,'2223 Band Moderations'!$B$5:$S$21,6,(FALSE))</f>
        <v>0.1388888888888889</v>
      </c>
      <c r="E53" s="1024">
        <f>VLOOKUP(A53,'2223 Band Moderations'!$B$5:$S$21,8,(FALSE))</f>
        <v>0.62962962962962965</v>
      </c>
      <c r="F53" s="1024">
        <f>VLOOKUP(A53,'2223 Band Moderations'!$B$5:$S$21,10,(FALSE))</f>
        <v>4.6296296296296294E-2</v>
      </c>
      <c r="G53" s="1024">
        <f>VLOOKUP(A53,'2223 Band Moderations'!$B$5:$S$21,12,(FALSE))</f>
        <v>0.10185185185185185</v>
      </c>
      <c r="H53" s="1024">
        <f>VLOOKUP(A53,'2223 Band Moderations'!$B$5:$S$21,14,(FALSE))</f>
        <v>3.7037037037037035E-2</v>
      </c>
      <c r="I53" s="1024">
        <f>VLOOKUP(A53,'2223 Band Moderations'!$B$5:$S$21,16,(FALSE))</f>
        <v>3.7037037037037035E-2</v>
      </c>
      <c r="J53" s="1024">
        <f>VLOOKUP(A53,'2223 Band Moderations'!$B$5:$S$21,18,(FALSE))</f>
        <v>9.2592592592592587E-3</v>
      </c>
      <c r="K53" s="451">
        <v>112</v>
      </c>
      <c r="L53" s="1025">
        <f t="shared" si="8"/>
        <v>613693.71067006013</v>
      </c>
      <c r="M53" s="1025">
        <v>0</v>
      </c>
      <c r="N53" s="1025">
        <f t="shared" si="9"/>
        <v>613693.71067006013</v>
      </c>
      <c r="O53" s="1026">
        <f t="shared" si="11"/>
        <v>653333.33333333337</v>
      </c>
      <c r="P53" s="1026">
        <f>(VLOOKUP(A53,'2223 Funding Detail'!$A$4:$AA$20,25,FALSE)*7/12)*K53</f>
        <v>283759.51579826517</v>
      </c>
      <c r="Q53" s="235"/>
      <c r="R53" s="235">
        <f t="shared" si="10"/>
        <v>14333.693124508058</v>
      </c>
      <c r="S53" s="269"/>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c r="BA53" s="36"/>
      <c r="BB53" s="36"/>
      <c r="BC53" s="36"/>
      <c r="BD53" s="36"/>
    </row>
    <row r="54" spans="1:56" x14ac:dyDescent="0.25">
      <c r="A54" s="244">
        <v>9257008</v>
      </c>
      <c r="B54" s="237" t="s">
        <v>212</v>
      </c>
      <c r="C54" s="365">
        <v>4</v>
      </c>
      <c r="D54" s="1024">
        <f>VLOOKUP(A54,'2223 Band Moderations'!$B$5:$S$21,6,(FALSE))</f>
        <v>0.11</v>
      </c>
      <c r="E54" s="1024">
        <f>VLOOKUP(A54,'2223 Band Moderations'!$B$5:$S$21,8,(FALSE))</f>
        <v>0.64</v>
      </c>
      <c r="F54" s="1024">
        <f>VLOOKUP(A54,'2223 Band Moderations'!$B$5:$S$21,10,(FALSE))</f>
        <v>7.0000000000000007E-2</v>
      </c>
      <c r="G54" s="1024">
        <f>VLOOKUP(A54,'2223 Band Moderations'!$B$5:$S$21,12,(FALSE))</f>
        <v>0.09</v>
      </c>
      <c r="H54" s="1024">
        <f>VLOOKUP(A54,'2223 Band Moderations'!$B$5:$S$21,14,(FALSE))</f>
        <v>0</v>
      </c>
      <c r="I54" s="1024">
        <f>VLOOKUP(A54,'2223 Band Moderations'!$B$5:$S$21,16,(FALSE))</f>
        <v>0.09</v>
      </c>
      <c r="J54" s="1024">
        <f>VLOOKUP(A54,'2223 Band Moderations'!$B$5:$S$21,18,(FALSE))</f>
        <v>0</v>
      </c>
      <c r="K54" s="451">
        <v>101</v>
      </c>
      <c r="L54" s="1025">
        <f t="shared" si="8"/>
        <v>562443.40528865857</v>
      </c>
      <c r="M54" s="1025">
        <v>0</v>
      </c>
      <c r="N54" s="1025">
        <f t="shared" si="9"/>
        <v>562443.40528865857</v>
      </c>
      <c r="O54" s="1026">
        <f t="shared" si="11"/>
        <v>589166.66666666674</v>
      </c>
      <c r="P54" s="1026">
        <f>(VLOOKUP(A54,'2223 Funding Detail'!$A$4:$AA$20,25,FALSE)*7/12)*K54</f>
        <v>275205.61765693367</v>
      </c>
      <c r="Q54" s="235"/>
      <c r="R54" s="235">
        <f t="shared" si="10"/>
        <v>0</v>
      </c>
      <c r="S54" s="269"/>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c r="BA54" s="36"/>
      <c r="BB54" s="36"/>
      <c r="BC54" s="36"/>
      <c r="BD54" s="36"/>
    </row>
    <row r="55" spans="1:56" x14ac:dyDescent="0.25">
      <c r="A55" s="244">
        <v>9257034</v>
      </c>
      <c r="B55" s="237" t="s">
        <v>221</v>
      </c>
      <c r="C55" s="365" t="s">
        <v>1178</v>
      </c>
      <c r="D55" s="1024">
        <f>VLOOKUP(A55,'2223 Band Moderations'!$B$5:$S$21,6,(FALSE))</f>
        <v>0.44444444444444442</v>
      </c>
      <c r="E55" s="1024">
        <f>VLOOKUP(A55,'2223 Band Moderations'!$B$5:$S$21,8,(FALSE))</f>
        <v>0.32407407407407407</v>
      </c>
      <c r="F55" s="1024">
        <f>VLOOKUP(A55,'2223 Band Moderations'!$B$5:$S$21,10,(FALSE))</f>
        <v>9.2592592592592587E-2</v>
      </c>
      <c r="G55" s="1024">
        <f>VLOOKUP(A55,'2223 Band Moderations'!$B$5:$S$21,12,(FALSE))</f>
        <v>4.6296296296296294E-2</v>
      </c>
      <c r="H55" s="1024">
        <f>VLOOKUP(A55,'2223 Band Moderations'!$B$5:$S$21,14,(FALSE))</f>
        <v>2.7777777777777776E-2</v>
      </c>
      <c r="I55" s="1024">
        <f>VLOOKUP(A55,'2223 Band Moderations'!$B$5:$S$21,16,(FALSE))</f>
        <v>5.5555555555555552E-2</v>
      </c>
      <c r="J55" s="1024">
        <f>VLOOKUP(A55,'2223 Band Moderations'!$B$5:$S$21,18,(FALSE))</f>
        <v>9.2592592592592587E-3</v>
      </c>
      <c r="K55" s="451">
        <v>94</v>
      </c>
      <c r="L55" s="1025">
        <f t="shared" si="8"/>
        <v>494810.600191365</v>
      </c>
      <c r="M55" s="1025">
        <v>0</v>
      </c>
      <c r="N55" s="1025">
        <f t="shared" si="9"/>
        <v>494810.600191365</v>
      </c>
      <c r="O55" s="1026">
        <f t="shared" si="11"/>
        <v>548333.33333333337</v>
      </c>
      <c r="P55" s="1026">
        <f>(VLOOKUP(A55,'2223 Funding Detail'!$A$4:$AA$20,25,FALSE)*7/12)*K55</f>
        <v>217461.83525003714</v>
      </c>
      <c r="Q55" s="235"/>
      <c r="R55" s="235">
        <f t="shared" si="10"/>
        <v>12030.063872354978</v>
      </c>
      <c r="S55" s="269"/>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c r="BA55" s="36"/>
      <c r="BB55" s="36"/>
      <c r="BC55" s="36"/>
      <c r="BD55" s="36"/>
    </row>
    <row r="56" spans="1:56" x14ac:dyDescent="0.25">
      <c r="A56" s="244">
        <v>9257002</v>
      </c>
      <c r="B56" s="237" t="s">
        <v>213</v>
      </c>
      <c r="C56" s="365">
        <v>5</v>
      </c>
      <c r="D56" s="1024">
        <f>VLOOKUP(A56,'2223 Band Moderations'!$B$5:$S$21,6,(FALSE))</f>
        <v>0.33557046979865773</v>
      </c>
      <c r="E56" s="1024">
        <f>VLOOKUP(A56,'2223 Band Moderations'!$B$5:$S$21,8,(FALSE))</f>
        <v>0.38926174496644295</v>
      </c>
      <c r="F56" s="1024">
        <f>VLOOKUP(A56,'2223 Band Moderations'!$B$5:$S$21,10,(FALSE))</f>
        <v>0.13422818791946309</v>
      </c>
      <c r="G56" s="1024">
        <f>VLOOKUP(A56,'2223 Band Moderations'!$B$5:$S$21,12,(FALSE))</f>
        <v>3.3557046979865772E-2</v>
      </c>
      <c r="H56" s="1024">
        <f>VLOOKUP(A56,'2223 Band Moderations'!$B$5:$S$21,14,(FALSE))</f>
        <v>2.0134228187919462E-2</v>
      </c>
      <c r="I56" s="1024">
        <f>VLOOKUP(A56,'2223 Band Moderations'!$B$5:$S$21,16,(FALSE))</f>
        <v>7.3825503355704702E-2</v>
      </c>
      <c r="J56" s="1024">
        <f>VLOOKUP(A56,'2223 Band Moderations'!$B$5:$S$21,18,(FALSE))</f>
        <v>1.3422818791946308E-2</v>
      </c>
      <c r="K56" s="451">
        <v>159</v>
      </c>
      <c r="L56" s="1025">
        <f t="shared" si="8"/>
        <v>884648.00045363477</v>
      </c>
      <c r="M56" s="1025">
        <v>0</v>
      </c>
      <c r="N56" s="1025">
        <f t="shared" si="9"/>
        <v>884648.00045363477</v>
      </c>
      <c r="O56" s="1026">
        <f t="shared" si="11"/>
        <v>927500</v>
      </c>
      <c r="P56" s="1026">
        <f>(VLOOKUP(A56,'2223 Funding Detail'!$A$4:$AA$20,25,FALSE)*7/12)*K56</f>
        <v>318754.61014314211</v>
      </c>
      <c r="Q56" s="235"/>
      <c r="R56" s="235">
        <f t="shared" si="10"/>
        <v>29498.822906765625</v>
      </c>
      <c r="S56" s="269"/>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c r="BA56" s="36"/>
      <c r="BB56" s="36"/>
      <c r="BC56" s="36"/>
      <c r="BD56" s="36"/>
    </row>
    <row r="57" spans="1:56" x14ac:dyDescent="0.25">
      <c r="A57" s="244">
        <v>9257009</v>
      </c>
      <c r="B57" s="237" t="s">
        <v>214</v>
      </c>
      <c r="C57" s="365" t="s">
        <v>1178</v>
      </c>
      <c r="D57" s="1024">
        <f>VLOOKUP(A57,'2223 Band Moderations'!$B$5:$S$21,6,(FALSE))</f>
        <v>0.16728126399462603</v>
      </c>
      <c r="E57" s="1024">
        <f>VLOOKUP(A57,'2223 Band Moderations'!$B$5:$S$21,8,(FALSE))</f>
        <v>0.5331117367060082</v>
      </c>
      <c r="F57" s="1024">
        <f>VLOOKUP(A57,'2223 Band Moderations'!$B$5:$S$21,10,(FALSE))</f>
        <v>5.951180875576037E-2</v>
      </c>
      <c r="G57" s="1024">
        <f>VLOOKUP(A57,'2223 Band Moderations'!$B$5:$S$21,12,(FALSE))</f>
        <v>7.4766176884850405E-2</v>
      </c>
      <c r="H57" s="1024">
        <f>VLOOKUP(A57,'2223 Band Moderations'!$B$5:$S$21,14,(FALSE))</f>
        <v>3.7220400914435951E-2</v>
      </c>
      <c r="I57" s="1024">
        <f>VLOOKUP(A57,'2223 Band Moderations'!$B$5:$S$21,16,(FALSE))</f>
        <v>8.0393258021177944E-2</v>
      </c>
      <c r="J57" s="1024">
        <f>VLOOKUP(A57,'2223 Band Moderations'!$B$5:$S$21,18,(FALSE))</f>
        <v>4.7715354723141153E-2</v>
      </c>
      <c r="K57" s="451">
        <f>139+52</f>
        <v>191</v>
      </c>
      <c r="L57" s="1025">
        <f t="shared" si="8"/>
        <v>1141855.3754200011</v>
      </c>
      <c r="M57" s="1025">
        <v>0</v>
      </c>
      <c r="N57" s="1025">
        <f t="shared" si="9"/>
        <v>1141855.3754200011</v>
      </c>
      <c r="O57" s="1026">
        <f t="shared" si="11"/>
        <v>1114166.6666666667</v>
      </c>
      <c r="P57" s="1026">
        <f>(VLOOKUP(A57,'2223 Funding Detail'!$A$4:$AA$20,25,FALSE)*7/12)*K57</f>
        <v>454480.18246077048</v>
      </c>
      <c r="Q57" s="235"/>
      <c r="R57" s="235">
        <f t="shared" si="10"/>
        <v>125966.58600698358</v>
      </c>
      <c r="S57" s="269"/>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c r="BB57" s="36"/>
      <c r="BC57" s="36"/>
      <c r="BD57" s="36"/>
    </row>
    <row r="58" spans="1:56" x14ac:dyDescent="0.25">
      <c r="A58" s="244">
        <v>9257029</v>
      </c>
      <c r="B58" s="237" t="s">
        <v>890</v>
      </c>
      <c r="C58" s="365" t="s">
        <v>1179</v>
      </c>
      <c r="D58" s="1024">
        <f>VLOOKUP(A58,'2223 Band Moderations'!$B$5:$S$21,6,(FALSE))</f>
        <v>0</v>
      </c>
      <c r="E58" s="1024">
        <f>VLOOKUP(A58,'2223 Band Moderations'!$B$5:$S$21,8,(FALSE))</f>
        <v>0</v>
      </c>
      <c r="F58" s="1024">
        <f>VLOOKUP(A58,'2223 Band Moderations'!$B$5:$S$21,10,(FALSE))</f>
        <v>1</v>
      </c>
      <c r="G58" s="1024">
        <f>VLOOKUP(A58,'2223 Band Moderations'!$B$5:$S$21,12,(FALSE))</f>
        <v>0</v>
      </c>
      <c r="H58" s="1024">
        <f>VLOOKUP(A58,'2223 Band Moderations'!$B$5:$S$21,14,(FALSE))</f>
        <v>0</v>
      </c>
      <c r="I58" s="1024">
        <f>VLOOKUP(A58,'2223 Band Moderations'!$B$5:$S$21,16,(FALSE))</f>
        <v>0</v>
      </c>
      <c r="J58" s="1024">
        <f>VLOOKUP(A58,'2223 Band Moderations'!$B$5:$S$21,18,(FALSE))</f>
        <v>0</v>
      </c>
      <c r="K58" s="451">
        <v>79</v>
      </c>
      <c r="L58" s="1025">
        <f t="shared" si="8"/>
        <v>696450.79506082926</v>
      </c>
      <c r="M58" s="1025">
        <v>0</v>
      </c>
      <c r="N58" s="1025">
        <f t="shared" si="9"/>
        <v>696450.79506082926</v>
      </c>
      <c r="O58" s="1026">
        <f t="shared" si="11"/>
        <v>460833.33333333337</v>
      </c>
      <c r="P58" s="1026">
        <f>(VLOOKUP(A58,'2223 Funding Detail'!$A$4:$AA$20,25,FALSE)*7/12)*K58</f>
        <v>521114.76586323278</v>
      </c>
      <c r="Q58" s="235"/>
      <c r="R58" s="235">
        <f t="shared" si="10"/>
        <v>0</v>
      </c>
      <c r="S58" s="269"/>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c r="BA58" s="36"/>
      <c r="BB58" s="36"/>
      <c r="BC58" s="36"/>
      <c r="BD58" s="36"/>
    </row>
    <row r="59" spans="1:56" x14ac:dyDescent="0.25">
      <c r="A59" s="244">
        <v>9257032</v>
      </c>
      <c r="B59" s="237" t="s">
        <v>1043</v>
      </c>
      <c r="C59" s="365" t="s">
        <v>1179</v>
      </c>
      <c r="D59" s="1024">
        <f>VLOOKUP(A59,'2223 Band Moderations'!$B$5:$S$21,6,(FALSE))</f>
        <v>0</v>
      </c>
      <c r="E59" s="1024">
        <f>VLOOKUP(A59,'2223 Band Moderations'!$B$5:$S$21,8,(FALSE))</f>
        <v>0</v>
      </c>
      <c r="F59" s="1024">
        <f>VLOOKUP(A59,'2223 Band Moderations'!$B$5:$S$21,10,(FALSE))</f>
        <v>1</v>
      </c>
      <c r="G59" s="1024">
        <f>VLOOKUP(A59,'2223 Band Moderations'!$B$5:$S$21,12,(FALSE))</f>
        <v>0</v>
      </c>
      <c r="H59" s="1024">
        <f>VLOOKUP(A59,'2223 Band Moderations'!$B$5:$S$21,14,(FALSE))</f>
        <v>0</v>
      </c>
      <c r="I59" s="1024">
        <f>VLOOKUP(A59,'2223 Band Moderations'!$B$5:$S$21,16,(FALSE))</f>
        <v>0</v>
      </c>
      <c r="J59" s="1024">
        <f>VLOOKUP(A59,'2223 Band Moderations'!$B$5:$S$21,18,(FALSE))</f>
        <v>0</v>
      </c>
      <c r="K59" s="451">
        <v>104</v>
      </c>
      <c r="L59" s="1025">
        <f t="shared" si="8"/>
        <v>916846.61628261057</v>
      </c>
      <c r="M59" s="1025">
        <v>0</v>
      </c>
      <c r="N59" s="1025">
        <f t="shared" si="9"/>
        <v>916846.61628261057</v>
      </c>
      <c r="O59" s="1026">
        <f t="shared" si="11"/>
        <v>606666.66666666674</v>
      </c>
      <c r="P59" s="1026">
        <f>(VLOOKUP(A59,'2223 Funding Detail'!$A$4:$AA$20,25,FALSE)*7/12)*K59</f>
        <v>598277.84128261067</v>
      </c>
      <c r="Q59" s="235"/>
      <c r="R59" s="235">
        <f t="shared" si="10"/>
        <v>0</v>
      </c>
      <c r="S59" s="269"/>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c r="BA59" s="36"/>
      <c r="BB59" s="36"/>
      <c r="BC59" s="36"/>
      <c r="BD59" s="36"/>
    </row>
    <row r="60" spans="1:56" x14ac:dyDescent="0.25">
      <c r="A60" s="244">
        <v>9257030</v>
      </c>
      <c r="B60" s="237" t="s">
        <v>1046</v>
      </c>
      <c r="C60" s="365" t="s">
        <v>1179</v>
      </c>
      <c r="D60" s="1024">
        <f>VLOOKUP(A60,'2223 Band Moderations'!$B$5:$S$21,6,(FALSE))</f>
        <v>0</v>
      </c>
      <c r="E60" s="1024">
        <f>VLOOKUP(A60,'2223 Band Moderations'!$B$5:$S$21,8,(FALSE))</f>
        <v>0</v>
      </c>
      <c r="F60" s="1024">
        <f>VLOOKUP(A60,'2223 Band Moderations'!$B$5:$S$21,10,(FALSE))</f>
        <v>1</v>
      </c>
      <c r="G60" s="1024">
        <f>VLOOKUP(A60,'2223 Band Moderations'!$B$5:$S$21,12,(FALSE))</f>
        <v>0</v>
      </c>
      <c r="H60" s="1024">
        <f>VLOOKUP(A60,'2223 Band Moderations'!$B$5:$S$21,14,(FALSE))</f>
        <v>0</v>
      </c>
      <c r="I60" s="1024">
        <f>VLOOKUP(A60,'2223 Band Moderations'!$B$5:$S$21,16,(FALSE))</f>
        <v>0</v>
      </c>
      <c r="J60" s="1024">
        <f>VLOOKUP(A60,'2223 Band Moderations'!$B$5:$S$21,18,(FALSE))</f>
        <v>0</v>
      </c>
      <c r="K60" s="451">
        <v>70</v>
      </c>
      <c r="L60" s="1025">
        <f t="shared" si="8"/>
        <v>617108.29942098784</v>
      </c>
      <c r="M60" s="1025">
        <v>0</v>
      </c>
      <c r="N60" s="1025">
        <f t="shared" si="9"/>
        <v>617108.29942098784</v>
      </c>
      <c r="O60" s="1026">
        <f t="shared" si="11"/>
        <v>408333.33333333337</v>
      </c>
      <c r="P60" s="1026">
        <f>(VLOOKUP(A60,'2223 Funding Detail'!$A$4:$AA$20,25,FALSE)*7/12)*K60</f>
        <v>491912.03294963489</v>
      </c>
      <c r="Q60" s="235"/>
      <c r="R60" s="235">
        <f t="shared" si="10"/>
        <v>0</v>
      </c>
      <c r="S60" s="269"/>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c r="BA60" s="36"/>
      <c r="BB60" s="36"/>
      <c r="BC60" s="36"/>
      <c r="BD60" s="36"/>
    </row>
    <row r="61" spans="1:56" x14ac:dyDescent="0.25">
      <c r="A61" s="244">
        <v>9257028</v>
      </c>
      <c r="B61" s="237" t="s">
        <v>215</v>
      </c>
      <c r="C61" s="365">
        <v>5</v>
      </c>
      <c r="D61" s="1024">
        <f>VLOOKUP(A61,'2223 Band Moderations'!$B$5:$S$21,6,(FALSE))</f>
        <v>9.2436974789915971E-2</v>
      </c>
      <c r="E61" s="1024">
        <f>VLOOKUP(A61,'2223 Band Moderations'!$B$5:$S$21,8,(FALSE))</f>
        <v>0.44537815126050423</v>
      </c>
      <c r="F61" s="1024">
        <f>VLOOKUP(A61,'2223 Band Moderations'!$B$5:$S$21,10,(FALSE))</f>
        <v>7.5630252100840331E-2</v>
      </c>
      <c r="G61" s="1024">
        <f>VLOOKUP(A61,'2223 Band Moderations'!$B$5:$S$21,12,(FALSE))</f>
        <v>9.2436974789915971E-2</v>
      </c>
      <c r="H61" s="1024">
        <f>VLOOKUP(A61,'2223 Band Moderations'!$B$5:$S$21,14,(FALSE))</f>
        <v>9.2436974789915971E-2</v>
      </c>
      <c r="I61" s="1024">
        <f>VLOOKUP(A61,'2223 Band Moderations'!$B$5:$S$21,16,(FALSE))</f>
        <v>7.5630252100840331E-2</v>
      </c>
      <c r="J61" s="1024">
        <f>VLOOKUP(A61,'2223 Band Moderations'!$B$5:$S$21,18,(FALSE))</f>
        <v>0.12605042016806722</v>
      </c>
      <c r="K61" s="451">
        <v>126</v>
      </c>
      <c r="L61" s="1025">
        <f t="shared" si="8"/>
        <v>899635.32277155854</v>
      </c>
      <c r="M61" s="1025">
        <v>0</v>
      </c>
      <c r="N61" s="1025">
        <f t="shared" si="9"/>
        <v>899635.32277155854</v>
      </c>
      <c r="O61" s="1026">
        <f t="shared" si="11"/>
        <v>735000</v>
      </c>
      <c r="P61" s="1026">
        <f>(VLOOKUP(A61,'2223 Funding Detail'!$A$4:$AA$20,25,FALSE)*7/12)*K61</f>
        <v>534340.86966058973</v>
      </c>
      <c r="Q61" s="235"/>
      <c r="R61" s="235">
        <f t="shared" si="10"/>
        <v>219522.31696988185</v>
      </c>
      <c r="S61" s="269"/>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c r="BA61" s="36"/>
      <c r="BB61" s="36"/>
      <c r="BC61" s="36"/>
      <c r="BD61" s="36"/>
    </row>
    <row r="62" spans="1:56" x14ac:dyDescent="0.25">
      <c r="A62" s="244">
        <v>9257021</v>
      </c>
      <c r="B62" s="237" t="s">
        <v>216</v>
      </c>
      <c r="C62" s="365" t="s">
        <v>1180</v>
      </c>
      <c r="D62" s="1024">
        <f>VLOOKUP(A62,'2223 Band Moderations'!$B$5:$S$21,6,(FALSE))</f>
        <v>0.25146198830409355</v>
      </c>
      <c r="E62" s="1024">
        <f>VLOOKUP(A62,'2223 Band Moderations'!$B$5:$S$21,8,(FALSE))</f>
        <v>0.47368421052631576</v>
      </c>
      <c r="F62" s="1024">
        <f>VLOOKUP(A62,'2223 Band Moderations'!$B$5:$S$21,10,(FALSE))</f>
        <v>9.3567251461988299E-2</v>
      </c>
      <c r="G62" s="1024">
        <f>VLOOKUP(A62,'2223 Band Moderations'!$B$5:$S$21,12,(FALSE))</f>
        <v>7.6023391812865493E-2</v>
      </c>
      <c r="H62" s="1024">
        <f>VLOOKUP(A62,'2223 Band Moderations'!$B$5:$S$21,14,(FALSE))</f>
        <v>3.5087719298245612E-2</v>
      </c>
      <c r="I62" s="1024">
        <f>VLOOKUP(A62,'2223 Band Moderations'!$B$5:$S$21,16,(FALSE))</f>
        <v>5.8479532163742687E-2</v>
      </c>
      <c r="J62" s="1024">
        <f>VLOOKUP(A62,'2223 Band Moderations'!$B$5:$S$21,18,(FALSE))</f>
        <v>1.1695906432748537E-2</v>
      </c>
      <c r="K62" s="451">
        <v>178</v>
      </c>
      <c r="L62" s="1025">
        <f t="shared" si="8"/>
        <v>998933.66211187816</v>
      </c>
      <c r="M62" s="1025">
        <v>0</v>
      </c>
      <c r="N62" s="1025">
        <f t="shared" si="9"/>
        <v>998933.66211187816</v>
      </c>
      <c r="O62" s="1026">
        <f t="shared" si="11"/>
        <v>1038333.3333333334</v>
      </c>
      <c r="P62" s="1026">
        <f>(VLOOKUP(A62,'2223 Funding Detail'!$A$4:$AA$20,25,FALSE)*7/12)*K62</f>
        <v>357831.92189188785</v>
      </c>
      <c r="Q62" s="235"/>
      <c r="R62" s="235">
        <f t="shared" si="10"/>
        <v>28775.158377771815</v>
      </c>
      <c r="S62" s="269"/>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c r="BA62" s="36"/>
      <c r="BB62" s="36"/>
      <c r="BC62" s="36"/>
      <c r="BD62" s="36"/>
    </row>
    <row r="63" spans="1:56" x14ac:dyDescent="0.25">
      <c r="A63" s="244">
        <v>9257015</v>
      </c>
      <c r="B63" s="237" t="s">
        <v>217</v>
      </c>
      <c r="C63" s="365" t="s">
        <v>1181</v>
      </c>
      <c r="D63" s="1024">
        <f>VLOOKUP(A63,'2223 Band Moderations'!$B$5:$S$21,6,(FALSE))</f>
        <v>0.31555555555555553</v>
      </c>
      <c r="E63" s="1024">
        <f>VLOOKUP(A63,'2223 Band Moderations'!$B$5:$S$21,8,(FALSE))</f>
        <v>0.38666666666666666</v>
      </c>
      <c r="F63" s="1024">
        <f>VLOOKUP(A63,'2223 Band Moderations'!$B$5:$S$21,10,(FALSE))</f>
        <v>1.7777777777777778E-2</v>
      </c>
      <c r="G63" s="1024">
        <f>VLOOKUP(A63,'2223 Band Moderations'!$B$5:$S$21,12,(FALSE))</f>
        <v>9.3333333333333338E-2</v>
      </c>
      <c r="H63" s="1024">
        <f>VLOOKUP(A63,'2223 Band Moderations'!$B$5:$S$21,14,(FALSE))</f>
        <v>1.7777777777777778E-2</v>
      </c>
      <c r="I63" s="1024">
        <f>VLOOKUP(A63,'2223 Band Moderations'!$B$5:$S$21,16,(FALSE))</f>
        <v>0.16</v>
      </c>
      <c r="J63" s="1024">
        <f>VLOOKUP(A63,'2223 Band Moderations'!$B$5:$S$21,18,(FALSE))</f>
        <v>8.8888888888888889E-3</v>
      </c>
      <c r="K63" s="451">
        <v>209</v>
      </c>
      <c r="L63" s="1025">
        <f t="shared" si="8"/>
        <v>1198640.5144723291</v>
      </c>
      <c r="M63" s="1025">
        <v>0</v>
      </c>
      <c r="N63" s="1025">
        <f t="shared" si="9"/>
        <v>1198640.5144723291</v>
      </c>
      <c r="O63" s="1026">
        <f t="shared" si="11"/>
        <v>1219166.6666666667</v>
      </c>
      <c r="P63" s="1026">
        <f>(VLOOKUP(A63,'2223 Funding Detail'!$A$4:$AA$20,25,FALSE)*7/12)*K63</f>
        <v>399803.1674156696</v>
      </c>
      <c r="Q63" s="235"/>
      <c r="R63" s="235">
        <f t="shared" si="10"/>
        <v>25677.78739733301</v>
      </c>
      <c r="S63" s="269"/>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c r="BA63" s="36"/>
      <c r="BB63" s="36"/>
      <c r="BC63" s="36"/>
      <c r="BD63" s="36"/>
    </row>
    <row r="64" spans="1:56" x14ac:dyDescent="0.25">
      <c r="A64" s="244">
        <v>9257016</v>
      </c>
      <c r="B64" s="237" t="s">
        <v>219</v>
      </c>
      <c r="C64" s="365" t="s">
        <v>1181</v>
      </c>
      <c r="D64" s="1024">
        <f>VLOOKUP(A64,'2223 Band Moderations'!$B$5:$S$21,6,(FALSE))</f>
        <v>0.15337423312883436</v>
      </c>
      <c r="E64" s="1024">
        <f>VLOOKUP(A64,'2223 Band Moderations'!$B$5:$S$21,8,(FALSE))</f>
        <v>0.19018404907975461</v>
      </c>
      <c r="F64" s="1024">
        <f>VLOOKUP(A64,'2223 Band Moderations'!$B$5:$S$21,10,(FALSE))</f>
        <v>1.2269938650306749E-2</v>
      </c>
      <c r="G64" s="1024">
        <f>VLOOKUP(A64,'2223 Band Moderations'!$B$5:$S$21,12,(FALSE))</f>
        <v>0.22699386503067484</v>
      </c>
      <c r="H64" s="1024">
        <f>VLOOKUP(A64,'2223 Band Moderations'!$B$5:$S$21,14,(FALSE))</f>
        <v>0.18404907975460122</v>
      </c>
      <c r="I64" s="1024">
        <f>VLOOKUP(A64,'2223 Band Moderations'!$B$5:$S$21,16,(FALSE))</f>
        <v>1.8404907975460124E-2</v>
      </c>
      <c r="J64" s="1024">
        <f>VLOOKUP(A64,'2223 Band Moderations'!$B$5:$S$21,18,(FALSE))</f>
        <v>0.21472392638036811</v>
      </c>
      <c r="K64" s="451">
        <v>112</v>
      </c>
      <c r="L64" s="1025">
        <f t="shared" si="8"/>
        <v>938438.36518634588</v>
      </c>
      <c r="M64" s="1025">
        <v>0</v>
      </c>
      <c r="N64" s="1025">
        <f t="shared" si="9"/>
        <v>938438.36518634588</v>
      </c>
      <c r="O64" s="1026">
        <f t="shared" si="11"/>
        <v>653333.33333333337</v>
      </c>
      <c r="P64" s="1026">
        <f>(VLOOKUP(A64,'2223 Funding Detail'!$A$4:$AA$20,25,FALSE)*7/12)*K64</f>
        <v>589939.89599059464</v>
      </c>
      <c r="Q64" s="299" t="s">
        <v>207</v>
      </c>
      <c r="R64" s="235">
        <f t="shared" si="10"/>
        <v>332400.98166037095</v>
      </c>
      <c r="S64" s="269"/>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c r="BA64" s="36"/>
      <c r="BB64" s="36"/>
      <c r="BC64" s="36"/>
      <c r="BD64" s="36"/>
    </row>
    <row r="65" spans="1:56" x14ac:dyDescent="0.25">
      <c r="A65" s="36"/>
      <c r="B65" s="36"/>
      <c r="C65" s="36"/>
      <c r="D65" s="36"/>
      <c r="E65" s="36"/>
      <c r="F65" s="299" t="s">
        <v>207</v>
      </c>
      <c r="G65" s="36"/>
      <c r="H65" s="36"/>
      <c r="I65" s="36"/>
      <c r="J65" s="299" t="s">
        <v>207</v>
      </c>
      <c r="K65" s="234"/>
      <c r="L65" s="36"/>
      <c r="M65" s="36"/>
      <c r="N65" s="299" t="s">
        <v>207</v>
      </c>
      <c r="O65" s="36"/>
      <c r="P65" s="36"/>
      <c r="Q65" s="36"/>
      <c r="R65" s="234"/>
      <c r="S65" s="288"/>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c r="BA65" s="36"/>
      <c r="BB65" s="36"/>
      <c r="BC65" s="36"/>
      <c r="BD65" s="36"/>
    </row>
    <row r="66" spans="1:56" ht="13" x14ac:dyDescent="0.3">
      <c r="A66" s="93" t="s">
        <v>1625</v>
      </c>
      <c r="B66" s="36"/>
      <c r="C66" s="36"/>
      <c r="D66" s="36"/>
      <c r="E66" s="36"/>
      <c r="F66" s="36"/>
      <c r="G66" s="36"/>
      <c r="H66" s="36"/>
      <c r="I66" s="36"/>
      <c r="J66" s="36"/>
      <c r="K66" s="234"/>
      <c r="L66" s="234"/>
      <c r="M66" s="36"/>
      <c r="N66" s="36"/>
      <c r="O66" s="36"/>
      <c r="P66" s="36"/>
      <c r="Q66" s="36"/>
      <c r="R66" s="234"/>
      <c r="S66" s="288"/>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row>
    <row r="67" spans="1:56" x14ac:dyDescent="0.25">
      <c r="A67" s="36"/>
      <c r="B67" s="36"/>
      <c r="C67" s="36"/>
      <c r="D67" s="36"/>
      <c r="E67" s="36"/>
      <c r="F67" s="36"/>
      <c r="G67" s="36"/>
      <c r="H67" s="36"/>
      <c r="I67" s="36"/>
      <c r="J67" s="36"/>
      <c r="K67" s="94" t="s">
        <v>1624</v>
      </c>
      <c r="L67" s="234"/>
      <c r="M67" s="36"/>
      <c r="N67" s="36"/>
      <c r="O67" s="1445" t="s">
        <v>238</v>
      </c>
      <c r="P67" s="1446"/>
      <c r="Q67" s="36"/>
      <c r="R67" s="234"/>
      <c r="S67" s="288"/>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c r="BA67" s="36"/>
      <c r="BB67" s="36"/>
      <c r="BC67" s="36"/>
      <c r="BD67" s="36"/>
    </row>
    <row r="68" spans="1:56" ht="37.5" x14ac:dyDescent="0.25">
      <c r="A68" s="265" t="s">
        <v>182</v>
      </c>
      <c r="B68" s="237" t="s">
        <v>183</v>
      </c>
      <c r="C68" s="238" t="s">
        <v>184</v>
      </c>
      <c r="D68" s="234" t="s">
        <v>901</v>
      </c>
      <c r="E68" s="234" t="s">
        <v>902</v>
      </c>
      <c r="F68" s="234" t="s">
        <v>903</v>
      </c>
      <c r="G68" s="234" t="s">
        <v>904</v>
      </c>
      <c r="H68" s="234" t="s">
        <v>905</v>
      </c>
      <c r="I68" s="234" t="s">
        <v>906</v>
      </c>
      <c r="J68" s="234" t="s">
        <v>907</v>
      </c>
      <c r="K68" s="243" t="s">
        <v>264</v>
      </c>
      <c r="L68" s="243" t="s">
        <v>279</v>
      </c>
      <c r="M68" s="243" t="s">
        <v>280</v>
      </c>
      <c r="N68" s="243" t="s">
        <v>279</v>
      </c>
      <c r="O68" s="243" t="s">
        <v>267</v>
      </c>
      <c r="P68" s="320" t="s">
        <v>281</v>
      </c>
      <c r="Q68" s="243"/>
      <c r="R68" s="243"/>
      <c r="S68" s="27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c r="BA68" s="36"/>
      <c r="BB68" s="36"/>
      <c r="BC68" s="36"/>
      <c r="BD68" s="36"/>
    </row>
    <row r="69" spans="1:56" x14ac:dyDescent="0.25">
      <c r="A69" s="244">
        <v>9257010</v>
      </c>
      <c r="B69" s="237" t="s">
        <v>1164</v>
      </c>
      <c r="C69" s="365">
        <v>5</v>
      </c>
      <c r="D69" s="1024">
        <f>VLOOKUP(A69,'2223 Band Moderations'!$B$5:$S$21,6,(FALSE))</f>
        <v>6.1224489795918366E-2</v>
      </c>
      <c r="E69" s="1024">
        <f>VLOOKUP(A69,'2223 Band Moderations'!$B$5:$S$21,8,(FALSE))</f>
        <v>0.42857142857142855</v>
      </c>
      <c r="F69" s="1024">
        <f>VLOOKUP(A69,'2223 Band Moderations'!$B$5:$S$21,10,(FALSE))</f>
        <v>7.1428571428571425E-2</v>
      </c>
      <c r="G69" s="1024">
        <f>VLOOKUP(A69,'2223 Band Moderations'!$B$5:$S$21,12,(FALSE))</f>
        <v>0.1326530612244898</v>
      </c>
      <c r="H69" s="1024">
        <f>VLOOKUP(A69,'2223 Band Moderations'!$B$5:$S$21,14,(FALSE))</f>
        <v>8.1632653061224483E-2</v>
      </c>
      <c r="I69" s="1024">
        <f>VLOOKUP(A69,'2223 Band Moderations'!$B$5:$S$21,16,(FALSE))</f>
        <v>0.11224489795918367</v>
      </c>
      <c r="J69" s="1024">
        <f>VLOOKUP(A69,'2223 Band Moderations'!$B$5:$S$21,18,(FALSE))</f>
        <v>0.11224489795918367</v>
      </c>
      <c r="K69" s="451">
        <v>12</v>
      </c>
      <c r="L69" s="1025">
        <f t="shared" ref="L69:L85" si="12">((((K69*D69)*$G$88)+((K69*E69)*$G$90)+((K69*F69)*$G$92)+((K69*G69)*$G$94)+((K69*H69)*$G$96)+((K69*I69)*$G$98)+((K69*J69)*$G$100))*(8/12))</f>
        <v>100626.79229209539</v>
      </c>
      <c r="M69" s="1025">
        <v>0</v>
      </c>
      <c r="N69" s="1025">
        <f>SUM(L69:M69)</f>
        <v>100626.79229209539</v>
      </c>
      <c r="O69" s="1026">
        <f>(K69*(8/12))*10000</f>
        <v>80000</v>
      </c>
      <c r="P69" s="1026">
        <f>(VLOOKUP(A69,'2223 Funding Detail'!$A$4:$AA$20,25,FALSE)*8/12)*K69</f>
        <v>62852.769739322364</v>
      </c>
      <c r="Q69" s="235"/>
      <c r="R69" s="235">
        <f t="shared" ref="R69:R85" si="13">(J69*K69*$G$100)*8/12</f>
        <v>21276.669011139824</v>
      </c>
      <c r="S69" s="269"/>
      <c r="T69" s="280"/>
      <c r="U69" s="36"/>
      <c r="V69" s="297"/>
      <c r="W69" s="29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c r="BA69" s="36"/>
      <c r="BB69" s="36"/>
      <c r="BC69" s="36"/>
      <c r="BD69" s="36"/>
    </row>
    <row r="70" spans="1:56" x14ac:dyDescent="0.25">
      <c r="A70" s="244">
        <v>9257005</v>
      </c>
      <c r="B70" s="237" t="s">
        <v>208</v>
      </c>
      <c r="C70" s="365">
        <v>4</v>
      </c>
      <c r="D70" s="1024">
        <f>VLOOKUP(A70,'2223 Band Moderations'!$B$5:$S$21,6,(FALSE))</f>
        <v>5.8139534883720929E-2</v>
      </c>
      <c r="E70" s="1024">
        <f>VLOOKUP(A70,'2223 Band Moderations'!$B$5:$S$21,8,(FALSE))</f>
        <v>0.38372093023255816</v>
      </c>
      <c r="F70" s="1024">
        <f>VLOOKUP(A70,'2223 Band Moderations'!$B$5:$S$21,10,(FALSE))</f>
        <v>9.3023255813953487E-2</v>
      </c>
      <c r="G70" s="1024">
        <f>VLOOKUP(A70,'2223 Band Moderations'!$B$5:$S$21,12,(FALSE))</f>
        <v>0.13953488372093023</v>
      </c>
      <c r="H70" s="1024">
        <f>VLOOKUP(A70,'2223 Band Moderations'!$B$5:$S$21,14,(FALSE))</f>
        <v>0.11627906976744186</v>
      </c>
      <c r="I70" s="1024">
        <f>VLOOKUP(A70,'2223 Band Moderations'!$B$5:$S$21,16,(FALSE))</f>
        <v>0.15116279069767441</v>
      </c>
      <c r="J70" s="1024">
        <f>VLOOKUP(A70,'2223 Band Moderations'!$B$5:$S$21,18,(FALSE))</f>
        <v>5.8139534883720929E-2</v>
      </c>
      <c r="K70" s="451">
        <v>31</v>
      </c>
      <c r="L70" s="1025">
        <f t="shared" si="12"/>
        <v>259218.89799015666</v>
      </c>
      <c r="M70" s="1025">
        <v>0</v>
      </c>
      <c r="N70" s="1025">
        <f>SUM(L70:M70)</f>
        <v>259218.89799015666</v>
      </c>
      <c r="O70" s="1026">
        <f t="shared" ref="O70:O85" si="14">(K70*(8/12))*10000</f>
        <v>206666.66666666666</v>
      </c>
      <c r="P70" s="1026">
        <f>(VLOOKUP(A70,'2223 Funding Detail'!$A$4:$AA$20,25,FALSE)*8/12)*K70</f>
        <v>182625.17506761037</v>
      </c>
      <c r="Q70" s="235"/>
      <c r="R70" s="235">
        <f t="shared" si="13"/>
        <v>28470.102385413487</v>
      </c>
      <c r="S70" s="269"/>
      <c r="T70" s="280"/>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c r="BA70" s="36"/>
      <c r="BB70" s="36"/>
      <c r="BC70" s="36"/>
      <c r="BD70" s="36"/>
    </row>
    <row r="71" spans="1:56" x14ac:dyDescent="0.25">
      <c r="A71" s="244">
        <v>9257025</v>
      </c>
      <c r="B71" s="237" t="s">
        <v>209</v>
      </c>
      <c r="C71" s="365">
        <v>4</v>
      </c>
      <c r="D71" s="1024">
        <f>VLOOKUP(A71,'2223 Band Moderations'!$B$5:$S$21,6,(FALSE))</f>
        <v>0.13924050632911392</v>
      </c>
      <c r="E71" s="1024">
        <f>VLOOKUP(A71,'2223 Band Moderations'!$B$5:$S$21,8,(FALSE))</f>
        <v>0.46835443037974683</v>
      </c>
      <c r="F71" s="1024">
        <f>VLOOKUP(A71,'2223 Band Moderations'!$B$5:$S$21,10,(FALSE))</f>
        <v>3.7974683544303799E-2</v>
      </c>
      <c r="G71" s="1024">
        <f>VLOOKUP(A71,'2223 Band Moderations'!$B$5:$S$21,12,(FALSE))</f>
        <v>0.11392405063291139</v>
      </c>
      <c r="H71" s="1024">
        <f>VLOOKUP(A71,'2223 Band Moderations'!$B$5:$S$21,14,(FALSE))</f>
        <v>3.7974683544303799E-2</v>
      </c>
      <c r="I71" s="1024">
        <f>VLOOKUP(A71,'2223 Band Moderations'!$B$5:$S$21,16,(FALSE))</f>
        <v>0.15189873417721519</v>
      </c>
      <c r="J71" s="1024">
        <f>VLOOKUP(A71,'2223 Band Moderations'!$B$5:$S$21,18,(FALSE))</f>
        <v>5.0632911392405063E-2</v>
      </c>
      <c r="K71" s="451">
        <v>24</v>
      </c>
      <c r="L71" s="1025">
        <f t="shared" si="12"/>
        <v>177801.42282450187</v>
      </c>
      <c r="M71" s="1025">
        <v>0</v>
      </c>
      <c r="N71" s="1025">
        <f t="shared" ref="N71:N85" si="15">SUM(L71:M71)</f>
        <v>177801.42282450187</v>
      </c>
      <c r="O71" s="1026">
        <f t="shared" si="14"/>
        <v>160000</v>
      </c>
      <c r="P71" s="1026">
        <f>(VLOOKUP(A71,'2223 Funding Detail'!$A$4:$AA$20,25,FALSE)*8/12)*K71</f>
        <v>116809.79550254252</v>
      </c>
      <c r="Q71" s="235"/>
      <c r="R71" s="235">
        <f t="shared" si="13"/>
        <v>19195.521869658947</v>
      </c>
      <c r="S71" s="269"/>
      <c r="T71" s="280"/>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c r="BA71" s="36"/>
      <c r="BB71" s="36"/>
      <c r="BC71" s="36"/>
      <c r="BD71" s="36"/>
    </row>
    <row r="72" spans="1:56" x14ac:dyDescent="0.25">
      <c r="A72" s="244">
        <v>9257024</v>
      </c>
      <c r="B72" s="237" t="s">
        <v>211</v>
      </c>
      <c r="C72" s="365">
        <v>4</v>
      </c>
      <c r="D72" s="1024">
        <f>VLOOKUP(A72,'2223 Band Moderations'!$B$5:$S$21,6,(FALSE))</f>
        <v>7.1428571428571425E-2</v>
      </c>
      <c r="E72" s="1024">
        <f>VLOOKUP(A72,'2223 Band Moderations'!$B$5:$S$21,8,(FALSE))</f>
        <v>0.51190476190476186</v>
      </c>
      <c r="F72" s="1024">
        <f>VLOOKUP(A72,'2223 Band Moderations'!$B$5:$S$21,10,(FALSE))</f>
        <v>2.3809523809523808E-2</v>
      </c>
      <c r="G72" s="1024">
        <f>VLOOKUP(A72,'2223 Band Moderations'!$B$5:$S$21,12,(FALSE))</f>
        <v>0.17857142857142858</v>
      </c>
      <c r="H72" s="1024">
        <f>VLOOKUP(A72,'2223 Band Moderations'!$B$5:$S$21,14,(FALSE))</f>
        <v>8.3333333333333329E-2</v>
      </c>
      <c r="I72" s="1024">
        <f>VLOOKUP(A72,'2223 Band Moderations'!$B$5:$S$21,16,(FALSE))</f>
        <v>7.1428571428571425E-2</v>
      </c>
      <c r="J72" s="1024">
        <f>VLOOKUP(A72,'2223 Band Moderations'!$B$5:$S$21,18,(FALSE))</f>
        <v>5.9523809523809521E-2</v>
      </c>
      <c r="K72" s="451">
        <v>13</v>
      </c>
      <c r="L72" s="1025">
        <f t="shared" si="12"/>
        <v>98575.941080966324</v>
      </c>
      <c r="M72" s="1025">
        <v>0</v>
      </c>
      <c r="N72" s="1025">
        <f t="shared" si="15"/>
        <v>98575.941080966324</v>
      </c>
      <c r="O72" s="1026">
        <f t="shared" si="14"/>
        <v>86666.666666666657</v>
      </c>
      <c r="P72" s="1026">
        <f>(VLOOKUP(A72,'2223 Funding Detail'!$A$4:$AA$20,25,FALSE)*8/12)*K72</f>
        <v>64751.527731835435</v>
      </c>
      <c r="Q72" s="235"/>
      <c r="R72" s="235">
        <f t="shared" si="13"/>
        <v>12223.33888897553</v>
      </c>
      <c r="S72" s="269"/>
      <c r="T72" s="280"/>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c r="BA72" s="36"/>
      <c r="BB72" s="36"/>
      <c r="BC72" s="36"/>
      <c r="BD72" s="36"/>
    </row>
    <row r="73" spans="1:56" x14ac:dyDescent="0.25">
      <c r="A73" s="244">
        <v>9257031</v>
      </c>
      <c r="B73" s="237" t="s">
        <v>257</v>
      </c>
      <c r="C73" s="365">
        <v>5</v>
      </c>
      <c r="D73" s="1024">
        <f>VLOOKUP(A73,'2223 Band Moderations'!$B$5:$S$21,6,(FALSE))</f>
        <v>0</v>
      </c>
      <c r="E73" s="1024">
        <f>VLOOKUP(A73,'2223 Band Moderations'!$B$5:$S$21,8,(FALSE))</f>
        <v>0</v>
      </c>
      <c r="F73" s="1024">
        <f>VLOOKUP(A73,'2223 Band Moderations'!$B$5:$S$21,10,(FALSE))</f>
        <v>1</v>
      </c>
      <c r="G73" s="1024">
        <f>VLOOKUP(A73,'2223 Band Moderations'!$B$5:$S$21,12,(FALSE))</f>
        <v>0</v>
      </c>
      <c r="H73" s="1024">
        <f>VLOOKUP(A73,'2223 Band Moderations'!$B$5:$S$21,14,(FALSE))</f>
        <v>0</v>
      </c>
      <c r="I73" s="1024">
        <f>VLOOKUP(A73,'2223 Band Moderations'!$B$5:$S$21,16,(FALSE))</f>
        <v>0</v>
      </c>
      <c r="J73" s="1024">
        <f>VLOOKUP(A73,'2223 Band Moderations'!$B$5:$S$21,18,(FALSE))</f>
        <v>0</v>
      </c>
      <c r="K73" s="451">
        <v>0</v>
      </c>
      <c r="L73" s="1025">
        <f t="shared" si="12"/>
        <v>0</v>
      </c>
      <c r="M73" s="1025">
        <v>0</v>
      </c>
      <c r="N73" s="1025">
        <f t="shared" si="15"/>
        <v>0</v>
      </c>
      <c r="O73" s="1026">
        <f t="shared" si="14"/>
        <v>0</v>
      </c>
      <c r="P73" s="1026">
        <f>(VLOOKUP(A73,'2223 Funding Detail'!$A$4:$AA$20,25,FALSE)*8/12)*K73</f>
        <v>0</v>
      </c>
      <c r="Q73" s="235"/>
      <c r="R73" s="235">
        <f t="shared" si="13"/>
        <v>0</v>
      </c>
      <c r="S73" s="269"/>
      <c r="T73" s="280"/>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c r="BA73" s="36"/>
      <c r="BB73" s="36"/>
      <c r="BC73" s="36"/>
      <c r="BD73" s="36"/>
    </row>
    <row r="74" spans="1:56" x14ac:dyDescent="0.25">
      <c r="A74" s="244">
        <v>9257033</v>
      </c>
      <c r="B74" s="237" t="s">
        <v>220</v>
      </c>
      <c r="C74" s="365" t="s">
        <v>1178</v>
      </c>
      <c r="D74" s="1024">
        <f>VLOOKUP(A74,'2223 Band Moderations'!$B$5:$S$21,6,(FALSE))</f>
        <v>0.1388888888888889</v>
      </c>
      <c r="E74" s="1024">
        <f>VLOOKUP(A74,'2223 Band Moderations'!$B$5:$S$21,8,(FALSE))</f>
        <v>0.62962962962962965</v>
      </c>
      <c r="F74" s="1024">
        <f>VLOOKUP(A74,'2223 Band Moderations'!$B$5:$S$21,10,(FALSE))</f>
        <v>4.6296296296296294E-2</v>
      </c>
      <c r="G74" s="1024">
        <f>VLOOKUP(A74,'2223 Band Moderations'!$B$5:$S$21,12,(FALSE))</f>
        <v>0.10185185185185185</v>
      </c>
      <c r="H74" s="1024">
        <f>VLOOKUP(A74,'2223 Band Moderations'!$B$5:$S$21,14,(FALSE))</f>
        <v>3.7037037037037035E-2</v>
      </c>
      <c r="I74" s="1024">
        <f>VLOOKUP(A74,'2223 Band Moderations'!$B$5:$S$21,16,(FALSE))</f>
        <v>3.7037037037037035E-2</v>
      </c>
      <c r="J74" s="1024">
        <f>VLOOKUP(A74,'2223 Band Moderations'!$B$5:$S$21,18,(FALSE))</f>
        <v>9.2592592592592587E-3</v>
      </c>
      <c r="K74" s="451">
        <v>0</v>
      </c>
      <c r="L74" s="1025">
        <f t="shared" si="12"/>
        <v>0</v>
      </c>
      <c r="M74" s="1025">
        <v>0</v>
      </c>
      <c r="N74" s="1025">
        <f t="shared" si="15"/>
        <v>0</v>
      </c>
      <c r="O74" s="1026">
        <f t="shared" si="14"/>
        <v>0</v>
      </c>
      <c r="P74" s="1026">
        <f>(VLOOKUP(A74,'2223 Funding Detail'!$A$4:$AA$20,25,FALSE)*8/12)*K74</f>
        <v>0</v>
      </c>
      <c r="Q74" s="235"/>
      <c r="R74" s="235">
        <f t="shared" si="13"/>
        <v>0</v>
      </c>
      <c r="S74" s="269"/>
      <c r="T74" s="280"/>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c r="BA74" s="36"/>
      <c r="BB74" s="36"/>
      <c r="BC74" s="36"/>
      <c r="BD74" s="36"/>
    </row>
    <row r="75" spans="1:56" x14ac:dyDescent="0.25">
      <c r="A75" s="244">
        <v>9257008</v>
      </c>
      <c r="B75" s="237" t="s">
        <v>212</v>
      </c>
      <c r="C75" s="365">
        <v>4</v>
      </c>
      <c r="D75" s="1024">
        <f>VLOOKUP(A75,'2223 Band Moderations'!$B$5:$S$21,6,(FALSE))</f>
        <v>0.11</v>
      </c>
      <c r="E75" s="1024">
        <f>VLOOKUP(A75,'2223 Band Moderations'!$B$5:$S$21,8,(FALSE))</f>
        <v>0.64</v>
      </c>
      <c r="F75" s="1024">
        <f>VLOOKUP(A75,'2223 Band Moderations'!$B$5:$S$21,10,(FALSE))</f>
        <v>7.0000000000000007E-2</v>
      </c>
      <c r="G75" s="1024">
        <f>VLOOKUP(A75,'2223 Band Moderations'!$B$5:$S$21,12,(FALSE))</f>
        <v>0.09</v>
      </c>
      <c r="H75" s="1024">
        <f>VLOOKUP(A75,'2223 Band Moderations'!$B$5:$S$21,14,(FALSE))</f>
        <v>0</v>
      </c>
      <c r="I75" s="1024">
        <f>VLOOKUP(A75,'2223 Band Moderations'!$B$5:$S$21,16,(FALSE))</f>
        <v>0.09</v>
      </c>
      <c r="J75" s="1024">
        <f>VLOOKUP(A75,'2223 Band Moderations'!$B$5:$S$21,18,(FALSE))</f>
        <v>0</v>
      </c>
      <c r="K75" s="451">
        <v>0</v>
      </c>
      <c r="L75" s="1025">
        <f t="shared" si="12"/>
        <v>0</v>
      </c>
      <c r="M75" s="1025">
        <v>0</v>
      </c>
      <c r="N75" s="1025">
        <f t="shared" si="15"/>
        <v>0</v>
      </c>
      <c r="O75" s="1026">
        <f t="shared" si="14"/>
        <v>0</v>
      </c>
      <c r="P75" s="1026">
        <f>(VLOOKUP(A75,'2223 Funding Detail'!$A$4:$AA$20,25,FALSE)*8/12)*K75</f>
        <v>0</v>
      </c>
      <c r="Q75" s="235"/>
      <c r="R75" s="235">
        <f t="shared" si="13"/>
        <v>0</v>
      </c>
      <c r="S75" s="269"/>
      <c r="T75" s="280"/>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c r="BA75" s="36"/>
      <c r="BB75" s="36"/>
      <c r="BC75" s="36"/>
      <c r="BD75" s="36"/>
    </row>
    <row r="76" spans="1:56" x14ac:dyDescent="0.25">
      <c r="A76" s="244">
        <v>9257034</v>
      </c>
      <c r="B76" s="237" t="s">
        <v>221</v>
      </c>
      <c r="C76" s="365" t="s">
        <v>1178</v>
      </c>
      <c r="D76" s="1024">
        <f>VLOOKUP(A76,'2223 Band Moderations'!$B$5:$S$21,6,(FALSE))</f>
        <v>0.44444444444444442</v>
      </c>
      <c r="E76" s="1024">
        <f>VLOOKUP(A76,'2223 Band Moderations'!$B$5:$S$21,8,(FALSE))</f>
        <v>0.32407407407407407</v>
      </c>
      <c r="F76" s="1024">
        <f>VLOOKUP(A76,'2223 Band Moderations'!$B$5:$S$21,10,(FALSE))</f>
        <v>9.2592592592592587E-2</v>
      </c>
      <c r="G76" s="1024">
        <f>VLOOKUP(A76,'2223 Band Moderations'!$B$5:$S$21,12,(FALSE))</f>
        <v>4.6296296296296294E-2</v>
      </c>
      <c r="H76" s="1024">
        <f>VLOOKUP(A76,'2223 Band Moderations'!$B$5:$S$21,14,(FALSE))</f>
        <v>2.7777777777777776E-2</v>
      </c>
      <c r="I76" s="1024">
        <f>VLOOKUP(A76,'2223 Band Moderations'!$B$5:$S$21,16,(FALSE))</f>
        <v>5.5555555555555552E-2</v>
      </c>
      <c r="J76" s="1024">
        <f>VLOOKUP(A76,'2223 Band Moderations'!$B$5:$S$21,18,(FALSE))</f>
        <v>9.2592592592592587E-3</v>
      </c>
      <c r="K76" s="451">
        <v>30</v>
      </c>
      <c r="L76" s="1025">
        <f t="shared" si="12"/>
        <v>180478.03046493558</v>
      </c>
      <c r="M76" s="1025">
        <v>0</v>
      </c>
      <c r="N76" s="1025">
        <f t="shared" si="15"/>
        <v>180478.03046493558</v>
      </c>
      <c r="O76" s="1026">
        <f t="shared" si="14"/>
        <v>200000</v>
      </c>
      <c r="P76" s="1026">
        <f>(VLOOKUP(A76,'2223 Funding Detail'!$A$4:$AA$20,25,FALSE)*8/12)*K76</f>
        <v>79317.386717338784</v>
      </c>
      <c r="Q76" s="235"/>
      <c r="R76" s="235">
        <f t="shared" si="13"/>
        <v>4387.8652421963452</v>
      </c>
      <c r="S76" s="269"/>
      <c r="T76" s="280"/>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c r="BA76" s="36"/>
      <c r="BB76" s="36"/>
      <c r="BC76" s="36"/>
      <c r="BD76" s="36"/>
    </row>
    <row r="77" spans="1:56" x14ac:dyDescent="0.25">
      <c r="A77" s="244">
        <v>9257002</v>
      </c>
      <c r="B77" s="237" t="s">
        <v>213</v>
      </c>
      <c r="C77" s="365">
        <v>5</v>
      </c>
      <c r="D77" s="1024">
        <f>VLOOKUP(A77,'2223 Band Moderations'!$B$5:$S$21,6,(FALSE))</f>
        <v>0.33557046979865773</v>
      </c>
      <c r="E77" s="1024">
        <f>VLOOKUP(A77,'2223 Band Moderations'!$B$5:$S$21,8,(FALSE))</f>
        <v>0.38926174496644295</v>
      </c>
      <c r="F77" s="1024">
        <f>VLOOKUP(A77,'2223 Band Moderations'!$B$5:$S$21,10,(FALSE))</f>
        <v>0.13422818791946309</v>
      </c>
      <c r="G77" s="1024">
        <f>VLOOKUP(A77,'2223 Band Moderations'!$B$5:$S$21,12,(FALSE))</f>
        <v>3.3557046979865772E-2</v>
      </c>
      <c r="H77" s="1024">
        <f>VLOOKUP(A77,'2223 Band Moderations'!$B$5:$S$21,14,(FALSE))</f>
        <v>2.0134228187919462E-2</v>
      </c>
      <c r="I77" s="1024">
        <f>VLOOKUP(A77,'2223 Band Moderations'!$B$5:$S$21,16,(FALSE))</f>
        <v>7.3825503355704702E-2</v>
      </c>
      <c r="J77" s="1024">
        <f>VLOOKUP(A77,'2223 Band Moderations'!$B$5:$S$21,18,(FALSE))</f>
        <v>1.3422818791946308E-2</v>
      </c>
      <c r="K77" s="451">
        <v>0</v>
      </c>
      <c r="L77" s="1025">
        <f t="shared" si="12"/>
        <v>0</v>
      </c>
      <c r="M77" s="1025">
        <v>0</v>
      </c>
      <c r="N77" s="1025">
        <f t="shared" si="15"/>
        <v>0</v>
      </c>
      <c r="O77" s="1026">
        <f t="shared" si="14"/>
        <v>0</v>
      </c>
      <c r="P77" s="1026">
        <f>(VLOOKUP(A77,'2223 Funding Detail'!$A$4:$AA$20,25,FALSE)*8/12)*K77</f>
        <v>0</v>
      </c>
      <c r="Q77" s="235"/>
      <c r="R77" s="235">
        <f t="shared" si="13"/>
        <v>0</v>
      </c>
      <c r="S77" s="269"/>
      <c r="T77" s="280"/>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c r="BA77" s="36"/>
      <c r="BB77" s="36"/>
      <c r="BC77" s="36"/>
      <c r="BD77" s="36"/>
    </row>
    <row r="78" spans="1:56" x14ac:dyDescent="0.25">
      <c r="A78" s="244">
        <v>9257009</v>
      </c>
      <c r="B78" s="237" t="s">
        <v>214</v>
      </c>
      <c r="C78" s="365" t="s">
        <v>1178</v>
      </c>
      <c r="D78" s="1024">
        <f>VLOOKUP(A78,'2223 Band Moderations'!$B$5:$S$21,6,(FALSE))</f>
        <v>0.16728126399462603</v>
      </c>
      <c r="E78" s="1024">
        <f>VLOOKUP(A78,'2223 Band Moderations'!$B$5:$S$21,8,(FALSE))</f>
        <v>0.5331117367060082</v>
      </c>
      <c r="F78" s="1024">
        <f>VLOOKUP(A78,'2223 Band Moderations'!$B$5:$S$21,10,(FALSE))</f>
        <v>5.951180875576037E-2</v>
      </c>
      <c r="G78" s="1024">
        <f>VLOOKUP(A78,'2223 Band Moderations'!$B$5:$S$21,12,(FALSE))</f>
        <v>7.4766176884850405E-2</v>
      </c>
      <c r="H78" s="1024">
        <f>VLOOKUP(A78,'2223 Band Moderations'!$B$5:$S$21,14,(FALSE))</f>
        <v>3.7220400914435951E-2</v>
      </c>
      <c r="I78" s="1024">
        <f>VLOOKUP(A78,'2223 Band Moderations'!$B$5:$S$21,16,(FALSE))</f>
        <v>8.0393258021177944E-2</v>
      </c>
      <c r="J78" s="1024">
        <f>VLOOKUP(A78,'2223 Band Moderations'!$B$5:$S$21,18,(FALSE))</f>
        <v>4.7715354723141153E-2</v>
      </c>
      <c r="K78" s="451">
        <v>11</v>
      </c>
      <c r="L78" s="1025">
        <f t="shared" si="12"/>
        <v>75155.776392640313</v>
      </c>
      <c r="M78" s="1025">
        <v>0</v>
      </c>
      <c r="N78" s="1025">
        <f t="shared" si="15"/>
        <v>75155.776392640313</v>
      </c>
      <c r="O78" s="1026">
        <f t="shared" si="14"/>
        <v>73333.333333333328</v>
      </c>
      <c r="P78" s="1026">
        <f>(VLOOKUP(A78,'2223 Funding Detail'!$A$4:$AA$20,25,FALSE)*8/12)*K78</f>
        <v>29913.430109609428</v>
      </c>
      <c r="Q78" s="235"/>
      <c r="R78" s="235">
        <f t="shared" si="13"/>
        <v>8290.9944417461138</v>
      </c>
      <c r="S78" s="269"/>
      <c r="T78" s="280"/>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c r="BA78" s="36"/>
      <c r="BB78" s="36"/>
      <c r="BC78" s="36"/>
      <c r="BD78" s="36"/>
    </row>
    <row r="79" spans="1:56" x14ac:dyDescent="0.25">
      <c r="A79" s="244">
        <v>9257029</v>
      </c>
      <c r="B79" s="237" t="s">
        <v>890</v>
      </c>
      <c r="C79" s="365" t="s">
        <v>1179</v>
      </c>
      <c r="D79" s="1024">
        <f>VLOOKUP(A79,'2223 Band Moderations'!$B$5:$S$21,6,(FALSE))</f>
        <v>0</v>
      </c>
      <c r="E79" s="1024">
        <f>VLOOKUP(A79,'2223 Band Moderations'!$B$5:$S$21,8,(FALSE))</f>
        <v>0</v>
      </c>
      <c r="F79" s="1024">
        <f>VLOOKUP(A79,'2223 Band Moderations'!$B$5:$S$21,10,(FALSE))</f>
        <v>1</v>
      </c>
      <c r="G79" s="1024">
        <f>VLOOKUP(A79,'2223 Band Moderations'!$B$5:$S$21,12,(FALSE))</f>
        <v>0</v>
      </c>
      <c r="H79" s="1024">
        <f>VLOOKUP(A79,'2223 Band Moderations'!$B$5:$S$21,14,(FALSE))</f>
        <v>0</v>
      </c>
      <c r="I79" s="1024">
        <f>VLOOKUP(A79,'2223 Band Moderations'!$B$5:$S$21,16,(FALSE))</f>
        <v>0</v>
      </c>
      <c r="J79" s="1024">
        <f>VLOOKUP(A79,'2223 Band Moderations'!$B$5:$S$21,18,(FALSE))</f>
        <v>0</v>
      </c>
      <c r="K79" s="451">
        <v>0</v>
      </c>
      <c r="L79" s="1025">
        <f t="shared" si="12"/>
        <v>0</v>
      </c>
      <c r="M79" s="1025">
        <v>0</v>
      </c>
      <c r="N79" s="1025">
        <f t="shared" si="15"/>
        <v>0</v>
      </c>
      <c r="O79" s="1026">
        <f t="shared" si="14"/>
        <v>0</v>
      </c>
      <c r="P79" s="1026">
        <f>(VLOOKUP(A79,'2223 Funding Detail'!$A$4:$AA$20,25,FALSE)*8/12)*K79</f>
        <v>0</v>
      </c>
      <c r="Q79" s="235"/>
      <c r="R79" s="235">
        <f t="shared" si="13"/>
        <v>0</v>
      </c>
      <c r="S79" s="269"/>
      <c r="T79" s="280"/>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c r="BA79" s="36"/>
      <c r="BB79" s="36"/>
      <c r="BC79" s="36"/>
      <c r="BD79" s="36"/>
    </row>
    <row r="80" spans="1:56" x14ac:dyDescent="0.25">
      <c r="A80" s="244">
        <v>9257032</v>
      </c>
      <c r="B80" s="237" t="s">
        <v>1043</v>
      </c>
      <c r="C80" s="365" t="s">
        <v>1179</v>
      </c>
      <c r="D80" s="1024">
        <f>VLOOKUP(A80,'2223 Band Moderations'!$B$5:$S$21,6,(FALSE))</f>
        <v>0</v>
      </c>
      <c r="E80" s="1024">
        <f>VLOOKUP(A80,'2223 Band Moderations'!$B$5:$S$21,8,(FALSE))</f>
        <v>0</v>
      </c>
      <c r="F80" s="1024">
        <f>VLOOKUP(A80,'2223 Band Moderations'!$B$5:$S$21,10,(FALSE))</f>
        <v>1</v>
      </c>
      <c r="G80" s="1024">
        <f>VLOOKUP(A80,'2223 Band Moderations'!$B$5:$S$21,12,(FALSE))</f>
        <v>0</v>
      </c>
      <c r="H80" s="1024">
        <f>VLOOKUP(A80,'2223 Band Moderations'!$B$5:$S$21,14,(FALSE))</f>
        <v>0</v>
      </c>
      <c r="I80" s="1024">
        <f>VLOOKUP(A80,'2223 Band Moderations'!$B$5:$S$21,16,(FALSE))</f>
        <v>0</v>
      </c>
      <c r="J80" s="1024">
        <f>VLOOKUP(A80,'2223 Band Moderations'!$B$5:$S$21,18,(FALSE))</f>
        <v>0</v>
      </c>
      <c r="K80" s="451">
        <v>0</v>
      </c>
      <c r="L80" s="1025">
        <f t="shared" si="12"/>
        <v>0</v>
      </c>
      <c r="M80" s="1025">
        <v>0</v>
      </c>
      <c r="N80" s="1025">
        <f t="shared" si="15"/>
        <v>0</v>
      </c>
      <c r="O80" s="1026">
        <f t="shared" si="14"/>
        <v>0</v>
      </c>
      <c r="P80" s="1026">
        <f>(VLOOKUP(A80,'2223 Funding Detail'!$A$4:$AA$20,25,FALSE)*8/12)*K80</f>
        <v>0</v>
      </c>
      <c r="Q80" s="235"/>
      <c r="R80" s="235">
        <f t="shared" si="13"/>
        <v>0</v>
      </c>
      <c r="S80" s="269"/>
      <c r="T80" s="280"/>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row>
    <row r="81" spans="1:56" x14ac:dyDescent="0.25">
      <c r="A81" s="244">
        <v>9257030</v>
      </c>
      <c r="B81" s="237" t="s">
        <v>1046</v>
      </c>
      <c r="C81" s="365" t="s">
        <v>1179</v>
      </c>
      <c r="D81" s="1024">
        <f>VLOOKUP(A81,'2223 Band Moderations'!$B$5:$S$21,6,(FALSE))</f>
        <v>0</v>
      </c>
      <c r="E81" s="1024">
        <f>VLOOKUP(A81,'2223 Band Moderations'!$B$5:$S$21,8,(FALSE))</f>
        <v>0</v>
      </c>
      <c r="F81" s="1024">
        <f>VLOOKUP(A81,'2223 Band Moderations'!$B$5:$S$21,10,(FALSE))</f>
        <v>1</v>
      </c>
      <c r="G81" s="1024">
        <f>VLOOKUP(A81,'2223 Band Moderations'!$B$5:$S$21,12,(FALSE))</f>
        <v>0</v>
      </c>
      <c r="H81" s="1024">
        <f>VLOOKUP(A81,'2223 Band Moderations'!$B$5:$S$21,14,(FALSE))</f>
        <v>0</v>
      </c>
      <c r="I81" s="1024">
        <f>VLOOKUP(A81,'2223 Band Moderations'!$B$5:$S$21,16,(FALSE))</f>
        <v>0</v>
      </c>
      <c r="J81" s="1024">
        <f>VLOOKUP(A81,'2223 Band Moderations'!$B$5:$S$21,18,(FALSE))</f>
        <v>0</v>
      </c>
      <c r="K81" s="451">
        <v>0</v>
      </c>
      <c r="L81" s="1025">
        <f t="shared" si="12"/>
        <v>0</v>
      </c>
      <c r="M81" s="1025">
        <v>0</v>
      </c>
      <c r="N81" s="1025">
        <f t="shared" si="15"/>
        <v>0</v>
      </c>
      <c r="O81" s="1026">
        <f t="shared" si="14"/>
        <v>0</v>
      </c>
      <c r="P81" s="1026">
        <f>(VLOOKUP(A81,'2223 Funding Detail'!$A$4:$AA$20,25,FALSE)*8/12)*K81</f>
        <v>0</v>
      </c>
      <c r="Q81" s="235"/>
      <c r="R81" s="235">
        <f t="shared" si="13"/>
        <v>0</v>
      </c>
      <c r="S81" s="269"/>
      <c r="T81" s="280"/>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c r="BA81" s="36"/>
      <c r="BB81" s="36"/>
      <c r="BC81" s="36"/>
      <c r="BD81" s="36"/>
    </row>
    <row r="82" spans="1:56" x14ac:dyDescent="0.25">
      <c r="A82" s="244">
        <v>9257028</v>
      </c>
      <c r="B82" s="237" t="s">
        <v>215</v>
      </c>
      <c r="C82" s="365">
        <v>5</v>
      </c>
      <c r="D82" s="1024">
        <f>VLOOKUP(A82,'2223 Band Moderations'!$B$5:$S$21,6,(FALSE))</f>
        <v>9.2436974789915971E-2</v>
      </c>
      <c r="E82" s="1024">
        <f>VLOOKUP(A82,'2223 Band Moderations'!$B$5:$S$21,8,(FALSE))</f>
        <v>0.44537815126050423</v>
      </c>
      <c r="F82" s="1024">
        <f>VLOOKUP(A82,'2223 Band Moderations'!$B$5:$S$21,10,(FALSE))</f>
        <v>7.5630252100840331E-2</v>
      </c>
      <c r="G82" s="1024">
        <f>VLOOKUP(A82,'2223 Band Moderations'!$B$5:$S$21,12,(FALSE))</f>
        <v>9.2436974789915971E-2</v>
      </c>
      <c r="H82" s="1024">
        <f>VLOOKUP(A82,'2223 Band Moderations'!$B$5:$S$21,14,(FALSE))</f>
        <v>9.2436974789915971E-2</v>
      </c>
      <c r="I82" s="1024">
        <f>VLOOKUP(A82,'2223 Band Moderations'!$B$5:$S$21,16,(FALSE))</f>
        <v>7.5630252100840331E-2</v>
      </c>
      <c r="J82" s="1024">
        <f>VLOOKUP(A82,'2223 Band Moderations'!$B$5:$S$21,18,(FALSE))</f>
        <v>0.12605042016806722</v>
      </c>
      <c r="K82" s="451">
        <v>9</v>
      </c>
      <c r="L82" s="1025">
        <f t="shared" si="12"/>
        <v>73439.618185433341</v>
      </c>
      <c r="M82" s="1025">
        <v>0</v>
      </c>
      <c r="N82" s="1025">
        <f t="shared" si="15"/>
        <v>73439.618185433341</v>
      </c>
      <c r="O82" s="1026">
        <f t="shared" si="14"/>
        <v>60000</v>
      </c>
      <c r="P82" s="1026">
        <f>(VLOOKUP(A82,'2223 Funding Detail'!$A$4:$AA$20,25,FALSE)*8/12)*K82</f>
        <v>43619.662829435896</v>
      </c>
      <c r="Q82" s="235"/>
      <c r="R82" s="235">
        <f t="shared" si="13"/>
        <v>17920.189140398517</v>
      </c>
      <c r="S82" s="269"/>
      <c r="T82" s="280"/>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c r="BA82" s="36"/>
      <c r="BB82" s="36"/>
      <c r="BC82" s="36"/>
      <c r="BD82" s="36"/>
    </row>
    <row r="83" spans="1:56" x14ac:dyDescent="0.25">
      <c r="A83" s="244">
        <v>9257021</v>
      </c>
      <c r="B83" s="237" t="s">
        <v>216</v>
      </c>
      <c r="C83" s="365" t="s">
        <v>1180</v>
      </c>
      <c r="D83" s="1024">
        <f>VLOOKUP(A83,'2223 Band Moderations'!$B$5:$S$21,6,(FALSE))</f>
        <v>0.25146198830409355</v>
      </c>
      <c r="E83" s="1024">
        <f>VLOOKUP(A83,'2223 Band Moderations'!$B$5:$S$21,8,(FALSE))</f>
        <v>0.47368421052631576</v>
      </c>
      <c r="F83" s="1024">
        <f>VLOOKUP(A83,'2223 Band Moderations'!$B$5:$S$21,10,(FALSE))</f>
        <v>9.3567251461988299E-2</v>
      </c>
      <c r="G83" s="1024">
        <f>VLOOKUP(A83,'2223 Band Moderations'!$B$5:$S$21,12,(FALSE))</f>
        <v>7.6023391812865493E-2</v>
      </c>
      <c r="H83" s="1024">
        <f>VLOOKUP(A83,'2223 Band Moderations'!$B$5:$S$21,14,(FALSE))</f>
        <v>3.5087719298245612E-2</v>
      </c>
      <c r="I83" s="1024">
        <f>VLOOKUP(A83,'2223 Band Moderations'!$B$5:$S$21,16,(FALSE))</f>
        <v>5.8479532163742687E-2</v>
      </c>
      <c r="J83" s="1024">
        <f>VLOOKUP(A83,'2223 Band Moderations'!$B$5:$S$21,18,(FALSE))</f>
        <v>1.1695906432748537E-2</v>
      </c>
      <c r="K83" s="451">
        <v>0</v>
      </c>
      <c r="L83" s="1025">
        <f t="shared" si="12"/>
        <v>0</v>
      </c>
      <c r="M83" s="1025">
        <v>0</v>
      </c>
      <c r="N83" s="1025">
        <f t="shared" si="15"/>
        <v>0</v>
      </c>
      <c r="O83" s="1026">
        <f t="shared" si="14"/>
        <v>0</v>
      </c>
      <c r="P83" s="1026">
        <f>(VLOOKUP(A83,'2223 Funding Detail'!$A$4:$AA$20,25,FALSE)*8/12)*K83</f>
        <v>0</v>
      </c>
      <c r="Q83" s="235"/>
      <c r="R83" s="235">
        <f t="shared" si="13"/>
        <v>0</v>
      </c>
      <c r="S83" s="269"/>
      <c r="T83" s="280"/>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c r="BA83" s="36"/>
      <c r="BB83" s="36"/>
      <c r="BC83" s="36"/>
      <c r="BD83" s="36"/>
    </row>
    <row r="84" spans="1:56" x14ac:dyDescent="0.25">
      <c r="A84" s="244">
        <v>9257015</v>
      </c>
      <c r="B84" s="237" t="s">
        <v>217</v>
      </c>
      <c r="C84" s="365" t="s">
        <v>1181</v>
      </c>
      <c r="D84" s="1024">
        <f>VLOOKUP(A84,'2223 Band Moderations'!$B$5:$S$21,6,(FALSE))</f>
        <v>0.31555555555555553</v>
      </c>
      <c r="E84" s="1024">
        <f>VLOOKUP(A84,'2223 Band Moderations'!$B$5:$S$21,8,(FALSE))</f>
        <v>0.38666666666666666</v>
      </c>
      <c r="F84" s="1024">
        <f>VLOOKUP(A84,'2223 Band Moderations'!$B$5:$S$21,10,(FALSE))</f>
        <v>1.7777777777777778E-2</v>
      </c>
      <c r="G84" s="1024">
        <f>VLOOKUP(A84,'2223 Band Moderations'!$B$5:$S$21,12,(FALSE))</f>
        <v>9.3333333333333338E-2</v>
      </c>
      <c r="H84" s="1024">
        <f>VLOOKUP(A84,'2223 Band Moderations'!$B$5:$S$21,14,(FALSE))</f>
        <v>1.7777777777777778E-2</v>
      </c>
      <c r="I84" s="1024">
        <f>VLOOKUP(A84,'2223 Band Moderations'!$B$5:$S$21,16,(FALSE))</f>
        <v>0.16</v>
      </c>
      <c r="J84" s="1024">
        <f>VLOOKUP(A84,'2223 Band Moderations'!$B$5:$S$21,18,(FALSE))</f>
        <v>8.8888888888888889E-3</v>
      </c>
      <c r="K84" s="451">
        <v>16</v>
      </c>
      <c r="L84" s="1025">
        <f t="shared" si="12"/>
        <v>104870.8037269023</v>
      </c>
      <c r="M84" s="1025">
        <v>0</v>
      </c>
      <c r="N84" s="1025">
        <f t="shared" si="15"/>
        <v>104870.8037269023</v>
      </c>
      <c r="O84" s="1026">
        <f t="shared" si="14"/>
        <v>106666.66666666666</v>
      </c>
      <c r="P84" s="1026">
        <f>(VLOOKUP(A84,'2223 Funding Detail'!$A$4:$AA$20,25,FALSE)*8/12)*K84</f>
        <v>34979.361195629324</v>
      </c>
      <c r="Q84" s="235"/>
      <c r="R84" s="235">
        <f t="shared" si="13"/>
        <v>2246.5870040045288</v>
      </c>
      <c r="S84" s="269"/>
      <c r="T84" s="280"/>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c r="BA84" s="36"/>
      <c r="BB84" s="36"/>
      <c r="BC84" s="36"/>
      <c r="BD84" s="36"/>
    </row>
    <row r="85" spans="1:56" x14ac:dyDescent="0.25">
      <c r="A85" s="244">
        <v>9257016</v>
      </c>
      <c r="B85" s="237" t="s">
        <v>219</v>
      </c>
      <c r="C85" s="365" t="s">
        <v>1181</v>
      </c>
      <c r="D85" s="1024">
        <f>VLOOKUP(A85,'2223 Band Moderations'!$B$5:$S$21,6,(FALSE))</f>
        <v>0.15337423312883436</v>
      </c>
      <c r="E85" s="1024">
        <f>VLOOKUP(A85,'2223 Band Moderations'!$B$5:$S$21,8,(FALSE))</f>
        <v>0.19018404907975461</v>
      </c>
      <c r="F85" s="1024">
        <f>VLOOKUP(A85,'2223 Band Moderations'!$B$5:$S$21,10,(FALSE))</f>
        <v>1.2269938650306749E-2</v>
      </c>
      <c r="G85" s="1024">
        <f>VLOOKUP(A85,'2223 Band Moderations'!$B$5:$S$21,12,(FALSE))</f>
        <v>0.22699386503067484</v>
      </c>
      <c r="H85" s="1024">
        <f>VLOOKUP(A85,'2223 Band Moderations'!$B$5:$S$21,14,(FALSE))</f>
        <v>0.18404907975460122</v>
      </c>
      <c r="I85" s="1024">
        <f>VLOOKUP(A85,'2223 Band Moderations'!$B$5:$S$21,16,(FALSE))</f>
        <v>1.8404907975460124E-2</v>
      </c>
      <c r="J85" s="1024">
        <f>VLOOKUP(A85,'2223 Band Moderations'!$B$5:$S$21,18,(FALSE))</f>
        <v>0.21472392638036811</v>
      </c>
      <c r="K85" s="451">
        <v>54</v>
      </c>
      <c r="L85" s="1025">
        <f t="shared" si="12"/>
        <v>517098.69102104765</v>
      </c>
      <c r="M85" s="1025">
        <v>0</v>
      </c>
      <c r="N85" s="1025">
        <f t="shared" si="15"/>
        <v>517098.69102104765</v>
      </c>
      <c r="O85" s="1026">
        <f t="shared" si="14"/>
        <v>360000</v>
      </c>
      <c r="P85" s="1026">
        <f>(VLOOKUP(A85,'2223 Funding Detail'!$A$4:$AA$20,25,FALSE)*8/12)*K85</f>
        <v>325068.92228053173</v>
      </c>
      <c r="Q85" s="299" t="s">
        <v>207</v>
      </c>
      <c r="R85" s="235">
        <f t="shared" si="13"/>
        <v>183159.72458836765</v>
      </c>
      <c r="S85" s="269"/>
      <c r="T85" s="280"/>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c r="BA85" s="36"/>
      <c r="BB85" s="36"/>
      <c r="BC85" s="36"/>
      <c r="BD85" s="36"/>
    </row>
    <row r="86" spans="1:56" x14ac:dyDescent="0.25">
      <c r="A86" s="36"/>
      <c r="B86" s="36"/>
      <c r="C86" s="36"/>
      <c r="D86" s="36"/>
      <c r="E86" s="36"/>
      <c r="F86" s="299" t="s">
        <v>207</v>
      </c>
      <c r="G86" s="36"/>
      <c r="H86" s="234"/>
      <c r="I86" s="299" t="s">
        <v>207</v>
      </c>
      <c r="J86" s="36"/>
      <c r="K86" s="36"/>
      <c r="L86" s="36"/>
      <c r="M86" s="36"/>
      <c r="N86" s="36"/>
      <c r="O86" s="36"/>
      <c r="P86" s="36"/>
      <c r="Q86" s="36"/>
      <c r="R86" s="234"/>
      <c r="S86" s="288"/>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c r="BA86" s="36"/>
      <c r="BB86" s="36"/>
      <c r="BC86" s="36"/>
      <c r="BD86" s="36"/>
    </row>
    <row r="87" spans="1:56" x14ac:dyDescent="0.25">
      <c r="A87" s="36"/>
      <c r="B87" s="36"/>
      <c r="C87" s="36"/>
      <c r="D87" s="36"/>
      <c r="E87" s="36"/>
      <c r="F87" s="36"/>
      <c r="G87" s="36"/>
      <c r="H87" s="36"/>
      <c r="I87" s="234"/>
      <c r="J87" s="234"/>
      <c r="K87" s="36"/>
      <c r="L87" s="36"/>
      <c r="M87" s="36"/>
      <c r="N87" s="36"/>
      <c r="O87" s="36"/>
      <c r="P87" s="36"/>
      <c r="Q87" s="36"/>
      <c r="R87" s="234"/>
      <c r="S87" s="288"/>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c r="BA87" s="36"/>
      <c r="BB87" s="36"/>
      <c r="BC87" s="36"/>
      <c r="BD87" s="36"/>
    </row>
    <row r="88" spans="1:56" ht="13" x14ac:dyDescent="0.3">
      <c r="A88" s="36"/>
      <c r="B88" s="792" t="s">
        <v>1252</v>
      </c>
      <c r="C88" s="36"/>
      <c r="D88" s="36"/>
      <c r="E88" s="36" t="s">
        <v>735</v>
      </c>
      <c r="F88" s="36"/>
      <c r="G88" s="235">
        <f>VLOOKUP(E88,'2223 Band Values'!$A$5:$BK$25,63,(FALSE))</f>
        <v>6436.6395994964951</v>
      </c>
      <c r="H88" s="281"/>
      <c r="I88" s="281"/>
      <c r="J88" s="281"/>
      <c r="K88" s="281"/>
      <c r="L88" s="281"/>
      <c r="M88" s="281"/>
      <c r="N88" s="281"/>
      <c r="O88" s="281"/>
      <c r="P88" s="281"/>
      <c r="Q88" s="281"/>
      <c r="R88" s="234"/>
      <c r="S88" s="288"/>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c r="BA88" s="36"/>
      <c r="BB88" s="36"/>
      <c r="BC88" s="36"/>
      <c r="BD88" s="36"/>
    </row>
    <row r="89" spans="1:56" x14ac:dyDescent="0.25">
      <c r="A89" s="36"/>
      <c r="B89" s="36"/>
      <c r="C89" s="36"/>
      <c r="D89" s="36"/>
      <c r="E89" s="36"/>
      <c r="F89" s="36"/>
      <c r="G89" s="235"/>
      <c r="H89" s="281"/>
      <c r="I89" s="281"/>
      <c r="J89" s="281"/>
      <c r="K89" s="281"/>
      <c r="L89" s="281"/>
      <c r="M89" s="281"/>
      <c r="N89" s="281"/>
      <c r="O89" s="281"/>
      <c r="P89" s="281"/>
      <c r="Q89" s="281"/>
      <c r="R89" s="234"/>
      <c r="S89" s="288"/>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c r="BA89" s="36"/>
      <c r="BB89" s="36"/>
      <c r="BC89" s="36"/>
      <c r="BD89" s="36"/>
    </row>
    <row r="90" spans="1:56" x14ac:dyDescent="0.25">
      <c r="A90" s="36"/>
      <c r="B90" s="36"/>
      <c r="C90" s="36"/>
      <c r="D90" s="36"/>
      <c r="E90" s="36" t="s">
        <v>736</v>
      </c>
      <c r="F90" s="36"/>
      <c r="G90" s="235">
        <f>VLOOKUP(E90,'2223 Band Values'!$A$5:$BK$25,63,(FALSE))</f>
        <v>7663.9439642558327</v>
      </c>
      <c r="H90" s="281"/>
      <c r="I90" s="281"/>
      <c r="J90" s="281"/>
      <c r="K90" s="281"/>
      <c r="L90" s="281"/>
      <c r="M90" s="281"/>
      <c r="N90" s="281"/>
      <c r="O90" s="281"/>
      <c r="P90" s="281"/>
      <c r="Q90" s="281"/>
      <c r="R90" s="234"/>
      <c r="S90" s="288"/>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c r="BA90" s="36"/>
      <c r="BB90" s="36"/>
      <c r="BC90" s="36"/>
      <c r="BD90" s="36"/>
    </row>
    <row r="91" spans="1:56" x14ac:dyDescent="0.25">
      <c r="A91" s="36"/>
      <c r="B91" s="36"/>
      <c r="C91" s="36"/>
      <c r="D91" s="36"/>
      <c r="E91" s="36"/>
      <c r="F91" s="36"/>
      <c r="G91" s="235"/>
      <c r="H91" s="281"/>
      <c r="I91" s="402"/>
      <c r="J91" s="281"/>
      <c r="K91" s="281"/>
      <c r="L91" s="281"/>
      <c r="M91" s="281"/>
      <c r="N91" s="281"/>
      <c r="O91" s="281"/>
      <c r="P91" s="281"/>
      <c r="Q91" s="281"/>
      <c r="R91" s="234"/>
      <c r="S91" s="288"/>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c r="BA91" s="36"/>
      <c r="BB91" s="36"/>
      <c r="BC91" s="36"/>
      <c r="BD91" s="36"/>
    </row>
    <row r="92" spans="1:56" x14ac:dyDescent="0.25">
      <c r="A92" s="36"/>
      <c r="B92" s="36"/>
      <c r="C92" s="36"/>
      <c r="D92" s="36"/>
      <c r="E92" s="36" t="s">
        <v>748</v>
      </c>
      <c r="F92" s="36"/>
      <c r="G92" s="235">
        <f>VLOOKUP(E92,'2223 Band Values'!$A$5:$BK$28,63,(FALSE))</f>
        <v>15112.856312350723</v>
      </c>
      <c r="H92" s="281"/>
      <c r="I92" s="402"/>
      <c r="J92" s="281"/>
      <c r="K92" s="281"/>
      <c r="L92" s="281"/>
      <c r="M92" s="281"/>
      <c r="N92" s="281"/>
      <c r="O92" s="281"/>
      <c r="P92" s="281"/>
      <c r="Q92" s="281"/>
      <c r="R92" s="234"/>
      <c r="S92" s="288"/>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c r="BA92" s="36"/>
      <c r="BB92" s="36"/>
      <c r="BC92" s="36"/>
      <c r="BD92" s="36"/>
    </row>
    <row r="93" spans="1:56" x14ac:dyDescent="0.25">
      <c r="A93" s="36"/>
      <c r="B93" s="36"/>
      <c r="C93" s="36"/>
      <c r="D93" s="36"/>
      <c r="E93" s="36"/>
      <c r="F93" s="36"/>
      <c r="G93" s="235"/>
      <c r="H93" s="281"/>
      <c r="I93" s="402"/>
      <c r="J93" s="281"/>
      <c r="K93" s="281"/>
      <c r="L93" s="281"/>
      <c r="M93" s="281"/>
      <c r="N93" s="281"/>
      <c r="O93" s="281"/>
      <c r="P93" s="281"/>
      <c r="Q93" s="281"/>
      <c r="R93" s="234"/>
      <c r="S93" s="288"/>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234"/>
      <c r="AY93" s="234"/>
      <c r="AZ93" s="36"/>
      <c r="BA93" s="36"/>
      <c r="BB93" s="234"/>
      <c r="BC93" s="234"/>
      <c r="BD93" s="234"/>
    </row>
    <row r="94" spans="1:56" x14ac:dyDescent="0.25">
      <c r="A94" s="36"/>
      <c r="B94" s="36"/>
      <c r="C94" s="36"/>
      <c r="D94" s="36"/>
      <c r="E94" s="36" t="s">
        <v>738</v>
      </c>
      <c r="F94" s="36"/>
      <c r="G94" s="235">
        <f>VLOOKUP(E94,'2223 Band Values'!$A$5:$BK$25,63,(FALSE))</f>
        <v>15428.518588359904</v>
      </c>
      <c r="H94" s="281"/>
      <c r="I94" s="402"/>
      <c r="J94" s="281"/>
      <c r="K94" s="281"/>
      <c r="L94" s="281"/>
      <c r="M94" s="281"/>
      <c r="N94" s="281"/>
      <c r="O94" s="281"/>
      <c r="P94" s="281"/>
      <c r="Q94" s="281"/>
      <c r="R94" s="234"/>
      <c r="S94" s="288"/>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234"/>
      <c r="AY94" s="234"/>
      <c r="AZ94" s="36"/>
      <c r="BA94" s="36"/>
      <c r="BB94" s="234"/>
      <c r="BC94" s="234"/>
      <c r="BD94" s="234"/>
    </row>
    <row r="95" spans="1:56" x14ac:dyDescent="0.25">
      <c r="A95" s="36"/>
      <c r="B95" s="36"/>
      <c r="C95" s="36"/>
      <c r="D95" s="36"/>
      <c r="E95" s="36"/>
      <c r="F95" s="36"/>
      <c r="G95" s="235"/>
      <c r="H95" s="281"/>
      <c r="I95" s="402"/>
      <c r="J95" s="281"/>
      <c r="K95" s="281"/>
      <c r="L95" s="281"/>
      <c r="M95" s="281"/>
      <c r="N95" s="281"/>
      <c r="O95" s="281"/>
      <c r="P95" s="281"/>
      <c r="Q95" s="281"/>
      <c r="R95" s="234"/>
      <c r="S95" s="288"/>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234"/>
      <c r="AY95" s="234"/>
      <c r="AZ95" s="36"/>
      <c r="BA95" s="36"/>
      <c r="BB95" s="234"/>
      <c r="BC95" s="234"/>
      <c r="BD95" s="234"/>
    </row>
    <row r="96" spans="1:56" x14ac:dyDescent="0.25">
      <c r="A96" s="36"/>
      <c r="B96" s="36"/>
      <c r="C96" s="36"/>
      <c r="D96" s="36"/>
      <c r="E96" s="36" t="s">
        <v>739</v>
      </c>
      <c r="F96" s="36"/>
      <c r="G96" s="235">
        <f>VLOOKUP(E96,'2223 Band Values'!$A$5:$BK$25,63,(FALSE))</f>
        <v>15428.518588359904</v>
      </c>
      <c r="H96" s="281"/>
      <c r="I96" s="402"/>
      <c r="J96" s="281"/>
      <c r="K96" s="281"/>
      <c r="L96" s="281"/>
      <c r="M96" s="281"/>
      <c r="N96" s="281"/>
      <c r="O96" s="281"/>
      <c r="P96" s="281"/>
      <c r="Q96" s="281"/>
      <c r="R96" s="234"/>
      <c r="S96" s="288"/>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234"/>
      <c r="AY96" s="234"/>
      <c r="AZ96" s="36"/>
      <c r="BA96" s="36"/>
      <c r="BB96" s="234"/>
      <c r="BC96" s="234"/>
      <c r="BD96" s="234"/>
    </row>
    <row r="97" spans="1:56" x14ac:dyDescent="0.25">
      <c r="A97" s="36"/>
      <c r="B97" s="36"/>
      <c r="C97" s="36"/>
      <c r="D97" s="36"/>
      <c r="E97" s="36"/>
      <c r="F97" s="36"/>
      <c r="G97" s="235"/>
      <c r="H97" s="281"/>
      <c r="I97" s="402"/>
      <c r="J97" s="281"/>
      <c r="K97" s="281"/>
      <c r="L97" s="281"/>
      <c r="M97" s="281"/>
      <c r="N97" s="281"/>
      <c r="O97" s="281"/>
      <c r="P97" s="281"/>
      <c r="Q97" s="281"/>
      <c r="R97" s="234"/>
      <c r="S97" s="288"/>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234"/>
      <c r="AY97" s="234"/>
      <c r="AZ97" s="36"/>
      <c r="BA97" s="36"/>
      <c r="BB97" s="234"/>
      <c r="BC97" s="234"/>
      <c r="BD97" s="234"/>
    </row>
    <row r="98" spans="1:56" x14ac:dyDescent="0.25">
      <c r="A98" s="36"/>
      <c r="B98" s="36"/>
      <c r="C98" s="36"/>
      <c r="D98" s="36"/>
      <c r="E98" s="36" t="s">
        <v>741</v>
      </c>
      <c r="F98" s="36"/>
      <c r="G98" s="235">
        <f>VLOOKUP(E98,'2223 Band Values'!$A$5:$BK$25,63,(FALSE))</f>
        <v>16522.240141269893</v>
      </c>
      <c r="H98" s="281"/>
      <c r="I98" s="402"/>
      <c r="J98" s="281"/>
      <c r="K98" s="281"/>
      <c r="L98" s="281"/>
      <c r="M98" s="281"/>
      <c r="N98" s="281"/>
      <c r="O98" s="281"/>
      <c r="P98" s="281"/>
      <c r="Q98" s="281"/>
      <c r="R98" s="234"/>
      <c r="S98" s="288"/>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234"/>
      <c r="AY98" s="234"/>
      <c r="AZ98" s="36"/>
      <c r="BA98" s="36"/>
      <c r="BB98" s="234"/>
      <c r="BC98" s="234"/>
      <c r="BD98" s="234"/>
    </row>
    <row r="99" spans="1:56" x14ac:dyDescent="0.25">
      <c r="A99" s="36"/>
      <c r="B99" s="36"/>
      <c r="C99" s="36"/>
      <c r="D99" s="36"/>
      <c r="E99" s="36"/>
      <c r="F99" s="36"/>
      <c r="G99" s="235"/>
      <c r="H99" s="281"/>
      <c r="I99" s="402"/>
      <c r="J99" s="281"/>
      <c r="K99" s="281"/>
      <c r="L99" s="281"/>
      <c r="M99" s="281"/>
      <c r="N99" s="281"/>
      <c r="O99" s="281"/>
      <c r="P99" s="281"/>
      <c r="Q99" s="281"/>
      <c r="R99" s="234"/>
      <c r="S99" s="288"/>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234"/>
      <c r="AY99" s="234"/>
      <c r="AZ99" s="36"/>
      <c r="BA99" s="36"/>
      <c r="BB99" s="234"/>
      <c r="BC99" s="234"/>
      <c r="BD99" s="234"/>
    </row>
    <row r="100" spans="1:56" x14ac:dyDescent="0.25">
      <c r="A100" s="36"/>
      <c r="B100" s="36"/>
      <c r="C100" s="36"/>
      <c r="D100" s="36"/>
      <c r="E100" s="36" t="s">
        <v>743</v>
      </c>
      <c r="F100" s="36"/>
      <c r="G100" s="235">
        <f>VLOOKUP(E100,'2223 Band Values'!$A$5:$BK$25,63,(FALSE))</f>
        <v>23694.472307860262</v>
      </c>
      <c r="H100" s="281"/>
      <c r="I100" s="402"/>
      <c r="J100" s="281"/>
      <c r="K100" s="281"/>
      <c r="L100" s="281"/>
      <c r="M100" s="281"/>
      <c r="N100" s="281"/>
      <c r="O100" s="281"/>
      <c r="P100" s="281"/>
      <c r="Q100" s="281"/>
      <c r="R100" s="234"/>
      <c r="S100" s="288"/>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234"/>
      <c r="AY100" s="234"/>
      <c r="AZ100" s="36"/>
      <c r="BA100" s="36"/>
      <c r="BB100" s="234"/>
      <c r="BC100" s="234"/>
      <c r="BD100" s="234"/>
    </row>
    <row r="101" spans="1:56" ht="14" x14ac:dyDescent="0.3">
      <c r="A101" s="36"/>
      <c r="B101" s="37"/>
      <c r="C101" s="38"/>
      <c r="D101" s="39"/>
      <c r="E101" s="281"/>
      <c r="F101" s="36"/>
      <c r="G101" s="235"/>
      <c r="H101" s="282"/>
      <c r="I101" s="402"/>
      <c r="J101" s="281"/>
      <c r="K101" s="282"/>
      <c r="L101" s="282"/>
      <c r="M101" s="282"/>
      <c r="N101" s="282"/>
      <c r="O101" s="282"/>
      <c r="P101" s="282"/>
      <c r="Q101" s="282"/>
      <c r="R101" s="234"/>
      <c r="S101" s="288"/>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234"/>
      <c r="AY101" s="234"/>
      <c r="AZ101" s="36"/>
      <c r="BA101" s="36"/>
      <c r="BB101" s="234"/>
      <c r="BC101" s="234"/>
      <c r="BD101" s="234"/>
    </row>
    <row r="102" spans="1:56" ht="14" x14ac:dyDescent="0.3">
      <c r="A102" s="36"/>
      <c r="B102" s="40"/>
      <c r="C102" s="38"/>
      <c r="D102" s="36"/>
      <c r="E102" s="36" t="s">
        <v>1253</v>
      </c>
      <c r="F102" s="36"/>
      <c r="G102" s="235" t="s">
        <v>452</v>
      </c>
      <c r="H102" s="281"/>
      <c r="I102" s="402"/>
      <c r="J102" s="281"/>
      <c r="K102" s="281"/>
      <c r="L102" s="281"/>
      <c r="M102" s="281"/>
      <c r="N102" s="281"/>
      <c r="O102" s="281"/>
      <c r="P102" s="281"/>
      <c r="Q102" s="281"/>
      <c r="R102" s="234"/>
      <c r="S102" s="288"/>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234"/>
      <c r="AY102" s="234"/>
      <c r="AZ102" s="36"/>
      <c r="BA102" s="36"/>
      <c r="BB102" s="234"/>
      <c r="BC102" s="234"/>
      <c r="BD102" s="234"/>
    </row>
    <row r="103" spans="1:56" x14ac:dyDescent="0.25">
      <c r="A103" s="36"/>
      <c r="B103" s="36"/>
      <c r="C103" s="36"/>
      <c r="D103" s="36"/>
      <c r="E103" s="36"/>
      <c r="F103" s="402"/>
      <c r="G103" s="234"/>
      <c r="H103" s="36"/>
      <c r="I103" s="36"/>
      <c r="J103" s="36"/>
      <c r="K103" s="36"/>
      <c r="L103" s="36"/>
      <c r="M103" s="36"/>
      <c r="N103" s="36"/>
      <c r="O103" s="36"/>
      <c r="P103" s="36"/>
      <c r="Q103" s="36"/>
      <c r="R103" s="234"/>
      <c r="S103" s="288"/>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234"/>
      <c r="AQ103" s="234"/>
      <c r="AR103" s="36"/>
      <c r="AS103" s="36"/>
      <c r="AT103" s="234"/>
      <c r="AU103" s="234"/>
      <c r="AV103" s="234"/>
      <c r="AW103" s="36"/>
      <c r="AX103" s="36"/>
      <c r="AY103" s="36"/>
      <c r="AZ103" s="36"/>
      <c r="BA103" s="36"/>
      <c r="BB103" s="36"/>
      <c r="BC103" s="36"/>
      <c r="BD103" s="36"/>
    </row>
    <row r="104" spans="1:56" ht="12.75" customHeight="1" x14ac:dyDescent="0.3">
      <c r="A104" s="36"/>
      <c r="B104" s="36"/>
      <c r="C104" s="36"/>
      <c r="D104" s="1448" t="s">
        <v>284</v>
      </c>
      <c r="E104" s="1449"/>
      <c r="F104" s="1450"/>
      <c r="G104" s="1448" t="s">
        <v>264</v>
      </c>
      <c r="H104" s="1449"/>
      <c r="I104" s="1450"/>
      <c r="J104" s="170" t="s">
        <v>285</v>
      </c>
      <c r="K104" s="1448" t="s">
        <v>284</v>
      </c>
      <c r="L104" s="1449"/>
      <c r="M104" s="1450"/>
      <c r="N104" s="1448" t="s">
        <v>264</v>
      </c>
      <c r="O104" s="1449"/>
      <c r="P104" s="1450"/>
      <c r="Q104" s="170" t="s">
        <v>285</v>
      </c>
      <c r="R104" s="448" t="s">
        <v>285</v>
      </c>
      <c r="S104" s="450"/>
      <c r="T104" s="173"/>
      <c r="U104" s="36"/>
      <c r="V104" s="36"/>
      <c r="W104" s="36"/>
      <c r="X104" s="36"/>
      <c r="Y104" s="36"/>
      <c r="Z104" s="36"/>
      <c r="AA104" s="36"/>
      <c r="AB104" s="36"/>
      <c r="AC104" s="36"/>
      <c r="AD104" s="36"/>
      <c r="AE104" s="36"/>
      <c r="AF104" s="36"/>
      <c r="AG104" s="36"/>
      <c r="AH104" s="36"/>
      <c r="AI104" s="36"/>
      <c r="AJ104" s="36"/>
      <c r="AK104" s="1443" t="s">
        <v>286</v>
      </c>
      <c r="AL104" s="36"/>
      <c r="AM104" s="36"/>
      <c r="AN104" s="234"/>
      <c r="AO104" s="234"/>
      <c r="AP104" s="36"/>
      <c r="AQ104" s="36"/>
      <c r="AR104" s="234"/>
      <c r="AS104" s="234"/>
      <c r="AT104" s="234"/>
      <c r="AU104" s="36"/>
      <c r="AV104" s="36"/>
      <c r="AW104" s="36"/>
      <c r="AX104" s="36"/>
      <c r="AY104" s="36"/>
      <c r="AZ104" s="36"/>
      <c r="BA104" s="36"/>
      <c r="BB104" s="36"/>
      <c r="BC104" s="36"/>
      <c r="BD104" s="36"/>
    </row>
    <row r="105" spans="1:56" ht="41.25" customHeight="1" x14ac:dyDescent="0.3">
      <c r="A105" s="283" t="s">
        <v>182</v>
      </c>
      <c r="B105" s="284" t="s">
        <v>183</v>
      </c>
      <c r="C105" s="238" t="s">
        <v>184</v>
      </c>
      <c r="D105" s="241" t="str">
        <f>L5</f>
        <v>Pre-16 Funding (Apr-Aug)</v>
      </c>
      <c r="E105" s="242" t="str">
        <f>L47</f>
        <v>Pre-16 Funding (Sept-Mar)</v>
      </c>
      <c r="F105" s="96" t="s">
        <v>288</v>
      </c>
      <c r="G105" s="242" t="str">
        <f>L26</f>
        <v>Post-16 Funding (Apr-Jul)</v>
      </c>
      <c r="H105" s="241" t="str">
        <f>L68</f>
        <v>Post-16 Funding (Aug-Mar)</v>
      </c>
      <c r="I105" s="96" t="s">
        <v>289</v>
      </c>
      <c r="J105" s="96" t="s">
        <v>290</v>
      </c>
      <c r="K105" s="241" t="str">
        <f>M5</f>
        <v>Additionality Funding (Apr-Aug)</v>
      </c>
      <c r="L105" s="241" t="str">
        <f>M47</f>
        <v>Additionality Funding (Sept-Mar)</v>
      </c>
      <c r="M105" s="96" t="s">
        <v>291</v>
      </c>
      <c r="N105" s="241" t="str">
        <f>M26</f>
        <v>Additionality Funding (Apr-Jul)</v>
      </c>
      <c r="O105" s="242" t="str">
        <f>M68</f>
        <v>Additionality Funding (Aug-Mar)</v>
      </c>
      <c r="P105" s="96" t="s">
        <v>291</v>
      </c>
      <c r="Q105" s="96" t="s">
        <v>292</v>
      </c>
      <c r="R105" s="96" t="s">
        <v>189</v>
      </c>
      <c r="S105" s="1027" t="s">
        <v>293</v>
      </c>
      <c r="T105" s="241" t="s">
        <v>294</v>
      </c>
      <c r="U105" s="241" t="s">
        <v>888</v>
      </c>
      <c r="V105" s="241" t="s">
        <v>295</v>
      </c>
      <c r="W105" s="241" t="s">
        <v>267</v>
      </c>
      <c r="X105" s="96" t="s">
        <v>296</v>
      </c>
      <c r="Y105" s="323" t="s">
        <v>189</v>
      </c>
      <c r="Z105" s="1083" t="s">
        <v>990</v>
      </c>
      <c r="AA105" s="1083" t="s">
        <v>991</v>
      </c>
      <c r="AB105" s="241" t="s">
        <v>194</v>
      </c>
      <c r="AC105" s="241" t="s">
        <v>297</v>
      </c>
      <c r="AD105" s="241" t="s">
        <v>298</v>
      </c>
      <c r="AE105" s="96" t="s">
        <v>299</v>
      </c>
      <c r="AF105" s="241" t="s">
        <v>300</v>
      </c>
      <c r="AG105" s="241" t="s">
        <v>301</v>
      </c>
      <c r="AH105" s="96" t="s">
        <v>302</v>
      </c>
      <c r="AI105" s="96" t="s">
        <v>303</v>
      </c>
      <c r="AJ105" s="284"/>
      <c r="AK105" s="1444"/>
      <c r="AL105" s="36"/>
      <c r="AM105" s="36"/>
      <c r="AN105" s="71" t="s">
        <v>1626</v>
      </c>
      <c r="AO105" s="823" t="s">
        <v>914</v>
      </c>
      <c r="AP105" s="823" t="s">
        <v>1187</v>
      </c>
      <c r="AQ105" s="1028"/>
      <c r="AR105" s="824" t="s">
        <v>1188</v>
      </c>
      <c r="AS105" s="823" t="s">
        <v>1189</v>
      </c>
      <c r="AT105" s="825" t="s">
        <v>1187</v>
      </c>
      <c r="AU105" s="36"/>
      <c r="AV105" s="36"/>
      <c r="AW105" s="36"/>
      <c r="AX105" s="36"/>
      <c r="AY105" s="36"/>
      <c r="AZ105" s="36"/>
      <c r="BA105" s="36"/>
      <c r="BB105" s="36"/>
      <c r="BC105" s="36"/>
      <c r="BD105" s="36"/>
    </row>
    <row r="106" spans="1:56" ht="13" x14ac:dyDescent="0.3">
      <c r="A106" s="244">
        <v>9257010</v>
      </c>
      <c r="B106" s="237" t="s">
        <v>205</v>
      </c>
      <c r="C106" s="238">
        <v>4</v>
      </c>
      <c r="D106" s="245">
        <f>L6</f>
        <v>471688.08886919718</v>
      </c>
      <c r="E106" s="245">
        <f>L48</f>
        <v>836460.210928043</v>
      </c>
      <c r="F106" s="68">
        <f>SUM(D106:E106)</f>
        <v>1308148.2997972402</v>
      </c>
      <c r="G106" s="245">
        <f>L27</f>
        <v>41927.830121706415</v>
      </c>
      <c r="H106" s="245">
        <f>L69</f>
        <v>100626.79229209539</v>
      </c>
      <c r="I106" s="68">
        <f>SUM(G106:H106)</f>
        <v>142554.62241380179</v>
      </c>
      <c r="J106" s="68">
        <f>F106+I106</f>
        <v>1450702.9222110419</v>
      </c>
      <c r="K106" s="245">
        <f>M6</f>
        <v>0</v>
      </c>
      <c r="L106" s="245">
        <f>M48</f>
        <v>0</v>
      </c>
      <c r="M106" s="68">
        <f>SUM(K106:L106)</f>
        <v>0</v>
      </c>
      <c r="N106" s="245">
        <f>M27</f>
        <v>0</v>
      </c>
      <c r="O106" s="245">
        <f>M69</f>
        <v>0</v>
      </c>
      <c r="P106" s="68">
        <f>SUM(N106:O106)</f>
        <v>0</v>
      </c>
      <c r="Q106" s="68">
        <f>M106+P106</f>
        <v>0</v>
      </c>
      <c r="R106" s="68">
        <f t="shared" ref="R106:R123" si="16">F106+I106+M106+P106</f>
        <v>1450702.9222110419</v>
      </c>
      <c r="S106" s="286">
        <f>(K6*(5/12))+(K48*(7/12))+(K27*(4/12))+(K69*(8/12))</f>
        <v>115.33333333333333</v>
      </c>
      <c r="T106" s="245">
        <f>R106/S106</f>
        <v>12578.349036511925</v>
      </c>
      <c r="U106" s="237"/>
      <c r="V106" s="245">
        <f>O6+O48</f>
        <v>1040000</v>
      </c>
      <c r="W106" s="245">
        <f>O27+O69</f>
        <v>113333.33333333333</v>
      </c>
      <c r="X106" s="245">
        <f>V106+W106</f>
        <v>1153333.3333333333</v>
      </c>
      <c r="Y106" s="245">
        <f>VLOOKUP(A106,'2223 Funding Detail'!$A$4:$AA$20,18,FALSE)</f>
        <v>2059460.7637418972</v>
      </c>
      <c r="Z106" s="245"/>
      <c r="AA106" s="245"/>
      <c r="AB106" s="245">
        <f>Y106-X106-Z106-AA106</f>
        <v>906127.43040856393</v>
      </c>
      <c r="AC106" s="245">
        <f>P6</f>
        <v>294622.35815307358</v>
      </c>
      <c r="AD106" s="245">
        <f>P48</f>
        <v>522463.64845811721</v>
      </c>
      <c r="AE106" s="245">
        <f>AC106+AD106</f>
        <v>817086.00661119074</v>
      </c>
      <c r="AF106" s="245">
        <f>P27</f>
        <v>26188.654058050983</v>
      </c>
      <c r="AG106" s="245">
        <f>P69</f>
        <v>62852.769739322364</v>
      </c>
      <c r="AH106" s="245">
        <f>AF106+AG106</f>
        <v>89041.42379737334</v>
      </c>
      <c r="AI106" s="245">
        <f>AE106+AH106</f>
        <v>906127.43040856405</v>
      </c>
      <c r="AJ106" s="287"/>
      <c r="AK106" s="1029">
        <f>X106+AE106+AH106</f>
        <v>2059460.7637418974</v>
      </c>
      <c r="AL106" s="247" t="s">
        <v>206</v>
      </c>
      <c r="AM106" s="297"/>
      <c r="AN106" s="235">
        <f>SUM(R6,R27,R48,R69)</f>
        <v>306738.64491059916</v>
      </c>
      <c r="AO106" s="270">
        <f>SUM('1920 Band Calculations'!R6,'1920 Band Calculations'!R28,'1920 Band Calculations'!R50,'1920 Band Calculations'!R72)</f>
        <v>154743.89373670361</v>
      </c>
      <c r="AP106" s="270">
        <f>AN106-AO106</f>
        <v>151994.75117389555</v>
      </c>
      <c r="AQ106" s="1028"/>
      <c r="AR106" s="1030">
        <f>'2021 Funding Detail'!M4-'1920 Funding Detail'!M4</f>
        <v>3.9166666666666572</v>
      </c>
      <c r="AS106" s="1030">
        <f>'2021 Band Moderations'!R51</f>
        <v>2</v>
      </c>
      <c r="AT106" s="1030">
        <f t="shared" ref="AT106:AT122" si="17">AR106-AS106</f>
        <v>1.9166666666666572</v>
      </c>
      <c r="AU106" s="36"/>
      <c r="AV106" s="36"/>
      <c r="AW106" s="36"/>
      <c r="AX106" s="36"/>
      <c r="AY106" s="36"/>
      <c r="AZ106" s="36"/>
      <c r="BA106" s="36"/>
      <c r="BB106" s="36"/>
      <c r="BC106" s="36"/>
      <c r="BD106" s="36"/>
    </row>
    <row r="107" spans="1:56" ht="13" x14ac:dyDescent="0.3">
      <c r="A107" s="244">
        <v>9257005</v>
      </c>
      <c r="B107" s="237" t="s">
        <v>208</v>
      </c>
      <c r="C107" s="238">
        <v>4</v>
      </c>
      <c r="D107" s="245">
        <f>L7</f>
        <v>303118.87264978001</v>
      </c>
      <c r="E107" s="245">
        <f>L49</f>
        <v>431683.08415296261</v>
      </c>
      <c r="F107" s="68">
        <f t="shared" ref="F107:F123" si="18">SUM(D107:E107)</f>
        <v>734801.95680274256</v>
      </c>
      <c r="G107" s="245">
        <f>L28</f>
        <v>117066.59909232882</v>
      </c>
      <c r="H107" s="245">
        <f>L70</f>
        <v>259218.89799015666</v>
      </c>
      <c r="I107" s="68">
        <f t="shared" ref="I107:I123" si="19">SUM(G107:H107)</f>
        <v>376285.49708248547</v>
      </c>
      <c r="J107" s="68">
        <f t="shared" ref="J107:J122" si="20">F107+I107</f>
        <v>1111087.4538852279</v>
      </c>
      <c r="K107" s="245">
        <f>M7</f>
        <v>0</v>
      </c>
      <c r="L107" s="245">
        <f>M49</f>
        <v>0</v>
      </c>
      <c r="M107" s="68">
        <f t="shared" ref="M107:M123" si="21">SUM(K107:L107)</f>
        <v>0</v>
      </c>
      <c r="N107" s="245">
        <f>M28</f>
        <v>0</v>
      </c>
      <c r="O107" s="245">
        <f>M70</f>
        <v>0</v>
      </c>
      <c r="P107" s="68">
        <f t="shared" ref="P107:P123" si="22">SUM(N107:O107)</f>
        <v>0</v>
      </c>
      <c r="Q107" s="68">
        <f t="shared" ref="Q107:Q123" si="23">M107+P107</f>
        <v>0</v>
      </c>
      <c r="R107" s="68">
        <f t="shared" si="16"/>
        <v>1111087.4538852279</v>
      </c>
      <c r="S107" s="286">
        <f>(K7*(5/12))+(K49*(7/12))+(K28*(4/12))+(K70*(8/12))</f>
        <v>88.583333333333343</v>
      </c>
      <c r="T107" s="245">
        <f t="shared" ref="T107:T123" si="24">R107/S107</f>
        <v>12542.849902749515</v>
      </c>
      <c r="U107" s="237"/>
      <c r="V107" s="245">
        <f>O7+O49</f>
        <v>585833.33333333337</v>
      </c>
      <c r="W107" s="245">
        <f>O28+O70</f>
        <v>300000</v>
      </c>
      <c r="X107" s="245">
        <f t="shared" ref="X107:X123" si="25">V107+W107</f>
        <v>885833.33333333337</v>
      </c>
      <c r="Y107" s="245">
        <f>VLOOKUP(A107,'2223 Funding Detail'!$A$4:$AA$20,18,FALSE)</f>
        <v>1668617.8538852278</v>
      </c>
      <c r="Z107" s="245"/>
      <c r="AA107" s="245"/>
      <c r="AB107" s="245">
        <f t="shared" ref="AB107:AB123" si="26">Y107-X107-Z107-AA107</f>
        <v>782784.52055189444</v>
      </c>
      <c r="AC107" s="245">
        <f>P7</f>
        <v>213553.63213551213</v>
      </c>
      <c r="AD107" s="245">
        <f>P49</f>
        <v>304129.82783436729</v>
      </c>
      <c r="AE107" s="245">
        <f t="shared" ref="AE107:AE123" si="27">AC107+AD107</f>
        <v>517683.45996987942</v>
      </c>
      <c r="AF107" s="245">
        <f>P28</f>
        <v>82475.885514404683</v>
      </c>
      <c r="AG107" s="245">
        <f>P70</f>
        <v>182625.17506761037</v>
      </c>
      <c r="AH107" s="245">
        <f t="shared" ref="AH107:AH123" si="28">AF107+AG107</f>
        <v>265101.06058201508</v>
      </c>
      <c r="AI107" s="245">
        <f t="shared" ref="AI107:AI123" si="29">AE107+AH107</f>
        <v>782784.52055189456</v>
      </c>
      <c r="AJ107" s="287"/>
      <c r="AK107" s="1029">
        <f t="shared" ref="AK107:AK123" si="30">X107+AE107+AH107</f>
        <v>1668617.8538852278</v>
      </c>
      <c r="AL107" s="247" t="s">
        <v>206</v>
      </c>
      <c r="AM107" s="297"/>
      <c r="AN107" s="235">
        <f>SUM(R7,R28,R49,R70)</f>
        <v>122031.12433747799</v>
      </c>
      <c r="AO107" s="270">
        <f>SUM('1920 Band Calculations'!R7,'1920 Band Calculations'!R29,'1920 Band Calculations'!R51,'1920 Band Calculations'!R73)</f>
        <v>133707.485907725</v>
      </c>
      <c r="AP107" s="270">
        <f t="shared" ref="AP107:AP123" si="31">AN107-AO107</f>
        <v>-11676.361570247012</v>
      </c>
      <c r="AQ107" s="1028"/>
      <c r="AR107" s="1030">
        <f>'2021 Funding Detail'!M5-'1920 Funding Detail'!M5</f>
        <v>4.3333333333333286</v>
      </c>
      <c r="AS107" s="1030">
        <f>'2021 Band Moderations'!R52</f>
        <v>-2</v>
      </c>
      <c r="AT107" s="1030">
        <f t="shared" si="17"/>
        <v>6.3333333333333286</v>
      </c>
      <c r="AU107" s="36"/>
      <c r="AV107" s="36"/>
      <c r="AW107" s="36"/>
      <c r="AX107" s="36"/>
      <c r="AY107" s="36"/>
      <c r="AZ107" s="36"/>
      <c r="BA107" s="36"/>
      <c r="BB107" s="36"/>
      <c r="BC107" s="36"/>
      <c r="BD107" s="36"/>
    </row>
    <row r="108" spans="1:56" ht="13" x14ac:dyDescent="0.3">
      <c r="A108" s="244">
        <v>9257025</v>
      </c>
      <c r="B108" s="237" t="s">
        <v>209</v>
      </c>
      <c r="C108" s="238">
        <v>4</v>
      </c>
      <c r="D108" s="245">
        <f>L8</f>
        <v>250033.25084695575</v>
      </c>
      <c r="E108" s="245">
        <f>L50</f>
        <v>421352.33013098105</v>
      </c>
      <c r="F108" s="68">
        <f t="shared" si="18"/>
        <v>671385.58097793674</v>
      </c>
      <c r="G108" s="245">
        <f>L29</f>
        <v>88900.711412250937</v>
      </c>
      <c r="H108" s="245">
        <f>L71</f>
        <v>177801.42282450187</v>
      </c>
      <c r="I108" s="68">
        <f t="shared" si="19"/>
        <v>266702.13423675281</v>
      </c>
      <c r="J108" s="68">
        <f t="shared" si="20"/>
        <v>938087.7152146895</v>
      </c>
      <c r="K108" s="245">
        <f>M8</f>
        <v>0</v>
      </c>
      <c r="L108" s="245">
        <f>M50</f>
        <v>0</v>
      </c>
      <c r="M108" s="68">
        <f t="shared" si="21"/>
        <v>0</v>
      </c>
      <c r="N108" s="245">
        <f>M29</f>
        <v>0</v>
      </c>
      <c r="O108" s="245">
        <f>M71</f>
        <v>0</v>
      </c>
      <c r="P108" s="68">
        <f t="shared" si="22"/>
        <v>0</v>
      </c>
      <c r="Q108" s="68">
        <f t="shared" si="23"/>
        <v>0</v>
      </c>
      <c r="R108" s="68">
        <f t="shared" si="16"/>
        <v>938087.7152146895</v>
      </c>
      <c r="S108" s="286">
        <f>(K8*(5/12))+(K50*(7/12))+(K29*(4/12))+(K71*(8/12))</f>
        <v>84.416666666666671</v>
      </c>
      <c r="T108" s="245">
        <f t="shared" si="24"/>
        <v>11112.588926531365</v>
      </c>
      <c r="U108" s="237"/>
      <c r="V108" s="245">
        <f>O8+O50</f>
        <v>604166.66666666674</v>
      </c>
      <c r="W108" s="245">
        <f>O29+O71</f>
        <v>240000</v>
      </c>
      <c r="X108" s="245">
        <f t="shared" si="25"/>
        <v>844166.66666666674</v>
      </c>
      <c r="Y108" s="245">
        <f>VLOOKUP(A108,'2223 Funding Detail'!$A$4:$AA$20,18,FALSE)</f>
        <v>1460460.0148128937</v>
      </c>
      <c r="Z108" s="245"/>
      <c r="AA108" s="245"/>
      <c r="AB108" s="245">
        <f t="shared" si="26"/>
        <v>616293.34814622696</v>
      </c>
      <c r="AC108" s="245">
        <f>P8</f>
        <v>164263.77492545042</v>
      </c>
      <c r="AD108" s="245">
        <f>P50</f>
        <v>276814.87996696273</v>
      </c>
      <c r="AE108" s="245">
        <f t="shared" si="27"/>
        <v>441078.65489241318</v>
      </c>
      <c r="AF108" s="245">
        <f>P29</f>
        <v>58404.897751271259</v>
      </c>
      <c r="AG108" s="245">
        <f>P71</f>
        <v>116809.79550254252</v>
      </c>
      <c r="AH108" s="245">
        <f t="shared" si="28"/>
        <v>175214.69325381378</v>
      </c>
      <c r="AI108" s="245">
        <f t="shared" si="29"/>
        <v>616293.34814622696</v>
      </c>
      <c r="AJ108" s="287"/>
      <c r="AK108" s="1029">
        <f t="shared" si="30"/>
        <v>1460460.0148128937</v>
      </c>
      <c r="AL108" s="247" t="s">
        <v>206</v>
      </c>
      <c r="AM108" s="297"/>
      <c r="AN108" s="235">
        <f>SUM(R8,R29,R50,R71)</f>
        <v>101276.37319773184</v>
      </c>
      <c r="AO108" s="270">
        <f>SUM('1920 Band Calculations'!R8,'1920 Band Calculations'!R30,'1920 Band Calculations'!R52,'1920 Band Calculations'!R74)</f>
        <v>65180.497965256167</v>
      </c>
      <c r="AP108" s="270">
        <f t="shared" si="31"/>
        <v>36095.875232475672</v>
      </c>
      <c r="AQ108" s="1028"/>
      <c r="AR108" s="1030">
        <f>'2021 Funding Detail'!M6-'1920 Funding Detail'!M6</f>
        <v>3.9166666666666572</v>
      </c>
      <c r="AS108" s="1030">
        <f>'2021 Band Moderations'!R53</f>
        <v>1</v>
      </c>
      <c r="AT108" s="1030">
        <f t="shared" si="17"/>
        <v>2.9166666666666572</v>
      </c>
      <c r="AU108" s="36"/>
      <c r="AV108" s="36"/>
      <c r="AW108" s="36"/>
      <c r="AX108" s="36"/>
      <c r="AY108" s="36"/>
      <c r="AZ108" s="36"/>
      <c r="BA108" s="36"/>
      <c r="BB108" s="36"/>
      <c r="BC108" s="36"/>
      <c r="BD108" s="36"/>
    </row>
    <row r="109" spans="1:56" ht="13" x14ac:dyDescent="0.3">
      <c r="A109" s="244">
        <v>9257011</v>
      </c>
      <c r="B109" s="237" t="s">
        <v>210</v>
      </c>
      <c r="C109" s="238">
        <v>4</v>
      </c>
      <c r="D109" s="245" t="e">
        <f>#REF!</f>
        <v>#REF!</v>
      </c>
      <c r="E109" s="245" t="e">
        <f>#REF!</f>
        <v>#REF!</v>
      </c>
      <c r="F109" s="68" t="e">
        <f t="shared" si="18"/>
        <v>#REF!</v>
      </c>
      <c r="G109" s="245" t="e">
        <f>#REF!</f>
        <v>#REF!</v>
      </c>
      <c r="H109" s="245" t="e">
        <f>#REF!</f>
        <v>#REF!</v>
      </c>
      <c r="I109" s="68" t="e">
        <f t="shared" si="19"/>
        <v>#REF!</v>
      </c>
      <c r="J109" s="68" t="e">
        <f t="shared" si="20"/>
        <v>#REF!</v>
      </c>
      <c r="K109" s="245" t="e">
        <f>#REF!</f>
        <v>#REF!</v>
      </c>
      <c r="L109" s="245" t="e">
        <f>#REF!</f>
        <v>#REF!</v>
      </c>
      <c r="M109" s="68" t="e">
        <f t="shared" si="21"/>
        <v>#REF!</v>
      </c>
      <c r="N109" s="245" t="e">
        <f>#REF!</f>
        <v>#REF!</v>
      </c>
      <c r="O109" s="245" t="e">
        <f>#REF!</f>
        <v>#REF!</v>
      </c>
      <c r="P109" s="68" t="e">
        <f t="shared" si="22"/>
        <v>#REF!</v>
      </c>
      <c r="Q109" s="68" t="e">
        <f t="shared" si="23"/>
        <v>#REF!</v>
      </c>
      <c r="R109" s="68" t="e">
        <f t="shared" si="16"/>
        <v>#REF!</v>
      </c>
      <c r="S109" s="286" t="e">
        <f>(#REF!*(5/12))+(#REF!*(7/12))+(#REF!*(4/12))+(#REF!*(8/12))</f>
        <v>#REF!</v>
      </c>
      <c r="T109" s="245" t="e">
        <f t="shared" si="24"/>
        <v>#REF!</v>
      </c>
      <c r="U109" s="237"/>
      <c r="V109" s="245" t="e">
        <f>#REF!+#REF!</f>
        <v>#REF!</v>
      </c>
      <c r="W109" s="245" t="e">
        <f>#REF!+#REF!</f>
        <v>#REF!</v>
      </c>
      <c r="X109" s="245" t="e">
        <f t="shared" si="25"/>
        <v>#REF!</v>
      </c>
      <c r="Y109" s="245" t="e">
        <f>VLOOKUP(A109,'2223 Funding Detail'!$A$4:$AA$20,18,FALSE)</f>
        <v>#N/A</v>
      </c>
      <c r="Z109" s="245"/>
      <c r="AA109" s="245"/>
      <c r="AB109" s="245" t="e">
        <f t="shared" si="26"/>
        <v>#N/A</v>
      </c>
      <c r="AC109" s="245" t="e">
        <f>#REF!</f>
        <v>#REF!</v>
      </c>
      <c r="AD109" s="245" t="e">
        <f>#REF!</f>
        <v>#REF!</v>
      </c>
      <c r="AE109" s="245" t="e">
        <f t="shared" si="27"/>
        <v>#REF!</v>
      </c>
      <c r="AF109" s="245" t="e">
        <f>#REF!</f>
        <v>#REF!</v>
      </c>
      <c r="AG109" s="245" t="e">
        <f>#REF!</f>
        <v>#REF!</v>
      </c>
      <c r="AH109" s="245" t="e">
        <f t="shared" si="28"/>
        <v>#REF!</v>
      </c>
      <c r="AI109" s="245" t="e">
        <f t="shared" si="29"/>
        <v>#REF!</v>
      </c>
      <c r="AJ109" s="287"/>
      <c r="AK109" s="1029" t="e">
        <f t="shared" si="30"/>
        <v>#REF!</v>
      </c>
      <c r="AL109" s="247" t="s">
        <v>206</v>
      </c>
      <c r="AM109" s="297"/>
      <c r="AN109" s="235" t="e">
        <f>SUM(#REF!,#REF!,#REF!,#REF!)</f>
        <v>#REF!</v>
      </c>
      <c r="AO109" s="270">
        <f>SUM('1920 Band Calculations'!R9,'1920 Band Calculations'!R31,'1920 Band Calculations'!R53,'1920 Band Calculations'!R75)</f>
        <v>120750.20859926101</v>
      </c>
      <c r="AP109" s="270" t="e">
        <f t="shared" si="31"/>
        <v>#REF!</v>
      </c>
      <c r="AQ109" s="1028"/>
      <c r="AR109" s="1030">
        <f>'2021 Funding Detail'!M7-'1920 Funding Detail'!M7</f>
        <v>-1.1666666666666643</v>
      </c>
      <c r="AS109" s="1030">
        <f>'2021 Band Moderations'!R54</f>
        <v>0</v>
      </c>
      <c r="AT109" s="1030">
        <f t="shared" si="17"/>
        <v>-1.1666666666666643</v>
      </c>
      <c r="AU109" s="36"/>
      <c r="AV109" s="36"/>
      <c r="AW109" s="36"/>
      <c r="AX109" s="36"/>
      <c r="AY109" s="36"/>
      <c r="AZ109" s="36"/>
      <c r="BA109" s="36"/>
      <c r="BB109" s="36"/>
      <c r="BC109" s="36"/>
      <c r="BD109" s="36"/>
    </row>
    <row r="110" spans="1:56" ht="13" x14ac:dyDescent="0.3">
      <c r="A110" s="244">
        <v>9257024</v>
      </c>
      <c r="B110" s="237" t="s">
        <v>211</v>
      </c>
      <c r="C110" s="238">
        <v>3</v>
      </c>
      <c r="D110" s="245">
        <f t="shared" ref="D110:D123" si="32">L9</f>
        <v>336485.1834975293</v>
      </c>
      <c r="E110" s="245">
        <f t="shared" ref="E110:E123" si="33">L51</f>
        <v>497618.93334141659</v>
      </c>
      <c r="F110" s="68">
        <f t="shared" si="18"/>
        <v>834104.11683894589</v>
      </c>
      <c r="G110" s="245">
        <f t="shared" ref="G110:G123" si="34">L30</f>
        <v>49287.970540483162</v>
      </c>
      <c r="H110" s="245">
        <f t="shared" ref="H110:H123" si="35">L72</f>
        <v>98575.941080966324</v>
      </c>
      <c r="I110" s="68">
        <f t="shared" si="19"/>
        <v>147863.91162144949</v>
      </c>
      <c r="J110" s="68">
        <f t="shared" si="20"/>
        <v>981968.02846039541</v>
      </c>
      <c r="K110" s="245">
        <f t="shared" ref="K110:K123" si="36">M9</f>
        <v>0</v>
      </c>
      <c r="L110" s="245">
        <f t="shared" ref="L110:L123" si="37">M51</f>
        <v>0</v>
      </c>
      <c r="M110" s="68">
        <f t="shared" si="21"/>
        <v>0</v>
      </c>
      <c r="N110" s="245">
        <f t="shared" ref="N110:N123" si="38">M30</f>
        <v>0</v>
      </c>
      <c r="O110" s="245">
        <f t="shared" ref="O110:O123" si="39">M72</f>
        <v>0</v>
      </c>
      <c r="P110" s="68">
        <f t="shared" si="22"/>
        <v>0</v>
      </c>
      <c r="Q110" s="68">
        <f t="shared" si="23"/>
        <v>0</v>
      </c>
      <c r="R110" s="68">
        <f t="shared" si="16"/>
        <v>981968.02846039541</v>
      </c>
      <c r="S110" s="286">
        <f t="shared" ref="S110:S123" si="40">(K9*(5/12))+(K51*(7/12))+(K30*(4/12))+(K72*(8/12))</f>
        <v>86.333333333333343</v>
      </c>
      <c r="T110" s="245">
        <f t="shared" si="24"/>
        <v>11374.147047803806</v>
      </c>
      <c r="U110" s="237"/>
      <c r="V110" s="245">
        <f t="shared" ref="V110:V123" si="41">O9+O51</f>
        <v>733333.33333333337</v>
      </c>
      <c r="W110" s="245">
        <f t="shared" ref="W110:W123" si="42">O30+O72</f>
        <v>129999.99999999999</v>
      </c>
      <c r="X110" s="245">
        <f t="shared" si="25"/>
        <v>863333.33333333337</v>
      </c>
      <c r="Y110" s="245">
        <f>VLOOKUP(A110,'2223 Funding Detail'!$A$4:$AA$20,18,FALSE)</f>
        <v>1508358.1672773864</v>
      </c>
      <c r="Z110" s="245"/>
      <c r="AA110" s="245"/>
      <c r="AB110" s="245">
        <f t="shared" si="26"/>
        <v>645024.83394405304</v>
      </c>
      <c r="AC110" s="245">
        <f t="shared" ref="AC110:AC123" si="43">P9</f>
        <v>221026.84946924594</v>
      </c>
      <c r="AD110" s="245">
        <f t="shared" ref="AD110:AD123" si="44">P51</f>
        <v>326870.69287705381</v>
      </c>
      <c r="AE110" s="245">
        <f t="shared" si="27"/>
        <v>547897.54234629974</v>
      </c>
      <c r="AF110" s="245">
        <f t="shared" ref="AF110:AF123" si="45">P30</f>
        <v>32375.763865917717</v>
      </c>
      <c r="AG110" s="245">
        <f t="shared" ref="AG110:AG123" si="46">P72</f>
        <v>64751.527731835435</v>
      </c>
      <c r="AH110" s="245">
        <f t="shared" si="28"/>
        <v>97127.291597753152</v>
      </c>
      <c r="AI110" s="245">
        <f t="shared" si="29"/>
        <v>645024.83394405292</v>
      </c>
      <c r="AJ110" s="287"/>
      <c r="AK110" s="1029">
        <f t="shared" si="30"/>
        <v>1508358.1672773862</v>
      </c>
      <c r="AL110" s="247" t="s">
        <v>206</v>
      </c>
      <c r="AM110" s="297"/>
      <c r="AN110" s="235">
        <f t="shared" ref="AN110:AN123" si="47">SUM(R9,R30,R51,R72)</f>
        <v>121763.26047094856</v>
      </c>
      <c r="AO110" s="270">
        <f>SUM('1920 Band Calculations'!R10,'1920 Band Calculations'!R32,'1920 Band Calculations'!R54,'1920 Band Calculations'!R76)</f>
        <v>222610.83826613796</v>
      </c>
      <c r="AP110" s="270">
        <f t="shared" si="31"/>
        <v>-100847.5777951894</v>
      </c>
      <c r="AQ110" s="1028"/>
      <c r="AR110" s="1030">
        <f>'2021 Funding Detail'!M8-'1920 Funding Detail'!M8</f>
        <v>1.9999999999999858</v>
      </c>
      <c r="AS110" s="1030">
        <f>'2021 Band Moderations'!R55</f>
        <v>-2</v>
      </c>
      <c r="AT110" s="1030">
        <f t="shared" si="17"/>
        <v>3.9999999999999858</v>
      </c>
      <c r="AU110" s="36"/>
      <c r="AV110" s="36"/>
      <c r="AW110" s="36"/>
      <c r="AX110" s="36"/>
      <c r="AY110" s="36"/>
      <c r="AZ110" s="36"/>
      <c r="BA110" s="36"/>
      <c r="BB110" s="36"/>
      <c r="BC110" s="36"/>
      <c r="BD110" s="36"/>
    </row>
    <row r="111" spans="1:56" ht="13" x14ac:dyDescent="0.3">
      <c r="A111" s="244">
        <v>9257031</v>
      </c>
      <c r="B111" s="237" t="s">
        <v>257</v>
      </c>
      <c r="C111" s="238">
        <v>4</v>
      </c>
      <c r="D111" s="245">
        <f t="shared" si="32"/>
        <v>510058.90054183692</v>
      </c>
      <c r="E111" s="245">
        <f t="shared" si="33"/>
        <v>705266.62790970039</v>
      </c>
      <c r="F111" s="68">
        <f t="shared" si="18"/>
        <v>1215325.5284515372</v>
      </c>
      <c r="G111" s="245">
        <f t="shared" si="34"/>
        <v>0</v>
      </c>
      <c r="H111" s="245">
        <f t="shared" si="35"/>
        <v>0</v>
      </c>
      <c r="I111" s="68">
        <f t="shared" si="19"/>
        <v>0</v>
      </c>
      <c r="J111" s="68">
        <f t="shared" si="20"/>
        <v>1215325.5284515372</v>
      </c>
      <c r="K111" s="245">
        <f t="shared" si="36"/>
        <v>0</v>
      </c>
      <c r="L111" s="245">
        <f t="shared" si="37"/>
        <v>0</v>
      </c>
      <c r="M111" s="68">
        <f t="shared" si="21"/>
        <v>0</v>
      </c>
      <c r="N111" s="245">
        <f t="shared" si="38"/>
        <v>0</v>
      </c>
      <c r="O111" s="245">
        <f t="shared" si="39"/>
        <v>0</v>
      </c>
      <c r="P111" s="68">
        <f t="shared" si="22"/>
        <v>0</v>
      </c>
      <c r="Q111" s="68">
        <f t="shared" si="23"/>
        <v>0</v>
      </c>
      <c r="R111" s="68">
        <f t="shared" si="16"/>
        <v>1215325.5284515372</v>
      </c>
      <c r="S111" s="286">
        <f t="shared" si="40"/>
        <v>80.416666666666671</v>
      </c>
      <c r="T111" s="245">
        <f t="shared" si="24"/>
        <v>15112.856312350721</v>
      </c>
      <c r="U111" s="237"/>
      <c r="V111" s="245">
        <f t="shared" si="41"/>
        <v>804166.66666666674</v>
      </c>
      <c r="W111" s="245">
        <f t="shared" si="42"/>
        <v>0</v>
      </c>
      <c r="X111" s="245">
        <f t="shared" si="25"/>
        <v>804166.66666666674</v>
      </c>
      <c r="Y111" s="245">
        <f>VLOOKUP(A111,'2223 Funding Detail'!$A$4:$AA$20,18,FALSE)</f>
        <v>1725136.1284515373</v>
      </c>
      <c r="Z111" s="245"/>
      <c r="AA111" s="245"/>
      <c r="AB111" s="245">
        <f t="shared" si="26"/>
        <v>920969.4617848706</v>
      </c>
      <c r="AC111" s="245">
        <f t="shared" si="43"/>
        <v>386520.86219986796</v>
      </c>
      <c r="AD111" s="245">
        <f t="shared" si="44"/>
        <v>534448.59958500264</v>
      </c>
      <c r="AE111" s="245">
        <f t="shared" si="27"/>
        <v>920969.4617848706</v>
      </c>
      <c r="AF111" s="245">
        <f t="shared" si="45"/>
        <v>0</v>
      </c>
      <c r="AG111" s="245">
        <f t="shared" si="46"/>
        <v>0</v>
      </c>
      <c r="AH111" s="245">
        <f t="shared" si="28"/>
        <v>0</v>
      </c>
      <c r="AI111" s="245">
        <f t="shared" si="29"/>
        <v>920969.4617848706</v>
      </c>
      <c r="AJ111" s="287"/>
      <c r="AK111" s="1029">
        <f t="shared" si="30"/>
        <v>1725136.1284515373</v>
      </c>
      <c r="AL111" s="247" t="s">
        <v>206</v>
      </c>
      <c r="AM111" s="297"/>
      <c r="AN111" s="235">
        <f t="shared" si="47"/>
        <v>0</v>
      </c>
      <c r="AO111" s="270">
        <f>SUM('1920 Band Calculations'!R11,'1920 Band Calculations'!R33,'1920 Band Calculations'!R55,'1920 Band Calculations'!R77)</f>
        <v>0</v>
      </c>
      <c r="AP111" s="270">
        <f t="shared" si="31"/>
        <v>0</v>
      </c>
      <c r="AQ111" s="1028"/>
      <c r="AR111" s="1030">
        <f>'2021 Funding Detail'!M17-'1920 Funding Detail'!M17</f>
        <v>4.1666666666666714</v>
      </c>
      <c r="AS111" s="1030">
        <f>'2021 Band Moderations'!R56</f>
        <v>0</v>
      </c>
      <c r="AT111" s="1030">
        <f t="shared" si="17"/>
        <v>4.1666666666666714</v>
      </c>
      <c r="AU111" s="36"/>
      <c r="AV111" s="36"/>
      <c r="AW111" s="36"/>
      <c r="AX111" s="36"/>
      <c r="AY111" s="36"/>
      <c r="AZ111" s="36"/>
      <c r="BA111" s="36"/>
      <c r="BB111" s="36"/>
      <c r="BC111" s="36"/>
      <c r="BD111" s="36"/>
    </row>
    <row r="112" spans="1:56" ht="13" x14ac:dyDescent="0.3">
      <c r="A112" s="244">
        <v>9257033</v>
      </c>
      <c r="B112" s="237" t="s">
        <v>220</v>
      </c>
      <c r="C112" s="238">
        <v>3</v>
      </c>
      <c r="D112" s="245">
        <f t="shared" si="32"/>
        <v>383558.56916878762</v>
      </c>
      <c r="E112" s="245">
        <f t="shared" si="33"/>
        <v>613693.71067006013</v>
      </c>
      <c r="F112" s="68">
        <f t="shared" si="18"/>
        <v>997252.27983884769</v>
      </c>
      <c r="G112" s="245">
        <f t="shared" si="34"/>
        <v>0</v>
      </c>
      <c r="H112" s="245">
        <f t="shared" si="35"/>
        <v>0</v>
      </c>
      <c r="I112" s="68">
        <f t="shared" si="19"/>
        <v>0</v>
      </c>
      <c r="J112" s="68">
        <f t="shared" si="20"/>
        <v>997252.27983884769</v>
      </c>
      <c r="K112" s="245">
        <f t="shared" si="36"/>
        <v>0</v>
      </c>
      <c r="L112" s="245">
        <f t="shared" si="37"/>
        <v>0</v>
      </c>
      <c r="M112" s="68">
        <f t="shared" si="21"/>
        <v>0</v>
      </c>
      <c r="N112" s="245">
        <f t="shared" si="38"/>
        <v>0</v>
      </c>
      <c r="O112" s="245">
        <f t="shared" si="39"/>
        <v>0</v>
      </c>
      <c r="P112" s="68">
        <f t="shared" si="22"/>
        <v>0</v>
      </c>
      <c r="Q112" s="68">
        <f t="shared" si="23"/>
        <v>0</v>
      </c>
      <c r="R112" s="68">
        <f t="shared" si="16"/>
        <v>997252.27983884769</v>
      </c>
      <c r="S112" s="286">
        <f t="shared" si="40"/>
        <v>106.16666666666669</v>
      </c>
      <c r="T112" s="245">
        <f t="shared" si="24"/>
        <v>9393.271081684592</v>
      </c>
      <c r="U112" s="237"/>
      <c r="V112" s="245">
        <f t="shared" si="41"/>
        <v>1061666.6666666667</v>
      </c>
      <c r="W112" s="245">
        <f t="shared" si="42"/>
        <v>0</v>
      </c>
      <c r="X112" s="245">
        <f t="shared" si="25"/>
        <v>1061666.6666666667</v>
      </c>
      <c r="Y112" s="245">
        <f>VLOOKUP(A112,'2223 Funding Detail'!$A$4:$AA$20,18,FALSE)</f>
        <v>1522775.8798388478</v>
      </c>
      <c r="Z112" s="245"/>
      <c r="AA112" s="245"/>
      <c r="AB112" s="245">
        <f t="shared" si="26"/>
        <v>461109.21317218104</v>
      </c>
      <c r="AC112" s="245">
        <f t="shared" si="43"/>
        <v>177349.69737391575</v>
      </c>
      <c r="AD112" s="245">
        <f t="shared" si="44"/>
        <v>283759.51579826517</v>
      </c>
      <c r="AE112" s="245">
        <f t="shared" si="27"/>
        <v>461109.21317218093</v>
      </c>
      <c r="AF112" s="245">
        <f t="shared" si="45"/>
        <v>0</v>
      </c>
      <c r="AG112" s="245">
        <f t="shared" si="46"/>
        <v>0</v>
      </c>
      <c r="AH112" s="245">
        <f t="shared" si="28"/>
        <v>0</v>
      </c>
      <c r="AI112" s="245">
        <f t="shared" si="29"/>
        <v>461109.21317218093</v>
      </c>
      <c r="AJ112" s="287"/>
      <c r="AK112" s="1029">
        <f t="shared" si="30"/>
        <v>1522775.8798388476</v>
      </c>
      <c r="AL112" s="247" t="s">
        <v>206</v>
      </c>
      <c r="AM112" s="297"/>
      <c r="AN112" s="235">
        <f t="shared" si="47"/>
        <v>23292.251327325594</v>
      </c>
      <c r="AO112" s="270">
        <f>SUM('1920 Band Calculations'!R12,'1920 Band Calculations'!R34,'1920 Band Calculations'!R56,'1920 Band Calculations'!R78)</f>
        <v>0</v>
      </c>
      <c r="AP112" s="270">
        <f t="shared" si="31"/>
        <v>23292.251327325594</v>
      </c>
      <c r="AQ112" s="1028"/>
      <c r="AR112" s="1030">
        <f>'2021 Funding Detail'!M10-'1920 Funding Detail'!M10</f>
        <v>3.3333333333333428</v>
      </c>
      <c r="AS112" s="1030">
        <f>'2021 Band Moderations'!R57</f>
        <v>0</v>
      </c>
      <c r="AT112" s="1030">
        <f t="shared" si="17"/>
        <v>3.3333333333333428</v>
      </c>
      <c r="AU112" s="36"/>
      <c r="AV112" s="36"/>
      <c r="AW112" s="36"/>
      <c r="AX112" s="36"/>
      <c r="AY112" s="36"/>
      <c r="AZ112" s="36"/>
      <c r="BA112" s="36"/>
      <c r="BB112" s="36"/>
      <c r="BC112" s="36"/>
      <c r="BD112" s="36"/>
    </row>
    <row r="113" spans="1:56" ht="13" x14ac:dyDescent="0.3">
      <c r="A113" s="244">
        <v>9257008</v>
      </c>
      <c r="B113" s="237" t="s">
        <v>212</v>
      </c>
      <c r="C113" s="238">
        <v>4</v>
      </c>
      <c r="D113" s="245">
        <f t="shared" si="32"/>
        <v>393789.93722473265</v>
      </c>
      <c r="E113" s="245">
        <f t="shared" si="33"/>
        <v>562443.40528865857</v>
      </c>
      <c r="F113" s="68">
        <f t="shared" si="18"/>
        <v>956233.34251339128</v>
      </c>
      <c r="G113" s="245">
        <f t="shared" si="34"/>
        <v>0</v>
      </c>
      <c r="H113" s="245">
        <f t="shared" si="35"/>
        <v>0</v>
      </c>
      <c r="I113" s="68">
        <f t="shared" si="19"/>
        <v>0</v>
      </c>
      <c r="J113" s="68">
        <f t="shared" si="20"/>
        <v>956233.34251339128</v>
      </c>
      <c r="K113" s="245">
        <f t="shared" si="36"/>
        <v>0</v>
      </c>
      <c r="L113" s="245">
        <f t="shared" si="37"/>
        <v>0</v>
      </c>
      <c r="M113" s="68">
        <f t="shared" si="21"/>
        <v>0</v>
      </c>
      <c r="N113" s="245">
        <f t="shared" si="38"/>
        <v>0</v>
      </c>
      <c r="O113" s="245">
        <f t="shared" si="39"/>
        <v>0</v>
      </c>
      <c r="P113" s="68">
        <f t="shared" si="22"/>
        <v>0</v>
      </c>
      <c r="Q113" s="68">
        <f t="shared" si="23"/>
        <v>0</v>
      </c>
      <c r="R113" s="68">
        <f t="shared" si="16"/>
        <v>956233.34251339128</v>
      </c>
      <c r="S113" s="286">
        <f t="shared" si="40"/>
        <v>100.16666666666667</v>
      </c>
      <c r="T113" s="245">
        <f t="shared" si="24"/>
        <v>9546.4227205995794</v>
      </c>
      <c r="U113" s="237"/>
      <c r="V113" s="245">
        <f t="shared" si="41"/>
        <v>1001666.6666666667</v>
      </c>
      <c r="W113" s="245">
        <f t="shared" si="42"/>
        <v>0</v>
      </c>
      <c r="X113" s="245">
        <f t="shared" si="25"/>
        <v>1001666.6666666667</v>
      </c>
      <c r="Y113" s="245">
        <f>VLOOKUP(A113,'2223 Funding Detail'!$A$4:$AA$20,18,FALSE)</f>
        <v>1469555.1425133913</v>
      </c>
      <c r="Z113" s="245"/>
      <c r="AA113" s="245"/>
      <c r="AB113" s="245">
        <f t="shared" si="26"/>
        <v>467888.47584672458</v>
      </c>
      <c r="AC113" s="245">
        <f t="shared" si="43"/>
        <v>192682.85818979089</v>
      </c>
      <c r="AD113" s="245">
        <f t="shared" si="44"/>
        <v>275205.61765693367</v>
      </c>
      <c r="AE113" s="245">
        <f t="shared" si="27"/>
        <v>467888.47584672458</v>
      </c>
      <c r="AF113" s="245">
        <f t="shared" si="45"/>
        <v>0</v>
      </c>
      <c r="AG113" s="245">
        <f t="shared" si="46"/>
        <v>0</v>
      </c>
      <c r="AH113" s="245">
        <f t="shared" si="28"/>
        <v>0</v>
      </c>
      <c r="AI113" s="245">
        <f t="shared" si="29"/>
        <v>467888.47584672458</v>
      </c>
      <c r="AJ113" s="287"/>
      <c r="AK113" s="1029">
        <f t="shared" si="30"/>
        <v>1469555.1425133913</v>
      </c>
      <c r="AL113" s="247" t="s">
        <v>206</v>
      </c>
      <c r="AM113" s="297"/>
      <c r="AN113" s="235">
        <f t="shared" si="47"/>
        <v>0</v>
      </c>
      <c r="AO113" s="270">
        <f>SUM('1920 Band Calculations'!R13,'1920 Band Calculations'!R35,'1920 Band Calculations'!R57,'1920 Band Calculations'!R79)</f>
        <v>0</v>
      </c>
      <c r="AP113" s="270">
        <f t="shared" si="31"/>
        <v>0</v>
      </c>
      <c r="AQ113" s="1028"/>
      <c r="AR113" s="1030">
        <f>'2021 Funding Detail'!M9-'1920 Funding Detail'!M9</f>
        <v>1.75</v>
      </c>
      <c r="AS113" s="1030">
        <f>'2021 Band Moderations'!R58</f>
        <v>0</v>
      </c>
      <c r="AT113" s="1030">
        <f t="shared" si="17"/>
        <v>1.75</v>
      </c>
      <c r="AU113" s="36"/>
      <c r="AV113" s="36"/>
      <c r="AW113" s="36"/>
      <c r="AX113" s="36"/>
      <c r="AY113" s="36"/>
      <c r="AZ113" s="36"/>
      <c r="BA113" s="36"/>
      <c r="BB113" s="36"/>
      <c r="BC113" s="36"/>
      <c r="BD113" s="36"/>
    </row>
    <row r="114" spans="1:56" ht="13" x14ac:dyDescent="0.3">
      <c r="A114" s="244">
        <v>9257034</v>
      </c>
      <c r="B114" s="237" t="s">
        <v>221</v>
      </c>
      <c r="C114" s="238">
        <v>5</v>
      </c>
      <c r="D114" s="245">
        <f t="shared" si="32"/>
        <v>330876.38918571518</v>
      </c>
      <c r="E114" s="245">
        <f t="shared" si="33"/>
        <v>494810.600191365</v>
      </c>
      <c r="F114" s="68">
        <f t="shared" si="18"/>
        <v>825686.98937708023</v>
      </c>
      <c r="G114" s="245">
        <f t="shared" si="34"/>
        <v>96254.949581298948</v>
      </c>
      <c r="H114" s="245">
        <f t="shared" si="35"/>
        <v>180478.03046493558</v>
      </c>
      <c r="I114" s="68">
        <f t="shared" si="19"/>
        <v>276732.98004623456</v>
      </c>
      <c r="J114" s="68">
        <f t="shared" si="20"/>
        <v>1102419.9694233148</v>
      </c>
      <c r="K114" s="245">
        <f t="shared" si="36"/>
        <v>0</v>
      </c>
      <c r="L114" s="245">
        <f t="shared" si="37"/>
        <v>0</v>
      </c>
      <c r="M114" s="68">
        <f t="shared" si="21"/>
        <v>0</v>
      </c>
      <c r="N114" s="245">
        <f t="shared" si="38"/>
        <v>0</v>
      </c>
      <c r="O114" s="245">
        <f t="shared" si="39"/>
        <v>0</v>
      </c>
      <c r="P114" s="68">
        <f t="shared" si="22"/>
        <v>0</v>
      </c>
      <c r="Q114" s="68">
        <f t="shared" si="23"/>
        <v>0</v>
      </c>
      <c r="R114" s="68">
        <f t="shared" si="16"/>
        <v>1102419.9694233148</v>
      </c>
      <c r="S114" s="286">
        <f t="shared" si="40"/>
        <v>122.16666666666667</v>
      </c>
      <c r="T114" s="245">
        <f t="shared" si="24"/>
        <v>9023.9015232467791</v>
      </c>
      <c r="U114" s="237"/>
      <c r="V114" s="245">
        <f t="shared" si="41"/>
        <v>915000</v>
      </c>
      <c r="W114" s="245">
        <f t="shared" si="42"/>
        <v>306666.66666666663</v>
      </c>
      <c r="X114" s="245">
        <f t="shared" si="25"/>
        <v>1221666.6666666665</v>
      </c>
      <c r="Y114" s="245">
        <f>VLOOKUP(A114,'2223 Funding Detail'!$A$4:$AA$20,18,FALSE)</f>
        <v>1706163.7038650778</v>
      </c>
      <c r="Z114" s="245"/>
      <c r="AA114" s="245"/>
      <c r="AB114" s="245">
        <f t="shared" si="26"/>
        <v>484497.0371984113</v>
      </c>
      <c r="AC114" s="245">
        <f t="shared" si="43"/>
        <v>145415.20898178779</v>
      </c>
      <c r="AD114" s="245">
        <f t="shared" si="44"/>
        <v>217461.83525003714</v>
      </c>
      <c r="AE114" s="245">
        <f t="shared" si="27"/>
        <v>362877.04423182493</v>
      </c>
      <c r="AF114" s="245">
        <f t="shared" si="45"/>
        <v>42302.60624924735</v>
      </c>
      <c r="AG114" s="245">
        <f t="shared" si="46"/>
        <v>79317.386717338784</v>
      </c>
      <c r="AH114" s="245">
        <f t="shared" si="28"/>
        <v>121619.99296658614</v>
      </c>
      <c r="AI114" s="245">
        <f t="shared" si="29"/>
        <v>484497.03719841107</v>
      </c>
      <c r="AJ114" s="287"/>
      <c r="AK114" s="1029">
        <f t="shared" si="30"/>
        <v>1706163.7038650778</v>
      </c>
      <c r="AL114" s="247" t="s">
        <v>206</v>
      </c>
      <c r="AM114" s="297"/>
      <c r="AN114" s="235">
        <f t="shared" si="47"/>
        <v>26802.543521082673</v>
      </c>
      <c r="AO114" s="270">
        <f>SUM('1920 Band Calculations'!R14,'1920 Band Calculations'!R36,'1920 Band Calculations'!R58,'1920 Band Calculations'!R80)</f>
        <v>23434.031478687801</v>
      </c>
      <c r="AP114" s="270">
        <f t="shared" si="31"/>
        <v>3368.512042394872</v>
      </c>
      <c r="AQ114" s="1028"/>
      <c r="AR114" s="1030">
        <f>'2021 Funding Detail'!M23-'1920 Funding Detail'!M23</f>
        <v>7.8333333333333144</v>
      </c>
      <c r="AS114" s="1030">
        <f>'2021 Band Moderations'!R59</f>
        <v>0</v>
      </c>
      <c r="AT114" s="1030">
        <f t="shared" si="17"/>
        <v>7.8333333333333144</v>
      </c>
      <c r="AU114" s="36"/>
      <c r="AV114" s="36"/>
      <c r="AW114" s="36"/>
      <c r="AX114" s="36"/>
      <c r="AY114" s="36"/>
      <c r="AZ114" s="36"/>
      <c r="BA114" s="36"/>
      <c r="BB114" s="36"/>
      <c r="BC114" s="36"/>
      <c r="BD114" s="36"/>
    </row>
    <row r="115" spans="1:56" ht="13" x14ac:dyDescent="0.3">
      <c r="A115" s="244">
        <v>9257002</v>
      </c>
      <c r="B115" s="237" t="s">
        <v>213</v>
      </c>
      <c r="C115" s="238">
        <v>5</v>
      </c>
      <c r="D115" s="245">
        <f t="shared" si="32"/>
        <v>600098.1494541727</v>
      </c>
      <c r="E115" s="245">
        <f t="shared" si="33"/>
        <v>884648.00045363477</v>
      </c>
      <c r="F115" s="68">
        <f t="shared" si="18"/>
        <v>1484746.1499078074</v>
      </c>
      <c r="G115" s="245">
        <f t="shared" si="34"/>
        <v>0</v>
      </c>
      <c r="H115" s="245">
        <f t="shared" si="35"/>
        <v>0</v>
      </c>
      <c r="I115" s="68">
        <f t="shared" si="19"/>
        <v>0</v>
      </c>
      <c r="J115" s="68">
        <f t="shared" si="20"/>
        <v>1484746.1499078074</v>
      </c>
      <c r="K115" s="245">
        <f t="shared" si="36"/>
        <v>0</v>
      </c>
      <c r="L115" s="245">
        <f t="shared" si="37"/>
        <v>0</v>
      </c>
      <c r="M115" s="68">
        <f t="shared" si="21"/>
        <v>0</v>
      </c>
      <c r="N115" s="245">
        <f t="shared" si="38"/>
        <v>0</v>
      </c>
      <c r="O115" s="245">
        <f t="shared" si="39"/>
        <v>0</v>
      </c>
      <c r="P115" s="68">
        <f t="shared" si="22"/>
        <v>0</v>
      </c>
      <c r="Q115" s="68">
        <f t="shared" si="23"/>
        <v>0</v>
      </c>
      <c r="R115" s="68">
        <f t="shared" si="16"/>
        <v>1484746.1499078074</v>
      </c>
      <c r="S115" s="286">
        <f t="shared" si="40"/>
        <v>155.66666666666669</v>
      </c>
      <c r="T115" s="245">
        <f t="shared" si="24"/>
        <v>9537.9838323841996</v>
      </c>
      <c r="U115" s="237"/>
      <c r="V115" s="245">
        <f t="shared" si="41"/>
        <v>1556666.6666666667</v>
      </c>
      <c r="W115" s="245">
        <f t="shared" si="42"/>
        <v>0</v>
      </c>
      <c r="X115" s="245">
        <f t="shared" si="25"/>
        <v>1556666.6666666667</v>
      </c>
      <c r="Y115" s="245">
        <f>VLOOKUP(A115,'2223 Funding Detail'!$A$4:$AA$20,18,FALSE)</f>
        <v>2091647.4499078074</v>
      </c>
      <c r="Z115" s="245"/>
      <c r="AA115" s="245"/>
      <c r="AB115" s="245">
        <f t="shared" si="26"/>
        <v>534980.78324114066</v>
      </c>
      <c r="AC115" s="245">
        <f t="shared" si="43"/>
        <v>216226.17309799846</v>
      </c>
      <c r="AD115" s="245">
        <f t="shared" si="44"/>
        <v>318754.61014314211</v>
      </c>
      <c r="AE115" s="245">
        <f t="shared" si="27"/>
        <v>534980.78324114054</v>
      </c>
      <c r="AF115" s="245">
        <f t="shared" si="45"/>
        <v>0</v>
      </c>
      <c r="AG115" s="245">
        <f t="shared" si="46"/>
        <v>0</v>
      </c>
      <c r="AH115" s="245">
        <f t="shared" si="28"/>
        <v>0</v>
      </c>
      <c r="AI115" s="245">
        <f t="shared" si="29"/>
        <v>534980.78324114054</v>
      </c>
      <c r="AJ115" s="287"/>
      <c r="AK115" s="1029">
        <f t="shared" si="30"/>
        <v>2091647.4499078072</v>
      </c>
      <c r="AL115" s="247" t="s">
        <v>206</v>
      </c>
      <c r="AM115" s="297"/>
      <c r="AN115" s="235">
        <f t="shared" si="47"/>
        <v>49509.25533678184</v>
      </c>
      <c r="AO115" s="270">
        <f>SUM('1920 Band Calculations'!R15,'1920 Band Calculations'!R37,'1920 Band Calculations'!R59,'1920 Band Calculations'!R81)</f>
        <v>22603.948241494982</v>
      </c>
      <c r="AP115" s="270">
        <f t="shared" si="31"/>
        <v>26905.307095286858</v>
      </c>
      <c r="AQ115" s="1028"/>
      <c r="AR115" s="1030">
        <f>'2021 Funding Detail'!M10-'1920 Funding Detail'!M10</f>
        <v>3.3333333333333428</v>
      </c>
      <c r="AS115" s="1030">
        <f>'2021 Band Moderations'!R60</f>
        <v>1</v>
      </c>
      <c r="AT115" s="1030">
        <f t="shared" si="17"/>
        <v>2.3333333333333428</v>
      </c>
      <c r="AU115" s="36"/>
      <c r="AV115" s="36"/>
      <c r="AW115" s="36"/>
      <c r="AX115" s="36"/>
      <c r="AY115" s="36"/>
      <c r="AZ115" s="36"/>
      <c r="BA115" s="36"/>
      <c r="BB115" s="36"/>
      <c r="BC115" s="36"/>
      <c r="BD115" s="36"/>
    </row>
    <row r="116" spans="1:56" ht="13" x14ac:dyDescent="0.3">
      <c r="A116" s="244">
        <v>9257009</v>
      </c>
      <c r="B116" s="237" t="s">
        <v>214</v>
      </c>
      <c r="C116" s="238">
        <v>4</v>
      </c>
      <c r="D116" s="245">
        <f t="shared" si="32"/>
        <v>794259.90960403963</v>
      </c>
      <c r="E116" s="245">
        <f t="shared" si="33"/>
        <v>1141855.3754200011</v>
      </c>
      <c r="F116" s="68">
        <f t="shared" si="18"/>
        <v>1936115.2850240408</v>
      </c>
      <c r="G116" s="245">
        <f t="shared" si="34"/>
        <v>27329.373233687384</v>
      </c>
      <c r="H116" s="245">
        <f t="shared" si="35"/>
        <v>75155.776392640313</v>
      </c>
      <c r="I116" s="68">
        <f t="shared" si="19"/>
        <v>102485.14962632769</v>
      </c>
      <c r="J116" s="68">
        <f t="shared" si="20"/>
        <v>2038600.4346503685</v>
      </c>
      <c r="K116" s="245">
        <f t="shared" si="36"/>
        <v>0</v>
      </c>
      <c r="L116" s="245">
        <f t="shared" si="37"/>
        <v>0</v>
      </c>
      <c r="M116" s="68">
        <f t="shared" si="21"/>
        <v>0</v>
      </c>
      <c r="N116" s="245">
        <f t="shared" si="38"/>
        <v>0</v>
      </c>
      <c r="O116" s="245">
        <f t="shared" si="39"/>
        <v>0</v>
      </c>
      <c r="P116" s="68">
        <f t="shared" si="22"/>
        <v>0</v>
      </c>
      <c r="Q116" s="68">
        <f t="shared" si="23"/>
        <v>0</v>
      </c>
      <c r="R116" s="68">
        <f t="shared" si="16"/>
        <v>2038600.4346503685</v>
      </c>
      <c r="S116" s="286">
        <f t="shared" si="40"/>
        <v>198.91666666666669</v>
      </c>
      <c r="T116" s="245">
        <f t="shared" si="24"/>
        <v>10248.514962632769</v>
      </c>
      <c r="U116" s="237"/>
      <c r="V116" s="245">
        <f t="shared" si="41"/>
        <v>1889166.6666666667</v>
      </c>
      <c r="W116" s="245">
        <f t="shared" si="42"/>
        <v>100000</v>
      </c>
      <c r="X116" s="245">
        <f t="shared" si="25"/>
        <v>1989166.6666666667</v>
      </c>
      <c r="Y116" s="245">
        <f>VLOOKUP(A116,'2223 Funding Detail'!$A$4:$AA$20,18,FALSE)</f>
        <v>2800568.4583898229</v>
      </c>
      <c r="Z116" s="245"/>
      <c r="AA116" s="245"/>
      <c r="AB116" s="245">
        <f t="shared" si="26"/>
        <v>811401.79172315612</v>
      </c>
      <c r="AC116" s="245">
        <f t="shared" si="43"/>
        <v>316130.56820382696</v>
      </c>
      <c r="AD116" s="245">
        <f t="shared" si="44"/>
        <v>454480.18246077048</v>
      </c>
      <c r="AE116" s="245">
        <f t="shared" si="27"/>
        <v>770610.75066459738</v>
      </c>
      <c r="AF116" s="245">
        <f t="shared" si="45"/>
        <v>10877.610948948883</v>
      </c>
      <c r="AG116" s="245">
        <f t="shared" si="46"/>
        <v>29913.430109609428</v>
      </c>
      <c r="AH116" s="245">
        <f t="shared" si="28"/>
        <v>40791.041058558309</v>
      </c>
      <c r="AI116" s="245">
        <f t="shared" si="29"/>
        <v>811401.79172315565</v>
      </c>
      <c r="AJ116" s="287"/>
      <c r="AK116" s="1029">
        <f t="shared" si="30"/>
        <v>2800568.4583898229</v>
      </c>
      <c r="AL116" s="247" t="s">
        <v>206</v>
      </c>
      <c r="AM116" s="297"/>
      <c r="AN116" s="235">
        <f t="shared" si="47"/>
        <v>224893.22423236337</v>
      </c>
      <c r="AO116" s="270">
        <f>SUM('1920 Band Calculations'!R16,'1920 Band Calculations'!R38,'1920 Band Calculations'!R60,'1920 Band Calculations'!R82)</f>
        <v>0</v>
      </c>
      <c r="AP116" s="270">
        <f t="shared" si="31"/>
        <v>224893.22423236337</v>
      </c>
      <c r="AQ116" s="1028"/>
      <c r="AR116" s="1030">
        <f>'2021 Funding Detail'!M11-'1920 Funding Detail'!M11</f>
        <v>1.4166666666666572</v>
      </c>
      <c r="AS116" s="1030">
        <f>'2021 Band Moderations'!R61</f>
        <v>0</v>
      </c>
      <c r="AT116" s="1030">
        <f t="shared" si="17"/>
        <v>1.4166666666666572</v>
      </c>
      <c r="AU116" s="36"/>
      <c r="AV116" s="36"/>
      <c r="AW116" s="36"/>
      <c r="AX116" s="36"/>
      <c r="AY116" s="36"/>
      <c r="AZ116" s="36"/>
      <c r="BA116" s="36"/>
      <c r="BB116" s="36"/>
      <c r="BC116" s="36"/>
      <c r="BD116" s="36"/>
    </row>
    <row r="117" spans="1:56" ht="13" x14ac:dyDescent="0.3">
      <c r="A117" s="244">
        <v>9257029</v>
      </c>
      <c r="B117" s="237" t="s">
        <v>890</v>
      </c>
      <c r="C117" s="238">
        <v>3</v>
      </c>
      <c r="D117" s="245">
        <f t="shared" si="32"/>
        <v>491167.83015139849</v>
      </c>
      <c r="E117" s="245">
        <f t="shared" si="33"/>
        <v>696450.79506082926</v>
      </c>
      <c r="F117" s="68">
        <f t="shared" si="18"/>
        <v>1187618.6252122277</v>
      </c>
      <c r="G117" s="245">
        <f t="shared" si="34"/>
        <v>0</v>
      </c>
      <c r="H117" s="245">
        <f t="shared" si="35"/>
        <v>0</v>
      </c>
      <c r="I117" s="68">
        <f t="shared" si="19"/>
        <v>0</v>
      </c>
      <c r="J117" s="68">
        <f t="shared" si="20"/>
        <v>1187618.6252122277</v>
      </c>
      <c r="K117" s="245">
        <f t="shared" si="36"/>
        <v>0</v>
      </c>
      <c r="L117" s="245">
        <f t="shared" si="37"/>
        <v>0</v>
      </c>
      <c r="M117" s="68">
        <f t="shared" si="21"/>
        <v>0</v>
      </c>
      <c r="N117" s="245">
        <f t="shared" si="38"/>
        <v>0</v>
      </c>
      <c r="O117" s="245">
        <f t="shared" si="39"/>
        <v>0</v>
      </c>
      <c r="P117" s="68">
        <f t="shared" si="22"/>
        <v>0</v>
      </c>
      <c r="Q117" s="68">
        <f t="shared" si="23"/>
        <v>0</v>
      </c>
      <c r="R117" s="68">
        <f t="shared" si="16"/>
        <v>1187618.6252122277</v>
      </c>
      <c r="S117" s="286">
        <f t="shared" si="40"/>
        <v>78.583333333333343</v>
      </c>
      <c r="T117" s="245">
        <f t="shared" si="24"/>
        <v>15112.856312350721</v>
      </c>
      <c r="U117" s="237"/>
      <c r="V117" s="245">
        <f t="shared" si="41"/>
        <v>785833.33333333337</v>
      </c>
      <c r="W117" s="245">
        <f t="shared" si="42"/>
        <v>0</v>
      </c>
      <c r="X117" s="245">
        <f t="shared" si="25"/>
        <v>785833.33333333337</v>
      </c>
      <c r="Y117" s="245">
        <f>VLOOKUP(A117,'2223 Funding Detail'!$A$4:$AA$20,18,FALSE)</f>
        <v>1674461.2252122278</v>
      </c>
      <c r="Z117" s="245"/>
      <c r="AA117" s="245"/>
      <c r="AB117" s="245">
        <f t="shared" si="26"/>
        <v>888627.89187889441</v>
      </c>
      <c r="AC117" s="245">
        <f t="shared" si="43"/>
        <v>367513.1260156614</v>
      </c>
      <c r="AD117" s="245">
        <f t="shared" si="44"/>
        <v>521114.76586323278</v>
      </c>
      <c r="AE117" s="245">
        <f t="shared" si="27"/>
        <v>888627.89187889418</v>
      </c>
      <c r="AF117" s="245">
        <f t="shared" si="45"/>
        <v>0</v>
      </c>
      <c r="AG117" s="245">
        <f t="shared" si="46"/>
        <v>0</v>
      </c>
      <c r="AH117" s="245">
        <f t="shared" si="28"/>
        <v>0</v>
      </c>
      <c r="AI117" s="245">
        <f t="shared" si="29"/>
        <v>888627.89187889418</v>
      </c>
      <c r="AJ117" s="287"/>
      <c r="AK117" s="1029">
        <f t="shared" si="30"/>
        <v>1674461.2252122276</v>
      </c>
      <c r="AL117" s="247" t="s">
        <v>206</v>
      </c>
      <c r="AM117" s="297"/>
      <c r="AN117" s="235">
        <f t="shared" si="47"/>
        <v>0</v>
      </c>
      <c r="AO117" s="270">
        <f>SUM('1920 Band Calculations'!R17,'1920 Band Calculations'!R39,'1920 Band Calculations'!R61,'1920 Band Calculations'!R83)</f>
        <v>0</v>
      </c>
      <c r="AP117" s="270">
        <f t="shared" si="31"/>
        <v>0</v>
      </c>
      <c r="AQ117" s="1028"/>
      <c r="AR117" s="1030">
        <f>'2021 Funding Detail'!M18-'1920 Funding Detail'!M18</f>
        <v>12.416666666666664</v>
      </c>
      <c r="AS117" s="1030">
        <f>'2021 Band Moderations'!R62</f>
        <v>0</v>
      </c>
      <c r="AT117" s="1030">
        <f t="shared" si="17"/>
        <v>12.416666666666664</v>
      </c>
      <c r="AU117" s="36"/>
      <c r="AV117" s="36"/>
      <c r="AW117" s="36"/>
      <c r="AX117" s="36"/>
      <c r="AY117" s="36"/>
      <c r="AZ117" s="36"/>
      <c r="BA117" s="36"/>
      <c r="BB117" s="36"/>
      <c r="BC117" s="36"/>
      <c r="BD117" s="36"/>
    </row>
    <row r="118" spans="1:56" ht="13" x14ac:dyDescent="0.3">
      <c r="A118" s="244">
        <v>9257032</v>
      </c>
      <c r="B118" s="237" t="s">
        <v>1043</v>
      </c>
      <c r="C118" s="238">
        <v>4</v>
      </c>
      <c r="D118" s="245">
        <f t="shared" si="32"/>
        <v>654890.44020186469</v>
      </c>
      <c r="E118" s="245">
        <f t="shared" si="33"/>
        <v>916846.61628261057</v>
      </c>
      <c r="F118" s="68">
        <f t="shared" si="18"/>
        <v>1571737.0564844753</v>
      </c>
      <c r="G118" s="245">
        <f t="shared" si="34"/>
        <v>0</v>
      </c>
      <c r="H118" s="245">
        <f t="shared" si="35"/>
        <v>0</v>
      </c>
      <c r="I118" s="68">
        <f t="shared" si="19"/>
        <v>0</v>
      </c>
      <c r="J118" s="68">
        <f t="shared" si="20"/>
        <v>1571737.0564844753</v>
      </c>
      <c r="K118" s="245">
        <f t="shared" si="36"/>
        <v>0</v>
      </c>
      <c r="L118" s="245">
        <f t="shared" si="37"/>
        <v>0</v>
      </c>
      <c r="M118" s="68">
        <f t="shared" si="21"/>
        <v>0</v>
      </c>
      <c r="N118" s="245">
        <f t="shared" si="38"/>
        <v>0</v>
      </c>
      <c r="O118" s="245">
        <f t="shared" si="39"/>
        <v>0</v>
      </c>
      <c r="P118" s="68">
        <f t="shared" si="22"/>
        <v>0</v>
      </c>
      <c r="Q118" s="68">
        <f t="shared" si="23"/>
        <v>0</v>
      </c>
      <c r="R118" s="68">
        <f t="shared" si="16"/>
        <v>1571737.0564844753</v>
      </c>
      <c r="S118" s="286">
        <f t="shared" si="40"/>
        <v>104</v>
      </c>
      <c r="T118" s="245">
        <f t="shared" si="24"/>
        <v>15112.856312350723</v>
      </c>
      <c r="U118" s="237"/>
      <c r="V118" s="245">
        <f t="shared" si="41"/>
        <v>1040000.0000000001</v>
      </c>
      <c r="W118" s="245">
        <f t="shared" si="42"/>
        <v>0</v>
      </c>
      <c r="X118" s="245">
        <f t="shared" si="25"/>
        <v>1040000.0000000001</v>
      </c>
      <c r="Y118" s="245">
        <f>VLOOKUP(A118,'2223 Funding Detail'!$A$4:$AA$20,18,FALSE)</f>
        <v>2065619.1564844754</v>
      </c>
      <c r="Z118" s="245"/>
      <c r="AA118" s="245"/>
      <c r="AB118" s="245">
        <f t="shared" si="26"/>
        <v>1025619.1564844752</v>
      </c>
      <c r="AC118" s="245">
        <f t="shared" si="43"/>
        <v>427341.31520186481</v>
      </c>
      <c r="AD118" s="245">
        <f t="shared" si="44"/>
        <v>598277.84128261067</v>
      </c>
      <c r="AE118" s="245">
        <f t="shared" si="27"/>
        <v>1025619.1564844755</v>
      </c>
      <c r="AF118" s="245">
        <f t="shared" si="45"/>
        <v>0</v>
      </c>
      <c r="AG118" s="245">
        <f t="shared" si="46"/>
        <v>0</v>
      </c>
      <c r="AH118" s="245">
        <f t="shared" si="28"/>
        <v>0</v>
      </c>
      <c r="AI118" s="245">
        <f t="shared" si="29"/>
        <v>1025619.1564844755</v>
      </c>
      <c r="AJ118" s="287"/>
      <c r="AK118" s="1029">
        <f t="shared" si="30"/>
        <v>2065619.1564844756</v>
      </c>
      <c r="AL118" s="247" t="s">
        <v>206</v>
      </c>
      <c r="AM118" s="297"/>
      <c r="AN118" s="235">
        <f t="shared" si="47"/>
        <v>0</v>
      </c>
      <c r="AO118" s="270">
        <f>SUM('1920 Band Calculations'!R18,'1920 Band Calculations'!R40,'1920 Band Calculations'!R62,'1920 Band Calculations'!R84)</f>
        <v>0</v>
      </c>
      <c r="AP118" s="270">
        <f t="shared" si="31"/>
        <v>0</v>
      </c>
      <c r="AQ118" s="1028"/>
      <c r="AR118" s="1030">
        <f>'2021 Funding Detail'!M19-'1920 Funding Detail'!M19</f>
        <v>6</v>
      </c>
      <c r="AS118" s="1030">
        <f>'2021 Band Moderations'!R63</f>
        <v>0</v>
      </c>
      <c r="AT118" s="1030">
        <f t="shared" si="17"/>
        <v>6</v>
      </c>
      <c r="AU118" s="36"/>
      <c r="AV118" s="36"/>
      <c r="AW118" s="36"/>
      <c r="AX118" s="36"/>
      <c r="AY118" s="36"/>
      <c r="AZ118" s="36"/>
      <c r="BA118" s="36"/>
      <c r="BB118" s="36"/>
      <c r="BC118" s="36"/>
      <c r="BD118" s="36"/>
    </row>
    <row r="119" spans="1:56" ht="13" x14ac:dyDescent="0.3">
      <c r="A119" s="244">
        <v>9257030</v>
      </c>
      <c r="B119" s="237" t="s">
        <v>1046</v>
      </c>
      <c r="C119" s="238">
        <v>4</v>
      </c>
      <c r="D119" s="245">
        <f t="shared" si="32"/>
        <v>453385.68937052169</v>
      </c>
      <c r="E119" s="245">
        <f t="shared" si="33"/>
        <v>617108.29942098784</v>
      </c>
      <c r="F119" s="68">
        <f t="shared" si="18"/>
        <v>1070493.9887915095</v>
      </c>
      <c r="G119" s="245">
        <f t="shared" si="34"/>
        <v>0</v>
      </c>
      <c r="H119" s="245">
        <f t="shared" si="35"/>
        <v>0</v>
      </c>
      <c r="I119" s="68">
        <f t="shared" si="19"/>
        <v>0</v>
      </c>
      <c r="J119" s="68">
        <f t="shared" si="20"/>
        <v>1070493.9887915095</v>
      </c>
      <c r="K119" s="245">
        <f t="shared" si="36"/>
        <v>0</v>
      </c>
      <c r="L119" s="245">
        <f t="shared" si="37"/>
        <v>0</v>
      </c>
      <c r="M119" s="68">
        <f t="shared" si="21"/>
        <v>0</v>
      </c>
      <c r="N119" s="245">
        <f t="shared" si="38"/>
        <v>0</v>
      </c>
      <c r="O119" s="245">
        <f t="shared" si="39"/>
        <v>0</v>
      </c>
      <c r="P119" s="68">
        <f t="shared" si="22"/>
        <v>0</v>
      </c>
      <c r="Q119" s="68">
        <f t="shared" si="23"/>
        <v>0</v>
      </c>
      <c r="R119" s="68">
        <f t="shared" si="16"/>
        <v>1070493.9887915095</v>
      </c>
      <c r="S119" s="286">
        <f t="shared" si="40"/>
        <v>70.833333333333343</v>
      </c>
      <c r="T119" s="245">
        <f t="shared" si="24"/>
        <v>15112.856312350721</v>
      </c>
      <c r="U119" s="237"/>
      <c r="V119" s="245">
        <f t="shared" si="41"/>
        <v>708333.33333333337</v>
      </c>
      <c r="W119" s="245">
        <f t="shared" si="42"/>
        <v>0</v>
      </c>
      <c r="X119" s="245">
        <f t="shared" si="25"/>
        <v>708333.33333333337</v>
      </c>
      <c r="Y119" s="245">
        <f>VLOOKUP(A119,'2223 Funding Detail'!$A$4:$AA$20,18,FALSE)</f>
        <v>1561650.1251847411</v>
      </c>
      <c r="Z119" s="245"/>
      <c r="AA119" s="245"/>
      <c r="AB119" s="245">
        <f t="shared" si="26"/>
        <v>853316.79185140773</v>
      </c>
      <c r="AC119" s="245">
        <f t="shared" si="43"/>
        <v>361404.75890177267</v>
      </c>
      <c r="AD119" s="245">
        <f t="shared" si="44"/>
        <v>491912.03294963489</v>
      </c>
      <c r="AE119" s="245">
        <f t="shared" si="27"/>
        <v>853316.79185140762</v>
      </c>
      <c r="AF119" s="245">
        <f t="shared" si="45"/>
        <v>0</v>
      </c>
      <c r="AG119" s="245">
        <f t="shared" si="46"/>
        <v>0</v>
      </c>
      <c r="AH119" s="245">
        <f t="shared" si="28"/>
        <v>0</v>
      </c>
      <c r="AI119" s="245">
        <f t="shared" si="29"/>
        <v>853316.79185140762</v>
      </c>
      <c r="AJ119" s="287"/>
      <c r="AK119" s="1029">
        <f t="shared" si="30"/>
        <v>1561650.1251847409</v>
      </c>
      <c r="AL119" s="247" t="s">
        <v>206</v>
      </c>
      <c r="AM119" s="297"/>
      <c r="AN119" s="235">
        <f t="shared" si="47"/>
        <v>0</v>
      </c>
      <c r="AO119" s="270">
        <f>SUM('1920 Band Calculations'!R19,'1920 Band Calculations'!R41,'1920 Band Calculations'!R63,'1920 Band Calculations'!R85)</f>
        <v>0</v>
      </c>
      <c r="AP119" s="270">
        <f t="shared" si="31"/>
        <v>0</v>
      </c>
      <c r="AQ119" s="1028"/>
      <c r="AR119" s="1030">
        <f>'2021 Funding Detail'!M20-'1920 Funding Detail'!M20</f>
        <v>2.25</v>
      </c>
      <c r="AS119" s="1030">
        <f>'2021 Band Moderations'!R64</f>
        <v>0</v>
      </c>
      <c r="AT119" s="1030">
        <f t="shared" si="17"/>
        <v>2.25</v>
      </c>
      <c r="AU119" s="36"/>
      <c r="AV119" s="36"/>
      <c r="AW119" s="36"/>
      <c r="AX119" s="36"/>
      <c r="AY119" s="36"/>
      <c r="AZ119" s="36"/>
      <c r="BA119" s="36"/>
      <c r="BB119" s="36"/>
      <c r="BC119" s="36"/>
      <c r="BD119" s="36"/>
    </row>
    <row r="120" spans="1:56" ht="13" x14ac:dyDescent="0.3">
      <c r="A120" s="244">
        <v>9257028</v>
      </c>
      <c r="B120" s="237" t="s">
        <v>215</v>
      </c>
      <c r="C120" s="238">
        <v>5</v>
      </c>
      <c r="D120" s="245">
        <f t="shared" si="32"/>
        <v>596696.89775664592</v>
      </c>
      <c r="E120" s="245">
        <f t="shared" si="33"/>
        <v>899635.32277155854</v>
      </c>
      <c r="F120" s="68">
        <f t="shared" si="18"/>
        <v>1496332.2205282045</v>
      </c>
      <c r="G120" s="245">
        <f t="shared" si="34"/>
        <v>20399.893940398149</v>
      </c>
      <c r="H120" s="245">
        <f t="shared" si="35"/>
        <v>73439.618185433341</v>
      </c>
      <c r="I120" s="68">
        <f t="shared" si="19"/>
        <v>93839.51212583149</v>
      </c>
      <c r="J120" s="68">
        <f t="shared" si="20"/>
        <v>1590171.732654036</v>
      </c>
      <c r="K120" s="245">
        <f t="shared" si="36"/>
        <v>0</v>
      </c>
      <c r="L120" s="245">
        <f t="shared" si="37"/>
        <v>0</v>
      </c>
      <c r="M120" s="68">
        <f t="shared" si="21"/>
        <v>0</v>
      </c>
      <c r="N120" s="245">
        <f t="shared" si="38"/>
        <v>0</v>
      </c>
      <c r="O120" s="245">
        <f t="shared" si="39"/>
        <v>0</v>
      </c>
      <c r="P120" s="68">
        <f t="shared" si="22"/>
        <v>0</v>
      </c>
      <c r="Q120" s="68">
        <f t="shared" si="23"/>
        <v>0</v>
      </c>
      <c r="R120" s="68">
        <f t="shared" si="16"/>
        <v>1590171.732654036</v>
      </c>
      <c r="S120" s="286">
        <f t="shared" si="40"/>
        <v>129.91666666666669</v>
      </c>
      <c r="T120" s="245">
        <f t="shared" si="24"/>
        <v>12239.936364238891</v>
      </c>
      <c r="U120" s="237"/>
      <c r="V120" s="245">
        <f t="shared" si="41"/>
        <v>1222500</v>
      </c>
      <c r="W120" s="245">
        <f t="shared" si="42"/>
        <v>76666.666666666657</v>
      </c>
      <c r="X120" s="245">
        <f t="shared" si="25"/>
        <v>1299166.6666666667</v>
      </c>
      <c r="Y120" s="245">
        <f>VLOOKUP(A120,'2223 Funding Detail'!$A$4:$AA$20,18,FALSE)</f>
        <v>2243653.5326540358</v>
      </c>
      <c r="Z120" s="245"/>
      <c r="AA120" s="245"/>
      <c r="AB120" s="245">
        <f t="shared" si="26"/>
        <v>944486.86598736909</v>
      </c>
      <c r="AC120" s="245">
        <f t="shared" si="43"/>
        <v>354409.76048916666</v>
      </c>
      <c r="AD120" s="245">
        <f t="shared" si="44"/>
        <v>534340.86966058973</v>
      </c>
      <c r="AE120" s="245">
        <f t="shared" si="27"/>
        <v>888750.63014975633</v>
      </c>
      <c r="AF120" s="245">
        <f t="shared" si="45"/>
        <v>12116.573008176638</v>
      </c>
      <c r="AG120" s="245">
        <f t="shared" si="46"/>
        <v>43619.662829435896</v>
      </c>
      <c r="AH120" s="245">
        <f t="shared" si="28"/>
        <v>55736.235837612534</v>
      </c>
      <c r="AI120" s="245">
        <f t="shared" si="29"/>
        <v>944486.86598736886</v>
      </c>
      <c r="AJ120" s="287"/>
      <c r="AK120" s="1029">
        <f t="shared" si="30"/>
        <v>2243653.5326540358</v>
      </c>
      <c r="AL120" s="247" t="s">
        <v>206</v>
      </c>
      <c r="AM120" s="297"/>
      <c r="AN120" s="235">
        <f t="shared" si="47"/>
        <v>388021.87319279567</v>
      </c>
      <c r="AO120" s="270">
        <f>SUM('1920 Band Calculations'!R20,'1920 Band Calculations'!R42,'1920 Band Calculations'!R64,'1920 Band Calculations'!R86)</f>
        <v>261776.17157900496</v>
      </c>
      <c r="AP120" s="270">
        <f t="shared" si="31"/>
        <v>126245.7016137907</v>
      </c>
      <c r="AQ120" s="1028"/>
      <c r="AR120" s="1030">
        <f>'2021 Funding Detail'!M12-'1920 Funding Detail'!M12</f>
        <v>9.9166666666666572</v>
      </c>
      <c r="AS120" s="1030">
        <f>'2021 Band Moderations'!R65</f>
        <v>0</v>
      </c>
      <c r="AT120" s="1030">
        <f t="shared" si="17"/>
        <v>9.9166666666666572</v>
      </c>
      <c r="AU120" s="36"/>
      <c r="AV120" s="36"/>
      <c r="AW120" s="36"/>
      <c r="AX120" s="36"/>
      <c r="AY120" s="36"/>
      <c r="AZ120" s="36"/>
      <c r="BA120" s="36"/>
      <c r="BB120" s="36"/>
      <c r="BC120" s="36"/>
      <c r="BD120" s="36"/>
    </row>
    <row r="121" spans="1:56" ht="13" x14ac:dyDescent="0.3">
      <c r="A121" s="244">
        <v>9257021</v>
      </c>
      <c r="B121" s="237" t="s">
        <v>216</v>
      </c>
      <c r="C121" s="238">
        <v>5</v>
      </c>
      <c r="D121" s="245">
        <f t="shared" si="32"/>
        <v>677446.98594264616</v>
      </c>
      <c r="E121" s="245">
        <f t="shared" si="33"/>
        <v>998933.66211187816</v>
      </c>
      <c r="F121" s="68">
        <f t="shared" si="18"/>
        <v>1676380.6480545243</v>
      </c>
      <c r="G121" s="245">
        <f t="shared" si="34"/>
        <v>0</v>
      </c>
      <c r="H121" s="245">
        <f t="shared" si="35"/>
        <v>0</v>
      </c>
      <c r="I121" s="68">
        <f t="shared" si="19"/>
        <v>0</v>
      </c>
      <c r="J121" s="68">
        <f t="shared" si="20"/>
        <v>1676380.6480545243</v>
      </c>
      <c r="K121" s="245">
        <f t="shared" si="36"/>
        <v>0</v>
      </c>
      <c r="L121" s="245">
        <f t="shared" si="37"/>
        <v>0</v>
      </c>
      <c r="M121" s="68">
        <f t="shared" si="21"/>
        <v>0</v>
      </c>
      <c r="N121" s="245">
        <f t="shared" si="38"/>
        <v>0</v>
      </c>
      <c r="O121" s="245">
        <f t="shared" si="39"/>
        <v>0</v>
      </c>
      <c r="P121" s="68">
        <f t="shared" si="22"/>
        <v>0</v>
      </c>
      <c r="Q121" s="68">
        <f t="shared" si="23"/>
        <v>0</v>
      </c>
      <c r="R121" s="68">
        <f t="shared" si="16"/>
        <v>1676380.6480545243</v>
      </c>
      <c r="S121" s="286">
        <f t="shared" si="40"/>
        <v>174.25</v>
      </c>
      <c r="T121" s="245">
        <f t="shared" si="24"/>
        <v>9620.548912794975</v>
      </c>
      <c r="U121" s="237"/>
      <c r="V121" s="245">
        <f t="shared" si="41"/>
        <v>1742500</v>
      </c>
      <c r="W121" s="245">
        <f t="shared" si="42"/>
        <v>0</v>
      </c>
      <c r="X121" s="245">
        <f t="shared" si="25"/>
        <v>1742500</v>
      </c>
      <c r="Y121" s="245">
        <f>VLOOKUP(A121,'2223 Funding Detail'!$A$4:$AA$20,18,FALSE)</f>
        <v>2343002.8480545245</v>
      </c>
      <c r="Z121" s="245"/>
      <c r="AA121" s="245"/>
      <c r="AB121" s="245">
        <f t="shared" si="26"/>
        <v>600502.84805452451</v>
      </c>
      <c r="AC121" s="245">
        <f t="shared" si="43"/>
        <v>242670.92616263661</v>
      </c>
      <c r="AD121" s="245">
        <f t="shared" si="44"/>
        <v>357831.92189188785</v>
      </c>
      <c r="AE121" s="245">
        <f t="shared" si="27"/>
        <v>600502.84805452451</v>
      </c>
      <c r="AF121" s="245">
        <f t="shared" si="45"/>
        <v>0</v>
      </c>
      <c r="AG121" s="245">
        <f t="shared" si="46"/>
        <v>0</v>
      </c>
      <c r="AH121" s="245">
        <f t="shared" si="28"/>
        <v>0</v>
      </c>
      <c r="AI121" s="245">
        <f t="shared" si="29"/>
        <v>600502.84805452451</v>
      </c>
      <c r="AJ121" s="287"/>
      <c r="AK121" s="1029">
        <f t="shared" si="30"/>
        <v>2343002.8480545245</v>
      </c>
      <c r="AL121" s="247" t="s">
        <v>206</v>
      </c>
      <c r="AM121" s="297"/>
      <c r="AN121" s="235">
        <f t="shared" si="47"/>
        <v>48289.611691750295</v>
      </c>
      <c r="AO121" s="270">
        <f>SUM('1920 Band Calculations'!R21,'1920 Band Calculations'!R43,'1920 Band Calculations'!R65,'1920 Band Calculations'!R87)</f>
        <v>22107.42859712529</v>
      </c>
      <c r="AP121" s="270">
        <f t="shared" si="31"/>
        <v>26182.183094625005</v>
      </c>
      <c r="AQ121" s="1028"/>
      <c r="AR121" s="1030">
        <f>'2021 Funding Detail'!M13-'1920 Funding Detail'!M13</f>
        <v>5.25</v>
      </c>
      <c r="AS121" s="1030">
        <f>'2021 Band Moderations'!R66</f>
        <v>1</v>
      </c>
      <c r="AT121" s="1030">
        <f t="shared" si="17"/>
        <v>4.25</v>
      </c>
      <c r="AU121" s="36"/>
      <c r="AV121" s="36"/>
      <c r="AW121" s="36"/>
      <c r="AX121" s="36"/>
      <c r="AY121" s="36"/>
      <c r="AZ121" s="36"/>
      <c r="BA121" s="36"/>
      <c r="BB121" s="36"/>
      <c r="BC121" s="36"/>
      <c r="BD121" s="36"/>
    </row>
    <row r="122" spans="1:56" ht="13" x14ac:dyDescent="0.3">
      <c r="A122" s="244">
        <v>9257015</v>
      </c>
      <c r="B122" s="237" t="s">
        <v>217</v>
      </c>
      <c r="C122" s="238">
        <v>6</v>
      </c>
      <c r="D122" s="245">
        <f t="shared" si="32"/>
        <v>913523.01683981321</v>
      </c>
      <c r="E122" s="245">
        <f t="shared" si="33"/>
        <v>1198640.5144723291</v>
      </c>
      <c r="F122" s="68">
        <f t="shared" si="18"/>
        <v>2112163.5313121425</v>
      </c>
      <c r="G122" s="245">
        <f t="shared" si="34"/>
        <v>9831.6378493970897</v>
      </c>
      <c r="H122" s="245">
        <f t="shared" si="35"/>
        <v>104870.8037269023</v>
      </c>
      <c r="I122" s="68">
        <f t="shared" si="19"/>
        <v>114702.44157629939</v>
      </c>
      <c r="J122" s="68">
        <f t="shared" si="20"/>
        <v>2226865.9728884418</v>
      </c>
      <c r="K122" s="245">
        <f t="shared" si="36"/>
        <v>0</v>
      </c>
      <c r="L122" s="245">
        <f t="shared" si="37"/>
        <v>0</v>
      </c>
      <c r="M122" s="68">
        <f t="shared" si="21"/>
        <v>0</v>
      </c>
      <c r="N122" s="245">
        <f t="shared" si="38"/>
        <v>0</v>
      </c>
      <c r="O122" s="245">
        <f t="shared" si="39"/>
        <v>0</v>
      </c>
      <c r="P122" s="68">
        <f t="shared" si="22"/>
        <v>0</v>
      </c>
      <c r="Q122" s="68">
        <f t="shared" si="23"/>
        <v>0</v>
      </c>
      <c r="R122" s="68">
        <f t="shared" si="16"/>
        <v>2226865.9728884418</v>
      </c>
      <c r="S122" s="286">
        <f t="shared" si="40"/>
        <v>226.5</v>
      </c>
      <c r="T122" s="245">
        <f t="shared" si="24"/>
        <v>9831.6378493970933</v>
      </c>
      <c r="U122" s="237"/>
      <c r="V122" s="245">
        <f t="shared" si="41"/>
        <v>2148333.3333333335</v>
      </c>
      <c r="W122" s="245">
        <f t="shared" si="42"/>
        <v>116666.66666666666</v>
      </c>
      <c r="X122" s="245">
        <f t="shared" si="25"/>
        <v>2265000</v>
      </c>
      <c r="Y122" s="245">
        <f>VLOOKUP(A122,'2223 Funding Detail'!$A$4:$AA$20,18,FALSE)</f>
        <v>3007764.8728884417</v>
      </c>
      <c r="Z122" s="245"/>
      <c r="AA122" s="245"/>
      <c r="AB122" s="245">
        <f t="shared" si="26"/>
        <v>742764.87288844166</v>
      </c>
      <c r="AC122" s="245">
        <f t="shared" si="43"/>
        <v>304703.02916505228</v>
      </c>
      <c r="AD122" s="245">
        <f t="shared" si="44"/>
        <v>399803.1674156696</v>
      </c>
      <c r="AE122" s="245">
        <f t="shared" si="27"/>
        <v>704506.19658072188</v>
      </c>
      <c r="AF122" s="245">
        <f t="shared" si="45"/>
        <v>3279.3151120902494</v>
      </c>
      <c r="AG122" s="245">
        <f t="shared" si="46"/>
        <v>34979.361195629324</v>
      </c>
      <c r="AH122" s="245">
        <f t="shared" si="28"/>
        <v>38258.676307719572</v>
      </c>
      <c r="AI122" s="245">
        <f t="shared" si="29"/>
        <v>742764.87288844143</v>
      </c>
      <c r="AJ122" s="287"/>
      <c r="AK122" s="1029">
        <f t="shared" si="30"/>
        <v>3007764.8728884417</v>
      </c>
      <c r="AL122" s="247" t="s">
        <v>206</v>
      </c>
      <c r="AM122" s="297"/>
      <c r="AN122" s="235">
        <f t="shared" si="47"/>
        <v>47704.870913158658</v>
      </c>
      <c r="AO122" s="270">
        <f>SUM('1920 Band Calculations'!R22,'1920 Band Calculations'!R44,'1920 Band Calculations'!R66,'1920 Band Calculations'!R88)</f>
        <v>45215.482530625093</v>
      </c>
      <c r="AP122" s="270">
        <f t="shared" si="31"/>
        <v>2489.3883825335652</v>
      </c>
      <c r="AQ122" s="1028"/>
      <c r="AR122" s="1030">
        <f>'2021 Funding Detail'!M14-'1920 Funding Detail'!M14</f>
        <v>-4.5833333333333144</v>
      </c>
      <c r="AS122" s="1030">
        <f>'2021 Band Moderations'!R67</f>
        <v>1</v>
      </c>
      <c r="AT122" s="1030">
        <f t="shared" si="17"/>
        <v>-5.5833333333333144</v>
      </c>
      <c r="AU122" s="36"/>
      <c r="AV122" s="36"/>
      <c r="AW122" s="36"/>
      <c r="AX122" s="36"/>
      <c r="AY122" s="36"/>
      <c r="AZ122" s="36"/>
      <c r="BA122" s="36"/>
      <c r="BB122" s="36"/>
      <c r="BC122" s="36"/>
      <c r="BD122" s="36"/>
    </row>
    <row r="123" spans="1:56" ht="13" x14ac:dyDescent="0.3">
      <c r="A123" s="244">
        <v>9257016</v>
      </c>
      <c r="B123" s="237" t="s">
        <v>219</v>
      </c>
      <c r="C123" s="238">
        <v>6</v>
      </c>
      <c r="D123" s="245">
        <f t="shared" si="32"/>
        <v>628418.54811585671</v>
      </c>
      <c r="E123" s="245">
        <f t="shared" si="33"/>
        <v>938438.36518634588</v>
      </c>
      <c r="F123" s="68">
        <f t="shared" si="18"/>
        <v>1566856.9133022027</v>
      </c>
      <c r="G123" s="245">
        <f t="shared" si="34"/>
        <v>282489.09972446121</v>
      </c>
      <c r="H123" s="245">
        <f t="shared" si="35"/>
        <v>517098.69102104765</v>
      </c>
      <c r="I123" s="68">
        <f t="shared" si="19"/>
        <v>799587.79074550886</v>
      </c>
      <c r="J123" s="68">
        <f>F123+I123</f>
        <v>2366444.7040477116</v>
      </c>
      <c r="K123" s="245">
        <f t="shared" si="36"/>
        <v>0</v>
      </c>
      <c r="L123" s="245">
        <f t="shared" si="37"/>
        <v>0</v>
      </c>
      <c r="M123" s="68">
        <f t="shared" si="21"/>
        <v>0</v>
      </c>
      <c r="N123" s="245">
        <f t="shared" si="38"/>
        <v>0</v>
      </c>
      <c r="O123" s="245">
        <f t="shared" si="39"/>
        <v>0</v>
      </c>
      <c r="P123" s="68">
        <f t="shared" si="22"/>
        <v>0</v>
      </c>
      <c r="Q123" s="68">
        <f t="shared" si="23"/>
        <v>0</v>
      </c>
      <c r="R123" s="68">
        <f t="shared" si="16"/>
        <v>2366444.7040477116</v>
      </c>
      <c r="S123" s="286">
        <f t="shared" si="40"/>
        <v>164.75</v>
      </c>
      <c r="T123" s="245">
        <f t="shared" si="24"/>
        <v>14363.852528362437</v>
      </c>
      <c r="U123" s="237"/>
      <c r="V123" s="245">
        <f t="shared" si="41"/>
        <v>1090833.3333333335</v>
      </c>
      <c r="W123" s="245">
        <f t="shared" si="42"/>
        <v>556666.66666666663</v>
      </c>
      <c r="X123" s="245">
        <f t="shared" si="25"/>
        <v>1647500</v>
      </c>
      <c r="Y123" s="245">
        <f>VLOOKUP(A123,'2223 Funding Detail'!$A$4:$AA$20,18,FALSE)</f>
        <v>3135141.8040477117</v>
      </c>
      <c r="Z123" s="245"/>
      <c r="AA123" s="245"/>
      <c r="AB123" s="245">
        <f t="shared" si="26"/>
        <v>1487641.8040477117</v>
      </c>
      <c r="AC123" s="245">
        <f t="shared" si="43"/>
        <v>395049.03749370179</v>
      </c>
      <c r="AD123" s="245">
        <f t="shared" si="44"/>
        <v>589939.89599059464</v>
      </c>
      <c r="AE123" s="245">
        <f t="shared" si="27"/>
        <v>984988.93348429643</v>
      </c>
      <c r="AF123" s="245">
        <f t="shared" si="45"/>
        <v>177583.9482828831</v>
      </c>
      <c r="AG123" s="245">
        <f t="shared" si="46"/>
        <v>325068.92228053173</v>
      </c>
      <c r="AH123" s="245">
        <f t="shared" si="28"/>
        <v>502652.87056341482</v>
      </c>
      <c r="AI123" s="245">
        <f t="shared" si="29"/>
        <v>1487641.8040477112</v>
      </c>
      <c r="AJ123" s="287"/>
      <c r="AK123" s="1029">
        <f t="shared" si="30"/>
        <v>3135141.8040477112</v>
      </c>
      <c r="AL123" s="247" t="s">
        <v>206</v>
      </c>
      <c r="AM123" s="297"/>
      <c r="AN123" s="235">
        <f t="shared" si="47"/>
        <v>838210.12849815481</v>
      </c>
      <c r="AO123" s="270">
        <f>SUM('1920 Band Calculations'!R23,'1920 Band Calculations'!R45,'1920 Band Calculations'!R67,'1920 Band Calculations'!R89)</f>
        <v>794222.80929219606</v>
      </c>
      <c r="AP123" s="270">
        <f t="shared" si="31"/>
        <v>43987.319205958745</v>
      </c>
      <c r="AQ123" s="1028"/>
      <c r="AR123" s="1030">
        <f>'2021 Funding Detail'!M15-'1920 Funding Detail'!M15</f>
        <v>11.916666666666657</v>
      </c>
      <c r="AS123" s="1030">
        <f>'2021 Band Moderations'!R68</f>
        <v>-1</v>
      </c>
      <c r="AT123" s="1030">
        <f>AR123-AS123</f>
        <v>12.916666666666657</v>
      </c>
      <c r="AU123" s="36"/>
      <c r="AV123" s="36"/>
      <c r="AW123" s="36"/>
      <c r="AX123" s="36"/>
      <c r="AY123" s="36"/>
      <c r="AZ123" s="36"/>
      <c r="BA123" s="36"/>
      <c r="BB123" s="36"/>
      <c r="BC123" s="36"/>
      <c r="BD123" s="36"/>
    </row>
    <row r="124" spans="1:56" x14ac:dyDescent="0.25">
      <c r="A124" s="36"/>
      <c r="B124" s="36"/>
      <c r="C124" s="36"/>
      <c r="D124" s="36"/>
      <c r="E124" s="36"/>
      <c r="F124" s="234"/>
      <c r="G124" s="234"/>
      <c r="H124" s="36"/>
      <c r="I124" s="36"/>
      <c r="J124" s="36"/>
      <c r="K124" s="36"/>
      <c r="L124" s="36"/>
      <c r="M124" s="36"/>
      <c r="N124" s="36"/>
      <c r="O124" s="36"/>
      <c r="P124" s="36"/>
      <c r="Q124" s="36"/>
      <c r="R124" s="234"/>
      <c r="S124" s="288"/>
      <c r="T124" s="36"/>
      <c r="U124" s="36"/>
      <c r="V124" s="36"/>
      <c r="W124" s="36"/>
      <c r="X124" s="36"/>
      <c r="Y124" s="36"/>
      <c r="Z124" s="36"/>
      <c r="AA124" s="36"/>
      <c r="AB124" s="36"/>
      <c r="AC124" s="36"/>
      <c r="AD124" s="36"/>
      <c r="AE124" s="36"/>
      <c r="AF124" s="36"/>
      <c r="AG124" s="36"/>
      <c r="AH124" s="36"/>
      <c r="AI124" s="36"/>
      <c r="AJ124" s="36"/>
      <c r="AK124" s="36"/>
      <c r="AL124" s="36"/>
      <c r="AM124" s="36"/>
      <c r="AN124" s="234"/>
      <c r="AO124" s="270"/>
      <c r="AP124" s="1028"/>
      <c r="AQ124" s="1028"/>
      <c r="AR124" s="1028"/>
      <c r="AS124" s="1028"/>
      <c r="AT124" s="1028"/>
      <c r="AU124" s="36"/>
      <c r="AV124" s="36"/>
      <c r="AW124" s="36"/>
      <c r="AX124" s="36"/>
      <c r="AY124" s="36"/>
      <c r="AZ124" s="36"/>
      <c r="BA124" s="36"/>
      <c r="BB124" s="36"/>
      <c r="BC124" s="36"/>
      <c r="BD124" s="36"/>
    </row>
    <row r="125" spans="1:56" ht="13" thickBot="1" x14ac:dyDescent="0.3">
      <c r="A125" s="36"/>
      <c r="B125" s="36"/>
      <c r="C125" s="36"/>
      <c r="D125" s="250" t="e">
        <f t="shared" ref="D125:P125" si="48">SUM(D106:D123)</f>
        <v>#REF!</v>
      </c>
      <c r="E125" s="250" t="e">
        <f t="shared" si="48"/>
        <v>#REF!</v>
      </c>
      <c r="F125" s="250" t="e">
        <f t="shared" si="48"/>
        <v>#REF!</v>
      </c>
      <c r="G125" s="250" t="e">
        <f t="shared" si="48"/>
        <v>#REF!</v>
      </c>
      <c r="H125" s="250" t="e">
        <f t="shared" si="48"/>
        <v>#REF!</v>
      </c>
      <c r="I125" s="250" t="e">
        <f t="shared" si="48"/>
        <v>#REF!</v>
      </c>
      <c r="J125" s="250" t="e">
        <f>SUM(J106:J123)</f>
        <v>#REF!</v>
      </c>
      <c r="K125" s="250" t="e">
        <f t="shared" si="48"/>
        <v>#REF!</v>
      </c>
      <c r="L125" s="250" t="e">
        <f t="shared" si="48"/>
        <v>#REF!</v>
      </c>
      <c r="M125" s="250" t="e">
        <f t="shared" si="48"/>
        <v>#REF!</v>
      </c>
      <c r="N125" s="250" t="e">
        <f t="shared" si="48"/>
        <v>#REF!</v>
      </c>
      <c r="O125" s="250" t="e">
        <f t="shared" si="48"/>
        <v>#REF!</v>
      </c>
      <c r="P125" s="250" t="e">
        <f t="shared" si="48"/>
        <v>#REF!</v>
      </c>
      <c r="Q125" s="250" t="e">
        <f>SUM(Q106:Q123)</f>
        <v>#REF!</v>
      </c>
      <c r="R125" s="250" t="e">
        <f>SUM(R106:R123)</f>
        <v>#REF!</v>
      </c>
      <c r="S125" s="1031" t="e">
        <f>SUM(S106:S123)</f>
        <v>#REF!</v>
      </c>
      <c r="T125" s="250" t="e">
        <f>AVERAGE(T106:T123)</f>
        <v>#REF!</v>
      </c>
      <c r="U125" s="36"/>
      <c r="V125" s="1032" t="e">
        <f>SUM(V106:V123)</f>
        <v>#REF!</v>
      </c>
      <c r="W125" s="1032" t="e">
        <f t="shared" ref="W125:AK125" si="49">SUM(W106:W123)</f>
        <v>#REF!</v>
      </c>
      <c r="X125" s="1033" t="e">
        <f t="shared" si="49"/>
        <v>#REF!</v>
      </c>
      <c r="Y125" s="1033" t="e">
        <f t="shared" si="49"/>
        <v>#N/A</v>
      </c>
      <c r="Z125" s="1033">
        <f t="shared" si="49"/>
        <v>0</v>
      </c>
      <c r="AA125" s="1033">
        <f t="shared" si="49"/>
        <v>0</v>
      </c>
      <c r="AB125" s="1033" t="e">
        <f t="shared" si="49"/>
        <v>#N/A</v>
      </c>
      <c r="AC125" s="1033" t="e">
        <f t="shared" si="49"/>
        <v>#REF!</v>
      </c>
      <c r="AD125" s="1033" t="e">
        <f t="shared" si="49"/>
        <v>#REF!</v>
      </c>
      <c r="AE125" s="1033" t="e">
        <f t="shared" si="49"/>
        <v>#REF!</v>
      </c>
      <c r="AF125" s="1033" t="e">
        <f t="shared" si="49"/>
        <v>#REF!</v>
      </c>
      <c r="AG125" s="1033" t="e">
        <f t="shared" si="49"/>
        <v>#REF!</v>
      </c>
      <c r="AH125" s="1033" t="e">
        <f t="shared" si="49"/>
        <v>#REF!</v>
      </c>
      <c r="AI125" s="1033" t="e">
        <f t="shared" si="49"/>
        <v>#REF!</v>
      </c>
      <c r="AJ125" s="1034"/>
      <c r="AK125" s="1033" t="e">
        <f t="shared" si="49"/>
        <v>#REF!</v>
      </c>
      <c r="AL125" s="296" t="s">
        <v>206</v>
      </c>
      <c r="AM125" s="36"/>
      <c r="AN125" s="235" t="e">
        <f>SUM(AN106:AN124)</f>
        <v>#REF!</v>
      </c>
      <c r="AO125" s="270">
        <f>SUM(AO106:AO124)</f>
        <v>1866352.7961942179</v>
      </c>
      <c r="AP125" s="270" t="e">
        <f>SUM(AP106:AP124)</f>
        <v>#REF!</v>
      </c>
      <c r="AQ125" s="1028"/>
      <c r="AR125" s="1028"/>
      <c r="AS125" s="1028"/>
      <c r="AT125" s="1028"/>
      <c r="AU125" s="36"/>
      <c r="AV125" s="36"/>
      <c r="AW125" s="36"/>
      <c r="AX125" s="36"/>
      <c r="AY125" s="36"/>
      <c r="AZ125" s="36"/>
      <c r="BA125" s="36"/>
      <c r="BB125" s="36"/>
      <c r="BC125" s="36"/>
      <c r="BD125" s="36"/>
    </row>
    <row r="126" spans="1:56" x14ac:dyDescent="0.25">
      <c r="A126" s="36"/>
      <c r="B126" s="36"/>
      <c r="C126" s="36"/>
      <c r="D126" s="36"/>
      <c r="E126" s="36"/>
      <c r="F126" s="234"/>
      <c r="G126" s="234"/>
      <c r="H126" s="36"/>
      <c r="I126" s="36"/>
      <c r="J126" s="36"/>
      <c r="K126" s="36"/>
      <c r="L126" s="36"/>
      <c r="M126" s="36"/>
      <c r="N126" s="36"/>
      <c r="O126" s="36"/>
      <c r="P126" s="36"/>
      <c r="Q126" s="36"/>
      <c r="R126" s="234"/>
      <c r="S126" s="288"/>
      <c r="T126" s="36"/>
      <c r="U126" s="36"/>
      <c r="V126" s="36"/>
      <c r="W126" s="36"/>
      <c r="X126" s="36"/>
      <c r="Y126" s="36"/>
      <c r="Z126" s="36"/>
      <c r="AA126" s="36"/>
      <c r="AB126" s="36"/>
      <c r="AC126" s="36"/>
      <c r="AD126" s="36"/>
      <c r="AE126" s="36"/>
      <c r="AF126" s="36"/>
      <c r="AG126" s="36"/>
      <c r="AH126" s="36"/>
      <c r="AI126" s="36"/>
      <c r="AJ126" s="36"/>
      <c r="AK126" s="36"/>
      <c r="AL126" s="36"/>
      <c r="AM126" s="36"/>
      <c r="AN126" s="36"/>
      <c r="AO126" s="1028"/>
      <c r="AP126" s="1028"/>
      <c r="AQ126" s="1028"/>
      <c r="AR126" s="1028"/>
      <c r="AS126" s="1028"/>
      <c r="AT126" s="1028"/>
      <c r="AU126" s="36"/>
      <c r="AV126" s="36"/>
      <c r="AW126" s="36"/>
      <c r="AX126" s="234"/>
      <c r="AY126" s="234"/>
      <c r="AZ126" s="36"/>
      <c r="BA126" s="36"/>
      <c r="BB126" s="234"/>
      <c r="BC126" s="234"/>
      <c r="BD126" s="234"/>
    </row>
    <row r="127" spans="1:56" x14ac:dyDescent="0.25">
      <c r="A127" s="36"/>
      <c r="B127" s="36"/>
      <c r="C127" s="36"/>
      <c r="D127" s="381" t="s">
        <v>206</v>
      </c>
      <c r="E127" s="381" t="s">
        <v>206</v>
      </c>
      <c r="F127" s="381" t="s">
        <v>206</v>
      </c>
      <c r="G127" s="381" t="s">
        <v>206</v>
      </c>
      <c r="H127" s="381" t="s">
        <v>206</v>
      </c>
      <c r="I127" s="381" t="s">
        <v>206</v>
      </c>
      <c r="J127" s="381" t="s">
        <v>206</v>
      </c>
      <c r="K127" s="381" t="s">
        <v>206</v>
      </c>
      <c r="L127" s="381" t="s">
        <v>206</v>
      </c>
      <c r="M127" s="381" t="s">
        <v>206</v>
      </c>
      <c r="N127" s="381" t="s">
        <v>206</v>
      </c>
      <c r="O127" s="381" t="s">
        <v>206</v>
      </c>
      <c r="P127" s="381" t="s">
        <v>206</v>
      </c>
      <c r="Q127" s="381" t="s">
        <v>206</v>
      </c>
      <c r="R127" s="381" t="s">
        <v>206</v>
      </c>
      <c r="S127" s="233"/>
      <c r="T127" s="298"/>
      <c r="U127" s="36"/>
      <c r="V127" s="298"/>
      <c r="W127" s="298"/>
      <c r="X127" s="298"/>
      <c r="Y127" s="298"/>
      <c r="Z127" s="298"/>
      <c r="AA127" s="298"/>
      <c r="AB127" s="298"/>
      <c r="AC127" s="298"/>
      <c r="AD127" s="298"/>
      <c r="AE127" s="298"/>
      <c r="AF127" s="298"/>
      <c r="AG127" s="298"/>
      <c r="AH127" s="298"/>
      <c r="AI127" s="298"/>
      <c r="AJ127" s="298"/>
      <c r="AK127" s="298"/>
      <c r="AL127" s="36"/>
      <c r="AM127" s="36"/>
      <c r="AN127" s="36"/>
      <c r="AO127" s="36"/>
      <c r="AP127" s="296"/>
      <c r="AQ127" s="36"/>
      <c r="AR127" s="36"/>
      <c r="AS127" s="36"/>
      <c r="AT127" s="36"/>
      <c r="AU127" s="36"/>
      <c r="AV127" s="36"/>
      <c r="AW127" s="36"/>
      <c r="AX127" s="234"/>
      <c r="AY127" s="234"/>
      <c r="AZ127" s="36"/>
      <c r="BA127" s="36"/>
      <c r="BB127" s="234"/>
      <c r="BC127" s="234"/>
      <c r="BD127" s="234"/>
    </row>
    <row r="129" spans="3:56" x14ac:dyDescent="0.25">
      <c r="C129" s="36"/>
      <c r="D129" s="36"/>
      <c r="E129" s="36"/>
      <c r="F129" s="36"/>
      <c r="G129" s="36"/>
      <c r="H129" s="36"/>
      <c r="I129" s="234"/>
      <c r="J129" s="234"/>
      <c r="K129" s="36"/>
      <c r="L129" s="36"/>
      <c r="M129" s="36"/>
      <c r="N129" s="36"/>
      <c r="O129" s="36"/>
      <c r="P129" s="36"/>
      <c r="Q129" s="36"/>
      <c r="R129" s="234"/>
      <c r="S129" s="288"/>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234"/>
      <c r="AY129" s="234"/>
      <c r="AZ129" s="36"/>
      <c r="BA129" s="36"/>
      <c r="BB129" s="234"/>
      <c r="BC129" s="234"/>
      <c r="BD129" s="234"/>
    </row>
    <row r="130" spans="3:56" x14ac:dyDescent="0.25">
      <c r="C130" s="36"/>
      <c r="D130" s="36"/>
      <c r="E130" s="36"/>
      <c r="F130" s="36"/>
      <c r="G130" s="36"/>
      <c r="H130" s="36"/>
      <c r="I130" s="234"/>
      <c r="J130" s="234"/>
      <c r="K130" s="36"/>
      <c r="L130" s="36"/>
      <c r="M130" s="36"/>
      <c r="N130" s="36"/>
      <c r="O130" s="36"/>
      <c r="P130" s="36"/>
      <c r="Q130" s="36"/>
      <c r="R130" s="234" t="s">
        <v>1627</v>
      </c>
      <c r="S130" s="269" t="s">
        <v>1628</v>
      </c>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234"/>
      <c r="AY130" s="234"/>
      <c r="AZ130" s="36"/>
      <c r="BA130" s="36"/>
      <c r="BB130" s="234"/>
      <c r="BC130" s="234"/>
      <c r="BD130" s="234"/>
    </row>
    <row r="131" spans="3:56" ht="13" x14ac:dyDescent="0.3">
      <c r="C131" s="36"/>
      <c r="D131" s="36"/>
      <c r="E131" s="36"/>
      <c r="F131" s="36"/>
      <c r="G131" s="36"/>
      <c r="H131" s="36"/>
      <c r="I131" s="234"/>
      <c r="J131" s="234"/>
      <c r="K131" s="36"/>
      <c r="L131" s="36"/>
      <c r="M131" s="36"/>
      <c r="N131" s="36"/>
      <c r="O131" s="237" t="s">
        <v>205</v>
      </c>
      <c r="P131" s="36"/>
      <c r="Q131" s="36"/>
      <c r="R131" s="1107">
        <v>1450702.9222110419</v>
      </c>
      <c r="S131" s="1108">
        <v>1635422.2145255746</v>
      </c>
      <c r="T131" s="1109">
        <f>R131-S131</f>
        <v>-184719.29231453268</v>
      </c>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234"/>
      <c r="AY131" s="234"/>
      <c r="AZ131" s="36"/>
      <c r="BA131" s="36"/>
      <c r="BB131" s="234"/>
      <c r="BC131" s="234"/>
      <c r="BD131" s="234"/>
    </row>
    <row r="132" spans="3:56" ht="13" x14ac:dyDescent="0.3">
      <c r="C132" s="36"/>
      <c r="D132" s="36"/>
      <c r="E132" s="36"/>
      <c r="F132" s="36"/>
      <c r="G132" s="36"/>
      <c r="H132" s="36"/>
      <c r="I132" s="234"/>
      <c r="J132" s="234"/>
      <c r="K132" s="36"/>
      <c r="L132" s="36"/>
      <c r="M132" s="36"/>
      <c r="N132" s="36"/>
      <c r="O132" s="237" t="s">
        <v>208</v>
      </c>
      <c r="P132" s="36"/>
      <c r="Q132" s="36"/>
      <c r="R132" s="1107">
        <v>1111087.4538852279</v>
      </c>
      <c r="S132" s="1108">
        <v>1110307.5958656566</v>
      </c>
      <c r="T132" s="1109">
        <f t="shared" ref="T132:T148" si="50">R132-S132</f>
        <v>779.85801957128569</v>
      </c>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234"/>
      <c r="AY132" s="234"/>
      <c r="AZ132" s="36"/>
      <c r="BA132" s="36"/>
      <c r="BB132" s="234"/>
      <c r="BC132" s="234"/>
      <c r="BD132" s="234"/>
    </row>
    <row r="133" spans="3:56" ht="13" x14ac:dyDescent="0.3">
      <c r="C133" s="36"/>
      <c r="D133" s="36"/>
      <c r="E133" s="36"/>
      <c r="F133" s="36"/>
      <c r="G133" s="36"/>
      <c r="H133" s="36"/>
      <c r="I133" s="234"/>
      <c r="J133" s="234"/>
      <c r="K133" s="36"/>
      <c r="L133" s="36"/>
      <c r="M133" s="36"/>
      <c r="N133" s="36"/>
      <c r="O133" s="237" t="s">
        <v>209</v>
      </c>
      <c r="P133" s="36"/>
      <c r="Q133" s="36"/>
      <c r="R133" s="1107">
        <v>938087.7152146895</v>
      </c>
      <c r="S133" s="1108">
        <v>968642.14997835143</v>
      </c>
      <c r="T133" s="1109">
        <f t="shared" si="50"/>
        <v>-30554.434763661935</v>
      </c>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234"/>
      <c r="AY133" s="234"/>
      <c r="AZ133" s="36"/>
      <c r="BA133" s="36"/>
      <c r="BB133" s="234"/>
      <c r="BC133" s="234"/>
      <c r="BD133" s="234"/>
    </row>
    <row r="134" spans="3:56" ht="13" x14ac:dyDescent="0.3">
      <c r="C134" s="36"/>
      <c r="D134" s="36"/>
      <c r="E134" s="36"/>
      <c r="F134" s="36"/>
      <c r="G134" s="36"/>
      <c r="H134" s="36"/>
      <c r="I134" s="234"/>
      <c r="J134" s="234"/>
      <c r="K134" s="36"/>
      <c r="L134" s="36"/>
      <c r="M134" s="36"/>
      <c r="N134" s="36"/>
      <c r="O134" s="237" t="s">
        <v>210</v>
      </c>
      <c r="P134" s="36"/>
      <c r="Q134" s="36"/>
      <c r="R134" s="1107">
        <v>803973.59114669659</v>
      </c>
      <c r="S134" s="1108">
        <v>809291.27659107023</v>
      </c>
      <c r="T134" s="1109">
        <f t="shared" si="50"/>
        <v>-5317.6854443736374</v>
      </c>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234"/>
      <c r="AY134" s="234"/>
      <c r="AZ134" s="36"/>
      <c r="BA134" s="36"/>
      <c r="BB134" s="234"/>
      <c r="BC134" s="234"/>
      <c r="BD134" s="234"/>
    </row>
    <row r="135" spans="3:56" ht="13" x14ac:dyDescent="0.3">
      <c r="C135" s="36"/>
      <c r="D135" s="36"/>
      <c r="E135" s="36"/>
      <c r="F135" s="36"/>
      <c r="G135" s="36"/>
      <c r="H135" s="36"/>
      <c r="I135" s="234"/>
      <c r="J135" s="234"/>
      <c r="K135" s="36"/>
      <c r="L135" s="36"/>
      <c r="M135" s="36"/>
      <c r="N135" s="36"/>
      <c r="O135" s="237" t="s">
        <v>211</v>
      </c>
      <c r="P135" s="36"/>
      <c r="Q135" s="36"/>
      <c r="R135" s="1107">
        <v>981968.02846039541</v>
      </c>
      <c r="S135" s="1108">
        <v>1043499.875183222</v>
      </c>
      <c r="T135" s="1109">
        <f t="shared" si="50"/>
        <v>-61531.846722826594</v>
      </c>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234"/>
      <c r="AY135" s="234"/>
      <c r="AZ135" s="36"/>
      <c r="BA135" s="36"/>
      <c r="BB135" s="234"/>
      <c r="BC135" s="234"/>
      <c r="BD135" s="234"/>
    </row>
    <row r="136" spans="3:56" ht="13" x14ac:dyDescent="0.3">
      <c r="C136" s="36"/>
      <c r="D136" s="36"/>
      <c r="E136" s="36"/>
      <c r="F136" s="36"/>
      <c r="G136" s="36"/>
      <c r="H136" s="36"/>
      <c r="I136" s="234"/>
      <c r="J136" s="234"/>
      <c r="K136" s="36"/>
      <c r="L136" s="36"/>
      <c r="M136" s="36"/>
      <c r="N136" s="36"/>
      <c r="O136" s="237" t="s">
        <v>257</v>
      </c>
      <c r="P136" s="36"/>
      <c r="Q136" s="36"/>
      <c r="R136" s="1107">
        <v>1215325.5284515372</v>
      </c>
      <c r="S136" s="1108">
        <v>1215325.5284515372</v>
      </c>
      <c r="T136" s="1109">
        <f t="shared" si="50"/>
        <v>0</v>
      </c>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234"/>
      <c r="AY136" s="234"/>
      <c r="AZ136" s="36"/>
      <c r="BA136" s="36"/>
      <c r="BB136" s="234"/>
      <c r="BC136" s="234"/>
      <c r="BD136" s="234"/>
    </row>
    <row r="137" spans="3:56" ht="13" x14ac:dyDescent="0.3">
      <c r="C137" s="36"/>
      <c r="D137" s="36"/>
      <c r="E137" s="36"/>
      <c r="F137" s="36"/>
      <c r="G137" s="36"/>
      <c r="H137" s="36"/>
      <c r="I137" s="234"/>
      <c r="J137" s="234"/>
      <c r="K137" s="36"/>
      <c r="L137" s="36"/>
      <c r="M137" s="36"/>
      <c r="N137" s="36"/>
      <c r="O137" s="237" t="s">
        <v>220</v>
      </c>
      <c r="P137" s="36"/>
      <c r="Q137" s="36"/>
      <c r="R137" s="1107">
        <v>997252.27983884769</v>
      </c>
      <c r="S137" s="1108">
        <v>1037445.9249206006</v>
      </c>
      <c r="T137" s="1109">
        <f t="shared" si="50"/>
        <v>-40193.645081752911</v>
      </c>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234"/>
      <c r="AY137" s="234"/>
      <c r="AZ137" s="36"/>
      <c r="BA137" s="36"/>
      <c r="BB137" s="234"/>
      <c r="BC137" s="234"/>
      <c r="BD137" s="234"/>
    </row>
    <row r="138" spans="3:56" ht="13" x14ac:dyDescent="0.3">
      <c r="C138" s="36"/>
      <c r="D138" s="36"/>
      <c r="E138" s="36"/>
      <c r="F138" s="36"/>
      <c r="G138" s="36"/>
      <c r="H138" s="36"/>
      <c r="I138" s="234"/>
      <c r="J138" s="234"/>
      <c r="K138" s="36"/>
      <c r="L138" s="36"/>
      <c r="M138" s="36"/>
      <c r="N138" s="36"/>
      <c r="O138" s="237" t="s">
        <v>212</v>
      </c>
      <c r="P138" s="36"/>
      <c r="Q138" s="36"/>
      <c r="R138" s="1107">
        <v>956233.34251339128</v>
      </c>
      <c r="S138" s="1108">
        <v>1017880.0443109286</v>
      </c>
      <c r="T138" s="1109">
        <f t="shared" si="50"/>
        <v>-61646.701797537273</v>
      </c>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234"/>
      <c r="AY138" s="234"/>
      <c r="AZ138" s="36"/>
      <c r="BA138" s="36"/>
      <c r="BB138" s="234"/>
      <c r="BC138" s="234"/>
      <c r="BD138" s="234"/>
    </row>
    <row r="139" spans="3:56" ht="13" x14ac:dyDescent="0.3">
      <c r="C139" s="36"/>
      <c r="D139" s="36"/>
      <c r="E139" s="36"/>
      <c r="F139" s="36"/>
      <c r="G139" s="36"/>
      <c r="H139" s="36"/>
      <c r="I139" s="234"/>
      <c r="J139" s="234"/>
      <c r="K139" s="36"/>
      <c r="L139" s="36"/>
      <c r="M139" s="36"/>
      <c r="N139" s="36"/>
      <c r="O139" s="237" t="s">
        <v>221</v>
      </c>
      <c r="P139" s="36"/>
      <c r="Q139" s="36"/>
      <c r="R139" s="1107">
        <v>1102419.9694233148</v>
      </c>
      <c r="S139" s="1108">
        <v>1153797.2462213296</v>
      </c>
      <c r="T139" s="1109">
        <f t="shared" si="50"/>
        <v>-51377.276798014762</v>
      </c>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234"/>
      <c r="AY139" s="234"/>
      <c r="AZ139" s="36"/>
      <c r="BA139" s="36"/>
      <c r="BB139" s="234"/>
      <c r="BC139" s="234"/>
      <c r="BD139" s="234"/>
    </row>
    <row r="140" spans="3:56" ht="13" x14ac:dyDescent="0.3">
      <c r="C140" s="36"/>
      <c r="D140" s="36"/>
      <c r="E140" s="36"/>
      <c r="F140" s="36"/>
      <c r="G140" s="36"/>
      <c r="H140" s="36"/>
      <c r="I140" s="234"/>
      <c r="J140" s="234"/>
      <c r="K140" s="36"/>
      <c r="L140" s="36"/>
      <c r="M140" s="36"/>
      <c r="N140" s="36"/>
      <c r="O140" s="237" t="s">
        <v>213</v>
      </c>
      <c r="P140" s="36"/>
      <c r="Q140" s="36"/>
      <c r="R140" s="1107">
        <v>1484746.1499078074</v>
      </c>
      <c r="S140" s="1108">
        <v>1458580.2296437109</v>
      </c>
      <c r="T140" s="1109">
        <f t="shared" si="50"/>
        <v>26165.920264096465</v>
      </c>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234"/>
      <c r="AY140" s="234"/>
      <c r="AZ140" s="36"/>
      <c r="BA140" s="36"/>
      <c r="BB140" s="234"/>
      <c r="BC140" s="234"/>
      <c r="BD140" s="234"/>
    </row>
    <row r="141" spans="3:56" ht="13" x14ac:dyDescent="0.3">
      <c r="C141" s="36"/>
      <c r="D141" s="36"/>
      <c r="E141" s="36"/>
      <c r="F141" s="36"/>
      <c r="G141" s="36"/>
      <c r="H141" s="36"/>
      <c r="I141" s="234"/>
      <c r="J141" s="234"/>
      <c r="K141" s="36"/>
      <c r="L141" s="36"/>
      <c r="M141" s="36"/>
      <c r="N141" s="36"/>
      <c r="O141" s="237" t="s">
        <v>214</v>
      </c>
      <c r="P141" s="36"/>
      <c r="Q141" s="36"/>
      <c r="R141" s="1107">
        <v>1234626.8435036717</v>
      </c>
      <c r="S141" s="1108">
        <v>1230417.7710770133</v>
      </c>
      <c r="T141" s="1109">
        <f t="shared" si="50"/>
        <v>4209.0724266583566</v>
      </c>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234"/>
      <c r="AY141" s="234"/>
      <c r="AZ141" s="36"/>
      <c r="BA141" s="36"/>
      <c r="BB141" s="234"/>
      <c r="BC141" s="234"/>
      <c r="BD141" s="234"/>
    </row>
    <row r="142" spans="3:56" ht="13" x14ac:dyDescent="0.3">
      <c r="C142" s="36"/>
      <c r="D142" s="36"/>
      <c r="E142" s="36"/>
      <c r="F142" s="36"/>
      <c r="G142" s="36"/>
      <c r="H142" s="36"/>
      <c r="I142" s="234"/>
      <c r="J142" s="234"/>
      <c r="K142" s="36"/>
      <c r="L142" s="36"/>
      <c r="M142" s="36"/>
      <c r="N142" s="36"/>
      <c r="O142" s="237" t="s">
        <v>890</v>
      </c>
      <c r="P142" s="36"/>
      <c r="Q142" s="36"/>
      <c r="R142" s="1107">
        <v>1187618.6252122277</v>
      </c>
      <c r="S142" s="1108">
        <v>1187618.6252122277</v>
      </c>
      <c r="T142" s="1109">
        <f t="shared" si="50"/>
        <v>0</v>
      </c>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234"/>
      <c r="AY142" s="234"/>
      <c r="AZ142" s="36"/>
      <c r="BA142" s="36"/>
      <c r="BB142" s="234"/>
      <c r="BC142" s="234"/>
      <c r="BD142" s="234"/>
    </row>
    <row r="143" spans="3:56" ht="13" x14ac:dyDescent="0.3">
      <c r="C143" s="36"/>
      <c r="D143" s="36"/>
      <c r="E143" s="36"/>
      <c r="F143" s="36"/>
      <c r="G143" s="36"/>
      <c r="H143" s="36"/>
      <c r="I143" s="234"/>
      <c r="J143" s="234"/>
      <c r="K143" s="36"/>
      <c r="L143" s="36"/>
      <c r="M143" s="36"/>
      <c r="N143" s="36"/>
      <c r="O143" s="237" t="s">
        <v>1043</v>
      </c>
      <c r="P143" s="36"/>
      <c r="Q143" s="36"/>
      <c r="R143" s="1107">
        <v>1571737.0564844753</v>
      </c>
      <c r="S143" s="1108">
        <v>1571737.0564844753</v>
      </c>
      <c r="T143" s="1109">
        <f t="shared" si="50"/>
        <v>0</v>
      </c>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234"/>
      <c r="AY143" s="234"/>
      <c r="AZ143" s="36"/>
      <c r="BA143" s="36"/>
      <c r="BB143" s="234"/>
      <c r="BC143" s="234"/>
      <c r="BD143" s="234"/>
    </row>
    <row r="144" spans="3:56" ht="13" x14ac:dyDescent="0.3">
      <c r="C144" s="36"/>
      <c r="D144" s="36"/>
      <c r="E144" s="36"/>
      <c r="F144" s="36"/>
      <c r="G144" s="36"/>
      <c r="H144" s="36"/>
      <c r="I144" s="234"/>
      <c r="J144" s="234"/>
      <c r="K144" s="36"/>
      <c r="L144" s="36"/>
      <c r="M144" s="36"/>
      <c r="N144" s="36"/>
      <c r="O144" s="237" t="s">
        <v>1046</v>
      </c>
      <c r="P144" s="36"/>
      <c r="Q144" s="36"/>
      <c r="R144" s="1107">
        <v>1070493.9887915095</v>
      </c>
      <c r="S144" s="1108">
        <v>1070493.9887915095</v>
      </c>
      <c r="T144" s="1109">
        <f t="shared" si="50"/>
        <v>0</v>
      </c>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234"/>
      <c r="AY144" s="234"/>
      <c r="AZ144" s="36"/>
      <c r="BA144" s="36"/>
      <c r="BB144" s="234"/>
      <c r="BC144" s="234"/>
      <c r="BD144" s="234"/>
    </row>
    <row r="145" spans="15:20" ht="13" x14ac:dyDescent="0.3">
      <c r="O145" s="237" t="s">
        <v>215</v>
      </c>
      <c r="P145" s="36"/>
      <c r="Q145" s="36"/>
      <c r="R145" s="1107">
        <v>1590171.732654036</v>
      </c>
      <c r="S145" s="1108">
        <v>1618611.5745486002</v>
      </c>
      <c r="T145" s="1109">
        <f t="shared" si="50"/>
        <v>-28439.841894564219</v>
      </c>
    </row>
    <row r="146" spans="15:20" ht="13" x14ac:dyDescent="0.3">
      <c r="O146" s="237" t="s">
        <v>216</v>
      </c>
      <c r="P146" s="36"/>
      <c r="Q146" s="36"/>
      <c r="R146" s="1107">
        <v>1676380.6480545243</v>
      </c>
      <c r="S146" s="1108">
        <v>1721195.0373406732</v>
      </c>
      <c r="T146" s="1109">
        <f t="shared" si="50"/>
        <v>-44814.389286148828</v>
      </c>
    </row>
    <row r="147" spans="15:20" ht="13" x14ac:dyDescent="0.3">
      <c r="O147" s="237" t="s">
        <v>217</v>
      </c>
      <c r="P147" s="36"/>
      <c r="Q147" s="36"/>
      <c r="R147" s="1107">
        <v>2226865.9728884418</v>
      </c>
      <c r="S147" s="1108">
        <v>2200327.8220654116</v>
      </c>
      <c r="T147" s="1109">
        <f t="shared" si="50"/>
        <v>26538.150823030155</v>
      </c>
    </row>
    <row r="148" spans="15:20" ht="13" x14ac:dyDescent="0.3">
      <c r="O148" s="237" t="s">
        <v>219</v>
      </c>
      <c r="P148" s="36"/>
      <c r="Q148" s="36"/>
      <c r="R148" s="1107">
        <v>2366444.7040477116</v>
      </c>
      <c r="S148" s="1108">
        <v>2365878.4006585167</v>
      </c>
      <c r="T148" s="1109">
        <f t="shared" si="50"/>
        <v>566.30338919488713</v>
      </c>
    </row>
    <row r="150" spans="15:20" x14ac:dyDescent="0.25">
      <c r="O150" s="36"/>
      <c r="P150" s="36"/>
      <c r="Q150" s="36"/>
      <c r="R150" s="234"/>
      <c r="S150" s="288"/>
      <c r="T150" s="235">
        <f>SUM(T131:T149)</f>
        <v>-450335.80918086169</v>
      </c>
    </row>
  </sheetData>
  <mergeCells count="9">
    <mergeCell ref="D104:F104"/>
    <mergeCell ref="G104:I104"/>
    <mergeCell ref="K104:M104"/>
    <mergeCell ref="N104:P104"/>
    <mergeCell ref="AK104:AK105"/>
    <mergeCell ref="O4:P4"/>
    <mergeCell ref="O25:P25"/>
    <mergeCell ref="O46:P46"/>
    <mergeCell ref="O67:P67"/>
  </mergeCells>
  <pageMargins left="0.7" right="0.7" top="0.75" bottom="0.75" header="0.3" footer="0.3"/>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B8C5C-B871-474C-8DDB-2D26742ADCD4}">
  <sheetPr>
    <tabColor theme="8" tint="0.39997558519241921"/>
  </sheetPr>
  <dimension ref="A1:BD171"/>
  <sheetViews>
    <sheetView topLeftCell="A27" workbookViewId="0">
      <selection activeCell="A66" sqref="A66"/>
    </sheetView>
  </sheetViews>
  <sheetFormatPr defaultColWidth="10.26953125" defaultRowHeight="12.5" x14ac:dyDescent="0.25"/>
  <cols>
    <col min="1" max="1" width="9.1796875" style="29" customWidth="1"/>
    <col min="2" max="2" width="26.7265625" style="29" customWidth="1"/>
    <col min="3" max="3" width="7.26953125" style="29" bestFit="1" customWidth="1"/>
    <col min="4" max="4" width="12.1796875" style="29" bestFit="1" customWidth="1"/>
    <col min="5" max="5" width="16.453125" style="29" customWidth="1"/>
    <col min="6" max="6" width="12.7265625" style="29" customWidth="1"/>
    <col min="7" max="7" width="14.54296875" style="29" customWidth="1"/>
    <col min="8" max="8" width="13.26953125" style="29" customWidth="1"/>
    <col min="9" max="9" width="13" style="30" customWidth="1"/>
    <col min="10" max="10" width="12.81640625" style="30" customWidth="1"/>
    <col min="11" max="11" width="12.26953125" style="29" customWidth="1"/>
    <col min="12" max="12" width="11.1796875" style="29" customWidth="1"/>
    <col min="13" max="13" width="13.26953125" style="29" customWidth="1"/>
    <col min="14" max="14" width="11.453125" style="29" customWidth="1"/>
    <col min="15" max="15" width="12.81640625" style="29" customWidth="1"/>
    <col min="16" max="16" width="12.453125" style="29" customWidth="1"/>
    <col min="17" max="17" width="12.453125" style="29" bestFit="1" customWidth="1"/>
    <col min="18" max="18" width="11.54296875" style="30" customWidth="1"/>
    <col min="19" max="19" width="12.453125" style="140" customWidth="1"/>
    <col min="20" max="20" width="12.26953125" style="29" customWidth="1"/>
    <col min="21" max="22" width="11.26953125" style="29" customWidth="1"/>
    <col min="23" max="23" width="10.26953125" style="29"/>
    <col min="24" max="24" width="11.1796875" style="29" bestFit="1" customWidth="1"/>
    <col min="25" max="27" width="11.1796875" style="29" customWidth="1"/>
    <col min="28" max="28" width="12.81640625" style="29" customWidth="1"/>
    <col min="29" max="29" width="11" style="29" customWidth="1"/>
    <col min="30" max="30" width="12.7265625" style="29" customWidth="1"/>
    <col min="31" max="31" width="13.1796875" style="29" customWidth="1"/>
    <col min="32" max="32" width="12.1796875" style="29" customWidth="1"/>
    <col min="33" max="33" width="11" style="29" customWidth="1"/>
    <col min="34" max="34" width="10.54296875" style="29" bestFit="1" customWidth="1"/>
    <col min="35" max="35" width="12.453125" style="29" customWidth="1"/>
    <col min="36" max="36" width="10.26953125" style="29"/>
    <col min="37" max="37" width="28.54296875" style="29" bestFit="1" customWidth="1"/>
    <col min="38" max="38" width="11.1796875" style="29" customWidth="1"/>
    <col min="39" max="39" width="1.26953125" style="29" customWidth="1"/>
    <col min="40" max="40" width="10" style="29" customWidth="1"/>
    <col min="41" max="41" width="11.453125" style="29" customWidth="1"/>
    <col min="42" max="42" width="10.54296875" style="29" bestFit="1" customWidth="1"/>
    <col min="43" max="43" width="10.26953125" style="29"/>
    <col min="44" max="44" width="15" style="29" customWidth="1"/>
    <col min="45" max="45" width="14.1796875" style="29" customWidth="1"/>
    <col min="46" max="49" width="10.26953125" style="29"/>
    <col min="50" max="50" width="14.7265625" style="30" customWidth="1"/>
    <col min="51" max="51" width="13.26953125" style="30" customWidth="1"/>
    <col min="52" max="53" width="10.26953125" style="29"/>
    <col min="54" max="54" width="19" style="30" bestFit="1" customWidth="1"/>
    <col min="55" max="55" width="16.81640625" style="30" customWidth="1"/>
    <col min="56" max="56" width="10.26953125" style="30"/>
    <col min="57" max="16384" width="10.26953125" style="29"/>
  </cols>
  <sheetData>
    <row r="1" spans="1:56" x14ac:dyDescent="0.25">
      <c r="A1" s="94" t="s">
        <v>230</v>
      </c>
      <c r="B1" s="36"/>
      <c r="C1" s="36"/>
      <c r="D1" s="36"/>
      <c r="E1" s="36"/>
      <c r="F1" s="36"/>
      <c r="G1" s="36"/>
      <c r="H1" s="36"/>
      <c r="I1" s="234"/>
      <c r="J1" s="234"/>
      <c r="K1" s="36"/>
      <c r="L1" s="36"/>
      <c r="M1" s="36"/>
      <c r="N1" s="36"/>
      <c r="O1" s="36"/>
      <c r="P1" s="36"/>
      <c r="Q1" s="36"/>
      <c r="R1" s="234"/>
      <c r="S1" s="1023"/>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row>
    <row r="2" spans="1:56" ht="13" x14ac:dyDescent="0.3">
      <c r="A2" s="94"/>
      <c r="B2" s="36"/>
      <c r="C2" s="36"/>
      <c r="D2" s="36"/>
      <c r="E2" s="139" t="s">
        <v>1629</v>
      </c>
      <c r="F2" s="36"/>
      <c r="G2" s="36"/>
      <c r="H2" s="36"/>
      <c r="I2" s="234"/>
      <c r="J2" s="234"/>
      <c r="K2" s="36"/>
      <c r="L2" s="36"/>
      <c r="M2" s="36"/>
      <c r="N2" s="36"/>
      <c r="O2" s="36"/>
      <c r="P2" s="36"/>
      <c r="Q2" s="36"/>
      <c r="R2" s="234"/>
      <c r="S2" s="1023"/>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row>
    <row r="3" spans="1:56" ht="13" x14ac:dyDescent="0.3">
      <c r="A3" s="93" t="s">
        <v>1630</v>
      </c>
      <c r="B3" s="36"/>
      <c r="C3" s="36"/>
      <c r="D3" s="36"/>
      <c r="E3" s="36"/>
      <c r="F3" s="36"/>
      <c r="G3" s="36"/>
      <c r="H3" s="36"/>
      <c r="I3" s="234"/>
      <c r="J3" s="234"/>
      <c r="K3" s="94" t="s">
        <v>1624</v>
      </c>
      <c r="L3" s="36"/>
      <c r="M3" s="36"/>
      <c r="N3" s="36"/>
      <c r="O3" s="36"/>
      <c r="P3" s="36"/>
      <c r="Q3" s="36"/>
      <c r="R3" s="234"/>
      <c r="S3" s="1023"/>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row>
    <row r="4" spans="1:56" x14ac:dyDescent="0.25">
      <c r="A4" s="36"/>
      <c r="B4" s="263"/>
      <c r="C4" s="263"/>
      <c r="D4" s="36"/>
      <c r="E4" s="36"/>
      <c r="F4" s="36"/>
      <c r="G4" s="36"/>
      <c r="H4" s="36"/>
      <c r="I4" s="234"/>
      <c r="J4" s="234"/>
      <c r="K4" s="36"/>
      <c r="L4" s="36"/>
      <c r="M4" s="36"/>
      <c r="N4" s="36"/>
      <c r="O4" s="1445" t="s">
        <v>238</v>
      </c>
      <c r="P4" s="1446"/>
      <c r="Q4" s="36"/>
      <c r="R4" s="1273"/>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row>
    <row r="5" spans="1:56" ht="37.5" x14ac:dyDescent="0.25">
      <c r="A5" s="265" t="s">
        <v>182</v>
      </c>
      <c r="B5" s="237" t="s">
        <v>183</v>
      </c>
      <c r="C5" s="238" t="s">
        <v>184</v>
      </c>
      <c r="D5" s="234" t="s">
        <v>901</v>
      </c>
      <c r="E5" s="234" t="s">
        <v>902</v>
      </c>
      <c r="F5" s="234" t="s">
        <v>903</v>
      </c>
      <c r="G5" s="234" t="s">
        <v>904</v>
      </c>
      <c r="H5" s="234" t="s">
        <v>905</v>
      </c>
      <c r="I5" s="234" t="s">
        <v>906</v>
      </c>
      <c r="J5" s="234" t="s">
        <v>907</v>
      </c>
      <c r="K5" s="243" t="s">
        <v>246</v>
      </c>
      <c r="L5" s="243" t="s">
        <v>249</v>
      </c>
      <c r="M5" s="243" t="s">
        <v>250</v>
      </c>
      <c r="N5" s="243" t="s">
        <v>251</v>
      </c>
      <c r="O5" s="266" t="s">
        <v>252</v>
      </c>
      <c r="P5" s="320" t="s">
        <v>253</v>
      </c>
      <c r="Q5" s="36"/>
      <c r="R5" s="276" t="s">
        <v>908</v>
      </c>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row>
    <row r="6" spans="1:56" x14ac:dyDescent="0.25">
      <c r="A6" s="244">
        <v>9257010</v>
      </c>
      <c r="B6" s="237" t="s">
        <v>1164</v>
      </c>
      <c r="C6" s="365">
        <v>5</v>
      </c>
      <c r="D6" s="1024">
        <f>VLOOKUP(A6,'2324 Band Moderations'!$B$5:$S$21,6,(FALSE))</f>
        <v>0.1111111111111111</v>
      </c>
      <c r="E6" s="1024">
        <f>VLOOKUP(A6,'2324 Band Moderations'!$B$5:$S$21,8,(FALSE))</f>
        <v>0.48412698412698413</v>
      </c>
      <c r="F6" s="1024">
        <f>VLOOKUP(A6,'2324 Band Moderations'!$B$5:$S$21,10,(FALSE))</f>
        <v>6.3492063492063489E-2</v>
      </c>
      <c r="G6" s="1024">
        <f>VLOOKUP(A6,'2324 Band Moderations'!$B$5:$S$21,12,(FALSE))</f>
        <v>0.10317460317460317</v>
      </c>
      <c r="H6" s="1024">
        <f>VLOOKUP(A6,'2324 Band Moderations'!$B$5:$S$21,14,(FALSE))</f>
        <v>6.3492063492063489E-2</v>
      </c>
      <c r="I6" s="1024">
        <f>VLOOKUP(A6,'2324 Band Moderations'!$B$5:$S$21,16,(FALSE))</f>
        <v>7.9365079365079361E-2</v>
      </c>
      <c r="J6" s="1024">
        <f>VLOOKUP(A6,'2324 Band Moderations'!$B$5:$S$21,18,(FALSE))</f>
        <v>9.5238095238095233E-2</v>
      </c>
      <c r="K6" s="451">
        <v>114</v>
      </c>
      <c r="L6" s="1025">
        <f t="shared" ref="L6:L22" si="0">((((K6*D6)*$G$88)+((K6*E6)*$G$90)+((K6*F6)*$G$92)+((K6*G6)*$G$94)+((K6*H6)*$G$96)+((K6*I6)*$G$98)+((K6*J6)*$G$100))*(5/12))</f>
        <v>563845.35714285728</v>
      </c>
      <c r="M6" s="1025">
        <v>0</v>
      </c>
      <c r="N6" s="1025">
        <f>SUM(L6:M6)</f>
        <v>563845.35714285728</v>
      </c>
      <c r="O6" s="1026">
        <f>(K6*(5/12))*10000</f>
        <v>475000</v>
      </c>
      <c r="P6" s="1026">
        <f>(VLOOKUP(A6,'2324 Funding Detail'!$A$4:$AA$20,25,FALSE)*5/12)*K6</f>
        <v>322680.98493746703</v>
      </c>
      <c r="Q6" s="235"/>
      <c r="R6" s="235">
        <f>(J6*K6*$G$100)*5/12</f>
        <v>110408.09523809522</v>
      </c>
      <c r="S6" s="269"/>
      <c r="T6" s="1127"/>
      <c r="U6" s="1127"/>
      <c r="V6" s="1118"/>
      <c r="W6" s="1118"/>
      <c r="X6" s="1118"/>
      <c r="Y6" s="1118"/>
      <c r="Z6" s="1118"/>
      <c r="AA6" s="1118"/>
      <c r="AB6" s="1118"/>
      <c r="AC6" s="1118"/>
      <c r="AD6" s="1118"/>
      <c r="AE6" s="1118"/>
      <c r="AF6" s="1118"/>
      <c r="AG6" s="1118"/>
      <c r="AH6" s="1118"/>
      <c r="AI6" s="1118"/>
      <c r="AJ6" s="1118"/>
      <c r="AK6" s="1118"/>
      <c r="AL6" s="1118"/>
      <c r="AM6" s="1118"/>
      <c r="AN6" s="1118"/>
      <c r="AO6" s="36"/>
      <c r="AP6" s="36"/>
      <c r="AQ6" s="36"/>
      <c r="AR6" s="36"/>
      <c r="AS6" s="36"/>
      <c r="AT6" s="36"/>
      <c r="AU6" s="36"/>
      <c r="AV6" s="36"/>
      <c r="AW6" s="36"/>
      <c r="AX6" s="36"/>
      <c r="AY6" s="36"/>
      <c r="AZ6" s="36"/>
      <c r="BA6" s="36"/>
      <c r="BB6" s="36"/>
      <c r="BC6" s="36"/>
      <c r="BD6" s="36"/>
    </row>
    <row r="7" spans="1:56" ht="12.75" customHeight="1" x14ac:dyDescent="0.25">
      <c r="A7" s="244">
        <v>9257005</v>
      </c>
      <c r="B7" s="237" t="s">
        <v>208</v>
      </c>
      <c r="C7" s="365">
        <v>4</v>
      </c>
      <c r="D7" s="1024">
        <f>VLOOKUP(A7,'2324 Band Moderations'!$B$5:$S$21,6,(FALSE))</f>
        <v>8.4507042253521125E-2</v>
      </c>
      <c r="E7" s="1024">
        <f>VLOOKUP(A7,'2324 Band Moderations'!$B$5:$S$21,8,(FALSE))</f>
        <v>0.40845070422535212</v>
      </c>
      <c r="F7" s="1024">
        <f>VLOOKUP(A7,'2324 Band Moderations'!$B$5:$S$21,10,(FALSE))</f>
        <v>8.4507042253521125E-2</v>
      </c>
      <c r="G7" s="1024">
        <f>VLOOKUP(A7,'2324 Band Moderations'!$B$5:$S$21,12,(FALSE))</f>
        <v>9.8591549295774641E-2</v>
      </c>
      <c r="H7" s="1024">
        <f>VLOOKUP(A7,'2324 Band Moderations'!$B$5:$S$21,14,(FALSE))</f>
        <v>0.11267605633802817</v>
      </c>
      <c r="I7" s="1024">
        <f>VLOOKUP(A7,'2324 Band Moderations'!$B$5:$S$21,16,(FALSE))</f>
        <v>0.15492957746478872</v>
      </c>
      <c r="J7" s="1024">
        <f>VLOOKUP(A7,'2324 Band Moderations'!$B$5:$S$21,18,(FALSE))</f>
        <v>5.6338028169014086E-2</v>
      </c>
      <c r="K7" s="451">
        <v>59</v>
      </c>
      <c r="L7" s="1025">
        <f t="shared" si="0"/>
        <v>306533.39201877936</v>
      </c>
      <c r="M7" s="1025">
        <v>0</v>
      </c>
      <c r="N7" s="1025">
        <f t="shared" ref="N7:N22" si="1">SUM(L7:M7)</f>
        <v>306533.39201877936</v>
      </c>
      <c r="O7" s="1026">
        <f t="shared" ref="O7:O22" si="2">(K7*(5/12))*10000</f>
        <v>245833.33333333334</v>
      </c>
      <c r="P7" s="1026">
        <f>(VLOOKUP(A7,'2324 Funding Detail'!$A$4:$AA$20,25,FALSE)*5/12)*K7</f>
        <v>223066.88731658491</v>
      </c>
      <c r="Q7" s="235"/>
      <c r="R7" s="235">
        <f t="shared" ref="R7:R22" si="3">(J7*K7*$G$100)*5/12</f>
        <v>33801.737089201873</v>
      </c>
      <c r="S7" s="233"/>
      <c r="T7" s="1127"/>
      <c r="U7" s="1127"/>
      <c r="V7" s="1118"/>
      <c r="W7" s="1118"/>
      <c r="X7" s="1118"/>
      <c r="Y7" s="1118"/>
      <c r="Z7" s="1118"/>
      <c r="AA7" s="1118"/>
      <c r="AB7" s="1118"/>
      <c r="AC7" s="1118"/>
      <c r="AD7" s="1118"/>
      <c r="AE7" s="1118"/>
      <c r="AF7" s="1118"/>
      <c r="AG7" s="1118"/>
      <c r="AH7" s="36"/>
      <c r="AI7" s="36"/>
      <c r="AJ7" s="36"/>
      <c r="AK7" s="36"/>
      <c r="AL7" s="36"/>
      <c r="AM7" s="36"/>
      <c r="AN7" s="36"/>
      <c r="AO7" s="36"/>
      <c r="AP7" s="36"/>
      <c r="AQ7" s="36"/>
      <c r="AR7" s="36"/>
      <c r="AS7" s="36"/>
      <c r="AT7" s="36"/>
      <c r="AU7" s="36"/>
      <c r="AV7" s="36"/>
      <c r="AW7" s="36"/>
      <c r="AX7" s="36"/>
      <c r="AY7" s="36"/>
      <c r="AZ7" s="36"/>
      <c r="BA7" s="36"/>
      <c r="BB7" s="36"/>
      <c r="BC7" s="36"/>
      <c r="BD7" s="36"/>
    </row>
    <row r="8" spans="1:56" ht="12.75" customHeight="1" x14ac:dyDescent="0.25">
      <c r="A8" s="244">
        <v>9257025</v>
      </c>
      <c r="B8" s="237" t="s">
        <v>209</v>
      </c>
      <c r="C8" s="365">
        <v>4</v>
      </c>
      <c r="D8" s="1024">
        <f>VLOOKUP(A8,'2324 Band Moderations'!$B$5:$S$21,6,(FALSE))</f>
        <v>0.13333333333333333</v>
      </c>
      <c r="E8" s="1024">
        <f>VLOOKUP(A8,'2324 Band Moderations'!$B$5:$S$21,8,(FALSE))</f>
        <v>0.53333333333333333</v>
      </c>
      <c r="F8" s="1024">
        <f>VLOOKUP(A8,'2324 Band Moderations'!$B$5:$S$21,10,(FALSE))</f>
        <v>4.4444444444444446E-2</v>
      </c>
      <c r="G8" s="1024">
        <f>VLOOKUP(A8,'2324 Band Moderations'!$B$5:$S$21,12,(FALSE))</f>
        <v>0.1111111111111111</v>
      </c>
      <c r="H8" s="1024">
        <f>VLOOKUP(A8,'2324 Band Moderations'!$B$5:$S$21,14,(FALSE))</f>
        <v>1.1111111111111112E-2</v>
      </c>
      <c r="I8" s="1024">
        <f>VLOOKUP(A8,'2324 Band Moderations'!$B$5:$S$21,16,(FALSE))</f>
        <v>0.12222222222222222</v>
      </c>
      <c r="J8" s="1024">
        <f>VLOOKUP(A8,'2324 Band Moderations'!$B$5:$S$21,18,(FALSE))</f>
        <v>4.4444444444444446E-2</v>
      </c>
      <c r="K8" s="451">
        <v>65</v>
      </c>
      <c r="L8" s="1025">
        <f t="shared" si="0"/>
        <v>295019.95370370371</v>
      </c>
      <c r="M8" s="1025">
        <v>0</v>
      </c>
      <c r="N8" s="1025">
        <f t="shared" si="1"/>
        <v>295019.95370370371</v>
      </c>
      <c r="O8" s="1026">
        <f t="shared" si="2"/>
        <v>270833.33333333337</v>
      </c>
      <c r="P8" s="1026">
        <f>(VLOOKUP(A8,'2324 Funding Detail'!$A$4:$AA$20,25,FALSE)*5/12)*K8</f>
        <v>177783.96183687766</v>
      </c>
      <c r="Q8" s="235"/>
      <c r="R8" s="235">
        <f t="shared" si="3"/>
        <v>29377.592592592595</v>
      </c>
      <c r="S8" s="233"/>
      <c r="T8" s="1127"/>
      <c r="U8" s="1127"/>
      <c r="V8" s="1118"/>
      <c r="W8" s="1118"/>
      <c r="X8" s="1118"/>
      <c r="Y8" s="1118"/>
      <c r="Z8" s="1118"/>
      <c r="AA8" s="1118"/>
      <c r="AB8" s="1118"/>
      <c r="AC8" s="1118"/>
      <c r="AD8" s="1118"/>
      <c r="AE8" s="1118"/>
      <c r="AF8" s="1118"/>
      <c r="AG8" s="1118"/>
      <c r="AH8" s="36"/>
      <c r="AI8" s="36"/>
      <c r="AJ8" s="36"/>
      <c r="AK8" s="36"/>
      <c r="AL8" s="36"/>
      <c r="AM8" s="36"/>
      <c r="AN8" s="36"/>
      <c r="AO8" s="36"/>
      <c r="AP8" s="36"/>
      <c r="AQ8" s="36"/>
      <c r="AR8" s="36"/>
      <c r="AS8" s="36"/>
      <c r="AT8" s="36"/>
      <c r="AU8" s="36"/>
      <c r="AV8" s="36"/>
      <c r="AW8" s="36"/>
      <c r="AX8" s="36"/>
      <c r="AY8" s="36"/>
      <c r="AZ8" s="36"/>
      <c r="BA8" s="36"/>
      <c r="BB8" s="36"/>
      <c r="BC8" s="36"/>
      <c r="BD8" s="36"/>
    </row>
    <row r="9" spans="1:56" x14ac:dyDescent="0.25">
      <c r="A9" s="244">
        <v>9257024</v>
      </c>
      <c r="B9" s="237" t="s">
        <v>211</v>
      </c>
      <c r="C9" s="365">
        <v>4</v>
      </c>
      <c r="D9" s="1024">
        <f>VLOOKUP(A9,'2324 Band Moderations'!$B$5:$S$21,6,(FALSE))</f>
        <v>8.2352941176470587E-2</v>
      </c>
      <c r="E9" s="1024">
        <f>VLOOKUP(A9,'2324 Band Moderations'!$B$5:$S$21,8,(FALSE))</f>
        <v>0.54117647058823526</v>
      </c>
      <c r="F9" s="1024">
        <f>VLOOKUP(A9,'2324 Band Moderations'!$B$5:$S$21,10,(FALSE))</f>
        <v>1.1764705882352941E-2</v>
      </c>
      <c r="G9" s="1024">
        <f>VLOOKUP(A9,'2324 Band Moderations'!$B$5:$S$21,12,(FALSE))</f>
        <v>0.17647058823529413</v>
      </c>
      <c r="H9" s="1024">
        <f>VLOOKUP(A9,'2324 Band Moderations'!$B$5:$S$21,14,(FALSE))</f>
        <v>7.0588235294117646E-2</v>
      </c>
      <c r="I9" s="1024">
        <f>VLOOKUP(A9,'2324 Band Moderations'!$B$5:$S$21,16,(FALSE))</f>
        <v>4.7058823529411764E-2</v>
      </c>
      <c r="J9" s="1024">
        <f>VLOOKUP(A9,'2324 Band Moderations'!$B$5:$S$21,18,(FALSE))</f>
        <v>7.0588235294117646E-2</v>
      </c>
      <c r="K9" s="451">
        <v>75</v>
      </c>
      <c r="L9" s="1025">
        <f t="shared" si="0"/>
        <v>357845.95588235295</v>
      </c>
      <c r="M9" s="1025">
        <v>0</v>
      </c>
      <c r="N9" s="1025">
        <f t="shared" si="1"/>
        <v>357845.95588235295</v>
      </c>
      <c r="O9" s="1026">
        <f t="shared" si="2"/>
        <v>312500</v>
      </c>
      <c r="P9" s="1026">
        <f>(VLOOKUP(A9,'2324 Funding Detail'!$A$4:$AA$20,25,FALSE)*5/12)*K9</f>
        <v>226764.98239030957</v>
      </c>
      <c r="Q9" s="235"/>
      <c r="R9" s="235">
        <f t="shared" si="3"/>
        <v>53836.76470588235</v>
      </c>
      <c r="S9" s="233"/>
      <c r="T9" s="1127"/>
      <c r="U9" s="1127"/>
      <c r="V9" s="1118"/>
      <c r="W9" s="1118"/>
      <c r="X9" s="1118"/>
      <c r="Y9" s="1118"/>
      <c r="Z9" s="1118"/>
      <c r="AA9" s="1118"/>
      <c r="AB9" s="1118"/>
      <c r="AC9" s="1118"/>
      <c r="AD9" s="1118"/>
      <c r="AE9" s="1118"/>
      <c r="AF9" s="1118"/>
      <c r="AG9" s="1118"/>
      <c r="AH9" s="36"/>
      <c r="AI9" s="36"/>
      <c r="AJ9" s="36"/>
      <c r="AK9" s="36"/>
      <c r="AL9" s="36"/>
      <c r="AM9" s="36"/>
      <c r="AN9" s="36"/>
      <c r="AO9" s="36"/>
      <c r="AP9" s="36"/>
      <c r="AQ9" s="36"/>
      <c r="AR9" s="36"/>
      <c r="AS9" s="36"/>
      <c r="AT9" s="36"/>
      <c r="AU9" s="36"/>
      <c r="AV9" s="36"/>
      <c r="AW9" s="36"/>
      <c r="AX9" s="36"/>
      <c r="AY9" s="36"/>
      <c r="AZ9" s="36"/>
      <c r="BA9" s="36"/>
      <c r="BB9" s="36"/>
      <c r="BC9" s="36"/>
      <c r="BD9" s="36"/>
    </row>
    <row r="10" spans="1:56" ht="12.75" customHeight="1" x14ac:dyDescent="0.25">
      <c r="A10" s="244">
        <v>9257031</v>
      </c>
      <c r="B10" s="237" t="s">
        <v>257</v>
      </c>
      <c r="C10" s="365">
        <v>5</v>
      </c>
      <c r="D10" s="1024">
        <f>VLOOKUP(A10,'2324 Band Moderations'!$B$5:$S$21,6,(FALSE))</f>
        <v>0</v>
      </c>
      <c r="E10" s="1024">
        <f>VLOOKUP(A10,'2324 Band Moderations'!$B$5:$S$21,8,(FALSE))</f>
        <v>0</v>
      </c>
      <c r="F10" s="1024">
        <f>VLOOKUP(A10,'2324 Band Moderations'!$B$5:$S$21,10,(FALSE))</f>
        <v>1</v>
      </c>
      <c r="G10" s="1024">
        <f>VLOOKUP(A10,'2324 Band Moderations'!$B$5:$S$21,12,(FALSE))</f>
        <v>0</v>
      </c>
      <c r="H10" s="1024">
        <f>VLOOKUP(A10,'2324 Band Moderations'!$B$5:$S$21,14,(FALSE))</f>
        <v>0</v>
      </c>
      <c r="I10" s="1024">
        <f>VLOOKUP(A10,'2324 Band Moderations'!$B$5:$S$21,16,(FALSE))</f>
        <v>0</v>
      </c>
      <c r="J10" s="1024">
        <f>VLOOKUP(A10,'2324 Band Moderations'!$B$5:$S$21,18,(FALSE))</f>
        <v>0</v>
      </c>
      <c r="K10" s="451">
        <v>80</v>
      </c>
      <c r="L10" s="1025">
        <f t="shared" si="0"/>
        <v>518900</v>
      </c>
      <c r="M10" s="1025">
        <v>0</v>
      </c>
      <c r="N10" s="1025">
        <f t="shared" si="1"/>
        <v>518900</v>
      </c>
      <c r="O10" s="1026">
        <f t="shared" si="2"/>
        <v>333333.33333333337</v>
      </c>
      <c r="P10" s="1026">
        <f>(VLOOKUP(A10,'2324 Funding Detail'!$A$4:$AA$20,25,FALSE)*5/12)*K10</f>
        <v>403127.70079282997</v>
      </c>
      <c r="Q10" s="235"/>
      <c r="R10" s="235">
        <f t="shared" si="3"/>
        <v>0</v>
      </c>
      <c r="S10" s="233"/>
      <c r="T10" s="1127"/>
      <c r="U10" s="1127"/>
      <c r="V10" s="1118"/>
      <c r="W10" s="1118"/>
      <c r="X10" s="1118"/>
      <c r="Y10" s="1118"/>
      <c r="Z10" s="1118"/>
      <c r="AA10" s="1118"/>
      <c r="AB10" s="1118"/>
      <c r="AC10" s="1118"/>
      <c r="AD10" s="1118"/>
      <c r="AE10" s="1118"/>
      <c r="AF10" s="1118"/>
      <c r="AG10" s="1118"/>
      <c r="AH10" s="36"/>
      <c r="AI10" s="36"/>
      <c r="AJ10" s="36"/>
      <c r="AK10" s="36"/>
      <c r="AL10" s="36"/>
      <c r="AM10" s="36"/>
      <c r="AN10" s="36"/>
      <c r="AO10" s="36"/>
      <c r="AP10" s="36"/>
      <c r="AQ10" s="36"/>
      <c r="AR10" s="36"/>
      <c r="AS10" s="36"/>
      <c r="AT10" s="36"/>
      <c r="AU10" s="36"/>
      <c r="AV10" s="36"/>
      <c r="AW10" s="36"/>
      <c r="AX10" s="36"/>
      <c r="AY10" s="36"/>
      <c r="AZ10" s="36"/>
      <c r="BA10" s="36"/>
      <c r="BB10" s="36"/>
      <c r="BC10" s="36"/>
      <c r="BD10" s="36"/>
    </row>
    <row r="11" spans="1:56" x14ac:dyDescent="0.25">
      <c r="A11" s="244">
        <v>9257033</v>
      </c>
      <c r="B11" s="237" t="s">
        <v>220</v>
      </c>
      <c r="C11" s="365" t="s">
        <v>1178</v>
      </c>
      <c r="D11" s="1024">
        <f>VLOOKUP(A11,'2324 Band Moderations'!$B$5:$S$21,6,(FALSE))</f>
        <v>0.13513513513513514</v>
      </c>
      <c r="E11" s="1024">
        <f>VLOOKUP(A11,'2324 Band Moderations'!$B$5:$S$21,8,(FALSE))</f>
        <v>0.67567567567567566</v>
      </c>
      <c r="F11" s="1024">
        <f>VLOOKUP(A11,'2324 Band Moderations'!$B$5:$S$21,10,(FALSE))</f>
        <v>9.0090090090090089E-3</v>
      </c>
      <c r="G11" s="1024">
        <f>VLOOKUP(A11,'2324 Band Moderations'!$B$5:$S$21,12,(FALSE))</f>
        <v>9.0090090090090086E-2</v>
      </c>
      <c r="H11" s="1024">
        <f>VLOOKUP(A11,'2324 Band Moderations'!$B$5:$S$21,14,(FALSE))</f>
        <v>4.5045045045045043E-2</v>
      </c>
      <c r="I11" s="1024">
        <f>VLOOKUP(A11,'2324 Band Moderations'!$B$5:$S$21,16,(FALSE))</f>
        <v>2.7027027027027029E-2</v>
      </c>
      <c r="J11" s="1024">
        <f>VLOOKUP(A11,'2324 Band Moderations'!$B$5:$S$21,18,(FALSE))</f>
        <v>1.8018018018018018E-2</v>
      </c>
      <c r="K11" s="451">
        <v>112</v>
      </c>
      <c r="L11" s="1025">
        <f t="shared" si="0"/>
        <v>439470.93093093089</v>
      </c>
      <c r="M11" s="1025">
        <v>0</v>
      </c>
      <c r="N11" s="1025">
        <f t="shared" si="1"/>
        <v>439470.93093093089</v>
      </c>
      <c r="O11" s="1026">
        <f t="shared" si="2"/>
        <v>466666.66666666669</v>
      </c>
      <c r="P11" s="1026">
        <f>(VLOOKUP(A11,'2324 Funding Detail'!$A$4:$AA$20,25,FALSE)*5/12)*K11</f>
        <v>197181.04375144368</v>
      </c>
      <c r="Q11" s="235"/>
      <c r="R11" s="235">
        <f t="shared" si="3"/>
        <v>20521.561561561561</v>
      </c>
      <c r="S11" s="233"/>
      <c r="T11" s="1127"/>
      <c r="U11" s="1127"/>
      <c r="V11" s="1118"/>
      <c r="W11" s="1118"/>
      <c r="X11" s="1118"/>
      <c r="Y11" s="1118"/>
      <c r="Z11" s="1118"/>
      <c r="AA11" s="1118"/>
      <c r="AB11" s="1118"/>
      <c r="AC11" s="1118"/>
      <c r="AD11" s="1118"/>
      <c r="AE11" s="1118"/>
      <c r="AF11" s="1118"/>
      <c r="AG11" s="1118"/>
      <c r="AH11" s="36"/>
      <c r="AI11" s="36"/>
      <c r="AJ11" s="36"/>
      <c r="AK11" s="36"/>
      <c r="AL11" s="36"/>
      <c r="AM11" s="36"/>
      <c r="AN11" s="36"/>
      <c r="AO11" s="36"/>
      <c r="AP11" s="36"/>
      <c r="AQ11" s="36"/>
      <c r="AR11" s="36"/>
      <c r="AS11" s="36"/>
      <c r="AT11" s="36"/>
      <c r="AU11" s="36"/>
      <c r="AV11" s="36"/>
      <c r="AW11" s="36"/>
      <c r="AX11" s="36"/>
      <c r="AY11" s="36"/>
      <c r="AZ11" s="36"/>
      <c r="BA11" s="36"/>
      <c r="BB11" s="36"/>
      <c r="BC11" s="36"/>
      <c r="BD11" s="36"/>
    </row>
    <row r="12" spans="1:56" x14ac:dyDescent="0.25">
      <c r="A12" s="244">
        <v>9257008</v>
      </c>
      <c r="B12" s="237" t="s">
        <v>212</v>
      </c>
      <c r="C12" s="365">
        <v>4</v>
      </c>
      <c r="D12" s="1024">
        <f>VLOOKUP(A12,'2324 Band Moderations'!$B$5:$S$21,6,(FALSE))</f>
        <v>0.15841584158415842</v>
      </c>
      <c r="E12" s="1024">
        <f>VLOOKUP(A12,'2324 Band Moderations'!$B$5:$S$21,8,(FALSE))</f>
        <v>0.62376237623762376</v>
      </c>
      <c r="F12" s="1024">
        <f>VLOOKUP(A12,'2324 Band Moderations'!$B$5:$S$21,10,(FALSE))</f>
        <v>4.9504950495049507E-2</v>
      </c>
      <c r="G12" s="1024">
        <f>VLOOKUP(A12,'2324 Band Moderations'!$B$5:$S$21,12,(FALSE))</f>
        <v>0.10891089108910891</v>
      </c>
      <c r="H12" s="1024">
        <f>VLOOKUP(A12,'2324 Band Moderations'!$B$5:$S$21,14,(FALSE))</f>
        <v>0</v>
      </c>
      <c r="I12" s="1024">
        <f>VLOOKUP(A12,'2324 Band Moderations'!$B$5:$S$21,16,(FALSE))</f>
        <v>5.9405940594059403E-2</v>
      </c>
      <c r="J12" s="1024">
        <f>VLOOKUP(A12,'2324 Band Moderations'!$B$5:$S$21,18,(FALSE))</f>
        <v>0</v>
      </c>
      <c r="K12" s="451">
        <v>101</v>
      </c>
      <c r="L12" s="1025">
        <f t="shared" si="0"/>
        <v>399232.08333333337</v>
      </c>
      <c r="M12" s="1025">
        <v>0</v>
      </c>
      <c r="N12" s="1025">
        <f t="shared" si="1"/>
        <v>399232.08333333337</v>
      </c>
      <c r="O12" s="1026">
        <f t="shared" si="2"/>
        <v>420833.33333333337</v>
      </c>
      <c r="P12" s="1026">
        <f>(VLOOKUP(A12,'2324 Funding Detail'!$A$4:$AA$20,25,FALSE)*5/12)*K12</f>
        <v>200472.95833333334</v>
      </c>
      <c r="Q12" s="235"/>
      <c r="R12" s="235">
        <f t="shared" si="3"/>
        <v>0</v>
      </c>
      <c r="S12" s="233"/>
      <c r="T12" s="1127"/>
      <c r="U12" s="1127"/>
      <c r="V12" s="1118"/>
      <c r="W12" s="1118"/>
      <c r="X12" s="1118"/>
      <c r="Y12" s="1118"/>
      <c r="Z12" s="1118"/>
      <c r="AA12" s="1118"/>
      <c r="AB12" s="1118"/>
      <c r="AC12" s="1118"/>
      <c r="AD12" s="1118"/>
      <c r="AE12" s="1118"/>
      <c r="AF12" s="1118"/>
      <c r="AG12" s="1118"/>
      <c r="AH12" s="36"/>
      <c r="AI12" s="36"/>
      <c r="AJ12" s="36"/>
      <c r="AK12" s="36"/>
      <c r="AL12" s="36"/>
      <c r="AM12" s="36"/>
      <c r="AN12" s="36"/>
      <c r="AO12" s="36"/>
      <c r="AP12" s="36"/>
      <c r="AQ12" s="36"/>
      <c r="AR12" s="36"/>
      <c r="AS12" s="36"/>
      <c r="AT12" s="36"/>
      <c r="AU12" s="36"/>
      <c r="AV12" s="36"/>
      <c r="AW12" s="36"/>
      <c r="AX12" s="36"/>
      <c r="AY12" s="36"/>
      <c r="AZ12" s="36"/>
      <c r="BA12" s="36"/>
      <c r="BB12" s="36"/>
      <c r="BC12" s="36"/>
      <c r="BD12" s="36"/>
    </row>
    <row r="13" spans="1:56" x14ac:dyDescent="0.25">
      <c r="A13" s="244">
        <v>9257034</v>
      </c>
      <c r="B13" s="237" t="s">
        <v>221</v>
      </c>
      <c r="C13" s="365" t="s">
        <v>1178</v>
      </c>
      <c r="D13" s="1024">
        <f>VLOOKUP(A13,'2324 Band Moderations'!$B$5:$S$21,6,(FALSE))</f>
        <v>0.42735042735042733</v>
      </c>
      <c r="E13" s="1024">
        <f>VLOOKUP(A13,'2324 Band Moderations'!$B$5:$S$21,8,(FALSE))</f>
        <v>0.3504273504273504</v>
      </c>
      <c r="F13" s="1024">
        <f>VLOOKUP(A13,'2324 Band Moderations'!$B$5:$S$21,10,(FALSE))</f>
        <v>9.4017094017094016E-2</v>
      </c>
      <c r="G13" s="1024">
        <f>VLOOKUP(A13,'2324 Band Moderations'!$B$5:$S$21,12,(FALSE))</f>
        <v>5.128205128205128E-2</v>
      </c>
      <c r="H13" s="1024">
        <f>VLOOKUP(A13,'2324 Band Moderations'!$B$5:$S$21,14,(FALSE))</f>
        <v>2.564102564102564E-2</v>
      </c>
      <c r="I13" s="1024">
        <f>VLOOKUP(A13,'2324 Band Moderations'!$B$5:$S$21,16,(FALSE))</f>
        <v>4.2735042735042736E-2</v>
      </c>
      <c r="J13" s="1024">
        <f>VLOOKUP(A13,'2324 Band Moderations'!$B$5:$S$21,18,(FALSE))</f>
        <v>8.5470085470085479E-3</v>
      </c>
      <c r="K13" s="451">
        <v>94</v>
      </c>
      <c r="L13" s="1025">
        <f t="shared" si="0"/>
        <v>361175.24928774935</v>
      </c>
      <c r="M13" s="1025">
        <v>0</v>
      </c>
      <c r="N13" s="1025">
        <f t="shared" si="1"/>
        <v>361175.24928774935</v>
      </c>
      <c r="O13" s="1026">
        <f t="shared" si="2"/>
        <v>391666.66666666669</v>
      </c>
      <c r="P13" s="1026">
        <f>(VLOOKUP(A13,'2324 Funding Detail'!$A$4:$AA$20,25,FALSE)*5/12)*K13</f>
        <v>159380.38339227004</v>
      </c>
      <c r="Q13" s="235"/>
      <c r="R13" s="235">
        <f t="shared" si="3"/>
        <v>8170.0997150997146</v>
      </c>
      <c r="S13" s="233"/>
      <c r="T13" s="1127"/>
      <c r="U13" s="1127"/>
      <c r="V13" s="1118"/>
      <c r="W13" s="1118"/>
      <c r="X13" s="1118"/>
      <c r="Y13" s="1118"/>
      <c r="Z13" s="1118"/>
      <c r="AA13" s="1118"/>
      <c r="AB13" s="1118"/>
      <c r="AC13" s="1118"/>
      <c r="AD13" s="1118"/>
      <c r="AE13" s="1118"/>
      <c r="AF13" s="1118"/>
      <c r="AG13" s="1118"/>
      <c r="AH13" s="36"/>
      <c r="AI13" s="36"/>
      <c r="AJ13" s="36"/>
      <c r="AK13" s="36"/>
      <c r="AL13" s="36"/>
      <c r="AM13" s="36"/>
      <c r="AN13" s="36"/>
      <c r="AO13" s="36"/>
      <c r="AP13" s="36"/>
      <c r="AQ13" s="36"/>
      <c r="AR13" s="36"/>
      <c r="AS13" s="36"/>
      <c r="AT13" s="36"/>
      <c r="AU13" s="36"/>
      <c r="AV13" s="36"/>
      <c r="AW13" s="36"/>
      <c r="AX13" s="36"/>
      <c r="AY13" s="36"/>
      <c r="AZ13" s="36"/>
      <c r="BA13" s="36"/>
      <c r="BB13" s="36"/>
      <c r="BC13" s="36"/>
      <c r="BD13" s="36"/>
    </row>
    <row r="14" spans="1:56" x14ac:dyDescent="0.25">
      <c r="A14" s="244">
        <v>9257002</v>
      </c>
      <c r="B14" s="237" t="s">
        <v>213</v>
      </c>
      <c r="C14" s="365">
        <v>5</v>
      </c>
      <c r="D14" s="1024">
        <f>VLOOKUP(A14,'2324 Band Moderations'!$B$5:$S$21,6,(FALSE))</f>
        <v>0.27439024390243905</v>
      </c>
      <c r="E14" s="1024">
        <f>VLOOKUP(A14,'2324 Band Moderations'!$B$5:$S$21,8,(FALSE))</f>
        <v>0.43902439024390244</v>
      </c>
      <c r="F14" s="1024">
        <f>VLOOKUP(A14,'2324 Band Moderations'!$B$5:$S$21,10,(FALSE))</f>
        <v>0.13414634146341464</v>
      </c>
      <c r="G14" s="1024">
        <f>VLOOKUP(A14,'2324 Band Moderations'!$B$5:$S$21,12,(FALSE))</f>
        <v>3.6585365853658534E-2</v>
      </c>
      <c r="H14" s="1024">
        <f>VLOOKUP(A14,'2324 Band Moderations'!$B$5:$S$21,14,(FALSE))</f>
        <v>2.4390243902439025E-2</v>
      </c>
      <c r="I14" s="1024">
        <f>VLOOKUP(A14,'2324 Band Moderations'!$B$5:$S$21,16,(FALSE))</f>
        <v>7.926829268292683E-2</v>
      </c>
      <c r="J14" s="1024">
        <f>VLOOKUP(A14,'2324 Band Moderations'!$B$5:$S$21,18,(FALSE))</f>
        <v>1.2195121951219513E-2</v>
      </c>
      <c r="K14" s="451">
        <v>159</v>
      </c>
      <c r="L14" s="1025">
        <f t="shared" si="0"/>
        <v>661755.89939024404</v>
      </c>
      <c r="M14" s="1025">
        <v>0</v>
      </c>
      <c r="N14" s="1025">
        <f t="shared" si="1"/>
        <v>661755.89939024404</v>
      </c>
      <c r="O14" s="1026">
        <f t="shared" si="2"/>
        <v>662500</v>
      </c>
      <c r="P14" s="1026">
        <f>(VLOOKUP(A14,'2324 Funding Detail'!$A$4:$AA$20,25,FALSE)*5/12)*K14</f>
        <v>268118.38878343586</v>
      </c>
      <c r="Q14" s="235"/>
      <c r="R14" s="235">
        <f t="shared" si="3"/>
        <v>19718.262195121952</v>
      </c>
      <c r="S14" s="233"/>
      <c r="T14" s="1127"/>
      <c r="U14" s="1127"/>
      <c r="V14" s="1118"/>
      <c r="W14" s="1118"/>
      <c r="X14" s="1118"/>
      <c r="Y14" s="1118"/>
      <c r="Z14" s="1118"/>
      <c r="AA14" s="1118"/>
      <c r="AB14" s="1118"/>
      <c r="AC14" s="1118"/>
      <c r="AD14" s="1118"/>
      <c r="AE14" s="1118"/>
      <c r="AF14" s="1118"/>
      <c r="AG14" s="1118"/>
      <c r="AH14" s="36"/>
      <c r="AI14" s="36"/>
      <c r="AJ14" s="36"/>
      <c r="AK14" s="36"/>
      <c r="AL14" s="36"/>
      <c r="AM14" s="36"/>
      <c r="AN14" s="36"/>
      <c r="AO14" s="36"/>
      <c r="AP14" s="36"/>
      <c r="AQ14" s="36"/>
      <c r="AR14" s="36"/>
      <c r="AS14" s="36"/>
      <c r="AT14" s="36"/>
      <c r="AU14" s="36"/>
      <c r="AV14" s="36"/>
      <c r="AW14" s="36"/>
      <c r="AX14" s="36"/>
      <c r="AY14" s="36"/>
      <c r="AZ14" s="36"/>
      <c r="BA14" s="36"/>
      <c r="BB14" s="36"/>
      <c r="BC14" s="36"/>
      <c r="BD14" s="36"/>
    </row>
    <row r="15" spans="1:56" x14ac:dyDescent="0.25">
      <c r="A15" s="244">
        <v>9257009</v>
      </c>
      <c r="B15" s="237" t="s">
        <v>997</v>
      </c>
      <c r="C15" s="365" t="s">
        <v>1178</v>
      </c>
      <c r="D15" s="1024">
        <f>VLOOKUP(A15,'2324 Band Moderations'!$B$5:$S$21,6,(FALSE))</f>
        <v>0.17258883248730963</v>
      </c>
      <c r="E15" s="1024">
        <f>VLOOKUP(A15,'2324 Band Moderations'!$B$5:$S$21,8,(FALSE))</f>
        <v>0.50761421319796951</v>
      </c>
      <c r="F15" s="1024">
        <f>VLOOKUP(A15,'2324 Band Moderations'!$B$5:$S$21,10,(FALSE))</f>
        <v>6.5989847715736044E-2</v>
      </c>
      <c r="G15" s="1024">
        <f>VLOOKUP(A15,'2324 Band Moderations'!$B$5:$S$21,12,(FALSE))</f>
        <v>8.1218274111675121E-2</v>
      </c>
      <c r="H15" s="1024">
        <f>VLOOKUP(A15,'2324 Band Moderations'!$B$5:$S$21,14,(FALSE))</f>
        <v>3.553299492385787E-2</v>
      </c>
      <c r="I15" s="1024">
        <f>VLOOKUP(A15,'2324 Band Moderations'!$B$5:$S$21,16,(FALSE))</f>
        <v>8.6294416243654817E-2</v>
      </c>
      <c r="J15" s="1024">
        <f>VLOOKUP(A15,'2324 Band Moderations'!$B$5:$S$21,18,(FALSE))</f>
        <v>5.0761421319796954E-2</v>
      </c>
      <c r="K15" s="451">
        <f>139+52</f>
        <v>191</v>
      </c>
      <c r="L15" s="1025">
        <f t="shared" si="0"/>
        <v>854843.36505922175</v>
      </c>
      <c r="M15" s="1025">
        <v>0</v>
      </c>
      <c r="N15" s="1025">
        <f t="shared" si="1"/>
        <v>854843.36505922175</v>
      </c>
      <c r="O15" s="1026">
        <f t="shared" si="2"/>
        <v>795833.33333333337</v>
      </c>
      <c r="P15" s="1026">
        <f>(VLOOKUP(A15,'2324 Funding Detail'!$A$4:$AA$20,25,FALSE)*5/12)*K15</f>
        <v>375791.19919628836</v>
      </c>
      <c r="Q15" s="235"/>
      <c r="R15" s="235">
        <f t="shared" si="3"/>
        <v>98594.458544839246</v>
      </c>
      <c r="S15" s="233"/>
      <c r="T15" s="1127"/>
      <c r="U15" s="1127"/>
      <c r="V15" s="1118"/>
      <c r="W15" s="1118"/>
      <c r="X15" s="1118"/>
      <c r="Y15" s="1118"/>
      <c r="Z15" s="1118"/>
      <c r="AA15" s="1118"/>
      <c r="AB15" s="1118"/>
      <c r="AC15" s="1118"/>
      <c r="AD15" s="1118"/>
      <c r="AE15" s="1118"/>
      <c r="AF15" s="1118"/>
      <c r="AG15" s="1118"/>
      <c r="AH15" s="36"/>
      <c r="AI15" s="36"/>
      <c r="AJ15" s="36"/>
      <c r="AK15" s="36"/>
      <c r="AL15" s="36"/>
      <c r="AM15" s="36"/>
      <c r="AN15" s="36"/>
      <c r="AO15" s="36"/>
      <c r="AP15" s="36"/>
      <c r="AQ15" s="36"/>
      <c r="AR15" s="36"/>
      <c r="AS15" s="36"/>
      <c r="AT15" s="36"/>
      <c r="AU15" s="36"/>
      <c r="AV15" s="36"/>
      <c r="AW15" s="36"/>
      <c r="AX15" s="36"/>
      <c r="AY15" s="36"/>
      <c r="AZ15" s="36"/>
      <c r="BA15" s="36"/>
      <c r="BB15" s="36"/>
      <c r="BC15" s="36"/>
      <c r="BD15" s="36"/>
    </row>
    <row r="16" spans="1:56" x14ac:dyDescent="0.25">
      <c r="A16" s="244">
        <v>9257029</v>
      </c>
      <c r="B16" s="237" t="s">
        <v>890</v>
      </c>
      <c r="C16" s="365" t="s">
        <v>1179</v>
      </c>
      <c r="D16" s="1024">
        <f>VLOOKUP(A16,'2324 Band Moderations'!$B$5:$S$21,6,(FALSE))</f>
        <v>0</v>
      </c>
      <c r="E16" s="1024">
        <f>VLOOKUP(A16,'2324 Band Moderations'!$B$5:$S$21,8,(FALSE))</f>
        <v>0</v>
      </c>
      <c r="F16" s="1024">
        <f>VLOOKUP(A16,'2324 Band Moderations'!$B$5:$S$21,10,(FALSE))</f>
        <v>1</v>
      </c>
      <c r="G16" s="1024">
        <f>VLOOKUP(A16,'2324 Band Moderations'!$B$5:$S$21,12,(FALSE))</f>
        <v>0</v>
      </c>
      <c r="H16" s="1024">
        <f>VLOOKUP(A16,'2324 Band Moderations'!$B$5:$S$21,14,(FALSE))</f>
        <v>0</v>
      </c>
      <c r="I16" s="1024">
        <f>VLOOKUP(A16,'2324 Band Moderations'!$B$5:$S$21,16,(FALSE))</f>
        <v>0</v>
      </c>
      <c r="J16" s="1024">
        <f>VLOOKUP(A16,'2324 Band Moderations'!$B$5:$S$21,18,(FALSE))</f>
        <v>0</v>
      </c>
      <c r="K16" s="451">
        <v>79</v>
      </c>
      <c r="L16" s="1025">
        <f t="shared" si="0"/>
        <v>512413.75</v>
      </c>
      <c r="M16" s="1025">
        <v>0</v>
      </c>
      <c r="N16" s="1025">
        <f t="shared" si="1"/>
        <v>512413.75</v>
      </c>
      <c r="O16" s="1026">
        <f t="shared" si="2"/>
        <v>329166.66666666669</v>
      </c>
      <c r="P16" s="1026">
        <f>(VLOOKUP(A16,'2324 Funding Detail'!$A$4:$AA$20,25,FALSE)*5/12)*K16</f>
        <v>390545.64583333337</v>
      </c>
      <c r="Q16" s="235"/>
      <c r="R16" s="235">
        <f t="shared" si="3"/>
        <v>0</v>
      </c>
      <c r="S16" s="233"/>
      <c r="T16" s="1127"/>
      <c r="U16" s="1127"/>
      <c r="V16" s="1118"/>
      <c r="W16" s="1118"/>
      <c r="X16" s="1118"/>
      <c r="Y16" s="1118"/>
      <c r="Z16" s="1118"/>
      <c r="AA16" s="1118"/>
      <c r="AB16" s="1118"/>
      <c r="AC16" s="1118"/>
      <c r="AD16" s="1118"/>
      <c r="AE16" s="1118"/>
      <c r="AF16" s="1118"/>
      <c r="AG16" s="1118"/>
      <c r="AH16" s="36"/>
      <c r="AI16" s="36"/>
      <c r="AJ16" s="36"/>
      <c r="AK16" s="36"/>
      <c r="AL16" s="36"/>
      <c r="AM16" s="36"/>
      <c r="AN16" s="36"/>
      <c r="AO16" s="36"/>
      <c r="AP16" s="36"/>
      <c r="AQ16" s="36"/>
      <c r="AR16" s="36"/>
      <c r="AS16" s="36"/>
      <c r="AT16" s="36"/>
      <c r="AU16" s="36"/>
      <c r="AV16" s="36"/>
      <c r="AW16" s="36"/>
      <c r="AX16" s="36"/>
      <c r="AY16" s="36"/>
      <c r="AZ16" s="36"/>
      <c r="BA16" s="36"/>
      <c r="BB16" s="36"/>
      <c r="BC16" s="36"/>
      <c r="BD16" s="36"/>
    </row>
    <row r="17" spans="1:56" x14ac:dyDescent="0.25">
      <c r="A17" s="244">
        <v>9257032</v>
      </c>
      <c r="B17" s="237" t="s">
        <v>1043</v>
      </c>
      <c r="C17" s="365" t="s">
        <v>1179</v>
      </c>
      <c r="D17" s="1024">
        <f>VLOOKUP(A17,'2324 Band Moderations'!$B$5:$S$21,6,(FALSE))</f>
        <v>0</v>
      </c>
      <c r="E17" s="1024">
        <f>VLOOKUP(A17,'2324 Band Moderations'!$B$5:$S$21,8,(FALSE))</f>
        <v>0</v>
      </c>
      <c r="F17" s="1024">
        <f>VLOOKUP(A17,'2324 Band Moderations'!$B$5:$S$21,10,(FALSE))</f>
        <v>1</v>
      </c>
      <c r="G17" s="1024">
        <f>VLOOKUP(A17,'2324 Band Moderations'!$B$5:$S$21,12,(FALSE))</f>
        <v>0</v>
      </c>
      <c r="H17" s="1024">
        <f>VLOOKUP(A17,'2324 Band Moderations'!$B$5:$S$21,14,(FALSE))</f>
        <v>0</v>
      </c>
      <c r="I17" s="1024">
        <f>VLOOKUP(A17,'2324 Band Moderations'!$B$5:$S$21,16,(FALSE))</f>
        <v>0</v>
      </c>
      <c r="J17" s="1024">
        <f>VLOOKUP(A17,'2324 Band Moderations'!$B$5:$S$21,18,(FALSE))</f>
        <v>0</v>
      </c>
      <c r="K17" s="451">
        <v>104</v>
      </c>
      <c r="L17" s="1025">
        <f t="shared" si="0"/>
        <v>674570</v>
      </c>
      <c r="M17" s="1025">
        <v>0</v>
      </c>
      <c r="N17" s="1025">
        <f t="shared" si="1"/>
        <v>674570</v>
      </c>
      <c r="O17" s="1026">
        <f t="shared" si="2"/>
        <v>433333.33333333337</v>
      </c>
      <c r="P17" s="1026">
        <f>(VLOOKUP(A17,'2324 Funding Detail'!$A$4:$AA$20,25,FALSE)*5/12)*K17</f>
        <v>440450.13836477976</v>
      </c>
      <c r="Q17" s="235"/>
      <c r="R17" s="235">
        <f t="shared" si="3"/>
        <v>0</v>
      </c>
      <c r="S17" s="269"/>
      <c r="T17" s="1127"/>
      <c r="U17" s="1127"/>
      <c r="V17" s="1118"/>
      <c r="W17" s="1118"/>
      <c r="X17" s="1118"/>
      <c r="Y17" s="1118"/>
      <c r="Z17" s="1118"/>
      <c r="AA17" s="1118"/>
      <c r="AB17" s="1118"/>
      <c r="AC17" s="1118"/>
      <c r="AD17" s="1118"/>
      <c r="AE17" s="1118"/>
      <c r="AF17" s="1118"/>
      <c r="AG17" s="1118"/>
      <c r="AH17" s="36"/>
      <c r="AI17" s="36"/>
      <c r="AJ17" s="36"/>
      <c r="AK17" s="36"/>
      <c r="AL17" s="36"/>
      <c r="AM17" s="36"/>
      <c r="AN17" s="36"/>
      <c r="AO17" s="36"/>
      <c r="AP17" s="36"/>
      <c r="AQ17" s="36"/>
      <c r="AR17" s="36"/>
      <c r="AS17" s="36"/>
      <c r="AT17" s="36"/>
      <c r="AU17" s="36"/>
      <c r="AV17" s="36"/>
      <c r="AW17" s="36"/>
      <c r="AX17" s="36"/>
      <c r="AY17" s="36"/>
      <c r="AZ17" s="36"/>
      <c r="BA17" s="36"/>
      <c r="BB17" s="36"/>
      <c r="BC17" s="36"/>
      <c r="BD17" s="36"/>
    </row>
    <row r="18" spans="1:56" x14ac:dyDescent="0.25">
      <c r="A18" s="244">
        <v>9257030</v>
      </c>
      <c r="B18" s="237" t="s">
        <v>1046</v>
      </c>
      <c r="C18" s="365" t="s">
        <v>1179</v>
      </c>
      <c r="D18" s="1024">
        <f>VLOOKUP(A18,'2324 Band Moderations'!$B$5:$S$21,6,(FALSE))</f>
        <v>0</v>
      </c>
      <c r="E18" s="1024">
        <f>VLOOKUP(A18,'2324 Band Moderations'!$B$5:$S$21,8,(FALSE))</f>
        <v>0</v>
      </c>
      <c r="F18" s="1024">
        <f>VLOOKUP(A18,'2324 Band Moderations'!$B$5:$S$21,10,(FALSE))</f>
        <v>1</v>
      </c>
      <c r="G18" s="1024">
        <f>VLOOKUP(A18,'2324 Band Moderations'!$B$5:$S$21,12,(FALSE))</f>
        <v>0</v>
      </c>
      <c r="H18" s="1024">
        <f>VLOOKUP(A18,'2324 Band Moderations'!$B$5:$S$21,14,(FALSE))</f>
        <v>0</v>
      </c>
      <c r="I18" s="1024">
        <f>VLOOKUP(A18,'2324 Band Moderations'!$B$5:$S$21,16,(FALSE))</f>
        <v>0</v>
      </c>
      <c r="J18" s="1024">
        <f>VLOOKUP(A18,'2324 Band Moderations'!$B$5:$S$21,18,(FALSE))</f>
        <v>0</v>
      </c>
      <c r="K18" s="451">
        <v>70</v>
      </c>
      <c r="L18" s="1025">
        <f t="shared" si="0"/>
        <v>454037.5</v>
      </c>
      <c r="M18" s="1025">
        <v>0</v>
      </c>
      <c r="N18" s="1025">
        <f t="shared" si="1"/>
        <v>454037.5</v>
      </c>
      <c r="O18" s="1026">
        <f t="shared" si="2"/>
        <v>291666.66666666669</v>
      </c>
      <c r="P18" s="1026">
        <f>(VLOOKUP(A18,'2324 Funding Detail'!$A$4:$AA$20,25,FALSE)*5/12)*K18</f>
        <v>372067.58434819343</v>
      </c>
      <c r="Q18" s="235"/>
      <c r="R18" s="235">
        <f t="shared" si="3"/>
        <v>0</v>
      </c>
      <c r="S18" s="269"/>
      <c r="T18" s="1127"/>
      <c r="U18" s="1127"/>
      <c r="V18" s="1118"/>
      <c r="W18" s="1118"/>
      <c r="X18" s="1118"/>
      <c r="Y18" s="1118"/>
      <c r="Z18" s="1118"/>
      <c r="AA18" s="1118"/>
      <c r="AB18" s="1118"/>
      <c r="AC18" s="1118"/>
      <c r="AD18" s="1118"/>
      <c r="AE18" s="1118"/>
      <c r="AF18" s="1118"/>
      <c r="AG18" s="1118"/>
      <c r="AH18" s="36"/>
      <c r="AI18" s="36"/>
      <c r="AJ18" s="36"/>
      <c r="AK18" s="36"/>
      <c r="AL18" s="36"/>
      <c r="AM18" s="36"/>
      <c r="AN18" s="36"/>
      <c r="AO18" s="36"/>
      <c r="AP18" s="36"/>
      <c r="AQ18" s="36"/>
      <c r="AR18" s="36"/>
      <c r="AS18" s="36"/>
      <c r="AT18" s="36"/>
      <c r="AU18" s="36"/>
      <c r="AV18" s="36"/>
      <c r="AW18" s="36"/>
      <c r="AX18" s="36"/>
      <c r="AY18" s="36"/>
      <c r="AZ18" s="36"/>
      <c r="BA18" s="36"/>
      <c r="BB18" s="36"/>
      <c r="BC18" s="36"/>
      <c r="BD18" s="36"/>
    </row>
    <row r="19" spans="1:56" x14ac:dyDescent="0.25">
      <c r="A19" s="244">
        <v>9257028</v>
      </c>
      <c r="B19" s="237" t="s">
        <v>215</v>
      </c>
      <c r="C19" s="365">
        <v>5</v>
      </c>
      <c r="D19" s="1024">
        <f>VLOOKUP(A19,'2324 Band Moderations'!$B$5:$S$21,6,(FALSE))</f>
        <v>9.0163934426229511E-2</v>
      </c>
      <c r="E19" s="1024">
        <f>VLOOKUP(A19,'2324 Band Moderations'!$B$5:$S$21,8,(FALSE))</f>
        <v>0.45901639344262296</v>
      </c>
      <c r="F19" s="1024">
        <f>VLOOKUP(A19,'2324 Band Moderations'!$B$5:$S$21,10,(FALSE))</f>
        <v>6.5573770491803282E-2</v>
      </c>
      <c r="G19" s="1024">
        <f>VLOOKUP(A19,'2324 Band Moderations'!$B$5:$S$21,12,(FALSE))</f>
        <v>8.1967213114754092E-2</v>
      </c>
      <c r="H19" s="1024">
        <f>VLOOKUP(A19,'2324 Band Moderations'!$B$5:$S$21,14,(FALSE))</f>
        <v>9.0163934426229511E-2</v>
      </c>
      <c r="I19" s="1024">
        <f>VLOOKUP(A19,'2324 Band Moderations'!$B$5:$S$21,16,(FALSE))</f>
        <v>6.5573770491803282E-2</v>
      </c>
      <c r="J19" s="1024">
        <f>VLOOKUP(A19,'2324 Band Moderations'!$B$5:$S$21,18,(FALSE))</f>
        <v>0.14754098360655737</v>
      </c>
      <c r="K19" s="451">
        <v>126</v>
      </c>
      <c r="L19" s="1025">
        <f t="shared" si="0"/>
        <v>666454.79508196726</v>
      </c>
      <c r="M19" s="1025">
        <v>0</v>
      </c>
      <c r="N19" s="1025">
        <f t="shared" si="1"/>
        <v>666454.79508196726</v>
      </c>
      <c r="O19" s="1026">
        <f t="shared" si="2"/>
        <v>525000</v>
      </c>
      <c r="P19" s="1026">
        <f>(VLOOKUP(A19,'2324 Funding Detail'!$A$4:$AA$20,25,FALSE)*5/12)*K19</f>
        <v>396080.766836775</v>
      </c>
      <c r="Q19" s="235"/>
      <c r="R19" s="235">
        <f t="shared" si="3"/>
        <v>189046.47540983604</v>
      </c>
      <c r="S19" s="269"/>
      <c r="T19" s="1127"/>
      <c r="U19" s="1127"/>
      <c r="V19" s="1118"/>
      <c r="W19" s="1118"/>
      <c r="X19" s="1118"/>
      <c r="Y19" s="1118"/>
      <c r="Z19" s="1118"/>
      <c r="AA19" s="1118"/>
      <c r="AB19" s="1118"/>
      <c r="AC19" s="1118"/>
      <c r="AD19" s="1118"/>
      <c r="AE19" s="1118"/>
      <c r="AF19" s="1118"/>
      <c r="AG19" s="1118"/>
      <c r="AH19" s="36"/>
      <c r="AI19" s="36"/>
      <c r="AJ19" s="36"/>
      <c r="AK19" s="36"/>
      <c r="AL19" s="36"/>
      <c r="AM19" s="36"/>
      <c r="AN19" s="36"/>
      <c r="AO19" s="36"/>
      <c r="AP19" s="36"/>
      <c r="AQ19" s="36"/>
      <c r="AR19" s="36"/>
      <c r="AS19" s="36"/>
      <c r="AT19" s="36"/>
      <c r="AU19" s="36"/>
      <c r="AV19" s="36"/>
      <c r="AW19" s="36"/>
      <c r="AX19" s="36"/>
      <c r="AY19" s="36"/>
      <c r="AZ19" s="36"/>
      <c r="BA19" s="36"/>
      <c r="BB19" s="36"/>
      <c r="BC19" s="36"/>
      <c r="BD19" s="36"/>
    </row>
    <row r="20" spans="1:56" x14ac:dyDescent="0.25">
      <c r="A20" s="244">
        <v>9257021</v>
      </c>
      <c r="B20" s="237" t="s">
        <v>216</v>
      </c>
      <c r="C20" s="365" t="s">
        <v>1180</v>
      </c>
      <c r="D20" s="1024">
        <f>VLOOKUP(A20,'2324 Band Moderations'!$B$5:$S$21,6,(FALSE))</f>
        <v>0.21176470588235294</v>
      </c>
      <c r="E20" s="1024">
        <f>VLOOKUP(A20,'2324 Band Moderations'!$B$5:$S$21,8,(FALSE))</f>
        <v>0.52352941176470591</v>
      </c>
      <c r="F20" s="1024">
        <f>VLOOKUP(A20,'2324 Band Moderations'!$B$5:$S$21,10,(FALSE))</f>
        <v>0.10588235294117647</v>
      </c>
      <c r="G20" s="1024">
        <f>VLOOKUP(A20,'2324 Band Moderations'!$B$5:$S$21,12,(FALSE))</f>
        <v>7.0588235294117646E-2</v>
      </c>
      <c r="H20" s="1024">
        <f>VLOOKUP(A20,'2324 Band Moderations'!$B$5:$S$21,14,(FALSE))</f>
        <v>2.9411764705882353E-2</v>
      </c>
      <c r="I20" s="1024">
        <f>VLOOKUP(A20,'2324 Band Moderations'!$B$5:$S$21,16,(FALSE))</f>
        <v>4.7058823529411764E-2</v>
      </c>
      <c r="J20" s="1024">
        <f>VLOOKUP(A20,'2324 Band Moderations'!$B$5:$S$21,18,(FALSE))</f>
        <v>1.1764705882352941E-2</v>
      </c>
      <c r="K20" s="451">
        <v>178</v>
      </c>
      <c r="L20" s="1025">
        <f t="shared" si="0"/>
        <v>731445.62745098036</v>
      </c>
      <c r="M20" s="1025">
        <v>0</v>
      </c>
      <c r="N20" s="1025">
        <f t="shared" si="1"/>
        <v>731445.62745098036</v>
      </c>
      <c r="O20" s="1026">
        <f t="shared" si="2"/>
        <v>741666.66666666674</v>
      </c>
      <c r="P20" s="1026">
        <f>(VLOOKUP(A20,'2324 Funding Detail'!$A$4:$AA$20,25,FALSE)*5/12)*K20</f>
        <v>277072.41435407568</v>
      </c>
      <c r="Q20" s="235"/>
      <c r="R20" s="235">
        <f t="shared" si="3"/>
        <v>21295.431372549017</v>
      </c>
      <c r="S20" s="269"/>
      <c r="T20" s="1127"/>
      <c r="U20" s="1127"/>
      <c r="V20" s="1118"/>
      <c r="W20" s="1118"/>
      <c r="X20" s="1118"/>
      <c r="Y20" s="1118"/>
      <c r="Z20" s="1118"/>
      <c r="AA20" s="1118"/>
      <c r="AB20" s="1118"/>
      <c r="AC20" s="1118"/>
      <c r="AD20" s="1118"/>
      <c r="AE20" s="1118"/>
      <c r="AF20" s="1118"/>
      <c r="AG20" s="1118"/>
      <c r="AH20" s="36"/>
      <c r="AI20" s="36"/>
      <c r="AJ20" s="36"/>
      <c r="AK20" s="36"/>
      <c r="AL20" s="36"/>
      <c r="AM20" s="36"/>
      <c r="AN20" s="36"/>
      <c r="AO20" s="36"/>
      <c r="AP20" s="36"/>
      <c r="AQ20" s="36"/>
      <c r="AR20" s="36"/>
      <c r="AS20" s="36"/>
      <c r="AT20" s="36"/>
      <c r="AU20" s="36"/>
      <c r="AV20" s="36"/>
      <c r="AW20" s="36"/>
      <c r="AX20" s="36"/>
      <c r="AY20" s="36"/>
      <c r="AZ20" s="36"/>
      <c r="BA20" s="36"/>
      <c r="BB20" s="36"/>
      <c r="BC20" s="36"/>
      <c r="BD20" s="36"/>
    </row>
    <row r="21" spans="1:56" x14ac:dyDescent="0.25">
      <c r="A21" s="244">
        <v>9257015</v>
      </c>
      <c r="B21" s="237" t="s">
        <v>217</v>
      </c>
      <c r="C21" s="365" t="s">
        <v>1181</v>
      </c>
      <c r="D21" s="1024">
        <f>VLOOKUP(A21,'2324 Band Moderations'!$B$5:$S$21,6,(FALSE))</f>
        <v>0.26991150442477874</v>
      </c>
      <c r="E21" s="1024">
        <f>VLOOKUP(A21,'2324 Band Moderations'!$B$5:$S$21,8,(FALSE))</f>
        <v>0.42035398230088494</v>
      </c>
      <c r="F21" s="1024">
        <f>VLOOKUP(A21,'2324 Band Moderations'!$B$5:$S$21,10,(FALSE))</f>
        <v>2.2123893805309734E-2</v>
      </c>
      <c r="G21" s="1024">
        <f>VLOOKUP(A21,'2324 Band Moderations'!$B$5:$S$21,12,(FALSE))</f>
        <v>8.8495575221238937E-2</v>
      </c>
      <c r="H21" s="1024">
        <f>VLOOKUP(A21,'2324 Band Moderations'!$B$5:$S$21,14,(FALSE))</f>
        <v>2.2123893805309734E-2</v>
      </c>
      <c r="I21" s="1024">
        <f>VLOOKUP(A21,'2324 Band Moderations'!$B$5:$S$21,16,(FALSE))</f>
        <v>0.15929203539823009</v>
      </c>
      <c r="J21" s="1024">
        <f>VLOOKUP(A21,'2324 Band Moderations'!$B$5:$S$21,18,(FALSE))</f>
        <v>1.7699115044247787E-2</v>
      </c>
      <c r="K21" s="451">
        <v>209</v>
      </c>
      <c r="L21" s="1025">
        <f t="shared" si="0"/>
        <v>901569.51143067842</v>
      </c>
      <c r="M21" s="1025">
        <v>0</v>
      </c>
      <c r="N21" s="1025">
        <f t="shared" si="1"/>
        <v>901569.51143067842</v>
      </c>
      <c r="O21" s="1026">
        <f t="shared" si="2"/>
        <v>870833.33333333337</v>
      </c>
      <c r="P21" s="1026">
        <f>(VLOOKUP(A21,'2324 Funding Detail'!$A$4:$AA$20,25,FALSE)*5/12)*K21</f>
        <v>338678.94836761511</v>
      </c>
      <c r="Q21" s="235"/>
      <c r="R21" s="235">
        <f t="shared" si="3"/>
        <v>37616.917404129788</v>
      </c>
      <c r="S21" s="269"/>
      <c r="T21" s="1127"/>
      <c r="U21" s="1127"/>
      <c r="V21" s="1118"/>
      <c r="W21" s="1118"/>
      <c r="X21" s="1118"/>
      <c r="Y21" s="1118"/>
      <c r="Z21" s="1118"/>
      <c r="AA21" s="1118"/>
      <c r="AB21" s="1118"/>
      <c r="AC21" s="1118"/>
      <c r="AD21" s="1118"/>
      <c r="AE21" s="1118"/>
      <c r="AF21" s="1118"/>
      <c r="AG21" s="1118"/>
      <c r="AH21" s="36"/>
      <c r="AI21" s="36"/>
      <c r="AJ21" s="36"/>
      <c r="AK21" s="36"/>
      <c r="AL21" s="36"/>
      <c r="AM21" s="36"/>
      <c r="AN21" s="36"/>
      <c r="AO21" s="36"/>
      <c r="AP21" s="36"/>
      <c r="AQ21" s="36"/>
      <c r="AR21" s="36"/>
      <c r="AS21" s="36"/>
      <c r="AT21" s="36"/>
      <c r="AU21" s="36"/>
      <c r="AV21" s="36"/>
      <c r="AW21" s="36"/>
      <c r="AX21" s="36"/>
      <c r="AY21" s="36"/>
      <c r="AZ21" s="36"/>
      <c r="BA21" s="36"/>
      <c r="BB21" s="36"/>
      <c r="BC21" s="36"/>
      <c r="BD21" s="36"/>
    </row>
    <row r="22" spans="1:56" x14ac:dyDescent="0.25">
      <c r="A22" s="244">
        <v>9257016</v>
      </c>
      <c r="B22" s="237" t="s">
        <v>219</v>
      </c>
      <c r="C22" s="365" t="s">
        <v>1181</v>
      </c>
      <c r="D22" s="1024">
        <f>VLOOKUP(A22,'2324 Band Moderations'!$B$5:$S$21,6,(FALSE))</f>
        <v>0.11874999999999999</v>
      </c>
      <c r="E22" s="1024">
        <f>VLOOKUP(A22,'2324 Band Moderations'!$B$5:$S$21,8,(FALSE))</f>
        <v>0.21249999999999999</v>
      </c>
      <c r="F22" s="1024">
        <f>VLOOKUP(A22,'2324 Band Moderations'!$B$5:$S$21,10,(FALSE))</f>
        <v>1.2500000000000001E-2</v>
      </c>
      <c r="G22" s="1024">
        <f>VLOOKUP(A22,'2324 Band Moderations'!$B$5:$S$21,12,(FALSE))</f>
        <v>0.24374999999999999</v>
      </c>
      <c r="H22" s="1024">
        <f>VLOOKUP(A22,'2324 Band Moderations'!$B$5:$S$21,14,(FALSE))</f>
        <v>0.18124999999999999</v>
      </c>
      <c r="I22" s="1024">
        <f>VLOOKUP(A22,'2324 Band Moderations'!$B$5:$S$21,16,(FALSE))</f>
        <v>1.8749999999999999E-2</v>
      </c>
      <c r="J22" s="1024">
        <f>VLOOKUP(A22,'2324 Band Moderations'!$B$5:$S$21,18,(FALSE))</f>
        <v>0.21249999999999999</v>
      </c>
      <c r="K22" s="451">
        <v>112</v>
      </c>
      <c r="L22" s="1025">
        <f t="shared" si="0"/>
        <v>696212.41666666686</v>
      </c>
      <c r="M22" s="1025">
        <v>0</v>
      </c>
      <c r="N22" s="1025">
        <f t="shared" si="1"/>
        <v>696212.41666666686</v>
      </c>
      <c r="O22" s="1026">
        <f t="shared" si="2"/>
        <v>466666.66666666669</v>
      </c>
      <c r="P22" s="1026">
        <f>(VLOOKUP(A22,'2324 Funding Detail'!$A$4:$AA$20,25,FALSE)*5/12)*K22</f>
        <v>452672.49470232113</v>
      </c>
      <c r="Q22" s="299" t="s">
        <v>207</v>
      </c>
      <c r="R22" s="235">
        <f t="shared" si="3"/>
        <v>242026.16666666666</v>
      </c>
      <c r="S22" s="269"/>
      <c r="T22" s="1127"/>
      <c r="U22" s="1127"/>
      <c r="V22" s="1118"/>
      <c r="W22" s="1118"/>
      <c r="X22" s="1118"/>
      <c r="Y22" s="1118"/>
      <c r="Z22" s="1118"/>
      <c r="AA22" s="1118"/>
      <c r="AB22" s="1118"/>
      <c r="AC22" s="1118"/>
      <c r="AD22" s="1118"/>
      <c r="AE22" s="1118"/>
      <c r="AF22" s="1118"/>
      <c r="AG22" s="1118"/>
      <c r="AH22" s="36"/>
      <c r="AI22" s="36"/>
      <c r="AJ22" s="36"/>
      <c r="AK22" s="36"/>
      <c r="AL22" s="36"/>
      <c r="AM22" s="36"/>
      <c r="AN22" s="36"/>
      <c r="AO22" s="36"/>
      <c r="AP22" s="36"/>
      <c r="AQ22" s="36"/>
      <c r="AR22" s="36"/>
      <c r="AS22" s="36"/>
      <c r="AT22" s="36"/>
      <c r="AU22" s="36"/>
      <c r="AV22" s="36"/>
      <c r="AW22" s="36"/>
      <c r="AX22" s="36"/>
      <c r="AY22" s="36"/>
      <c r="AZ22" s="36"/>
      <c r="BA22" s="36"/>
      <c r="BB22" s="36"/>
      <c r="BC22" s="36"/>
      <c r="BD22" s="36"/>
    </row>
    <row r="23" spans="1:56" x14ac:dyDescent="0.25">
      <c r="A23" s="249"/>
      <c r="B23" s="36"/>
      <c r="C23" s="234"/>
      <c r="D23" s="268"/>
      <c r="E23" s="268"/>
      <c r="F23" s="36"/>
      <c r="G23" s="268"/>
      <c r="H23" s="268"/>
      <c r="I23" s="268"/>
      <c r="J23" s="268"/>
      <c r="K23" s="268"/>
      <c r="L23" s="269"/>
      <c r="M23" s="36"/>
      <c r="N23" s="235"/>
      <c r="O23" s="235"/>
      <c r="P23" s="235"/>
      <c r="Q23" s="299" t="s">
        <v>207</v>
      </c>
      <c r="R23" s="269"/>
      <c r="S23" s="269"/>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row>
    <row r="24" spans="1:56" ht="13" x14ac:dyDescent="0.3">
      <c r="A24" s="93" t="s">
        <v>1631</v>
      </c>
      <c r="B24" s="36"/>
      <c r="C24" s="234"/>
      <c r="D24" s="268"/>
      <c r="E24" s="268"/>
      <c r="F24" s="268"/>
      <c r="G24" s="268"/>
      <c r="H24" s="268"/>
      <c r="I24" s="268"/>
      <c r="J24" s="268"/>
      <c r="K24" s="269"/>
      <c r="L24" s="269"/>
      <c r="M24" s="299" t="s">
        <v>207</v>
      </c>
      <c r="N24" s="235"/>
      <c r="O24" s="235"/>
      <c r="P24" s="235"/>
      <c r="Q24" s="235"/>
      <c r="R24" s="269"/>
      <c r="S24" s="269"/>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row>
    <row r="25" spans="1:56" x14ac:dyDescent="0.25">
      <c r="A25" s="249"/>
      <c r="B25" s="36"/>
      <c r="C25" s="234"/>
      <c r="D25" s="268"/>
      <c r="E25" s="268"/>
      <c r="F25" s="268"/>
      <c r="G25" s="268"/>
      <c r="H25" s="268"/>
      <c r="I25" s="268"/>
      <c r="J25" s="268"/>
      <c r="K25" s="94" t="s">
        <v>1624</v>
      </c>
      <c r="L25" s="269"/>
      <c r="M25" s="269"/>
      <c r="N25" s="235"/>
      <c r="O25" s="1445" t="s">
        <v>238</v>
      </c>
      <c r="P25" s="1446"/>
      <c r="Q25" s="235"/>
      <c r="R25" s="269"/>
      <c r="S25" s="269"/>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row>
    <row r="26" spans="1:56" ht="37.5" x14ac:dyDescent="0.25">
      <c r="A26" s="265" t="s">
        <v>182</v>
      </c>
      <c r="B26" s="237" t="s">
        <v>183</v>
      </c>
      <c r="C26" s="238" t="s">
        <v>184</v>
      </c>
      <c r="D26" s="234" t="s">
        <v>901</v>
      </c>
      <c r="E26" s="234" t="s">
        <v>902</v>
      </c>
      <c r="F26" s="234" t="s">
        <v>903</v>
      </c>
      <c r="G26" s="234" t="s">
        <v>904</v>
      </c>
      <c r="H26" s="234" t="s">
        <v>905</v>
      </c>
      <c r="I26" s="234" t="s">
        <v>906</v>
      </c>
      <c r="J26" s="234" t="s">
        <v>907</v>
      </c>
      <c r="K26" s="243" t="s">
        <v>264</v>
      </c>
      <c r="L26" s="243" t="s">
        <v>265</v>
      </c>
      <c r="M26" s="243" t="s">
        <v>266</v>
      </c>
      <c r="N26" s="243" t="s">
        <v>265</v>
      </c>
      <c r="O26" s="276" t="s">
        <v>267</v>
      </c>
      <c r="P26" s="320" t="s">
        <v>268</v>
      </c>
      <c r="Q26" s="243"/>
      <c r="R26" s="243"/>
      <c r="S26" s="27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row>
    <row r="27" spans="1:56" x14ac:dyDescent="0.25">
      <c r="A27" s="244">
        <v>9257010</v>
      </c>
      <c r="B27" s="237" t="s">
        <v>1164</v>
      </c>
      <c r="C27" s="365">
        <v>5</v>
      </c>
      <c r="D27" s="1024">
        <f>VLOOKUP(A27,'2324 Band Moderations'!$B$5:$S$21,6,(FALSE))</f>
        <v>0.1111111111111111</v>
      </c>
      <c r="E27" s="1024">
        <f>VLOOKUP(A27,'2324 Band Moderations'!$B$5:$S$21,8,(FALSE))</f>
        <v>0.48412698412698413</v>
      </c>
      <c r="F27" s="1024">
        <f>VLOOKUP(A27,'2324 Band Moderations'!$B$5:$S$21,10,(FALSE))</f>
        <v>6.3492063492063489E-2</v>
      </c>
      <c r="G27" s="1024">
        <f>VLOOKUP(A27,'2324 Band Moderations'!$B$5:$S$21,12,(FALSE))</f>
        <v>0.10317460317460317</v>
      </c>
      <c r="H27" s="1024">
        <f>VLOOKUP(A27,'2324 Band Moderations'!$B$5:$S$21,14,(FALSE))</f>
        <v>6.3492063492063489E-2</v>
      </c>
      <c r="I27" s="1024">
        <f>VLOOKUP(A27,'2324 Band Moderations'!$B$5:$S$21,16,(FALSE))</f>
        <v>7.9365079365079361E-2</v>
      </c>
      <c r="J27" s="1024">
        <f>VLOOKUP(A27,'2324 Band Moderations'!$B$5:$S$21,18,(FALSE))</f>
        <v>9.5238095238095233E-2</v>
      </c>
      <c r="K27" s="451">
        <v>12</v>
      </c>
      <c r="L27" s="1025">
        <f t="shared" ref="L27:L43" si="4">((((K27*D27)*$G$88)+((K27*E27)*$G$90)+((K27*F27)*$G$92)+((K27*G27)*$G$94)+((K27*H27)*$G$96)+((K27*I27)*$G$98)+((K27*J27)*$G$100))*(4/12))</f>
        <v>47481.714285714275</v>
      </c>
      <c r="M27" s="1025">
        <v>0</v>
      </c>
      <c r="N27" s="1025">
        <f>SUM(L27:M27)</f>
        <v>47481.714285714275</v>
      </c>
      <c r="O27" s="1026">
        <f>(K27*(4/12))*10000</f>
        <v>40000</v>
      </c>
      <c r="P27" s="1026">
        <f>(VLOOKUP(A27,'2324 Funding Detail'!$A$4:$AA$20,25,FALSE)*4/12)*K27</f>
        <v>27173.135573681429</v>
      </c>
      <c r="Q27" s="235"/>
      <c r="R27" s="235">
        <f t="shared" ref="R27:R43" si="5">(J27*K27*$G$100)*4/12</f>
        <v>9297.5238095238092</v>
      </c>
      <c r="S27" s="269"/>
      <c r="T27" s="235"/>
      <c r="U27" s="235"/>
      <c r="V27" s="297"/>
      <c r="W27" s="29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row>
    <row r="28" spans="1:56" x14ac:dyDescent="0.25">
      <c r="A28" s="244">
        <v>9257005</v>
      </c>
      <c r="B28" s="237" t="s">
        <v>208</v>
      </c>
      <c r="C28" s="365">
        <v>4</v>
      </c>
      <c r="D28" s="1024">
        <f>VLOOKUP(A28,'2324 Band Moderations'!$B$5:$S$21,6,(FALSE))</f>
        <v>8.4507042253521125E-2</v>
      </c>
      <c r="E28" s="1024">
        <f>VLOOKUP(A28,'2324 Band Moderations'!$B$5:$S$21,8,(FALSE))</f>
        <v>0.40845070422535212</v>
      </c>
      <c r="F28" s="1024">
        <f>VLOOKUP(A28,'2324 Band Moderations'!$B$5:$S$21,10,(FALSE))</f>
        <v>8.4507042253521125E-2</v>
      </c>
      <c r="G28" s="1024">
        <f>VLOOKUP(A28,'2324 Band Moderations'!$B$5:$S$21,12,(FALSE))</f>
        <v>9.8591549295774641E-2</v>
      </c>
      <c r="H28" s="1024">
        <f>VLOOKUP(A28,'2324 Band Moderations'!$B$5:$S$21,14,(FALSE))</f>
        <v>0.11267605633802817</v>
      </c>
      <c r="I28" s="1024">
        <f>VLOOKUP(A28,'2324 Band Moderations'!$B$5:$S$21,16,(FALSE))</f>
        <v>0.15492957746478872</v>
      </c>
      <c r="J28" s="1024">
        <f>VLOOKUP(A28,'2324 Band Moderations'!$B$5:$S$21,18,(FALSE))</f>
        <v>5.6338028169014086E-2</v>
      </c>
      <c r="K28" s="451">
        <v>31</v>
      </c>
      <c r="L28" s="1025">
        <f t="shared" si="4"/>
        <v>128847.93427230045</v>
      </c>
      <c r="M28" s="1025">
        <v>0</v>
      </c>
      <c r="N28" s="1025">
        <f>SUM(L28:M28)</f>
        <v>128847.93427230045</v>
      </c>
      <c r="O28" s="1026">
        <f>(K28*(4/12))*10000</f>
        <v>103333.33333333333</v>
      </c>
      <c r="P28" s="1026">
        <f>(VLOOKUP(A28,'2324 Funding Detail'!$A$4:$AA$20,25,FALSE)*4/12)*K28</f>
        <v>93763.708566971298</v>
      </c>
      <c r="Q28" s="235"/>
      <c r="R28" s="235">
        <f t="shared" si="5"/>
        <v>14208.187793427232</v>
      </c>
      <c r="S28" s="269"/>
      <c r="T28" s="235"/>
      <c r="U28" s="235"/>
      <c r="V28" s="235"/>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row>
    <row r="29" spans="1:56" x14ac:dyDescent="0.25">
      <c r="A29" s="244">
        <v>9257025</v>
      </c>
      <c r="B29" s="237" t="s">
        <v>209</v>
      </c>
      <c r="C29" s="365">
        <v>4</v>
      </c>
      <c r="D29" s="1024">
        <f>VLOOKUP(A29,'2324 Band Moderations'!$B$5:$S$21,6,(FALSE))</f>
        <v>0.13333333333333333</v>
      </c>
      <c r="E29" s="1024">
        <f>VLOOKUP(A29,'2324 Band Moderations'!$B$5:$S$21,8,(FALSE))</f>
        <v>0.53333333333333333</v>
      </c>
      <c r="F29" s="1024">
        <f>VLOOKUP(A29,'2324 Band Moderations'!$B$5:$S$21,10,(FALSE))</f>
        <v>4.4444444444444446E-2</v>
      </c>
      <c r="G29" s="1024">
        <f>VLOOKUP(A29,'2324 Band Moderations'!$B$5:$S$21,12,(FALSE))</f>
        <v>0.1111111111111111</v>
      </c>
      <c r="H29" s="1024">
        <f>VLOOKUP(A29,'2324 Band Moderations'!$B$5:$S$21,14,(FALSE))</f>
        <v>1.1111111111111112E-2</v>
      </c>
      <c r="I29" s="1024">
        <f>VLOOKUP(A29,'2324 Band Moderations'!$B$5:$S$21,16,(FALSE))</f>
        <v>0.12222222222222222</v>
      </c>
      <c r="J29" s="1024">
        <f>VLOOKUP(A29,'2324 Band Moderations'!$B$5:$S$21,18,(FALSE))</f>
        <v>4.4444444444444446E-2</v>
      </c>
      <c r="K29" s="451">
        <v>24</v>
      </c>
      <c r="L29" s="1025">
        <f t="shared" si="4"/>
        <v>87144.35555555555</v>
      </c>
      <c r="M29" s="1025">
        <v>0</v>
      </c>
      <c r="N29" s="1025">
        <f t="shared" ref="N29:N43" si="6">SUM(L29:M29)</f>
        <v>87144.35555555555</v>
      </c>
      <c r="O29" s="1026">
        <f t="shared" ref="O29:O43" si="7">(K29*(4/12))*10000</f>
        <v>80000</v>
      </c>
      <c r="P29" s="1026">
        <f>(VLOOKUP(A29,'2324 Funding Detail'!$A$4:$AA$20,25,FALSE)*4/12)*K29</f>
        <v>52514.64718873924</v>
      </c>
      <c r="Q29" s="235"/>
      <c r="R29" s="235">
        <f t="shared" si="5"/>
        <v>8677.688888888888</v>
      </c>
      <c r="S29" s="269"/>
      <c r="T29" s="235"/>
      <c r="U29" s="235"/>
      <c r="V29" s="235"/>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row>
    <row r="30" spans="1:56" x14ac:dyDescent="0.25">
      <c r="A30" s="244">
        <v>9257024</v>
      </c>
      <c r="B30" s="237" t="s">
        <v>211</v>
      </c>
      <c r="C30" s="365">
        <v>4</v>
      </c>
      <c r="D30" s="1024">
        <f>VLOOKUP(A30,'2324 Band Moderations'!$B$5:$S$21,6,(FALSE))</f>
        <v>8.2352941176470587E-2</v>
      </c>
      <c r="E30" s="1024">
        <f>VLOOKUP(A30,'2324 Band Moderations'!$B$5:$S$21,8,(FALSE))</f>
        <v>0.54117647058823526</v>
      </c>
      <c r="F30" s="1024">
        <f>VLOOKUP(A30,'2324 Band Moderations'!$B$5:$S$21,10,(FALSE))</f>
        <v>1.1764705882352941E-2</v>
      </c>
      <c r="G30" s="1024">
        <f>VLOOKUP(A30,'2324 Band Moderations'!$B$5:$S$21,12,(FALSE))</f>
        <v>0.17647058823529413</v>
      </c>
      <c r="H30" s="1024">
        <f>VLOOKUP(A30,'2324 Band Moderations'!$B$5:$S$21,14,(FALSE))</f>
        <v>7.0588235294117646E-2</v>
      </c>
      <c r="I30" s="1024">
        <f>VLOOKUP(A30,'2324 Band Moderations'!$B$5:$S$21,16,(FALSE))</f>
        <v>4.7058823529411764E-2</v>
      </c>
      <c r="J30" s="1024">
        <f>VLOOKUP(A30,'2324 Band Moderations'!$B$5:$S$21,18,(FALSE))</f>
        <v>7.0588235294117646E-2</v>
      </c>
      <c r="K30" s="451">
        <v>13</v>
      </c>
      <c r="L30" s="1025">
        <f t="shared" si="4"/>
        <v>49621.305882352935</v>
      </c>
      <c r="M30" s="1025">
        <v>0</v>
      </c>
      <c r="N30" s="1025">
        <f t="shared" si="6"/>
        <v>49621.305882352935</v>
      </c>
      <c r="O30" s="1026">
        <f t="shared" si="7"/>
        <v>43333.333333333328</v>
      </c>
      <c r="P30" s="1026">
        <f>(VLOOKUP(A30,'2324 Funding Detail'!$A$4:$AA$20,25,FALSE)*4/12)*K30</f>
        <v>31444.744224789596</v>
      </c>
      <c r="Q30" s="235"/>
      <c r="R30" s="235">
        <f t="shared" si="5"/>
        <v>7465.3647058823526</v>
      </c>
      <c r="S30" s="269"/>
      <c r="T30" s="235"/>
      <c r="U30" s="235"/>
      <c r="V30" s="235"/>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row>
    <row r="31" spans="1:56" x14ac:dyDescent="0.25">
      <c r="A31" s="244">
        <v>9257031</v>
      </c>
      <c r="B31" s="237" t="s">
        <v>257</v>
      </c>
      <c r="C31" s="365">
        <v>5</v>
      </c>
      <c r="D31" s="1024">
        <f>VLOOKUP(A31,'2324 Band Moderations'!$B$5:$S$21,6,(FALSE))</f>
        <v>0</v>
      </c>
      <c r="E31" s="1024">
        <f>VLOOKUP(A31,'2324 Band Moderations'!$B$5:$S$21,8,(FALSE))</f>
        <v>0</v>
      </c>
      <c r="F31" s="1024">
        <f>VLOOKUP(A31,'2324 Band Moderations'!$B$5:$S$21,10,(FALSE))</f>
        <v>1</v>
      </c>
      <c r="G31" s="1024">
        <f>VLOOKUP(A31,'2324 Band Moderations'!$B$5:$S$21,12,(FALSE))</f>
        <v>0</v>
      </c>
      <c r="H31" s="1024">
        <f>VLOOKUP(A31,'2324 Band Moderations'!$B$5:$S$21,14,(FALSE))</f>
        <v>0</v>
      </c>
      <c r="I31" s="1024">
        <f>VLOOKUP(A31,'2324 Band Moderations'!$B$5:$S$21,16,(FALSE))</f>
        <v>0</v>
      </c>
      <c r="J31" s="1024">
        <f>VLOOKUP(A31,'2324 Band Moderations'!$B$5:$S$21,18,(FALSE))</f>
        <v>0</v>
      </c>
      <c r="K31" s="451">
        <v>0</v>
      </c>
      <c r="L31" s="1025">
        <f t="shared" si="4"/>
        <v>0</v>
      </c>
      <c r="M31" s="1025">
        <v>0</v>
      </c>
      <c r="N31" s="1025">
        <f t="shared" si="6"/>
        <v>0</v>
      </c>
      <c r="O31" s="1026">
        <f t="shared" si="7"/>
        <v>0</v>
      </c>
      <c r="P31" s="1026">
        <f>(VLOOKUP(A31,'2324 Funding Detail'!$A$4:$AA$20,25,FALSE)*4/12)*K31</f>
        <v>0</v>
      </c>
      <c r="Q31" s="235"/>
      <c r="R31" s="235">
        <f t="shared" si="5"/>
        <v>0</v>
      </c>
      <c r="S31" s="269"/>
      <c r="T31" s="235"/>
      <c r="U31" s="235"/>
      <c r="V31" s="235"/>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row>
    <row r="32" spans="1:56" x14ac:dyDescent="0.25">
      <c r="A32" s="244">
        <v>9257033</v>
      </c>
      <c r="B32" s="237" t="s">
        <v>220</v>
      </c>
      <c r="C32" s="365" t="s">
        <v>1178</v>
      </c>
      <c r="D32" s="1024">
        <f>VLOOKUP(A32,'2324 Band Moderations'!$B$5:$S$21,6,(FALSE))</f>
        <v>0.13513513513513514</v>
      </c>
      <c r="E32" s="1024">
        <f>VLOOKUP(A32,'2324 Band Moderations'!$B$5:$S$21,8,(FALSE))</f>
        <v>0.67567567567567566</v>
      </c>
      <c r="F32" s="1024">
        <f>VLOOKUP(A32,'2324 Band Moderations'!$B$5:$S$21,10,(FALSE))</f>
        <v>9.0090090090090089E-3</v>
      </c>
      <c r="G32" s="1024">
        <f>VLOOKUP(A32,'2324 Band Moderations'!$B$5:$S$21,12,(FALSE))</f>
        <v>9.0090090090090086E-2</v>
      </c>
      <c r="H32" s="1024">
        <f>VLOOKUP(A32,'2324 Band Moderations'!$B$5:$S$21,14,(FALSE))</f>
        <v>4.5045045045045043E-2</v>
      </c>
      <c r="I32" s="1024">
        <f>VLOOKUP(A32,'2324 Band Moderations'!$B$5:$S$21,16,(FALSE))</f>
        <v>2.7027027027027029E-2</v>
      </c>
      <c r="J32" s="1024">
        <f>VLOOKUP(A32,'2324 Band Moderations'!$B$5:$S$21,18,(FALSE))</f>
        <v>1.8018018018018018E-2</v>
      </c>
      <c r="K32" s="451">
        <v>0</v>
      </c>
      <c r="L32" s="1025">
        <f t="shared" si="4"/>
        <v>0</v>
      </c>
      <c r="M32" s="1025">
        <v>0</v>
      </c>
      <c r="N32" s="1025">
        <f t="shared" si="6"/>
        <v>0</v>
      </c>
      <c r="O32" s="1026">
        <f t="shared" si="7"/>
        <v>0</v>
      </c>
      <c r="P32" s="1026">
        <f>(VLOOKUP(A32,'2324 Funding Detail'!$A$4:$AA$20,25,FALSE)*4/12)*K32</f>
        <v>0</v>
      </c>
      <c r="Q32" s="235"/>
      <c r="R32" s="235">
        <f t="shared" si="5"/>
        <v>0</v>
      </c>
      <c r="S32" s="269"/>
      <c r="T32" s="235"/>
      <c r="U32" s="235"/>
      <c r="V32" s="235"/>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row>
    <row r="33" spans="1:56" x14ac:dyDescent="0.25">
      <c r="A33" s="244">
        <v>9257008</v>
      </c>
      <c r="B33" s="237" t="s">
        <v>212</v>
      </c>
      <c r="C33" s="365">
        <v>4</v>
      </c>
      <c r="D33" s="1024">
        <f>VLOOKUP(A33,'2324 Band Moderations'!$B$5:$S$21,6,(FALSE))</f>
        <v>0.15841584158415842</v>
      </c>
      <c r="E33" s="1024">
        <f>VLOOKUP(A33,'2324 Band Moderations'!$B$5:$S$21,8,(FALSE))</f>
        <v>0.62376237623762376</v>
      </c>
      <c r="F33" s="1024">
        <f>VLOOKUP(A33,'2324 Band Moderations'!$B$5:$S$21,10,(FALSE))</f>
        <v>4.9504950495049507E-2</v>
      </c>
      <c r="G33" s="1024">
        <f>VLOOKUP(A33,'2324 Band Moderations'!$B$5:$S$21,12,(FALSE))</f>
        <v>0.10891089108910891</v>
      </c>
      <c r="H33" s="1024">
        <f>VLOOKUP(A33,'2324 Band Moderations'!$B$5:$S$21,14,(FALSE))</f>
        <v>0</v>
      </c>
      <c r="I33" s="1024">
        <f>VLOOKUP(A33,'2324 Band Moderations'!$B$5:$S$21,16,(FALSE))</f>
        <v>5.9405940594059403E-2</v>
      </c>
      <c r="J33" s="1024">
        <f>VLOOKUP(A33,'2324 Band Moderations'!$B$5:$S$21,18,(FALSE))</f>
        <v>0</v>
      </c>
      <c r="K33" s="451">
        <v>0</v>
      </c>
      <c r="L33" s="1025">
        <f t="shared" si="4"/>
        <v>0</v>
      </c>
      <c r="M33" s="1025">
        <v>0</v>
      </c>
      <c r="N33" s="1025">
        <f t="shared" si="6"/>
        <v>0</v>
      </c>
      <c r="O33" s="1026">
        <f t="shared" si="7"/>
        <v>0</v>
      </c>
      <c r="P33" s="1026">
        <f>(VLOOKUP(A33,'2324 Funding Detail'!$A$4:$AA$20,25,FALSE)*4/12)*K33</f>
        <v>0</v>
      </c>
      <c r="Q33" s="235"/>
      <c r="R33" s="235">
        <f t="shared" si="5"/>
        <v>0</v>
      </c>
      <c r="S33" s="269"/>
      <c r="T33" s="235"/>
      <c r="U33" s="235"/>
      <c r="V33" s="235"/>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row>
    <row r="34" spans="1:56" x14ac:dyDescent="0.25">
      <c r="A34" s="244">
        <v>9257034</v>
      </c>
      <c r="B34" s="237" t="s">
        <v>221</v>
      </c>
      <c r="C34" s="365" t="s">
        <v>1178</v>
      </c>
      <c r="D34" s="1024">
        <f>VLOOKUP(A34,'2324 Band Moderations'!$B$5:$S$21,6,(FALSE))</f>
        <v>0.42735042735042733</v>
      </c>
      <c r="E34" s="1024">
        <f>VLOOKUP(A34,'2324 Band Moderations'!$B$5:$S$21,8,(FALSE))</f>
        <v>0.3504273504273504</v>
      </c>
      <c r="F34" s="1024">
        <f>VLOOKUP(A34,'2324 Band Moderations'!$B$5:$S$21,10,(FALSE))</f>
        <v>9.4017094017094016E-2</v>
      </c>
      <c r="G34" s="1024">
        <f>VLOOKUP(A34,'2324 Band Moderations'!$B$5:$S$21,12,(FALSE))</f>
        <v>5.128205128205128E-2</v>
      </c>
      <c r="H34" s="1024">
        <f>VLOOKUP(A34,'2324 Band Moderations'!$B$5:$S$21,14,(FALSE))</f>
        <v>2.564102564102564E-2</v>
      </c>
      <c r="I34" s="1024">
        <f>VLOOKUP(A34,'2324 Band Moderations'!$B$5:$S$21,16,(FALSE))</f>
        <v>4.2735042735042736E-2</v>
      </c>
      <c r="J34" s="1024">
        <f>VLOOKUP(A34,'2324 Band Moderations'!$B$5:$S$21,18,(FALSE))</f>
        <v>8.5470085470085479E-3</v>
      </c>
      <c r="K34" s="451">
        <v>30</v>
      </c>
      <c r="L34" s="1025">
        <f t="shared" si="4"/>
        <v>92214.957264957251</v>
      </c>
      <c r="M34" s="1025">
        <v>0</v>
      </c>
      <c r="N34" s="1025">
        <f t="shared" si="6"/>
        <v>92214.957264957251</v>
      </c>
      <c r="O34" s="1026">
        <f t="shared" si="7"/>
        <v>100000</v>
      </c>
      <c r="P34" s="1026">
        <f>(VLOOKUP(A34,'2324 Funding Detail'!$A$4:$AA$20,25,FALSE)*4/12)*K34</f>
        <v>40692.863844834901</v>
      </c>
      <c r="Q34" s="235"/>
      <c r="R34" s="235">
        <f t="shared" si="5"/>
        <v>2085.9829059829062</v>
      </c>
      <c r="S34" s="269"/>
      <c r="T34" s="235"/>
      <c r="U34" s="235"/>
      <c r="V34" s="235"/>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row>
    <row r="35" spans="1:56" x14ac:dyDescent="0.25">
      <c r="A35" s="244">
        <v>9257002</v>
      </c>
      <c r="B35" s="237" t="s">
        <v>213</v>
      </c>
      <c r="C35" s="365">
        <v>5</v>
      </c>
      <c r="D35" s="1024">
        <f>VLOOKUP(A35,'2324 Band Moderations'!$B$5:$S$21,6,(FALSE))</f>
        <v>0.27439024390243905</v>
      </c>
      <c r="E35" s="1024">
        <f>VLOOKUP(A35,'2324 Band Moderations'!$B$5:$S$21,8,(FALSE))</f>
        <v>0.43902439024390244</v>
      </c>
      <c r="F35" s="1024">
        <f>VLOOKUP(A35,'2324 Band Moderations'!$B$5:$S$21,10,(FALSE))</f>
        <v>0.13414634146341464</v>
      </c>
      <c r="G35" s="1024">
        <f>VLOOKUP(A35,'2324 Band Moderations'!$B$5:$S$21,12,(FALSE))</f>
        <v>3.6585365853658534E-2</v>
      </c>
      <c r="H35" s="1024">
        <f>VLOOKUP(A35,'2324 Band Moderations'!$B$5:$S$21,14,(FALSE))</f>
        <v>2.4390243902439025E-2</v>
      </c>
      <c r="I35" s="1024">
        <f>VLOOKUP(A35,'2324 Band Moderations'!$B$5:$S$21,16,(FALSE))</f>
        <v>7.926829268292683E-2</v>
      </c>
      <c r="J35" s="1024">
        <f>VLOOKUP(A35,'2324 Band Moderations'!$B$5:$S$21,18,(FALSE))</f>
        <v>1.2195121951219513E-2</v>
      </c>
      <c r="K35" s="451">
        <v>0</v>
      </c>
      <c r="L35" s="1025">
        <f t="shared" si="4"/>
        <v>0</v>
      </c>
      <c r="M35" s="1025">
        <v>0</v>
      </c>
      <c r="N35" s="1025">
        <f t="shared" si="6"/>
        <v>0</v>
      </c>
      <c r="O35" s="1026">
        <f t="shared" si="7"/>
        <v>0</v>
      </c>
      <c r="P35" s="1026">
        <f>(VLOOKUP(A35,'2324 Funding Detail'!$A$4:$AA$20,25,FALSE)*4/12)*K35</f>
        <v>0</v>
      </c>
      <c r="Q35" s="235"/>
      <c r="R35" s="235">
        <f t="shared" si="5"/>
        <v>0</v>
      </c>
      <c r="S35" s="269"/>
      <c r="T35" s="235"/>
      <c r="U35" s="235"/>
      <c r="V35" s="235"/>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row>
    <row r="36" spans="1:56" x14ac:dyDescent="0.25">
      <c r="A36" s="244">
        <v>9257009</v>
      </c>
      <c r="B36" s="237" t="s">
        <v>997</v>
      </c>
      <c r="C36" s="365" t="s">
        <v>1178</v>
      </c>
      <c r="D36" s="1024">
        <f>VLOOKUP(A36,'2324 Band Moderations'!$B$5:$S$21,6,(FALSE))</f>
        <v>0.17258883248730963</v>
      </c>
      <c r="E36" s="1024">
        <f>VLOOKUP(A36,'2324 Band Moderations'!$B$5:$S$21,8,(FALSE))</f>
        <v>0.50761421319796951</v>
      </c>
      <c r="F36" s="1024">
        <f>VLOOKUP(A36,'2324 Band Moderations'!$B$5:$S$21,10,(FALSE))</f>
        <v>6.5989847715736044E-2</v>
      </c>
      <c r="G36" s="1024">
        <f>VLOOKUP(A36,'2324 Band Moderations'!$B$5:$S$21,12,(FALSE))</f>
        <v>8.1218274111675121E-2</v>
      </c>
      <c r="H36" s="1024">
        <f>VLOOKUP(A36,'2324 Band Moderations'!$B$5:$S$21,14,(FALSE))</f>
        <v>3.553299492385787E-2</v>
      </c>
      <c r="I36" s="1024">
        <f>VLOOKUP(A36,'2324 Band Moderations'!$B$5:$S$21,16,(FALSE))</f>
        <v>8.6294416243654817E-2</v>
      </c>
      <c r="J36" s="1024">
        <f>VLOOKUP(A36,'2324 Band Moderations'!$B$5:$S$21,18,(FALSE))</f>
        <v>5.0761421319796954E-2</v>
      </c>
      <c r="K36" s="451">
        <v>11</v>
      </c>
      <c r="L36" s="1025">
        <f t="shared" si="4"/>
        <v>39385.453468697116</v>
      </c>
      <c r="M36" s="1025">
        <v>0</v>
      </c>
      <c r="N36" s="1025">
        <f t="shared" si="6"/>
        <v>39385.453468697116</v>
      </c>
      <c r="O36" s="1026">
        <f t="shared" si="7"/>
        <v>36666.666666666664</v>
      </c>
      <c r="P36" s="1026">
        <f>(VLOOKUP(A36,'2324 Funding Detail'!$A$4:$AA$20,25,FALSE)*4/12)*K36</f>
        <v>17313.940067682397</v>
      </c>
      <c r="Q36" s="235"/>
      <c r="R36" s="235">
        <f t="shared" si="5"/>
        <v>4542.5719120135363</v>
      </c>
      <c r="S36" s="269"/>
      <c r="T36" s="235"/>
      <c r="U36" s="235"/>
      <c r="V36" s="235"/>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row>
    <row r="37" spans="1:56" x14ac:dyDescent="0.25">
      <c r="A37" s="244">
        <v>9257029</v>
      </c>
      <c r="B37" s="237" t="s">
        <v>890</v>
      </c>
      <c r="C37" s="365" t="s">
        <v>1179</v>
      </c>
      <c r="D37" s="1024">
        <f>VLOOKUP(A37,'2324 Band Moderations'!$B$5:$S$21,6,(FALSE))</f>
        <v>0</v>
      </c>
      <c r="E37" s="1024">
        <f>VLOOKUP(A37,'2324 Band Moderations'!$B$5:$S$21,8,(FALSE))</f>
        <v>0</v>
      </c>
      <c r="F37" s="1024">
        <f>VLOOKUP(A37,'2324 Band Moderations'!$B$5:$S$21,10,(FALSE))</f>
        <v>1</v>
      </c>
      <c r="G37" s="1024">
        <f>VLOOKUP(A37,'2324 Band Moderations'!$B$5:$S$21,12,(FALSE))</f>
        <v>0</v>
      </c>
      <c r="H37" s="1024">
        <f>VLOOKUP(A37,'2324 Band Moderations'!$B$5:$S$21,14,(FALSE))</f>
        <v>0</v>
      </c>
      <c r="I37" s="1024">
        <f>VLOOKUP(A37,'2324 Band Moderations'!$B$5:$S$21,16,(FALSE))</f>
        <v>0</v>
      </c>
      <c r="J37" s="1024">
        <f>VLOOKUP(A37,'2324 Band Moderations'!$B$5:$S$21,18,(FALSE))</f>
        <v>0</v>
      </c>
      <c r="K37" s="451">
        <v>0</v>
      </c>
      <c r="L37" s="1025">
        <f t="shared" si="4"/>
        <v>0</v>
      </c>
      <c r="M37" s="1025">
        <v>0</v>
      </c>
      <c r="N37" s="1025">
        <f t="shared" si="6"/>
        <v>0</v>
      </c>
      <c r="O37" s="1026">
        <f t="shared" si="7"/>
        <v>0</v>
      </c>
      <c r="P37" s="1026">
        <f>(VLOOKUP(A37,'2324 Funding Detail'!$A$4:$AA$20,25,FALSE)*4/12)*K37</f>
        <v>0</v>
      </c>
      <c r="Q37" s="235"/>
      <c r="R37" s="235">
        <f t="shared" si="5"/>
        <v>0</v>
      </c>
      <c r="S37" s="269"/>
      <c r="T37" s="235"/>
      <c r="U37" s="235"/>
      <c r="V37" s="235"/>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row>
    <row r="38" spans="1:56" x14ac:dyDescent="0.25">
      <c r="A38" s="244">
        <v>9257032</v>
      </c>
      <c r="B38" s="237" t="s">
        <v>1043</v>
      </c>
      <c r="C38" s="365" t="s">
        <v>1179</v>
      </c>
      <c r="D38" s="1024">
        <f>VLOOKUP(A38,'2324 Band Moderations'!$B$5:$S$21,6,(FALSE))</f>
        <v>0</v>
      </c>
      <c r="E38" s="1024">
        <f>VLOOKUP(A38,'2324 Band Moderations'!$B$5:$S$21,8,(FALSE))</f>
        <v>0</v>
      </c>
      <c r="F38" s="1024">
        <f>VLOOKUP(A38,'2324 Band Moderations'!$B$5:$S$21,10,(FALSE))</f>
        <v>1</v>
      </c>
      <c r="G38" s="1024">
        <f>VLOOKUP(A38,'2324 Band Moderations'!$B$5:$S$21,12,(FALSE))</f>
        <v>0</v>
      </c>
      <c r="H38" s="1024">
        <f>VLOOKUP(A38,'2324 Band Moderations'!$B$5:$S$21,14,(FALSE))</f>
        <v>0</v>
      </c>
      <c r="I38" s="1024">
        <f>VLOOKUP(A38,'2324 Band Moderations'!$B$5:$S$21,16,(FALSE))</f>
        <v>0</v>
      </c>
      <c r="J38" s="1024">
        <f>VLOOKUP(A38,'2324 Band Moderations'!$B$5:$S$21,18,(FALSE))</f>
        <v>0</v>
      </c>
      <c r="K38" s="451">
        <v>0</v>
      </c>
      <c r="L38" s="1025">
        <f t="shared" si="4"/>
        <v>0</v>
      </c>
      <c r="M38" s="1025">
        <v>0</v>
      </c>
      <c r="N38" s="1025">
        <f t="shared" si="6"/>
        <v>0</v>
      </c>
      <c r="O38" s="1026">
        <f t="shared" si="7"/>
        <v>0</v>
      </c>
      <c r="P38" s="1026">
        <f>(VLOOKUP(A38,'2324 Funding Detail'!$A$4:$AA$20,25,FALSE)*4/12)*K38</f>
        <v>0</v>
      </c>
      <c r="Q38" s="235"/>
      <c r="R38" s="235">
        <f t="shared" si="5"/>
        <v>0</v>
      </c>
      <c r="S38" s="269"/>
      <c r="T38" s="235"/>
      <c r="U38" s="235"/>
      <c r="V38" s="235"/>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row>
    <row r="39" spans="1:56" x14ac:dyDescent="0.25">
      <c r="A39" s="244">
        <v>9257030</v>
      </c>
      <c r="B39" s="237" t="s">
        <v>1046</v>
      </c>
      <c r="C39" s="365" t="s">
        <v>1179</v>
      </c>
      <c r="D39" s="1024">
        <f>VLOOKUP(A39,'2324 Band Moderations'!$B$5:$S$21,6,(FALSE))</f>
        <v>0</v>
      </c>
      <c r="E39" s="1024">
        <f>VLOOKUP(A39,'2324 Band Moderations'!$B$5:$S$21,8,(FALSE))</f>
        <v>0</v>
      </c>
      <c r="F39" s="1024">
        <f>VLOOKUP(A39,'2324 Band Moderations'!$B$5:$S$21,10,(FALSE))</f>
        <v>1</v>
      </c>
      <c r="G39" s="1024">
        <f>VLOOKUP(A39,'2324 Band Moderations'!$B$5:$S$21,12,(FALSE))</f>
        <v>0</v>
      </c>
      <c r="H39" s="1024">
        <f>VLOOKUP(A39,'2324 Band Moderations'!$B$5:$S$21,14,(FALSE))</f>
        <v>0</v>
      </c>
      <c r="I39" s="1024">
        <f>VLOOKUP(A39,'2324 Band Moderations'!$B$5:$S$21,16,(FALSE))</f>
        <v>0</v>
      </c>
      <c r="J39" s="1024">
        <f>VLOOKUP(A39,'2324 Band Moderations'!$B$5:$S$21,18,(FALSE))</f>
        <v>0</v>
      </c>
      <c r="K39" s="451">
        <v>0</v>
      </c>
      <c r="L39" s="1025">
        <f t="shared" si="4"/>
        <v>0</v>
      </c>
      <c r="M39" s="1025">
        <v>0</v>
      </c>
      <c r="N39" s="1025">
        <f t="shared" si="6"/>
        <v>0</v>
      </c>
      <c r="O39" s="1026">
        <f t="shared" si="7"/>
        <v>0</v>
      </c>
      <c r="P39" s="1026">
        <f>(VLOOKUP(A39,'2324 Funding Detail'!$A$4:$AA$20,25,FALSE)*4/12)*K39</f>
        <v>0</v>
      </c>
      <c r="Q39" s="235"/>
      <c r="R39" s="235">
        <f t="shared" si="5"/>
        <v>0</v>
      </c>
      <c r="S39" s="269"/>
      <c r="T39" s="235"/>
      <c r="U39" s="235"/>
      <c r="V39" s="235"/>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row>
    <row r="40" spans="1:56" x14ac:dyDescent="0.25">
      <c r="A40" s="244">
        <v>9257028</v>
      </c>
      <c r="B40" s="237" t="s">
        <v>215</v>
      </c>
      <c r="C40" s="365">
        <v>5</v>
      </c>
      <c r="D40" s="1024">
        <f>VLOOKUP(A40,'2324 Band Moderations'!$B$5:$S$21,6,(FALSE))</f>
        <v>9.0163934426229511E-2</v>
      </c>
      <c r="E40" s="1024">
        <f>VLOOKUP(A40,'2324 Band Moderations'!$B$5:$S$21,8,(FALSE))</f>
        <v>0.45901639344262296</v>
      </c>
      <c r="F40" s="1024">
        <f>VLOOKUP(A40,'2324 Band Moderations'!$B$5:$S$21,10,(FALSE))</f>
        <v>6.5573770491803282E-2</v>
      </c>
      <c r="G40" s="1024">
        <f>VLOOKUP(A40,'2324 Band Moderations'!$B$5:$S$21,12,(FALSE))</f>
        <v>8.1967213114754092E-2</v>
      </c>
      <c r="H40" s="1024">
        <f>VLOOKUP(A40,'2324 Band Moderations'!$B$5:$S$21,14,(FALSE))</f>
        <v>9.0163934426229511E-2</v>
      </c>
      <c r="I40" s="1024">
        <f>VLOOKUP(A40,'2324 Band Moderations'!$B$5:$S$21,16,(FALSE))</f>
        <v>6.5573770491803282E-2</v>
      </c>
      <c r="J40" s="1024">
        <f>VLOOKUP(A40,'2324 Band Moderations'!$B$5:$S$21,18,(FALSE))</f>
        <v>0.14754098360655737</v>
      </c>
      <c r="K40" s="451">
        <v>9</v>
      </c>
      <c r="L40" s="1025">
        <f t="shared" si="4"/>
        <v>38083.131147540982</v>
      </c>
      <c r="M40" s="1025">
        <v>0</v>
      </c>
      <c r="N40" s="1025">
        <f t="shared" si="6"/>
        <v>38083.131147540982</v>
      </c>
      <c r="O40" s="1026">
        <f t="shared" si="7"/>
        <v>30000</v>
      </c>
      <c r="P40" s="1026">
        <f>(VLOOKUP(A40,'2324 Funding Detail'!$A$4:$AA$20,25,FALSE)*4/12)*K40</f>
        <v>22633.18667638714</v>
      </c>
      <c r="Q40" s="235"/>
      <c r="R40" s="235">
        <f t="shared" si="5"/>
        <v>10802.655737704918</v>
      </c>
      <c r="S40" s="269"/>
      <c r="T40" s="235"/>
      <c r="U40" s="235"/>
      <c r="V40" s="235"/>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row>
    <row r="41" spans="1:56" x14ac:dyDescent="0.25">
      <c r="A41" s="244">
        <v>9257021</v>
      </c>
      <c r="B41" s="237" t="s">
        <v>216</v>
      </c>
      <c r="C41" s="365" t="s">
        <v>1180</v>
      </c>
      <c r="D41" s="1024">
        <f>VLOOKUP(A41,'2324 Band Moderations'!$B$5:$S$21,6,(FALSE))</f>
        <v>0.21176470588235294</v>
      </c>
      <c r="E41" s="1024">
        <f>VLOOKUP(A41,'2324 Band Moderations'!$B$5:$S$21,8,(FALSE))</f>
        <v>0.52352941176470591</v>
      </c>
      <c r="F41" s="1024">
        <f>VLOOKUP(A41,'2324 Band Moderations'!$B$5:$S$21,10,(FALSE))</f>
        <v>0.10588235294117647</v>
      </c>
      <c r="G41" s="1024">
        <f>VLOOKUP(A41,'2324 Band Moderations'!$B$5:$S$21,12,(FALSE))</f>
        <v>7.0588235294117646E-2</v>
      </c>
      <c r="H41" s="1024">
        <f>VLOOKUP(A41,'2324 Band Moderations'!$B$5:$S$21,14,(FALSE))</f>
        <v>2.9411764705882353E-2</v>
      </c>
      <c r="I41" s="1024">
        <f>VLOOKUP(A41,'2324 Band Moderations'!$B$5:$S$21,16,(FALSE))</f>
        <v>4.7058823529411764E-2</v>
      </c>
      <c r="J41" s="1024">
        <f>VLOOKUP(A41,'2324 Band Moderations'!$B$5:$S$21,18,(FALSE))</f>
        <v>1.1764705882352941E-2</v>
      </c>
      <c r="K41" s="451">
        <v>0</v>
      </c>
      <c r="L41" s="1025">
        <f t="shared" si="4"/>
        <v>0</v>
      </c>
      <c r="M41" s="1025">
        <v>0</v>
      </c>
      <c r="N41" s="1025">
        <f t="shared" si="6"/>
        <v>0</v>
      </c>
      <c r="O41" s="1026">
        <f t="shared" si="7"/>
        <v>0</v>
      </c>
      <c r="P41" s="1026">
        <f>(VLOOKUP(A41,'2324 Funding Detail'!$A$4:$AA$20,25,FALSE)*4/12)*K41</f>
        <v>0</v>
      </c>
      <c r="Q41" s="235"/>
      <c r="R41" s="235">
        <f t="shared" si="5"/>
        <v>0</v>
      </c>
      <c r="S41" s="269"/>
      <c r="T41" s="235"/>
      <c r="U41" s="235"/>
      <c r="V41" s="235"/>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row>
    <row r="42" spans="1:56" x14ac:dyDescent="0.25">
      <c r="A42" s="244">
        <v>9257015</v>
      </c>
      <c r="B42" s="237" t="s">
        <v>217</v>
      </c>
      <c r="C42" s="365" t="s">
        <v>1181</v>
      </c>
      <c r="D42" s="1024">
        <f>VLOOKUP(A42,'2324 Band Moderations'!$B$5:$S$21,6,(FALSE))</f>
        <v>0.26991150442477874</v>
      </c>
      <c r="E42" s="1024">
        <f>VLOOKUP(A42,'2324 Band Moderations'!$B$5:$S$21,8,(FALSE))</f>
        <v>0.42035398230088494</v>
      </c>
      <c r="F42" s="1024">
        <f>VLOOKUP(A42,'2324 Band Moderations'!$B$5:$S$21,10,(FALSE))</f>
        <v>2.2123893805309734E-2</v>
      </c>
      <c r="G42" s="1024">
        <f>VLOOKUP(A42,'2324 Band Moderations'!$B$5:$S$21,12,(FALSE))</f>
        <v>8.8495575221238937E-2</v>
      </c>
      <c r="H42" s="1024">
        <f>VLOOKUP(A42,'2324 Band Moderations'!$B$5:$S$21,14,(FALSE))</f>
        <v>2.2123893805309734E-2</v>
      </c>
      <c r="I42" s="1024">
        <f>VLOOKUP(A42,'2324 Band Moderations'!$B$5:$S$21,16,(FALSE))</f>
        <v>0.15929203539823009</v>
      </c>
      <c r="J42" s="1024">
        <f>VLOOKUP(A42,'2324 Band Moderations'!$B$5:$S$21,18,(FALSE))</f>
        <v>1.7699115044247787E-2</v>
      </c>
      <c r="K42" s="451">
        <v>16</v>
      </c>
      <c r="L42" s="1025">
        <f t="shared" si="4"/>
        <v>55215.740412979343</v>
      </c>
      <c r="M42" s="1025">
        <v>0</v>
      </c>
      <c r="N42" s="1025">
        <f t="shared" si="6"/>
        <v>55215.740412979343</v>
      </c>
      <c r="O42" s="1026">
        <f t="shared" si="7"/>
        <v>53333.333333333328</v>
      </c>
      <c r="P42" s="1026">
        <f>(VLOOKUP(A42,'2324 Funding Detail'!$A$4:$AA$20,25,FALSE)*4/12)*K42</f>
        <v>20742.05999571997</v>
      </c>
      <c r="Q42" s="235"/>
      <c r="R42" s="235">
        <f t="shared" si="5"/>
        <v>2303.8112094395278</v>
      </c>
      <c r="S42" s="269"/>
      <c r="T42" s="235"/>
      <c r="U42" s="235"/>
      <c r="V42" s="235"/>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row>
    <row r="43" spans="1:56" x14ac:dyDescent="0.25">
      <c r="A43" s="244">
        <v>9257016</v>
      </c>
      <c r="B43" s="237" t="s">
        <v>219</v>
      </c>
      <c r="C43" s="365" t="s">
        <v>1181</v>
      </c>
      <c r="D43" s="1024">
        <f>VLOOKUP(A43,'2324 Band Moderations'!$B$5:$S$21,6,(FALSE))</f>
        <v>0.11874999999999999</v>
      </c>
      <c r="E43" s="1024">
        <f>VLOOKUP(A43,'2324 Band Moderations'!$B$5:$S$21,8,(FALSE))</f>
        <v>0.21249999999999999</v>
      </c>
      <c r="F43" s="1024">
        <f>VLOOKUP(A43,'2324 Band Moderations'!$B$5:$S$21,10,(FALSE))</f>
        <v>1.2500000000000001E-2</v>
      </c>
      <c r="G43" s="1024">
        <f>VLOOKUP(A43,'2324 Band Moderations'!$B$5:$S$21,12,(FALSE))</f>
        <v>0.24374999999999999</v>
      </c>
      <c r="H43" s="1024">
        <f>VLOOKUP(A43,'2324 Band Moderations'!$B$5:$S$21,14,(FALSE))</f>
        <v>0.18124999999999999</v>
      </c>
      <c r="I43" s="1024">
        <f>VLOOKUP(A43,'2324 Band Moderations'!$B$5:$S$21,16,(FALSE))</f>
        <v>1.8749999999999999E-2</v>
      </c>
      <c r="J43" s="1024">
        <f>VLOOKUP(A43,'2324 Band Moderations'!$B$5:$S$21,18,(FALSE))</f>
        <v>0.21249999999999999</v>
      </c>
      <c r="K43" s="451">
        <v>54</v>
      </c>
      <c r="L43" s="1025">
        <f t="shared" si="4"/>
        <v>268539.07499999995</v>
      </c>
      <c r="M43" s="1025">
        <v>0</v>
      </c>
      <c r="N43" s="1025">
        <f t="shared" si="6"/>
        <v>268539.07499999995</v>
      </c>
      <c r="O43" s="1026">
        <f t="shared" si="7"/>
        <v>180000</v>
      </c>
      <c r="P43" s="1026">
        <f>(VLOOKUP(A43,'2324 Funding Detail'!$A$4:$AA$20,25,FALSE)*4/12)*K43</f>
        <v>174602.24795660956</v>
      </c>
      <c r="Q43" s="299" t="s">
        <v>207</v>
      </c>
      <c r="R43" s="235">
        <f t="shared" si="5"/>
        <v>93352.95</v>
      </c>
      <c r="S43" s="269"/>
      <c r="T43" s="235"/>
      <c r="U43" s="235"/>
      <c r="V43" s="235"/>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row>
    <row r="44" spans="1:56" x14ac:dyDescent="0.25">
      <c r="A44" s="249"/>
      <c r="B44" s="36"/>
      <c r="C44" s="234"/>
      <c r="D44" s="268"/>
      <c r="E44" s="268"/>
      <c r="F44" s="299" t="s">
        <v>207</v>
      </c>
      <c r="G44" s="268"/>
      <c r="H44" s="268"/>
      <c r="I44" s="268"/>
      <c r="J44" s="299" t="s">
        <v>207</v>
      </c>
      <c r="K44" s="36"/>
      <c r="L44" s="269"/>
      <c r="M44" s="269"/>
      <c r="N44" s="299" t="s">
        <v>207</v>
      </c>
      <c r="O44" s="235"/>
      <c r="P44" s="235"/>
      <c r="Q44" s="235"/>
      <c r="R44" s="269"/>
      <c r="S44" s="269"/>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row>
    <row r="45" spans="1:56" ht="13" x14ac:dyDescent="0.3">
      <c r="A45" s="93" t="s">
        <v>1632</v>
      </c>
      <c r="B45" s="36"/>
      <c r="C45" s="36"/>
      <c r="D45" s="36"/>
      <c r="E45" s="36"/>
      <c r="F45" s="36"/>
      <c r="G45" s="36"/>
      <c r="H45" s="36"/>
      <c r="I45" s="36"/>
      <c r="J45" s="36"/>
      <c r="K45" s="234"/>
      <c r="L45" s="234"/>
      <c r="M45" s="36"/>
      <c r="N45" s="36"/>
      <c r="O45" s="36"/>
      <c r="P45" s="36"/>
      <c r="Q45" s="36"/>
      <c r="R45" s="234"/>
      <c r="S45" s="288"/>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c r="BD45" s="36"/>
    </row>
    <row r="46" spans="1:56" x14ac:dyDescent="0.25">
      <c r="A46" s="36"/>
      <c r="B46" s="36"/>
      <c r="C46" s="36"/>
      <c r="D46" s="36"/>
      <c r="E46" s="36"/>
      <c r="F46" s="36"/>
      <c r="G46" s="36"/>
      <c r="H46" s="36"/>
      <c r="I46" s="36"/>
      <c r="J46" s="36"/>
      <c r="K46" s="94" t="s">
        <v>1633</v>
      </c>
      <c r="L46" s="234"/>
      <c r="M46" s="36"/>
      <c r="N46" s="36"/>
      <c r="O46" s="1445" t="s">
        <v>238</v>
      </c>
      <c r="P46" s="1446"/>
      <c r="Q46" s="36"/>
      <c r="R46" s="234"/>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c r="BD46" s="36"/>
    </row>
    <row r="47" spans="1:56" ht="39.75" customHeight="1" x14ac:dyDescent="0.25">
      <c r="A47" s="265" t="s">
        <v>182</v>
      </c>
      <c r="B47" s="237" t="s">
        <v>183</v>
      </c>
      <c r="C47" s="238" t="s">
        <v>184</v>
      </c>
      <c r="D47" s="234" t="s">
        <v>901</v>
      </c>
      <c r="E47" s="234" t="s">
        <v>902</v>
      </c>
      <c r="F47" s="234" t="s">
        <v>903</v>
      </c>
      <c r="G47" s="234" t="s">
        <v>904</v>
      </c>
      <c r="H47" s="234" t="s">
        <v>905</v>
      </c>
      <c r="I47" s="234" t="s">
        <v>906</v>
      </c>
      <c r="J47" s="234" t="s">
        <v>907</v>
      </c>
      <c r="K47" s="243" t="s">
        <v>246</v>
      </c>
      <c r="L47" s="243" t="s">
        <v>272</v>
      </c>
      <c r="M47" s="243" t="s">
        <v>273</v>
      </c>
      <c r="N47" s="243" t="s">
        <v>274</v>
      </c>
      <c r="O47" s="277" t="s">
        <v>275</v>
      </c>
      <c r="P47" s="320" t="s">
        <v>276</v>
      </c>
      <c r="Q47" s="36"/>
      <c r="R47" s="234"/>
      <c r="S47" s="288"/>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c r="BA47" s="36"/>
      <c r="BB47" s="36"/>
      <c r="BC47" s="36"/>
      <c r="BD47" s="36"/>
    </row>
    <row r="48" spans="1:56" x14ac:dyDescent="0.25">
      <c r="A48" s="244">
        <v>9257010</v>
      </c>
      <c r="B48" s="237" t="s">
        <v>1164</v>
      </c>
      <c r="C48" s="365">
        <v>5</v>
      </c>
      <c r="D48" s="1024">
        <f>VLOOKUP(A48,'2324 Band Moderations'!$B$5:$S$21,6,(FALSE))</f>
        <v>0.1111111111111111</v>
      </c>
      <c r="E48" s="1024">
        <f>VLOOKUP(A48,'2324 Band Moderations'!$B$5:$S$21,8,(FALSE))</f>
        <v>0.48412698412698413</v>
      </c>
      <c r="F48" s="1024">
        <f>VLOOKUP(A48,'2324 Band Moderations'!$B$5:$S$21,10,(FALSE))</f>
        <v>6.3492063492063489E-2</v>
      </c>
      <c r="G48" s="1024">
        <f>VLOOKUP(A48,'2324 Band Moderations'!$B$5:$S$21,12,(FALSE))</f>
        <v>0.10317460317460317</v>
      </c>
      <c r="H48" s="1024">
        <f>VLOOKUP(A48,'2324 Band Moderations'!$B$5:$S$21,14,(FALSE))</f>
        <v>6.3492063492063489E-2</v>
      </c>
      <c r="I48" s="1024">
        <f>VLOOKUP(A48,'2324 Band Moderations'!$B$5:$S$21,16,(FALSE))</f>
        <v>7.9365079365079361E-2</v>
      </c>
      <c r="J48" s="1024">
        <f>VLOOKUP(A48,'2324 Band Moderations'!$B$5:$S$21,18,(FALSE))</f>
        <v>9.5238095238095233E-2</v>
      </c>
      <c r="K48" s="451">
        <v>122</v>
      </c>
      <c r="L48" s="1025">
        <f t="shared" ref="L48:L64" si="8">((((K48*D48)*$G$88)+((K48*E48)*$G$90)+((K48*F48)*$G$92)+((K48*G48)*$G$94)+((K48*H48)*$G$96)+((K48*I48)*$G$98)+((K48*J48)*$G$100))*(7/12))</f>
        <v>844778.83333333337</v>
      </c>
      <c r="M48" s="1025">
        <v>0</v>
      </c>
      <c r="N48" s="1025">
        <f t="shared" ref="N48:N64" si="9">SUM(L48:M48)</f>
        <v>844778.83333333337</v>
      </c>
      <c r="O48" s="1026">
        <f>(K48*(7/12))*10000</f>
        <v>711666.66666666674</v>
      </c>
      <c r="P48" s="1026">
        <f>(VLOOKUP(A48,'2324 Funding Detail'!$A$4:$AA$20,25,FALSE)*7/12)*K48</f>
        <v>483455.37041508203</v>
      </c>
      <c r="Q48" s="235"/>
      <c r="R48" s="235">
        <f t="shared" ref="R48:R64" si="10">(J48*K48*$G$100)*7/12</f>
        <v>165418.44444444441</v>
      </c>
      <c r="S48" s="233"/>
      <c r="T48" s="29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row>
    <row r="49" spans="1:56" x14ac:dyDescent="0.25">
      <c r="A49" s="244">
        <v>9257005</v>
      </c>
      <c r="B49" s="237" t="s">
        <v>208</v>
      </c>
      <c r="C49" s="365">
        <v>4</v>
      </c>
      <c r="D49" s="1024">
        <f>VLOOKUP(A49,'2324 Band Moderations'!$B$5:$S$21,6,(FALSE))</f>
        <v>8.4507042253521125E-2</v>
      </c>
      <c r="E49" s="1024">
        <f>VLOOKUP(A49,'2324 Band Moderations'!$B$5:$S$21,8,(FALSE))</f>
        <v>0.40845070422535212</v>
      </c>
      <c r="F49" s="1024">
        <f>VLOOKUP(A49,'2324 Band Moderations'!$B$5:$S$21,10,(FALSE))</f>
        <v>8.4507042253521125E-2</v>
      </c>
      <c r="G49" s="1024">
        <f>VLOOKUP(A49,'2324 Band Moderations'!$B$5:$S$21,12,(FALSE))</f>
        <v>9.8591549295774641E-2</v>
      </c>
      <c r="H49" s="1024">
        <f>VLOOKUP(A49,'2324 Band Moderations'!$B$5:$S$21,14,(FALSE))</f>
        <v>0.11267605633802817</v>
      </c>
      <c r="I49" s="1024">
        <f>VLOOKUP(A49,'2324 Band Moderations'!$B$5:$S$21,16,(FALSE))</f>
        <v>0.15492957746478872</v>
      </c>
      <c r="J49" s="1024">
        <f>VLOOKUP(A49,'2324 Band Moderations'!$B$5:$S$21,18,(FALSE))</f>
        <v>5.6338028169014086E-2</v>
      </c>
      <c r="K49" s="451">
        <v>54</v>
      </c>
      <c r="L49" s="1025">
        <f t="shared" si="8"/>
        <v>392778.3802816901</v>
      </c>
      <c r="M49" s="1025">
        <v>0</v>
      </c>
      <c r="N49" s="1025">
        <f t="shared" si="9"/>
        <v>392778.3802816901</v>
      </c>
      <c r="O49" s="1026">
        <f t="shared" ref="O49:O64" si="11">(K49*(7/12))*10000</f>
        <v>315000.00000000006</v>
      </c>
      <c r="P49" s="1026">
        <f>(VLOOKUP(A49,'2324 Funding Detail'!$A$4:$AA$20,25,FALSE)*7/12)*K49</f>
        <v>285828.07934125117</v>
      </c>
      <c r="Q49" s="235"/>
      <c r="R49" s="235">
        <f t="shared" si="10"/>
        <v>43312.056338028167</v>
      </c>
      <c r="S49" s="269"/>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c r="BD49" s="36"/>
    </row>
    <row r="50" spans="1:56" x14ac:dyDescent="0.25">
      <c r="A50" s="244">
        <v>9257025</v>
      </c>
      <c r="B50" s="237" t="s">
        <v>209</v>
      </c>
      <c r="C50" s="365">
        <v>4</v>
      </c>
      <c r="D50" s="1024">
        <f>VLOOKUP(A50,'2324 Band Moderations'!$B$5:$S$21,6,(FALSE))</f>
        <v>0.13333333333333333</v>
      </c>
      <c r="E50" s="1024">
        <f>VLOOKUP(A50,'2324 Band Moderations'!$B$5:$S$21,8,(FALSE))</f>
        <v>0.53333333333333333</v>
      </c>
      <c r="F50" s="1024">
        <f>VLOOKUP(A50,'2324 Band Moderations'!$B$5:$S$21,10,(FALSE))</f>
        <v>4.4444444444444446E-2</v>
      </c>
      <c r="G50" s="1024">
        <f>VLOOKUP(A50,'2324 Band Moderations'!$B$5:$S$21,12,(FALSE))</f>
        <v>0.1111111111111111</v>
      </c>
      <c r="H50" s="1024">
        <f>VLOOKUP(A50,'2324 Band Moderations'!$B$5:$S$21,14,(FALSE))</f>
        <v>1.1111111111111112E-2</v>
      </c>
      <c r="I50" s="1024">
        <f>VLOOKUP(A50,'2324 Band Moderations'!$B$5:$S$21,16,(FALSE))</f>
        <v>0.12222222222222222</v>
      </c>
      <c r="J50" s="1024">
        <f>VLOOKUP(A50,'2324 Band Moderations'!$B$5:$S$21,18,(FALSE))</f>
        <v>4.4444444444444446E-2</v>
      </c>
      <c r="K50" s="451">
        <v>77</v>
      </c>
      <c r="L50" s="1025">
        <f t="shared" si="8"/>
        <v>489279.2462962963</v>
      </c>
      <c r="M50" s="1025">
        <v>0</v>
      </c>
      <c r="N50" s="1025">
        <f t="shared" si="9"/>
        <v>489279.2462962963</v>
      </c>
      <c r="O50" s="1026">
        <f t="shared" si="11"/>
        <v>449166.66666666669</v>
      </c>
      <c r="P50" s="1026">
        <f>(VLOOKUP(A50,'2324 Funding Detail'!$A$4:$AA$20,25,FALSE)*7/12)*K50</f>
        <v>294847.8628617755</v>
      </c>
      <c r="Q50" s="235"/>
      <c r="R50" s="235">
        <f t="shared" si="10"/>
        <v>48721.607407407406</v>
      </c>
      <c r="S50" s="269"/>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row>
    <row r="51" spans="1:56" x14ac:dyDescent="0.25">
      <c r="A51" s="244">
        <v>9257024</v>
      </c>
      <c r="B51" s="237" t="s">
        <v>211</v>
      </c>
      <c r="C51" s="365">
        <v>4</v>
      </c>
      <c r="D51" s="1024">
        <f>VLOOKUP(A51,'2324 Band Moderations'!$B$5:$S$21,6,(FALSE))</f>
        <v>8.2352941176470587E-2</v>
      </c>
      <c r="E51" s="1024">
        <f>VLOOKUP(A51,'2324 Band Moderations'!$B$5:$S$21,8,(FALSE))</f>
        <v>0.54117647058823526</v>
      </c>
      <c r="F51" s="1024">
        <f>VLOOKUP(A51,'2324 Band Moderations'!$B$5:$S$21,10,(FALSE))</f>
        <v>1.1764705882352941E-2</v>
      </c>
      <c r="G51" s="1024">
        <f>VLOOKUP(A51,'2324 Band Moderations'!$B$5:$S$21,12,(FALSE))</f>
        <v>0.17647058823529413</v>
      </c>
      <c r="H51" s="1024">
        <f>VLOOKUP(A51,'2324 Band Moderations'!$B$5:$S$21,14,(FALSE))</f>
        <v>7.0588235294117646E-2</v>
      </c>
      <c r="I51" s="1024">
        <f>VLOOKUP(A51,'2324 Band Moderations'!$B$5:$S$21,16,(FALSE))</f>
        <v>4.7058823529411764E-2</v>
      </c>
      <c r="J51" s="1024">
        <f>VLOOKUP(A51,'2324 Band Moderations'!$B$5:$S$21,18,(FALSE))</f>
        <v>7.0588235294117646E-2</v>
      </c>
      <c r="K51" s="451">
        <v>80</v>
      </c>
      <c r="L51" s="1025">
        <f t="shared" si="8"/>
        <v>534383.29411764699</v>
      </c>
      <c r="M51" s="1025">
        <v>0</v>
      </c>
      <c r="N51" s="1025">
        <f t="shared" si="9"/>
        <v>534383.29411764699</v>
      </c>
      <c r="O51" s="1026">
        <f t="shared" si="11"/>
        <v>466666.66666666669</v>
      </c>
      <c r="P51" s="1026">
        <f>(VLOOKUP(A51,'2324 Funding Detail'!$A$4:$AA$20,25,FALSE)*7/12)*K51</f>
        <v>338635.70703619561</v>
      </c>
      <c r="Q51" s="235"/>
      <c r="R51" s="235">
        <f t="shared" si="10"/>
        <v>80396.23529411765</v>
      </c>
      <c r="S51" s="269"/>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row>
    <row r="52" spans="1:56" x14ac:dyDescent="0.25">
      <c r="A52" s="244">
        <v>9257031</v>
      </c>
      <c r="B52" s="237" t="s">
        <v>257</v>
      </c>
      <c r="C52" s="365">
        <v>5</v>
      </c>
      <c r="D52" s="1024">
        <f>VLOOKUP(A52,'2324 Band Moderations'!$B$5:$S$21,6,(FALSE))</f>
        <v>0</v>
      </c>
      <c r="E52" s="1024">
        <f>VLOOKUP(A52,'2324 Band Moderations'!$B$5:$S$21,8,(FALSE))</f>
        <v>0</v>
      </c>
      <c r="F52" s="1024">
        <f>VLOOKUP(A52,'2324 Band Moderations'!$B$5:$S$21,10,(FALSE))</f>
        <v>1</v>
      </c>
      <c r="G52" s="1024">
        <f>VLOOKUP(A52,'2324 Band Moderations'!$B$5:$S$21,12,(FALSE))</f>
        <v>0</v>
      </c>
      <c r="H52" s="1024">
        <f>VLOOKUP(A52,'2324 Band Moderations'!$B$5:$S$21,14,(FALSE))</f>
        <v>0</v>
      </c>
      <c r="I52" s="1024">
        <f>VLOOKUP(A52,'2324 Band Moderations'!$B$5:$S$21,16,(FALSE))</f>
        <v>0</v>
      </c>
      <c r="J52" s="1024">
        <f>VLOOKUP(A52,'2324 Band Moderations'!$B$5:$S$21,18,(FALSE))</f>
        <v>0</v>
      </c>
      <c r="K52" s="1343">
        <v>81</v>
      </c>
      <c r="L52" s="1025">
        <f t="shared" si="8"/>
        <v>735540.75</v>
      </c>
      <c r="M52" s="1025">
        <v>0</v>
      </c>
      <c r="N52" s="1025">
        <f t="shared" si="9"/>
        <v>735540.75</v>
      </c>
      <c r="O52" s="1026">
        <f t="shared" si="11"/>
        <v>472500</v>
      </c>
      <c r="P52" s="1026">
        <f>(VLOOKUP(A52,'2324 Funding Detail'!$A$4:$AA$20,25,FALSE)*7/12)*K52</f>
        <v>571433.51587383647</v>
      </c>
      <c r="Q52" s="235"/>
      <c r="R52" s="235">
        <f t="shared" si="10"/>
        <v>0</v>
      </c>
      <c r="S52" s="269"/>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36"/>
      <c r="BD52" s="36"/>
    </row>
    <row r="53" spans="1:56" x14ac:dyDescent="0.25">
      <c r="A53" s="244">
        <v>9257033</v>
      </c>
      <c r="B53" s="237" t="s">
        <v>220</v>
      </c>
      <c r="C53" s="365" t="s">
        <v>1178</v>
      </c>
      <c r="D53" s="1024">
        <f>VLOOKUP(A53,'2324 Band Moderations'!$B$5:$S$21,6,(FALSE))</f>
        <v>0.13513513513513514</v>
      </c>
      <c r="E53" s="1024">
        <f>VLOOKUP(A53,'2324 Band Moderations'!$B$5:$S$21,8,(FALSE))</f>
        <v>0.67567567567567566</v>
      </c>
      <c r="F53" s="1024">
        <f>VLOOKUP(A53,'2324 Band Moderations'!$B$5:$S$21,10,(FALSE))</f>
        <v>9.0090090090090089E-3</v>
      </c>
      <c r="G53" s="1024">
        <f>VLOOKUP(A53,'2324 Band Moderations'!$B$5:$S$21,12,(FALSE))</f>
        <v>9.0090090090090086E-2</v>
      </c>
      <c r="H53" s="1024">
        <f>VLOOKUP(A53,'2324 Band Moderations'!$B$5:$S$21,14,(FALSE))</f>
        <v>4.5045045045045043E-2</v>
      </c>
      <c r="I53" s="1024">
        <f>VLOOKUP(A53,'2324 Band Moderations'!$B$5:$S$21,16,(FALSE))</f>
        <v>2.7027027027027029E-2</v>
      </c>
      <c r="J53" s="1024">
        <f>VLOOKUP(A53,'2324 Band Moderations'!$B$5:$S$21,18,(FALSE))</f>
        <v>1.8018018018018018E-2</v>
      </c>
      <c r="K53" s="451">
        <v>115</v>
      </c>
      <c r="L53" s="1025">
        <f t="shared" si="8"/>
        <v>631739.46321321314</v>
      </c>
      <c r="M53" s="1025">
        <v>0</v>
      </c>
      <c r="N53" s="1025">
        <f t="shared" si="9"/>
        <v>631739.46321321314</v>
      </c>
      <c r="O53" s="1026">
        <f t="shared" si="11"/>
        <v>670833.33333333337</v>
      </c>
      <c r="P53" s="1026">
        <f>(VLOOKUP(A53,'2324 Funding Detail'!$A$4:$AA$20,25,FALSE)*7/12)*K53</f>
        <v>283447.75039270025</v>
      </c>
      <c r="Q53" s="235"/>
      <c r="R53" s="235">
        <f t="shared" si="10"/>
        <v>29499.744744744745</v>
      </c>
      <c r="S53" s="269"/>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c r="BA53" s="36"/>
      <c r="BB53" s="36"/>
      <c r="BC53" s="36"/>
      <c r="BD53" s="36"/>
    </row>
    <row r="54" spans="1:56" x14ac:dyDescent="0.25">
      <c r="A54" s="244">
        <v>9257008</v>
      </c>
      <c r="B54" s="237" t="s">
        <v>212</v>
      </c>
      <c r="C54" s="365">
        <v>4</v>
      </c>
      <c r="D54" s="1024">
        <f>VLOOKUP(A54,'2324 Band Moderations'!$B$5:$S$21,6,(FALSE))</f>
        <v>0.15841584158415842</v>
      </c>
      <c r="E54" s="1024">
        <f>VLOOKUP(A54,'2324 Band Moderations'!$B$5:$S$21,8,(FALSE))</f>
        <v>0.62376237623762376</v>
      </c>
      <c r="F54" s="1024">
        <f>VLOOKUP(A54,'2324 Band Moderations'!$B$5:$S$21,10,(FALSE))</f>
        <v>4.9504950495049507E-2</v>
      </c>
      <c r="G54" s="1024">
        <f>VLOOKUP(A54,'2324 Band Moderations'!$B$5:$S$21,12,(FALSE))</f>
        <v>0.10891089108910891</v>
      </c>
      <c r="H54" s="1024">
        <f>VLOOKUP(A54,'2324 Band Moderations'!$B$5:$S$21,14,(FALSE))</f>
        <v>0</v>
      </c>
      <c r="I54" s="1024">
        <f>VLOOKUP(A54,'2324 Band Moderations'!$B$5:$S$21,16,(FALSE))</f>
        <v>5.9405940594059403E-2</v>
      </c>
      <c r="J54" s="1024">
        <f>VLOOKUP(A54,'2324 Band Moderations'!$B$5:$S$21,18,(FALSE))</f>
        <v>0</v>
      </c>
      <c r="K54" s="451">
        <v>101</v>
      </c>
      <c r="L54" s="1025">
        <f t="shared" si="8"/>
        <v>558924.91666666674</v>
      </c>
      <c r="M54" s="1025">
        <v>0</v>
      </c>
      <c r="N54" s="1025">
        <f t="shared" si="9"/>
        <v>558924.91666666674</v>
      </c>
      <c r="O54" s="1026">
        <f t="shared" si="11"/>
        <v>589166.66666666674</v>
      </c>
      <c r="P54" s="1026">
        <f>(VLOOKUP(A54,'2324 Funding Detail'!$A$4:$AA$20,25,FALSE)*7/12)*K54</f>
        <v>280662.14166666666</v>
      </c>
      <c r="Q54" s="235"/>
      <c r="R54" s="235">
        <f t="shared" si="10"/>
        <v>0</v>
      </c>
      <c r="S54" s="269"/>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c r="BA54" s="36"/>
      <c r="BB54" s="36"/>
      <c r="BC54" s="36"/>
      <c r="BD54" s="36"/>
    </row>
    <row r="55" spans="1:56" x14ac:dyDescent="0.25">
      <c r="A55" s="244">
        <v>9257034</v>
      </c>
      <c r="B55" s="237" t="s">
        <v>221</v>
      </c>
      <c r="C55" s="365" t="s">
        <v>1178</v>
      </c>
      <c r="D55" s="1024">
        <f>VLOOKUP(A55,'2324 Band Moderations'!$B$5:$S$21,6,(FALSE))</f>
        <v>0.42735042735042733</v>
      </c>
      <c r="E55" s="1024">
        <f>VLOOKUP(A55,'2324 Band Moderations'!$B$5:$S$21,8,(FALSE))</f>
        <v>0.3504273504273504</v>
      </c>
      <c r="F55" s="1024">
        <f>VLOOKUP(A55,'2324 Band Moderations'!$B$5:$S$21,10,(FALSE))</f>
        <v>9.4017094017094016E-2</v>
      </c>
      <c r="G55" s="1024">
        <f>VLOOKUP(A55,'2324 Band Moderations'!$B$5:$S$21,12,(FALSE))</f>
        <v>5.128205128205128E-2</v>
      </c>
      <c r="H55" s="1024">
        <f>VLOOKUP(A55,'2324 Band Moderations'!$B$5:$S$21,14,(FALSE))</f>
        <v>2.564102564102564E-2</v>
      </c>
      <c r="I55" s="1024">
        <f>VLOOKUP(A55,'2324 Band Moderations'!$B$5:$S$21,16,(FALSE))</f>
        <v>4.2735042735042736E-2</v>
      </c>
      <c r="J55" s="1024">
        <f>VLOOKUP(A55,'2324 Band Moderations'!$B$5:$S$21,18,(FALSE))</f>
        <v>8.5470085470085479E-3</v>
      </c>
      <c r="K55" s="451">
        <v>106</v>
      </c>
      <c r="L55" s="1025">
        <f t="shared" si="8"/>
        <v>570195.81908831908</v>
      </c>
      <c r="M55" s="1025">
        <v>0</v>
      </c>
      <c r="N55" s="1025">
        <f t="shared" si="9"/>
        <v>570195.81908831908</v>
      </c>
      <c r="O55" s="1026">
        <f t="shared" si="11"/>
        <v>618333.33333333337</v>
      </c>
      <c r="P55" s="1026">
        <f>(VLOOKUP(A55,'2324 Funding Detail'!$A$4:$AA$20,25,FALSE)*7/12)*K55</f>
        <v>251617.54144056249</v>
      </c>
      <c r="Q55" s="235"/>
      <c r="R55" s="235">
        <f t="shared" si="10"/>
        <v>12898.327635327636</v>
      </c>
      <c r="S55" s="269"/>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c r="BA55" s="36"/>
      <c r="BB55" s="36"/>
      <c r="BC55" s="36"/>
      <c r="BD55" s="36"/>
    </row>
    <row r="56" spans="1:56" x14ac:dyDescent="0.25">
      <c r="A56" s="244">
        <v>9257002</v>
      </c>
      <c r="B56" s="237" t="s">
        <v>213</v>
      </c>
      <c r="C56" s="365">
        <v>5</v>
      </c>
      <c r="D56" s="1024">
        <f>VLOOKUP(A56,'2324 Band Moderations'!$B$5:$S$21,6,(FALSE))</f>
        <v>0.27439024390243905</v>
      </c>
      <c r="E56" s="1024">
        <f>VLOOKUP(A56,'2324 Band Moderations'!$B$5:$S$21,8,(FALSE))</f>
        <v>0.43902439024390244</v>
      </c>
      <c r="F56" s="1024">
        <f>VLOOKUP(A56,'2324 Band Moderations'!$B$5:$S$21,10,(FALSE))</f>
        <v>0.13414634146341464</v>
      </c>
      <c r="G56" s="1024">
        <f>VLOOKUP(A56,'2324 Band Moderations'!$B$5:$S$21,12,(FALSE))</f>
        <v>3.6585365853658534E-2</v>
      </c>
      <c r="H56" s="1024">
        <f>VLOOKUP(A56,'2324 Band Moderations'!$B$5:$S$21,14,(FALSE))</f>
        <v>2.4390243902439025E-2</v>
      </c>
      <c r="I56" s="1024">
        <f>VLOOKUP(A56,'2324 Band Moderations'!$B$5:$S$21,16,(FALSE))</f>
        <v>7.926829268292683E-2</v>
      </c>
      <c r="J56" s="1024">
        <f>VLOOKUP(A56,'2324 Band Moderations'!$B$5:$S$21,18,(FALSE))</f>
        <v>1.2195121951219513E-2</v>
      </c>
      <c r="K56" s="451">
        <v>176</v>
      </c>
      <c r="L56" s="1025">
        <f t="shared" si="8"/>
        <v>1025513.5447154475</v>
      </c>
      <c r="M56" s="1025">
        <v>0</v>
      </c>
      <c r="N56" s="1025">
        <f t="shared" si="9"/>
        <v>1025513.5447154475</v>
      </c>
      <c r="O56" s="1026">
        <f t="shared" si="11"/>
        <v>1026666.6666666667</v>
      </c>
      <c r="P56" s="1026">
        <f>(VLOOKUP(A56,'2324 Funding Detail'!$A$4:$AA$20,25,FALSE)*7/12)*K56</f>
        <v>415499.18865558866</v>
      </c>
      <c r="Q56" s="235"/>
      <c r="R56" s="235">
        <f t="shared" si="10"/>
        <v>30557.105691056913</v>
      </c>
      <c r="S56" s="269"/>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c r="BA56" s="36"/>
      <c r="BB56" s="36"/>
      <c r="BC56" s="36"/>
      <c r="BD56" s="36"/>
    </row>
    <row r="57" spans="1:56" x14ac:dyDescent="0.25">
      <c r="A57" s="244">
        <v>9257009</v>
      </c>
      <c r="B57" s="237" t="s">
        <v>997</v>
      </c>
      <c r="C57" s="365" t="s">
        <v>1178</v>
      </c>
      <c r="D57" s="1024">
        <f>VLOOKUP(A57,'2324 Band Moderations'!$B$5:$S$21,6,(FALSE))</f>
        <v>0.17258883248730963</v>
      </c>
      <c r="E57" s="1024">
        <f>VLOOKUP(A57,'2324 Band Moderations'!$B$5:$S$21,8,(FALSE))</f>
        <v>0.50761421319796951</v>
      </c>
      <c r="F57" s="1024">
        <f>VLOOKUP(A57,'2324 Band Moderations'!$B$5:$S$21,10,(FALSE))</f>
        <v>6.5989847715736044E-2</v>
      </c>
      <c r="G57" s="1024">
        <f>VLOOKUP(A57,'2324 Band Moderations'!$B$5:$S$21,12,(FALSE))</f>
        <v>8.1218274111675121E-2</v>
      </c>
      <c r="H57" s="1024">
        <f>VLOOKUP(A57,'2324 Band Moderations'!$B$5:$S$21,14,(FALSE))</f>
        <v>3.553299492385787E-2</v>
      </c>
      <c r="I57" s="1024">
        <f>VLOOKUP(A57,'2324 Band Moderations'!$B$5:$S$21,16,(FALSE))</f>
        <v>8.6294416243654817E-2</v>
      </c>
      <c r="J57" s="1024">
        <f>VLOOKUP(A57,'2324 Band Moderations'!$B$5:$S$21,18,(FALSE))</f>
        <v>5.0761421319796954E-2</v>
      </c>
      <c r="K57" s="451">
        <v>201</v>
      </c>
      <c r="L57" s="1025">
        <f t="shared" si="8"/>
        <v>1259439.3870558375</v>
      </c>
      <c r="M57" s="1025">
        <v>0</v>
      </c>
      <c r="N57" s="1025">
        <f t="shared" si="9"/>
        <v>1259439.3870558375</v>
      </c>
      <c r="O57" s="1026">
        <f t="shared" si="11"/>
        <v>1172500.0000000002</v>
      </c>
      <c r="P57" s="1026">
        <f>(VLOOKUP(A57,'2324 Funding Detail'!$A$4:$AA$20,25,FALSE)*7/12)*K57</f>
        <v>553652.58352793485</v>
      </c>
      <c r="Q57" s="235"/>
      <c r="R57" s="235">
        <f t="shared" si="10"/>
        <v>145259.06091370559</v>
      </c>
      <c r="S57" s="269"/>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c r="BB57" s="36"/>
      <c r="BC57" s="36"/>
      <c r="BD57" s="36"/>
    </row>
    <row r="58" spans="1:56" x14ac:dyDescent="0.25">
      <c r="A58" s="244">
        <v>9257029</v>
      </c>
      <c r="B58" s="237" t="s">
        <v>890</v>
      </c>
      <c r="C58" s="365" t="s">
        <v>1179</v>
      </c>
      <c r="D58" s="1024">
        <f>VLOOKUP(A58,'2324 Band Moderations'!$B$5:$S$21,6,(FALSE))</f>
        <v>0</v>
      </c>
      <c r="E58" s="1024">
        <f>VLOOKUP(A58,'2324 Band Moderations'!$B$5:$S$21,8,(FALSE))</f>
        <v>0</v>
      </c>
      <c r="F58" s="1024">
        <f>VLOOKUP(A58,'2324 Band Moderations'!$B$5:$S$21,10,(FALSE))</f>
        <v>1</v>
      </c>
      <c r="G58" s="1024">
        <f>VLOOKUP(A58,'2324 Band Moderations'!$B$5:$S$21,12,(FALSE))</f>
        <v>0</v>
      </c>
      <c r="H58" s="1024">
        <f>VLOOKUP(A58,'2324 Band Moderations'!$B$5:$S$21,14,(FALSE))</f>
        <v>0</v>
      </c>
      <c r="I58" s="1024">
        <f>VLOOKUP(A58,'2324 Band Moderations'!$B$5:$S$21,16,(FALSE))</f>
        <v>0</v>
      </c>
      <c r="J58" s="1024">
        <f>VLOOKUP(A58,'2324 Band Moderations'!$B$5:$S$21,18,(FALSE))</f>
        <v>0</v>
      </c>
      <c r="K58" s="451">
        <v>79</v>
      </c>
      <c r="L58" s="1025">
        <f t="shared" si="8"/>
        <v>717379.25</v>
      </c>
      <c r="M58" s="1025">
        <v>0</v>
      </c>
      <c r="N58" s="1025">
        <f t="shared" si="9"/>
        <v>717379.25</v>
      </c>
      <c r="O58" s="1026">
        <f t="shared" si="11"/>
        <v>460833.33333333337</v>
      </c>
      <c r="P58" s="1026">
        <f>(VLOOKUP(A58,'2324 Funding Detail'!$A$4:$AA$20,25,FALSE)*7/12)*K58</f>
        <v>546763.90416666667</v>
      </c>
      <c r="Q58" s="235"/>
      <c r="R58" s="235">
        <f t="shared" si="10"/>
        <v>0</v>
      </c>
      <c r="S58" s="269"/>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c r="BA58" s="36"/>
      <c r="BB58" s="36"/>
      <c r="BC58" s="36"/>
      <c r="BD58" s="36"/>
    </row>
    <row r="59" spans="1:56" x14ac:dyDescent="0.25">
      <c r="A59" s="244">
        <v>9257032</v>
      </c>
      <c r="B59" s="237" t="s">
        <v>1043</v>
      </c>
      <c r="C59" s="365" t="s">
        <v>1179</v>
      </c>
      <c r="D59" s="1024">
        <f>VLOOKUP(A59,'2324 Band Moderations'!$B$5:$S$21,6,(FALSE))</f>
        <v>0</v>
      </c>
      <c r="E59" s="1024">
        <f>VLOOKUP(A59,'2324 Band Moderations'!$B$5:$S$21,8,(FALSE))</f>
        <v>0</v>
      </c>
      <c r="F59" s="1024">
        <f>VLOOKUP(A59,'2324 Band Moderations'!$B$5:$S$21,10,(FALSE))</f>
        <v>1</v>
      </c>
      <c r="G59" s="1024">
        <f>VLOOKUP(A59,'2324 Band Moderations'!$B$5:$S$21,12,(FALSE))</f>
        <v>0</v>
      </c>
      <c r="H59" s="1024">
        <f>VLOOKUP(A59,'2324 Band Moderations'!$B$5:$S$21,14,(FALSE))</f>
        <v>0</v>
      </c>
      <c r="I59" s="1024">
        <f>VLOOKUP(A59,'2324 Band Moderations'!$B$5:$S$21,16,(FALSE))</f>
        <v>0</v>
      </c>
      <c r="J59" s="1024">
        <f>VLOOKUP(A59,'2324 Band Moderations'!$B$5:$S$21,18,(FALSE))</f>
        <v>0</v>
      </c>
      <c r="K59" s="451">
        <v>115</v>
      </c>
      <c r="L59" s="1025">
        <f t="shared" si="8"/>
        <v>1044286.2500000001</v>
      </c>
      <c r="M59" s="1025">
        <v>0</v>
      </c>
      <c r="N59" s="1025">
        <f t="shared" si="9"/>
        <v>1044286.2500000001</v>
      </c>
      <c r="O59" s="1026">
        <f t="shared" si="11"/>
        <v>670833.33333333337</v>
      </c>
      <c r="P59" s="1026">
        <f>(VLOOKUP(A59,'2324 Funding Detail'!$A$4:$AA$20,25,FALSE)*7/12)*K59</f>
        <v>681850.69496855338</v>
      </c>
      <c r="Q59" s="235"/>
      <c r="R59" s="235">
        <f t="shared" si="10"/>
        <v>0</v>
      </c>
      <c r="S59" s="269"/>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c r="BA59" s="36"/>
      <c r="BB59" s="36"/>
      <c r="BC59" s="36"/>
      <c r="BD59" s="36"/>
    </row>
    <row r="60" spans="1:56" x14ac:dyDescent="0.25">
      <c r="A60" s="244">
        <v>9257030</v>
      </c>
      <c r="B60" s="237" t="s">
        <v>1046</v>
      </c>
      <c r="C60" s="365" t="s">
        <v>1179</v>
      </c>
      <c r="D60" s="1024">
        <f>VLOOKUP(A60,'2324 Band Moderations'!$B$5:$S$21,6,(FALSE))</f>
        <v>0</v>
      </c>
      <c r="E60" s="1024">
        <f>VLOOKUP(A60,'2324 Band Moderations'!$B$5:$S$21,8,(FALSE))</f>
        <v>0</v>
      </c>
      <c r="F60" s="1024">
        <f>VLOOKUP(A60,'2324 Band Moderations'!$B$5:$S$21,10,(FALSE))</f>
        <v>1</v>
      </c>
      <c r="G60" s="1024">
        <f>VLOOKUP(A60,'2324 Band Moderations'!$B$5:$S$21,12,(FALSE))</f>
        <v>0</v>
      </c>
      <c r="H60" s="1024">
        <f>VLOOKUP(A60,'2324 Band Moderations'!$B$5:$S$21,14,(FALSE))</f>
        <v>0</v>
      </c>
      <c r="I60" s="1024">
        <f>VLOOKUP(A60,'2324 Band Moderations'!$B$5:$S$21,16,(FALSE))</f>
        <v>0</v>
      </c>
      <c r="J60" s="1024">
        <f>VLOOKUP(A60,'2324 Band Moderations'!$B$5:$S$21,18,(FALSE))</f>
        <v>0</v>
      </c>
      <c r="K60" s="451">
        <v>70</v>
      </c>
      <c r="L60" s="1025">
        <f t="shared" si="8"/>
        <v>635652.5</v>
      </c>
      <c r="M60" s="1025">
        <v>0</v>
      </c>
      <c r="N60" s="1025">
        <f t="shared" si="9"/>
        <v>635652.5</v>
      </c>
      <c r="O60" s="1026">
        <f t="shared" si="11"/>
        <v>408333.33333333337</v>
      </c>
      <c r="P60" s="1026">
        <f>(VLOOKUP(A60,'2324 Funding Detail'!$A$4:$AA$20,25,FALSE)*7/12)*K60</f>
        <v>520894.61808747071</v>
      </c>
      <c r="Q60" s="235"/>
      <c r="R60" s="235">
        <f t="shared" si="10"/>
        <v>0</v>
      </c>
      <c r="S60" s="269"/>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c r="BA60" s="36"/>
      <c r="BB60" s="36"/>
      <c r="BC60" s="36"/>
      <c r="BD60" s="36"/>
    </row>
    <row r="61" spans="1:56" x14ac:dyDescent="0.25">
      <c r="A61" s="244">
        <v>9257028</v>
      </c>
      <c r="B61" s="237" t="s">
        <v>215</v>
      </c>
      <c r="C61" s="365">
        <v>5</v>
      </c>
      <c r="D61" s="1024">
        <f>VLOOKUP(A61,'2324 Band Moderations'!$B$5:$S$21,6,(FALSE))</f>
        <v>9.0163934426229511E-2</v>
      </c>
      <c r="E61" s="1024">
        <f>VLOOKUP(A61,'2324 Band Moderations'!$B$5:$S$21,8,(FALSE))</f>
        <v>0.45901639344262296</v>
      </c>
      <c r="F61" s="1024">
        <f>VLOOKUP(A61,'2324 Band Moderations'!$B$5:$S$21,10,(FALSE))</f>
        <v>6.5573770491803282E-2</v>
      </c>
      <c r="G61" s="1024">
        <f>VLOOKUP(A61,'2324 Band Moderations'!$B$5:$S$21,12,(FALSE))</f>
        <v>8.1967213114754092E-2</v>
      </c>
      <c r="H61" s="1024">
        <f>VLOOKUP(A61,'2324 Band Moderations'!$B$5:$S$21,14,(FALSE))</f>
        <v>9.0163934426229511E-2</v>
      </c>
      <c r="I61" s="1024">
        <f>VLOOKUP(A61,'2324 Band Moderations'!$B$5:$S$21,16,(FALSE))</f>
        <v>6.5573770491803282E-2</v>
      </c>
      <c r="J61" s="1024">
        <f>VLOOKUP(A61,'2324 Band Moderations'!$B$5:$S$21,18,(FALSE))</f>
        <v>0.14754098360655737</v>
      </c>
      <c r="K61" s="451">
        <v>130</v>
      </c>
      <c r="L61" s="1025">
        <f t="shared" si="8"/>
        <v>962656.92622950824</v>
      </c>
      <c r="M61" s="1025">
        <v>0</v>
      </c>
      <c r="N61" s="1025">
        <f t="shared" si="9"/>
        <v>962656.92622950824</v>
      </c>
      <c r="O61" s="1026">
        <f t="shared" si="11"/>
        <v>758333.33333333337</v>
      </c>
      <c r="P61" s="1026">
        <f>(VLOOKUP(A61,'2324 Funding Detail'!$A$4:$AA$20,25,FALSE)*7/12)*K61</f>
        <v>572116.66320867499</v>
      </c>
      <c r="Q61" s="235"/>
      <c r="R61" s="235">
        <f t="shared" si="10"/>
        <v>273067.13114754093</v>
      </c>
      <c r="S61" s="269"/>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c r="BA61" s="36"/>
      <c r="BB61" s="36"/>
      <c r="BC61" s="36"/>
      <c r="BD61" s="36"/>
    </row>
    <row r="62" spans="1:56" x14ac:dyDescent="0.25">
      <c r="A62" s="244">
        <v>9257021</v>
      </c>
      <c r="B62" s="237" t="s">
        <v>216</v>
      </c>
      <c r="C62" s="365" t="s">
        <v>1180</v>
      </c>
      <c r="D62" s="1024">
        <f>VLOOKUP(A62,'2324 Band Moderations'!$B$5:$S$21,6,(FALSE))</f>
        <v>0.21176470588235294</v>
      </c>
      <c r="E62" s="1024">
        <f>VLOOKUP(A62,'2324 Band Moderations'!$B$5:$S$21,8,(FALSE))</f>
        <v>0.52352941176470591</v>
      </c>
      <c r="F62" s="1024">
        <f>VLOOKUP(A62,'2324 Band Moderations'!$B$5:$S$21,10,(FALSE))</f>
        <v>0.10588235294117647</v>
      </c>
      <c r="G62" s="1024">
        <f>VLOOKUP(A62,'2324 Band Moderations'!$B$5:$S$21,12,(FALSE))</f>
        <v>7.0588235294117646E-2</v>
      </c>
      <c r="H62" s="1024">
        <f>VLOOKUP(A62,'2324 Band Moderations'!$B$5:$S$21,14,(FALSE))</f>
        <v>2.9411764705882353E-2</v>
      </c>
      <c r="I62" s="1024">
        <f>VLOOKUP(A62,'2324 Band Moderations'!$B$5:$S$21,16,(FALSE))</f>
        <v>4.7058823529411764E-2</v>
      </c>
      <c r="J62" s="1024">
        <f>VLOOKUP(A62,'2324 Band Moderations'!$B$5:$S$21,18,(FALSE))</f>
        <v>1.1764705882352941E-2</v>
      </c>
      <c r="K62" s="451">
        <v>179</v>
      </c>
      <c r="L62" s="1025">
        <f t="shared" si="8"/>
        <v>1029776.8215686277</v>
      </c>
      <c r="M62" s="1025">
        <v>0</v>
      </c>
      <c r="N62" s="1025">
        <f t="shared" si="9"/>
        <v>1029776.8215686277</v>
      </c>
      <c r="O62" s="1026">
        <f t="shared" si="11"/>
        <v>1044166.6666666667</v>
      </c>
      <c r="P62" s="1026">
        <f>(VLOOKUP(A62,'2324 Funding Detail'!$A$4:$AA$20,25,FALSE)*7/12)*K62</f>
        <v>390080.60133219877</v>
      </c>
      <c r="Q62" s="235"/>
      <c r="R62" s="235">
        <f t="shared" si="10"/>
        <v>29981.096078431368</v>
      </c>
      <c r="S62" s="269"/>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c r="BA62" s="36"/>
      <c r="BB62" s="36"/>
      <c r="BC62" s="36"/>
      <c r="BD62" s="36"/>
    </row>
    <row r="63" spans="1:56" x14ac:dyDescent="0.25">
      <c r="A63" s="244">
        <v>9257015</v>
      </c>
      <c r="B63" s="237" t="s">
        <v>217</v>
      </c>
      <c r="C63" s="365" t="s">
        <v>1181</v>
      </c>
      <c r="D63" s="1024">
        <f>VLOOKUP(A63,'2324 Band Moderations'!$B$5:$S$21,6,(FALSE))</f>
        <v>0.26991150442477874</v>
      </c>
      <c r="E63" s="1024">
        <f>VLOOKUP(A63,'2324 Band Moderations'!$B$5:$S$21,8,(FALSE))</f>
        <v>0.42035398230088494</v>
      </c>
      <c r="F63" s="1024">
        <f>VLOOKUP(A63,'2324 Band Moderations'!$B$5:$S$21,10,(FALSE))</f>
        <v>2.2123893805309734E-2</v>
      </c>
      <c r="G63" s="1024">
        <f>VLOOKUP(A63,'2324 Band Moderations'!$B$5:$S$21,12,(FALSE))</f>
        <v>8.8495575221238937E-2</v>
      </c>
      <c r="H63" s="1024">
        <f>VLOOKUP(A63,'2324 Band Moderations'!$B$5:$S$21,14,(FALSE))</f>
        <v>2.2123893805309734E-2</v>
      </c>
      <c r="I63" s="1024">
        <f>VLOOKUP(A63,'2324 Band Moderations'!$B$5:$S$21,16,(FALSE))</f>
        <v>0.15929203539823009</v>
      </c>
      <c r="J63" s="1024">
        <f>VLOOKUP(A63,'2324 Band Moderations'!$B$5:$S$21,18,(FALSE))</f>
        <v>1.7699115044247787E-2</v>
      </c>
      <c r="K63" s="451">
        <v>217</v>
      </c>
      <c r="L63" s="1025">
        <f t="shared" si="8"/>
        <v>1310511.0888643069</v>
      </c>
      <c r="M63" s="1025">
        <v>0</v>
      </c>
      <c r="N63" s="1025">
        <f t="shared" si="9"/>
        <v>1310511.0888643069</v>
      </c>
      <c r="O63" s="1026">
        <f t="shared" si="11"/>
        <v>1265833.3333333335</v>
      </c>
      <c r="P63" s="1026">
        <f>(VLOOKUP(A63,'2324 Funding Detail'!$A$4:$AA$20,25,FALSE)*7/12)*K63</f>
        <v>492299.83021091612</v>
      </c>
      <c r="Q63" s="235"/>
      <c r="R63" s="235">
        <f t="shared" si="10"/>
        <v>54679.519174041292</v>
      </c>
      <c r="S63" s="269"/>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c r="BA63" s="36"/>
      <c r="BB63" s="36"/>
      <c r="BC63" s="36"/>
      <c r="BD63" s="36"/>
    </row>
    <row r="64" spans="1:56" x14ac:dyDescent="0.25">
      <c r="A64" s="244">
        <v>9257016</v>
      </c>
      <c r="B64" s="237" t="s">
        <v>219</v>
      </c>
      <c r="C64" s="365" t="s">
        <v>1181</v>
      </c>
      <c r="D64" s="1024">
        <f>VLOOKUP(A64,'2324 Band Moderations'!$B$5:$S$21,6,(FALSE))</f>
        <v>0.11874999999999999</v>
      </c>
      <c r="E64" s="1024">
        <f>VLOOKUP(A64,'2324 Band Moderations'!$B$5:$S$21,8,(FALSE))</f>
        <v>0.21249999999999999</v>
      </c>
      <c r="F64" s="1024">
        <f>VLOOKUP(A64,'2324 Band Moderations'!$B$5:$S$21,10,(FALSE))</f>
        <v>1.2500000000000001E-2</v>
      </c>
      <c r="G64" s="1024">
        <f>VLOOKUP(A64,'2324 Band Moderations'!$B$5:$S$21,12,(FALSE))</f>
        <v>0.24374999999999999</v>
      </c>
      <c r="H64" s="1024">
        <f>VLOOKUP(A64,'2324 Band Moderations'!$B$5:$S$21,14,(FALSE))</f>
        <v>0.18124999999999999</v>
      </c>
      <c r="I64" s="1024">
        <f>VLOOKUP(A64,'2324 Band Moderations'!$B$5:$S$21,16,(FALSE))</f>
        <v>1.8749999999999999E-2</v>
      </c>
      <c r="J64" s="1024">
        <f>VLOOKUP(A64,'2324 Band Moderations'!$B$5:$S$21,18,(FALSE))</f>
        <v>0.21249999999999999</v>
      </c>
      <c r="K64" s="451">
        <v>114</v>
      </c>
      <c r="L64" s="1025">
        <f t="shared" si="8"/>
        <v>992102.69375000009</v>
      </c>
      <c r="M64" s="1025">
        <v>0</v>
      </c>
      <c r="N64" s="1025">
        <f t="shared" si="9"/>
        <v>992102.69375000009</v>
      </c>
      <c r="O64" s="1026">
        <f t="shared" si="11"/>
        <v>665000</v>
      </c>
      <c r="P64" s="1026">
        <f>(VLOOKUP(A64,'2324 Funding Detail'!$A$4:$AA$20,25,FALSE)*7/12)*K64</f>
        <v>645058.30495080748</v>
      </c>
      <c r="Q64" s="299" t="s">
        <v>207</v>
      </c>
      <c r="R64" s="235">
        <f t="shared" si="10"/>
        <v>344887.28749999998</v>
      </c>
      <c r="S64" s="269"/>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c r="BA64" s="36"/>
      <c r="BB64" s="36"/>
      <c r="BC64" s="36"/>
      <c r="BD64" s="36"/>
    </row>
    <row r="65" spans="1:56" x14ac:dyDescent="0.25">
      <c r="A65" s="36"/>
      <c r="B65" s="36"/>
      <c r="C65" s="36"/>
      <c r="D65" s="36"/>
      <c r="E65" s="36"/>
      <c r="F65" s="299" t="s">
        <v>207</v>
      </c>
      <c r="G65" s="36"/>
      <c r="H65" s="36"/>
      <c r="I65" s="36"/>
      <c r="J65" s="299" t="s">
        <v>207</v>
      </c>
      <c r="K65" s="234"/>
      <c r="L65" s="36"/>
      <c r="M65" s="36"/>
      <c r="N65" s="299" t="s">
        <v>207</v>
      </c>
      <c r="O65" s="36"/>
      <c r="P65" s="36"/>
      <c r="Q65" s="36"/>
      <c r="R65" s="234"/>
      <c r="S65" s="288"/>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c r="BA65" s="36"/>
      <c r="BB65" s="36"/>
      <c r="BC65" s="36"/>
      <c r="BD65" s="36"/>
    </row>
    <row r="66" spans="1:56" ht="13" x14ac:dyDescent="0.3">
      <c r="A66" s="93" t="s">
        <v>1634</v>
      </c>
      <c r="B66" s="36"/>
      <c r="C66" s="36"/>
      <c r="D66" s="36"/>
      <c r="E66" s="36"/>
      <c r="F66" s="36"/>
      <c r="G66" s="36"/>
      <c r="H66" s="36"/>
      <c r="I66" s="36"/>
      <c r="J66" s="36"/>
      <c r="K66" s="234"/>
      <c r="L66" s="234"/>
      <c r="M66" s="36"/>
      <c r="N66" s="36"/>
      <c r="O66" s="36"/>
      <c r="P66" s="36"/>
      <c r="Q66" s="36"/>
      <c r="R66" s="234"/>
      <c r="S66" s="288"/>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row>
    <row r="67" spans="1:56" x14ac:dyDescent="0.25">
      <c r="A67" s="36"/>
      <c r="B67" s="36"/>
      <c r="C67" s="36"/>
      <c r="D67" s="36"/>
      <c r="E67" s="36"/>
      <c r="F67" s="36"/>
      <c r="G67" s="36"/>
      <c r="H67" s="36"/>
      <c r="I67" s="36"/>
      <c r="J67" s="36"/>
      <c r="K67" s="94" t="s">
        <v>1633</v>
      </c>
      <c r="L67" s="234"/>
      <c r="M67" s="36"/>
      <c r="N67" s="36"/>
      <c r="O67" s="1445" t="s">
        <v>238</v>
      </c>
      <c r="P67" s="1446"/>
      <c r="Q67" s="36"/>
      <c r="R67" s="234"/>
      <c r="S67" s="288"/>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c r="BA67" s="36"/>
      <c r="BB67" s="36"/>
      <c r="BC67" s="36"/>
      <c r="BD67" s="36"/>
    </row>
    <row r="68" spans="1:56" ht="37.5" x14ac:dyDescent="0.25">
      <c r="A68" s="265" t="s">
        <v>182</v>
      </c>
      <c r="B68" s="237" t="s">
        <v>183</v>
      </c>
      <c r="C68" s="238" t="s">
        <v>184</v>
      </c>
      <c r="D68" s="234" t="s">
        <v>901</v>
      </c>
      <c r="E68" s="234" t="s">
        <v>902</v>
      </c>
      <c r="F68" s="234" t="s">
        <v>903</v>
      </c>
      <c r="G68" s="234" t="s">
        <v>904</v>
      </c>
      <c r="H68" s="234" t="s">
        <v>905</v>
      </c>
      <c r="I68" s="234" t="s">
        <v>906</v>
      </c>
      <c r="J68" s="234" t="s">
        <v>907</v>
      </c>
      <c r="K68" s="243" t="s">
        <v>264</v>
      </c>
      <c r="L68" s="243" t="s">
        <v>279</v>
      </c>
      <c r="M68" s="243" t="s">
        <v>280</v>
      </c>
      <c r="N68" s="243" t="s">
        <v>279</v>
      </c>
      <c r="O68" s="243" t="s">
        <v>267</v>
      </c>
      <c r="P68" s="320" t="s">
        <v>281</v>
      </c>
      <c r="Q68" s="243"/>
      <c r="R68" s="243"/>
      <c r="S68" s="27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c r="BA68" s="36"/>
      <c r="BB68" s="36"/>
      <c r="BC68" s="36"/>
      <c r="BD68" s="36"/>
    </row>
    <row r="69" spans="1:56" x14ac:dyDescent="0.25">
      <c r="A69" s="244">
        <v>9257010</v>
      </c>
      <c r="B69" s="237" t="s">
        <v>1164</v>
      </c>
      <c r="C69" s="365">
        <v>5</v>
      </c>
      <c r="D69" s="1024">
        <f>VLOOKUP(A69,'2324 Band Moderations'!$B$5:$S$21,6,(FALSE))</f>
        <v>0.1111111111111111</v>
      </c>
      <c r="E69" s="1024">
        <f>VLOOKUP(A69,'2324 Band Moderations'!$B$5:$S$21,8,(FALSE))</f>
        <v>0.48412698412698413</v>
      </c>
      <c r="F69" s="1024">
        <f>VLOOKUP(A69,'2324 Band Moderations'!$B$5:$S$21,10,(FALSE))</f>
        <v>6.3492063492063489E-2</v>
      </c>
      <c r="G69" s="1024">
        <f>VLOOKUP(A69,'2324 Band Moderations'!$B$5:$S$21,12,(FALSE))</f>
        <v>0.10317460317460317</v>
      </c>
      <c r="H69" s="1024">
        <f>VLOOKUP(A69,'2324 Band Moderations'!$B$5:$S$21,14,(FALSE))</f>
        <v>6.3492063492063489E-2</v>
      </c>
      <c r="I69" s="1024">
        <f>VLOOKUP(A69,'2324 Band Moderations'!$B$5:$S$21,16,(FALSE))</f>
        <v>7.9365079365079361E-2</v>
      </c>
      <c r="J69" s="1024">
        <f>VLOOKUP(A69,'2324 Band Moderations'!$B$5:$S$21,18,(FALSE))</f>
        <v>9.5238095238095233E-2</v>
      </c>
      <c r="K69" s="451">
        <v>25</v>
      </c>
      <c r="L69" s="1025">
        <f>((((K69*D69)*$G$88)+((K69*E69)*$G$90)+((K69*F69)*$G$92)+((K69*G69)*$G$94)+((K69*H69)*$G$96)+((K69*I69)*$G$98)+((K69*J69)*$G$100))*(8/12))</f>
        <v>197840.47619047621</v>
      </c>
      <c r="M69" s="1025">
        <v>0</v>
      </c>
      <c r="N69" s="1025">
        <f>SUM(L69:M69)</f>
        <v>197840.47619047621</v>
      </c>
      <c r="O69" s="1026">
        <f>(K69*(8/12))*10000</f>
        <v>166666.66666666666</v>
      </c>
      <c r="P69" s="1026">
        <f>(VLOOKUP(A69,'2324 Funding Detail'!$A$4:$AA$20,25,FALSE)*8/12)*K69</f>
        <v>113221.39822367262</v>
      </c>
      <c r="Q69" s="235"/>
      <c r="R69" s="235">
        <f>(J69*K69*$G$100)*8/12</f>
        <v>38739.682539682537</v>
      </c>
      <c r="S69" s="269"/>
      <c r="T69" s="280"/>
      <c r="U69" s="36"/>
      <c r="V69" s="297"/>
      <c r="W69" s="29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c r="BA69" s="36"/>
      <c r="BB69" s="36"/>
      <c r="BC69" s="36"/>
      <c r="BD69" s="36"/>
    </row>
    <row r="70" spans="1:56" x14ac:dyDescent="0.25">
      <c r="A70" s="244">
        <v>9257005</v>
      </c>
      <c r="B70" s="237" t="s">
        <v>208</v>
      </c>
      <c r="C70" s="365">
        <v>4</v>
      </c>
      <c r="D70" s="1024">
        <f>VLOOKUP(A70,'2324 Band Moderations'!$B$5:$S$21,6,(FALSE))</f>
        <v>8.4507042253521125E-2</v>
      </c>
      <c r="E70" s="1024">
        <f>VLOOKUP(A70,'2324 Band Moderations'!$B$5:$S$21,8,(FALSE))</f>
        <v>0.40845070422535212</v>
      </c>
      <c r="F70" s="1024">
        <f>VLOOKUP(A70,'2324 Band Moderations'!$B$5:$S$21,10,(FALSE))</f>
        <v>8.4507042253521125E-2</v>
      </c>
      <c r="G70" s="1024">
        <f>VLOOKUP(A70,'2324 Band Moderations'!$B$5:$S$21,12,(FALSE))</f>
        <v>9.8591549295774641E-2</v>
      </c>
      <c r="H70" s="1024">
        <f>VLOOKUP(A70,'2324 Band Moderations'!$B$5:$S$21,14,(FALSE))</f>
        <v>0.11267605633802817</v>
      </c>
      <c r="I70" s="1024">
        <f>VLOOKUP(A70,'2324 Band Moderations'!$B$5:$S$21,16,(FALSE))</f>
        <v>0.15492957746478872</v>
      </c>
      <c r="J70" s="1024">
        <f>VLOOKUP(A70,'2324 Band Moderations'!$B$5:$S$21,18,(FALSE))</f>
        <v>5.6338028169014086E-2</v>
      </c>
      <c r="K70" s="451">
        <v>20</v>
      </c>
      <c r="L70" s="1025">
        <f>((((K70*D70)*$G$88)+((K70*E70)*$G$90)+((K70*F70)*$G$92)+((K70*G70)*$G$94)+((K70*H70)*$G$96)+((K70*I70)*$G$98)+((K70*J70)*$G$100))*(8/12))</f>
        <v>166255.39906103286</v>
      </c>
      <c r="M70" s="1025">
        <v>0</v>
      </c>
      <c r="N70" s="1025">
        <f>SUM(L70:M70)</f>
        <v>166255.39906103286</v>
      </c>
      <c r="O70" s="1026">
        <f t="shared" ref="O70:O85" si="12">(K70*(8/12))*10000</f>
        <v>133333.33333333331</v>
      </c>
      <c r="P70" s="1026">
        <f>(VLOOKUP(A70,'2324 Funding Detail'!$A$4:$AA$20,25,FALSE)*8/12)*K70</f>
        <v>120985.43040899522</v>
      </c>
      <c r="Q70" s="235"/>
      <c r="R70" s="235">
        <f>(J70*K70*$G$100)*8/12</f>
        <v>18333.145539906105</v>
      </c>
      <c r="S70" s="269"/>
      <c r="T70" s="280"/>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c r="BA70" s="36"/>
      <c r="BB70" s="36"/>
      <c r="BC70" s="36"/>
      <c r="BD70" s="36"/>
    </row>
    <row r="71" spans="1:56" x14ac:dyDescent="0.25">
      <c r="A71" s="244">
        <v>9257025</v>
      </c>
      <c r="B71" s="237" t="s">
        <v>209</v>
      </c>
      <c r="C71" s="365">
        <v>4</v>
      </c>
      <c r="D71" s="1024">
        <f>VLOOKUP(A71,'2324 Band Moderations'!$B$5:$S$21,6,(FALSE))</f>
        <v>0.13333333333333333</v>
      </c>
      <c r="E71" s="1024">
        <f>VLOOKUP(A71,'2324 Band Moderations'!$B$5:$S$21,8,(FALSE))</f>
        <v>0.53333333333333333</v>
      </c>
      <c r="F71" s="1024">
        <f>VLOOKUP(A71,'2324 Band Moderations'!$B$5:$S$21,10,(FALSE))</f>
        <v>4.4444444444444446E-2</v>
      </c>
      <c r="G71" s="1024">
        <f>VLOOKUP(A71,'2324 Band Moderations'!$B$5:$S$21,12,(FALSE))</f>
        <v>0.1111111111111111</v>
      </c>
      <c r="H71" s="1024">
        <f>VLOOKUP(A71,'2324 Band Moderations'!$B$5:$S$21,14,(FALSE))</f>
        <v>1.1111111111111112E-2</v>
      </c>
      <c r="I71" s="1024">
        <f>VLOOKUP(A71,'2324 Band Moderations'!$B$5:$S$21,16,(FALSE))</f>
        <v>0.12222222222222222</v>
      </c>
      <c r="J71" s="1024">
        <f>VLOOKUP(A71,'2324 Band Moderations'!$B$5:$S$21,18,(FALSE))</f>
        <v>4.4444444444444446E-2</v>
      </c>
      <c r="K71" s="451">
        <v>24</v>
      </c>
      <c r="L71" s="1025">
        <f>((((K71*D71)*$G$88)+((K71*E71)*$G$90)+((K71*F71)*$G$92)+((K71*G71)*$G$94)+((K71*H71)*$G$96)+((K71*I71)*$G$98)+((K71*J71)*$G$100))*(8/12))</f>
        <v>174288.7111111111</v>
      </c>
      <c r="M71" s="1025">
        <v>0</v>
      </c>
      <c r="N71" s="1025">
        <f t="shared" ref="N71:N85" si="13">SUM(L71:M71)</f>
        <v>174288.7111111111</v>
      </c>
      <c r="O71" s="1026">
        <f t="shared" si="12"/>
        <v>160000</v>
      </c>
      <c r="P71" s="1026">
        <f>(VLOOKUP(A71,'2324 Funding Detail'!$A$4:$AA$20,25,FALSE)*8/12)*K71</f>
        <v>105029.29437747848</v>
      </c>
      <c r="Q71" s="235"/>
      <c r="R71" s="235">
        <f>(J71*K71*$G$100)*8/12</f>
        <v>17355.377777777776</v>
      </c>
      <c r="S71" s="269"/>
      <c r="T71" s="280"/>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c r="BA71" s="36"/>
      <c r="BB71" s="36"/>
      <c r="BC71" s="36"/>
      <c r="BD71" s="36"/>
    </row>
    <row r="72" spans="1:56" x14ac:dyDescent="0.25">
      <c r="A72" s="244">
        <v>9257024</v>
      </c>
      <c r="B72" s="237" t="s">
        <v>211</v>
      </c>
      <c r="C72" s="365">
        <v>4</v>
      </c>
      <c r="D72" s="1024">
        <f>VLOOKUP(A72,'2324 Band Moderations'!$B$5:$S$21,6,(FALSE))</f>
        <v>8.2352941176470587E-2</v>
      </c>
      <c r="E72" s="1024">
        <f>VLOOKUP(A72,'2324 Band Moderations'!$B$5:$S$21,8,(FALSE))</f>
        <v>0.54117647058823526</v>
      </c>
      <c r="F72" s="1024">
        <f>VLOOKUP(A72,'2324 Band Moderations'!$B$5:$S$21,10,(FALSE))</f>
        <v>1.1764705882352941E-2</v>
      </c>
      <c r="G72" s="1024">
        <f>VLOOKUP(A72,'2324 Band Moderations'!$B$5:$S$21,12,(FALSE))</f>
        <v>0.17647058823529413</v>
      </c>
      <c r="H72" s="1024">
        <f>VLOOKUP(A72,'2324 Band Moderations'!$B$5:$S$21,14,(FALSE))</f>
        <v>7.0588235294117646E-2</v>
      </c>
      <c r="I72" s="1024">
        <f>VLOOKUP(A72,'2324 Band Moderations'!$B$5:$S$21,16,(FALSE))</f>
        <v>4.7058823529411764E-2</v>
      </c>
      <c r="J72" s="1024">
        <f>VLOOKUP(A72,'2324 Band Moderations'!$B$5:$S$21,18,(FALSE))</f>
        <v>7.0588235294117646E-2</v>
      </c>
      <c r="K72" s="451">
        <v>16</v>
      </c>
      <c r="L72" s="1025">
        <f t="shared" ref="L72:L85" si="14">((((K72*D72)*$G$88)+((K72*E72)*$G$90)+((K72*F72)*$G$92)+((K72*G72)*$G$94)+((K72*H72)*$G$96)+((K72*I72)*$G$98)+((K72*J72)*$G$100))*(8/12))</f>
        <v>122144.75294117644</v>
      </c>
      <c r="M72" s="1025">
        <v>0</v>
      </c>
      <c r="N72" s="1025">
        <f t="shared" si="13"/>
        <v>122144.75294117644</v>
      </c>
      <c r="O72" s="1026">
        <f t="shared" si="12"/>
        <v>106666.66666666666</v>
      </c>
      <c r="P72" s="1026">
        <f>(VLOOKUP(A72,'2324 Funding Detail'!$A$4:$AA$20,25,FALSE)*8/12)*K72</f>
        <v>77402.447322559005</v>
      </c>
      <c r="Q72" s="235"/>
      <c r="R72" s="235">
        <f t="shared" ref="R72:R85" si="15">(J72*K72*$G$100)*8/12</f>
        <v>18376.282352941176</v>
      </c>
      <c r="S72" s="269"/>
      <c r="T72" s="280"/>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c r="BA72" s="36"/>
      <c r="BB72" s="36"/>
      <c r="BC72" s="36"/>
      <c r="BD72" s="36"/>
    </row>
    <row r="73" spans="1:56" x14ac:dyDescent="0.25">
      <c r="A73" s="244">
        <v>9257031</v>
      </c>
      <c r="B73" s="237" t="s">
        <v>257</v>
      </c>
      <c r="C73" s="365">
        <v>5</v>
      </c>
      <c r="D73" s="1024">
        <f>VLOOKUP(A73,'2324 Band Moderations'!$B$5:$S$21,6,(FALSE))</f>
        <v>0</v>
      </c>
      <c r="E73" s="1024">
        <f>VLOOKUP(A73,'2324 Band Moderations'!$B$5:$S$21,8,(FALSE))</f>
        <v>0</v>
      </c>
      <c r="F73" s="1024">
        <f>VLOOKUP(A73,'2324 Band Moderations'!$B$5:$S$21,10,(FALSE))</f>
        <v>1</v>
      </c>
      <c r="G73" s="1024">
        <f>VLOOKUP(A73,'2324 Band Moderations'!$B$5:$S$21,12,(FALSE))</f>
        <v>0</v>
      </c>
      <c r="H73" s="1024">
        <f>VLOOKUP(A73,'2324 Band Moderations'!$B$5:$S$21,14,(FALSE))</f>
        <v>0</v>
      </c>
      <c r="I73" s="1024">
        <f>VLOOKUP(A73,'2324 Band Moderations'!$B$5:$S$21,16,(FALSE))</f>
        <v>0</v>
      </c>
      <c r="J73" s="1024">
        <f>VLOOKUP(A73,'2324 Band Moderations'!$B$5:$S$21,18,(FALSE))</f>
        <v>0</v>
      </c>
      <c r="K73" s="451">
        <v>0</v>
      </c>
      <c r="L73" s="1025">
        <f t="shared" si="14"/>
        <v>0</v>
      </c>
      <c r="M73" s="1025">
        <v>0</v>
      </c>
      <c r="N73" s="1025">
        <f t="shared" si="13"/>
        <v>0</v>
      </c>
      <c r="O73" s="1026">
        <f t="shared" si="12"/>
        <v>0</v>
      </c>
      <c r="P73" s="1026">
        <f>(VLOOKUP(A73,'2324 Funding Detail'!$A$4:$AA$20,25,FALSE)*8/12)*K73</f>
        <v>0</v>
      </c>
      <c r="Q73" s="235"/>
      <c r="R73" s="235">
        <f t="shared" si="15"/>
        <v>0</v>
      </c>
      <c r="S73" s="269"/>
      <c r="T73" s="280"/>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c r="BA73" s="36"/>
      <c r="BB73" s="36"/>
      <c r="BC73" s="36"/>
      <c r="BD73" s="36"/>
    </row>
    <row r="74" spans="1:56" x14ac:dyDescent="0.25">
      <c r="A74" s="244">
        <v>9257033</v>
      </c>
      <c r="B74" s="237" t="s">
        <v>220</v>
      </c>
      <c r="C74" s="365" t="s">
        <v>1178</v>
      </c>
      <c r="D74" s="1024">
        <f>VLOOKUP(A74,'2324 Band Moderations'!$B$5:$S$21,6,(FALSE))</f>
        <v>0.13513513513513514</v>
      </c>
      <c r="E74" s="1024">
        <f>VLOOKUP(A74,'2324 Band Moderations'!$B$5:$S$21,8,(FALSE))</f>
        <v>0.67567567567567566</v>
      </c>
      <c r="F74" s="1024">
        <f>VLOOKUP(A74,'2324 Band Moderations'!$B$5:$S$21,10,(FALSE))</f>
        <v>9.0090090090090089E-3</v>
      </c>
      <c r="G74" s="1024">
        <f>VLOOKUP(A74,'2324 Band Moderations'!$B$5:$S$21,12,(FALSE))</f>
        <v>9.0090090090090086E-2</v>
      </c>
      <c r="H74" s="1024">
        <f>VLOOKUP(A74,'2324 Band Moderations'!$B$5:$S$21,14,(FALSE))</f>
        <v>4.5045045045045043E-2</v>
      </c>
      <c r="I74" s="1024">
        <f>VLOOKUP(A74,'2324 Band Moderations'!$B$5:$S$21,16,(FALSE))</f>
        <v>2.7027027027027029E-2</v>
      </c>
      <c r="J74" s="1024">
        <f>VLOOKUP(A74,'2324 Band Moderations'!$B$5:$S$21,18,(FALSE))</f>
        <v>1.8018018018018018E-2</v>
      </c>
      <c r="K74" s="451">
        <v>0</v>
      </c>
      <c r="L74" s="1025">
        <f t="shared" si="14"/>
        <v>0</v>
      </c>
      <c r="M74" s="1025">
        <v>0</v>
      </c>
      <c r="N74" s="1025">
        <f t="shared" si="13"/>
        <v>0</v>
      </c>
      <c r="O74" s="1026">
        <f t="shared" si="12"/>
        <v>0</v>
      </c>
      <c r="P74" s="1026">
        <f>(VLOOKUP(A74,'2324 Funding Detail'!$A$4:$AA$20,25,FALSE)*8/12)*K74</f>
        <v>0</v>
      </c>
      <c r="Q74" s="235"/>
      <c r="R74" s="235">
        <f t="shared" si="15"/>
        <v>0</v>
      </c>
      <c r="S74" s="269"/>
      <c r="T74" s="280"/>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c r="BA74" s="36"/>
      <c r="BB74" s="36"/>
      <c r="BC74" s="36"/>
      <c r="BD74" s="36"/>
    </row>
    <row r="75" spans="1:56" x14ac:dyDescent="0.25">
      <c r="A75" s="244">
        <v>9257008</v>
      </c>
      <c r="B75" s="237" t="s">
        <v>212</v>
      </c>
      <c r="C75" s="365">
        <v>4</v>
      </c>
      <c r="D75" s="1024">
        <f>VLOOKUP(A75,'2324 Band Moderations'!$B$5:$S$21,6,(FALSE))</f>
        <v>0.15841584158415842</v>
      </c>
      <c r="E75" s="1024">
        <f>VLOOKUP(A75,'2324 Band Moderations'!$B$5:$S$21,8,(FALSE))</f>
        <v>0.62376237623762376</v>
      </c>
      <c r="F75" s="1024">
        <f>VLOOKUP(A75,'2324 Band Moderations'!$B$5:$S$21,10,(FALSE))</f>
        <v>4.9504950495049507E-2</v>
      </c>
      <c r="G75" s="1024">
        <f>VLOOKUP(A75,'2324 Band Moderations'!$B$5:$S$21,12,(FALSE))</f>
        <v>0.10891089108910891</v>
      </c>
      <c r="H75" s="1024">
        <f>VLOOKUP(A75,'2324 Band Moderations'!$B$5:$S$21,14,(FALSE))</f>
        <v>0</v>
      </c>
      <c r="I75" s="1024">
        <f>VLOOKUP(A75,'2324 Band Moderations'!$B$5:$S$21,16,(FALSE))</f>
        <v>5.9405940594059403E-2</v>
      </c>
      <c r="J75" s="1024">
        <f>VLOOKUP(A75,'2324 Band Moderations'!$B$5:$S$21,18,(FALSE))</f>
        <v>0</v>
      </c>
      <c r="K75" s="451">
        <v>0</v>
      </c>
      <c r="L75" s="1025">
        <f t="shared" si="14"/>
        <v>0</v>
      </c>
      <c r="M75" s="1025">
        <v>0</v>
      </c>
      <c r="N75" s="1025">
        <f t="shared" si="13"/>
        <v>0</v>
      </c>
      <c r="O75" s="1026">
        <f t="shared" si="12"/>
        <v>0</v>
      </c>
      <c r="P75" s="1026">
        <f>(VLOOKUP(A75,'2324 Funding Detail'!$A$4:$AA$20,25,FALSE)*8/12)*K75</f>
        <v>0</v>
      </c>
      <c r="Q75" s="235"/>
      <c r="R75" s="235">
        <f t="shared" si="15"/>
        <v>0</v>
      </c>
      <c r="S75" s="269"/>
      <c r="T75" s="280"/>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c r="BA75" s="36"/>
      <c r="BB75" s="36"/>
      <c r="BC75" s="36"/>
      <c r="BD75" s="36"/>
    </row>
    <row r="76" spans="1:56" x14ac:dyDescent="0.25">
      <c r="A76" s="244">
        <v>9257034</v>
      </c>
      <c r="B76" s="237" t="s">
        <v>221</v>
      </c>
      <c r="C76" s="365" t="s">
        <v>1178</v>
      </c>
      <c r="D76" s="1024">
        <f>VLOOKUP(A76,'2324 Band Moderations'!$B$5:$S$21,6,(FALSE))</f>
        <v>0.42735042735042733</v>
      </c>
      <c r="E76" s="1024">
        <f>VLOOKUP(A76,'2324 Band Moderations'!$B$5:$S$21,8,(FALSE))</f>
        <v>0.3504273504273504</v>
      </c>
      <c r="F76" s="1024">
        <f>VLOOKUP(A76,'2324 Band Moderations'!$B$5:$S$21,10,(FALSE))</f>
        <v>9.4017094017094016E-2</v>
      </c>
      <c r="G76" s="1024">
        <f>VLOOKUP(A76,'2324 Band Moderations'!$B$5:$S$21,12,(FALSE))</f>
        <v>5.128205128205128E-2</v>
      </c>
      <c r="H76" s="1024">
        <f>VLOOKUP(A76,'2324 Band Moderations'!$B$5:$S$21,14,(FALSE))</f>
        <v>2.564102564102564E-2</v>
      </c>
      <c r="I76" s="1024">
        <f>VLOOKUP(A76,'2324 Band Moderations'!$B$5:$S$21,16,(FALSE))</f>
        <v>4.2735042735042736E-2</v>
      </c>
      <c r="J76" s="1024">
        <f>VLOOKUP(A76,'2324 Band Moderations'!$B$5:$S$21,18,(FALSE))</f>
        <v>8.5470085470085479E-3</v>
      </c>
      <c r="K76" s="451">
        <v>26</v>
      </c>
      <c r="L76" s="1025">
        <f t="shared" si="14"/>
        <v>159839.25925925924</v>
      </c>
      <c r="M76" s="1025">
        <v>0</v>
      </c>
      <c r="N76" s="1025">
        <f t="shared" si="13"/>
        <v>159839.25925925924</v>
      </c>
      <c r="O76" s="1026">
        <f t="shared" si="12"/>
        <v>173333.33333333331</v>
      </c>
      <c r="P76" s="1026">
        <f>(VLOOKUP(A76,'2324 Funding Detail'!$A$4:$AA$20,25,FALSE)*8/12)*K76</f>
        <v>70534.297331047157</v>
      </c>
      <c r="Q76" s="235"/>
      <c r="R76" s="235">
        <f t="shared" si="15"/>
        <v>3615.7037037037039</v>
      </c>
      <c r="S76" s="269"/>
      <c r="T76" s="280"/>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c r="BA76" s="36"/>
      <c r="BB76" s="36"/>
      <c r="BC76" s="36"/>
      <c r="BD76" s="36"/>
    </row>
    <row r="77" spans="1:56" x14ac:dyDescent="0.25">
      <c r="A77" s="244">
        <v>9257002</v>
      </c>
      <c r="B77" s="237" t="s">
        <v>213</v>
      </c>
      <c r="C77" s="365">
        <v>5</v>
      </c>
      <c r="D77" s="1024">
        <f>VLOOKUP(A77,'2324 Band Moderations'!$B$5:$S$21,6,(FALSE))</f>
        <v>0.27439024390243905</v>
      </c>
      <c r="E77" s="1024">
        <f>VLOOKUP(A77,'2324 Band Moderations'!$B$5:$S$21,8,(FALSE))</f>
        <v>0.43902439024390244</v>
      </c>
      <c r="F77" s="1024">
        <f>VLOOKUP(A77,'2324 Band Moderations'!$B$5:$S$21,10,(FALSE))</f>
        <v>0.13414634146341464</v>
      </c>
      <c r="G77" s="1024">
        <f>VLOOKUP(A77,'2324 Band Moderations'!$B$5:$S$21,12,(FALSE))</f>
        <v>3.6585365853658534E-2</v>
      </c>
      <c r="H77" s="1024">
        <f>VLOOKUP(A77,'2324 Band Moderations'!$B$5:$S$21,14,(FALSE))</f>
        <v>2.4390243902439025E-2</v>
      </c>
      <c r="I77" s="1024">
        <f>VLOOKUP(A77,'2324 Band Moderations'!$B$5:$S$21,16,(FALSE))</f>
        <v>7.926829268292683E-2</v>
      </c>
      <c r="J77" s="1024">
        <f>VLOOKUP(A77,'2324 Band Moderations'!$B$5:$S$21,18,(FALSE))</f>
        <v>1.2195121951219513E-2</v>
      </c>
      <c r="K77" s="451">
        <v>0</v>
      </c>
      <c r="L77" s="1025">
        <f t="shared" si="14"/>
        <v>0</v>
      </c>
      <c r="M77" s="1025">
        <v>0</v>
      </c>
      <c r="N77" s="1025">
        <f t="shared" si="13"/>
        <v>0</v>
      </c>
      <c r="O77" s="1026">
        <f t="shared" si="12"/>
        <v>0</v>
      </c>
      <c r="P77" s="1026">
        <f>(VLOOKUP(A77,'2324 Funding Detail'!$A$4:$AA$20,25,FALSE)*8/12)*K77</f>
        <v>0</v>
      </c>
      <c r="Q77" s="235"/>
      <c r="R77" s="235">
        <f t="shared" si="15"/>
        <v>0</v>
      </c>
      <c r="S77" s="269"/>
      <c r="T77" s="280"/>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c r="BA77" s="36"/>
      <c r="BB77" s="36"/>
      <c r="BC77" s="36"/>
      <c r="BD77" s="36"/>
    </row>
    <row r="78" spans="1:56" x14ac:dyDescent="0.25">
      <c r="A78" s="244">
        <v>9257009</v>
      </c>
      <c r="B78" s="237" t="s">
        <v>997</v>
      </c>
      <c r="C78" s="365" t="s">
        <v>1178</v>
      </c>
      <c r="D78" s="1024">
        <f>VLOOKUP(A78,'2324 Band Moderations'!$B$5:$S$21,6,(FALSE))</f>
        <v>0.17258883248730963</v>
      </c>
      <c r="E78" s="1024">
        <f>VLOOKUP(A78,'2324 Band Moderations'!$B$5:$S$21,8,(FALSE))</f>
        <v>0.50761421319796951</v>
      </c>
      <c r="F78" s="1024">
        <f>VLOOKUP(A78,'2324 Band Moderations'!$B$5:$S$21,10,(FALSE))</f>
        <v>6.5989847715736044E-2</v>
      </c>
      <c r="G78" s="1024">
        <f>VLOOKUP(A78,'2324 Band Moderations'!$B$5:$S$21,12,(FALSE))</f>
        <v>8.1218274111675121E-2</v>
      </c>
      <c r="H78" s="1024">
        <f>VLOOKUP(A78,'2324 Band Moderations'!$B$5:$S$21,14,(FALSE))</f>
        <v>3.553299492385787E-2</v>
      </c>
      <c r="I78" s="1024">
        <f>VLOOKUP(A78,'2324 Band Moderations'!$B$5:$S$21,16,(FALSE))</f>
        <v>8.6294416243654817E-2</v>
      </c>
      <c r="J78" s="1024">
        <f>VLOOKUP(A78,'2324 Band Moderations'!$B$5:$S$21,18,(FALSE))</f>
        <v>5.0761421319796954E-2</v>
      </c>
      <c r="K78" s="451">
        <v>11</v>
      </c>
      <c r="L78" s="1025">
        <f t="shared" si="14"/>
        <v>78770.906937394233</v>
      </c>
      <c r="M78" s="1025">
        <v>0</v>
      </c>
      <c r="N78" s="1025">
        <f t="shared" si="13"/>
        <v>78770.906937394233</v>
      </c>
      <c r="O78" s="1026">
        <f t="shared" si="12"/>
        <v>73333.333333333328</v>
      </c>
      <c r="P78" s="1026">
        <f>(VLOOKUP(A78,'2324 Funding Detail'!$A$4:$AA$20,25,FALSE)*8/12)*K78</f>
        <v>34627.880135364794</v>
      </c>
      <c r="Q78" s="235"/>
      <c r="R78" s="235">
        <f t="shared" si="15"/>
        <v>9085.1438240270727</v>
      </c>
      <c r="S78" s="269"/>
      <c r="T78" s="280"/>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c r="BA78" s="36"/>
      <c r="BB78" s="36"/>
      <c r="BC78" s="36"/>
      <c r="BD78" s="36"/>
    </row>
    <row r="79" spans="1:56" x14ac:dyDescent="0.25">
      <c r="A79" s="244">
        <v>9257029</v>
      </c>
      <c r="B79" s="237" t="s">
        <v>890</v>
      </c>
      <c r="C79" s="365" t="s">
        <v>1179</v>
      </c>
      <c r="D79" s="1024">
        <f>VLOOKUP(A79,'2324 Band Moderations'!$B$5:$S$21,6,(FALSE))</f>
        <v>0</v>
      </c>
      <c r="E79" s="1024">
        <f>VLOOKUP(A79,'2324 Band Moderations'!$B$5:$S$21,8,(FALSE))</f>
        <v>0</v>
      </c>
      <c r="F79" s="1024">
        <f>VLOOKUP(A79,'2324 Band Moderations'!$B$5:$S$21,10,(FALSE))</f>
        <v>1</v>
      </c>
      <c r="G79" s="1024">
        <f>VLOOKUP(A79,'2324 Band Moderations'!$B$5:$S$21,12,(FALSE))</f>
        <v>0</v>
      </c>
      <c r="H79" s="1024">
        <f>VLOOKUP(A79,'2324 Band Moderations'!$B$5:$S$21,14,(FALSE))</f>
        <v>0</v>
      </c>
      <c r="I79" s="1024">
        <f>VLOOKUP(A79,'2324 Band Moderations'!$B$5:$S$21,16,(FALSE))</f>
        <v>0</v>
      </c>
      <c r="J79" s="1024">
        <f>VLOOKUP(A79,'2324 Band Moderations'!$B$5:$S$21,18,(FALSE))</f>
        <v>0</v>
      </c>
      <c r="K79" s="451">
        <v>0</v>
      </c>
      <c r="L79" s="1025">
        <f t="shared" si="14"/>
        <v>0</v>
      </c>
      <c r="M79" s="1025">
        <v>0</v>
      </c>
      <c r="N79" s="1025">
        <f t="shared" si="13"/>
        <v>0</v>
      </c>
      <c r="O79" s="1026">
        <f t="shared" si="12"/>
        <v>0</v>
      </c>
      <c r="P79" s="1026">
        <f>(VLOOKUP(A79,'2324 Funding Detail'!$A$4:$AA$20,25,FALSE)*8/12)*K79</f>
        <v>0</v>
      </c>
      <c r="Q79" s="235"/>
      <c r="R79" s="235">
        <f t="shared" si="15"/>
        <v>0</v>
      </c>
      <c r="S79" s="269"/>
      <c r="T79" s="280"/>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c r="BA79" s="36"/>
      <c r="BB79" s="36"/>
      <c r="BC79" s="36"/>
      <c r="BD79" s="36"/>
    </row>
    <row r="80" spans="1:56" x14ac:dyDescent="0.25">
      <c r="A80" s="244">
        <v>9257032</v>
      </c>
      <c r="B80" s="237" t="s">
        <v>1043</v>
      </c>
      <c r="C80" s="365" t="s">
        <v>1179</v>
      </c>
      <c r="D80" s="1024">
        <f>VLOOKUP(A80,'2324 Band Moderations'!$B$5:$S$21,6,(FALSE))</f>
        <v>0</v>
      </c>
      <c r="E80" s="1024">
        <f>VLOOKUP(A80,'2324 Band Moderations'!$B$5:$S$21,8,(FALSE))</f>
        <v>0</v>
      </c>
      <c r="F80" s="1024">
        <f>VLOOKUP(A80,'2324 Band Moderations'!$B$5:$S$21,10,(FALSE))</f>
        <v>1</v>
      </c>
      <c r="G80" s="1024">
        <f>VLOOKUP(A80,'2324 Band Moderations'!$B$5:$S$21,12,(FALSE))</f>
        <v>0</v>
      </c>
      <c r="H80" s="1024">
        <f>VLOOKUP(A80,'2324 Band Moderations'!$B$5:$S$21,14,(FALSE))</f>
        <v>0</v>
      </c>
      <c r="I80" s="1024">
        <f>VLOOKUP(A80,'2324 Band Moderations'!$B$5:$S$21,16,(FALSE))</f>
        <v>0</v>
      </c>
      <c r="J80" s="1024">
        <f>VLOOKUP(A80,'2324 Band Moderations'!$B$5:$S$21,18,(FALSE))</f>
        <v>0</v>
      </c>
      <c r="K80" s="451">
        <v>0</v>
      </c>
      <c r="L80" s="1025">
        <f t="shared" si="14"/>
        <v>0</v>
      </c>
      <c r="M80" s="1025">
        <v>0</v>
      </c>
      <c r="N80" s="1025">
        <f t="shared" si="13"/>
        <v>0</v>
      </c>
      <c r="O80" s="1026">
        <f t="shared" si="12"/>
        <v>0</v>
      </c>
      <c r="P80" s="1026">
        <f>(VLOOKUP(A80,'2324 Funding Detail'!$A$4:$AA$20,25,FALSE)*8/12)*K80</f>
        <v>0</v>
      </c>
      <c r="Q80" s="235"/>
      <c r="R80" s="235">
        <f t="shared" si="15"/>
        <v>0</v>
      </c>
      <c r="S80" s="269"/>
      <c r="T80" s="280"/>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row>
    <row r="81" spans="1:56" x14ac:dyDescent="0.25">
      <c r="A81" s="244">
        <v>9257030</v>
      </c>
      <c r="B81" s="237" t="s">
        <v>1046</v>
      </c>
      <c r="C81" s="365" t="s">
        <v>1179</v>
      </c>
      <c r="D81" s="1024">
        <f>VLOOKUP(A81,'2324 Band Moderations'!$B$5:$S$21,6,(FALSE))</f>
        <v>0</v>
      </c>
      <c r="E81" s="1024">
        <f>VLOOKUP(A81,'2324 Band Moderations'!$B$5:$S$21,8,(FALSE))</f>
        <v>0</v>
      </c>
      <c r="F81" s="1024">
        <f>VLOOKUP(A81,'2324 Band Moderations'!$B$5:$S$21,10,(FALSE))</f>
        <v>1</v>
      </c>
      <c r="G81" s="1024">
        <f>VLOOKUP(A81,'2324 Band Moderations'!$B$5:$S$21,12,(FALSE))</f>
        <v>0</v>
      </c>
      <c r="H81" s="1024">
        <f>VLOOKUP(A81,'2324 Band Moderations'!$B$5:$S$21,14,(FALSE))</f>
        <v>0</v>
      </c>
      <c r="I81" s="1024">
        <f>VLOOKUP(A81,'2324 Band Moderations'!$B$5:$S$21,16,(FALSE))</f>
        <v>0</v>
      </c>
      <c r="J81" s="1024">
        <f>VLOOKUP(A81,'2324 Band Moderations'!$B$5:$S$21,18,(FALSE))</f>
        <v>0</v>
      </c>
      <c r="K81" s="451">
        <v>0</v>
      </c>
      <c r="L81" s="1025">
        <f t="shared" si="14"/>
        <v>0</v>
      </c>
      <c r="M81" s="1025">
        <v>0</v>
      </c>
      <c r="N81" s="1025">
        <f t="shared" si="13"/>
        <v>0</v>
      </c>
      <c r="O81" s="1026">
        <f t="shared" si="12"/>
        <v>0</v>
      </c>
      <c r="P81" s="1026">
        <f>(VLOOKUP(A81,'2324 Funding Detail'!$A$4:$AA$20,25,FALSE)*8/12)*K81</f>
        <v>0</v>
      </c>
      <c r="Q81" s="235"/>
      <c r="R81" s="235">
        <f t="shared" si="15"/>
        <v>0</v>
      </c>
      <c r="S81" s="269"/>
      <c r="T81" s="280"/>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c r="BA81" s="36"/>
      <c r="BB81" s="36"/>
      <c r="BC81" s="36"/>
      <c r="BD81" s="36"/>
    </row>
    <row r="82" spans="1:56" x14ac:dyDescent="0.25">
      <c r="A82" s="244">
        <v>9257028</v>
      </c>
      <c r="B82" s="237" t="s">
        <v>215</v>
      </c>
      <c r="C82" s="365">
        <v>5</v>
      </c>
      <c r="D82" s="1024">
        <f>VLOOKUP(A82,'2324 Band Moderations'!$B$5:$S$21,6,(FALSE))</f>
        <v>9.0163934426229511E-2</v>
      </c>
      <c r="E82" s="1024">
        <f>VLOOKUP(A82,'2324 Band Moderations'!$B$5:$S$21,8,(FALSE))</f>
        <v>0.45901639344262296</v>
      </c>
      <c r="F82" s="1024">
        <f>VLOOKUP(A82,'2324 Band Moderations'!$B$5:$S$21,10,(FALSE))</f>
        <v>6.5573770491803282E-2</v>
      </c>
      <c r="G82" s="1024">
        <f>VLOOKUP(A82,'2324 Band Moderations'!$B$5:$S$21,12,(FALSE))</f>
        <v>8.1967213114754092E-2</v>
      </c>
      <c r="H82" s="1024">
        <f>VLOOKUP(A82,'2324 Band Moderations'!$B$5:$S$21,14,(FALSE))</f>
        <v>9.0163934426229511E-2</v>
      </c>
      <c r="I82" s="1024">
        <f>VLOOKUP(A82,'2324 Band Moderations'!$B$5:$S$21,16,(FALSE))</f>
        <v>6.5573770491803282E-2</v>
      </c>
      <c r="J82" s="1024">
        <f>VLOOKUP(A82,'2324 Band Moderations'!$B$5:$S$21,18,(FALSE))</f>
        <v>0.14754098360655737</v>
      </c>
      <c r="K82" s="451">
        <v>11</v>
      </c>
      <c r="L82" s="1025">
        <f t="shared" si="14"/>
        <v>93092.098360655742</v>
      </c>
      <c r="M82" s="1025">
        <v>0</v>
      </c>
      <c r="N82" s="1025">
        <f t="shared" si="13"/>
        <v>93092.098360655742</v>
      </c>
      <c r="O82" s="1026">
        <f t="shared" si="12"/>
        <v>73333.333333333328</v>
      </c>
      <c r="P82" s="1026">
        <f>(VLOOKUP(A82,'2324 Funding Detail'!$A$4:$AA$20,25,FALSE)*8/12)*K82</f>
        <v>55325.567431168565</v>
      </c>
      <c r="Q82" s="235"/>
      <c r="R82" s="235">
        <f t="shared" si="15"/>
        <v>26406.491803278692</v>
      </c>
      <c r="S82" s="269"/>
      <c r="T82" s="280"/>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c r="BA82" s="36"/>
      <c r="BB82" s="36"/>
      <c r="BC82" s="36"/>
      <c r="BD82" s="36"/>
    </row>
    <row r="83" spans="1:56" x14ac:dyDescent="0.25">
      <c r="A83" s="244">
        <v>9257021</v>
      </c>
      <c r="B83" s="237" t="s">
        <v>216</v>
      </c>
      <c r="C83" s="365" t="s">
        <v>1180</v>
      </c>
      <c r="D83" s="1024">
        <f>VLOOKUP(A83,'2324 Band Moderations'!$B$5:$S$21,6,(FALSE))</f>
        <v>0.21176470588235294</v>
      </c>
      <c r="E83" s="1024">
        <f>VLOOKUP(A83,'2324 Band Moderations'!$B$5:$S$21,8,(FALSE))</f>
        <v>0.52352941176470591</v>
      </c>
      <c r="F83" s="1024">
        <f>VLOOKUP(A83,'2324 Band Moderations'!$B$5:$S$21,10,(FALSE))</f>
        <v>0.10588235294117647</v>
      </c>
      <c r="G83" s="1024">
        <f>VLOOKUP(A83,'2324 Band Moderations'!$B$5:$S$21,12,(FALSE))</f>
        <v>7.0588235294117646E-2</v>
      </c>
      <c r="H83" s="1024">
        <f>VLOOKUP(A83,'2324 Band Moderations'!$B$5:$S$21,14,(FALSE))</f>
        <v>2.9411764705882353E-2</v>
      </c>
      <c r="I83" s="1024">
        <f>VLOOKUP(A83,'2324 Band Moderations'!$B$5:$S$21,16,(FALSE))</f>
        <v>4.7058823529411764E-2</v>
      </c>
      <c r="J83" s="1024">
        <f>VLOOKUP(A83,'2324 Band Moderations'!$B$5:$S$21,18,(FALSE))</f>
        <v>1.1764705882352941E-2</v>
      </c>
      <c r="K83" s="451">
        <v>0</v>
      </c>
      <c r="L83" s="1025">
        <f t="shared" si="14"/>
        <v>0</v>
      </c>
      <c r="M83" s="1025">
        <v>0</v>
      </c>
      <c r="N83" s="1025">
        <f t="shared" si="13"/>
        <v>0</v>
      </c>
      <c r="O83" s="1026">
        <f t="shared" si="12"/>
        <v>0</v>
      </c>
      <c r="P83" s="1026">
        <f>(VLOOKUP(A83,'2324 Funding Detail'!$A$4:$AA$20,25,FALSE)*8/12)*K83</f>
        <v>0</v>
      </c>
      <c r="Q83" s="235"/>
      <c r="R83" s="235">
        <f t="shared" si="15"/>
        <v>0</v>
      </c>
      <c r="S83" s="269"/>
      <c r="T83" s="280"/>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c r="BA83" s="36"/>
      <c r="BB83" s="36"/>
      <c r="BC83" s="36"/>
      <c r="BD83" s="36"/>
    </row>
    <row r="84" spans="1:56" x14ac:dyDescent="0.25">
      <c r="A84" s="244">
        <v>9257015</v>
      </c>
      <c r="B84" s="237" t="s">
        <v>217</v>
      </c>
      <c r="C84" s="365" t="s">
        <v>1181</v>
      </c>
      <c r="D84" s="1024">
        <f>VLOOKUP(A84,'2324 Band Moderations'!$B$5:$S$21,6,(FALSE))</f>
        <v>0.26991150442477874</v>
      </c>
      <c r="E84" s="1024">
        <f>VLOOKUP(A84,'2324 Band Moderations'!$B$5:$S$21,8,(FALSE))</f>
        <v>0.42035398230088494</v>
      </c>
      <c r="F84" s="1024">
        <f>VLOOKUP(A84,'2324 Band Moderations'!$B$5:$S$21,10,(FALSE))</f>
        <v>2.2123893805309734E-2</v>
      </c>
      <c r="G84" s="1024">
        <f>VLOOKUP(A84,'2324 Band Moderations'!$B$5:$S$21,12,(FALSE))</f>
        <v>8.8495575221238937E-2</v>
      </c>
      <c r="H84" s="1024">
        <f>VLOOKUP(A84,'2324 Band Moderations'!$B$5:$S$21,14,(FALSE))</f>
        <v>2.2123893805309734E-2</v>
      </c>
      <c r="I84" s="1024">
        <f>VLOOKUP(A84,'2324 Band Moderations'!$B$5:$S$21,16,(FALSE))</f>
        <v>0.15929203539823009</v>
      </c>
      <c r="J84" s="1024">
        <f>VLOOKUP(A84,'2324 Band Moderations'!$B$5:$S$21,18,(FALSE))</f>
        <v>1.7699115044247787E-2</v>
      </c>
      <c r="K84" s="451">
        <v>23</v>
      </c>
      <c r="L84" s="1025">
        <f t="shared" si="14"/>
        <v>158745.25368731562</v>
      </c>
      <c r="M84" s="1025">
        <v>0</v>
      </c>
      <c r="N84" s="1025">
        <f t="shared" si="13"/>
        <v>158745.25368731562</v>
      </c>
      <c r="O84" s="1026">
        <f t="shared" si="12"/>
        <v>153333.33333333331</v>
      </c>
      <c r="P84" s="1026">
        <f>(VLOOKUP(A84,'2324 Funding Detail'!$A$4:$AA$20,25,FALSE)*8/12)*K84</f>
        <v>59633.422487694916</v>
      </c>
      <c r="Q84" s="235"/>
      <c r="R84" s="235">
        <f t="shared" si="15"/>
        <v>6623.4572271386423</v>
      </c>
      <c r="S84" s="269"/>
      <c r="T84" s="280"/>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c r="BA84" s="36"/>
      <c r="BB84" s="36"/>
      <c r="BC84" s="36"/>
      <c r="BD84" s="36"/>
    </row>
    <row r="85" spans="1:56" x14ac:dyDescent="0.25">
      <c r="A85" s="244">
        <v>9257016</v>
      </c>
      <c r="B85" s="237" t="s">
        <v>219</v>
      </c>
      <c r="C85" s="365" t="s">
        <v>1181</v>
      </c>
      <c r="D85" s="1024">
        <f>VLOOKUP(A85,'2324 Band Moderations'!$B$5:$S$21,6,(FALSE))</f>
        <v>0.11874999999999999</v>
      </c>
      <c r="E85" s="1024">
        <f>VLOOKUP(A85,'2324 Band Moderations'!$B$5:$S$21,8,(FALSE))</f>
        <v>0.21249999999999999</v>
      </c>
      <c r="F85" s="1024">
        <f>VLOOKUP(A85,'2324 Band Moderations'!$B$5:$S$21,10,(FALSE))</f>
        <v>1.2500000000000001E-2</v>
      </c>
      <c r="G85" s="1024">
        <f>VLOOKUP(A85,'2324 Band Moderations'!$B$5:$S$21,12,(FALSE))</f>
        <v>0.24374999999999999</v>
      </c>
      <c r="H85" s="1024">
        <f>VLOOKUP(A85,'2324 Band Moderations'!$B$5:$S$21,14,(FALSE))</f>
        <v>0.18124999999999999</v>
      </c>
      <c r="I85" s="1024">
        <f>VLOOKUP(A85,'2324 Band Moderations'!$B$5:$S$21,16,(FALSE))</f>
        <v>1.8749999999999999E-2</v>
      </c>
      <c r="J85" s="1024">
        <f>VLOOKUP(A85,'2324 Band Moderations'!$B$5:$S$21,18,(FALSE))</f>
        <v>0.21249999999999999</v>
      </c>
      <c r="K85" s="451">
        <v>51</v>
      </c>
      <c r="L85" s="1025">
        <f t="shared" si="14"/>
        <v>507240.47500000009</v>
      </c>
      <c r="M85" s="1025">
        <v>0</v>
      </c>
      <c r="N85" s="1025">
        <f t="shared" si="13"/>
        <v>507240.47500000009</v>
      </c>
      <c r="O85" s="1026">
        <f t="shared" si="12"/>
        <v>340000</v>
      </c>
      <c r="P85" s="1026">
        <f>(VLOOKUP(A85,'2324 Funding Detail'!$A$4:$AA$20,25,FALSE)*8/12)*K85</f>
        <v>329804.24614026246</v>
      </c>
      <c r="Q85" s="299" t="s">
        <v>207</v>
      </c>
      <c r="R85" s="235">
        <f t="shared" si="15"/>
        <v>176333.35</v>
      </c>
      <c r="S85" s="269"/>
      <c r="T85" s="280"/>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c r="BA85" s="36"/>
      <c r="BB85" s="36"/>
      <c r="BC85" s="36"/>
      <c r="BD85" s="36"/>
    </row>
    <row r="86" spans="1:56" x14ac:dyDescent="0.25">
      <c r="A86" s="36"/>
      <c r="B86" s="36"/>
      <c r="C86" s="36"/>
      <c r="D86" s="36"/>
      <c r="E86" s="36"/>
      <c r="F86" s="299" t="s">
        <v>207</v>
      </c>
      <c r="G86" s="36"/>
      <c r="H86" s="234"/>
      <c r="I86" s="299" t="s">
        <v>207</v>
      </c>
      <c r="J86" s="36"/>
      <c r="K86" s="36"/>
      <c r="L86" s="36"/>
      <c r="M86" s="36"/>
      <c r="N86" s="36"/>
      <c r="O86" s="36"/>
      <c r="P86" s="36"/>
      <c r="Q86" s="36"/>
      <c r="R86" s="234"/>
      <c r="S86" s="288"/>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c r="BA86" s="36"/>
      <c r="BB86" s="36"/>
      <c r="BC86" s="36"/>
      <c r="BD86" s="36"/>
    </row>
    <row r="87" spans="1:56" x14ac:dyDescent="0.25">
      <c r="A87" s="36"/>
      <c r="B87" s="36"/>
      <c r="C87" s="36"/>
      <c r="D87" s="36"/>
      <c r="E87" s="36"/>
      <c r="F87" s="36"/>
      <c r="G87" s="234" t="s">
        <v>1635</v>
      </c>
      <c r="H87" s="36"/>
      <c r="I87" s="234"/>
      <c r="J87" s="234"/>
      <c r="K87" s="36"/>
      <c r="L87" s="36"/>
      <c r="M87" s="36"/>
      <c r="N87" s="36"/>
      <c r="O87" s="36"/>
      <c r="P87" s="36"/>
      <c r="Q87" s="36"/>
      <c r="R87" s="234"/>
      <c r="S87" s="288"/>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c r="BA87" s="36"/>
      <c r="BB87" s="36"/>
      <c r="BC87" s="36"/>
      <c r="BD87" s="36"/>
    </row>
    <row r="88" spans="1:56" ht="13" x14ac:dyDescent="0.3">
      <c r="A88" s="36"/>
      <c r="B88" s="792" t="s">
        <v>1252</v>
      </c>
      <c r="C88" s="36"/>
      <c r="D88" s="36"/>
      <c r="E88" s="36" t="s">
        <v>735</v>
      </c>
      <c r="F88" s="36"/>
      <c r="G88" s="1331">
        <v>6630</v>
      </c>
      <c r="H88" s="281"/>
      <c r="I88" s="1335">
        <v>6629.7387874813903</v>
      </c>
      <c r="J88" s="281"/>
      <c r="K88" s="281"/>
      <c r="L88" s="281"/>
      <c r="M88" s="281"/>
      <c r="N88" s="281"/>
      <c r="O88" s="281"/>
      <c r="P88" s="281"/>
      <c r="Q88" s="281"/>
      <c r="R88" s="234"/>
      <c r="S88" s="288"/>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c r="BA88" s="36"/>
      <c r="BB88" s="36"/>
      <c r="BC88" s="36"/>
      <c r="BD88" s="36"/>
    </row>
    <row r="89" spans="1:56" x14ac:dyDescent="0.25">
      <c r="A89" s="36"/>
      <c r="B89" s="36"/>
      <c r="C89" s="36"/>
      <c r="D89" s="36"/>
      <c r="E89" s="36"/>
      <c r="F89" s="36"/>
      <c r="G89" s="1331"/>
      <c r="H89" s="281"/>
      <c r="I89" s="1335"/>
      <c r="J89" s="281"/>
      <c r="K89" s="281"/>
      <c r="L89" s="281"/>
      <c r="M89" s="281"/>
      <c r="N89" s="281"/>
      <c r="O89" s="281"/>
      <c r="P89" s="281"/>
      <c r="Q89" s="281"/>
      <c r="R89" s="234"/>
      <c r="S89" s="288"/>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c r="BA89" s="36"/>
      <c r="BB89" s="36"/>
      <c r="BC89" s="36"/>
      <c r="BD89" s="36"/>
    </row>
    <row r="90" spans="1:56" x14ac:dyDescent="0.25">
      <c r="A90" s="36"/>
      <c r="B90" s="36"/>
      <c r="C90" s="36"/>
      <c r="D90" s="36"/>
      <c r="E90" s="36" t="s">
        <v>736</v>
      </c>
      <c r="F90" s="36"/>
      <c r="G90" s="1331">
        <v>7894</v>
      </c>
      <c r="H90" s="281"/>
      <c r="I90" s="1335">
        <v>7893.8622831835082</v>
      </c>
      <c r="J90" s="281"/>
      <c r="K90" s="281"/>
      <c r="L90" s="281"/>
      <c r="M90" s="281"/>
      <c r="N90" s="281"/>
      <c r="O90" s="281"/>
      <c r="P90" s="281"/>
      <c r="Q90" s="281"/>
      <c r="R90" s="234"/>
      <c r="S90" s="288"/>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c r="BA90" s="36"/>
      <c r="BB90" s="36"/>
      <c r="BC90" s="36"/>
      <c r="BD90" s="36"/>
    </row>
    <row r="91" spans="1:56" x14ac:dyDescent="0.25">
      <c r="A91" s="36"/>
      <c r="B91" s="36"/>
      <c r="C91" s="36"/>
      <c r="D91" s="36"/>
      <c r="E91" s="36"/>
      <c r="F91" s="36"/>
      <c r="G91" s="1331"/>
      <c r="H91" s="281"/>
      <c r="I91" s="1336"/>
      <c r="J91" s="281"/>
      <c r="K91" s="281"/>
      <c r="L91" s="281"/>
      <c r="M91" s="281"/>
      <c r="N91" s="281"/>
      <c r="O91" s="281"/>
      <c r="P91" s="281"/>
      <c r="Q91" s="281"/>
      <c r="R91" s="234"/>
      <c r="S91" s="288"/>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c r="BA91" s="36"/>
      <c r="BB91" s="36"/>
      <c r="BC91" s="36"/>
      <c r="BD91" s="36"/>
    </row>
    <row r="92" spans="1:56" x14ac:dyDescent="0.25">
      <c r="A92" s="36"/>
      <c r="B92" s="36"/>
      <c r="C92" s="36"/>
      <c r="D92" s="36"/>
      <c r="E92" s="36" t="s">
        <v>748</v>
      </c>
      <c r="F92" s="36"/>
      <c r="G92" s="1331">
        <v>15567</v>
      </c>
      <c r="H92" s="281"/>
      <c r="I92" s="1336">
        <v>15566.242001721244</v>
      </c>
      <c r="J92" s="281"/>
      <c r="K92" s="281"/>
      <c r="L92" s="281"/>
      <c r="M92" s="281"/>
      <c r="N92" s="281"/>
      <c r="O92" s="281"/>
      <c r="P92" s="281"/>
      <c r="Q92" s="281"/>
      <c r="R92" s="234"/>
      <c r="S92" s="288"/>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c r="BA92" s="36"/>
      <c r="BB92" s="36"/>
      <c r="BC92" s="36"/>
      <c r="BD92" s="36"/>
    </row>
    <row r="93" spans="1:56" x14ac:dyDescent="0.25">
      <c r="A93" s="36"/>
      <c r="B93" s="36"/>
      <c r="C93" s="36"/>
      <c r="D93" s="36"/>
      <c r="E93" s="36"/>
      <c r="F93" s="36"/>
      <c r="G93" s="1331"/>
      <c r="H93" s="281"/>
      <c r="I93" s="1336"/>
      <c r="J93" s="281"/>
      <c r="K93" s="281"/>
      <c r="L93" s="281"/>
      <c r="M93" s="281"/>
      <c r="N93" s="281"/>
      <c r="O93" s="281"/>
      <c r="P93" s="281"/>
      <c r="Q93" s="281"/>
      <c r="R93" s="234"/>
      <c r="S93" s="288"/>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234"/>
      <c r="AY93" s="234"/>
      <c r="AZ93" s="36"/>
      <c r="BA93" s="36"/>
      <c r="BB93" s="234"/>
      <c r="BC93" s="234"/>
      <c r="BD93" s="234"/>
    </row>
    <row r="94" spans="1:56" x14ac:dyDescent="0.25">
      <c r="A94" s="36"/>
      <c r="B94" s="36"/>
      <c r="C94" s="36"/>
      <c r="D94" s="36"/>
      <c r="E94" s="36" t="s">
        <v>738</v>
      </c>
      <c r="F94" s="36"/>
      <c r="G94" s="1331">
        <v>15892</v>
      </c>
      <c r="H94" s="281"/>
      <c r="I94" s="1336">
        <v>15891.374146010701</v>
      </c>
      <c r="J94" s="281"/>
      <c r="K94" s="281"/>
      <c r="L94" s="281"/>
      <c r="M94" s="281"/>
      <c r="N94" s="281"/>
      <c r="O94" s="281"/>
      <c r="P94" s="281"/>
      <c r="Q94" s="281"/>
      <c r="R94" s="234"/>
      <c r="S94" s="288"/>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234"/>
      <c r="AY94" s="234"/>
      <c r="AZ94" s="36"/>
      <c r="BA94" s="36"/>
      <c r="BB94" s="234"/>
      <c r="BC94" s="234"/>
      <c r="BD94" s="234"/>
    </row>
    <row r="95" spans="1:56" x14ac:dyDescent="0.25">
      <c r="A95" s="36"/>
      <c r="B95" s="36"/>
      <c r="C95" s="36"/>
      <c r="D95" s="36"/>
      <c r="E95" s="36"/>
      <c r="F95" s="36"/>
      <c r="G95" s="1331"/>
      <c r="H95" s="281"/>
      <c r="I95" s="1336"/>
      <c r="J95" s="281"/>
      <c r="K95" s="281"/>
      <c r="L95" s="281"/>
      <c r="M95" s="281"/>
      <c r="N95" s="281"/>
      <c r="O95" s="281"/>
      <c r="P95" s="281"/>
      <c r="Q95" s="281"/>
      <c r="R95" s="234"/>
      <c r="S95" s="288"/>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234"/>
      <c r="AY95" s="234"/>
      <c r="AZ95" s="36"/>
      <c r="BA95" s="36"/>
      <c r="BB95" s="234"/>
      <c r="BC95" s="234"/>
      <c r="BD95" s="234"/>
    </row>
    <row r="96" spans="1:56" x14ac:dyDescent="0.25">
      <c r="A96" s="36"/>
      <c r="B96" s="36"/>
      <c r="C96" s="36"/>
      <c r="D96" s="36"/>
      <c r="E96" s="36" t="s">
        <v>739</v>
      </c>
      <c r="F96" s="36"/>
      <c r="G96" s="1331">
        <v>15892</v>
      </c>
      <c r="H96" s="281"/>
      <c r="I96" s="1336">
        <v>15891.374146010701</v>
      </c>
      <c r="J96" s="281"/>
      <c r="K96" s="281"/>
      <c r="L96" s="281"/>
      <c r="M96" s="281"/>
      <c r="N96" s="281"/>
      <c r="O96" s="281"/>
      <c r="P96" s="281"/>
      <c r="Q96" s="281"/>
      <c r="R96" s="234"/>
      <c r="S96" s="288"/>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234"/>
      <c r="AY96" s="234"/>
      <c r="AZ96" s="36"/>
      <c r="BA96" s="36"/>
      <c r="BB96" s="234"/>
      <c r="BC96" s="234"/>
      <c r="BD96" s="234"/>
    </row>
    <row r="97" spans="1:56" x14ac:dyDescent="0.25">
      <c r="A97" s="36"/>
      <c r="B97" s="36"/>
      <c r="C97" s="36"/>
      <c r="D97" s="36"/>
      <c r="E97" s="36"/>
      <c r="F97" s="36"/>
      <c r="G97" s="1331"/>
      <c r="H97" s="281"/>
      <c r="I97" s="1336"/>
      <c r="J97" s="281"/>
      <c r="K97" s="281"/>
      <c r="L97" s="281"/>
      <c r="M97" s="281"/>
      <c r="N97" s="281"/>
      <c r="O97" s="281"/>
      <c r="P97" s="281"/>
      <c r="Q97" s="281"/>
      <c r="R97" s="234"/>
      <c r="S97" s="288"/>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234"/>
      <c r="AY97" s="234"/>
      <c r="AZ97" s="36"/>
      <c r="BA97" s="36"/>
      <c r="BB97" s="234"/>
      <c r="BC97" s="234"/>
      <c r="BD97" s="234"/>
    </row>
    <row r="98" spans="1:56" x14ac:dyDescent="0.25">
      <c r="A98" s="36"/>
      <c r="B98" s="36"/>
      <c r="C98" s="36"/>
      <c r="D98" s="36"/>
      <c r="E98" s="36" t="s">
        <v>741</v>
      </c>
      <c r="F98" s="36"/>
      <c r="G98" s="1331">
        <v>17018</v>
      </c>
      <c r="H98" s="281"/>
      <c r="I98" s="1336">
        <v>17017.907345507989</v>
      </c>
      <c r="J98" s="281"/>
      <c r="K98" s="281"/>
      <c r="L98" s="281"/>
      <c r="M98" s="281"/>
      <c r="N98" s="281"/>
      <c r="O98" s="281"/>
      <c r="P98" s="281"/>
      <c r="Q98" s="281"/>
      <c r="R98" s="234"/>
      <c r="S98" s="288"/>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234"/>
      <c r="AY98" s="234"/>
      <c r="AZ98" s="36"/>
      <c r="BA98" s="36"/>
      <c r="BB98" s="234"/>
      <c r="BC98" s="234"/>
      <c r="BD98" s="234"/>
    </row>
    <row r="99" spans="1:56" x14ac:dyDescent="0.25">
      <c r="A99" s="36"/>
      <c r="B99" s="36"/>
      <c r="C99" s="36"/>
      <c r="D99" s="36"/>
      <c r="E99" s="36"/>
      <c r="F99" s="36"/>
      <c r="G99" s="1331"/>
      <c r="H99" s="281"/>
      <c r="I99" s="1336"/>
      <c r="J99" s="281"/>
      <c r="K99" s="281"/>
      <c r="L99" s="281"/>
      <c r="M99" s="281"/>
      <c r="N99" s="281"/>
      <c r="O99" s="281"/>
      <c r="P99" s="281"/>
      <c r="Q99" s="281"/>
      <c r="R99" s="234"/>
      <c r="S99" s="288"/>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234"/>
      <c r="AY99" s="234"/>
      <c r="AZ99" s="36"/>
      <c r="BA99" s="36"/>
      <c r="BB99" s="234"/>
      <c r="BC99" s="234"/>
      <c r="BD99" s="234"/>
    </row>
    <row r="100" spans="1:56" x14ac:dyDescent="0.25">
      <c r="A100" s="36"/>
      <c r="B100" s="36"/>
      <c r="C100" s="36"/>
      <c r="D100" s="36"/>
      <c r="E100" s="36" t="s">
        <v>743</v>
      </c>
      <c r="F100" s="36"/>
      <c r="G100" s="1331">
        <v>24406</v>
      </c>
      <c r="H100" s="281"/>
      <c r="I100" s="1336">
        <v>24405.30647709607</v>
      </c>
      <c r="J100" s="281"/>
      <c r="K100" s="281"/>
      <c r="L100" s="281"/>
      <c r="M100" s="281"/>
      <c r="N100" s="281"/>
      <c r="O100" s="281"/>
      <c r="P100" s="281"/>
      <c r="Q100" s="281"/>
      <c r="R100" s="234"/>
      <c r="S100" s="288"/>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234"/>
      <c r="AY100" s="234"/>
      <c r="AZ100" s="36"/>
      <c r="BA100" s="36"/>
      <c r="BB100" s="234"/>
      <c r="BC100" s="234"/>
      <c r="BD100" s="234"/>
    </row>
    <row r="101" spans="1:56" ht="14" x14ac:dyDescent="0.3">
      <c r="A101" s="36"/>
      <c r="B101" s="37"/>
      <c r="C101" s="38"/>
      <c r="D101" s="39"/>
      <c r="E101" s="281"/>
      <c r="F101" s="36"/>
      <c r="G101" s="235"/>
      <c r="H101" s="282"/>
      <c r="I101" s="402"/>
      <c r="J101" s="281"/>
      <c r="K101" s="282"/>
      <c r="L101" s="282"/>
      <c r="M101" s="282"/>
      <c r="N101" s="282"/>
      <c r="O101" s="282"/>
      <c r="P101" s="282"/>
      <c r="Q101" s="282"/>
      <c r="R101" s="234"/>
      <c r="S101" s="288"/>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234"/>
      <c r="AY101" s="234"/>
      <c r="AZ101" s="36"/>
      <c r="BA101" s="36"/>
      <c r="BB101" s="234"/>
      <c r="BC101" s="234"/>
      <c r="BD101" s="234"/>
    </row>
    <row r="102" spans="1:56" ht="14" x14ac:dyDescent="0.3">
      <c r="A102" s="36"/>
      <c r="B102" s="40"/>
      <c r="C102" s="38"/>
      <c r="D102" s="36"/>
      <c r="E102" s="36" t="s">
        <v>1253</v>
      </c>
      <c r="F102" s="36"/>
      <c r="G102" s="235" t="s">
        <v>452</v>
      </c>
      <c r="H102" s="281"/>
      <c r="I102" s="402"/>
      <c r="J102" s="281"/>
      <c r="K102" s="281"/>
      <c r="L102" s="281"/>
      <c r="M102" s="281"/>
      <c r="N102" s="281"/>
      <c r="O102" s="281"/>
      <c r="P102" s="281"/>
      <c r="Q102" s="281"/>
      <c r="R102" s="234"/>
      <c r="S102" s="288"/>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234"/>
      <c r="AY102" s="234"/>
      <c r="AZ102" s="36"/>
      <c r="BA102" s="36"/>
      <c r="BB102" s="234"/>
      <c r="BC102" s="234"/>
      <c r="BD102" s="234"/>
    </row>
    <row r="103" spans="1:56" x14ac:dyDescent="0.25">
      <c r="A103" s="36"/>
      <c r="B103" s="36"/>
      <c r="C103" s="36"/>
      <c r="D103" s="36"/>
      <c r="E103" s="36"/>
      <c r="F103" s="402"/>
      <c r="G103" s="234"/>
      <c r="H103" s="36"/>
      <c r="I103" s="36"/>
      <c r="J103" s="36"/>
      <c r="K103" s="36"/>
      <c r="L103" s="36"/>
      <c r="M103" s="36"/>
      <c r="N103" s="36"/>
      <c r="O103" s="36"/>
      <c r="P103" s="36"/>
      <c r="Q103" s="36"/>
      <c r="R103" s="234"/>
      <c r="S103" s="288"/>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234"/>
      <c r="AQ103" s="234"/>
      <c r="AR103" s="36"/>
      <c r="AS103" s="36"/>
      <c r="AT103" s="234"/>
      <c r="AU103" s="234"/>
      <c r="AV103" s="234"/>
      <c r="AW103" s="36"/>
      <c r="AX103" s="36"/>
      <c r="AY103" s="36"/>
      <c r="AZ103" s="36"/>
      <c r="BA103" s="36"/>
      <c r="BB103" s="36"/>
      <c r="BC103" s="36"/>
      <c r="BD103" s="36"/>
    </row>
    <row r="104" spans="1:56" ht="12.75" customHeight="1" x14ac:dyDescent="0.3">
      <c r="A104" s="36"/>
      <c r="B104" s="36"/>
      <c r="C104" s="36"/>
      <c r="D104" s="1448" t="s">
        <v>284</v>
      </c>
      <c r="E104" s="1449"/>
      <c r="F104" s="1450"/>
      <c r="G104" s="1448" t="s">
        <v>264</v>
      </c>
      <c r="H104" s="1449"/>
      <c r="I104" s="1450"/>
      <c r="J104" s="170" t="s">
        <v>285</v>
      </c>
      <c r="K104" s="1448" t="s">
        <v>284</v>
      </c>
      <c r="L104" s="1449"/>
      <c r="M104" s="1450"/>
      <c r="N104" s="1448" t="s">
        <v>264</v>
      </c>
      <c r="O104" s="1449"/>
      <c r="P104" s="1450"/>
      <c r="Q104" s="170" t="s">
        <v>285</v>
      </c>
      <c r="R104" s="448" t="s">
        <v>285</v>
      </c>
      <c r="S104" s="450"/>
      <c r="T104" s="173"/>
      <c r="U104" s="36"/>
      <c r="V104" s="36"/>
      <c r="W104" s="36"/>
      <c r="X104" s="36"/>
      <c r="Y104" s="36"/>
      <c r="Z104" s="36"/>
      <c r="AA104" s="36"/>
      <c r="AB104" s="36"/>
      <c r="AC104" s="36"/>
      <c r="AD104" s="36"/>
      <c r="AE104" s="36"/>
      <c r="AF104" s="36"/>
      <c r="AG104" s="36"/>
      <c r="AH104" s="36"/>
      <c r="AI104" s="36"/>
      <c r="AJ104" s="36"/>
      <c r="AK104" s="1443" t="s">
        <v>286</v>
      </c>
      <c r="AL104" s="36"/>
      <c r="AM104" s="36"/>
      <c r="AN104" s="234"/>
      <c r="AO104" s="234"/>
      <c r="AP104" s="36"/>
      <c r="AQ104" s="36"/>
      <c r="AR104" s="234"/>
      <c r="AS104" s="234"/>
      <c r="AT104" s="234"/>
      <c r="AU104" s="36"/>
      <c r="AV104" s="36"/>
      <c r="AW104" s="36"/>
      <c r="AX104" s="36"/>
      <c r="AY104" s="36"/>
      <c r="AZ104" s="36"/>
      <c r="BA104" s="36"/>
      <c r="BB104" s="36"/>
      <c r="BC104" s="36"/>
      <c r="BD104" s="36"/>
    </row>
    <row r="105" spans="1:56" ht="41.25" customHeight="1" x14ac:dyDescent="0.3">
      <c r="A105" s="283" t="s">
        <v>182</v>
      </c>
      <c r="B105" s="284" t="s">
        <v>183</v>
      </c>
      <c r="C105" s="238" t="s">
        <v>184</v>
      </c>
      <c r="D105" s="241" t="str">
        <f t="shared" ref="D105:D122" si="16">L5</f>
        <v>Pre-16 Funding (Apr-Aug)</v>
      </c>
      <c r="E105" s="242" t="str">
        <f t="shared" ref="E105:E122" si="17">L47</f>
        <v>Pre-16 Funding (Sept-Mar)</v>
      </c>
      <c r="F105" s="96" t="s">
        <v>288</v>
      </c>
      <c r="G105" s="242" t="str">
        <f t="shared" ref="G105:G122" si="18">L26</f>
        <v>Post-16 Funding (Apr-Jul)</v>
      </c>
      <c r="H105" s="241" t="str">
        <f t="shared" ref="H105:H122" si="19">L68</f>
        <v>Post-16 Funding (Aug-Mar)</v>
      </c>
      <c r="I105" s="96" t="s">
        <v>289</v>
      </c>
      <c r="J105" s="96" t="s">
        <v>290</v>
      </c>
      <c r="K105" s="241" t="str">
        <f t="shared" ref="K105:K122" si="20">M5</f>
        <v>Additionality Funding (Apr-Aug)</v>
      </c>
      <c r="L105" s="241" t="str">
        <f t="shared" ref="L105:L122" si="21">M47</f>
        <v>Additionality Funding (Sept-Mar)</v>
      </c>
      <c r="M105" s="96" t="s">
        <v>291</v>
      </c>
      <c r="N105" s="241" t="str">
        <f t="shared" ref="N105:N122" si="22">M26</f>
        <v>Additionality Funding (Apr-Jul)</v>
      </c>
      <c r="O105" s="242" t="str">
        <f t="shared" ref="O105:O122" si="23">M68</f>
        <v>Additionality Funding (Aug-Mar)</v>
      </c>
      <c r="P105" s="96" t="s">
        <v>291</v>
      </c>
      <c r="Q105" s="96" t="s">
        <v>292</v>
      </c>
      <c r="R105" s="96" t="s">
        <v>189</v>
      </c>
      <c r="S105" s="1027" t="s">
        <v>293</v>
      </c>
      <c r="T105" s="241" t="s">
        <v>294</v>
      </c>
      <c r="U105" s="241" t="s">
        <v>888</v>
      </c>
      <c r="V105" s="241" t="s">
        <v>295</v>
      </c>
      <c r="W105" s="241" t="s">
        <v>267</v>
      </c>
      <c r="X105" s="96" t="s">
        <v>296</v>
      </c>
      <c r="Y105" s="323" t="s">
        <v>189</v>
      </c>
      <c r="Z105" s="1083" t="s">
        <v>990</v>
      </c>
      <c r="AA105" s="1083" t="s">
        <v>991</v>
      </c>
      <c r="AB105" s="241" t="s">
        <v>194</v>
      </c>
      <c r="AC105" s="241" t="s">
        <v>297</v>
      </c>
      <c r="AD105" s="241" t="s">
        <v>298</v>
      </c>
      <c r="AE105" s="96" t="s">
        <v>299</v>
      </c>
      <c r="AF105" s="241" t="s">
        <v>300</v>
      </c>
      <c r="AG105" s="241" t="s">
        <v>301</v>
      </c>
      <c r="AH105" s="96" t="s">
        <v>302</v>
      </c>
      <c r="AI105" s="96" t="s">
        <v>303</v>
      </c>
      <c r="AJ105" s="284"/>
      <c r="AK105" s="1444"/>
      <c r="AL105" s="36"/>
      <c r="AM105" s="36"/>
      <c r="AN105" s="71" t="s">
        <v>1636</v>
      </c>
      <c r="AO105" s="823"/>
      <c r="AP105" s="823"/>
      <c r="AQ105" s="1028"/>
      <c r="AR105" s="824"/>
      <c r="AS105" s="823"/>
      <c r="AT105" s="825"/>
      <c r="AU105" s="36"/>
      <c r="AV105" s="36"/>
      <c r="AW105" s="36"/>
      <c r="AX105" s="36"/>
      <c r="AY105" s="36"/>
      <c r="AZ105" s="36"/>
      <c r="BA105" s="36"/>
      <c r="BB105" s="36"/>
      <c r="BC105" s="36"/>
      <c r="BD105" s="36"/>
    </row>
    <row r="106" spans="1:56" ht="13" x14ac:dyDescent="0.3">
      <c r="A106" s="244">
        <v>9257010</v>
      </c>
      <c r="B106" s="237" t="s">
        <v>205</v>
      </c>
      <c r="C106" s="238">
        <v>4</v>
      </c>
      <c r="D106" s="245">
        <f t="shared" si="16"/>
        <v>563845.35714285728</v>
      </c>
      <c r="E106" s="245">
        <f t="shared" si="17"/>
        <v>844778.83333333337</v>
      </c>
      <c r="F106" s="68">
        <f>SUM(D106:E106)</f>
        <v>1408624.1904761908</v>
      </c>
      <c r="G106" s="245">
        <f t="shared" si="18"/>
        <v>47481.714285714275</v>
      </c>
      <c r="H106" s="245">
        <f t="shared" si="19"/>
        <v>197840.47619047621</v>
      </c>
      <c r="I106" s="68">
        <f>SUM(G106:H106)</f>
        <v>245322.19047619047</v>
      </c>
      <c r="J106" s="68">
        <f>F106+I106</f>
        <v>1653946.3809523813</v>
      </c>
      <c r="K106" s="245">
        <f t="shared" si="20"/>
        <v>0</v>
      </c>
      <c r="L106" s="245">
        <f t="shared" si="21"/>
        <v>0</v>
      </c>
      <c r="M106" s="68">
        <f>SUM(K106:L106)</f>
        <v>0</v>
      </c>
      <c r="N106" s="245">
        <f t="shared" si="22"/>
        <v>0</v>
      </c>
      <c r="O106" s="245">
        <f t="shared" si="23"/>
        <v>0</v>
      </c>
      <c r="P106" s="68">
        <f>SUM(N106:O106)</f>
        <v>0</v>
      </c>
      <c r="Q106" s="68">
        <f>M106+P106</f>
        <v>0</v>
      </c>
      <c r="R106" s="68">
        <f t="shared" ref="R106:R122" si="24">F106+I106+M106+P106</f>
        <v>1653946.3809523813</v>
      </c>
      <c r="S106" s="286">
        <f t="shared" ref="S106:S122" si="25">(K6*(5/12))+(K48*(7/12))+(K27*(4/12))+(K69*(8/12))</f>
        <v>139.33333333333334</v>
      </c>
      <c r="T106" s="245">
        <f>R106/S106</f>
        <v>11870.428571428572</v>
      </c>
      <c r="U106" s="237"/>
      <c r="V106" s="245">
        <f t="shared" ref="V106:V122" si="26">O6+O48</f>
        <v>1186666.6666666667</v>
      </c>
      <c r="W106" s="245">
        <f t="shared" ref="W106:W122" si="27">O27+O69</f>
        <v>206666.66666666666</v>
      </c>
      <c r="X106" s="245">
        <f>V106+W106</f>
        <v>1393333.3333333335</v>
      </c>
      <c r="Y106" s="245">
        <f>VLOOKUP(A106,'2324 Funding Detail'!$A$4:$AA$20,18,FALSE)</f>
        <v>2339864.2224832368</v>
      </c>
      <c r="Z106" s="245"/>
      <c r="AA106" s="245"/>
      <c r="AB106" s="245">
        <f>Y106-X106-Z106-AA106</f>
        <v>946530.88914990332</v>
      </c>
      <c r="AC106" s="245">
        <f t="shared" ref="AC106:AC122" si="28">P6</f>
        <v>322680.98493746703</v>
      </c>
      <c r="AD106" s="245">
        <f t="shared" ref="AD106:AD122" si="29">P48</f>
        <v>483455.37041508203</v>
      </c>
      <c r="AE106" s="245">
        <f>AC106+AD106</f>
        <v>806136.35535254912</v>
      </c>
      <c r="AF106" s="245">
        <f t="shared" ref="AF106:AF122" si="30">P27</f>
        <v>27173.135573681429</v>
      </c>
      <c r="AG106" s="245">
        <f t="shared" ref="AG106:AG122" si="31">P69</f>
        <v>113221.39822367262</v>
      </c>
      <c r="AH106" s="245">
        <f>AF106+AG106</f>
        <v>140394.53379735403</v>
      </c>
      <c r="AI106" s="245">
        <f>AE106+AH106</f>
        <v>946530.88914990309</v>
      </c>
      <c r="AJ106" s="287"/>
      <c r="AK106" s="1029">
        <f>X106+AE106+AH106</f>
        <v>2339864.2224832368</v>
      </c>
      <c r="AL106" s="247" t="s">
        <v>206</v>
      </c>
      <c r="AM106" s="297"/>
      <c r="AN106" s="235">
        <f>SUM(R6,R27,R48,R69)</f>
        <v>323863.74603174598</v>
      </c>
      <c r="AO106" s="270"/>
      <c r="AP106" s="270"/>
      <c r="AQ106" s="1028"/>
      <c r="AR106" s="1030"/>
      <c r="AS106" s="1030"/>
      <c r="AT106" s="1030"/>
      <c r="AU106" s="36"/>
      <c r="AV106" s="36"/>
      <c r="AW106" s="36"/>
      <c r="AX106" s="36"/>
      <c r="AY106" s="36"/>
      <c r="AZ106" s="36"/>
      <c r="BA106" s="36"/>
      <c r="BB106" s="36"/>
      <c r="BC106" s="36"/>
      <c r="BD106" s="36"/>
    </row>
    <row r="107" spans="1:56" ht="13" x14ac:dyDescent="0.3">
      <c r="A107" s="244">
        <v>9257005</v>
      </c>
      <c r="B107" s="237" t="s">
        <v>208</v>
      </c>
      <c r="C107" s="238">
        <v>4</v>
      </c>
      <c r="D107" s="245">
        <f t="shared" si="16"/>
        <v>306533.39201877936</v>
      </c>
      <c r="E107" s="245">
        <f t="shared" si="17"/>
        <v>392778.3802816901</v>
      </c>
      <c r="F107" s="68">
        <f t="shared" ref="F107:F122" si="32">SUM(D107:E107)</f>
        <v>699311.77230046946</v>
      </c>
      <c r="G107" s="245">
        <f t="shared" si="18"/>
        <v>128847.93427230045</v>
      </c>
      <c r="H107" s="245">
        <f t="shared" si="19"/>
        <v>166255.39906103286</v>
      </c>
      <c r="I107" s="68">
        <f t="shared" ref="I107:I122" si="33">SUM(G107:H107)</f>
        <v>295103.33333333331</v>
      </c>
      <c r="J107" s="68">
        <f t="shared" ref="J107:J121" si="34">F107+I107</f>
        <v>994415.10563380271</v>
      </c>
      <c r="K107" s="245">
        <f t="shared" si="20"/>
        <v>0</v>
      </c>
      <c r="L107" s="245">
        <f t="shared" si="21"/>
        <v>0</v>
      </c>
      <c r="M107" s="68">
        <f t="shared" ref="M107:M122" si="35">SUM(K107:L107)</f>
        <v>0</v>
      </c>
      <c r="N107" s="245">
        <f t="shared" si="22"/>
        <v>0</v>
      </c>
      <c r="O107" s="245">
        <f t="shared" si="23"/>
        <v>0</v>
      </c>
      <c r="P107" s="68">
        <f t="shared" ref="P107:P122" si="36">SUM(N107:O107)</f>
        <v>0</v>
      </c>
      <c r="Q107" s="68">
        <f t="shared" ref="Q107:Q122" si="37">M107+P107</f>
        <v>0</v>
      </c>
      <c r="R107" s="68">
        <f t="shared" si="24"/>
        <v>994415.10563380271</v>
      </c>
      <c r="S107" s="286">
        <f t="shared" si="25"/>
        <v>79.75</v>
      </c>
      <c r="T107" s="245">
        <f t="shared" ref="T107:T122" si="38">R107/S107</f>
        <v>12469.154929577464</v>
      </c>
      <c r="U107" s="237"/>
      <c r="V107" s="245">
        <f t="shared" si="26"/>
        <v>560833.33333333337</v>
      </c>
      <c r="W107" s="245">
        <f t="shared" si="27"/>
        <v>236666.66666666663</v>
      </c>
      <c r="X107" s="245">
        <f t="shared" ref="X107:X122" si="39">V107+W107</f>
        <v>797500</v>
      </c>
      <c r="Y107" s="245">
        <f>VLOOKUP(A107,'2324 Funding Detail'!$A$4:$AA$20,18,FALSE)</f>
        <v>1521144.1056338027</v>
      </c>
      <c r="Z107" s="245"/>
      <c r="AA107" s="245"/>
      <c r="AB107" s="245">
        <f t="shared" ref="AB107:AB122" si="40">Y107-X107-Z107-AA107</f>
        <v>723644.10563380271</v>
      </c>
      <c r="AC107" s="245">
        <f t="shared" si="28"/>
        <v>223066.88731658491</v>
      </c>
      <c r="AD107" s="245">
        <f t="shared" si="29"/>
        <v>285828.07934125117</v>
      </c>
      <c r="AE107" s="245">
        <f t="shared" ref="AE107:AE122" si="41">AC107+AD107</f>
        <v>508894.96665783611</v>
      </c>
      <c r="AF107" s="245">
        <f t="shared" si="30"/>
        <v>93763.708566971298</v>
      </c>
      <c r="AG107" s="245">
        <f t="shared" si="31"/>
        <v>120985.43040899522</v>
      </c>
      <c r="AH107" s="245">
        <f t="shared" ref="AH107:AH122" si="42">AF107+AG107</f>
        <v>214749.13897596652</v>
      </c>
      <c r="AI107" s="245">
        <f t="shared" ref="AI107:AI122" si="43">AE107+AH107</f>
        <v>723644.1056338026</v>
      </c>
      <c r="AJ107" s="287"/>
      <c r="AK107" s="1029">
        <f t="shared" ref="AK107:AK122" si="44">X107+AE107+AH107</f>
        <v>1521144.1056338025</v>
      </c>
      <c r="AL107" s="247" t="s">
        <v>206</v>
      </c>
      <c r="AM107" s="297"/>
      <c r="AN107" s="235">
        <f t="shared" ref="AN107:AN122" si="45">SUM(R7,R28,R49,R70)</f>
        <v>109655.12676056338</v>
      </c>
      <c r="AO107" s="270"/>
      <c r="AP107" s="270"/>
      <c r="AQ107" s="1028"/>
      <c r="AR107" s="1030"/>
      <c r="AS107" s="1030"/>
      <c r="AT107" s="1030"/>
      <c r="AU107" s="36"/>
      <c r="AV107" s="36"/>
      <c r="AW107" s="36"/>
      <c r="AX107" s="36"/>
      <c r="AY107" s="36"/>
      <c r="AZ107" s="36"/>
      <c r="BA107" s="36"/>
      <c r="BB107" s="36"/>
      <c r="BC107" s="36"/>
      <c r="BD107" s="36"/>
    </row>
    <row r="108" spans="1:56" ht="13" x14ac:dyDescent="0.3">
      <c r="A108" s="244">
        <v>9257025</v>
      </c>
      <c r="B108" s="237" t="s">
        <v>209</v>
      </c>
      <c r="C108" s="238">
        <v>4</v>
      </c>
      <c r="D108" s="245">
        <f t="shared" si="16"/>
        <v>295019.95370370371</v>
      </c>
      <c r="E108" s="245">
        <f t="shared" si="17"/>
        <v>489279.2462962963</v>
      </c>
      <c r="F108" s="68">
        <f t="shared" si="32"/>
        <v>784299.2</v>
      </c>
      <c r="G108" s="245">
        <f t="shared" si="18"/>
        <v>87144.35555555555</v>
      </c>
      <c r="H108" s="245">
        <f t="shared" si="19"/>
        <v>174288.7111111111</v>
      </c>
      <c r="I108" s="68">
        <f t="shared" si="33"/>
        <v>261433.06666666665</v>
      </c>
      <c r="J108" s="68">
        <f t="shared" si="34"/>
        <v>1045732.2666666666</v>
      </c>
      <c r="K108" s="245">
        <f t="shared" si="20"/>
        <v>0</v>
      </c>
      <c r="L108" s="245">
        <f t="shared" si="21"/>
        <v>0</v>
      </c>
      <c r="M108" s="68">
        <f t="shared" si="35"/>
        <v>0</v>
      </c>
      <c r="N108" s="245">
        <f t="shared" si="22"/>
        <v>0</v>
      </c>
      <c r="O108" s="245">
        <f t="shared" si="23"/>
        <v>0</v>
      </c>
      <c r="P108" s="68">
        <f t="shared" si="36"/>
        <v>0</v>
      </c>
      <c r="Q108" s="68">
        <f t="shared" si="37"/>
        <v>0</v>
      </c>
      <c r="R108" s="68">
        <f t="shared" si="24"/>
        <v>1045732.2666666666</v>
      </c>
      <c r="S108" s="286">
        <f t="shared" si="25"/>
        <v>96</v>
      </c>
      <c r="T108" s="245">
        <f t="shared" si="38"/>
        <v>10893.044444444444</v>
      </c>
      <c r="U108" s="237"/>
      <c r="V108" s="245">
        <f t="shared" si="26"/>
        <v>720000</v>
      </c>
      <c r="W108" s="245">
        <f t="shared" si="27"/>
        <v>240000</v>
      </c>
      <c r="X108" s="245">
        <f t="shared" si="39"/>
        <v>960000</v>
      </c>
      <c r="Y108" s="245">
        <f>VLOOKUP(A108,'2324 Funding Detail'!$A$4:$AA$20,18,FALSE)</f>
        <v>1590175.7662648708</v>
      </c>
      <c r="Z108" s="245"/>
      <c r="AA108" s="245"/>
      <c r="AB108" s="245">
        <f t="shared" si="40"/>
        <v>630175.76626487076</v>
      </c>
      <c r="AC108" s="245">
        <f t="shared" si="28"/>
        <v>177783.96183687766</v>
      </c>
      <c r="AD108" s="245">
        <f t="shared" si="29"/>
        <v>294847.8628617755</v>
      </c>
      <c r="AE108" s="245">
        <f t="shared" si="41"/>
        <v>472631.82469865319</v>
      </c>
      <c r="AF108" s="245">
        <f t="shared" si="30"/>
        <v>52514.64718873924</v>
      </c>
      <c r="AG108" s="245">
        <f t="shared" si="31"/>
        <v>105029.29437747848</v>
      </c>
      <c r="AH108" s="245">
        <f t="shared" si="42"/>
        <v>157543.94156621772</v>
      </c>
      <c r="AI108" s="245">
        <f t="shared" si="43"/>
        <v>630175.76626487088</v>
      </c>
      <c r="AJ108" s="287"/>
      <c r="AK108" s="1029">
        <f t="shared" si="44"/>
        <v>1590175.7662648708</v>
      </c>
      <c r="AL108" s="247" t="s">
        <v>206</v>
      </c>
      <c r="AM108" s="297"/>
      <c r="AN108" s="235">
        <f t="shared" si="45"/>
        <v>104132.26666666666</v>
      </c>
      <c r="AO108" s="270"/>
      <c r="AP108" s="270"/>
      <c r="AQ108" s="1028"/>
      <c r="AR108" s="1030"/>
      <c r="AS108" s="1030"/>
      <c r="AT108" s="1030"/>
      <c r="AU108" s="36"/>
      <c r="AV108" s="36"/>
      <c r="AW108" s="36"/>
      <c r="AX108" s="36"/>
      <c r="AY108" s="36"/>
      <c r="AZ108" s="36"/>
      <c r="BA108" s="36"/>
      <c r="BB108" s="36"/>
      <c r="BC108" s="36"/>
      <c r="BD108" s="36"/>
    </row>
    <row r="109" spans="1:56" ht="13" x14ac:dyDescent="0.3">
      <c r="A109" s="244">
        <v>9257024</v>
      </c>
      <c r="B109" s="237" t="s">
        <v>211</v>
      </c>
      <c r="C109" s="238">
        <v>3</v>
      </c>
      <c r="D109" s="245">
        <f t="shared" si="16"/>
        <v>357845.95588235295</v>
      </c>
      <c r="E109" s="245">
        <f t="shared" si="17"/>
        <v>534383.29411764699</v>
      </c>
      <c r="F109" s="68">
        <f t="shared" si="32"/>
        <v>892229.25</v>
      </c>
      <c r="G109" s="245">
        <f t="shared" si="18"/>
        <v>49621.305882352935</v>
      </c>
      <c r="H109" s="245">
        <f t="shared" si="19"/>
        <v>122144.75294117644</v>
      </c>
      <c r="I109" s="68">
        <f t="shared" si="33"/>
        <v>171766.05882352937</v>
      </c>
      <c r="J109" s="68">
        <f t="shared" si="34"/>
        <v>1063995.3088235294</v>
      </c>
      <c r="K109" s="245">
        <f t="shared" si="20"/>
        <v>0</v>
      </c>
      <c r="L109" s="245">
        <f t="shared" si="21"/>
        <v>0</v>
      </c>
      <c r="M109" s="68">
        <f t="shared" si="35"/>
        <v>0</v>
      </c>
      <c r="N109" s="245">
        <f t="shared" si="22"/>
        <v>0</v>
      </c>
      <c r="O109" s="245">
        <f t="shared" si="23"/>
        <v>0</v>
      </c>
      <c r="P109" s="68">
        <f t="shared" si="36"/>
        <v>0</v>
      </c>
      <c r="Q109" s="68">
        <f t="shared" si="37"/>
        <v>0</v>
      </c>
      <c r="R109" s="68">
        <f t="shared" si="24"/>
        <v>1063995.3088235294</v>
      </c>
      <c r="S109" s="286">
        <f t="shared" si="25"/>
        <v>92.916666666666671</v>
      </c>
      <c r="T109" s="245">
        <f t="shared" si="38"/>
        <v>11451.070588235294</v>
      </c>
      <c r="U109" s="237"/>
      <c r="V109" s="245">
        <f t="shared" si="26"/>
        <v>779166.66666666674</v>
      </c>
      <c r="W109" s="245">
        <f t="shared" si="27"/>
        <v>150000</v>
      </c>
      <c r="X109" s="245">
        <f t="shared" si="39"/>
        <v>929166.66666666674</v>
      </c>
      <c r="Y109" s="245">
        <f>VLOOKUP(A109,'2324 Funding Detail'!$A$4:$AA$20,18,FALSE)</f>
        <v>1603414.5476405204</v>
      </c>
      <c r="Z109" s="245"/>
      <c r="AA109" s="245"/>
      <c r="AB109" s="245">
        <f t="shared" si="40"/>
        <v>674247.88097385364</v>
      </c>
      <c r="AC109" s="245">
        <f t="shared" si="28"/>
        <v>226764.98239030957</v>
      </c>
      <c r="AD109" s="245">
        <f t="shared" si="29"/>
        <v>338635.70703619561</v>
      </c>
      <c r="AE109" s="245">
        <f t="shared" si="41"/>
        <v>565400.68942650524</v>
      </c>
      <c r="AF109" s="245">
        <f t="shared" si="30"/>
        <v>31444.744224789596</v>
      </c>
      <c r="AG109" s="245">
        <f t="shared" si="31"/>
        <v>77402.447322559005</v>
      </c>
      <c r="AH109" s="245">
        <f t="shared" si="42"/>
        <v>108847.1915473486</v>
      </c>
      <c r="AI109" s="245">
        <f t="shared" si="43"/>
        <v>674247.88097385387</v>
      </c>
      <c r="AJ109" s="287"/>
      <c r="AK109" s="1029">
        <f t="shared" si="44"/>
        <v>1603414.5476405206</v>
      </c>
      <c r="AL109" s="247" t="s">
        <v>206</v>
      </c>
      <c r="AM109" s="297"/>
      <c r="AN109" s="235">
        <f t="shared" si="45"/>
        <v>160074.64705882352</v>
      </c>
      <c r="AO109" s="270"/>
      <c r="AP109" s="270"/>
      <c r="AQ109" s="1028"/>
      <c r="AR109" s="1030"/>
      <c r="AS109" s="1030"/>
      <c r="AT109" s="1030"/>
      <c r="AU109" s="36"/>
      <c r="AV109" s="36"/>
      <c r="AW109" s="36"/>
      <c r="AX109" s="36"/>
      <c r="AY109" s="36"/>
      <c r="AZ109" s="36"/>
      <c r="BA109" s="36"/>
      <c r="BB109" s="36"/>
      <c r="BC109" s="36"/>
      <c r="BD109" s="36"/>
    </row>
    <row r="110" spans="1:56" ht="13" x14ac:dyDescent="0.3">
      <c r="A110" s="244">
        <v>9257031</v>
      </c>
      <c r="B110" s="237" t="s">
        <v>257</v>
      </c>
      <c r="C110" s="238">
        <v>4</v>
      </c>
      <c r="D110" s="245">
        <f t="shared" si="16"/>
        <v>518900</v>
      </c>
      <c r="E110" s="245">
        <f t="shared" si="17"/>
        <v>735540.75</v>
      </c>
      <c r="F110" s="68">
        <f t="shared" si="32"/>
        <v>1254440.75</v>
      </c>
      <c r="G110" s="245">
        <f t="shared" si="18"/>
        <v>0</v>
      </c>
      <c r="H110" s="245">
        <f t="shared" si="19"/>
        <v>0</v>
      </c>
      <c r="I110" s="68">
        <f t="shared" si="33"/>
        <v>0</v>
      </c>
      <c r="J110" s="68">
        <f t="shared" si="34"/>
        <v>1254440.75</v>
      </c>
      <c r="K110" s="245">
        <f t="shared" si="20"/>
        <v>0</v>
      </c>
      <c r="L110" s="245">
        <f t="shared" si="21"/>
        <v>0</v>
      </c>
      <c r="M110" s="68">
        <f t="shared" si="35"/>
        <v>0</v>
      </c>
      <c r="N110" s="245">
        <f t="shared" si="22"/>
        <v>0</v>
      </c>
      <c r="O110" s="245">
        <f t="shared" si="23"/>
        <v>0</v>
      </c>
      <c r="P110" s="68">
        <f t="shared" si="36"/>
        <v>0</v>
      </c>
      <c r="Q110" s="68">
        <f t="shared" si="37"/>
        <v>0</v>
      </c>
      <c r="R110" s="68">
        <f t="shared" si="24"/>
        <v>1254440.75</v>
      </c>
      <c r="S110" s="286">
        <f t="shared" si="25"/>
        <v>80.583333333333343</v>
      </c>
      <c r="T110" s="245">
        <f t="shared" si="38"/>
        <v>15566.999999999998</v>
      </c>
      <c r="U110" s="237"/>
      <c r="V110" s="245">
        <f t="shared" si="26"/>
        <v>805833.33333333337</v>
      </c>
      <c r="W110" s="245">
        <f t="shared" si="27"/>
        <v>0</v>
      </c>
      <c r="X110" s="245">
        <f t="shared" si="39"/>
        <v>805833.33333333337</v>
      </c>
      <c r="Y110" s="245">
        <f>VLOOKUP(A110,'2324 Funding Detail'!$A$4:$AA$20,18,FALSE)</f>
        <v>1780394.55</v>
      </c>
      <c r="Z110" s="245"/>
      <c r="AA110" s="245"/>
      <c r="AB110" s="245">
        <f t="shared" si="40"/>
        <v>974561.21666666667</v>
      </c>
      <c r="AC110" s="245">
        <f t="shared" si="28"/>
        <v>403127.70079282997</v>
      </c>
      <c r="AD110" s="245">
        <f t="shared" si="29"/>
        <v>571433.51587383647</v>
      </c>
      <c r="AE110" s="245">
        <f t="shared" si="41"/>
        <v>974561.21666666644</v>
      </c>
      <c r="AF110" s="245">
        <f t="shared" si="30"/>
        <v>0</v>
      </c>
      <c r="AG110" s="245">
        <f t="shared" si="31"/>
        <v>0</v>
      </c>
      <c r="AH110" s="245">
        <f t="shared" si="42"/>
        <v>0</v>
      </c>
      <c r="AI110" s="245">
        <f t="shared" si="43"/>
        <v>974561.21666666644</v>
      </c>
      <c r="AJ110" s="287"/>
      <c r="AK110" s="1029">
        <f t="shared" si="44"/>
        <v>1780394.5499999998</v>
      </c>
      <c r="AL110" s="247" t="s">
        <v>206</v>
      </c>
      <c r="AM110" s="297"/>
      <c r="AN110" s="235">
        <f t="shared" si="45"/>
        <v>0</v>
      </c>
      <c r="AO110" s="270"/>
      <c r="AP110" s="270"/>
      <c r="AQ110" s="1028"/>
      <c r="AR110" s="1030"/>
      <c r="AS110" s="1030"/>
      <c r="AT110" s="1030"/>
      <c r="AU110" s="36"/>
      <c r="AV110" s="36"/>
      <c r="AW110" s="36"/>
      <c r="AX110" s="36"/>
      <c r="AY110" s="36"/>
      <c r="AZ110" s="36"/>
      <c r="BA110" s="36"/>
      <c r="BB110" s="36"/>
      <c r="BC110" s="36"/>
      <c r="BD110" s="36"/>
    </row>
    <row r="111" spans="1:56" ht="13" x14ac:dyDescent="0.3">
      <c r="A111" s="244">
        <v>9257033</v>
      </c>
      <c r="B111" s="237" t="s">
        <v>220</v>
      </c>
      <c r="C111" s="238">
        <v>3</v>
      </c>
      <c r="D111" s="245">
        <f t="shared" si="16"/>
        <v>439470.93093093089</v>
      </c>
      <c r="E111" s="245">
        <f t="shared" si="17"/>
        <v>631739.46321321314</v>
      </c>
      <c r="F111" s="68">
        <f t="shared" si="32"/>
        <v>1071210.3941441439</v>
      </c>
      <c r="G111" s="245">
        <f t="shared" si="18"/>
        <v>0</v>
      </c>
      <c r="H111" s="245">
        <f t="shared" si="19"/>
        <v>0</v>
      </c>
      <c r="I111" s="68">
        <f t="shared" si="33"/>
        <v>0</v>
      </c>
      <c r="J111" s="68">
        <f t="shared" si="34"/>
        <v>1071210.3941441439</v>
      </c>
      <c r="K111" s="245">
        <f t="shared" si="20"/>
        <v>0</v>
      </c>
      <c r="L111" s="245">
        <f t="shared" si="21"/>
        <v>0</v>
      </c>
      <c r="M111" s="68">
        <f t="shared" si="35"/>
        <v>0</v>
      </c>
      <c r="N111" s="245">
        <f t="shared" si="22"/>
        <v>0</v>
      </c>
      <c r="O111" s="245">
        <f t="shared" si="23"/>
        <v>0</v>
      </c>
      <c r="P111" s="68">
        <f t="shared" si="36"/>
        <v>0</v>
      </c>
      <c r="Q111" s="68">
        <f t="shared" si="37"/>
        <v>0</v>
      </c>
      <c r="R111" s="68">
        <f t="shared" si="24"/>
        <v>1071210.3941441439</v>
      </c>
      <c r="S111" s="286">
        <f t="shared" si="25"/>
        <v>113.75000000000001</v>
      </c>
      <c r="T111" s="245">
        <f t="shared" si="38"/>
        <v>9417.2342342342308</v>
      </c>
      <c r="U111" s="237"/>
      <c r="V111" s="245">
        <f t="shared" si="26"/>
        <v>1137500</v>
      </c>
      <c r="W111" s="245">
        <f t="shared" si="27"/>
        <v>0</v>
      </c>
      <c r="X111" s="245">
        <f t="shared" si="39"/>
        <v>1137500</v>
      </c>
      <c r="Y111" s="245">
        <f>VLOOKUP(A111,'2324 Funding Detail'!$A$4:$AA$20,18,FALSE)</f>
        <v>1618128.794144144</v>
      </c>
      <c r="Z111" s="245"/>
      <c r="AA111" s="245"/>
      <c r="AB111" s="245">
        <f t="shared" si="40"/>
        <v>480628.79414414405</v>
      </c>
      <c r="AC111" s="245">
        <f t="shared" si="28"/>
        <v>197181.04375144368</v>
      </c>
      <c r="AD111" s="245">
        <f t="shared" si="29"/>
        <v>283447.75039270025</v>
      </c>
      <c r="AE111" s="245">
        <f t="shared" si="41"/>
        <v>480628.79414414393</v>
      </c>
      <c r="AF111" s="245">
        <f t="shared" si="30"/>
        <v>0</v>
      </c>
      <c r="AG111" s="245">
        <f t="shared" si="31"/>
        <v>0</v>
      </c>
      <c r="AH111" s="245">
        <f t="shared" si="42"/>
        <v>0</v>
      </c>
      <c r="AI111" s="245">
        <f t="shared" si="43"/>
        <v>480628.79414414393</v>
      </c>
      <c r="AJ111" s="287"/>
      <c r="AK111" s="1029">
        <f t="shared" si="44"/>
        <v>1618128.7941441438</v>
      </c>
      <c r="AL111" s="247" t="s">
        <v>206</v>
      </c>
      <c r="AM111" s="297"/>
      <c r="AN111" s="235">
        <f t="shared" si="45"/>
        <v>50021.306306306302</v>
      </c>
      <c r="AO111" s="270"/>
      <c r="AP111" s="270"/>
      <c r="AQ111" s="1028"/>
      <c r="AR111" s="1030"/>
      <c r="AS111" s="1030"/>
      <c r="AT111" s="1030"/>
      <c r="AU111" s="36"/>
      <c r="AV111" s="36"/>
      <c r="AW111" s="36"/>
      <c r="AX111" s="36"/>
      <c r="AY111" s="36"/>
      <c r="AZ111" s="36"/>
      <c r="BA111" s="36"/>
      <c r="BB111" s="36"/>
      <c r="BC111" s="36"/>
      <c r="BD111" s="36"/>
    </row>
    <row r="112" spans="1:56" ht="13" x14ac:dyDescent="0.3">
      <c r="A112" s="244">
        <v>9257008</v>
      </c>
      <c r="B112" s="237" t="s">
        <v>212</v>
      </c>
      <c r="C112" s="238">
        <v>4</v>
      </c>
      <c r="D112" s="245">
        <f t="shared" si="16"/>
        <v>399232.08333333337</v>
      </c>
      <c r="E112" s="245">
        <f t="shared" si="17"/>
        <v>558924.91666666674</v>
      </c>
      <c r="F112" s="68">
        <f t="shared" si="32"/>
        <v>958157.00000000012</v>
      </c>
      <c r="G112" s="245">
        <f t="shared" si="18"/>
        <v>0</v>
      </c>
      <c r="H112" s="245">
        <f t="shared" si="19"/>
        <v>0</v>
      </c>
      <c r="I112" s="68">
        <f t="shared" si="33"/>
        <v>0</v>
      </c>
      <c r="J112" s="68">
        <f t="shared" si="34"/>
        <v>958157.00000000012</v>
      </c>
      <c r="K112" s="245">
        <f t="shared" si="20"/>
        <v>0</v>
      </c>
      <c r="L112" s="245">
        <f t="shared" si="21"/>
        <v>0</v>
      </c>
      <c r="M112" s="68">
        <f t="shared" si="35"/>
        <v>0</v>
      </c>
      <c r="N112" s="245">
        <f t="shared" si="22"/>
        <v>0</v>
      </c>
      <c r="O112" s="245">
        <f t="shared" si="23"/>
        <v>0</v>
      </c>
      <c r="P112" s="68">
        <f t="shared" si="36"/>
        <v>0</v>
      </c>
      <c r="Q112" s="68">
        <f t="shared" si="37"/>
        <v>0</v>
      </c>
      <c r="R112" s="68">
        <f t="shared" si="24"/>
        <v>958157.00000000012</v>
      </c>
      <c r="S112" s="286">
        <f t="shared" si="25"/>
        <v>101</v>
      </c>
      <c r="T112" s="245">
        <f t="shared" si="38"/>
        <v>9486.7029702970303</v>
      </c>
      <c r="U112" s="237"/>
      <c r="V112" s="245">
        <f t="shared" si="26"/>
        <v>1010000.0000000001</v>
      </c>
      <c r="W112" s="245">
        <f t="shared" si="27"/>
        <v>0</v>
      </c>
      <c r="X112" s="245">
        <f t="shared" si="39"/>
        <v>1010000.0000000001</v>
      </c>
      <c r="Y112" s="245">
        <f>VLOOKUP(A112,'2324 Funding Detail'!$A$4:$AA$20,18,FALSE)</f>
        <v>1491135.1</v>
      </c>
      <c r="Z112" s="245"/>
      <c r="AA112" s="245"/>
      <c r="AB112" s="245">
        <f t="shared" si="40"/>
        <v>481135.1</v>
      </c>
      <c r="AC112" s="245">
        <f t="shared" si="28"/>
        <v>200472.95833333334</v>
      </c>
      <c r="AD112" s="245">
        <f t="shared" si="29"/>
        <v>280662.14166666666</v>
      </c>
      <c r="AE112" s="245">
        <f t="shared" si="41"/>
        <v>481135.1</v>
      </c>
      <c r="AF112" s="245">
        <f t="shared" si="30"/>
        <v>0</v>
      </c>
      <c r="AG112" s="245">
        <f t="shared" si="31"/>
        <v>0</v>
      </c>
      <c r="AH112" s="245">
        <f t="shared" si="42"/>
        <v>0</v>
      </c>
      <c r="AI112" s="245">
        <f t="shared" si="43"/>
        <v>481135.1</v>
      </c>
      <c r="AJ112" s="287"/>
      <c r="AK112" s="1029">
        <f t="shared" si="44"/>
        <v>1491135.1</v>
      </c>
      <c r="AL112" s="247" t="s">
        <v>206</v>
      </c>
      <c r="AM112" s="297"/>
      <c r="AN112" s="235">
        <f t="shared" si="45"/>
        <v>0</v>
      </c>
      <c r="AO112" s="270"/>
      <c r="AP112" s="270"/>
      <c r="AQ112" s="1028"/>
      <c r="AR112" s="1030"/>
      <c r="AS112" s="1030"/>
      <c r="AT112" s="1030"/>
      <c r="AU112" s="36"/>
      <c r="AV112" s="36"/>
      <c r="AW112" s="36"/>
      <c r="AX112" s="36"/>
      <c r="AY112" s="36"/>
      <c r="AZ112" s="36"/>
      <c r="BA112" s="36"/>
      <c r="BB112" s="36"/>
      <c r="BC112" s="36"/>
      <c r="BD112" s="36"/>
    </row>
    <row r="113" spans="1:56" ht="13" x14ac:dyDescent="0.3">
      <c r="A113" s="244">
        <v>9257034</v>
      </c>
      <c r="B113" s="237" t="s">
        <v>221</v>
      </c>
      <c r="C113" s="238">
        <v>5</v>
      </c>
      <c r="D113" s="245">
        <f t="shared" si="16"/>
        <v>361175.24928774935</v>
      </c>
      <c r="E113" s="245">
        <f t="shared" si="17"/>
        <v>570195.81908831908</v>
      </c>
      <c r="F113" s="68">
        <f t="shared" si="32"/>
        <v>931371.06837606849</v>
      </c>
      <c r="G113" s="245">
        <f t="shared" si="18"/>
        <v>92214.957264957251</v>
      </c>
      <c r="H113" s="245">
        <f t="shared" si="19"/>
        <v>159839.25925925924</v>
      </c>
      <c r="I113" s="68">
        <f t="shared" si="33"/>
        <v>252054.21652421649</v>
      </c>
      <c r="J113" s="68">
        <f t="shared" si="34"/>
        <v>1183425.2849002851</v>
      </c>
      <c r="K113" s="245">
        <f t="shared" si="20"/>
        <v>0</v>
      </c>
      <c r="L113" s="245">
        <f t="shared" si="21"/>
        <v>0</v>
      </c>
      <c r="M113" s="68">
        <f t="shared" si="35"/>
        <v>0</v>
      </c>
      <c r="N113" s="245">
        <f t="shared" si="22"/>
        <v>0</v>
      </c>
      <c r="O113" s="245">
        <f t="shared" si="23"/>
        <v>0</v>
      </c>
      <c r="P113" s="68">
        <f t="shared" si="36"/>
        <v>0</v>
      </c>
      <c r="Q113" s="68">
        <f t="shared" si="37"/>
        <v>0</v>
      </c>
      <c r="R113" s="68">
        <f t="shared" si="24"/>
        <v>1183425.2849002851</v>
      </c>
      <c r="S113" s="286">
        <f t="shared" si="25"/>
        <v>128.33333333333334</v>
      </c>
      <c r="T113" s="245">
        <f t="shared" si="38"/>
        <v>9221.4957264957266</v>
      </c>
      <c r="U113" s="237"/>
      <c r="V113" s="245">
        <f t="shared" si="26"/>
        <v>1010000</v>
      </c>
      <c r="W113" s="245">
        <f t="shared" si="27"/>
        <v>273333.33333333331</v>
      </c>
      <c r="X113" s="245">
        <f t="shared" si="39"/>
        <v>1283333.3333333333</v>
      </c>
      <c r="Y113" s="245">
        <f>VLOOKUP(A113,'2324 Funding Detail'!$A$4:$AA$20,18,FALSE)</f>
        <v>1805558.419342048</v>
      </c>
      <c r="Z113" s="245"/>
      <c r="AA113" s="245"/>
      <c r="AB113" s="245">
        <f t="shared" si="40"/>
        <v>522225.08600871474</v>
      </c>
      <c r="AC113" s="245">
        <f t="shared" si="28"/>
        <v>159380.38339227004</v>
      </c>
      <c r="AD113" s="245">
        <f t="shared" si="29"/>
        <v>251617.54144056249</v>
      </c>
      <c r="AE113" s="245">
        <f t="shared" si="41"/>
        <v>410997.92483283253</v>
      </c>
      <c r="AF113" s="245">
        <f t="shared" si="30"/>
        <v>40692.863844834901</v>
      </c>
      <c r="AG113" s="245">
        <f t="shared" si="31"/>
        <v>70534.297331047157</v>
      </c>
      <c r="AH113" s="245">
        <f t="shared" si="42"/>
        <v>111227.16117588207</v>
      </c>
      <c r="AI113" s="245">
        <f t="shared" si="43"/>
        <v>522225.08600871463</v>
      </c>
      <c r="AJ113" s="287"/>
      <c r="AK113" s="1029">
        <f t="shared" si="44"/>
        <v>1805558.4193420478</v>
      </c>
      <c r="AL113" s="247" t="s">
        <v>206</v>
      </c>
      <c r="AM113" s="297"/>
      <c r="AN113" s="235">
        <f t="shared" si="45"/>
        <v>26770.113960113962</v>
      </c>
      <c r="AO113" s="270"/>
      <c r="AP113" s="270"/>
      <c r="AQ113" s="1028"/>
      <c r="AR113" s="1030"/>
      <c r="AS113" s="1030"/>
      <c r="AT113" s="1030"/>
      <c r="AU113" s="36"/>
      <c r="AV113" s="36"/>
      <c r="AW113" s="36"/>
      <c r="AX113" s="36"/>
      <c r="AY113" s="36"/>
      <c r="AZ113" s="36"/>
      <c r="BA113" s="36"/>
      <c r="BB113" s="36"/>
      <c r="BC113" s="36"/>
      <c r="BD113" s="36"/>
    </row>
    <row r="114" spans="1:56" ht="13" x14ac:dyDescent="0.3">
      <c r="A114" s="244">
        <v>9257002</v>
      </c>
      <c r="B114" s="237" t="s">
        <v>213</v>
      </c>
      <c r="C114" s="238">
        <v>5</v>
      </c>
      <c r="D114" s="245">
        <f t="shared" si="16"/>
        <v>661755.89939024404</v>
      </c>
      <c r="E114" s="245">
        <f t="shared" si="17"/>
        <v>1025513.5447154475</v>
      </c>
      <c r="F114" s="68">
        <f t="shared" si="32"/>
        <v>1687269.4441056915</v>
      </c>
      <c r="G114" s="245">
        <f t="shared" si="18"/>
        <v>0</v>
      </c>
      <c r="H114" s="245">
        <f t="shared" si="19"/>
        <v>0</v>
      </c>
      <c r="I114" s="68">
        <f t="shared" si="33"/>
        <v>0</v>
      </c>
      <c r="J114" s="68">
        <f t="shared" si="34"/>
        <v>1687269.4441056915</v>
      </c>
      <c r="K114" s="245">
        <f t="shared" si="20"/>
        <v>0</v>
      </c>
      <c r="L114" s="245">
        <f t="shared" si="21"/>
        <v>0</v>
      </c>
      <c r="M114" s="68">
        <f t="shared" si="35"/>
        <v>0</v>
      </c>
      <c r="N114" s="245">
        <f t="shared" si="22"/>
        <v>0</v>
      </c>
      <c r="O114" s="245">
        <f t="shared" si="23"/>
        <v>0</v>
      </c>
      <c r="P114" s="68">
        <f t="shared" si="36"/>
        <v>0</v>
      </c>
      <c r="Q114" s="68">
        <f t="shared" si="37"/>
        <v>0</v>
      </c>
      <c r="R114" s="68">
        <f t="shared" si="24"/>
        <v>1687269.4441056915</v>
      </c>
      <c r="S114" s="286">
        <f t="shared" si="25"/>
        <v>168.91666666666669</v>
      </c>
      <c r="T114" s="245">
        <f t="shared" si="38"/>
        <v>9988.7682926829275</v>
      </c>
      <c r="U114" s="237"/>
      <c r="V114" s="245">
        <f t="shared" si="26"/>
        <v>1689166.6666666667</v>
      </c>
      <c r="W114" s="245">
        <f t="shared" si="27"/>
        <v>0</v>
      </c>
      <c r="X114" s="245">
        <f t="shared" si="39"/>
        <v>1689166.6666666667</v>
      </c>
      <c r="Y114" s="245">
        <f>VLOOKUP(A114,'2324 Funding Detail'!$A$4:$AA$20,18,FALSE)</f>
        <v>2372784.2441056916</v>
      </c>
      <c r="Z114" s="245"/>
      <c r="AA114" s="245"/>
      <c r="AB114" s="245">
        <f t="shared" si="40"/>
        <v>683617.57743902481</v>
      </c>
      <c r="AC114" s="245">
        <f t="shared" si="28"/>
        <v>268118.38878343586</v>
      </c>
      <c r="AD114" s="245">
        <f t="shared" si="29"/>
        <v>415499.18865558866</v>
      </c>
      <c r="AE114" s="245">
        <f t="shared" si="41"/>
        <v>683617.57743902458</v>
      </c>
      <c r="AF114" s="245">
        <f t="shared" si="30"/>
        <v>0</v>
      </c>
      <c r="AG114" s="245">
        <f t="shared" si="31"/>
        <v>0</v>
      </c>
      <c r="AH114" s="245">
        <f t="shared" si="42"/>
        <v>0</v>
      </c>
      <c r="AI114" s="245">
        <f t="shared" si="43"/>
        <v>683617.57743902458</v>
      </c>
      <c r="AJ114" s="287"/>
      <c r="AK114" s="1029">
        <f t="shared" si="44"/>
        <v>2372784.2441056911</v>
      </c>
      <c r="AL114" s="247" t="s">
        <v>206</v>
      </c>
      <c r="AM114" s="297"/>
      <c r="AN114" s="235">
        <f t="shared" si="45"/>
        <v>50275.367886178865</v>
      </c>
      <c r="AO114" s="270"/>
      <c r="AP114" s="270"/>
      <c r="AQ114" s="1028"/>
      <c r="AR114" s="1030"/>
      <c r="AS114" s="1030"/>
      <c r="AT114" s="1030"/>
      <c r="AU114" s="36"/>
      <c r="AV114" s="36"/>
      <c r="AW114" s="36"/>
      <c r="AX114" s="36"/>
      <c r="AY114" s="36"/>
      <c r="AZ114" s="36"/>
      <c r="BA114" s="36"/>
      <c r="BB114" s="36"/>
      <c r="BC114" s="36"/>
      <c r="BD114" s="36"/>
    </row>
    <row r="115" spans="1:56" ht="13" x14ac:dyDescent="0.3">
      <c r="A115" s="244">
        <v>9257009</v>
      </c>
      <c r="B115" s="237" t="s">
        <v>214</v>
      </c>
      <c r="C115" s="238">
        <v>4</v>
      </c>
      <c r="D115" s="245">
        <f t="shared" si="16"/>
        <v>854843.36505922175</v>
      </c>
      <c r="E115" s="245">
        <f t="shared" si="17"/>
        <v>1259439.3870558375</v>
      </c>
      <c r="F115" s="68">
        <f t="shared" si="32"/>
        <v>2114282.7521150592</v>
      </c>
      <c r="G115" s="245">
        <f t="shared" si="18"/>
        <v>39385.453468697116</v>
      </c>
      <c r="H115" s="245">
        <f t="shared" si="19"/>
        <v>78770.906937394233</v>
      </c>
      <c r="I115" s="68">
        <f t="shared" si="33"/>
        <v>118156.36040609135</v>
      </c>
      <c r="J115" s="68">
        <f t="shared" si="34"/>
        <v>2232439.1125211506</v>
      </c>
      <c r="K115" s="245">
        <f t="shared" si="20"/>
        <v>0</v>
      </c>
      <c r="L115" s="245">
        <f t="shared" si="21"/>
        <v>0</v>
      </c>
      <c r="M115" s="68">
        <f t="shared" si="35"/>
        <v>0</v>
      </c>
      <c r="N115" s="245">
        <f t="shared" si="22"/>
        <v>0</v>
      </c>
      <c r="O115" s="245">
        <f t="shared" si="23"/>
        <v>0</v>
      </c>
      <c r="P115" s="68">
        <f t="shared" si="36"/>
        <v>0</v>
      </c>
      <c r="Q115" s="68">
        <f t="shared" si="37"/>
        <v>0</v>
      </c>
      <c r="R115" s="68">
        <f t="shared" si="24"/>
        <v>2232439.1125211506</v>
      </c>
      <c r="S115" s="286">
        <f t="shared" si="25"/>
        <v>207.83333333333337</v>
      </c>
      <c r="T115" s="245">
        <f t="shared" si="38"/>
        <v>10741.487309644668</v>
      </c>
      <c r="U115" s="237"/>
      <c r="V115" s="245">
        <f t="shared" si="26"/>
        <v>1968333.3333333335</v>
      </c>
      <c r="W115" s="245">
        <f t="shared" si="27"/>
        <v>110000</v>
      </c>
      <c r="X115" s="245">
        <f t="shared" si="39"/>
        <v>2078333.3333333335</v>
      </c>
      <c r="Y115" s="245">
        <f>VLOOKUP(A115,'2324 Funding Detail'!$A$4:$AA$20,18,FALSE)</f>
        <v>3059718.9362606043</v>
      </c>
      <c r="Z115" s="245"/>
      <c r="AA115" s="245"/>
      <c r="AB115" s="245">
        <f t="shared" si="40"/>
        <v>981385.60292727081</v>
      </c>
      <c r="AC115" s="245">
        <f t="shared" si="28"/>
        <v>375791.19919628836</v>
      </c>
      <c r="AD115" s="245">
        <f t="shared" si="29"/>
        <v>553652.58352793485</v>
      </c>
      <c r="AE115" s="245">
        <f t="shared" si="41"/>
        <v>929443.78272422322</v>
      </c>
      <c r="AF115" s="245">
        <f t="shared" si="30"/>
        <v>17313.940067682397</v>
      </c>
      <c r="AG115" s="245">
        <f t="shared" si="31"/>
        <v>34627.880135364794</v>
      </c>
      <c r="AH115" s="245">
        <f t="shared" si="42"/>
        <v>51941.820203047188</v>
      </c>
      <c r="AI115" s="245">
        <f t="shared" si="43"/>
        <v>981385.60292727035</v>
      </c>
      <c r="AJ115" s="287"/>
      <c r="AK115" s="1029">
        <f t="shared" si="44"/>
        <v>3059718.9362606038</v>
      </c>
      <c r="AL115" s="247" t="s">
        <v>206</v>
      </c>
      <c r="AM115" s="297"/>
      <c r="AN115" s="235">
        <f t="shared" si="45"/>
        <v>257481.23519458543</v>
      </c>
      <c r="AO115" s="270"/>
      <c r="AP115" s="270"/>
      <c r="AQ115" s="1028"/>
      <c r="AR115" s="1030"/>
      <c r="AS115" s="1030"/>
      <c r="AT115" s="1030"/>
      <c r="AU115" s="36"/>
      <c r="AV115" s="36"/>
      <c r="AW115" s="36"/>
      <c r="AX115" s="36"/>
      <c r="AY115" s="36"/>
      <c r="AZ115" s="36"/>
      <c r="BA115" s="36"/>
      <c r="BB115" s="36"/>
      <c r="BC115" s="36"/>
      <c r="BD115" s="36"/>
    </row>
    <row r="116" spans="1:56" ht="13" x14ac:dyDescent="0.3">
      <c r="A116" s="244">
        <v>9257029</v>
      </c>
      <c r="B116" s="237" t="s">
        <v>890</v>
      </c>
      <c r="C116" s="238">
        <v>3</v>
      </c>
      <c r="D116" s="245">
        <f t="shared" si="16"/>
        <v>512413.75</v>
      </c>
      <c r="E116" s="245">
        <f t="shared" si="17"/>
        <v>717379.25</v>
      </c>
      <c r="F116" s="68">
        <f t="shared" si="32"/>
        <v>1229793</v>
      </c>
      <c r="G116" s="245">
        <f t="shared" si="18"/>
        <v>0</v>
      </c>
      <c r="H116" s="245">
        <f t="shared" si="19"/>
        <v>0</v>
      </c>
      <c r="I116" s="68">
        <f t="shared" si="33"/>
        <v>0</v>
      </c>
      <c r="J116" s="68">
        <f t="shared" si="34"/>
        <v>1229793</v>
      </c>
      <c r="K116" s="245">
        <f t="shared" si="20"/>
        <v>0</v>
      </c>
      <c r="L116" s="245">
        <f t="shared" si="21"/>
        <v>0</v>
      </c>
      <c r="M116" s="68">
        <f t="shared" si="35"/>
        <v>0</v>
      </c>
      <c r="N116" s="245">
        <f t="shared" si="22"/>
        <v>0</v>
      </c>
      <c r="O116" s="245">
        <f t="shared" si="23"/>
        <v>0</v>
      </c>
      <c r="P116" s="68">
        <f t="shared" si="36"/>
        <v>0</v>
      </c>
      <c r="Q116" s="68">
        <f t="shared" si="37"/>
        <v>0</v>
      </c>
      <c r="R116" s="68">
        <f t="shared" si="24"/>
        <v>1229793</v>
      </c>
      <c r="S116" s="286">
        <f t="shared" si="25"/>
        <v>79</v>
      </c>
      <c r="T116" s="245">
        <f t="shared" si="38"/>
        <v>15567</v>
      </c>
      <c r="U116" s="237"/>
      <c r="V116" s="245">
        <f t="shared" si="26"/>
        <v>790000</v>
      </c>
      <c r="W116" s="245">
        <f t="shared" si="27"/>
        <v>0</v>
      </c>
      <c r="X116" s="245">
        <f t="shared" si="39"/>
        <v>790000</v>
      </c>
      <c r="Y116" s="245">
        <f>VLOOKUP(A116,'2324 Funding Detail'!$A$4:$AA$20,18,FALSE)</f>
        <v>1727309.55</v>
      </c>
      <c r="Z116" s="245"/>
      <c r="AA116" s="245"/>
      <c r="AB116" s="245">
        <f t="shared" si="40"/>
        <v>937309.55</v>
      </c>
      <c r="AC116" s="245">
        <f t="shared" si="28"/>
        <v>390545.64583333337</v>
      </c>
      <c r="AD116" s="245">
        <f t="shared" si="29"/>
        <v>546763.90416666667</v>
      </c>
      <c r="AE116" s="245">
        <f t="shared" si="41"/>
        <v>937309.55</v>
      </c>
      <c r="AF116" s="245">
        <f t="shared" si="30"/>
        <v>0</v>
      </c>
      <c r="AG116" s="245">
        <f t="shared" si="31"/>
        <v>0</v>
      </c>
      <c r="AH116" s="245">
        <f t="shared" si="42"/>
        <v>0</v>
      </c>
      <c r="AI116" s="245">
        <f t="shared" si="43"/>
        <v>937309.55</v>
      </c>
      <c r="AJ116" s="287"/>
      <c r="AK116" s="1029">
        <f t="shared" si="44"/>
        <v>1727309.55</v>
      </c>
      <c r="AL116" s="247" t="s">
        <v>206</v>
      </c>
      <c r="AM116" s="297"/>
      <c r="AN116" s="235">
        <f t="shared" si="45"/>
        <v>0</v>
      </c>
      <c r="AO116" s="270"/>
      <c r="AP116" s="270"/>
      <c r="AQ116" s="1028"/>
      <c r="AR116" s="1030"/>
      <c r="AS116" s="1030"/>
      <c r="AT116" s="1030"/>
      <c r="AU116" s="36"/>
      <c r="AV116" s="36"/>
      <c r="AW116" s="36"/>
      <c r="AX116" s="36"/>
      <c r="AY116" s="36"/>
      <c r="AZ116" s="36"/>
      <c r="BA116" s="36"/>
      <c r="BB116" s="36"/>
      <c r="BC116" s="36"/>
      <c r="BD116" s="36"/>
    </row>
    <row r="117" spans="1:56" ht="13" x14ac:dyDescent="0.3">
      <c r="A117" s="244">
        <v>9257032</v>
      </c>
      <c r="B117" s="237" t="s">
        <v>1043</v>
      </c>
      <c r="C117" s="238">
        <v>4</v>
      </c>
      <c r="D117" s="245">
        <f t="shared" si="16"/>
        <v>674570</v>
      </c>
      <c r="E117" s="245">
        <f t="shared" si="17"/>
        <v>1044286.2500000001</v>
      </c>
      <c r="F117" s="68">
        <f t="shared" si="32"/>
        <v>1718856.25</v>
      </c>
      <c r="G117" s="245">
        <f t="shared" si="18"/>
        <v>0</v>
      </c>
      <c r="H117" s="245">
        <f t="shared" si="19"/>
        <v>0</v>
      </c>
      <c r="I117" s="68">
        <f t="shared" si="33"/>
        <v>0</v>
      </c>
      <c r="J117" s="68">
        <f t="shared" si="34"/>
        <v>1718856.25</v>
      </c>
      <c r="K117" s="245">
        <f t="shared" si="20"/>
        <v>0</v>
      </c>
      <c r="L117" s="245">
        <f t="shared" si="21"/>
        <v>0</v>
      </c>
      <c r="M117" s="68">
        <f t="shared" si="35"/>
        <v>0</v>
      </c>
      <c r="N117" s="245">
        <f t="shared" si="22"/>
        <v>0</v>
      </c>
      <c r="O117" s="245">
        <f t="shared" si="23"/>
        <v>0</v>
      </c>
      <c r="P117" s="68">
        <f t="shared" si="36"/>
        <v>0</v>
      </c>
      <c r="Q117" s="68">
        <f t="shared" si="37"/>
        <v>0</v>
      </c>
      <c r="R117" s="68">
        <f t="shared" si="24"/>
        <v>1718856.25</v>
      </c>
      <c r="S117" s="286">
        <f t="shared" si="25"/>
        <v>110.41666666666669</v>
      </c>
      <c r="T117" s="245">
        <f t="shared" si="38"/>
        <v>15566.999999999998</v>
      </c>
      <c r="U117" s="237"/>
      <c r="V117" s="245">
        <f t="shared" si="26"/>
        <v>1104166.6666666667</v>
      </c>
      <c r="W117" s="245">
        <f t="shared" si="27"/>
        <v>0</v>
      </c>
      <c r="X117" s="245">
        <f t="shared" si="39"/>
        <v>1104166.6666666667</v>
      </c>
      <c r="Y117" s="245">
        <f>VLOOKUP(A117,'2324 Funding Detail'!$A$4:$AA$20,18,FALSE)</f>
        <v>2226467.5</v>
      </c>
      <c r="Z117" s="245"/>
      <c r="AA117" s="245"/>
      <c r="AB117" s="245">
        <f t="shared" si="40"/>
        <v>1122300.8333333333</v>
      </c>
      <c r="AC117" s="245">
        <f t="shared" si="28"/>
        <v>440450.13836477976</v>
      </c>
      <c r="AD117" s="245">
        <f t="shared" si="29"/>
        <v>681850.69496855338</v>
      </c>
      <c r="AE117" s="245">
        <f t="shared" si="41"/>
        <v>1122300.833333333</v>
      </c>
      <c r="AF117" s="245">
        <f t="shared" si="30"/>
        <v>0</v>
      </c>
      <c r="AG117" s="245">
        <f t="shared" si="31"/>
        <v>0</v>
      </c>
      <c r="AH117" s="245">
        <f t="shared" si="42"/>
        <v>0</v>
      </c>
      <c r="AI117" s="245">
        <f t="shared" si="43"/>
        <v>1122300.833333333</v>
      </c>
      <c r="AJ117" s="287"/>
      <c r="AK117" s="1029">
        <f t="shared" si="44"/>
        <v>2226467.5</v>
      </c>
      <c r="AL117" s="247" t="s">
        <v>206</v>
      </c>
      <c r="AM117" s="297"/>
      <c r="AN117" s="235">
        <f t="shared" si="45"/>
        <v>0</v>
      </c>
      <c r="AO117" s="270"/>
      <c r="AP117" s="270"/>
      <c r="AQ117" s="1028"/>
      <c r="AR117" s="1030"/>
      <c r="AS117" s="1030"/>
      <c r="AT117" s="1030"/>
      <c r="AU117" s="36"/>
      <c r="AV117" s="36"/>
      <c r="AW117" s="36"/>
      <c r="AX117" s="36"/>
      <c r="AY117" s="36"/>
      <c r="AZ117" s="36"/>
      <c r="BA117" s="36"/>
      <c r="BB117" s="36"/>
      <c r="BC117" s="36"/>
      <c r="BD117" s="36"/>
    </row>
    <row r="118" spans="1:56" ht="13" x14ac:dyDescent="0.3">
      <c r="A118" s="244">
        <v>9257030</v>
      </c>
      <c r="B118" s="237" t="s">
        <v>1046</v>
      </c>
      <c r="C118" s="238">
        <v>4</v>
      </c>
      <c r="D118" s="245">
        <f t="shared" si="16"/>
        <v>454037.5</v>
      </c>
      <c r="E118" s="245">
        <f t="shared" si="17"/>
        <v>635652.5</v>
      </c>
      <c r="F118" s="68">
        <f t="shared" si="32"/>
        <v>1089690</v>
      </c>
      <c r="G118" s="245">
        <f t="shared" si="18"/>
        <v>0</v>
      </c>
      <c r="H118" s="245">
        <f t="shared" si="19"/>
        <v>0</v>
      </c>
      <c r="I118" s="68">
        <f t="shared" si="33"/>
        <v>0</v>
      </c>
      <c r="J118" s="68">
        <f t="shared" si="34"/>
        <v>1089690</v>
      </c>
      <c r="K118" s="245">
        <f t="shared" si="20"/>
        <v>0</v>
      </c>
      <c r="L118" s="245">
        <f t="shared" si="21"/>
        <v>0</v>
      </c>
      <c r="M118" s="68">
        <f t="shared" si="35"/>
        <v>0</v>
      </c>
      <c r="N118" s="245">
        <f t="shared" si="22"/>
        <v>0</v>
      </c>
      <c r="O118" s="245">
        <f t="shared" si="23"/>
        <v>0</v>
      </c>
      <c r="P118" s="68">
        <f t="shared" si="36"/>
        <v>0</v>
      </c>
      <c r="Q118" s="68">
        <f t="shared" si="37"/>
        <v>0</v>
      </c>
      <c r="R118" s="68">
        <f t="shared" si="24"/>
        <v>1089690</v>
      </c>
      <c r="S118" s="286">
        <f t="shared" si="25"/>
        <v>70</v>
      </c>
      <c r="T118" s="245">
        <f t="shared" si="38"/>
        <v>15567</v>
      </c>
      <c r="U118" s="237"/>
      <c r="V118" s="245">
        <f t="shared" si="26"/>
        <v>700000</v>
      </c>
      <c r="W118" s="245">
        <f t="shared" si="27"/>
        <v>0</v>
      </c>
      <c r="X118" s="245">
        <f t="shared" si="39"/>
        <v>700000</v>
      </c>
      <c r="Y118" s="245">
        <f>VLOOKUP(A118,'2324 Funding Detail'!$A$4:$AA$20,18,FALSE)</f>
        <v>1592962.2024356641</v>
      </c>
      <c r="Z118" s="245"/>
      <c r="AA118" s="245"/>
      <c r="AB118" s="245">
        <f t="shared" si="40"/>
        <v>892962.20243566413</v>
      </c>
      <c r="AC118" s="245">
        <f t="shared" si="28"/>
        <v>372067.58434819343</v>
      </c>
      <c r="AD118" s="245">
        <f t="shared" si="29"/>
        <v>520894.61808747071</v>
      </c>
      <c r="AE118" s="245">
        <f t="shared" si="41"/>
        <v>892962.20243566413</v>
      </c>
      <c r="AF118" s="245">
        <f t="shared" si="30"/>
        <v>0</v>
      </c>
      <c r="AG118" s="245">
        <f t="shared" si="31"/>
        <v>0</v>
      </c>
      <c r="AH118" s="245">
        <f t="shared" si="42"/>
        <v>0</v>
      </c>
      <c r="AI118" s="245">
        <f t="shared" si="43"/>
        <v>892962.20243566413</v>
      </c>
      <c r="AJ118" s="287"/>
      <c r="AK118" s="1029">
        <f t="shared" si="44"/>
        <v>1592962.2024356641</v>
      </c>
      <c r="AL118" s="247" t="s">
        <v>206</v>
      </c>
      <c r="AM118" s="297"/>
      <c r="AN118" s="235">
        <f t="shared" si="45"/>
        <v>0</v>
      </c>
      <c r="AO118" s="270"/>
      <c r="AP118" s="270"/>
      <c r="AQ118" s="1028"/>
      <c r="AR118" s="1030"/>
      <c r="AS118" s="1030"/>
      <c r="AT118" s="1030"/>
      <c r="AU118" s="36"/>
      <c r="AV118" s="36"/>
      <c r="AW118" s="36"/>
      <c r="AX118" s="36"/>
      <c r="AY118" s="36"/>
      <c r="AZ118" s="36"/>
      <c r="BA118" s="36"/>
      <c r="BB118" s="36"/>
      <c r="BC118" s="36"/>
      <c r="BD118" s="36"/>
    </row>
    <row r="119" spans="1:56" ht="13" x14ac:dyDescent="0.3">
      <c r="A119" s="244">
        <v>9257028</v>
      </c>
      <c r="B119" s="237" t="s">
        <v>215</v>
      </c>
      <c r="C119" s="238">
        <v>5</v>
      </c>
      <c r="D119" s="245">
        <f t="shared" si="16"/>
        <v>666454.79508196726</v>
      </c>
      <c r="E119" s="245">
        <f t="shared" si="17"/>
        <v>962656.92622950824</v>
      </c>
      <c r="F119" s="68">
        <f t="shared" si="32"/>
        <v>1629111.7213114756</v>
      </c>
      <c r="G119" s="245">
        <f t="shared" si="18"/>
        <v>38083.131147540982</v>
      </c>
      <c r="H119" s="245">
        <f t="shared" si="19"/>
        <v>93092.098360655742</v>
      </c>
      <c r="I119" s="68">
        <f t="shared" si="33"/>
        <v>131175.22950819673</v>
      </c>
      <c r="J119" s="68">
        <f t="shared" si="34"/>
        <v>1760286.9508196723</v>
      </c>
      <c r="K119" s="245">
        <f t="shared" si="20"/>
        <v>0</v>
      </c>
      <c r="L119" s="245">
        <f t="shared" si="21"/>
        <v>0</v>
      </c>
      <c r="M119" s="68">
        <f t="shared" si="35"/>
        <v>0</v>
      </c>
      <c r="N119" s="245">
        <f t="shared" si="22"/>
        <v>0</v>
      </c>
      <c r="O119" s="245">
        <f t="shared" si="23"/>
        <v>0</v>
      </c>
      <c r="P119" s="68">
        <f t="shared" si="36"/>
        <v>0</v>
      </c>
      <c r="Q119" s="68">
        <f t="shared" si="37"/>
        <v>0</v>
      </c>
      <c r="R119" s="68">
        <f t="shared" si="24"/>
        <v>1760286.9508196723</v>
      </c>
      <c r="S119" s="286">
        <f t="shared" si="25"/>
        <v>138.66666666666669</v>
      </c>
      <c r="T119" s="245">
        <f t="shared" si="38"/>
        <v>12694.377049180328</v>
      </c>
      <c r="U119" s="237"/>
      <c r="V119" s="245">
        <f t="shared" si="26"/>
        <v>1283333.3333333335</v>
      </c>
      <c r="W119" s="245">
        <f t="shared" si="27"/>
        <v>103333.33333333333</v>
      </c>
      <c r="X119" s="245">
        <f t="shared" si="39"/>
        <v>1386666.6666666667</v>
      </c>
      <c r="Y119" s="245">
        <f>VLOOKUP(A119,'2324 Funding Detail'!$A$4:$AA$20,18,FALSE)</f>
        <v>2432822.8508196725</v>
      </c>
      <c r="Z119" s="245"/>
      <c r="AA119" s="245"/>
      <c r="AB119" s="245">
        <f t="shared" si="40"/>
        <v>1046156.1841530057</v>
      </c>
      <c r="AC119" s="245">
        <f t="shared" si="28"/>
        <v>396080.766836775</v>
      </c>
      <c r="AD119" s="245">
        <f t="shared" si="29"/>
        <v>572116.66320867499</v>
      </c>
      <c r="AE119" s="245">
        <f t="shared" si="41"/>
        <v>968197.43004544999</v>
      </c>
      <c r="AF119" s="245">
        <f t="shared" si="30"/>
        <v>22633.18667638714</v>
      </c>
      <c r="AG119" s="245">
        <f t="shared" si="31"/>
        <v>55325.567431168565</v>
      </c>
      <c r="AH119" s="245">
        <f t="shared" si="42"/>
        <v>77958.754107555709</v>
      </c>
      <c r="AI119" s="245">
        <f t="shared" si="43"/>
        <v>1046156.1841530057</v>
      </c>
      <c r="AJ119" s="287"/>
      <c r="AK119" s="1029">
        <f t="shared" si="44"/>
        <v>2432822.8508196725</v>
      </c>
      <c r="AL119" s="247" t="s">
        <v>206</v>
      </c>
      <c r="AM119" s="297"/>
      <c r="AN119" s="235">
        <f t="shared" si="45"/>
        <v>499322.75409836054</v>
      </c>
      <c r="AO119" s="270"/>
      <c r="AP119" s="270"/>
      <c r="AQ119" s="1028"/>
      <c r="AR119" s="1030"/>
      <c r="AS119" s="1030"/>
      <c r="AT119" s="1030"/>
      <c r="AU119" s="36"/>
      <c r="AV119" s="36"/>
      <c r="AW119" s="36"/>
      <c r="AX119" s="36"/>
      <c r="AY119" s="36"/>
      <c r="AZ119" s="36"/>
      <c r="BA119" s="36"/>
      <c r="BB119" s="36"/>
      <c r="BC119" s="36"/>
      <c r="BD119" s="36"/>
    </row>
    <row r="120" spans="1:56" ht="13" x14ac:dyDescent="0.3">
      <c r="A120" s="244">
        <v>9257021</v>
      </c>
      <c r="B120" s="237" t="s">
        <v>216</v>
      </c>
      <c r="C120" s="238">
        <v>5</v>
      </c>
      <c r="D120" s="245">
        <f t="shared" si="16"/>
        <v>731445.62745098036</v>
      </c>
      <c r="E120" s="245">
        <f t="shared" si="17"/>
        <v>1029776.8215686277</v>
      </c>
      <c r="F120" s="68">
        <f t="shared" si="32"/>
        <v>1761222.4490196081</v>
      </c>
      <c r="G120" s="245">
        <f t="shared" si="18"/>
        <v>0</v>
      </c>
      <c r="H120" s="245">
        <f t="shared" si="19"/>
        <v>0</v>
      </c>
      <c r="I120" s="68">
        <f t="shared" si="33"/>
        <v>0</v>
      </c>
      <c r="J120" s="68">
        <f t="shared" si="34"/>
        <v>1761222.4490196081</v>
      </c>
      <c r="K120" s="245">
        <f t="shared" si="20"/>
        <v>0</v>
      </c>
      <c r="L120" s="245">
        <f t="shared" si="21"/>
        <v>0</v>
      </c>
      <c r="M120" s="68">
        <f t="shared" si="35"/>
        <v>0</v>
      </c>
      <c r="N120" s="245">
        <f t="shared" si="22"/>
        <v>0</v>
      </c>
      <c r="O120" s="245">
        <f t="shared" si="23"/>
        <v>0</v>
      </c>
      <c r="P120" s="68">
        <f t="shared" si="36"/>
        <v>0</v>
      </c>
      <c r="Q120" s="68">
        <f t="shared" si="37"/>
        <v>0</v>
      </c>
      <c r="R120" s="68">
        <f t="shared" si="24"/>
        <v>1761222.4490196081</v>
      </c>
      <c r="S120" s="286">
        <f t="shared" si="25"/>
        <v>178.58333333333334</v>
      </c>
      <c r="T120" s="245">
        <f t="shared" si="38"/>
        <v>9862.1882352941193</v>
      </c>
      <c r="U120" s="237"/>
      <c r="V120" s="245">
        <f t="shared" si="26"/>
        <v>1785833.3333333335</v>
      </c>
      <c r="W120" s="245">
        <f t="shared" si="27"/>
        <v>0</v>
      </c>
      <c r="X120" s="245">
        <f t="shared" si="39"/>
        <v>1785833.3333333335</v>
      </c>
      <c r="Y120" s="245">
        <f>VLOOKUP(A120,'2324 Funding Detail'!$A$4:$AA$20,18,FALSE)</f>
        <v>2452986.349019608</v>
      </c>
      <c r="Z120" s="245"/>
      <c r="AA120" s="245"/>
      <c r="AB120" s="245">
        <f t="shared" si="40"/>
        <v>667153.01568627451</v>
      </c>
      <c r="AC120" s="245">
        <f t="shared" si="28"/>
        <v>277072.41435407568</v>
      </c>
      <c r="AD120" s="245">
        <f t="shared" si="29"/>
        <v>390080.60133219877</v>
      </c>
      <c r="AE120" s="245">
        <f t="shared" si="41"/>
        <v>667153.01568627451</v>
      </c>
      <c r="AF120" s="245">
        <f t="shared" si="30"/>
        <v>0</v>
      </c>
      <c r="AG120" s="245">
        <f t="shared" si="31"/>
        <v>0</v>
      </c>
      <c r="AH120" s="245">
        <f t="shared" si="42"/>
        <v>0</v>
      </c>
      <c r="AI120" s="245">
        <f t="shared" si="43"/>
        <v>667153.01568627451</v>
      </c>
      <c r="AJ120" s="287"/>
      <c r="AK120" s="1029">
        <f t="shared" si="44"/>
        <v>2452986.349019608</v>
      </c>
      <c r="AL120" s="247" t="s">
        <v>206</v>
      </c>
      <c r="AM120" s="297"/>
      <c r="AN120" s="235">
        <f t="shared" si="45"/>
        <v>51276.527450980386</v>
      </c>
      <c r="AO120" s="270"/>
      <c r="AP120" s="270"/>
      <c r="AQ120" s="1028"/>
      <c r="AR120" s="1030"/>
      <c r="AS120" s="1030"/>
      <c r="AT120" s="1030"/>
      <c r="AU120" s="36"/>
      <c r="AV120" s="36"/>
      <c r="AW120" s="36"/>
      <c r="AX120" s="36"/>
      <c r="AY120" s="36"/>
      <c r="AZ120" s="36"/>
      <c r="BA120" s="36"/>
      <c r="BB120" s="36"/>
      <c r="BC120" s="36"/>
      <c r="BD120" s="36"/>
    </row>
    <row r="121" spans="1:56" ht="13" x14ac:dyDescent="0.3">
      <c r="A121" s="244">
        <v>9257015</v>
      </c>
      <c r="B121" s="237" t="s">
        <v>217</v>
      </c>
      <c r="C121" s="238">
        <v>6</v>
      </c>
      <c r="D121" s="245">
        <f t="shared" si="16"/>
        <v>901569.51143067842</v>
      </c>
      <c r="E121" s="245">
        <f t="shared" si="17"/>
        <v>1310511.0888643069</v>
      </c>
      <c r="F121" s="68">
        <f t="shared" si="32"/>
        <v>2212080.6002949853</v>
      </c>
      <c r="G121" s="245">
        <f t="shared" si="18"/>
        <v>55215.740412979343</v>
      </c>
      <c r="H121" s="245">
        <f t="shared" si="19"/>
        <v>158745.25368731562</v>
      </c>
      <c r="I121" s="68">
        <f t="shared" si="33"/>
        <v>213960.99410029495</v>
      </c>
      <c r="J121" s="68">
        <f t="shared" si="34"/>
        <v>2426041.5943952803</v>
      </c>
      <c r="K121" s="245">
        <f t="shared" si="20"/>
        <v>0</v>
      </c>
      <c r="L121" s="245">
        <f t="shared" si="21"/>
        <v>0</v>
      </c>
      <c r="M121" s="68">
        <f t="shared" si="35"/>
        <v>0</v>
      </c>
      <c r="N121" s="245">
        <f t="shared" si="22"/>
        <v>0</v>
      </c>
      <c r="O121" s="245">
        <f t="shared" si="23"/>
        <v>0</v>
      </c>
      <c r="P121" s="68">
        <f t="shared" si="36"/>
        <v>0</v>
      </c>
      <c r="Q121" s="68">
        <f t="shared" si="37"/>
        <v>0</v>
      </c>
      <c r="R121" s="68">
        <f t="shared" si="24"/>
        <v>2426041.5943952803</v>
      </c>
      <c r="S121" s="286">
        <f t="shared" si="25"/>
        <v>234.33333333333337</v>
      </c>
      <c r="T121" s="245">
        <f t="shared" si="38"/>
        <v>10352.951327433628</v>
      </c>
      <c r="U121" s="237"/>
      <c r="V121" s="245">
        <f t="shared" si="26"/>
        <v>2136666.666666667</v>
      </c>
      <c r="W121" s="245">
        <f t="shared" si="27"/>
        <v>206666.66666666663</v>
      </c>
      <c r="X121" s="245">
        <f t="shared" si="39"/>
        <v>2343333.3333333335</v>
      </c>
      <c r="Y121" s="245">
        <f>VLOOKUP(A121,'2324 Funding Detail'!$A$4:$AA$20,18,FALSE)</f>
        <v>3254687.5943952799</v>
      </c>
      <c r="Z121" s="245"/>
      <c r="AA121" s="245"/>
      <c r="AB121" s="245">
        <f t="shared" si="40"/>
        <v>911354.2610619464</v>
      </c>
      <c r="AC121" s="245">
        <f t="shared" si="28"/>
        <v>338678.94836761511</v>
      </c>
      <c r="AD121" s="245">
        <f t="shared" si="29"/>
        <v>492299.83021091612</v>
      </c>
      <c r="AE121" s="245">
        <f t="shared" si="41"/>
        <v>830978.77857853123</v>
      </c>
      <c r="AF121" s="245">
        <f t="shared" si="30"/>
        <v>20742.05999571997</v>
      </c>
      <c r="AG121" s="245">
        <f t="shared" si="31"/>
        <v>59633.422487694916</v>
      </c>
      <c r="AH121" s="245">
        <f t="shared" si="42"/>
        <v>80375.482483414889</v>
      </c>
      <c r="AI121" s="245">
        <f t="shared" si="43"/>
        <v>911354.26106194616</v>
      </c>
      <c r="AJ121" s="287"/>
      <c r="AK121" s="1029">
        <f t="shared" si="44"/>
        <v>3254687.5943952799</v>
      </c>
      <c r="AL121" s="247" t="s">
        <v>206</v>
      </c>
      <c r="AM121" s="297"/>
      <c r="AN121" s="235">
        <f t="shared" si="45"/>
        <v>101223.70501474924</v>
      </c>
      <c r="AO121" s="270"/>
      <c r="AP121" s="270"/>
      <c r="AQ121" s="1028"/>
      <c r="AR121" s="1030"/>
      <c r="AS121" s="1030"/>
      <c r="AT121" s="1030"/>
      <c r="AU121" s="36"/>
      <c r="AV121" s="36"/>
      <c r="AW121" s="36"/>
      <c r="AX121" s="36"/>
      <c r="AY121" s="36"/>
      <c r="AZ121" s="36"/>
      <c r="BA121" s="36"/>
      <c r="BB121" s="36"/>
      <c r="BC121" s="36"/>
      <c r="BD121" s="36"/>
    </row>
    <row r="122" spans="1:56" ht="13" x14ac:dyDescent="0.3">
      <c r="A122" s="244">
        <v>9257016</v>
      </c>
      <c r="B122" s="237" t="s">
        <v>219</v>
      </c>
      <c r="C122" s="238">
        <v>6</v>
      </c>
      <c r="D122" s="245">
        <f t="shared" si="16"/>
        <v>696212.41666666686</v>
      </c>
      <c r="E122" s="245">
        <f t="shared" si="17"/>
        <v>992102.69375000009</v>
      </c>
      <c r="F122" s="68">
        <f t="shared" si="32"/>
        <v>1688315.1104166671</v>
      </c>
      <c r="G122" s="245">
        <f t="shared" si="18"/>
        <v>268539.07499999995</v>
      </c>
      <c r="H122" s="245">
        <f t="shared" si="19"/>
        <v>507240.47500000009</v>
      </c>
      <c r="I122" s="68">
        <f t="shared" si="33"/>
        <v>775779.55</v>
      </c>
      <c r="J122" s="68">
        <f>F122+I122</f>
        <v>2464094.6604166673</v>
      </c>
      <c r="K122" s="245">
        <f t="shared" si="20"/>
        <v>0</v>
      </c>
      <c r="L122" s="245">
        <f t="shared" si="21"/>
        <v>0</v>
      </c>
      <c r="M122" s="68">
        <f t="shared" si="35"/>
        <v>0</v>
      </c>
      <c r="N122" s="245">
        <f t="shared" si="22"/>
        <v>0</v>
      </c>
      <c r="O122" s="245">
        <f t="shared" si="23"/>
        <v>0</v>
      </c>
      <c r="P122" s="68">
        <f t="shared" si="36"/>
        <v>0</v>
      </c>
      <c r="Q122" s="68">
        <f t="shared" si="37"/>
        <v>0</v>
      </c>
      <c r="R122" s="68">
        <f t="shared" si="24"/>
        <v>2464094.6604166673</v>
      </c>
      <c r="S122" s="286">
        <f t="shared" si="25"/>
        <v>165.16666666666669</v>
      </c>
      <c r="T122" s="245">
        <f t="shared" si="38"/>
        <v>14918.837500000003</v>
      </c>
      <c r="U122" s="237"/>
      <c r="V122" s="245">
        <f t="shared" si="26"/>
        <v>1131666.6666666667</v>
      </c>
      <c r="W122" s="245">
        <f t="shared" si="27"/>
        <v>520000</v>
      </c>
      <c r="X122" s="245">
        <f t="shared" si="39"/>
        <v>1651666.6666666667</v>
      </c>
      <c r="Y122" s="245">
        <f>VLOOKUP(A122,'2324 Funding Detail'!$A$4:$AA$20,18,FALSE)</f>
        <v>3253803.9604166676</v>
      </c>
      <c r="Z122" s="245"/>
      <c r="AA122" s="245"/>
      <c r="AB122" s="245">
        <f t="shared" si="40"/>
        <v>1602137.2937500009</v>
      </c>
      <c r="AC122" s="245">
        <f t="shared" si="28"/>
        <v>452672.49470232113</v>
      </c>
      <c r="AD122" s="245">
        <f t="shared" si="29"/>
        <v>645058.30495080748</v>
      </c>
      <c r="AE122" s="245">
        <f t="shared" si="41"/>
        <v>1097730.7996531287</v>
      </c>
      <c r="AF122" s="245">
        <f t="shared" si="30"/>
        <v>174602.24795660956</v>
      </c>
      <c r="AG122" s="245">
        <f t="shared" si="31"/>
        <v>329804.24614026246</v>
      </c>
      <c r="AH122" s="245">
        <f t="shared" si="42"/>
        <v>504406.49409687205</v>
      </c>
      <c r="AI122" s="245">
        <f t="shared" si="43"/>
        <v>1602137.2937500007</v>
      </c>
      <c r="AJ122" s="287"/>
      <c r="AK122" s="1029">
        <f t="shared" si="44"/>
        <v>3253803.9604166676</v>
      </c>
      <c r="AL122" s="247" t="s">
        <v>206</v>
      </c>
      <c r="AM122" s="297"/>
      <c r="AN122" s="235">
        <f t="shared" si="45"/>
        <v>856599.75416666653</v>
      </c>
      <c r="AO122" s="270"/>
      <c r="AP122" s="270"/>
      <c r="AQ122" s="1028"/>
      <c r="AR122" s="1030"/>
      <c r="AS122" s="1030"/>
      <c r="AT122" s="1030"/>
      <c r="AU122" s="36"/>
      <c r="AV122" s="36"/>
      <c r="AW122" s="36"/>
      <c r="AX122" s="36"/>
      <c r="AY122" s="36"/>
      <c r="AZ122" s="36"/>
      <c r="BA122" s="36"/>
      <c r="BB122" s="36"/>
      <c r="BC122" s="36"/>
      <c r="BD122" s="36"/>
    </row>
    <row r="123" spans="1:56" x14ac:dyDescent="0.25">
      <c r="A123" s="36"/>
      <c r="B123" s="36"/>
      <c r="C123" s="36"/>
      <c r="D123" s="36"/>
      <c r="E123" s="36"/>
      <c r="F123" s="234"/>
      <c r="G123" s="234"/>
      <c r="H123" s="36"/>
      <c r="I123" s="36"/>
      <c r="J123" s="36"/>
      <c r="K123" s="36"/>
      <c r="L123" s="36"/>
      <c r="M123" s="36"/>
      <c r="N123" s="36"/>
      <c r="O123" s="36"/>
      <c r="P123" s="36"/>
      <c r="Q123" s="36"/>
      <c r="R123" s="234"/>
      <c r="S123" s="288"/>
      <c r="T123" s="36"/>
      <c r="U123" s="36"/>
      <c r="V123" s="36"/>
      <c r="W123" s="36"/>
      <c r="X123" s="36"/>
      <c r="Y123" s="36"/>
      <c r="Z123" s="36"/>
      <c r="AA123" s="36"/>
      <c r="AB123" s="36"/>
      <c r="AC123" s="36"/>
      <c r="AD123" s="36"/>
      <c r="AE123" s="36"/>
      <c r="AF123" s="36"/>
      <c r="AG123" s="36"/>
      <c r="AH123" s="36"/>
      <c r="AI123" s="36"/>
      <c r="AJ123" s="36"/>
      <c r="AK123" s="36"/>
      <c r="AL123" s="36"/>
      <c r="AM123" s="36"/>
      <c r="AN123" s="234"/>
      <c r="AO123" s="270"/>
      <c r="AP123" s="1028"/>
      <c r="AQ123" s="1028"/>
      <c r="AR123" s="1028"/>
      <c r="AS123" s="1028"/>
      <c r="AT123" s="1028"/>
      <c r="AU123" s="36"/>
      <c r="AV123" s="36"/>
      <c r="AW123" s="36"/>
      <c r="AX123" s="36"/>
      <c r="AY123" s="36"/>
      <c r="AZ123" s="36"/>
      <c r="BA123" s="36"/>
      <c r="BB123" s="36"/>
      <c r="BC123" s="36"/>
      <c r="BD123" s="36"/>
    </row>
    <row r="124" spans="1:56" ht="13" thickBot="1" x14ac:dyDescent="0.3">
      <c r="A124" s="36"/>
      <c r="B124" s="36"/>
      <c r="C124" s="36"/>
      <c r="D124" s="250">
        <f t="shared" ref="D124:S124" si="46">SUM(D106:D122)</f>
        <v>9395325.7873794641</v>
      </c>
      <c r="E124" s="250">
        <f t="shared" si="46"/>
        <v>13734939.165180894</v>
      </c>
      <c r="F124" s="250">
        <f t="shared" si="46"/>
        <v>23130264.952560358</v>
      </c>
      <c r="G124" s="250">
        <f t="shared" si="46"/>
        <v>806533.66729009792</v>
      </c>
      <c r="H124" s="250">
        <f t="shared" si="46"/>
        <v>1658217.3325484213</v>
      </c>
      <c r="I124" s="250">
        <f t="shared" si="46"/>
        <v>2464750.9998385198</v>
      </c>
      <c r="J124" s="250">
        <f t="shared" si="46"/>
        <v>25595015.952398878</v>
      </c>
      <c r="K124" s="250">
        <f t="shared" si="46"/>
        <v>0</v>
      </c>
      <c r="L124" s="250">
        <f t="shared" si="46"/>
        <v>0</v>
      </c>
      <c r="M124" s="250">
        <f t="shared" si="46"/>
        <v>0</v>
      </c>
      <c r="N124" s="250">
        <f t="shared" si="46"/>
        <v>0</v>
      </c>
      <c r="O124" s="250">
        <f t="shared" si="46"/>
        <v>0</v>
      </c>
      <c r="P124" s="250">
        <f t="shared" si="46"/>
        <v>0</v>
      </c>
      <c r="Q124" s="250">
        <f t="shared" si="46"/>
        <v>0</v>
      </c>
      <c r="R124" s="250">
        <f t="shared" si="46"/>
        <v>25595015.952398878</v>
      </c>
      <c r="S124" s="1031">
        <f t="shared" si="46"/>
        <v>2184.5833333333335</v>
      </c>
      <c r="T124" s="250">
        <f>AVERAGE(T106:T122)</f>
        <v>12096.220069349907</v>
      </c>
      <c r="U124" s="36"/>
      <c r="V124" s="1032">
        <f t="shared" ref="V124:AI124" si="47">SUM(V106:V122)</f>
        <v>19799166.666666668</v>
      </c>
      <c r="W124" s="1032">
        <f t="shared" si="47"/>
        <v>2046666.6666666665</v>
      </c>
      <c r="X124" s="1033">
        <f t="shared" si="47"/>
        <v>21845833.333333332</v>
      </c>
      <c r="Y124" s="1033">
        <f t="shared" si="47"/>
        <v>36123358.692961812</v>
      </c>
      <c r="Z124" s="1033">
        <f t="shared" si="47"/>
        <v>0</v>
      </c>
      <c r="AA124" s="1033">
        <f t="shared" si="47"/>
        <v>0</v>
      </c>
      <c r="AB124" s="1033">
        <f t="shared" si="47"/>
        <v>14277525.359628476</v>
      </c>
      <c r="AC124" s="1033">
        <f t="shared" si="47"/>
        <v>5221936.4835379347</v>
      </c>
      <c r="AD124" s="1033">
        <f t="shared" si="47"/>
        <v>7608144.3581368802</v>
      </c>
      <c r="AE124" s="1033">
        <f t="shared" si="47"/>
        <v>12830080.841674816</v>
      </c>
      <c r="AF124" s="1033">
        <f t="shared" si="47"/>
        <v>480880.53409541561</v>
      </c>
      <c r="AG124" s="1033">
        <f t="shared" si="47"/>
        <v>966563.98385824321</v>
      </c>
      <c r="AH124" s="1033">
        <f t="shared" si="47"/>
        <v>1447444.5179536589</v>
      </c>
      <c r="AI124" s="1033">
        <f t="shared" si="47"/>
        <v>14277525.359628472</v>
      </c>
      <c r="AJ124" s="1034"/>
      <c r="AK124" s="1033">
        <f>SUM(AK106:AK122)</f>
        <v>36123358.692961819</v>
      </c>
      <c r="AL124" s="296" t="s">
        <v>206</v>
      </c>
      <c r="AM124" s="36"/>
      <c r="AN124" s="235">
        <f>SUM(AN106:AN123)</f>
        <v>2590696.5505957408</v>
      </c>
      <c r="AO124" s="270"/>
      <c r="AP124" s="270"/>
      <c r="AQ124" s="1028"/>
      <c r="AR124" s="1028"/>
      <c r="AS124" s="1028"/>
      <c r="AT124" s="1028"/>
      <c r="AU124" s="36"/>
      <c r="AV124" s="36"/>
      <c r="AW124" s="36"/>
      <c r="AX124" s="36"/>
      <c r="AY124" s="36"/>
      <c r="AZ124" s="36"/>
      <c r="BA124" s="36"/>
      <c r="BB124" s="36"/>
      <c r="BC124" s="36"/>
      <c r="BD124" s="36"/>
    </row>
    <row r="125" spans="1:56" x14ac:dyDescent="0.25">
      <c r="A125" s="36"/>
      <c r="B125" s="36"/>
      <c r="C125" s="36"/>
      <c r="D125" s="36"/>
      <c r="E125" s="36"/>
      <c r="F125" s="234"/>
      <c r="G125" s="234"/>
      <c r="H125" s="36"/>
      <c r="I125" s="36"/>
      <c r="J125" s="36"/>
      <c r="K125" s="36"/>
      <c r="L125" s="36"/>
      <c r="M125" s="36"/>
      <c r="N125" s="36"/>
      <c r="O125" s="36"/>
      <c r="P125" s="36"/>
      <c r="Q125" s="36"/>
      <c r="R125" s="234"/>
      <c r="S125" s="288"/>
      <c r="T125" s="36"/>
      <c r="U125" s="36"/>
      <c r="V125" s="36"/>
      <c r="W125" s="36"/>
      <c r="X125" s="36"/>
      <c r="Y125" s="36"/>
      <c r="Z125" s="36"/>
      <c r="AA125" s="36"/>
      <c r="AB125" s="36"/>
      <c r="AC125" s="36"/>
      <c r="AD125" s="36"/>
      <c r="AE125" s="36"/>
      <c r="AF125" s="36"/>
      <c r="AG125" s="36"/>
      <c r="AH125" s="36"/>
      <c r="AI125" s="36"/>
      <c r="AJ125" s="36"/>
      <c r="AK125" s="36"/>
      <c r="AL125" s="36"/>
      <c r="AM125" s="36"/>
      <c r="AN125" s="36"/>
      <c r="AO125" s="1028"/>
      <c r="AP125" s="1028"/>
      <c r="AQ125" s="1028"/>
      <c r="AR125" s="1028"/>
      <c r="AS125" s="1028"/>
      <c r="AT125" s="1028"/>
      <c r="AU125" s="36"/>
      <c r="AV125" s="36"/>
      <c r="AW125" s="36"/>
      <c r="AX125" s="234"/>
      <c r="AY125" s="234"/>
      <c r="AZ125" s="36"/>
      <c r="BA125" s="36"/>
      <c r="BB125" s="234"/>
      <c r="BC125" s="234"/>
      <c r="BD125" s="234"/>
    </row>
    <row r="126" spans="1:56" x14ac:dyDescent="0.25">
      <c r="A126" s="36"/>
      <c r="B126" s="36"/>
      <c r="C126" s="36"/>
      <c r="D126" s="381" t="s">
        <v>206</v>
      </c>
      <c r="E126" s="381" t="s">
        <v>206</v>
      </c>
      <c r="F126" s="381" t="s">
        <v>206</v>
      </c>
      <c r="G126" s="381" t="s">
        <v>206</v>
      </c>
      <c r="H126" s="381" t="s">
        <v>206</v>
      </c>
      <c r="I126" s="381" t="s">
        <v>206</v>
      </c>
      <c r="J126" s="381" t="s">
        <v>206</v>
      </c>
      <c r="K126" s="381" t="s">
        <v>206</v>
      </c>
      <c r="L126" s="381" t="s">
        <v>206</v>
      </c>
      <c r="M126" s="381" t="s">
        <v>206</v>
      </c>
      <c r="N126" s="381" t="s">
        <v>206</v>
      </c>
      <c r="O126" s="381" t="s">
        <v>206</v>
      </c>
      <c r="P126" s="381" t="s">
        <v>206</v>
      </c>
      <c r="Q126" s="381" t="s">
        <v>206</v>
      </c>
      <c r="R126" s="381" t="s">
        <v>206</v>
      </c>
      <c r="S126" s="233"/>
      <c r="T126" s="298"/>
      <c r="U126" s="36"/>
      <c r="V126" s="298"/>
      <c r="W126" s="298"/>
      <c r="X126" s="298"/>
      <c r="Y126" s="298"/>
      <c r="Z126" s="298"/>
      <c r="AA126" s="298"/>
      <c r="AB126" s="298"/>
      <c r="AC126" s="298"/>
      <c r="AD126" s="298"/>
      <c r="AE126" s="298"/>
      <c r="AF126" s="298"/>
      <c r="AG126" s="298"/>
      <c r="AH126" s="298"/>
      <c r="AI126" s="298"/>
      <c r="AJ126" s="298"/>
      <c r="AK126" s="298"/>
      <c r="AL126" s="36"/>
      <c r="AM126" s="36"/>
      <c r="AN126" s="36"/>
      <c r="AO126" s="36"/>
      <c r="AP126" s="296"/>
      <c r="AQ126" s="36"/>
      <c r="AR126" s="36"/>
      <c r="AS126" s="36"/>
      <c r="AT126" s="36"/>
      <c r="AU126" s="36"/>
      <c r="AV126" s="36"/>
      <c r="AW126" s="36"/>
      <c r="AX126" s="234"/>
      <c r="AY126" s="234"/>
      <c r="AZ126" s="36"/>
      <c r="BA126" s="36"/>
      <c r="BB126" s="234"/>
      <c r="BC126" s="234"/>
      <c r="BD126" s="234"/>
    </row>
    <row r="128" spans="1:56" x14ac:dyDescent="0.25">
      <c r="A128" s="36"/>
      <c r="B128" s="36"/>
      <c r="C128" s="36"/>
      <c r="D128" s="36"/>
      <c r="E128" s="36"/>
      <c r="F128" s="36"/>
      <c r="G128" s="36"/>
      <c r="H128" s="36"/>
      <c r="I128" s="234"/>
      <c r="J128" s="234"/>
      <c r="K128" s="36"/>
      <c r="L128" s="36"/>
      <c r="M128" s="36"/>
      <c r="N128" s="36"/>
      <c r="O128" s="36"/>
      <c r="P128" s="36"/>
      <c r="Q128" s="36"/>
      <c r="R128" s="234"/>
      <c r="S128" s="288"/>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234"/>
      <c r="AY128" s="234"/>
      <c r="AZ128" s="36"/>
      <c r="BA128" s="36"/>
      <c r="BB128" s="234"/>
      <c r="BC128" s="234"/>
      <c r="BD128" s="234"/>
    </row>
    <row r="129" spans="2:56" x14ac:dyDescent="0.25">
      <c r="B129" s="36"/>
      <c r="C129" s="36"/>
      <c r="D129" s="36"/>
      <c r="E129" s="36"/>
      <c r="F129" s="36"/>
      <c r="G129" s="36"/>
      <c r="H129" s="36"/>
      <c r="I129" s="234"/>
      <c r="J129" s="234"/>
      <c r="K129" s="36"/>
      <c r="L129" s="36"/>
      <c r="M129" s="36"/>
      <c r="N129" s="36"/>
      <c r="O129" s="36"/>
      <c r="P129" s="36"/>
      <c r="Q129" s="36"/>
      <c r="R129" s="234" t="s">
        <v>1627</v>
      </c>
      <c r="S129" s="269" t="s">
        <v>1628</v>
      </c>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234"/>
      <c r="AY129" s="234"/>
      <c r="AZ129" s="36"/>
      <c r="BA129" s="36"/>
      <c r="BB129" s="234"/>
      <c r="BC129" s="234"/>
      <c r="BD129" s="234"/>
    </row>
    <row r="130" spans="2:56" ht="13" x14ac:dyDescent="0.3">
      <c r="B130" s="36"/>
      <c r="C130" s="36"/>
      <c r="D130" s="36"/>
      <c r="E130" s="36"/>
      <c r="F130" s="36"/>
      <c r="G130" s="36"/>
      <c r="H130" s="36"/>
      <c r="I130" s="234"/>
      <c r="J130" s="234"/>
      <c r="K130" s="36"/>
      <c r="L130" s="36"/>
      <c r="M130" s="36"/>
      <c r="N130" s="36"/>
      <c r="O130" s="237" t="s">
        <v>205</v>
      </c>
      <c r="P130" s="36"/>
      <c r="Q130" s="36"/>
      <c r="R130" s="1107">
        <v>1450702.9222110419</v>
      </c>
      <c r="S130" s="1108">
        <v>1635422.2145255746</v>
      </c>
      <c r="T130" s="1109">
        <f>R130-S130</f>
        <v>-184719.29231453268</v>
      </c>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234"/>
      <c r="AY130" s="234"/>
      <c r="AZ130" s="36"/>
      <c r="BA130" s="36"/>
      <c r="BB130" s="234"/>
      <c r="BC130" s="234"/>
      <c r="BD130" s="234"/>
    </row>
    <row r="131" spans="2:56" ht="13" x14ac:dyDescent="0.3">
      <c r="B131" s="36"/>
      <c r="C131" s="36"/>
      <c r="D131" s="36"/>
      <c r="E131" s="36"/>
      <c r="F131" s="36"/>
      <c r="G131" s="36"/>
      <c r="H131" s="36"/>
      <c r="I131" s="234"/>
      <c r="J131" s="234"/>
      <c r="K131" s="36"/>
      <c r="L131" s="36"/>
      <c r="M131" s="36"/>
      <c r="N131" s="36"/>
      <c r="O131" s="237" t="s">
        <v>208</v>
      </c>
      <c r="P131" s="36"/>
      <c r="Q131" s="36"/>
      <c r="R131" s="1107">
        <v>1111087.4538852279</v>
      </c>
      <c r="S131" s="1108">
        <v>1110307.5958656566</v>
      </c>
      <c r="T131" s="1109">
        <f t="shared" ref="T131:T147" si="48">R131-S131</f>
        <v>779.85801957128569</v>
      </c>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234"/>
      <c r="AY131" s="234"/>
      <c r="AZ131" s="36"/>
      <c r="BA131" s="36"/>
      <c r="BB131" s="234"/>
      <c r="BC131" s="234"/>
      <c r="BD131" s="234"/>
    </row>
    <row r="132" spans="2:56" ht="13" x14ac:dyDescent="0.3">
      <c r="B132" s="36"/>
      <c r="C132" s="36"/>
      <c r="D132" s="36"/>
      <c r="E132" s="36"/>
      <c r="F132" s="36"/>
      <c r="G132" s="36"/>
      <c r="H132" s="36"/>
      <c r="I132" s="234"/>
      <c r="J132" s="234"/>
      <c r="K132" s="36"/>
      <c r="L132" s="36"/>
      <c r="M132" s="36"/>
      <c r="N132" s="36"/>
      <c r="O132" s="237" t="s">
        <v>209</v>
      </c>
      <c r="P132" s="36"/>
      <c r="Q132" s="36"/>
      <c r="R132" s="1107">
        <v>938087.7152146895</v>
      </c>
      <c r="S132" s="1108">
        <v>968642.14997835143</v>
      </c>
      <c r="T132" s="1109">
        <f t="shared" si="48"/>
        <v>-30554.434763661935</v>
      </c>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234"/>
      <c r="AY132" s="234"/>
      <c r="AZ132" s="36"/>
      <c r="BA132" s="36"/>
      <c r="BB132" s="234"/>
      <c r="BC132" s="234"/>
      <c r="BD132" s="234"/>
    </row>
    <row r="133" spans="2:56" ht="13" x14ac:dyDescent="0.3">
      <c r="B133" s="36" t="s">
        <v>205</v>
      </c>
      <c r="C133" s="36"/>
      <c r="D133" s="1114">
        <v>6.1224489795918366E-2</v>
      </c>
      <c r="E133" s="1114">
        <v>0.42857142857142855</v>
      </c>
      <c r="F133" s="1114">
        <v>7.1428571428571425E-2</v>
      </c>
      <c r="G133" s="1114">
        <v>0.1326530612244898</v>
      </c>
      <c r="H133" s="1114">
        <v>8.1632653061224483E-2</v>
      </c>
      <c r="I133" s="268">
        <v>0.11224489795918367</v>
      </c>
      <c r="J133" s="268">
        <v>0.11224489795918367</v>
      </c>
      <c r="K133" s="36"/>
      <c r="L133" s="36"/>
      <c r="M133" s="36"/>
      <c r="N133" s="36"/>
      <c r="O133" s="237" t="s">
        <v>210</v>
      </c>
      <c r="P133" s="36"/>
      <c r="Q133" s="36"/>
      <c r="R133" s="1107">
        <v>803973.59114669659</v>
      </c>
      <c r="S133" s="1108">
        <v>809291.27659107023</v>
      </c>
      <c r="T133" s="1109">
        <f t="shared" si="48"/>
        <v>-5317.6854443736374</v>
      </c>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234"/>
      <c r="AY133" s="234"/>
      <c r="AZ133" s="36"/>
      <c r="BA133" s="36"/>
      <c r="BB133" s="234"/>
      <c r="BC133" s="234"/>
      <c r="BD133" s="234"/>
    </row>
    <row r="134" spans="2:56" ht="13" x14ac:dyDescent="0.3">
      <c r="B134" s="36" t="s">
        <v>208</v>
      </c>
      <c r="C134" s="36"/>
      <c r="D134" s="1114">
        <v>5.8139534883720929E-2</v>
      </c>
      <c r="E134" s="1114">
        <v>0.38372093023255816</v>
      </c>
      <c r="F134" s="1114">
        <v>9.3023255813953487E-2</v>
      </c>
      <c r="G134" s="1114">
        <v>0.13953488372093023</v>
      </c>
      <c r="H134" s="1114">
        <v>0.11627906976744186</v>
      </c>
      <c r="I134" s="268">
        <v>0.15116279069767441</v>
      </c>
      <c r="J134" s="268">
        <v>5.8139534883720929E-2</v>
      </c>
      <c r="K134" s="36"/>
      <c r="L134" s="36"/>
      <c r="M134" s="36"/>
      <c r="N134" s="36"/>
      <c r="O134" s="237" t="s">
        <v>211</v>
      </c>
      <c r="P134" s="36"/>
      <c r="Q134" s="36"/>
      <c r="R134" s="1107">
        <v>981968.02846039541</v>
      </c>
      <c r="S134" s="1108">
        <v>1043499.875183222</v>
      </c>
      <c r="T134" s="1109">
        <f t="shared" si="48"/>
        <v>-61531.846722826594</v>
      </c>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234"/>
      <c r="AY134" s="234"/>
      <c r="AZ134" s="36"/>
      <c r="BA134" s="36"/>
      <c r="BB134" s="234"/>
      <c r="BC134" s="234"/>
      <c r="BD134" s="234"/>
    </row>
    <row r="135" spans="2:56" ht="13" x14ac:dyDescent="0.3">
      <c r="B135" s="36" t="s">
        <v>209</v>
      </c>
      <c r="C135" s="36"/>
      <c r="D135" s="1114">
        <v>0.13924050632911392</v>
      </c>
      <c r="E135" s="1114">
        <v>0.46835443037974683</v>
      </c>
      <c r="F135" s="1114">
        <v>3.7974683544303799E-2</v>
      </c>
      <c r="G135" s="1114">
        <v>0.11392405063291139</v>
      </c>
      <c r="H135" s="1114">
        <v>3.7974683544303799E-2</v>
      </c>
      <c r="I135" s="268">
        <v>0.15189873417721519</v>
      </c>
      <c r="J135" s="268">
        <v>5.0632911392405063E-2</v>
      </c>
      <c r="K135" s="36"/>
      <c r="L135" s="36"/>
      <c r="M135" s="36"/>
      <c r="N135" s="36"/>
      <c r="O135" s="237" t="s">
        <v>257</v>
      </c>
      <c r="P135" s="36"/>
      <c r="Q135" s="36"/>
      <c r="R135" s="1107">
        <v>1215325.5284515372</v>
      </c>
      <c r="S135" s="1108">
        <v>1215325.5284515372</v>
      </c>
      <c r="T135" s="1109">
        <f t="shared" si="48"/>
        <v>0</v>
      </c>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234"/>
      <c r="AY135" s="234"/>
      <c r="AZ135" s="36"/>
      <c r="BA135" s="36"/>
      <c r="BB135" s="234"/>
      <c r="BC135" s="234"/>
      <c r="BD135" s="234"/>
    </row>
    <row r="136" spans="2:56" ht="13" x14ac:dyDescent="0.3">
      <c r="B136" s="36" t="s">
        <v>211</v>
      </c>
      <c r="C136" s="36"/>
      <c r="D136" s="1114">
        <v>7.1428571428571425E-2</v>
      </c>
      <c r="E136" s="1114">
        <v>0.51190476190476186</v>
      </c>
      <c r="F136" s="1114">
        <v>2.3809523809523808E-2</v>
      </c>
      <c r="G136" s="1114">
        <v>0.17857142857142858</v>
      </c>
      <c r="H136" s="1114">
        <v>8.3333333333333329E-2</v>
      </c>
      <c r="I136" s="268">
        <v>7.1428571428571425E-2</v>
      </c>
      <c r="J136" s="268">
        <v>5.9523809523809521E-2</v>
      </c>
      <c r="K136" s="36"/>
      <c r="L136" s="36"/>
      <c r="M136" s="36"/>
      <c r="N136" s="36"/>
      <c r="O136" s="237" t="s">
        <v>220</v>
      </c>
      <c r="P136" s="36"/>
      <c r="Q136" s="36"/>
      <c r="R136" s="1107">
        <v>997252.27983884769</v>
      </c>
      <c r="S136" s="1108">
        <v>1037445.9249206006</v>
      </c>
      <c r="T136" s="1109">
        <f t="shared" si="48"/>
        <v>-40193.645081752911</v>
      </c>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234"/>
      <c r="AY136" s="234"/>
      <c r="AZ136" s="36"/>
      <c r="BA136" s="36"/>
      <c r="BB136" s="234"/>
      <c r="BC136" s="234"/>
      <c r="BD136" s="234"/>
    </row>
    <row r="137" spans="2:56" ht="13" x14ac:dyDescent="0.3">
      <c r="B137" s="36" t="s">
        <v>257</v>
      </c>
      <c r="C137" s="36"/>
      <c r="D137" s="1114">
        <v>0</v>
      </c>
      <c r="E137" s="1114">
        <v>0</v>
      </c>
      <c r="F137" s="1114">
        <v>1</v>
      </c>
      <c r="G137" s="1114">
        <v>0</v>
      </c>
      <c r="H137" s="1114">
        <v>0</v>
      </c>
      <c r="I137" s="268">
        <v>0</v>
      </c>
      <c r="J137" s="268">
        <v>0</v>
      </c>
      <c r="K137" s="36"/>
      <c r="L137" s="36"/>
      <c r="M137" s="36"/>
      <c r="N137" s="36"/>
      <c r="O137" s="237" t="s">
        <v>212</v>
      </c>
      <c r="P137" s="36"/>
      <c r="Q137" s="36"/>
      <c r="R137" s="1107">
        <v>956233.34251339128</v>
      </c>
      <c r="S137" s="1108">
        <v>1017880.0443109286</v>
      </c>
      <c r="T137" s="1109">
        <f t="shared" si="48"/>
        <v>-61646.701797537273</v>
      </c>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234"/>
      <c r="AY137" s="234"/>
      <c r="AZ137" s="36"/>
      <c r="BA137" s="36"/>
      <c r="BB137" s="234"/>
      <c r="BC137" s="234"/>
      <c r="BD137" s="234"/>
    </row>
    <row r="138" spans="2:56" ht="13" x14ac:dyDescent="0.3">
      <c r="B138" s="36" t="s">
        <v>220</v>
      </c>
      <c r="C138" s="36"/>
      <c r="D138" s="1114">
        <v>0.1388888888888889</v>
      </c>
      <c r="E138" s="1114">
        <v>0.62962962962962965</v>
      </c>
      <c r="F138" s="1114">
        <v>4.6296296296296294E-2</v>
      </c>
      <c r="G138" s="1114">
        <v>0.10185185185185185</v>
      </c>
      <c r="H138" s="1114">
        <v>3.7037037037037035E-2</v>
      </c>
      <c r="I138" s="268">
        <v>3.7037037037037035E-2</v>
      </c>
      <c r="J138" s="268">
        <v>9.2592592592592587E-3</v>
      </c>
      <c r="K138" s="36"/>
      <c r="L138" s="36"/>
      <c r="M138" s="36"/>
      <c r="N138" s="36"/>
      <c r="O138" s="237" t="s">
        <v>221</v>
      </c>
      <c r="P138" s="36"/>
      <c r="Q138" s="36"/>
      <c r="R138" s="1107">
        <v>1102419.9694233148</v>
      </c>
      <c r="S138" s="1108">
        <v>1153797.2462213296</v>
      </c>
      <c r="T138" s="1109">
        <f t="shared" si="48"/>
        <v>-51377.276798014762</v>
      </c>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234"/>
      <c r="AY138" s="234"/>
      <c r="AZ138" s="36"/>
      <c r="BA138" s="36"/>
      <c r="BB138" s="234"/>
      <c r="BC138" s="234"/>
      <c r="BD138" s="234"/>
    </row>
    <row r="139" spans="2:56" ht="13" x14ac:dyDescent="0.3">
      <c r="B139" s="36" t="s">
        <v>212</v>
      </c>
      <c r="C139" s="36"/>
      <c r="D139" s="1114">
        <v>0.11</v>
      </c>
      <c r="E139" s="1114">
        <v>0.64</v>
      </c>
      <c r="F139" s="1114">
        <v>7.0000000000000007E-2</v>
      </c>
      <c r="G139" s="1114">
        <v>0.09</v>
      </c>
      <c r="H139" s="1114">
        <v>0</v>
      </c>
      <c r="I139" s="268">
        <v>0.09</v>
      </c>
      <c r="J139" s="268">
        <v>0</v>
      </c>
      <c r="K139" s="36"/>
      <c r="L139" s="36"/>
      <c r="M139" s="36"/>
      <c r="N139" s="36"/>
      <c r="O139" s="237" t="s">
        <v>213</v>
      </c>
      <c r="P139" s="36"/>
      <c r="Q139" s="36"/>
      <c r="R139" s="1107">
        <v>1484746.1499078074</v>
      </c>
      <c r="S139" s="1108">
        <v>1458580.2296437109</v>
      </c>
      <c r="T139" s="1109">
        <f t="shared" si="48"/>
        <v>26165.920264096465</v>
      </c>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234"/>
      <c r="AY139" s="234"/>
      <c r="AZ139" s="36"/>
      <c r="BA139" s="36"/>
      <c r="BB139" s="234"/>
      <c r="BC139" s="234"/>
      <c r="BD139" s="234"/>
    </row>
    <row r="140" spans="2:56" ht="13" x14ac:dyDescent="0.3">
      <c r="B140" s="36" t="s">
        <v>221</v>
      </c>
      <c r="C140" s="36"/>
      <c r="D140" s="1114">
        <v>0.44444444444444442</v>
      </c>
      <c r="E140" s="1114">
        <v>0.32407407407407407</v>
      </c>
      <c r="F140" s="1114">
        <v>9.2592592592592587E-2</v>
      </c>
      <c r="G140" s="1114">
        <v>4.6296296296296294E-2</v>
      </c>
      <c r="H140" s="1114">
        <v>2.7777777777777776E-2</v>
      </c>
      <c r="I140" s="268">
        <v>5.5555555555555552E-2</v>
      </c>
      <c r="J140" s="268">
        <v>9.2592592592592587E-3</v>
      </c>
      <c r="K140" s="36"/>
      <c r="L140" s="36"/>
      <c r="M140" s="36"/>
      <c r="N140" s="36"/>
      <c r="O140" s="237" t="s">
        <v>214</v>
      </c>
      <c r="P140" s="36"/>
      <c r="Q140" s="36"/>
      <c r="R140" s="1107">
        <v>1234626.8435036717</v>
      </c>
      <c r="S140" s="1108">
        <v>1230417.7710770133</v>
      </c>
      <c r="T140" s="1109">
        <f t="shared" si="48"/>
        <v>4209.0724266583566</v>
      </c>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234"/>
      <c r="AY140" s="234"/>
      <c r="AZ140" s="36"/>
      <c r="BA140" s="36"/>
      <c r="BB140" s="234"/>
      <c r="BC140" s="234"/>
      <c r="BD140" s="234"/>
    </row>
    <row r="141" spans="2:56" ht="13" x14ac:dyDescent="0.3">
      <c r="B141" s="36" t="s">
        <v>213</v>
      </c>
      <c r="C141" s="36"/>
      <c r="D141" s="1114">
        <v>0.33557046979865773</v>
      </c>
      <c r="E141" s="1114">
        <v>0.38926174496644295</v>
      </c>
      <c r="F141" s="1114">
        <v>0.13422818791946309</v>
      </c>
      <c r="G141" s="1114">
        <v>3.3557046979865772E-2</v>
      </c>
      <c r="H141" s="1114">
        <v>2.0134228187919462E-2</v>
      </c>
      <c r="I141" s="268">
        <v>7.3825503355704702E-2</v>
      </c>
      <c r="J141" s="268">
        <v>1.3422818791946308E-2</v>
      </c>
      <c r="K141" s="36"/>
      <c r="L141" s="36"/>
      <c r="M141" s="36"/>
      <c r="N141" s="36"/>
      <c r="O141" s="237" t="s">
        <v>890</v>
      </c>
      <c r="P141" s="36"/>
      <c r="Q141" s="36"/>
      <c r="R141" s="1107">
        <v>1187618.6252122277</v>
      </c>
      <c r="S141" s="1108">
        <v>1187618.6252122277</v>
      </c>
      <c r="T141" s="1109">
        <f t="shared" si="48"/>
        <v>0</v>
      </c>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234"/>
      <c r="AY141" s="234"/>
      <c r="AZ141" s="36"/>
      <c r="BA141" s="36"/>
      <c r="BB141" s="234"/>
      <c r="BC141" s="234"/>
      <c r="BD141" s="234"/>
    </row>
    <row r="142" spans="2:56" ht="13" x14ac:dyDescent="0.3">
      <c r="B142" s="36" t="s">
        <v>214</v>
      </c>
      <c r="C142" s="36"/>
      <c r="D142" s="1114">
        <v>0.16666666666666666</v>
      </c>
      <c r="E142" s="1114">
        <v>0.532258064516129</v>
      </c>
      <c r="F142" s="1114">
        <v>5.9139784946236562E-2</v>
      </c>
      <c r="G142" s="1114">
        <v>7.5268817204301078E-2</v>
      </c>
      <c r="H142" s="1114">
        <v>3.7634408602150539E-2</v>
      </c>
      <c r="I142" s="268">
        <v>8.0645161290322578E-2</v>
      </c>
      <c r="J142" s="268">
        <v>4.8387096774193547E-2</v>
      </c>
      <c r="K142" s="36"/>
      <c r="L142" s="36"/>
      <c r="M142" s="36"/>
      <c r="N142" s="36"/>
      <c r="O142" s="237" t="s">
        <v>1043</v>
      </c>
      <c r="P142" s="36"/>
      <c r="Q142" s="36"/>
      <c r="R142" s="1107">
        <v>1571737.0564844753</v>
      </c>
      <c r="S142" s="1108">
        <v>1571737.0564844753</v>
      </c>
      <c r="T142" s="1109">
        <f t="shared" si="48"/>
        <v>0</v>
      </c>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234"/>
      <c r="AY142" s="234"/>
      <c r="AZ142" s="36"/>
      <c r="BA142" s="36"/>
      <c r="BB142" s="234"/>
      <c r="BC142" s="234"/>
      <c r="BD142" s="234"/>
    </row>
    <row r="143" spans="2:56" ht="13" x14ac:dyDescent="0.3">
      <c r="B143" s="36" t="s">
        <v>890</v>
      </c>
      <c r="C143" s="36"/>
      <c r="D143" s="1114">
        <v>0</v>
      </c>
      <c r="E143" s="1114">
        <v>0</v>
      </c>
      <c r="F143" s="1114">
        <v>1</v>
      </c>
      <c r="G143" s="1114">
        <v>0</v>
      </c>
      <c r="H143" s="1114">
        <v>0</v>
      </c>
      <c r="I143" s="268">
        <v>0</v>
      </c>
      <c r="J143" s="268">
        <v>0</v>
      </c>
      <c r="K143" s="36"/>
      <c r="L143" s="36"/>
      <c r="M143" s="36"/>
      <c r="N143" s="36"/>
      <c r="O143" s="237" t="s">
        <v>1046</v>
      </c>
      <c r="P143" s="36"/>
      <c r="Q143" s="36"/>
      <c r="R143" s="1107">
        <v>1070493.9887915095</v>
      </c>
      <c r="S143" s="1108">
        <v>1070493.9887915095</v>
      </c>
      <c r="T143" s="1109">
        <f t="shared" si="48"/>
        <v>0</v>
      </c>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234"/>
      <c r="AY143" s="234"/>
      <c r="AZ143" s="36"/>
      <c r="BA143" s="36"/>
      <c r="BB143" s="234"/>
      <c r="BC143" s="234"/>
      <c r="BD143" s="234"/>
    </row>
    <row r="144" spans="2:56" ht="13" x14ac:dyDescent="0.3">
      <c r="B144" s="36" t="s">
        <v>1043</v>
      </c>
      <c r="C144" s="36"/>
      <c r="D144" s="1114">
        <v>0</v>
      </c>
      <c r="E144" s="1114">
        <v>0</v>
      </c>
      <c r="F144" s="1114">
        <v>1</v>
      </c>
      <c r="G144" s="1114">
        <v>0</v>
      </c>
      <c r="H144" s="1114">
        <v>0</v>
      </c>
      <c r="I144" s="268">
        <v>0</v>
      </c>
      <c r="J144" s="268">
        <v>0</v>
      </c>
      <c r="K144" s="36"/>
      <c r="L144" s="36"/>
      <c r="M144" s="36"/>
      <c r="N144" s="36"/>
      <c r="O144" s="237" t="s">
        <v>215</v>
      </c>
      <c r="P144" s="36"/>
      <c r="Q144" s="36"/>
      <c r="R144" s="1107">
        <v>1590171.732654036</v>
      </c>
      <c r="S144" s="1108">
        <v>1618611.5745486002</v>
      </c>
      <c r="T144" s="1109">
        <f t="shared" si="48"/>
        <v>-28439.841894564219</v>
      </c>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234"/>
      <c r="AY144" s="234"/>
      <c r="AZ144" s="36"/>
      <c r="BA144" s="36"/>
      <c r="BB144" s="234"/>
      <c r="BC144" s="234"/>
      <c r="BD144" s="234"/>
    </row>
    <row r="145" spans="2:20" ht="13" x14ac:dyDescent="0.3">
      <c r="B145" s="36" t="s">
        <v>1046</v>
      </c>
      <c r="C145" s="36"/>
      <c r="D145" s="1114">
        <v>0</v>
      </c>
      <c r="E145" s="1114">
        <v>0</v>
      </c>
      <c r="F145" s="1114">
        <v>1</v>
      </c>
      <c r="G145" s="1114">
        <v>0</v>
      </c>
      <c r="H145" s="1114">
        <v>0</v>
      </c>
      <c r="I145" s="268">
        <v>0</v>
      </c>
      <c r="J145" s="268">
        <v>0</v>
      </c>
      <c r="K145" s="36"/>
      <c r="L145" s="36"/>
      <c r="M145" s="36"/>
      <c r="N145" s="36"/>
      <c r="O145" s="237" t="s">
        <v>216</v>
      </c>
      <c r="P145" s="36"/>
      <c r="Q145" s="36"/>
      <c r="R145" s="1107">
        <v>1676380.6480545243</v>
      </c>
      <c r="S145" s="1108">
        <v>1721195.0373406732</v>
      </c>
      <c r="T145" s="1109">
        <f t="shared" si="48"/>
        <v>-44814.389286148828</v>
      </c>
    </row>
    <row r="146" spans="2:20" ht="13" x14ac:dyDescent="0.3">
      <c r="B146" s="36" t="s">
        <v>215</v>
      </c>
      <c r="C146" s="36"/>
      <c r="D146" s="1114">
        <v>9.2436974789915971E-2</v>
      </c>
      <c r="E146" s="1114">
        <v>0.44537815126050423</v>
      </c>
      <c r="F146" s="1114">
        <v>7.5630252100840331E-2</v>
      </c>
      <c r="G146" s="1114">
        <v>9.2436974789915971E-2</v>
      </c>
      <c r="H146" s="1114">
        <v>9.2436974789915971E-2</v>
      </c>
      <c r="I146" s="268">
        <v>7.5630252100840331E-2</v>
      </c>
      <c r="J146" s="268">
        <v>0.12605042016806722</v>
      </c>
      <c r="K146" s="36"/>
      <c r="L146" s="36"/>
      <c r="M146" s="36"/>
      <c r="N146" s="36"/>
      <c r="O146" s="237" t="s">
        <v>217</v>
      </c>
      <c r="P146" s="36"/>
      <c r="Q146" s="36"/>
      <c r="R146" s="1107">
        <v>2226865.9728884418</v>
      </c>
      <c r="S146" s="1108">
        <v>2200327.8220654116</v>
      </c>
      <c r="T146" s="1109">
        <f t="shared" si="48"/>
        <v>26538.150823030155</v>
      </c>
    </row>
    <row r="147" spans="2:20" ht="13" x14ac:dyDescent="0.3">
      <c r="B147" s="36" t="s">
        <v>216</v>
      </c>
      <c r="C147" s="36"/>
      <c r="D147" s="1114">
        <v>0.25146198830409355</v>
      </c>
      <c r="E147" s="1114">
        <v>0.47368421052631576</v>
      </c>
      <c r="F147" s="1114">
        <v>9.3567251461988299E-2</v>
      </c>
      <c r="G147" s="1114">
        <v>7.6023391812865493E-2</v>
      </c>
      <c r="H147" s="1114">
        <v>3.5087719298245612E-2</v>
      </c>
      <c r="I147" s="268">
        <v>5.8479532163742687E-2</v>
      </c>
      <c r="J147" s="268">
        <v>1.1695906432748537E-2</v>
      </c>
      <c r="K147" s="36"/>
      <c r="L147" s="36"/>
      <c r="M147" s="36"/>
      <c r="N147" s="36"/>
      <c r="O147" s="237" t="s">
        <v>219</v>
      </c>
      <c r="P147" s="36"/>
      <c r="Q147" s="36"/>
      <c r="R147" s="1107">
        <v>2366444.7040477116</v>
      </c>
      <c r="S147" s="1108">
        <v>2365878.4006585167</v>
      </c>
      <c r="T147" s="1109">
        <f t="shared" si="48"/>
        <v>566.30338919488713</v>
      </c>
    </row>
    <row r="148" spans="2:20" x14ac:dyDescent="0.25">
      <c r="B148" s="36" t="s">
        <v>217</v>
      </c>
      <c r="C148" s="36"/>
      <c r="D148" s="1114">
        <v>0.31555555555555553</v>
      </c>
      <c r="E148" s="1114">
        <v>0.38666666666666666</v>
      </c>
      <c r="F148" s="1114">
        <v>1.7777777777777778E-2</v>
      </c>
      <c r="G148" s="1114">
        <v>9.3333333333333338E-2</v>
      </c>
      <c r="H148" s="1114">
        <v>1.7777777777777778E-2</v>
      </c>
      <c r="I148" s="268">
        <v>0.16</v>
      </c>
      <c r="J148" s="268">
        <v>8.8888888888888889E-3</v>
      </c>
      <c r="K148" s="36"/>
      <c r="L148" s="36"/>
      <c r="M148" s="36"/>
      <c r="N148" s="36"/>
      <c r="O148" s="36"/>
      <c r="P148" s="36"/>
      <c r="Q148" s="36"/>
      <c r="R148" s="234"/>
      <c r="S148" s="288"/>
      <c r="T148" s="36"/>
    </row>
    <row r="149" spans="2:20" x14ac:dyDescent="0.25">
      <c r="B149" s="36" t="s">
        <v>219</v>
      </c>
      <c r="C149" s="36"/>
      <c r="D149" s="1114">
        <v>0.15337423312883436</v>
      </c>
      <c r="E149" s="1114">
        <v>0.19018404907975461</v>
      </c>
      <c r="F149" s="1114">
        <v>1.2269938650306749E-2</v>
      </c>
      <c r="G149" s="1114">
        <v>0.22699386503067484</v>
      </c>
      <c r="H149" s="1114">
        <v>0.18404907975460122</v>
      </c>
      <c r="I149" s="268">
        <v>1.8404907975460124E-2</v>
      </c>
      <c r="J149" s="268">
        <v>0.21472392638036811</v>
      </c>
      <c r="K149" s="36"/>
      <c r="L149" s="36"/>
      <c r="M149" s="36"/>
      <c r="N149" s="36"/>
      <c r="O149" s="36"/>
      <c r="P149" s="36"/>
      <c r="Q149" s="36"/>
      <c r="R149" s="234"/>
      <c r="S149" s="288"/>
      <c r="T149" s="235">
        <f>SUM(T130:T148)</f>
        <v>-450335.80918086169</v>
      </c>
    </row>
    <row r="153" spans="2:20" x14ac:dyDescent="0.25">
      <c r="B153" s="36" t="s">
        <v>205</v>
      </c>
      <c r="C153" s="36"/>
      <c r="D153" s="1114">
        <f t="shared" ref="D153:J162" si="49">D69-D133</f>
        <v>4.9886621315192739E-2</v>
      </c>
      <c r="E153" s="1293">
        <f t="shared" si="49"/>
        <v>5.555555555555558E-2</v>
      </c>
      <c r="F153" s="1293">
        <f t="shared" si="49"/>
        <v>-7.9365079365079361E-3</v>
      </c>
      <c r="G153" s="1293">
        <f t="shared" si="49"/>
        <v>-2.9478458049886636E-2</v>
      </c>
      <c r="H153" s="1293">
        <f t="shared" si="49"/>
        <v>-1.8140589569160995E-2</v>
      </c>
      <c r="I153" s="1293">
        <f t="shared" si="49"/>
        <v>-3.2879818594104313E-2</v>
      </c>
      <c r="J153" s="1293">
        <f t="shared" si="49"/>
        <v>-1.700680272108844E-2</v>
      </c>
      <c r="K153" s="36"/>
      <c r="L153" s="36"/>
      <c r="M153" s="36"/>
      <c r="N153" s="36"/>
      <c r="O153" s="36"/>
      <c r="P153" s="36"/>
      <c r="Q153" s="36"/>
      <c r="R153" s="234"/>
      <c r="S153" s="288"/>
      <c r="T153" s="36"/>
    </row>
    <row r="154" spans="2:20" x14ac:dyDescent="0.25">
      <c r="B154" s="36" t="s">
        <v>208</v>
      </c>
      <c r="C154" s="36"/>
      <c r="D154" s="1293">
        <f t="shared" si="49"/>
        <v>2.6367507369800196E-2</v>
      </c>
      <c r="E154" s="1293">
        <f t="shared" si="49"/>
        <v>2.4729773992793969E-2</v>
      </c>
      <c r="F154" s="1293">
        <f t="shared" si="49"/>
        <v>-8.5162135604323619E-3</v>
      </c>
      <c r="G154" s="1293">
        <f t="shared" si="49"/>
        <v>-4.0943334425155589E-2</v>
      </c>
      <c r="H154" s="1293">
        <f t="shared" si="49"/>
        <v>-3.6030134294136873E-3</v>
      </c>
      <c r="I154" s="1293">
        <f t="shared" si="49"/>
        <v>3.7667867671143107E-3</v>
      </c>
      <c r="J154" s="1293">
        <f t="shared" si="49"/>
        <v>-1.8015067147068436E-3</v>
      </c>
      <c r="K154" s="36"/>
      <c r="L154" s="36"/>
      <c r="M154" s="36"/>
      <c r="N154" s="36"/>
      <c r="O154" s="36"/>
      <c r="P154" s="36"/>
      <c r="Q154" s="36"/>
      <c r="R154" s="234"/>
      <c r="S154" s="288"/>
      <c r="T154" s="36"/>
    </row>
    <row r="155" spans="2:20" x14ac:dyDescent="0.25">
      <c r="B155" s="36" t="s">
        <v>209</v>
      </c>
      <c r="C155" s="36"/>
      <c r="D155" s="1293">
        <f t="shared" si="49"/>
        <v>-5.9071729957805852E-3</v>
      </c>
      <c r="E155" s="1293">
        <f t="shared" si="49"/>
        <v>6.4978902953586493E-2</v>
      </c>
      <c r="F155" s="1293">
        <f t="shared" si="49"/>
        <v>6.4697609001406475E-3</v>
      </c>
      <c r="G155" s="1293">
        <f t="shared" si="49"/>
        <v>-2.8129395218002839E-3</v>
      </c>
      <c r="H155" s="1293">
        <f t="shared" si="49"/>
        <v>-2.6863572433192685E-2</v>
      </c>
      <c r="I155" s="1293">
        <f t="shared" si="49"/>
        <v>-2.9676511954992976E-2</v>
      </c>
      <c r="J155" s="1293">
        <f t="shared" si="49"/>
        <v>-6.1884669479606164E-3</v>
      </c>
      <c r="K155" s="36"/>
      <c r="L155" s="36"/>
      <c r="M155" s="36"/>
      <c r="N155" s="36"/>
      <c r="O155" s="36"/>
      <c r="P155" s="36"/>
      <c r="Q155" s="36"/>
      <c r="R155" s="234"/>
      <c r="S155" s="288"/>
      <c r="T155" s="36"/>
    </row>
    <row r="156" spans="2:20" x14ac:dyDescent="0.25">
      <c r="B156" s="36" t="s">
        <v>211</v>
      </c>
      <c r="C156" s="36"/>
      <c r="D156" s="1293">
        <f t="shared" si="49"/>
        <v>1.0924369747899162E-2</v>
      </c>
      <c r="E156" s="1293">
        <f t="shared" si="49"/>
        <v>2.9271708683473396E-2</v>
      </c>
      <c r="F156" s="1293">
        <f t="shared" si="49"/>
        <v>-1.2044817927170867E-2</v>
      </c>
      <c r="G156" s="1293">
        <f t="shared" si="49"/>
        <v>-2.1008403361344463E-3</v>
      </c>
      <c r="H156" s="1293">
        <f t="shared" si="49"/>
        <v>-1.2745098039215683E-2</v>
      </c>
      <c r="I156" s="1293">
        <f t="shared" si="49"/>
        <v>-2.4369747899159661E-2</v>
      </c>
      <c r="J156" s="1293">
        <f t="shared" si="49"/>
        <v>1.1064425770308126E-2</v>
      </c>
      <c r="K156" s="36"/>
      <c r="L156" s="36"/>
      <c r="M156" s="36"/>
      <c r="N156" s="36"/>
      <c r="O156" s="36"/>
      <c r="P156" s="36"/>
      <c r="Q156" s="36"/>
      <c r="R156" s="234"/>
      <c r="S156" s="288"/>
      <c r="T156" s="36"/>
    </row>
    <row r="157" spans="2:20" x14ac:dyDescent="0.25">
      <c r="B157" s="36" t="s">
        <v>257</v>
      </c>
      <c r="C157" s="36"/>
      <c r="D157" s="1293">
        <f t="shared" si="49"/>
        <v>0</v>
      </c>
      <c r="E157" s="1293">
        <f t="shared" si="49"/>
        <v>0</v>
      </c>
      <c r="F157" s="1293">
        <f t="shared" si="49"/>
        <v>0</v>
      </c>
      <c r="G157" s="1293">
        <f t="shared" si="49"/>
        <v>0</v>
      </c>
      <c r="H157" s="1293">
        <f t="shared" si="49"/>
        <v>0</v>
      </c>
      <c r="I157" s="1293">
        <f t="shared" si="49"/>
        <v>0</v>
      </c>
      <c r="J157" s="1293">
        <f t="shared" si="49"/>
        <v>0</v>
      </c>
      <c r="K157" s="36"/>
      <c r="L157" s="36"/>
      <c r="M157" s="36"/>
      <c r="N157" s="36"/>
      <c r="O157" s="36"/>
      <c r="P157" s="36"/>
      <c r="Q157" s="36"/>
      <c r="R157" s="234"/>
      <c r="S157" s="288"/>
      <c r="T157" s="36"/>
    </row>
    <row r="158" spans="2:20" x14ac:dyDescent="0.25">
      <c r="B158" s="36" t="s">
        <v>220</v>
      </c>
      <c r="C158" s="36"/>
      <c r="D158" s="1293">
        <f t="shared" si="49"/>
        <v>-3.7537537537537524E-3</v>
      </c>
      <c r="E158" s="1293">
        <f t="shared" si="49"/>
        <v>4.6046046046046007E-2</v>
      </c>
      <c r="F158" s="1293">
        <f t="shared" si="49"/>
        <v>-3.7287287287287287E-2</v>
      </c>
      <c r="G158" s="1293">
        <f t="shared" si="49"/>
        <v>-1.176176176176176E-2</v>
      </c>
      <c r="H158" s="1293">
        <f t="shared" si="49"/>
        <v>8.0080080080080079E-3</v>
      </c>
      <c r="I158" s="1293">
        <f t="shared" si="49"/>
        <v>-1.0010010010010006E-2</v>
      </c>
      <c r="J158" s="1293">
        <f t="shared" si="49"/>
        <v>8.7587587587587591E-3</v>
      </c>
      <c r="K158" s="36"/>
      <c r="L158" s="36"/>
      <c r="M158" s="36"/>
      <c r="N158" s="36"/>
      <c r="O158" s="36"/>
      <c r="P158" s="36"/>
      <c r="Q158" s="36"/>
      <c r="R158" s="234"/>
      <c r="S158" s="288"/>
      <c r="T158" s="36"/>
    </row>
    <row r="159" spans="2:20" x14ac:dyDescent="0.25">
      <c r="B159" s="36" t="s">
        <v>212</v>
      </c>
      <c r="C159" s="36"/>
      <c r="D159" s="1293">
        <f t="shared" si="49"/>
        <v>4.8415841584158417E-2</v>
      </c>
      <c r="E159" s="1293">
        <f t="shared" si="49"/>
        <v>-1.6237623762376252E-2</v>
      </c>
      <c r="F159" s="1293">
        <f t="shared" si="49"/>
        <v>-2.0495049504950499E-2</v>
      </c>
      <c r="G159" s="1293">
        <f t="shared" si="49"/>
        <v>1.8910891089108914E-2</v>
      </c>
      <c r="H159" s="1293">
        <f t="shared" si="49"/>
        <v>0</v>
      </c>
      <c r="I159" s="1293">
        <f t="shared" si="49"/>
        <v>-3.0594059405940593E-2</v>
      </c>
      <c r="J159" s="1293">
        <f t="shared" si="49"/>
        <v>0</v>
      </c>
      <c r="K159" s="36"/>
      <c r="L159" s="36"/>
      <c r="M159" s="36"/>
      <c r="N159" s="36"/>
      <c r="O159" s="36"/>
      <c r="P159" s="36"/>
      <c r="Q159" s="36"/>
      <c r="R159" s="234"/>
      <c r="S159" s="288"/>
      <c r="T159" s="36"/>
    </row>
    <row r="160" spans="2:20" x14ac:dyDescent="0.25">
      <c r="B160" s="36" t="s">
        <v>221</v>
      </c>
      <c r="C160" s="36"/>
      <c r="D160" s="1293">
        <f t="shared" si="49"/>
        <v>-1.7094017094017089E-2</v>
      </c>
      <c r="E160" s="1293">
        <f t="shared" si="49"/>
        <v>2.6353276353276334E-2</v>
      </c>
      <c r="F160" s="1293">
        <f t="shared" si="49"/>
        <v>1.4245014245014287E-3</v>
      </c>
      <c r="G160" s="1293">
        <f t="shared" si="49"/>
        <v>4.9857549857549865E-3</v>
      </c>
      <c r="H160" s="1293">
        <f t="shared" si="49"/>
        <v>-2.1367521367521361E-3</v>
      </c>
      <c r="I160" s="1293">
        <f t="shared" si="49"/>
        <v>-1.2820512820512817E-2</v>
      </c>
      <c r="J160" s="1293">
        <f t="shared" si="49"/>
        <v>-7.1225071225071088E-4</v>
      </c>
      <c r="K160" s="36"/>
      <c r="L160" s="36"/>
      <c r="M160" s="36"/>
      <c r="N160" s="36"/>
      <c r="O160" s="36"/>
      <c r="P160" s="36"/>
      <c r="Q160" s="36"/>
      <c r="R160" s="234"/>
      <c r="S160" s="288"/>
      <c r="T160" s="36"/>
    </row>
    <row r="161" spans="2:10" x14ac:dyDescent="0.25">
      <c r="B161" s="36" t="s">
        <v>213</v>
      </c>
      <c r="C161" s="36"/>
      <c r="D161" s="1293">
        <f t="shared" si="49"/>
        <v>-6.1180225896218687E-2</v>
      </c>
      <c r="E161" s="1293">
        <f t="shared" si="49"/>
        <v>4.9762645277459494E-2</v>
      </c>
      <c r="F161" s="1293">
        <f t="shared" si="49"/>
        <v>-8.1846456048445537E-5</v>
      </c>
      <c r="G161" s="1293">
        <f t="shared" si="49"/>
        <v>3.0283188737927624E-3</v>
      </c>
      <c r="H161" s="1293">
        <f t="shared" si="49"/>
        <v>4.2560157145195635E-3</v>
      </c>
      <c r="I161" s="1293">
        <f t="shared" si="49"/>
        <v>5.4427893272221278E-3</v>
      </c>
      <c r="J161" s="1293">
        <f t="shared" si="49"/>
        <v>-1.2276968407267958E-3</v>
      </c>
    </row>
    <row r="162" spans="2:10" x14ac:dyDescent="0.25">
      <c r="B162" s="36" t="s">
        <v>214</v>
      </c>
      <c r="C162" s="36"/>
      <c r="D162" s="1293">
        <f t="shared" si="49"/>
        <v>5.9221658206429773E-3</v>
      </c>
      <c r="E162" s="1293">
        <f t="shared" si="49"/>
        <v>-2.4643851318159493E-2</v>
      </c>
      <c r="F162" s="1293">
        <f t="shared" si="49"/>
        <v>6.850062769499482E-3</v>
      </c>
      <c r="G162" s="1293">
        <f t="shared" si="49"/>
        <v>5.9494569073740428E-3</v>
      </c>
      <c r="H162" s="1293">
        <f t="shared" si="49"/>
        <v>-2.1014136782926685E-3</v>
      </c>
      <c r="I162" s="1293">
        <f t="shared" si="49"/>
        <v>5.6492549533322389E-3</v>
      </c>
      <c r="J162" s="1293">
        <f t="shared" si="49"/>
        <v>2.3743245456034068E-3</v>
      </c>
    </row>
    <row r="163" spans="2:10" x14ac:dyDescent="0.25">
      <c r="B163" s="36" t="s">
        <v>890</v>
      </c>
      <c r="C163" s="36"/>
      <c r="D163" s="1293">
        <f t="shared" ref="D163:J169" si="50">D79-D143</f>
        <v>0</v>
      </c>
      <c r="E163" s="1293">
        <f t="shared" si="50"/>
        <v>0</v>
      </c>
      <c r="F163" s="1293">
        <f t="shared" si="50"/>
        <v>0</v>
      </c>
      <c r="G163" s="1293">
        <f t="shared" si="50"/>
        <v>0</v>
      </c>
      <c r="H163" s="1293">
        <f t="shared" si="50"/>
        <v>0</v>
      </c>
      <c r="I163" s="1293">
        <f t="shared" si="50"/>
        <v>0</v>
      </c>
      <c r="J163" s="1293">
        <f t="shared" si="50"/>
        <v>0</v>
      </c>
    </row>
    <row r="164" spans="2:10" x14ac:dyDescent="0.25">
      <c r="B164" s="36" t="s">
        <v>1043</v>
      </c>
      <c r="C164" s="36"/>
      <c r="D164" s="1293">
        <f t="shared" si="50"/>
        <v>0</v>
      </c>
      <c r="E164" s="1293">
        <f t="shared" si="50"/>
        <v>0</v>
      </c>
      <c r="F164" s="1293">
        <f t="shared" si="50"/>
        <v>0</v>
      </c>
      <c r="G164" s="1293">
        <f t="shared" si="50"/>
        <v>0</v>
      </c>
      <c r="H164" s="1293">
        <f t="shared" si="50"/>
        <v>0</v>
      </c>
      <c r="I164" s="1293">
        <f t="shared" si="50"/>
        <v>0</v>
      </c>
      <c r="J164" s="1293">
        <f t="shared" si="50"/>
        <v>0</v>
      </c>
    </row>
    <row r="165" spans="2:10" x14ac:dyDescent="0.25">
      <c r="B165" s="36" t="s">
        <v>1046</v>
      </c>
      <c r="C165" s="36"/>
      <c r="D165" s="1293">
        <f t="shared" si="50"/>
        <v>0</v>
      </c>
      <c r="E165" s="1293">
        <f t="shared" si="50"/>
        <v>0</v>
      </c>
      <c r="F165" s="1293">
        <f t="shared" si="50"/>
        <v>0</v>
      </c>
      <c r="G165" s="1293">
        <f t="shared" si="50"/>
        <v>0</v>
      </c>
      <c r="H165" s="1293">
        <f t="shared" si="50"/>
        <v>0</v>
      </c>
      <c r="I165" s="1293">
        <f t="shared" si="50"/>
        <v>0</v>
      </c>
      <c r="J165" s="1293">
        <f t="shared" si="50"/>
        <v>0</v>
      </c>
    </row>
    <row r="166" spans="2:10" x14ac:dyDescent="0.25">
      <c r="B166" s="36" t="s">
        <v>215</v>
      </c>
      <c r="C166" s="36"/>
      <c r="D166" s="1293">
        <f t="shared" si="50"/>
        <v>-2.2730403636864599E-3</v>
      </c>
      <c r="E166" s="1293">
        <f t="shared" si="50"/>
        <v>1.3638242182118732E-2</v>
      </c>
      <c r="F166" s="1293">
        <f t="shared" si="50"/>
        <v>-1.0056481609037049E-2</v>
      </c>
      <c r="G166" s="1293">
        <f t="shared" si="50"/>
        <v>-1.0469761675161879E-2</v>
      </c>
      <c r="H166" s="1293">
        <f t="shared" si="50"/>
        <v>-2.2730403636864599E-3</v>
      </c>
      <c r="I166" s="1293">
        <f t="shared" si="50"/>
        <v>-1.0056481609037049E-2</v>
      </c>
      <c r="J166" s="1293">
        <f t="shared" si="50"/>
        <v>2.1490563438490151E-2</v>
      </c>
    </row>
    <row r="167" spans="2:10" x14ac:dyDescent="0.25">
      <c r="B167" s="36" t="s">
        <v>216</v>
      </c>
      <c r="C167" s="36"/>
      <c r="D167" s="1293">
        <f t="shared" si="50"/>
        <v>-3.9697282421740615E-2</v>
      </c>
      <c r="E167" s="1293">
        <f t="shared" si="50"/>
        <v>4.9845201238390147E-2</v>
      </c>
      <c r="F167" s="1293">
        <f t="shared" si="50"/>
        <v>1.231510147918817E-2</v>
      </c>
      <c r="G167" s="1293">
        <f t="shared" si="50"/>
        <v>-5.4351565187478468E-3</v>
      </c>
      <c r="H167" s="1293">
        <f t="shared" si="50"/>
        <v>-5.6759545923632596E-3</v>
      </c>
      <c r="I167" s="1293">
        <f t="shared" si="50"/>
        <v>-1.1420708634330923E-2</v>
      </c>
      <c r="J167" s="1293">
        <f t="shared" si="50"/>
        <v>6.8799449604403651E-5</v>
      </c>
    </row>
    <row r="168" spans="2:10" x14ac:dyDescent="0.25">
      <c r="B168" s="36" t="s">
        <v>217</v>
      </c>
      <c r="C168" s="36"/>
      <c r="D168" s="1293">
        <f t="shared" si="50"/>
        <v>-4.5644051130776797E-2</v>
      </c>
      <c r="E168" s="1293">
        <f t="shared" si="50"/>
        <v>3.3687315634218284E-2</v>
      </c>
      <c r="F168" s="1293">
        <f t="shared" si="50"/>
        <v>4.3461160275319564E-3</v>
      </c>
      <c r="G168" s="1293">
        <f t="shared" si="50"/>
        <v>-4.8377581120944008E-3</v>
      </c>
      <c r="H168" s="1293">
        <f t="shared" si="50"/>
        <v>4.3461160275319564E-3</v>
      </c>
      <c r="I168" s="1293">
        <f t="shared" si="50"/>
        <v>-7.0796460176991705E-4</v>
      </c>
      <c r="J168" s="1293">
        <f t="shared" si="50"/>
        <v>8.8102261553588985E-3</v>
      </c>
    </row>
    <row r="169" spans="2:10" x14ac:dyDescent="0.25">
      <c r="B169" s="36" t="s">
        <v>219</v>
      </c>
      <c r="C169" s="36"/>
      <c r="D169" s="1293">
        <f t="shared" si="50"/>
        <v>-3.4624233128834364E-2</v>
      </c>
      <c r="E169" s="1293">
        <f t="shared" si="50"/>
        <v>2.2315950920245381E-2</v>
      </c>
      <c r="F169" s="1293">
        <f t="shared" si="50"/>
        <v>2.3006134969325194E-4</v>
      </c>
      <c r="G169" s="1293">
        <f t="shared" si="50"/>
        <v>1.6756134969325154E-2</v>
      </c>
      <c r="H169" s="1293">
        <f t="shared" si="50"/>
        <v>-2.7990797546012247E-3</v>
      </c>
      <c r="I169" s="1293">
        <f t="shared" si="50"/>
        <v>3.4509202453987531E-4</v>
      </c>
      <c r="J169" s="1293">
        <f t="shared" si="50"/>
        <v>-2.2239263803681131E-3</v>
      </c>
    </row>
    <row r="170" spans="2:10" x14ac:dyDescent="0.25">
      <c r="B170" s="36"/>
      <c r="C170" s="36"/>
      <c r="D170" s="1294" t="s">
        <v>901</v>
      </c>
      <c r="E170" s="1294" t="s">
        <v>902</v>
      </c>
      <c r="F170" s="1294" t="s">
        <v>903</v>
      </c>
      <c r="G170" s="1294" t="s">
        <v>904</v>
      </c>
      <c r="H170" s="1294" t="s">
        <v>905</v>
      </c>
      <c r="I170" s="1294" t="s">
        <v>906</v>
      </c>
      <c r="J170" s="1294" t="s">
        <v>907</v>
      </c>
    </row>
    <row r="171" spans="2:10" x14ac:dyDescent="0.25">
      <c r="B171" s="36"/>
      <c r="C171" s="36"/>
      <c r="D171" s="268">
        <f t="shared" ref="D171:J171" si="51">SUM(D153:D169)</f>
        <v>-6.8657270947114865E-2</v>
      </c>
      <c r="E171" s="1295">
        <f t="shared" si="51"/>
        <v>0.3753031437566281</v>
      </c>
      <c r="F171" s="1295">
        <f t="shared" si="51"/>
        <v>-6.47826003308795E-2</v>
      </c>
      <c r="G171" s="1295">
        <f t="shared" si="51"/>
        <v>-5.8209453575386982E-2</v>
      </c>
      <c r="H171" s="1295">
        <f t="shared" si="51"/>
        <v>-5.9728374246619267E-2</v>
      </c>
      <c r="I171" s="1295">
        <f t="shared" si="51"/>
        <v>-0.14733189245764972</v>
      </c>
      <c r="J171" s="1295">
        <f t="shared" si="51"/>
        <v>2.3406447801022225E-2</v>
      </c>
    </row>
  </sheetData>
  <mergeCells count="9">
    <mergeCell ref="O4:P4"/>
    <mergeCell ref="O25:P25"/>
    <mergeCell ref="O46:P46"/>
    <mergeCell ref="O67:P67"/>
    <mergeCell ref="D104:F104"/>
    <mergeCell ref="G104:I104"/>
    <mergeCell ref="K104:M104"/>
    <mergeCell ref="N104:P104"/>
    <mergeCell ref="AK104:AK105"/>
  </mergeCell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A9575-CCA9-4832-82F7-CB54010B3426}">
  <sheetPr>
    <tabColor rgb="FFFFFF00"/>
  </sheetPr>
  <dimension ref="B2:Y71"/>
  <sheetViews>
    <sheetView topLeftCell="A5" workbookViewId="0">
      <selection activeCell="J10" sqref="J10"/>
    </sheetView>
  </sheetViews>
  <sheetFormatPr defaultRowHeight="12.5" x14ac:dyDescent="0.25"/>
  <cols>
    <col min="5" max="5" width="8.54296875" bestFit="1" customWidth="1"/>
    <col min="21" max="21" width="8.7265625" style="2"/>
    <col min="24" max="24" width="10.54296875" bestFit="1" customWidth="1"/>
    <col min="25" max="25" width="9.1796875" style="2"/>
  </cols>
  <sheetData>
    <row r="2" spans="2:25" ht="13" x14ac:dyDescent="0.3">
      <c r="B2" s="458" t="s">
        <v>1637</v>
      </c>
      <c r="C2" s="316"/>
      <c r="D2" s="316"/>
      <c r="E2" s="316"/>
      <c r="F2" s="316"/>
      <c r="G2" s="316"/>
      <c r="H2" s="316"/>
      <c r="I2" s="316"/>
      <c r="J2" s="316"/>
      <c r="K2" s="316"/>
      <c r="L2" s="316"/>
      <c r="M2" s="316"/>
      <c r="N2" s="316"/>
      <c r="O2" s="316"/>
      <c r="P2" s="316"/>
      <c r="Q2" s="316"/>
      <c r="R2" s="316"/>
      <c r="S2" s="316"/>
    </row>
    <row r="3" spans="2:25" x14ac:dyDescent="0.25">
      <c r="B3" s="316"/>
      <c r="C3" s="316"/>
      <c r="D3" s="316"/>
      <c r="E3" s="316"/>
      <c r="F3" s="316"/>
      <c r="G3" s="316"/>
      <c r="H3" s="316"/>
      <c r="I3" s="316"/>
      <c r="J3" s="316"/>
      <c r="K3" s="316"/>
      <c r="L3" s="316"/>
      <c r="M3" s="316"/>
      <c r="N3" s="316"/>
      <c r="O3" s="316"/>
      <c r="P3" s="316"/>
      <c r="Q3" s="316"/>
      <c r="R3" s="316"/>
      <c r="S3" s="316"/>
      <c r="X3" s="316" t="s">
        <v>959</v>
      </c>
    </row>
    <row r="4" spans="2:25" ht="37.5" x14ac:dyDescent="0.25">
      <c r="B4" s="316"/>
      <c r="C4" s="358" t="s">
        <v>183</v>
      </c>
      <c r="D4" s="358" t="s">
        <v>184</v>
      </c>
      <c r="E4" s="359" t="s">
        <v>792</v>
      </c>
      <c r="F4" s="360" t="s">
        <v>735</v>
      </c>
      <c r="G4" s="361" t="s">
        <v>901</v>
      </c>
      <c r="H4" s="360" t="s">
        <v>736</v>
      </c>
      <c r="I4" s="361" t="s">
        <v>920</v>
      </c>
      <c r="J4" s="360" t="s">
        <v>737</v>
      </c>
      <c r="K4" s="361" t="s">
        <v>921</v>
      </c>
      <c r="L4" s="360" t="s">
        <v>738</v>
      </c>
      <c r="M4" s="361" t="s">
        <v>922</v>
      </c>
      <c r="N4" s="362" t="s">
        <v>739</v>
      </c>
      <c r="O4" s="363" t="s">
        <v>923</v>
      </c>
      <c r="P4" s="360" t="s">
        <v>741</v>
      </c>
      <c r="Q4" s="361" t="s">
        <v>924</v>
      </c>
      <c r="R4" s="362" t="s">
        <v>743</v>
      </c>
      <c r="S4" s="363" t="s">
        <v>925</v>
      </c>
      <c r="X4" s="822" t="s">
        <v>1638</v>
      </c>
      <c r="Y4" s="316" t="s">
        <v>3</v>
      </c>
    </row>
    <row r="5" spans="2:25" ht="20.5" x14ac:dyDescent="0.25">
      <c r="B5" s="238">
        <v>9257010</v>
      </c>
      <c r="C5" s="455" t="s">
        <v>205</v>
      </c>
      <c r="D5" s="365">
        <v>4</v>
      </c>
      <c r="E5" s="1104">
        <v>98</v>
      </c>
      <c r="F5" s="367">
        <v>6</v>
      </c>
      <c r="G5" s="368">
        <f>F5/E5</f>
        <v>6.1224489795918366E-2</v>
      </c>
      <c r="H5" s="369">
        <v>42</v>
      </c>
      <c r="I5" s="368">
        <f>H5/E5</f>
        <v>0.42857142857142855</v>
      </c>
      <c r="J5" s="369">
        <v>7</v>
      </c>
      <c r="K5" s="368">
        <f>J5/E5</f>
        <v>7.1428571428571425E-2</v>
      </c>
      <c r="L5" s="369">
        <v>13</v>
      </c>
      <c r="M5" s="368">
        <f>L5/E5</f>
        <v>0.1326530612244898</v>
      </c>
      <c r="N5" s="370">
        <v>8</v>
      </c>
      <c r="O5" s="371">
        <f>N5/E5</f>
        <v>8.1632653061224483E-2</v>
      </c>
      <c r="P5" s="369">
        <v>11</v>
      </c>
      <c r="Q5" s="368">
        <f>P5/E5</f>
        <v>0.11224489795918367</v>
      </c>
      <c r="R5" s="370">
        <v>11</v>
      </c>
      <c r="S5" s="371">
        <f>R5/E5</f>
        <v>0.11224489795918367</v>
      </c>
      <c r="U5" s="1105">
        <f>G5+I5+K5+M5+O5+Q5+S5</f>
        <v>1</v>
      </c>
      <c r="X5" s="460">
        <f>VLOOKUP(B5,'2223 Funding Detail'!$A$4:$M$20,13,(FALSE))</f>
        <v>115.33333333333333</v>
      </c>
      <c r="Y5" s="460">
        <f>X5-E5</f>
        <v>17.333333333333329</v>
      </c>
    </row>
    <row r="6" spans="2:25" ht="20.5" x14ac:dyDescent="0.25">
      <c r="B6" s="238">
        <v>9257005</v>
      </c>
      <c r="C6" s="455" t="s">
        <v>208</v>
      </c>
      <c r="D6" s="365" t="s">
        <v>1178</v>
      </c>
      <c r="E6" s="1104">
        <v>86</v>
      </c>
      <c r="F6" s="367">
        <v>5</v>
      </c>
      <c r="G6" s="368">
        <f>F6/E6</f>
        <v>5.8139534883720929E-2</v>
      </c>
      <c r="H6" s="369">
        <v>33</v>
      </c>
      <c r="I6" s="368">
        <f>H6/E6</f>
        <v>0.38372093023255816</v>
      </c>
      <c r="J6" s="369">
        <v>8</v>
      </c>
      <c r="K6" s="368">
        <f>J6/E6</f>
        <v>9.3023255813953487E-2</v>
      </c>
      <c r="L6" s="369">
        <v>12</v>
      </c>
      <c r="M6" s="368">
        <f>L6/E6</f>
        <v>0.13953488372093023</v>
      </c>
      <c r="N6" s="370">
        <v>10</v>
      </c>
      <c r="O6" s="371">
        <f>N6/E6</f>
        <v>0.11627906976744186</v>
      </c>
      <c r="P6" s="369">
        <v>13</v>
      </c>
      <c r="Q6" s="368">
        <f>P6/E6</f>
        <v>0.15116279069767441</v>
      </c>
      <c r="R6" s="370">
        <v>5</v>
      </c>
      <c r="S6" s="371">
        <f>R6/E6</f>
        <v>5.8139534883720929E-2</v>
      </c>
      <c r="U6" s="1105">
        <f t="shared" ref="U6:U21" si="0">G6+I6+K6+M6+O6+Q6+S6</f>
        <v>1.0000000000000002</v>
      </c>
      <c r="X6" s="460">
        <f>VLOOKUP(B6,'2223 Funding Detail'!$A$4:$M$20,13,(FALSE))</f>
        <v>88.583333333333343</v>
      </c>
      <c r="Y6" s="460">
        <f t="shared" ref="Y6:Y21" si="1">X6-E6</f>
        <v>2.5833333333333428</v>
      </c>
    </row>
    <row r="7" spans="2:25" ht="20.5" x14ac:dyDescent="0.25">
      <c r="B7" s="238">
        <v>9257025</v>
      </c>
      <c r="C7" s="455" t="s">
        <v>209</v>
      </c>
      <c r="D7" s="365">
        <v>4</v>
      </c>
      <c r="E7" s="1104">
        <v>79</v>
      </c>
      <c r="F7" s="367">
        <v>11</v>
      </c>
      <c r="G7" s="368">
        <f>F7/E7</f>
        <v>0.13924050632911392</v>
      </c>
      <c r="H7" s="369">
        <v>37</v>
      </c>
      <c r="I7" s="368">
        <f>H7/E7</f>
        <v>0.46835443037974683</v>
      </c>
      <c r="J7" s="369">
        <v>3</v>
      </c>
      <c r="K7" s="368">
        <f>J7/E7</f>
        <v>3.7974683544303799E-2</v>
      </c>
      <c r="L7" s="369">
        <v>9</v>
      </c>
      <c r="M7" s="368">
        <f>L7/E7</f>
        <v>0.11392405063291139</v>
      </c>
      <c r="N7" s="370">
        <v>3</v>
      </c>
      <c r="O7" s="371">
        <f>N7/E7</f>
        <v>3.7974683544303799E-2</v>
      </c>
      <c r="P7" s="369">
        <v>12</v>
      </c>
      <c r="Q7" s="368">
        <f>P7/E7</f>
        <v>0.15189873417721519</v>
      </c>
      <c r="R7" s="370">
        <v>4</v>
      </c>
      <c r="S7" s="371">
        <f>R7/E7</f>
        <v>5.0632911392405063E-2</v>
      </c>
      <c r="U7" s="1105">
        <f t="shared" si="0"/>
        <v>1</v>
      </c>
      <c r="X7" s="460">
        <f>VLOOKUP(B7,'2223 Funding Detail'!$A$4:$M$20,13,(FALSE))</f>
        <v>84.416666666666671</v>
      </c>
      <c r="Y7" s="460">
        <f t="shared" si="1"/>
        <v>5.4166666666666714</v>
      </c>
    </row>
    <row r="8" spans="2:25" ht="20.5" x14ac:dyDescent="0.25">
      <c r="B8" s="238">
        <v>9257024</v>
      </c>
      <c r="C8" s="455" t="s">
        <v>211</v>
      </c>
      <c r="D8" s="365">
        <v>4</v>
      </c>
      <c r="E8" s="1104">
        <v>84</v>
      </c>
      <c r="F8" s="369">
        <v>6</v>
      </c>
      <c r="G8" s="368">
        <f>F8/E8</f>
        <v>7.1428571428571425E-2</v>
      </c>
      <c r="H8" s="369">
        <v>43</v>
      </c>
      <c r="I8" s="368">
        <f>H8/E8</f>
        <v>0.51190476190476186</v>
      </c>
      <c r="J8" s="369">
        <v>2</v>
      </c>
      <c r="K8" s="368">
        <f>J8/E8</f>
        <v>2.3809523809523808E-2</v>
      </c>
      <c r="L8" s="369">
        <v>15</v>
      </c>
      <c r="M8" s="368">
        <f>L8/E8</f>
        <v>0.17857142857142858</v>
      </c>
      <c r="N8" s="370">
        <v>7</v>
      </c>
      <c r="O8" s="371">
        <f>N8/E8</f>
        <v>8.3333333333333329E-2</v>
      </c>
      <c r="P8" s="369">
        <v>6</v>
      </c>
      <c r="Q8" s="368">
        <f>P8/E8</f>
        <v>7.1428571428571425E-2</v>
      </c>
      <c r="R8" s="370">
        <v>5</v>
      </c>
      <c r="S8" s="371">
        <f>R8/E8</f>
        <v>5.9523809523809521E-2</v>
      </c>
      <c r="U8" s="1105">
        <f t="shared" si="0"/>
        <v>1</v>
      </c>
      <c r="X8" s="460">
        <f>VLOOKUP(B8,'2223 Funding Detail'!$A$4:$M$20,13,(FALSE))</f>
        <v>86.333333333333343</v>
      </c>
      <c r="Y8" s="460">
        <f t="shared" si="1"/>
        <v>2.3333333333333428</v>
      </c>
    </row>
    <row r="9" spans="2:25" ht="20.5" x14ac:dyDescent="0.25">
      <c r="B9" s="238">
        <v>9257031</v>
      </c>
      <c r="C9" s="455" t="s">
        <v>257</v>
      </c>
      <c r="D9" s="365" t="s">
        <v>1179</v>
      </c>
      <c r="E9" s="1104">
        <f>F9+H9+J9+L9+N9+P9+R9</f>
        <v>0</v>
      </c>
      <c r="F9" s="369">
        <v>0</v>
      </c>
      <c r="G9" s="368">
        <v>0</v>
      </c>
      <c r="H9" s="369">
        <v>0</v>
      </c>
      <c r="I9" s="368">
        <v>0</v>
      </c>
      <c r="J9" s="369">
        <v>0</v>
      </c>
      <c r="K9" s="368">
        <v>1</v>
      </c>
      <c r="L9" s="369">
        <v>0</v>
      </c>
      <c r="M9" s="368">
        <v>0</v>
      </c>
      <c r="N9" s="370">
        <v>0</v>
      </c>
      <c r="O9" s="371">
        <v>0</v>
      </c>
      <c r="P9" s="369">
        <v>0</v>
      </c>
      <c r="Q9" s="368">
        <v>0</v>
      </c>
      <c r="R9" s="370">
        <v>0</v>
      </c>
      <c r="S9" s="371">
        <v>0</v>
      </c>
      <c r="U9" s="1105">
        <f t="shared" si="0"/>
        <v>1</v>
      </c>
      <c r="X9" s="460">
        <f>VLOOKUP(B9,'2223 Funding Detail'!$A$4:$M$20,13,(FALSE))</f>
        <v>80.416666666666671</v>
      </c>
      <c r="Y9" s="460">
        <f t="shared" si="1"/>
        <v>80.416666666666671</v>
      </c>
    </row>
    <row r="10" spans="2:25" ht="30.5" x14ac:dyDescent="0.25">
      <c r="B10" s="238">
        <v>9257033</v>
      </c>
      <c r="C10" s="455" t="s">
        <v>220</v>
      </c>
      <c r="D10" s="365" t="s">
        <v>1178</v>
      </c>
      <c r="E10" s="1104">
        <v>108</v>
      </c>
      <c r="F10" s="369">
        <v>15</v>
      </c>
      <c r="G10" s="368">
        <f>F10/E10</f>
        <v>0.1388888888888889</v>
      </c>
      <c r="H10" s="369">
        <v>68</v>
      </c>
      <c r="I10" s="368">
        <f>H10/E10</f>
        <v>0.62962962962962965</v>
      </c>
      <c r="J10" s="369">
        <v>5</v>
      </c>
      <c r="K10" s="368">
        <f>J10/E10</f>
        <v>4.6296296296296294E-2</v>
      </c>
      <c r="L10" s="369">
        <v>11</v>
      </c>
      <c r="M10" s="368">
        <f>L10/E10</f>
        <v>0.10185185185185185</v>
      </c>
      <c r="N10" s="370">
        <v>4</v>
      </c>
      <c r="O10" s="371">
        <f>N10/E10</f>
        <v>3.7037037037037035E-2</v>
      </c>
      <c r="P10" s="369">
        <v>4</v>
      </c>
      <c r="Q10" s="368">
        <f>P10/E10</f>
        <v>3.7037037037037035E-2</v>
      </c>
      <c r="R10" s="370">
        <v>1</v>
      </c>
      <c r="S10" s="371">
        <f>R10/E10</f>
        <v>9.2592592592592587E-3</v>
      </c>
      <c r="U10" s="1105">
        <f t="shared" si="0"/>
        <v>1</v>
      </c>
      <c r="X10" s="460">
        <f>VLOOKUP(B10,'2223 Funding Detail'!$A$4:$M$20,13,(FALSE))</f>
        <v>106.16666666666669</v>
      </c>
      <c r="Y10" s="460">
        <f t="shared" si="1"/>
        <v>-1.8333333333333144</v>
      </c>
    </row>
    <row r="11" spans="2:25" ht="20.5" x14ac:dyDescent="0.25">
      <c r="B11" s="238">
        <v>9257008</v>
      </c>
      <c r="C11" s="455" t="s">
        <v>212</v>
      </c>
      <c r="D11" s="365">
        <v>4</v>
      </c>
      <c r="E11" s="1104">
        <v>100</v>
      </c>
      <c r="F11" s="369">
        <v>11</v>
      </c>
      <c r="G11" s="368">
        <f>F11/E11</f>
        <v>0.11</v>
      </c>
      <c r="H11" s="369">
        <v>64</v>
      </c>
      <c r="I11" s="368">
        <f>H11/E11</f>
        <v>0.64</v>
      </c>
      <c r="J11" s="369">
        <v>7</v>
      </c>
      <c r="K11" s="368">
        <f>J11/E11</f>
        <v>7.0000000000000007E-2</v>
      </c>
      <c r="L11" s="369">
        <v>9</v>
      </c>
      <c r="M11" s="368">
        <f>L11/E11</f>
        <v>0.09</v>
      </c>
      <c r="N11" s="373">
        <v>0</v>
      </c>
      <c r="O11" s="371">
        <f>N11/E11</f>
        <v>0</v>
      </c>
      <c r="P11" s="369">
        <v>9</v>
      </c>
      <c r="Q11" s="368">
        <f>P11/E11</f>
        <v>0.09</v>
      </c>
      <c r="R11" s="373">
        <v>0</v>
      </c>
      <c r="S11" s="371">
        <f>R11/E11</f>
        <v>0</v>
      </c>
      <c r="U11" s="1105">
        <f t="shared" si="0"/>
        <v>1</v>
      </c>
      <c r="X11" s="460">
        <f>VLOOKUP(B11,'2223 Funding Detail'!$A$4:$M$20,13,(FALSE))</f>
        <v>100.16666666666667</v>
      </c>
      <c r="Y11" s="460">
        <f t="shared" si="1"/>
        <v>0.1666666666666714</v>
      </c>
    </row>
    <row r="12" spans="2:25" ht="20.5" x14ac:dyDescent="0.25">
      <c r="B12" s="238">
        <v>9257034</v>
      </c>
      <c r="C12" s="455" t="s">
        <v>221</v>
      </c>
      <c r="D12" s="365" t="s">
        <v>1178</v>
      </c>
      <c r="E12" s="1104">
        <v>108</v>
      </c>
      <c r="F12" s="369">
        <v>48</v>
      </c>
      <c r="G12" s="368">
        <f>F12/E12</f>
        <v>0.44444444444444442</v>
      </c>
      <c r="H12" s="369">
        <v>35</v>
      </c>
      <c r="I12" s="368">
        <f>H12/E12</f>
        <v>0.32407407407407407</v>
      </c>
      <c r="J12" s="369">
        <v>10</v>
      </c>
      <c r="K12" s="368">
        <f>J12/E12</f>
        <v>9.2592592592592587E-2</v>
      </c>
      <c r="L12" s="369">
        <v>5</v>
      </c>
      <c r="M12" s="368">
        <f>L12/E12</f>
        <v>4.6296296296296294E-2</v>
      </c>
      <c r="N12" s="370">
        <v>3</v>
      </c>
      <c r="O12" s="371">
        <f>N12/E12</f>
        <v>2.7777777777777776E-2</v>
      </c>
      <c r="P12" s="369">
        <v>6</v>
      </c>
      <c r="Q12" s="368">
        <f>P12/E12</f>
        <v>5.5555555555555552E-2</v>
      </c>
      <c r="R12" s="370">
        <v>1</v>
      </c>
      <c r="S12" s="371">
        <f>R12/E12</f>
        <v>9.2592592592592587E-3</v>
      </c>
      <c r="U12" s="1105">
        <f t="shared" si="0"/>
        <v>1</v>
      </c>
      <c r="X12" s="460">
        <f>VLOOKUP(B12,'2223 Funding Detail'!$A$4:$M$20,13,(FALSE))</f>
        <v>122.16666666666667</v>
      </c>
      <c r="Y12" s="460">
        <f t="shared" si="1"/>
        <v>14.166666666666671</v>
      </c>
    </row>
    <row r="13" spans="2:25" ht="20.5" x14ac:dyDescent="0.25">
      <c r="B13" s="238">
        <v>9257002</v>
      </c>
      <c r="C13" s="455" t="s">
        <v>213</v>
      </c>
      <c r="D13" s="365">
        <v>4</v>
      </c>
      <c r="E13" s="1104">
        <v>149</v>
      </c>
      <c r="F13" s="369">
        <v>50</v>
      </c>
      <c r="G13" s="368">
        <f>F13/E13</f>
        <v>0.33557046979865773</v>
      </c>
      <c r="H13" s="369">
        <v>58</v>
      </c>
      <c r="I13" s="368">
        <f>H13/E13</f>
        <v>0.38926174496644295</v>
      </c>
      <c r="J13" s="369">
        <v>20</v>
      </c>
      <c r="K13" s="368">
        <f>J13/E13</f>
        <v>0.13422818791946309</v>
      </c>
      <c r="L13" s="369">
        <v>5</v>
      </c>
      <c r="M13" s="368">
        <f>L13/E13</f>
        <v>3.3557046979865772E-2</v>
      </c>
      <c r="N13" s="370">
        <v>3</v>
      </c>
      <c r="O13" s="371">
        <f>N13/E13</f>
        <v>2.0134228187919462E-2</v>
      </c>
      <c r="P13" s="369">
        <v>11</v>
      </c>
      <c r="Q13" s="368">
        <f>P13/E13</f>
        <v>7.3825503355704702E-2</v>
      </c>
      <c r="R13" s="370">
        <v>2</v>
      </c>
      <c r="S13" s="371">
        <f>R13/E13</f>
        <v>1.3422818791946308E-2</v>
      </c>
      <c r="U13" s="1105">
        <f t="shared" si="0"/>
        <v>1</v>
      </c>
      <c r="X13" s="460">
        <f>VLOOKUP(B13,'2223 Funding Detail'!$A$4:$M$20,13,(FALSE))</f>
        <v>155.66666666666669</v>
      </c>
      <c r="Y13" s="460">
        <f t="shared" si="1"/>
        <v>6.6666666666666856</v>
      </c>
    </row>
    <row r="14" spans="2:25" ht="20.5" x14ac:dyDescent="0.25">
      <c r="B14" s="238">
        <v>9257009</v>
      </c>
      <c r="C14" s="455" t="s">
        <v>997</v>
      </c>
      <c r="D14" s="365">
        <v>4</v>
      </c>
      <c r="E14" s="1104">
        <f>128+58</f>
        <v>186</v>
      </c>
      <c r="F14" s="369">
        <f>27+4</f>
        <v>31</v>
      </c>
      <c r="G14" s="1329">
        <v>0.16728126399462603</v>
      </c>
      <c r="H14" s="369">
        <f>76+23</f>
        <v>99</v>
      </c>
      <c r="I14" s="1329">
        <v>0.5331117367060082</v>
      </c>
      <c r="J14" s="369">
        <f>11+0</f>
        <v>11</v>
      </c>
      <c r="K14" s="1329">
        <v>5.951180875576037E-2</v>
      </c>
      <c r="L14" s="369">
        <f>5+9</f>
        <v>14</v>
      </c>
      <c r="M14" s="1329">
        <v>7.4766176884850405E-2</v>
      </c>
      <c r="N14" s="370">
        <f>1+6</f>
        <v>7</v>
      </c>
      <c r="O14" s="1328">
        <v>3.7220400914435951E-2</v>
      </c>
      <c r="P14" s="369">
        <f>8+7</f>
        <v>15</v>
      </c>
      <c r="Q14" s="1329">
        <v>8.0393258021177944E-2</v>
      </c>
      <c r="R14" s="370">
        <f>0+9</f>
        <v>9</v>
      </c>
      <c r="S14" s="1328">
        <v>4.7715354723141153E-2</v>
      </c>
      <c r="U14" s="1105">
        <f t="shared" si="0"/>
        <v>1</v>
      </c>
      <c r="X14" s="460">
        <f>VLOOKUP(B14,'2223 Funding Detail'!$A$4:$M$20,13,(FALSE))</f>
        <v>198.91666666666669</v>
      </c>
      <c r="Y14" s="460">
        <f t="shared" si="1"/>
        <v>12.916666666666686</v>
      </c>
    </row>
    <row r="15" spans="2:25" ht="20.5" x14ac:dyDescent="0.25">
      <c r="B15" s="238">
        <v>9257029</v>
      </c>
      <c r="C15" s="455" t="s">
        <v>890</v>
      </c>
      <c r="D15" s="365" t="s">
        <v>1179</v>
      </c>
      <c r="E15" s="1104">
        <f>F15+H15+J15+L15+N15+P15+R15</f>
        <v>0</v>
      </c>
      <c r="F15" s="369">
        <v>0</v>
      </c>
      <c r="G15" s="368">
        <v>0</v>
      </c>
      <c r="H15" s="369">
        <v>0</v>
      </c>
      <c r="I15" s="368">
        <v>0</v>
      </c>
      <c r="J15" s="369">
        <v>0</v>
      </c>
      <c r="K15" s="368">
        <v>1</v>
      </c>
      <c r="L15" s="369">
        <v>0</v>
      </c>
      <c r="M15" s="368">
        <v>0</v>
      </c>
      <c r="N15" s="370">
        <v>0</v>
      </c>
      <c r="O15" s="371">
        <v>0</v>
      </c>
      <c r="P15" s="369">
        <v>0</v>
      </c>
      <c r="Q15" s="368">
        <v>0</v>
      </c>
      <c r="R15" s="370">
        <v>0</v>
      </c>
      <c r="S15" s="371">
        <v>0</v>
      </c>
      <c r="U15" s="1105">
        <f t="shared" si="0"/>
        <v>1</v>
      </c>
      <c r="X15" s="460">
        <f>VLOOKUP(B15,'2223 Funding Detail'!$A$4:$M$20,13,(FALSE))</f>
        <v>78.583333333333343</v>
      </c>
      <c r="Y15" s="460">
        <f t="shared" si="1"/>
        <v>78.583333333333343</v>
      </c>
    </row>
    <row r="16" spans="2:25" ht="20.5" x14ac:dyDescent="0.25">
      <c r="B16" s="238">
        <v>9257032</v>
      </c>
      <c r="C16" s="455" t="s">
        <v>813</v>
      </c>
      <c r="D16" s="365" t="s">
        <v>1179</v>
      </c>
      <c r="E16" s="1104">
        <f>F16+H16+J16+L16+N16+P16+R16</f>
        <v>0</v>
      </c>
      <c r="F16" s="369">
        <v>0</v>
      </c>
      <c r="G16" s="368">
        <v>0</v>
      </c>
      <c r="H16" s="369">
        <v>0</v>
      </c>
      <c r="I16" s="368">
        <v>0</v>
      </c>
      <c r="J16" s="369">
        <v>0</v>
      </c>
      <c r="K16" s="368">
        <v>1</v>
      </c>
      <c r="L16" s="369">
        <v>0</v>
      </c>
      <c r="M16" s="368">
        <v>0</v>
      </c>
      <c r="N16" s="370">
        <v>0</v>
      </c>
      <c r="O16" s="371">
        <v>0</v>
      </c>
      <c r="P16" s="369">
        <v>0</v>
      </c>
      <c r="Q16" s="368">
        <v>0</v>
      </c>
      <c r="R16" s="370">
        <v>0</v>
      </c>
      <c r="S16" s="371">
        <v>0</v>
      </c>
      <c r="U16" s="1105">
        <f t="shared" si="0"/>
        <v>1</v>
      </c>
      <c r="X16" s="460">
        <f>VLOOKUP(B16,'2223 Funding Detail'!$A$4:$M$20,13,(FALSE))</f>
        <v>104</v>
      </c>
      <c r="Y16" s="460">
        <f t="shared" si="1"/>
        <v>104</v>
      </c>
    </row>
    <row r="17" spans="2:25" ht="20.5" x14ac:dyDescent="0.25">
      <c r="B17" s="238">
        <v>9257030</v>
      </c>
      <c r="C17" s="455" t="s">
        <v>815</v>
      </c>
      <c r="D17" s="365" t="s">
        <v>1179</v>
      </c>
      <c r="E17" s="1104">
        <f>F17+H17+J17+L17+N17+P17+R17</f>
        <v>0</v>
      </c>
      <c r="F17" s="367">
        <v>0</v>
      </c>
      <c r="G17" s="368">
        <v>0</v>
      </c>
      <c r="H17" s="369">
        <v>0</v>
      </c>
      <c r="I17" s="368">
        <v>0</v>
      </c>
      <c r="J17" s="369">
        <v>0</v>
      </c>
      <c r="K17" s="368">
        <v>1</v>
      </c>
      <c r="L17" s="369">
        <v>0</v>
      </c>
      <c r="M17" s="368">
        <v>0</v>
      </c>
      <c r="N17" s="370">
        <v>0</v>
      </c>
      <c r="O17" s="371">
        <v>0</v>
      </c>
      <c r="P17" s="369">
        <v>0</v>
      </c>
      <c r="Q17" s="368">
        <v>0</v>
      </c>
      <c r="R17" s="370">
        <v>0</v>
      </c>
      <c r="S17" s="371">
        <v>0</v>
      </c>
      <c r="U17" s="1105">
        <f t="shared" si="0"/>
        <v>1</v>
      </c>
      <c r="X17" s="460">
        <f>VLOOKUP(B17,'2223 Funding Detail'!$A$4:$M$20,13,(FALSE))</f>
        <v>70.833333333333343</v>
      </c>
      <c r="Y17" s="460">
        <f t="shared" si="1"/>
        <v>70.833333333333343</v>
      </c>
    </row>
    <row r="18" spans="2:25" ht="20.5" x14ac:dyDescent="0.25">
      <c r="B18" s="238">
        <v>9257028</v>
      </c>
      <c r="C18" s="455" t="s">
        <v>215</v>
      </c>
      <c r="D18" s="365">
        <v>4</v>
      </c>
      <c r="E18" s="1104">
        <v>119</v>
      </c>
      <c r="F18" s="369">
        <v>11</v>
      </c>
      <c r="G18" s="368">
        <f>F18/E18</f>
        <v>9.2436974789915971E-2</v>
      </c>
      <c r="H18" s="367">
        <v>53</v>
      </c>
      <c r="I18" s="368">
        <f>H18/E18</f>
        <v>0.44537815126050423</v>
      </c>
      <c r="J18" s="367">
        <v>9</v>
      </c>
      <c r="K18" s="368">
        <f>J18/E18</f>
        <v>7.5630252100840331E-2</v>
      </c>
      <c r="L18" s="367">
        <v>11</v>
      </c>
      <c r="M18" s="368">
        <f>L18/E18</f>
        <v>9.2436974789915971E-2</v>
      </c>
      <c r="N18" s="370">
        <v>11</v>
      </c>
      <c r="O18" s="371">
        <f>N18/E18</f>
        <v>9.2436974789915971E-2</v>
      </c>
      <c r="P18" s="367">
        <v>9</v>
      </c>
      <c r="Q18" s="368">
        <f>P18/E18</f>
        <v>7.5630252100840331E-2</v>
      </c>
      <c r="R18" s="370">
        <v>15</v>
      </c>
      <c r="S18" s="371">
        <f>R18/E18</f>
        <v>0.12605042016806722</v>
      </c>
      <c r="U18" s="1105">
        <f t="shared" si="0"/>
        <v>1</v>
      </c>
      <c r="X18" s="460">
        <f>VLOOKUP(B18,'2223 Funding Detail'!$A$4:$M$20,13,(FALSE))</f>
        <v>129.91666666666669</v>
      </c>
      <c r="Y18" s="460">
        <f t="shared" si="1"/>
        <v>10.916666666666686</v>
      </c>
    </row>
    <row r="19" spans="2:25" ht="30.5" x14ac:dyDescent="0.25">
      <c r="B19" s="238">
        <v>9257021</v>
      </c>
      <c r="C19" s="455" t="s">
        <v>216</v>
      </c>
      <c r="D19" s="365" t="s">
        <v>1180</v>
      </c>
      <c r="E19" s="1104">
        <v>171</v>
      </c>
      <c r="F19" s="369">
        <v>43</v>
      </c>
      <c r="G19" s="368">
        <f>F19/E19</f>
        <v>0.25146198830409355</v>
      </c>
      <c r="H19" s="369">
        <v>81</v>
      </c>
      <c r="I19" s="368">
        <f>H19/E19</f>
        <v>0.47368421052631576</v>
      </c>
      <c r="J19" s="369">
        <v>16</v>
      </c>
      <c r="K19" s="368">
        <f>J19/E19</f>
        <v>9.3567251461988299E-2</v>
      </c>
      <c r="L19" s="369">
        <v>13</v>
      </c>
      <c r="M19" s="368">
        <f>L19/E19</f>
        <v>7.6023391812865493E-2</v>
      </c>
      <c r="N19" s="370">
        <v>6</v>
      </c>
      <c r="O19" s="371">
        <f>N19/E19</f>
        <v>3.5087719298245612E-2</v>
      </c>
      <c r="P19" s="369">
        <v>10</v>
      </c>
      <c r="Q19" s="368">
        <f>P19/E19</f>
        <v>5.8479532163742687E-2</v>
      </c>
      <c r="R19" s="370">
        <v>2</v>
      </c>
      <c r="S19" s="371">
        <f>R19/E19</f>
        <v>1.1695906432748537E-2</v>
      </c>
      <c r="U19" s="1105">
        <f t="shared" si="0"/>
        <v>0.99999999999999989</v>
      </c>
      <c r="X19" s="460">
        <f>VLOOKUP(B19,'2223 Funding Detail'!$A$4:$M$20,13,(FALSE))</f>
        <v>174.25</v>
      </c>
      <c r="Y19" s="460">
        <f t="shared" si="1"/>
        <v>3.25</v>
      </c>
    </row>
    <row r="20" spans="2:25" ht="30.5" x14ac:dyDescent="0.25">
      <c r="B20" s="238">
        <v>9257015</v>
      </c>
      <c r="C20" s="455" t="s">
        <v>217</v>
      </c>
      <c r="D20" s="365" t="s">
        <v>1181</v>
      </c>
      <c r="E20" s="1104">
        <v>225</v>
      </c>
      <c r="F20" s="369">
        <v>71</v>
      </c>
      <c r="G20" s="368">
        <f>F20/E20</f>
        <v>0.31555555555555553</v>
      </c>
      <c r="H20" s="369">
        <v>87</v>
      </c>
      <c r="I20" s="368">
        <f>H20/E20</f>
        <v>0.38666666666666666</v>
      </c>
      <c r="J20" s="369">
        <v>4</v>
      </c>
      <c r="K20" s="368">
        <f>J20/E20</f>
        <v>1.7777777777777778E-2</v>
      </c>
      <c r="L20" s="369">
        <v>21</v>
      </c>
      <c r="M20" s="368">
        <f>L20/E20</f>
        <v>9.3333333333333338E-2</v>
      </c>
      <c r="N20" s="370">
        <v>4</v>
      </c>
      <c r="O20" s="371">
        <f>N20/E20</f>
        <v>1.7777777777777778E-2</v>
      </c>
      <c r="P20" s="369">
        <v>36</v>
      </c>
      <c r="Q20" s="368">
        <f>P20/E20</f>
        <v>0.16</v>
      </c>
      <c r="R20" s="370">
        <v>2</v>
      </c>
      <c r="S20" s="371">
        <f>R20/E20</f>
        <v>8.8888888888888889E-3</v>
      </c>
      <c r="U20" s="1105">
        <f t="shared" si="0"/>
        <v>1</v>
      </c>
      <c r="X20" s="460">
        <f>VLOOKUP(B20,'2223 Funding Detail'!$A$4:$M$20,13,(FALSE))</f>
        <v>226.5</v>
      </c>
      <c r="Y20" s="460">
        <f t="shared" si="1"/>
        <v>1.5</v>
      </c>
    </row>
    <row r="21" spans="2:25" ht="20.5" x14ac:dyDescent="0.25">
      <c r="B21" s="238">
        <v>9257016</v>
      </c>
      <c r="C21" s="455" t="s">
        <v>219</v>
      </c>
      <c r="D21" s="365" t="s">
        <v>1181</v>
      </c>
      <c r="E21" s="1104">
        <v>163</v>
      </c>
      <c r="F21" s="369">
        <v>25</v>
      </c>
      <c r="G21" s="368">
        <f>F21/E21</f>
        <v>0.15337423312883436</v>
      </c>
      <c r="H21" s="369">
        <v>31</v>
      </c>
      <c r="I21" s="368">
        <f>H21/E21</f>
        <v>0.19018404907975461</v>
      </c>
      <c r="J21" s="369">
        <v>2</v>
      </c>
      <c r="K21" s="368">
        <f>J21/E21</f>
        <v>1.2269938650306749E-2</v>
      </c>
      <c r="L21" s="369">
        <v>37</v>
      </c>
      <c r="M21" s="368">
        <f>L21/E21</f>
        <v>0.22699386503067484</v>
      </c>
      <c r="N21" s="370">
        <v>30</v>
      </c>
      <c r="O21" s="371">
        <f>N21/E21</f>
        <v>0.18404907975460122</v>
      </c>
      <c r="P21" s="369">
        <v>3</v>
      </c>
      <c r="Q21" s="368">
        <f>P21/E21</f>
        <v>1.8404907975460124E-2</v>
      </c>
      <c r="R21" s="370">
        <v>35</v>
      </c>
      <c r="S21" s="371">
        <f>R21/E21</f>
        <v>0.21472392638036811</v>
      </c>
      <c r="U21" s="1105">
        <f t="shared" si="0"/>
        <v>1</v>
      </c>
      <c r="X21" s="460">
        <f>VLOOKUP(B21,'2223 Funding Detail'!$A$4:$M$20,13,(FALSE))</f>
        <v>164.75</v>
      </c>
      <c r="Y21" s="460">
        <f t="shared" si="1"/>
        <v>1.75</v>
      </c>
    </row>
    <row r="23" spans="2:25" ht="13" x14ac:dyDescent="0.3">
      <c r="E23" s="1106">
        <f>SUM(E5:E22)</f>
        <v>1676</v>
      </c>
      <c r="F23" s="460">
        <f>SUM(F5:F22)</f>
        <v>333</v>
      </c>
      <c r="G23" s="1117">
        <f>SUM(G5:G21)</f>
        <v>2.3390469213423413</v>
      </c>
      <c r="H23" s="460">
        <f>SUM(H5:H22)</f>
        <v>731</v>
      </c>
      <c r="I23" s="1117">
        <f>SUM(I5:I21)</f>
        <v>5.8045418139978926</v>
      </c>
      <c r="J23" s="460">
        <f>SUM(J5:J22)</f>
        <v>104</v>
      </c>
      <c r="K23" s="1117">
        <f>SUM(K5:K21)</f>
        <v>4.8281101401513782</v>
      </c>
      <c r="L23" s="460">
        <f>SUM(L5:L22)</f>
        <v>175</v>
      </c>
      <c r="M23" s="1117">
        <f>SUM(M5:M21)</f>
        <v>1.3999423611294137</v>
      </c>
      <c r="N23" s="460">
        <f>SUM(N5:N22)</f>
        <v>96</v>
      </c>
      <c r="O23" s="1117">
        <f>SUM(O5:O21)</f>
        <v>0.77074073524401432</v>
      </c>
      <c r="P23" s="460">
        <f>SUM(P5:P22)</f>
        <v>145</v>
      </c>
      <c r="Q23" s="1117">
        <f>SUM(Q5:Q21)</f>
        <v>1.1360610404721627</v>
      </c>
      <c r="R23" s="460">
        <f>SUM(R5:R22)</f>
        <v>92</v>
      </c>
    </row>
    <row r="24" spans="2:25" ht="13" x14ac:dyDescent="0.3">
      <c r="E24" s="1106">
        <f>SUM(F24:S24)</f>
        <v>2010.7376912784637</v>
      </c>
      <c r="F24" s="460">
        <f>F23</f>
        <v>333</v>
      </c>
      <c r="G24" s="1117">
        <f>G23/18</f>
        <v>0.12994705118568561</v>
      </c>
      <c r="H24" s="460">
        <f>H23</f>
        <v>731</v>
      </c>
      <c r="I24" s="1117">
        <f>I23/18</f>
        <v>0.32247454522210517</v>
      </c>
      <c r="J24" s="460">
        <f>J23+X9+X15+X16+X17</f>
        <v>437.83333333333337</v>
      </c>
      <c r="K24" s="1117">
        <f>K23/18</f>
        <v>0.26822834111952099</v>
      </c>
      <c r="L24" s="460">
        <f>L23</f>
        <v>175</v>
      </c>
      <c r="M24" s="1117">
        <f>M23/18</f>
        <v>7.7774575618300756E-2</v>
      </c>
      <c r="N24" s="460">
        <f>N23</f>
        <v>96</v>
      </c>
      <c r="O24" s="1117">
        <f>O23/18</f>
        <v>4.2818929735778576E-2</v>
      </c>
      <c r="P24" s="460">
        <f>P23</f>
        <v>145</v>
      </c>
      <c r="Q24" s="1117">
        <f>Q23/18</f>
        <v>6.3114502248453483E-2</v>
      </c>
      <c r="R24" s="460">
        <f>R23</f>
        <v>92</v>
      </c>
    </row>
    <row r="25" spans="2:25" ht="13" x14ac:dyDescent="0.3">
      <c r="B25" s="458" t="s">
        <v>1617</v>
      </c>
      <c r="C25" s="316"/>
      <c r="D25" s="316"/>
      <c r="E25" s="316"/>
      <c r="F25" s="1120">
        <f>F24/$E$24</f>
        <v>0.16561086085190582</v>
      </c>
      <c r="G25" s="1120"/>
      <c r="H25" s="1120">
        <f>H24/$E$24</f>
        <v>0.36354816601424372</v>
      </c>
      <c r="I25" s="1120"/>
      <c r="J25" s="1120">
        <f>J24/$E$24</f>
        <v>0.21774761334232062</v>
      </c>
      <c r="K25" s="1120"/>
      <c r="L25" s="1120">
        <f>L24/$E$24</f>
        <v>8.7032734681932483E-2</v>
      </c>
      <c r="M25" s="1120"/>
      <c r="N25" s="1120">
        <f>N24/$E$24</f>
        <v>4.7743671596945821E-2</v>
      </c>
      <c r="O25" s="1120"/>
      <c r="P25" s="1120">
        <f>P24/$E$24</f>
        <v>7.2112837307886923E-2</v>
      </c>
      <c r="Q25" s="1120"/>
      <c r="R25" s="1120">
        <f>R24/$E$24</f>
        <v>4.5754351947073078E-2</v>
      </c>
      <c r="S25" s="316"/>
    </row>
    <row r="26" spans="2:25" x14ac:dyDescent="0.25">
      <c r="B26" s="316"/>
      <c r="C26" s="316"/>
      <c r="D26" s="316"/>
      <c r="E26" s="316" t="s">
        <v>3</v>
      </c>
      <c r="F26" s="374">
        <f>F25-F49</f>
        <v>-9.4905322004658899E-3</v>
      </c>
      <c r="G26" s="374"/>
      <c r="H26" s="374">
        <f t="shared" ref="H26:P26" si="2">H25-H49</f>
        <v>3.1860632951291823E-2</v>
      </c>
      <c r="I26" s="374"/>
      <c r="J26" s="374">
        <f t="shared" si="2"/>
        <v>-5.1407661321988818E-3</v>
      </c>
      <c r="K26" s="374"/>
      <c r="L26" s="374">
        <f t="shared" si="2"/>
        <v>-1.8404799186670651E-3</v>
      </c>
      <c r="M26" s="374"/>
      <c r="N26" s="374">
        <f t="shared" si="2"/>
        <v>-8.3310947581943656E-3</v>
      </c>
      <c r="O26" s="374"/>
      <c r="P26" s="374">
        <f t="shared" si="2"/>
        <v>-7.7672543866995764E-3</v>
      </c>
      <c r="Q26" s="374"/>
      <c r="R26" s="374">
        <f>R25-R49</f>
        <v>2.5973018724236019E-4</v>
      </c>
      <c r="S26" s="316"/>
      <c r="X26" s="316" t="s">
        <v>958</v>
      </c>
    </row>
    <row r="27" spans="2:25" ht="37.5" x14ac:dyDescent="0.25">
      <c r="B27" s="316"/>
      <c r="C27" s="358" t="s">
        <v>183</v>
      </c>
      <c r="D27" s="358" t="s">
        <v>184</v>
      </c>
      <c r="E27" s="359" t="s">
        <v>792</v>
      </c>
      <c r="F27" s="360" t="s">
        <v>735</v>
      </c>
      <c r="G27" s="361" t="s">
        <v>901</v>
      </c>
      <c r="H27" s="360" t="s">
        <v>736</v>
      </c>
      <c r="I27" s="361" t="s">
        <v>920</v>
      </c>
      <c r="J27" s="360" t="s">
        <v>737</v>
      </c>
      <c r="K27" s="361" t="s">
        <v>921</v>
      </c>
      <c r="L27" s="360" t="s">
        <v>738</v>
      </c>
      <c r="M27" s="361" t="s">
        <v>922</v>
      </c>
      <c r="N27" s="362" t="s">
        <v>739</v>
      </c>
      <c r="O27" s="363" t="s">
        <v>923</v>
      </c>
      <c r="P27" s="360" t="s">
        <v>741</v>
      </c>
      <c r="Q27" s="361" t="s">
        <v>924</v>
      </c>
      <c r="R27" s="362" t="s">
        <v>743</v>
      </c>
      <c r="S27" s="363" t="s">
        <v>925</v>
      </c>
      <c r="X27" s="822" t="s">
        <v>1638</v>
      </c>
      <c r="Y27" s="316" t="s">
        <v>3</v>
      </c>
    </row>
    <row r="28" spans="2:25" ht="20.5" x14ac:dyDescent="0.25">
      <c r="B28" s="238">
        <v>9257010</v>
      </c>
      <c r="C28" s="455" t="s">
        <v>205</v>
      </c>
      <c r="D28" s="365">
        <v>4</v>
      </c>
      <c r="E28" s="453">
        <v>63</v>
      </c>
      <c r="F28" s="367">
        <v>1</v>
      </c>
      <c r="G28" s="368">
        <f>F28/E28</f>
        <v>1.5873015873015872E-2</v>
      </c>
      <c r="H28" s="369">
        <v>20</v>
      </c>
      <c r="I28" s="368">
        <f>H28/E28</f>
        <v>0.31746031746031744</v>
      </c>
      <c r="J28" s="369">
        <v>6</v>
      </c>
      <c r="K28" s="368">
        <f>J28/E28</f>
        <v>9.5238095238095233E-2</v>
      </c>
      <c r="L28" s="369">
        <v>11</v>
      </c>
      <c r="M28" s="368">
        <f>L28/E28</f>
        <v>0.17460317460317459</v>
      </c>
      <c r="N28" s="370">
        <v>4</v>
      </c>
      <c r="O28" s="371">
        <f>N28/E28</f>
        <v>6.3492063492063489E-2</v>
      </c>
      <c r="P28" s="369">
        <v>12</v>
      </c>
      <c r="Q28" s="368">
        <f>P28/E28</f>
        <v>0.19047619047619047</v>
      </c>
      <c r="R28" s="370">
        <v>9</v>
      </c>
      <c r="S28" s="371">
        <f>R28/E28</f>
        <v>0.14285714285714285</v>
      </c>
      <c r="U28" s="1105">
        <f t="shared" ref="U28:U45" si="3">G28+I28+K28+M28+O28+Q28+S28</f>
        <v>1</v>
      </c>
      <c r="X28" s="460">
        <f>VLOOKUP(B28,'2122 Funding Detail'!$A$4:$M$21,13,(FALSE))</f>
        <v>85.666666666666671</v>
      </c>
      <c r="Y28" s="460">
        <f>X28-E28</f>
        <v>22.666666666666671</v>
      </c>
    </row>
    <row r="29" spans="2:25" ht="20.5" x14ac:dyDescent="0.25">
      <c r="B29" s="238">
        <v>9257005</v>
      </c>
      <c r="C29" s="455" t="s">
        <v>208</v>
      </c>
      <c r="D29" s="365" t="s">
        <v>1178</v>
      </c>
      <c r="E29" s="453">
        <v>80</v>
      </c>
      <c r="F29" s="367">
        <v>4</v>
      </c>
      <c r="G29" s="368">
        <f>F29/E29</f>
        <v>0.05</v>
      </c>
      <c r="H29" s="369">
        <v>32</v>
      </c>
      <c r="I29" s="368">
        <f>H29/E29</f>
        <v>0.4</v>
      </c>
      <c r="J29" s="369">
        <v>5</v>
      </c>
      <c r="K29" s="368">
        <f>J29/E29</f>
        <v>6.25E-2</v>
      </c>
      <c r="L29" s="369">
        <v>12</v>
      </c>
      <c r="M29" s="368">
        <f>L29/E29</f>
        <v>0.15</v>
      </c>
      <c r="N29" s="370">
        <v>10</v>
      </c>
      <c r="O29" s="371">
        <f>N29/E29</f>
        <v>0.125</v>
      </c>
      <c r="P29" s="369">
        <v>12</v>
      </c>
      <c r="Q29" s="368">
        <f>P29/E29</f>
        <v>0.15</v>
      </c>
      <c r="R29" s="370">
        <v>5</v>
      </c>
      <c r="S29" s="371">
        <f>R29/E29</f>
        <v>6.25E-2</v>
      </c>
      <c r="U29" s="1105">
        <f t="shared" si="3"/>
        <v>1</v>
      </c>
      <c r="X29" s="460">
        <f>VLOOKUP(B29,'2122 Funding Detail'!$A$4:$M$21,13,(FALSE))</f>
        <v>83.25</v>
      </c>
      <c r="Y29" s="460">
        <f t="shared" ref="Y29:Y45" si="4">X29-E29</f>
        <v>3.25</v>
      </c>
    </row>
    <row r="30" spans="2:25" ht="20.5" x14ac:dyDescent="0.25">
      <c r="B30" s="238">
        <v>9257025</v>
      </c>
      <c r="C30" s="455" t="s">
        <v>209</v>
      </c>
      <c r="D30" s="365">
        <v>4</v>
      </c>
      <c r="E30" s="453">
        <v>77</v>
      </c>
      <c r="F30" s="367">
        <v>12</v>
      </c>
      <c r="G30" s="368">
        <f>F30/E30</f>
        <v>0.15584415584415584</v>
      </c>
      <c r="H30" s="369">
        <v>31</v>
      </c>
      <c r="I30" s="368">
        <f>H30/E30</f>
        <v>0.40259740259740262</v>
      </c>
      <c r="J30" s="369">
        <v>3</v>
      </c>
      <c r="K30" s="368">
        <f>J30/E30</f>
        <v>3.896103896103896E-2</v>
      </c>
      <c r="L30" s="369">
        <v>12</v>
      </c>
      <c r="M30" s="368">
        <f>L30/E30</f>
        <v>0.15584415584415584</v>
      </c>
      <c r="N30" s="370">
        <v>4</v>
      </c>
      <c r="O30" s="371">
        <f>N30/E30</f>
        <v>5.1948051948051951E-2</v>
      </c>
      <c r="P30" s="369">
        <v>11</v>
      </c>
      <c r="Q30" s="368">
        <f>P30/E30</f>
        <v>0.14285714285714285</v>
      </c>
      <c r="R30" s="370">
        <v>4</v>
      </c>
      <c r="S30" s="371">
        <f>R30/E30</f>
        <v>5.1948051948051951E-2</v>
      </c>
      <c r="U30" s="1105">
        <f t="shared" si="3"/>
        <v>1</v>
      </c>
      <c r="X30" s="460">
        <f>VLOOKUP(B30,'2122 Funding Detail'!$A$4:$M$21,13,(FALSE))</f>
        <v>77.5</v>
      </c>
      <c r="Y30" s="460">
        <f t="shared" si="4"/>
        <v>0.5</v>
      </c>
    </row>
    <row r="31" spans="2:25" ht="20.5" x14ac:dyDescent="0.25">
      <c r="B31" s="238">
        <v>9257011</v>
      </c>
      <c r="C31" s="455" t="s">
        <v>210</v>
      </c>
      <c r="D31" s="365">
        <v>4</v>
      </c>
      <c r="E31" s="453">
        <v>53</v>
      </c>
      <c r="F31" s="367">
        <v>3</v>
      </c>
      <c r="G31" s="368">
        <f>F31/E31</f>
        <v>5.6603773584905662E-2</v>
      </c>
      <c r="H31" s="369">
        <v>19</v>
      </c>
      <c r="I31" s="368">
        <f>H31/E31</f>
        <v>0.35849056603773582</v>
      </c>
      <c r="J31" s="369">
        <v>1</v>
      </c>
      <c r="K31" s="368">
        <f>J31/E31</f>
        <v>1.8867924528301886E-2</v>
      </c>
      <c r="L31" s="369">
        <v>9</v>
      </c>
      <c r="M31" s="368">
        <f>L31/E31</f>
        <v>0.16981132075471697</v>
      </c>
      <c r="N31" s="370">
        <v>7</v>
      </c>
      <c r="O31" s="371">
        <f>N31/E31</f>
        <v>0.13207547169811321</v>
      </c>
      <c r="P31" s="369">
        <v>8</v>
      </c>
      <c r="Q31" s="368">
        <f>P31/E31</f>
        <v>0.15094339622641509</v>
      </c>
      <c r="R31" s="370">
        <v>6</v>
      </c>
      <c r="S31" s="371">
        <f>R31/E31</f>
        <v>0.11320754716981132</v>
      </c>
      <c r="U31" s="1105">
        <f t="shared" si="3"/>
        <v>0.99999999999999989</v>
      </c>
      <c r="X31" s="460">
        <f>VLOOKUP(B31,'2122 Funding Detail'!$A$4:$M$21,13,(FALSE))</f>
        <v>58</v>
      </c>
      <c r="Y31" s="460">
        <f t="shared" si="4"/>
        <v>5</v>
      </c>
    </row>
    <row r="32" spans="2:25" ht="20.5" x14ac:dyDescent="0.25">
      <c r="B32" s="238">
        <v>9257024</v>
      </c>
      <c r="C32" s="455" t="s">
        <v>211</v>
      </c>
      <c r="D32" s="365">
        <v>4</v>
      </c>
      <c r="E32" s="453">
        <v>83</v>
      </c>
      <c r="F32" s="369">
        <v>7</v>
      </c>
      <c r="G32" s="368">
        <f>F32/E32</f>
        <v>8.4337349397590355E-2</v>
      </c>
      <c r="H32" s="369">
        <v>38</v>
      </c>
      <c r="I32" s="368">
        <f>H32/E32</f>
        <v>0.45783132530120479</v>
      </c>
      <c r="J32" s="369">
        <v>1</v>
      </c>
      <c r="K32" s="368">
        <f>J32/E32</f>
        <v>1.2048192771084338E-2</v>
      </c>
      <c r="L32" s="369">
        <v>15</v>
      </c>
      <c r="M32" s="368">
        <f>L32/E32</f>
        <v>0.18072289156626506</v>
      </c>
      <c r="N32" s="370">
        <v>7</v>
      </c>
      <c r="O32" s="371">
        <f>N32/E32</f>
        <v>8.4337349397590355E-2</v>
      </c>
      <c r="P32" s="369">
        <v>6</v>
      </c>
      <c r="Q32" s="368">
        <f>P32/E32</f>
        <v>7.2289156626506021E-2</v>
      </c>
      <c r="R32" s="370">
        <v>9</v>
      </c>
      <c r="S32" s="371">
        <f>R32/E32</f>
        <v>0.10843373493975904</v>
      </c>
      <c r="U32" s="1105">
        <f t="shared" si="3"/>
        <v>1</v>
      </c>
      <c r="X32" s="460">
        <f>VLOOKUP(B32,'2122 Funding Detail'!$A$4:$M$21,13,(FALSE))</f>
        <v>83.916666666666686</v>
      </c>
      <c r="Y32" s="460">
        <f t="shared" si="4"/>
        <v>0.91666666666668561</v>
      </c>
    </row>
    <row r="33" spans="2:25" ht="20.5" x14ac:dyDescent="0.25">
      <c r="B33" s="238">
        <v>9257031</v>
      </c>
      <c r="C33" s="455" t="s">
        <v>257</v>
      </c>
      <c r="D33" s="365" t="s">
        <v>1179</v>
      </c>
      <c r="E33" s="453">
        <f>F33+H33+J33+L33+N33+P33+R33</f>
        <v>0</v>
      </c>
      <c r="F33" s="369">
        <v>0</v>
      </c>
      <c r="G33" s="368">
        <v>0</v>
      </c>
      <c r="H33" s="369">
        <v>0</v>
      </c>
      <c r="I33" s="368">
        <v>0</v>
      </c>
      <c r="J33" s="369">
        <v>0</v>
      </c>
      <c r="K33" s="368">
        <v>1</v>
      </c>
      <c r="L33" s="369">
        <v>0</v>
      </c>
      <c r="M33" s="368">
        <v>0</v>
      </c>
      <c r="N33" s="370">
        <v>0</v>
      </c>
      <c r="O33" s="371">
        <v>0</v>
      </c>
      <c r="P33" s="369">
        <v>0</v>
      </c>
      <c r="Q33" s="368">
        <v>0</v>
      </c>
      <c r="R33" s="370">
        <v>0</v>
      </c>
      <c r="S33" s="371">
        <v>0</v>
      </c>
      <c r="U33" s="1105">
        <f t="shared" si="3"/>
        <v>1</v>
      </c>
      <c r="X33" s="460">
        <f>VLOOKUP(B33,'2122 Funding Detail'!$A$4:$M$21,13,(FALSE))</f>
        <v>80.583333333333343</v>
      </c>
      <c r="Y33" s="460">
        <f t="shared" si="4"/>
        <v>80.583333333333343</v>
      </c>
    </row>
    <row r="34" spans="2:25" ht="30.5" x14ac:dyDescent="0.25">
      <c r="B34" s="238">
        <v>9257033</v>
      </c>
      <c r="C34" s="455" t="s">
        <v>220</v>
      </c>
      <c r="D34" s="365" t="s">
        <v>1178</v>
      </c>
      <c r="E34" s="453">
        <v>95</v>
      </c>
      <c r="F34" s="369">
        <v>16</v>
      </c>
      <c r="G34" s="368">
        <f>F34/E34</f>
        <v>0.16842105263157894</v>
      </c>
      <c r="H34" s="369">
        <v>51</v>
      </c>
      <c r="I34" s="368">
        <f>H34/E34</f>
        <v>0.5368421052631579</v>
      </c>
      <c r="J34" s="369">
        <v>6</v>
      </c>
      <c r="K34" s="368">
        <f>J34/E34</f>
        <v>6.3157894736842107E-2</v>
      </c>
      <c r="L34" s="369">
        <v>14</v>
      </c>
      <c r="M34" s="368">
        <f>L34/E34</f>
        <v>0.14736842105263157</v>
      </c>
      <c r="N34" s="370">
        <v>4</v>
      </c>
      <c r="O34" s="371">
        <f>N34/E34</f>
        <v>4.2105263157894736E-2</v>
      </c>
      <c r="P34" s="369">
        <v>4</v>
      </c>
      <c r="Q34" s="368">
        <f>P34/E34</f>
        <v>4.2105263157894736E-2</v>
      </c>
      <c r="R34" s="370">
        <v>0</v>
      </c>
      <c r="S34" s="371">
        <f>R34/E34</f>
        <v>0</v>
      </c>
      <c r="U34" s="1105">
        <f t="shared" si="3"/>
        <v>1</v>
      </c>
      <c r="X34" s="460">
        <f>VLOOKUP(B34,'2122 Funding Detail'!$A$4:$M$21,13,(FALSE))</f>
        <v>98.416666666666671</v>
      </c>
      <c r="Y34" s="460">
        <f t="shared" si="4"/>
        <v>3.4166666666666714</v>
      </c>
    </row>
    <row r="35" spans="2:25" ht="20.5" x14ac:dyDescent="0.25">
      <c r="B35" s="238">
        <v>9257008</v>
      </c>
      <c r="C35" s="455" t="s">
        <v>212</v>
      </c>
      <c r="D35" s="365">
        <v>4</v>
      </c>
      <c r="E35" s="453">
        <v>99</v>
      </c>
      <c r="F35" s="369">
        <v>10</v>
      </c>
      <c r="G35" s="368">
        <f>F35/E35</f>
        <v>0.10101010101010101</v>
      </c>
      <c r="H35" s="369">
        <v>58</v>
      </c>
      <c r="I35" s="368">
        <f>H35/E35</f>
        <v>0.58585858585858586</v>
      </c>
      <c r="J35" s="369">
        <v>8</v>
      </c>
      <c r="K35" s="368">
        <f>J35/E35</f>
        <v>8.0808080808080815E-2</v>
      </c>
      <c r="L35" s="369">
        <v>9</v>
      </c>
      <c r="M35" s="368">
        <f>L35/E35</f>
        <v>9.0909090909090912E-2</v>
      </c>
      <c r="N35" s="373">
        <v>1</v>
      </c>
      <c r="O35" s="371">
        <f>N35/E35</f>
        <v>1.0101010101010102E-2</v>
      </c>
      <c r="P35" s="369">
        <v>12</v>
      </c>
      <c r="Q35" s="368">
        <f>P35/E35</f>
        <v>0.12121212121212122</v>
      </c>
      <c r="R35" s="373">
        <v>1</v>
      </c>
      <c r="S35" s="371">
        <f>R35/E35</f>
        <v>1.0101010101010102E-2</v>
      </c>
      <c r="U35" s="1105">
        <f t="shared" si="3"/>
        <v>0.99999999999999989</v>
      </c>
      <c r="X35" s="460">
        <f>VLOOKUP(B35,'2122 Funding Detail'!$A$4:$M$21,13,(FALSE))</f>
        <v>98.583333333333343</v>
      </c>
      <c r="Y35" s="460">
        <f t="shared" si="4"/>
        <v>-0.41666666666665719</v>
      </c>
    </row>
    <row r="36" spans="2:25" ht="20.5" x14ac:dyDescent="0.25">
      <c r="B36" s="238">
        <v>9257034</v>
      </c>
      <c r="C36" s="455" t="s">
        <v>221</v>
      </c>
      <c r="D36" s="365" t="s">
        <v>1178</v>
      </c>
      <c r="E36" s="453">
        <v>99</v>
      </c>
      <c r="F36" s="369">
        <v>42</v>
      </c>
      <c r="G36" s="368">
        <f>F36/E36</f>
        <v>0.42424242424242425</v>
      </c>
      <c r="H36" s="369">
        <v>29</v>
      </c>
      <c r="I36" s="368">
        <f>H36/E36</f>
        <v>0.29292929292929293</v>
      </c>
      <c r="J36" s="369">
        <v>14</v>
      </c>
      <c r="K36" s="368">
        <f>J36/E36</f>
        <v>0.14141414141414141</v>
      </c>
      <c r="L36" s="369">
        <v>3</v>
      </c>
      <c r="M36" s="368">
        <f>L36/E36</f>
        <v>3.0303030303030304E-2</v>
      </c>
      <c r="N36" s="370">
        <v>4</v>
      </c>
      <c r="O36" s="371">
        <f>N36/E36</f>
        <v>4.0404040404040407E-2</v>
      </c>
      <c r="P36" s="369">
        <v>6</v>
      </c>
      <c r="Q36" s="368">
        <f>P36/E36</f>
        <v>6.0606060606060608E-2</v>
      </c>
      <c r="R36" s="370">
        <v>1</v>
      </c>
      <c r="S36" s="371">
        <f>R36/E36</f>
        <v>1.0101010101010102E-2</v>
      </c>
      <c r="U36" s="1105">
        <f t="shared" si="3"/>
        <v>0.99999999999999989</v>
      </c>
      <c r="X36" s="460">
        <f>VLOOKUP(B36,'2122 Funding Detail'!$A$4:$M$21,13,(FALSE))</f>
        <v>123.16666666666666</v>
      </c>
      <c r="Y36" s="460">
        <f t="shared" si="4"/>
        <v>24.166666666666657</v>
      </c>
    </row>
    <row r="37" spans="2:25" ht="20.5" x14ac:dyDescent="0.25">
      <c r="B37" s="238">
        <v>9257002</v>
      </c>
      <c r="C37" s="455" t="s">
        <v>213</v>
      </c>
      <c r="D37" s="365">
        <v>4</v>
      </c>
      <c r="E37" s="453">
        <v>141</v>
      </c>
      <c r="F37" s="369">
        <v>50</v>
      </c>
      <c r="G37" s="368">
        <f>F37/E37</f>
        <v>0.3546099290780142</v>
      </c>
      <c r="H37" s="369">
        <v>54</v>
      </c>
      <c r="I37" s="368">
        <f>H37/E37</f>
        <v>0.38297872340425532</v>
      </c>
      <c r="J37" s="369">
        <v>18</v>
      </c>
      <c r="K37" s="368">
        <f>J37/E37</f>
        <v>0.1276595744680851</v>
      </c>
      <c r="L37" s="369">
        <v>4</v>
      </c>
      <c r="M37" s="368">
        <f>L37/E37</f>
        <v>2.8368794326241134E-2</v>
      </c>
      <c r="N37" s="370">
        <v>3</v>
      </c>
      <c r="O37" s="371">
        <f>N37/E37</f>
        <v>2.1276595744680851E-2</v>
      </c>
      <c r="P37" s="369">
        <v>11</v>
      </c>
      <c r="Q37" s="368">
        <f>P37/E37</f>
        <v>7.8014184397163122E-2</v>
      </c>
      <c r="R37" s="370">
        <v>1</v>
      </c>
      <c r="S37" s="371">
        <f>R37/E37</f>
        <v>7.0921985815602835E-3</v>
      </c>
      <c r="U37" s="1105">
        <f t="shared" si="3"/>
        <v>1</v>
      </c>
      <c r="X37" s="460">
        <f>VLOOKUP(B37,'2122 Funding Detail'!$A$4:$M$21,13,(FALSE))</f>
        <v>150.58333333333334</v>
      </c>
      <c r="Y37" s="460">
        <f t="shared" si="4"/>
        <v>9.5833333333333428</v>
      </c>
    </row>
    <row r="38" spans="2:25" ht="20.5" x14ac:dyDescent="0.25">
      <c r="B38" s="238">
        <v>9257009</v>
      </c>
      <c r="C38" s="455" t="s">
        <v>214</v>
      </c>
      <c r="D38" s="365">
        <v>4</v>
      </c>
      <c r="E38" s="453">
        <v>125</v>
      </c>
      <c r="F38" s="369">
        <v>29</v>
      </c>
      <c r="G38" s="368">
        <f>F38/E38</f>
        <v>0.23200000000000001</v>
      </c>
      <c r="H38" s="369">
        <v>72</v>
      </c>
      <c r="I38" s="368">
        <f>H38/E38</f>
        <v>0.57599999999999996</v>
      </c>
      <c r="J38" s="369">
        <v>10</v>
      </c>
      <c r="K38" s="368">
        <f>J38/E38</f>
        <v>0.08</v>
      </c>
      <c r="L38" s="369">
        <v>3</v>
      </c>
      <c r="M38" s="368">
        <f>L38/E38</f>
        <v>2.4E-2</v>
      </c>
      <c r="N38" s="370">
        <v>1</v>
      </c>
      <c r="O38" s="371">
        <f>N38/E38</f>
        <v>8.0000000000000002E-3</v>
      </c>
      <c r="P38" s="369">
        <v>10</v>
      </c>
      <c r="Q38" s="368">
        <f>P38/E38</f>
        <v>0.08</v>
      </c>
      <c r="R38" s="370">
        <v>0</v>
      </c>
      <c r="S38" s="371">
        <f>R38/E38</f>
        <v>0</v>
      </c>
      <c r="U38" s="1105">
        <f t="shared" si="3"/>
        <v>0.99999999999999989</v>
      </c>
      <c r="X38" s="460">
        <f>VLOOKUP(B38,'2122 Funding Detail'!$A$4:$M$21,13,(FALSE))</f>
        <v>136</v>
      </c>
      <c r="Y38" s="460">
        <f t="shared" si="4"/>
        <v>11</v>
      </c>
    </row>
    <row r="39" spans="2:25" ht="20.5" x14ac:dyDescent="0.25">
      <c r="B39" s="238">
        <v>9257029</v>
      </c>
      <c r="C39" s="455" t="s">
        <v>890</v>
      </c>
      <c r="D39" s="365" t="s">
        <v>1179</v>
      </c>
      <c r="E39" s="453">
        <f>F39+H39+J39+L39+N39+P39+R39</f>
        <v>0</v>
      </c>
      <c r="F39" s="369">
        <v>0</v>
      </c>
      <c r="G39" s="368">
        <v>0</v>
      </c>
      <c r="H39" s="369">
        <v>0</v>
      </c>
      <c r="I39" s="368">
        <v>0</v>
      </c>
      <c r="J39" s="369">
        <v>0</v>
      </c>
      <c r="K39" s="368">
        <v>1</v>
      </c>
      <c r="L39" s="369">
        <v>0</v>
      </c>
      <c r="M39" s="368">
        <v>0</v>
      </c>
      <c r="N39" s="370">
        <v>0</v>
      </c>
      <c r="O39" s="371">
        <v>0</v>
      </c>
      <c r="P39" s="369">
        <v>0</v>
      </c>
      <c r="Q39" s="368">
        <v>0</v>
      </c>
      <c r="R39" s="370">
        <v>0</v>
      </c>
      <c r="S39" s="371">
        <v>0</v>
      </c>
      <c r="U39" s="1105">
        <f t="shared" si="3"/>
        <v>1</v>
      </c>
      <c r="X39" s="460">
        <f>VLOOKUP(B39,'2122 Funding Detail'!$A$4:$M$21,13,(FALSE))</f>
        <v>74.666666666666671</v>
      </c>
      <c r="Y39" s="460">
        <f t="shared" si="4"/>
        <v>74.666666666666671</v>
      </c>
    </row>
    <row r="40" spans="2:25" ht="20.5" x14ac:dyDescent="0.25">
      <c r="B40" s="238">
        <v>9257032</v>
      </c>
      <c r="C40" s="455" t="s">
        <v>813</v>
      </c>
      <c r="D40" s="365" t="s">
        <v>1179</v>
      </c>
      <c r="E40" s="453">
        <f>F40+H40+J40+L40+N40+P40+R40</f>
        <v>0</v>
      </c>
      <c r="F40" s="369">
        <v>0</v>
      </c>
      <c r="G40" s="368">
        <v>0</v>
      </c>
      <c r="H40" s="369">
        <v>0</v>
      </c>
      <c r="I40" s="368">
        <v>0</v>
      </c>
      <c r="J40" s="369">
        <v>0</v>
      </c>
      <c r="K40" s="368">
        <v>1</v>
      </c>
      <c r="L40" s="369">
        <v>0</v>
      </c>
      <c r="M40" s="368">
        <v>0</v>
      </c>
      <c r="N40" s="370">
        <v>0</v>
      </c>
      <c r="O40" s="371">
        <v>0</v>
      </c>
      <c r="P40" s="369">
        <v>0</v>
      </c>
      <c r="Q40" s="368">
        <v>0</v>
      </c>
      <c r="R40" s="370">
        <v>0</v>
      </c>
      <c r="S40" s="371">
        <v>0</v>
      </c>
      <c r="U40" s="1105">
        <f t="shared" si="3"/>
        <v>1</v>
      </c>
      <c r="X40" s="460">
        <f>VLOOKUP(B40,'2122 Funding Detail'!$A$4:$M$21,13,(FALSE))</f>
        <v>94.833333333333343</v>
      </c>
      <c r="Y40" s="460">
        <f t="shared" si="4"/>
        <v>94.833333333333343</v>
      </c>
    </row>
    <row r="41" spans="2:25" ht="20.5" x14ac:dyDescent="0.25">
      <c r="B41" s="238">
        <v>9257030</v>
      </c>
      <c r="C41" s="455" t="s">
        <v>815</v>
      </c>
      <c r="D41" s="365" t="s">
        <v>1179</v>
      </c>
      <c r="E41" s="453">
        <f>F41+H41+J41+L41+N41+P41+R41</f>
        <v>0</v>
      </c>
      <c r="F41" s="367">
        <v>0</v>
      </c>
      <c r="G41" s="368">
        <v>0</v>
      </c>
      <c r="H41" s="369">
        <v>0</v>
      </c>
      <c r="I41" s="368">
        <v>0</v>
      </c>
      <c r="J41" s="369">
        <v>0</v>
      </c>
      <c r="K41" s="368">
        <v>1</v>
      </c>
      <c r="L41" s="369">
        <v>0</v>
      </c>
      <c r="M41" s="368">
        <v>0</v>
      </c>
      <c r="N41" s="370">
        <v>0</v>
      </c>
      <c r="O41" s="371">
        <v>0</v>
      </c>
      <c r="P41" s="369">
        <v>0</v>
      </c>
      <c r="Q41" s="368">
        <v>0</v>
      </c>
      <c r="R41" s="370">
        <v>0</v>
      </c>
      <c r="S41" s="371">
        <v>0</v>
      </c>
      <c r="U41" s="1105">
        <f t="shared" si="3"/>
        <v>1</v>
      </c>
      <c r="X41" s="460">
        <f>VLOOKUP(B41,'2122 Funding Detail'!$A$4:$M$21,13,(FALSE))</f>
        <v>73.25</v>
      </c>
      <c r="Y41" s="460">
        <f t="shared" si="4"/>
        <v>73.25</v>
      </c>
    </row>
    <row r="42" spans="2:25" ht="20.5" x14ac:dyDescent="0.25">
      <c r="B42" s="238">
        <v>9257028</v>
      </c>
      <c r="C42" s="455" t="s">
        <v>215</v>
      </c>
      <c r="D42" s="365">
        <v>4</v>
      </c>
      <c r="E42" s="453">
        <v>101</v>
      </c>
      <c r="F42" s="369">
        <v>9</v>
      </c>
      <c r="G42" s="368">
        <f>F42/E42</f>
        <v>8.9108910891089105E-2</v>
      </c>
      <c r="H42" s="367">
        <v>41</v>
      </c>
      <c r="I42" s="368">
        <f>H42/E42</f>
        <v>0.40594059405940597</v>
      </c>
      <c r="J42" s="367">
        <v>8</v>
      </c>
      <c r="K42" s="368">
        <f>J42/E42</f>
        <v>7.9207920792079209E-2</v>
      </c>
      <c r="L42" s="367">
        <v>9</v>
      </c>
      <c r="M42" s="368">
        <f>L42/E42</f>
        <v>8.9108910891089105E-2</v>
      </c>
      <c r="N42" s="370">
        <v>13</v>
      </c>
      <c r="O42" s="371">
        <f>N42/E42</f>
        <v>0.12871287128712872</v>
      </c>
      <c r="P42" s="367">
        <v>10</v>
      </c>
      <c r="Q42" s="368">
        <f>P42/E42</f>
        <v>9.9009900990099015E-2</v>
      </c>
      <c r="R42" s="370">
        <v>11</v>
      </c>
      <c r="S42" s="371">
        <f>R42/E42</f>
        <v>0.10891089108910891</v>
      </c>
      <c r="U42" s="1105">
        <f t="shared" si="3"/>
        <v>0.99999999999999989</v>
      </c>
      <c r="X42" s="460">
        <f>VLOOKUP(B42,'2122 Funding Detail'!$A$4:$M$21,13,(FALSE))</f>
        <v>112.16666666666667</v>
      </c>
      <c r="Y42" s="460">
        <f t="shared" si="4"/>
        <v>11.166666666666671</v>
      </c>
    </row>
    <row r="43" spans="2:25" ht="30.5" x14ac:dyDescent="0.25">
      <c r="B43" s="238">
        <v>9257021</v>
      </c>
      <c r="C43" s="455" t="s">
        <v>216</v>
      </c>
      <c r="D43" s="365" t="s">
        <v>1180</v>
      </c>
      <c r="E43" s="453">
        <v>164</v>
      </c>
      <c r="F43" s="369">
        <v>44</v>
      </c>
      <c r="G43" s="368">
        <f>F43/E43</f>
        <v>0.26829268292682928</v>
      </c>
      <c r="H43" s="369">
        <v>70</v>
      </c>
      <c r="I43" s="368">
        <f>H43/E43</f>
        <v>0.42682926829268292</v>
      </c>
      <c r="J43" s="369">
        <v>13</v>
      </c>
      <c r="K43" s="368">
        <f>J43/E43</f>
        <v>7.926829268292683E-2</v>
      </c>
      <c r="L43" s="369">
        <v>11</v>
      </c>
      <c r="M43" s="368">
        <f>L43/E43</f>
        <v>6.7073170731707321E-2</v>
      </c>
      <c r="N43" s="370">
        <v>9</v>
      </c>
      <c r="O43" s="371">
        <f>N43/E43</f>
        <v>5.4878048780487805E-2</v>
      </c>
      <c r="P43" s="369">
        <v>15</v>
      </c>
      <c r="Q43" s="368">
        <f>P43/E43</f>
        <v>9.1463414634146339E-2</v>
      </c>
      <c r="R43" s="370">
        <v>2</v>
      </c>
      <c r="S43" s="371">
        <f>R43/E43</f>
        <v>1.2195121951219513E-2</v>
      </c>
      <c r="U43" s="1105">
        <f t="shared" si="3"/>
        <v>0.99999999999999989</v>
      </c>
      <c r="X43" s="460">
        <f>VLOOKUP(B43,'2122 Funding Detail'!$A$4:$M$21,13,(FALSE))</f>
        <v>167.75</v>
      </c>
      <c r="Y43" s="460">
        <f t="shared" si="4"/>
        <v>3.75</v>
      </c>
    </row>
    <row r="44" spans="2:25" ht="30.5" x14ac:dyDescent="0.25">
      <c r="B44" s="238">
        <v>9257015</v>
      </c>
      <c r="C44" s="455" t="s">
        <v>217</v>
      </c>
      <c r="D44" s="365" t="s">
        <v>1181</v>
      </c>
      <c r="E44" s="453">
        <v>226</v>
      </c>
      <c r="F44" s="369">
        <v>75</v>
      </c>
      <c r="G44" s="368">
        <f>F44/E44</f>
        <v>0.33185840707964603</v>
      </c>
      <c r="H44" s="369">
        <v>87</v>
      </c>
      <c r="I44" s="368">
        <f>H44/E44</f>
        <v>0.38495575221238937</v>
      </c>
      <c r="J44" s="369">
        <v>4</v>
      </c>
      <c r="K44" s="368">
        <f>J44/E44</f>
        <v>1.7699115044247787E-2</v>
      </c>
      <c r="L44" s="369">
        <v>20</v>
      </c>
      <c r="M44" s="368">
        <f>L44/E44</f>
        <v>8.8495575221238937E-2</v>
      </c>
      <c r="N44" s="370">
        <v>5</v>
      </c>
      <c r="O44" s="371">
        <f>N44/E44</f>
        <v>2.2123893805309734E-2</v>
      </c>
      <c r="P44" s="369">
        <v>32</v>
      </c>
      <c r="Q44" s="368">
        <f>P44/E44</f>
        <v>0.1415929203539823</v>
      </c>
      <c r="R44" s="370">
        <v>3</v>
      </c>
      <c r="S44" s="371">
        <f>R44/E44</f>
        <v>1.3274336283185841E-2</v>
      </c>
      <c r="U44" s="1105">
        <f t="shared" si="3"/>
        <v>1</v>
      </c>
      <c r="X44" s="460">
        <f>VLOOKUP(B44,'2122 Funding Detail'!$A$4:$M$21,13,(FALSE))</f>
        <v>228.08333333333334</v>
      </c>
      <c r="Y44" s="460">
        <f t="shared" si="4"/>
        <v>2.0833333333333428</v>
      </c>
    </row>
    <row r="45" spans="2:25" ht="20.5" x14ac:dyDescent="0.25">
      <c r="B45" s="238">
        <v>9257016</v>
      </c>
      <c r="C45" s="455" t="s">
        <v>219</v>
      </c>
      <c r="D45" s="365" t="s">
        <v>1181</v>
      </c>
      <c r="E45" s="453">
        <v>161</v>
      </c>
      <c r="F45" s="369">
        <v>29</v>
      </c>
      <c r="G45" s="368">
        <f>F45/E45</f>
        <v>0.18012422360248448</v>
      </c>
      <c r="H45" s="369">
        <v>25</v>
      </c>
      <c r="I45" s="368">
        <f>H45/E45</f>
        <v>0.15527950310559005</v>
      </c>
      <c r="J45" s="369">
        <v>1</v>
      </c>
      <c r="K45" s="368">
        <f>J45/E45</f>
        <v>6.2111801242236021E-3</v>
      </c>
      <c r="L45" s="369">
        <v>36</v>
      </c>
      <c r="M45" s="368">
        <f>L45/E45</f>
        <v>0.2236024844720497</v>
      </c>
      <c r="N45" s="370">
        <v>34</v>
      </c>
      <c r="O45" s="371">
        <f>N45/E45</f>
        <v>0.21118012422360249</v>
      </c>
      <c r="P45" s="369">
        <v>2</v>
      </c>
      <c r="Q45" s="368">
        <f>P45/E45</f>
        <v>1.2422360248447204E-2</v>
      </c>
      <c r="R45" s="370">
        <v>34</v>
      </c>
      <c r="S45" s="371">
        <f>R45/E45</f>
        <v>0.21118012422360249</v>
      </c>
      <c r="U45" s="1105">
        <f t="shared" si="3"/>
        <v>1</v>
      </c>
      <c r="X45" s="460">
        <f>VLOOKUP(B45,'2122 Funding Detail'!$A$4:$M$21,13,(FALSE))</f>
        <v>162.08333333333334</v>
      </c>
      <c r="Y45" s="460">
        <f t="shared" si="4"/>
        <v>1.0833333333333428</v>
      </c>
    </row>
    <row r="47" spans="2:25" ht="13" x14ac:dyDescent="0.3">
      <c r="E47" s="1106">
        <f>SUM(E28:E46)</f>
        <v>1567</v>
      </c>
      <c r="F47" s="376">
        <f>SUM(F28:F46)</f>
        <v>331</v>
      </c>
      <c r="G47" s="289"/>
      <c r="H47" s="376">
        <f>SUM(H28:H46)</f>
        <v>627</v>
      </c>
      <c r="I47" s="289"/>
      <c r="J47" s="376">
        <f>SUM(J28:J46)</f>
        <v>98</v>
      </c>
      <c r="K47" s="289"/>
      <c r="L47" s="376">
        <f>SUM(L28:L46)</f>
        <v>168</v>
      </c>
      <c r="M47" s="289"/>
      <c r="N47" s="376">
        <f>SUM(N28:N46)</f>
        <v>106</v>
      </c>
      <c r="O47" s="289"/>
      <c r="P47" s="376">
        <f>SUM(P28:P46)</f>
        <v>151</v>
      </c>
      <c r="Q47" s="289"/>
      <c r="R47" s="376">
        <f>SUM(R28:R46)</f>
        <v>86</v>
      </c>
    </row>
    <row r="48" spans="2:25" x14ac:dyDescent="0.25">
      <c r="E48" s="460">
        <f>E47+X33+X39+X40+X41</f>
        <v>1890.3333333333333</v>
      </c>
      <c r="F48" s="460">
        <f>F47</f>
        <v>331</v>
      </c>
      <c r="G48" s="1119"/>
      <c r="H48" s="460">
        <f>H47</f>
        <v>627</v>
      </c>
      <c r="J48" s="460">
        <f>J47+X33+X39+X40+X41</f>
        <v>421.33333333333337</v>
      </c>
      <c r="L48" s="460">
        <f>L47</f>
        <v>168</v>
      </c>
      <c r="N48" s="460">
        <f>N47</f>
        <v>106</v>
      </c>
      <c r="P48" s="460">
        <f>P47</f>
        <v>151</v>
      </c>
      <c r="R48" s="460">
        <f>R47</f>
        <v>86</v>
      </c>
    </row>
    <row r="49" spans="2:19" ht="13" x14ac:dyDescent="0.3">
      <c r="B49" s="458" t="s">
        <v>1639</v>
      </c>
      <c r="C49" s="316"/>
      <c r="D49" s="316"/>
      <c r="E49" s="316"/>
      <c r="F49" s="1117">
        <f>F48/$E$48</f>
        <v>0.17510139305237171</v>
      </c>
      <c r="G49" s="1117"/>
      <c r="H49" s="1117">
        <f>H48/$E$48</f>
        <v>0.3316875330629519</v>
      </c>
      <c r="I49" s="1117"/>
      <c r="J49" s="1117">
        <f>J48/$E$48</f>
        <v>0.2228883794745195</v>
      </c>
      <c r="K49" s="1117"/>
      <c r="L49" s="1117">
        <f>L48/$E$48</f>
        <v>8.8873214600599548E-2</v>
      </c>
      <c r="M49" s="1117"/>
      <c r="N49" s="1117">
        <f>N48/$E$48</f>
        <v>5.6074766355140186E-2</v>
      </c>
      <c r="O49" s="1117"/>
      <c r="P49" s="1117">
        <f>P48/$E$48</f>
        <v>7.98800916945865E-2</v>
      </c>
      <c r="Q49" s="1117"/>
      <c r="R49" s="1117">
        <f>R48/$E$48</f>
        <v>4.5494621759830718E-2</v>
      </c>
      <c r="S49" s="316"/>
    </row>
    <row r="50" spans="2:19" x14ac:dyDescent="0.25">
      <c r="B50" s="316"/>
      <c r="C50" s="316"/>
      <c r="D50" s="316"/>
      <c r="E50" s="316"/>
      <c r="F50" s="1274"/>
      <c r="G50" s="316"/>
      <c r="H50" s="1274"/>
      <c r="I50" s="316"/>
      <c r="J50" s="1274"/>
      <c r="K50" s="316"/>
      <c r="L50" s="316"/>
      <c r="M50" s="316"/>
      <c r="N50" s="316"/>
      <c r="O50" s="316"/>
      <c r="P50" s="316"/>
      <c r="Q50" s="316"/>
      <c r="R50" s="316"/>
      <c r="S50" s="316"/>
    </row>
    <row r="51" spans="2:19" ht="31.5" x14ac:dyDescent="0.25">
      <c r="B51" s="316"/>
      <c r="C51" s="357" t="s">
        <v>183</v>
      </c>
      <c r="D51" s="358" t="s">
        <v>184</v>
      </c>
      <c r="E51" s="359" t="s">
        <v>792</v>
      </c>
      <c r="F51" s="360" t="s">
        <v>735</v>
      </c>
      <c r="G51" s="361" t="s">
        <v>901</v>
      </c>
      <c r="H51" s="360" t="s">
        <v>736</v>
      </c>
      <c r="I51" s="361" t="s">
        <v>920</v>
      </c>
      <c r="J51" s="360" t="s">
        <v>737</v>
      </c>
      <c r="K51" s="361" t="s">
        <v>921</v>
      </c>
      <c r="L51" s="360" t="s">
        <v>738</v>
      </c>
      <c r="M51" s="361" t="s">
        <v>922</v>
      </c>
      <c r="N51" s="362" t="s">
        <v>739</v>
      </c>
      <c r="O51" s="363" t="s">
        <v>923</v>
      </c>
      <c r="P51" s="360" t="s">
        <v>741</v>
      </c>
      <c r="Q51" s="361" t="s">
        <v>924</v>
      </c>
      <c r="R51" s="362" t="s">
        <v>743</v>
      </c>
      <c r="S51" s="363" t="s">
        <v>925</v>
      </c>
    </row>
    <row r="52" spans="2:19" ht="20.5" x14ac:dyDescent="0.25">
      <c r="B52" s="316"/>
      <c r="C52" s="364" t="s">
        <v>205</v>
      </c>
      <c r="D52" s="365">
        <v>3</v>
      </c>
      <c r="E52" s="366">
        <f t="shared" ref="E52:S52" si="5">E5-E28</f>
        <v>35</v>
      </c>
      <c r="F52" s="385">
        <f t="shared" si="5"/>
        <v>5</v>
      </c>
      <c r="G52" s="384">
        <f t="shared" si="5"/>
        <v>4.5351473922902494E-2</v>
      </c>
      <c r="H52" s="385">
        <f t="shared" si="5"/>
        <v>22</v>
      </c>
      <c r="I52" s="384">
        <f t="shared" si="5"/>
        <v>0.1111111111111111</v>
      </c>
      <c r="J52" s="385">
        <f t="shared" si="5"/>
        <v>1</v>
      </c>
      <c r="K52" s="384">
        <f t="shared" si="5"/>
        <v>-2.3809523809523808E-2</v>
      </c>
      <c r="L52" s="385">
        <f t="shared" si="5"/>
        <v>2</v>
      </c>
      <c r="M52" s="384">
        <f t="shared" si="5"/>
        <v>-4.1950113378684789E-2</v>
      </c>
      <c r="N52" s="385">
        <f t="shared" si="5"/>
        <v>4</v>
      </c>
      <c r="O52" s="384">
        <f t="shared" si="5"/>
        <v>1.8140589569160995E-2</v>
      </c>
      <c r="P52" s="385">
        <f t="shared" si="5"/>
        <v>-1</v>
      </c>
      <c r="Q52" s="384">
        <f t="shared" si="5"/>
        <v>-7.8231292517006792E-2</v>
      </c>
      <c r="R52" s="385">
        <f t="shared" si="5"/>
        <v>2</v>
      </c>
      <c r="S52" s="384">
        <f t="shared" si="5"/>
        <v>-3.0612244897959176E-2</v>
      </c>
    </row>
    <row r="53" spans="2:19" ht="20.5" x14ac:dyDescent="0.25">
      <c r="B53" s="316"/>
      <c r="C53" s="364" t="s">
        <v>208</v>
      </c>
      <c r="D53" s="365">
        <v>3</v>
      </c>
      <c r="E53" s="366">
        <f t="shared" ref="E53:S53" si="6">E6-E29</f>
        <v>6</v>
      </c>
      <c r="F53" s="385">
        <f t="shared" si="6"/>
        <v>1</v>
      </c>
      <c r="G53" s="384">
        <f t="shared" si="6"/>
        <v>8.1395348837209267E-3</v>
      </c>
      <c r="H53" s="385">
        <f t="shared" si="6"/>
        <v>1</v>
      </c>
      <c r="I53" s="384">
        <f t="shared" si="6"/>
        <v>-1.6279069767441867E-2</v>
      </c>
      <c r="J53" s="385">
        <f t="shared" si="6"/>
        <v>3</v>
      </c>
      <c r="K53" s="384">
        <f t="shared" si="6"/>
        <v>3.0523255813953487E-2</v>
      </c>
      <c r="L53" s="385">
        <f t="shared" si="6"/>
        <v>0</v>
      </c>
      <c r="M53" s="384">
        <f t="shared" si="6"/>
        <v>-1.0465116279069764E-2</v>
      </c>
      <c r="N53" s="385">
        <f t="shared" si="6"/>
        <v>0</v>
      </c>
      <c r="O53" s="384">
        <f t="shared" si="6"/>
        <v>-8.7209302325581411E-3</v>
      </c>
      <c r="P53" s="385">
        <f t="shared" si="6"/>
        <v>1</v>
      </c>
      <c r="Q53" s="384">
        <f t="shared" si="6"/>
        <v>1.1627906976744151E-3</v>
      </c>
      <c r="R53" s="385">
        <f t="shared" si="6"/>
        <v>0</v>
      </c>
      <c r="S53" s="384">
        <f t="shared" si="6"/>
        <v>-4.3604651162790706E-3</v>
      </c>
    </row>
    <row r="54" spans="2:19" ht="20.5" x14ac:dyDescent="0.25">
      <c r="B54" s="316"/>
      <c r="C54" s="364" t="s">
        <v>209</v>
      </c>
      <c r="D54" s="365">
        <v>3</v>
      </c>
      <c r="E54" s="366">
        <f t="shared" ref="E54:S54" si="7">E7-E30</f>
        <v>2</v>
      </c>
      <c r="F54" s="385">
        <f t="shared" si="7"/>
        <v>-1</v>
      </c>
      <c r="G54" s="384">
        <f t="shared" si="7"/>
        <v>-1.6603649515041924E-2</v>
      </c>
      <c r="H54" s="385">
        <f t="shared" si="7"/>
        <v>6</v>
      </c>
      <c r="I54" s="384">
        <f t="shared" si="7"/>
        <v>6.5757027782344213E-2</v>
      </c>
      <c r="J54" s="385">
        <f t="shared" si="7"/>
        <v>0</v>
      </c>
      <c r="K54" s="384">
        <f t="shared" si="7"/>
        <v>-9.8635541673516153E-4</v>
      </c>
      <c r="L54" s="385">
        <f t="shared" si="7"/>
        <v>-3</v>
      </c>
      <c r="M54" s="384">
        <f t="shared" si="7"/>
        <v>-4.1920105211244452E-2</v>
      </c>
      <c r="N54" s="385">
        <f t="shared" si="7"/>
        <v>-1</v>
      </c>
      <c r="O54" s="384">
        <f t="shared" si="7"/>
        <v>-1.3973368403748153E-2</v>
      </c>
      <c r="P54" s="385">
        <f t="shared" si="7"/>
        <v>1</v>
      </c>
      <c r="Q54" s="384">
        <f t="shared" si="7"/>
        <v>9.0415913200723452E-3</v>
      </c>
      <c r="R54" s="385">
        <f t="shared" si="7"/>
        <v>0</v>
      </c>
      <c r="S54" s="384">
        <f t="shared" si="7"/>
        <v>-1.315140555646889E-3</v>
      </c>
    </row>
    <row r="55" spans="2:19" ht="20.5" x14ac:dyDescent="0.25">
      <c r="B55" s="316"/>
      <c r="C55" s="364" t="s">
        <v>210</v>
      </c>
      <c r="D55" s="365">
        <v>3</v>
      </c>
      <c r="E55" s="366" t="e">
        <f>#REF!-E31</f>
        <v>#REF!</v>
      </c>
      <c r="F55" s="385" t="e">
        <f>#REF!-F31</f>
        <v>#REF!</v>
      </c>
      <c r="G55" s="384" t="e">
        <f>#REF!-G31</f>
        <v>#REF!</v>
      </c>
      <c r="H55" s="385" t="e">
        <f>#REF!-H31</f>
        <v>#REF!</v>
      </c>
      <c r="I55" s="384" t="e">
        <f>#REF!-I31</f>
        <v>#REF!</v>
      </c>
      <c r="J55" s="385" t="e">
        <f>#REF!-J31</f>
        <v>#REF!</v>
      </c>
      <c r="K55" s="384" t="e">
        <f>#REF!-K31</f>
        <v>#REF!</v>
      </c>
      <c r="L55" s="385" t="e">
        <f>#REF!-L31</f>
        <v>#REF!</v>
      </c>
      <c r="M55" s="384" t="e">
        <f>#REF!-M31</f>
        <v>#REF!</v>
      </c>
      <c r="N55" s="385" t="e">
        <f>#REF!-N31</f>
        <v>#REF!</v>
      </c>
      <c r="O55" s="384" t="e">
        <f>#REF!-O31</f>
        <v>#REF!</v>
      </c>
      <c r="P55" s="385" t="e">
        <f>#REF!-P31</f>
        <v>#REF!</v>
      </c>
      <c r="Q55" s="384" t="e">
        <f>#REF!-Q31</f>
        <v>#REF!</v>
      </c>
      <c r="R55" s="385" t="e">
        <f>#REF!-R31</f>
        <v>#REF!</v>
      </c>
      <c r="S55" s="384" t="e">
        <f>#REF!-S31</f>
        <v>#REF!</v>
      </c>
    </row>
    <row r="56" spans="2:19" ht="20.5" x14ac:dyDescent="0.25">
      <c r="B56" s="316"/>
      <c r="C56" s="364" t="s">
        <v>211</v>
      </c>
      <c r="D56" s="365">
        <v>3</v>
      </c>
      <c r="E56" s="366">
        <f t="shared" ref="E56:E69" si="8">E8-E32</f>
        <v>1</v>
      </c>
      <c r="F56" s="385">
        <f t="shared" ref="F56:G69" si="9">F8-F32</f>
        <v>-1</v>
      </c>
      <c r="G56" s="384">
        <f t="shared" si="9"/>
        <v>-1.2908777969018931E-2</v>
      </c>
      <c r="H56" s="385">
        <f t="shared" ref="H56:I69" si="10">H8-H32</f>
        <v>5</v>
      </c>
      <c r="I56" s="384">
        <f t="shared" si="10"/>
        <v>5.4073436603557068E-2</v>
      </c>
      <c r="J56" s="385">
        <f t="shared" ref="J56:K69" si="11">J8-J32</f>
        <v>1</v>
      </c>
      <c r="K56" s="384">
        <f t="shared" si="11"/>
        <v>1.176133103843947E-2</v>
      </c>
      <c r="L56" s="385">
        <f t="shared" ref="L56:M69" si="12">L8-L32</f>
        <v>0</v>
      </c>
      <c r="M56" s="384">
        <f t="shared" si="12"/>
        <v>-2.1514629948364838E-3</v>
      </c>
      <c r="N56" s="385">
        <f t="shared" ref="N56:O69" si="13">N8-N32</f>
        <v>0</v>
      </c>
      <c r="O56" s="384">
        <f t="shared" si="13"/>
        <v>-1.0040160642570267E-3</v>
      </c>
      <c r="P56" s="385">
        <f t="shared" ref="P56:Q69" si="14">P8-P32</f>
        <v>0</v>
      </c>
      <c r="Q56" s="384">
        <f t="shared" si="14"/>
        <v>-8.6058519793459631E-4</v>
      </c>
      <c r="R56" s="385">
        <f t="shared" ref="R56:S69" si="15">R8-R32</f>
        <v>-4</v>
      </c>
      <c r="S56" s="384">
        <f t="shared" si="15"/>
        <v>-4.8909925415949518E-2</v>
      </c>
    </row>
    <row r="57" spans="2:19" ht="20.5" x14ac:dyDescent="0.25">
      <c r="B57" s="316"/>
      <c r="C57" s="364" t="s">
        <v>257</v>
      </c>
      <c r="D57" s="365">
        <v>3</v>
      </c>
      <c r="E57" s="366">
        <f t="shared" si="8"/>
        <v>0</v>
      </c>
      <c r="F57" s="385">
        <f t="shared" si="9"/>
        <v>0</v>
      </c>
      <c r="G57" s="384">
        <f t="shared" si="9"/>
        <v>0</v>
      </c>
      <c r="H57" s="385">
        <f t="shared" si="10"/>
        <v>0</v>
      </c>
      <c r="I57" s="384">
        <f t="shared" si="10"/>
        <v>0</v>
      </c>
      <c r="J57" s="385">
        <f t="shared" si="11"/>
        <v>0</v>
      </c>
      <c r="K57" s="384">
        <f t="shared" si="11"/>
        <v>0</v>
      </c>
      <c r="L57" s="385">
        <f t="shared" si="12"/>
        <v>0</v>
      </c>
      <c r="M57" s="384">
        <f t="shared" si="12"/>
        <v>0</v>
      </c>
      <c r="N57" s="385">
        <f t="shared" si="13"/>
        <v>0</v>
      </c>
      <c r="O57" s="384">
        <f t="shared" si="13"/>
        <v>0</v>
      </c>
      <c r="P57" s="385">
        <f t="shared" si="14"/>
        <v>0</v>
      </c>
      <c r="Q57" s="384">
        <f t="shared" si="14"/>
        <v>0</v>
      </c>
      <c r="R57" s="385">
        <f t="shared" si="15"/>
        <v>0</v>
      </c>
      <c r="S57" s="384">
        <f t="shared" si="15"/>
        <v>0</v>
      </c>
    </row>
    <row r="58" spans="2:19" ht="30.5" x14ac:dyDescent="0.25">
      <c r="B58" s="316"/>
      <c r="C58" s="364" t="s">
        <v>220</v>
      </c>
      <c r="D58" s="365">
        <v>3</v>
      </c>
      <c r="E58" s="366">
        <f t="shared" si="8"/>
        <v>13</v>
      </c>
      <c r="F58" s="385">
        <f t="shared" si="9"/>
        <v>-1</v>
      </c>
      <c r="G58" s="384">
        <f t="shared" si="9"/>
        <v>-2.9532163742690049E-2</v>
      </c>
      <c r="H58" s="385">
        <f t="shared" si="10"/>
        <v>17</v>
      </c>
      <c r="I58" s="384">
        <f t="shared" si="10"/>
        <v>9.2787524366471752E-2</v>
      </c>
      <c r="J58" s="385">
        <f t="shared" si="11"/>
        <v>-1</v>
      </c>
      <c r="K58" s="384">
        <f t="shared" si="11"/>
        <v>-1.6861598440545814E-2</v>
      </c>
      <c r="L58" s="385">
        <f t="shared" si="12"/>
        <v>-3</v>
      </c>
      <c r="M58" s="384">
        <f t="shared" si="12"/>
        <v>-4.5516569200779719E-2</v>
      </c>
      <c r="N58" s="385">
        <f t="shared" si="13"/>
        <v>0</v>
      </c>
      <c r="O58" s="384">
        <f t="shared" si="13"/>
        <v>-5.0682261208577009E-3</v>
      </c>
      <c r="P58" s="385">
        <f t="shared" si="14"/>
        <v>0</v>
      </c>
      <c r="Q58" s="384">
        <f t="shared" si="14"/>
        <v>-5.0682261208577009E-3</v>
      </c>
      <c r="R58" s="385">
        <f t="shared" si="15"/>
        <v>1</v>
      </c>
      <c r="S58" s="384">
        <f t="shared" si="15"/>
        <v>9.2592592592592587E-3</v>
      </c>
    </row>
    <row r="59" spans="2:19" ht="20.5" x14ac:dyDescent="0.25">
      <c r="B59" s="316"/>
      <c r="C59" s="364" t="s">
        <v>212</v>
      </c>
      <c r="D59" s="365">
        <v>3</v>
      </c>
      <c r="E59" s="366">
        <f t="shared" si="8"/>
        <v>1</v>
      </c>
      <c r="F59" s="385">
        <f t="shared" si="9"/>
        <v>1</v>
      </c>
      <c r="G59" s="384">
        <f t="shared" si="9"/>
        <v>8.9898989898989923E-3</v>
      </c>
      <c r="H59" s="385">
        <f t="shared" si="10"/>
        <v>6</v>
      </c>
      <c r="I59" s="384">
        <f t="shared" si="10"/>
        <v>5.4141414141414157E-2</v>
      </c>
      <c r="J59" s="385">
        <f t="shared" si="11"/>
        <v>-1</v>
      </c>
      <c r="K59" s="384">
        <f t="shared" si="11"/>
        <v>-1.0808080808080808E-2</v>
      </c>
      <c r="L59" s="385">
        <f t="shared" si="12"/>
        <v>0</v>
      </c>
      <c r="M59" s="384">
        <f t="shared" si="12"/>
        <v>-9.0909090909091494E-4</v>
      </c>
      <c r="N59" s="385">
        <f t="shared" si="13"/>
        <v>-1</v>
      </c>
      <c r="O59" s="384">
        <f t="shared" si="13"/>
        <v>-1.0101010101010102E-2</v>
      </c>
      <c r="P59" s="385">
        <f t="shared" si="14"/>
        <v>-3</v>
      </c>
      <c r="Q59" s="384">
        <f t="shared" si="14"/>
        <v>-3.1212121212121219E-2</v>
      </c>
      <c r="R59" s="385">
        <f t="shared" si="15"/>
        <v>-1</v>
      </c>
      <c r="S59" s="384">
        <f t="shared" si="15"/>
        <v>-1.0101010101010102E-2</v>
      </c>
    </row>
    <row r="60" spans="2:19" ht="20.5" x14ac:dyDescent="0.25">
      <c r="B60" s="316"/>
      <c r="C60" s="364" t="s">
        <v>221</v>
      </c>
      <c r="D60" s="365">
        <v>4</v>
      </c>
      <c r="E60" s="366">
        <f t="shared" si="8"/>
        <v>9</v>
      </c>
      <c r="F60" s="385">
        <f t="shared" si="9"/>
        <v>6</v>
      </c>
      <c r="G60" s="384">
        <f t="shared" si="9"/>
        <v>2.0202020202020166E-2</v>
      </c>
      <c r="H60" s="385">
        <f t="shared" si="10"/>
        <v>6</v>
      </c>
      <c r="I60" s="384">
        <f t="shared" si="10"/>
        <v>3.1144781144781142E-2</v>
      </c>
      <c r="J60" s="385">
        <f t="shared" si="11"/>
        <v>-4</v>
      </c>
      <c r="K60" s="384">
        <f t="shared" si="11"/>
        <v>-4.8821548821548821E-2</v>
      </c>
      <c r="L60" s="385">
        <f t="shared" si="12"/>
        <v>2</v>
      </c>
      <c r="M60" s="384">
        <f t="shared" si="12"/>
        <v>1.599326599326599E-2</v>
      </c>
      <c r="N60" s="385">
        <f t="shared" si="13"/>
        <v>-1</v>
      </c>
      <c r="O60" s="384">
        <f t="shared" si="13"/>
        <v>-1.2626262626262631E-2</v>
      </c>
      <c r="P60" s="385">
        <f t="shared" si="14"/>
        <v>0</v>
      </c>
      <c r="Q60" s="384">
        <f t="shared" si="14"/>
        <v>-5.0505050505050553E-3</v>
      </c>
      <c r="R60" s="385">
        <f t="shared" si="15"/>
        <v>0</v>
      </c>
      <c r="S60" s="384">
        <f t="shared" si="15"/>
        <v>-8.4175084175084312E-4</v>
      </c>
    </row>
    <row r="61" spans="2:19" ht="20.5" x14ac:dyDescent="0.25">
      <c r="B61" s="316"/>
      <c r="C61" s="364" t="s">
        <v>213</v>
      </c>
      <c r="D61" s="365">
        <v>4</v>
      </c>
      <c r="E61" s="366">
        <f t="shared" si="8"/>
        <v>8</v>
      </c>
      <c r="F61" s="385">
        <f t="shared" si="9"/>
        <v>0</v>
      </c>
      <c r="G61" s="384">
        <f t="shared" si="9"/>
        <v>-1.9039459279356463E-2</v>
      </c>
      <c r="H61" s="385">
        <f t="shared" si="10"/>
        <v>4</v>
      </c>
      <c r="I61" s="384">
        <f t="shared" si="10"/>
        <v>6.2830215621876295E-3</v>
      </c>
      <c r="J61" s="385">
        <f t="shared" si="11"/>
        <v>2</v>
      </c>
      <c r="K61" s="384">
        <f t="shared" si="11"/>
        <v>6.5686134513779915E-3</v>
      </c>
      <c r="L61" s="385">
        <f t="shared" si="12"/>
        <v>1</v>
      </c>
      <c r="M61" s="384">
        <f t="shared" si="12"/>
        <v>5.1882526536246379E-3</v>
      </c>
      <c r="N61" s="385">
        <f t="shared" si="13"/>
        <v>0</v>
      </c>
      <c r="O61" s="384">
        <f t="shared" si="13"/>
        <v>-1.1423675567613888E-3</v>
      </c>
      <c r="P61" s="385">
        <f t="shared" si="14"/>
        <v>0</v>
      </c>
      <c r="Q61" s="384">
        <f t="shared" si="14"/>
        <v>-4.1886810414584197E-3</v>
      </c>
      <c r="R61" s="385">
        <f t="shared" si="15"/>
        <v>1</v>
      </c>
      <c r="S61" s="384">
        <f t="shared" si="15"/>
        <v>6.3306202103860249E-3</v>
      </c>
    </row>
    <row r="62" spans="2:19" ht="20.5" x14ac:dyDescent="0.25">
      <c r="B62" s="316"/>
      <c r="C62" s="364" t="s">
        <v>214</v>
      </c>
      <c r="D62" s="365">
        <v>4</v>
      </c>
      <c r="E62" s="366">
        <f t="shared" si="8"/>
        <v>61</v>
      </c>
      <c r="F62" s="385">
        <f t="shared" si="9"/>
        <v>2</v>
      </c>
      <c r="G62" s="384">
        <f t="shared" si="9"/>
        <v>-6.4718736005373978E-2</v>
      </c>
      <c r="H62" s="385">
        <f t="shared" si="10"/>
        <v>27</v>
      </c>
      <c r="I62" s="384">
        <f t="shared" si="10"/>
        <v>-4.2888263293991757E-2</v>
      </c>
      <c r="J62" s="385">
        <f t="shared" si="11"/>
        <v>1</v>
      </c>
      <c r="K62" s="384">
        <f t="shared" si="11"/>
        <v>-2.0488191244239631E-2</v>
      </c>
      <c r="L62" s="385">
        <f t="shared" si="12"/>
        <v>11</v>
      </c>
      <c r="M62" s="384">
        <f t="shared" si="12"/>
        <v>5.0766176884850404E-2</v>
      </c>
      <c r="N62" s="385">
        <f t="shared" si="13"/>
        <v>6</v>
      </c>
      <c r="O62" s="384">
        <f t="shared" si="13"/>
        <v>2.9220400914435951E-2</v>
      </c>
      <c r="P62" s="385">
        <f t="shared" si="14"/>
        <v>5</v>
      </c>
      <c r="Q62" s="384">
        <f t="shared" si="14"/>
        <v>3.9325802117794184E-4</v>
      </c>
      <c r="R62" s="385">
        <f t="shared" si="15"/>
        <v>9</v>
      </c>
      <c r="S62" s="384">
        <f t="shared" si="15"/>
        <v>4.7715354723141153E-2</v>
      </c>
    </row>
    <row r="63" spans="2:19" ht="20.5" x14ac:dyDescent="0.25">
      <c r="B63" s="316"/>
      <c r="C63" s="364" t="s">
        <v>259</v>
      </c>
      <c r="D63" s="365">
        <v>4</v>
      </c>
      <c r="E63" s="366">
        <f t="shared" si="8"/>
        <v>0</v>
      </c>
      <c r="F63" s="385">
        <f t="shared" si="9"/>
        <v>0</v>
      </c>
      <c r="G63" s="384">
        <f t="shared" si="9"/>
        <v>0</v>
      </c>
      <c r="H63" s="385">
        <f t="shared" si="10"/>
        <v>0</v>
      </c>
      <c r="I63" s="384">
        <f t="shared" si="10"/>
        <v>0</v>
      </c>
      <c r="J63" s="385">
        <f t="shared" si="11"/>
        <v>0</v>
      </c>
      <c r="K63" s="384">
        <f t="shared" si="11"/>
        <v>0</v>
      </c>
      <c r="L63" s="385">
        <f t="shared" si="12"/>
        <v>0</v>
      </c>
      <c r="M63" s="384">
        <f t="shared" si="12"/>
        <v>0</v>
      </c>
      <c r="N63" s="385">
        <f t="shared" si="13"/>
        <v>0</v>
      </c>
      <c r="O63" s="384">
        <f t="shared" si="13"/>
        <v>0</v>
      </c>
      <c r="P63" s="385">
        <f t="shared" si="14"/>
        <v>0</v>
      </c>
      <c r="Q63" s="384">
        <f t="shared" si="14"/>
        <v>0</v>
      </c>
      <c r="R63" s="385">
        <f t="shared" si="15"/>
        <v>0</v>
      </c>
      <c r="S63" s="384">
        <f t="shared" si="15"/>
        <v>0</v>
      </c>
    </row>
    <row r="64" spans="2:19" ht="40.5" x14ac:dyDescent="0.25">
      <c r="B64" s="316"/>
      <c r="C64" s="364" t="s">
        <v>261</v>
      </c>
      <c r="D64" s="365">
        <v>4</v>
      </c>
      <c r="E64" s="366">
        <f t="shared" si="8"/>
        <v>0</v>
      </c>
      <c r="F64" s="385">
        <f t="shared" si="9"/>
        <v>0</v>
      </c>
      <c r="G64" s="384">
        <f t="shared" si="9"/>
        <v>0</v>
      </c>
      <c r="H64" s="385">
        <f t="shared" si="10"/>
        <v>0</v>
      </c>
      <c r="I64" s="384">
        <f t="shared" si="10"/>
        <v>0</v>
      </c>
      <c r="J64" s="385">
        <f t="shared" si="11"/>
        <v>0</v>
      </c>
      <c r="K64" s="384">
        <f t="shared" si="11"/>
        <v>0</v>
      </c>
      <c r="L64" s="385">
        <f t="shared" si="12"/>
        <v>0</v>
      </c>
      <c r="M64" s="384">
        <f t="shared" si="12"/>
        <v>0</v>
      </c>
      <c r="N64" s="385">
        <f t="shared" si="13"/>
        <v>0</v>
      </c>
      <c r="O64" s="384">
        <f t="shared" si="13"/>
        <v>0</v>
      </c>
      <c r="P64" s="385">
        <f t="shared" si="14"/>
        <v>0</v>
      </c>
      <c r="Q64" s="384">
        <f t="shared" si="14"/>
        <v>0</v>
      </c>
      <c r="R64" s="385">
        <f t="shared" si="15"/>
        <v>0</v>
      </c>
      <c r="S64" s="384">
        <f t="shared" si="15"/>
        <v>0</v>
      </c>
    </row>
    <row r="65" spans="2:19" ht="30.5" x14ac:dyDescent="0.25">
      <c r="B65" s="316"/>
      <c r="C65" s="364" t="s">
        <v>262</v>
      </c>
      <c r="D65" s="365">
        <v>4</v>
      </c>
      <c r="E65" s="366">
        <f t="shared" si="8"/>
        <v>0</v>
      </c>
      <c r="F65" s="385">
        <f t="shared" si="9"/>
        <v>0</v>
      </c>
      <c r="G65" s="384">
        <f t="shared" si="9"/>
        <v>0</v>
      </c>
      <c r="H65" s="385">
        <f t="shared" si="10"/>
        <v>0</v>
      </c>
      <c r="I65" s="384">
        <f t="shared" si="10"/>
        <v>0</v>
      </c>
      <c r="J65" s="385">
        <f t="shared" si="11"/>
        <v>0</v>
      </c>
      <c r="K65" s="384">
        <f t="shared" si="11"/>
        <v>0</v>
      </c>
      <c r="L65" s="385">
        <f t="shared" si="12"/>
        <v>0</v>
      </c>
      <c r="M65" s="384">
        <f t="shared" si="12"/>
        <v>0</v>
      </c>
      <c r="N65" s="385">
        <f t="shared" si="13"/>
        <v>0</v>
      </c>
      <c r="O65" s="384">
        <f t="shared" si="13"/>
        <v>0</v>
      </c>
      <c r="P65" s="385">
        <f t="shared" si="14"/>
        <v>0</v>
      </c>
      <c r="Q65" s="384">
        <f t="shared" si="14"/>
        <v>0</v>
      </c>
      <c r="R65" s="385">
        <f t="shared" si="15"/>
        <v>0</v>
      </c>
      <c r="S65" s="384">
        <f t="shared" si="15"/>
        <v>0</v>
      </c>
    </row>
    <row r="66" spans="2:19" ht="20.5" x14ac:dyDescent="0.25">
      <c r="B66" s="316"/>
      <c r="C66" s="364" t="s">
        <v>215</v>
      </c>
      <c r="D66" s="365">
        <v>4</v>
      </c>
      <c r="E66" s="366">
        <f t="shared" si="8"/>
        <v>18</v>
      </c>
      <c r="F66" s="385">
        <f t="shared" si="9"/>
        <v>2</v>
      </c>
      <c r="G66" s="384">
        <f t="shared" si="9"/>
        <v>3.3280638988268663E-3</v>
      </c>
      <c r="H66" s="385">
        <f t="shared" si="10"/>
        <v>12</v>
      </c>
      <c r="I66" s="384">
        <f t="shared" si="10"/>
        <v>3.9437557201098261E-2</v>
      </c>
      <c r="J66" s="385">
        <f t="shared" si="11"/>
        <v>1</v>
      </c>
      <c r="K66" s="384">
        <f t="shared" si="11"/>
        <v>-3.5776686912388778E-3</v>
      </c>
      <c r="L66" s="385">
        <f t="shared" si="12"/>
        <v>2</v>
      </c>
      <c r="M66" s="384">
        <f t="shared" si="12"/>
        <v>3.3280638988268663E-3</v>
      </c>
      <c r="N66" s="385">
        <f t="shared" si="13"/>
        <v>-2</v>
      </c>
      <c r="O66" s="384">
        <f t="shared" si="13"/>
        <v>-3.6275896497212745E-2</v>
      </c>
      <c r="P66" s="385">
        <f t="shared" si="14"/>
        <v>-1</v>
      </c>
      <c r="Q66" s="384">
        <f t="shared" si="14"/>
        <v>-2.3379648889258683E-2</v>
      </c>
      <c r="R66" s="385">
        <f t="shared" si="15"/>
        <v>4</v>
      </c>
      <c r="S66" s="384">
        <f t="shared" si="15"/>
        <v>1.7139529078958313E-2</v>
      </c>
    </row>
    <row r="67" spans="2:19" ht="30.5" x14ac:dyDescent="0.25">
      <c r="B67" s="316"/>
      <c r="C67" s="364" t="s">
        <v>216</v>
      </c>
      <c r="D67" s="365">
        <v>5</v>
      </c>
      <c r="E67" s="366">
        <f t="shared" si="8"/>
        <v>7</v>
      </c>
      <c r="F67" s="385">
        <f t="shared" si="9"/>
        <v>-1</v>
      </c>
      <c r="G67" s="384">
        <f t="shared" si="9"/>
        <v>-1.6830694622735731E-2</v>
      </c>
      <c r="H67" s="385">
        <f t="shared" si="10"/>
        <v>11</v>
      </c>
      <c r="I67" s="384">
        <f t="shared" si="10"/>
        <v>4.6854942233632846E-2</v>
      </c>
      <c r="J67" s="385">
        <f t="shared" si="11"/>
        <v>3</v>
      </c>
      <c r="K67" s="384">
        <f t="shared" si="11"/>
        <v>1.4298958779061469E-2</v>
      </c>
      <c r="L67" s="385">
        <f t="shared" si="12"/>
        <v>2</v>
      </c>
      <c r="M67" s="384">
        <f t="shared" si="12"/>
        <v>8.9502210811581717E-3</v>
      </c>
      <c r="N67" s="385">
        <f t="shared" si="13"/>
        <v>-3</v>
      </c>
      <c r="O67" s="384">
        <f t="shared" si="13"/>
        <v>-1.9790329482242193E-2</v>
      </c>
      <c r="P67" s="385">
        <f t="shared" si="14"/>
        <v>-5</v>
      </c>
      <c r="Q67" s="384">
        <f t="shared" si="14"/>
        <v>-3.2983882470403653E-2</v>
      </c>
      <c r="R67" s="385">
        <f t="shared" si="15"/>
        <v>0</v>
      </c>
      <c r="S67" s="384">
        <f t="shared" si="15"/>
        <v>-4.9921551847097526E-4</v>
      </c>
    </row>
    <row r="68" spans="2:19" ht="30.5" x14ac:dyDescent="0.25">
      <c r="B68" s="316"/>
      <c r="C68" s="364" t="s">
        <v>217</v>
      </c>
      <c r="D68" s="365">
        <v>5</v>
      </c>
      <c r="E68" s="366">
        <f t="shared" si="8"/>
        <v>-1</v>
      </c>
      <c r="F68" s="385">
        <f t="shared" si="9"/>
        <v>-4</v>
      </c>
      <c r="G68" s="384">
        <f t="shared" si="9"/>
        <v>-1.63028515240905E-2</v>
      </c>
      <c r="H68" s="385">
        <f t="shared" si="10"/>
        <v>0</v>
      </c>
      <c r="I68" s="384">
        <f t="shared" si="10"/>
        <v>1.7109144542772903E-3</v>
      </c>
      <c r="J68" s="385">
        <f t="shared" si="11"/>
        <v>0</v>
      </c>
      <c r="K68" s="384">
        <f t="shared" si="11"/>
        <v>7.8662733529990397E-5</v>
      </c>
      <c r="L68" s="385">
        <f t="shared" si="12"/>
        <v>1</v>
      </c>
      <c r="M68" s="384">
        <f t="shared" si="12"/>
        <v>4.8377581120944008E-3</v>
      </c>
      <c r="N68" s="385">
        <f t="shared" si="13"/>
        <v>-1</v>
      </c>
      <c r="O68" s="384">
        <f t="shared" si="13"/>
        <v>-4.3461160275319564E-3</v>
      </c>
      <c r="P68" s="385">
        <f t="shared" si="14"/>
        <v>4</v>
      </c>
      <c r="Q68" s="384">
        <f t="shared" si="14"/>
        <v>1.8407079646017704E-2</v>
      </c>
      <c r="R68" s="385">
        <f t="shared" si="15"/>
        <v>-1</v>
      </c>
      <c r="S68" s="384">
        <f t="shared" si="15"/>
        <v>-4.3854473942969516E-3</v>
      </c>
    </row>
    <row r="69" spans="2:19" ht="20.5" x14ac:dyDescent="0.25">
      <c r="B69" s="316"/>
      <c r="C69" s="364" t="s">
        <v>219</v>
      </c>
      <c r="D69" s="365">
        <v>6</v>
      </c>
      <c r="E69" s="366">
        <f t="shared" si="8"/>
        <v>2</v>
      </c>
      <c r="F69" s="385">
        <f t="shared" si="9"/>
        <v>-4</v>
      </c>
      <c r="G69" s="384">
        <f t="shared" si="9"/>
        <v>-2.674999047365012E-2</v>
      </c>
      <c r="H69" s="385">
        <f t="shared" si="10"/>
        <v>6</v>
      </c>
      <c r="I69" s="384">
        <f t="shared" si="10"/>
        <v>3.4904545974164564E-2</v>
      </c>
      <c r="J69" s="385">
        <f t="shared" si="11"/>
        <v>1</v>
      </c>
      <c r="K69" s="384">
        <f t="shared" si="11"/>
        <v>6.0587585260831467E-3</v>
      </c>
      <c r="L69" s="385">
        <f t="shared" si="12"/>
        <v>1</v>
      </c>
      <c r="M69" s="384">
        <f t="shared" si="12"/>
        <v>3.3913805586251455E-3</v>
      </c>
      <c r="N69" s="385">
        <f t="shared" si="13"/>
        <v>-4</v>
      </c>
      <c r="O69" s="384">
        <f t="shared" si="13"/>
        <v>-2.7131044469001275E-2</v>
      </c>
      <c r="P69" s="385">
        <f t="shared" si="14"/>
        <v>1</v>
      </c>
      <c r="Q69" s="384">
        <f t="shared" si="14"/>
        <v>5.9825477270129199E-3</v>
      </c>
      <c r="R69" s="385">
        <f t="shared" si="15"/>
        <v>1</v>
      </c>
      <c r="S69" s="384">
        <f t="shared" si="15"/>
        <v>3.5438021567656131E-3</v>
      </c>
    </row>
    <row r="71" spans="2:19" ht="13" x14ac:dyDescent="0.3">
      <c r="E71" s="1106" t="e">
        <f>SUM(E52:E70)</f>
        <v>#REF!</v>
      </c>
      <c r="F71" s="376" t="e">
        <f>SUM(F52:F70)</f>
        <v>#REF!</v>
      </c>
      <c r="G71" s="289"/>
      <c r="H71" s="376" t="e">
        <f>SUM(H52:H70)</f>
        <v>#REF!</v>
      </c>
      <c r="I71" s="289"/>
      <c r="J71" s="376" t="e">
        <f>SUM(J52:J70)</f>
        <v>#REF!</v>
      </c>
      <c r="K71" s="289"/>
      <c r="L71" s="376" t="e">
        <f>SUM(L52:L70)</f>
        <v>#REF!</v>
      </c>
      <c r="M71" s="289"/>
      <c r="N71" s="376" t="e">
        <f>SUM(N52:N70)</f>
        <v>#REF!</v>
      </c>
      <c r="O71" s="289"/>
      <c r="P71" s="376" t="e">
        <f>SUM(P52:P70)</f>
        <v>#REF!</v>
      </c>
      <c r="Q71" s="289"/>
      <c r="R71" s="376" t="e">
        <f>SUM(R52:R70)</f>
        <v>#REF!</v>
      </c>
    </row>
  </sheetData>
  <pageMargins left="0.7" right="0.7" top="0.75" bottom="0.75" header="0.3" footer="0.3"/>
  <pageSetup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FFC000"/>
  </sheetPr>
  <dimension ref="B2:S68"/>
  <sheetViews>
    <sheetView workbookViewId="0">
      <selection sqref="A1:XFD1048576"/>
    </sheetView>
  </sheetViews>
  <sheetFormatPr defaultColWidth="8.7265625" defaultRowHeight="12.5" x14ac:dyDescent="0.25"/>
  <cols>
    <col min="1" max="1" width="8.7265625" style="2"/>
    <col min="2" max="2" width="7.81640625" style="2" bestFit="1" customWidth="1"/>
    <col min="3" max="3" width="24.453125" style="2" bestFit="1" customWidth="1"/>
    <col min="4" max="4" width="10.81640625" style="2" bestFit="1" customWidth="1"/>
    <col min="5" max="5" width="15.54296875" style="2" bestFit="1" customWidth="1"/>
    <col min="6" max="6" width="10.81640625" style="2" bestFit="1" customWidth="1"/>
    <col min="7" max="7" width="8.7265625" style="2"/>
    <col min="8" max="8" width="13.54296875" style="2" bestFit="1" customWidth="1"/>
    <col min="9" max="9" width="16.1796875" style="2" bestFit="1" customWidth="1"/>
    <col min="10" max="10" width="12.453125" style="2" bestFit="1" customWidth="1"/>
    <col min="11" max="16384" width="8.7265625" style="2"/>
  </cols>
  <sheetData>
    <row r="2" spans="2:19" ht="13" x14ac:dyDescent="0.3">
      <c r="B2" s="454" t="s">
        <v>1069</v>
      </c>
    </row>
    <row r="4" spans="2:19" ht="26" x14ac:dyDescent="0.35">
      <c r="B4" s="1275" t="s">
        <v>182</v>
      </c>
      <c r="C4" s="1276" t="s">
        <v>183</v>
      </c>
      <c r="D4" s="8" t="s">
        <v>1640</v>
      </c>
      <c r="E4" s="239" t="s">
        <v>1641</v>
      </c>
      <c r="F4" s="239" t="s">
        <v>919</v>
      </c>
      <c r="H4" s="863" t="s">
        <v>183</v>
      </c>
      <c r="I4" s="863" t="s">
        <v>1642</v>
      </c>
      <c r="J4" s="863" t="s">
        <v>1643</v>
      </c>
      <c r="K4" s="863" t="s">
        <v>1644</v>
      </c>
      <c r="L4" s="863" t="s">
        <v>1645</v>
      </c>
      <c r="M4" s="863"/>
      <c r="N4" s="863" t="s">
        <v>1646</v>
      </c>
      <c r="O4" s="863" t="s">
        <v>284</v>
      </c>
      <c r="P4" s="863" t="s">
        <v>1647</v>
      </c>
      <c r="Q4" s="797" t="s">
        <v>284</v>
      </c>
      <c r="R4" s="797" t="s">
        <v>264</v>
      </c>
      <c r="S4" s="863" t="s">
        <v>1648</v>
      </c>
    </row>
    <row r="5" spans="2:19" x14ac:dyDescent="0.25">
      <c r="B5" s="238">
        <v>9257010</v>
      </c>
      <c r="C5" s="238" t="s">
        <v>205</v>
      </c>
      <c r="D5" s="18">
        <f>VLOOKUP('2122 OLEA Placements'!B5,'2223 Funding Detail'!$A$4:$Y$20,23,FALSE)</f>
        <v>0</v>
      </c>
      <c r="E5" s="8">
        <f>S6</f>
        <v>1</v>
      </c>
      <c r="F5" s="18">
        <f>D5*E5</f>
        <v>0</v>
      </c>
    </row>
    <row r="6" spans="2:19" x14ac:dyDescent="0.25">
      <c r="B6" s="238">
        <v>9257005</v>
      </c>
      <c r="C6" s="238" t="s">
        <v>208</v>
      </c>
      <c r="D6" s="18">
        <f>VLOOKUP('2122 OLEA Placements'!B6,'2223 Funding Detail'!$A$4:$Y$20,23,FALSE)</f>
        <v>0</v>
      </c>
      <c r="E6" s="8">
        <f>S34</f>
        <v>6</v>
      </c>
      <c r="F6" s="18">
        <f t="shared" ref="F6:F22" si="0">D6*E6</f>
        <v>0</v>
      </c>
      <c r="H6" s="2" t="s">
        <v>1649</v>
      </c>
      <c r="I6" s="2" t="s">
        <v>1650</v>
      </c>
      <c r="J6" s="2">
        <v>65</v>
      </c>
      <c r="K6" s="2">
        <v>65</v>
      </c>
      <c r="L6" s="864" t="s">
        <v>1651</v>
      </c>
      <c r="N6" s="2">
        <v>100</v>
      </c>
      <c r="O6" s="2">
        <v>54</v>
      </c>
      <c r="P6" s="2">
        <v>10</v>
      </c>
      <c r="Q6" s="2">
        <v>36</v>
      </c>
      <c r="R6" s="2">
        <v>0</v>
      </c>
      <c r="S6" s="2">
        <v>1</v>
      </c>
    </row>
    <row r="7" spans="2:19" x14ac:dyDescent="0.25">
      <c r="B7" s="238">
        <v>9257025</v>
      </c>
      <c r="C7" s="238" t="s">
        <v>209</v>
      </c>
      <c r="D7" s="18">
        <f>VLOOKUP('2122 OLEA Placements'!B7,'2223 Funding Detail'!$A$4:$Y$20,23,FALSE)</f>
        <v>0</v>
      </c>
      <c r="E7" s="8">
        <f>S24</f>
        <v>1</v>
      </c>
      <c r="F7" s="18">
        <f t="shared" si="0"/>
        <v>0</v>
      </c>
      <c r="H7" s="2" t="s">
        <v>1652</v>
      </c>
      <c r="I7" s="2" t="s">
        <v>1650</v>
      </c>
      <c r="J7" s="2">
        <v>58</v>
      </c>
      <c r="K7" s="2">
        <v>58</v>
      </c>
      <c r="L7" s="864" t="s">
        <v>1650</v>
      </c>
      <c r="N7" s="2">
        <v>58</v>
      </c>
      <c r="O7" s="2">
        <v>50</v>
      </c>
      <c r="P7" s="2">
        <v>8</v>
      </c>
      <c r="Q7" s="2">
        <v>0</v>
      </c>
      <c r="R7" s="2">
        <v>0</v>
      </c>
      <c r="S7" s="2">
        <v>5</v>
      </c>
    </row>
    <row r="8" spans="2:19" x14ac:dyDescent="0.25">
      <c r="B8" s="238">
        <v>9257011</v>
      </c>
      <c r="C8" s="238" t="s">
        <v>210</v>
      </c>
      <c r="D8" s="18" t="e">
        <f>VLOOKUP('2122 OLEA Placements'!B8,'2223 Funding Detail'!$A$4:$Y$20,23,FALSE)</f>
        <v>#N/A</v>
      </c>
      <c r="E8" s="8">
        <f>S7</f>
        <v>5</v>
      </c>
      <c r="F8" s="18" t="e">
        <f t="shared" si="0"/>
        <v>#N/A</v>
      </c>
      <c r="H8" s="2" t="s">
        <v>1653</v>
      </c>
      <c r="I8" s="2" t="s">
        <v>1650</v>
      </c>
      <c r="J8" s="2">
        <v>136</v>
      </c>
      <c r="K8" s="2">
        <v>135</v>
      </c>
      <c r="L8" s="864" t="s">
        <v>1650</v>
      </c>
      <c r="N8" s="2">
        <v>136</v>
      </c>
      <c r="O8" s="2">
        <v>136</v>
      </c>
      <c r="P8" s="2">
        <v>0</v>
      </c>
      <c r="Q8" s="2">
        <v>0</v>
      </c>
      <c r="R8" s="2">
        <v>0</v>
      </c>
      <c r="S8" s="2">
        <v>11</v>
      </c>
    </row>
    <row r="9" spans="2:19" x14ac:dyDescent="0.25">
      <c r="B9" s="238">
        <v>9257024</v>
      </c>
      <c r="C9" s="238" t="s">
        <v>211</v>
      </c>
      <c r="D9" s="18">
        <f>VLOOKUP('2122 OLEA Placements'!B9,'2223 Funding Detail'!$A$4:$Y$20,23,FALSE)</f>
        <v>0</v>
      </c>
      <c r="E9" s="8">
        <f>S30</f>
        <v>1</v>
      </c>
      <c r="F9" s="18">
        <f t="shared" si="0"/>
        <v>0</v>
      </c>
    </row>
    <row r="10" spans="2:19" x14ac:dyDescent="0.25">
      <c r="B10" s="238">
        <v>9257031</v>
      </c>
      <c r="C10" s="238" t="s">
        <v>257</v>
      </c>
      <c r="D10" s="18">
        <f>VLOOKUP('2122 OLEA Placements'!B10,'2223 Funding Detail'!$A$4:$Y$20,23,FALSE)</f>
        <v>0</v>
      </c>
      <c r="E10" s="8">
        <f>S12</f>
        <v>6</v>
      </c>
      <c r="F10" s="18">
        <f t="shared" si="0"/>
        <v>0</v>
      </c>
      <c r="H10" s="2" t="s">
        <v>1654</v>
      </c>
      <c r="I10" s="2" t="s">
        <v>1650</v>
      </c>
      <c r="J10" s="2">
        <v>75</v>
      </c>
      <c r="K10" s="2">
        <v>72</v>
      </c>
      <c r="L10" s="864" t="s">
        <v>1650</v>
      </c>
      <c r="N10" s="2">
        <v>72</v>
      </c>
      <c r="O10" s="2">
        <v>72</v>
      </c>
      <c r="P10" s="2">
        <v>0</v>
      </c>
      <c r="Q10" s="2">
        <v>0</v>
      </c>
      <c r="R10" s="2">
        <v>0</v>
      </c>
      <c r="S10" s="2">
        <v>4</v>
      </c>
    </row>
    <row r="11" spans="2:19" x14ac:dyDescent="0.25">
      <c r="B11" s="238">
        <v>9257033</v>
      </c>
      <c r="C11" s="238" t="s">
        <v>220</v>
      </c>
      <c r="D11" s="18">
        <f>VLOOKUP('2122 OLEA Placements'!B11,'2223 Funding Detail'!$A$4:$Y$20,23,FALSE)</f>
        <v>0</v>
      </c>
      <c r="E11" s="8">
        <f>S18</f>
        <v>3</v>
      </c>
      <c r="F11" s="18">
        <f t="shared" si="0"/>
        <v>0</v>
      </c>
    </row>
    <row r="12" spans="2:19" x14ac:dyDescent="0.25">
      <c r="B12" s="238">
        <v>9257008</v>
      </c>
      <c r="C12" s="238" t="s">
        <v>212</v>
      </c>
      <c r="D12" s="18">
        <f>VLOOKUP('2122 OLEA Placements'!B12,'2223 Funding Detail'!$A$4:$Y$20,23,FALSE)</f>
        <v>0</v>
      </c>
      <c r="E12" s="8">
        <f>S15</f>
        <v>0</v>
      </c>
      <c r="F12" s="18">
        <f t="shared" si="0"/>
        <v>0</v>
      </c>
      <c r="H12" s="2" t="s">
        <v>481</v>
      </c>
      <c r="I12" s="2" t="s">
        <v>1650</v>
      </c>
      <c r="J12" s="2">
        <v>80</v>
      </c>
      <c r="K12" s="2">
        <v>81</v>
      </c>
      <c r="L12" s="864" t="s">
        <v>1650</v>
      </c>
      <c r="N12" s="2">
        <v>81</v>
      </c>
      <c r="O12" s="2">
        <v>81</v>
      </c>
      <c r="P12" s="2">
        <v>0</v>
      </c>
      <c r="Q12" s="2">
        <v>0</v>
      </c>
      <c r="R12" s="2">
        <v>0</v>
      </c>
      <c r="S12" s="2">
        <v>6</v>
      </c>
    </row>
    <row r="13" spans="2:19" x14ac:dyDescent="0.25">
      <c r="B13" s="238">
        <v>9257034</v>
      </c>
      <c r="C13" s="238" t="s">
        <v>221</v>
      </c>
      <c r="D13" s="18">
        <f>VLOOKUP('2122 OLEA Placements'!B13,'2223 Funding Detail'!$A$4:$Y$20,23,FALSE)</f>
        <v>0</v>
      </c>
      <c r="E13" s="8">
        <f>S17</f>
        <v>21</v>
      </c>
      <c r="F13" s="18">
        <f t="shared" si="0"/>
        <v>0</v>
      </c>
      <c r="H13" s="2" t="s">
        <v>1655</v>
      </c>
      <c r="I13" s="19" t="s">
        <v>1650</v>
      </c>
      <c r="J13" s="2">
        <v>82</v>
      </c>
      <c r="K13" s="2">
        <v>104</v>
      </c>
      <c r="L13" s="864" t="s">
        <v>1650</v>
      </c>
      <c r="N13" s="2">
        <v>104</v>
      </c>
      <c r="O13" s="2">
        <v>97</v>
      </c>
      <c r="P13" s="2">
        <v>0</v>
      </c>
      <c r="Q13" s="2">
        <v>7</v>
      </c>
      <c r="R13" s="2">
        <v>0</v>
      </c>
      <c r="S13" s="2">
        <v>4</v>
      </c>
    </row>
    <row r="14" spans="2:19" x14ac:dyDescent="0.25">
      <c r="B14" s="238">
        <v>9257002</v>
      </c>
      <c r="C14" s="238" t="s">
        <v>213</v>
      </c>
      <c r="D14" s="18">
        <f>VLOOKUP('2122 OLEA Placements'!B14,'2223 Funding Detail'!$A$4:$Y$20,23,FALSE)</f>
        <v>0</v>
      </c>
      <c r="E14" s="8">
        <f>S32</f>
        <v>10</v>
      </c>
      <c r="F14" s="18">
        <f t="shared" si="0"/>
        <v>0</v>
      </c>
    </row>
    <row r="15" spans="2:19" x14ac:dyDescent="0.25">
      <c r="B15" s="238">
        <v>9257009</v>
      </c>
      <c r="C15" s="238" t="s">
        <v>214</v>
      </c>
      <c r="D15" s="18">
        <f>VLOOKUP('2122 OLEA Placements'!B15,'2223 Funding Detail'!$A$4:$Y$20,23,FALSE)</f>
        <v>0</v>
      </c>
      <c r="E15" s="8">
        <f>S8</f>
        <v>11</v>
      </c>
      <c r="F15" s="18">
        <f t="shared" si="0"/>
        <v>0</v>
      </c>
      <c r="H15" s="2" t="s">
        <v>1656</v>
      </c>
      <c r="I15" s="2" t="s">
        <v>1650</v>
      </c>
      <c r="J15" s="2">
        <v>98</v>
      </c>
      <c r="K15" s="2">
        <v>99</v>
      </c>
      <c r="L15" s="864" t="s">
        <v>1650</v>
      </c>
      <c r="N15" s="2">
        <v>99</v>
      </c>
      <c r="O15" s="2">
        <v>99</v>
      </c>
      <c r="P15" s="2">
        <v>0</v>
      </c>
      <c r="Q15" s="2">
        <v>0</v>
      </c>
      <c r="R15" s="2">
        <v>0</v>
      </c>
      <c r="S15" s="2">
        <v>0</v>
      </c>
    </row>
    <row r="16" spans="2:19" x14ac:dyDescent="0.25">
      <c r="B16" s="238">
        <v>9257029</v>
      </c>
      <c r="C16" s="238" t="s">
        <v>890</v>
      </c>
      <c r="D16" s="18">
        <f>VLOOKUP('2122 OLEA Placements'!B16,'2223 Funding Detail'!$A$4:$Y$20,23,FALSE)</f>
        <v>0</v>
      </c>
      <c r="E16" s="8">
        <f>S28</f>
        <v>1</v>
      </c>
      <c r="F16" s="18">
        <f t="shared" si="0"/>
        <v>0</v>
      </c>
    </row>
    <row r="17" spans="2:19" ht="14.5" x14ac:dyDescent="0.35">
      <c r="B17" s="238">
        <v>9257032</v>
      </c>
      <c r="C17" s="238" t="s">
        <v>1043</v>
      </c>
      <c r="D17" s="18">
        <f>VLOOKUP('2122 OLEA Placements'!B17,'2223 Funding Detail'!$A$4:$Y$20,23,FALSE)</f>
        <v>0</v>
      </c>
      <c r="E17" s="8">
        <f>S13</f>
        <v>4</v>
      </c>
      <c r="F17" s="18">
        <f t="shared" si="0"/>
        <v>0</v>
      </c>
      <c r="H17" s="2" t="s">
        <v>1657</v>
      </c>
      <c r="I17" s="2" t="s">
        <v>1650</v>
      </c>
      <c r="J17" s="2">
        <v>128</v>
      </c>
      <c r="K17" s="2">
        <v>120</v>
      </c>
      <c r="L17" s="864" t="s">
        <v>1650</v>
      </c>
      <c r="N17" s="865">
        <v>120</v>
      </c>
      <c r="O17" s="865">
        <v>88</v>
      </c>
      <c r="P17" s="865">
        <v>32</v>
      </c>
      <c r="Q17" s="865">
        <v>0</v>
      </c>
      <c r="R17" s="865">
        <v>0</v>
      </c>
      <c r="S17" s="865">
        <v>21</v>
      </c>
    </row>
    <row r="18" spans="2:19" ht="14.5" x14ac:dyDescent="0.35">
      <c r="B18" s="238">
        <v>9257030</v>
      </c>
      <c r="C18" s="238" t="s">
        <v>1046</v>
      </c>
      <c r="D18" s="18">
        <f>VLOOKUP('2122 OLEA Placements'!B18,'2223 Funding Detail'!$A$4:$Y$20,23,FALSE)</f>
        <v>0</v>
      </c>
      <c r="E18" s="8">
        <f>S10</f>
        <v>4</v>
      </c>
      <c r="F18" s="18">
        <f t="shared" si="0"/>
        <v>0</v>
      </c>
      <c r="H18" s="2" t="s">
        <v>1658</v>
      </c>
      <c r="I18" s="2" t="s">
        <v>1650</v>
      </c>
      <c r="J18" s="2">
        <v>99</v>
      </c>
      <c r="K18" s="2">
        <v>97</v>
      </c>
      <c r="L18" s="864" t="s">
        <v>1650</v>
      </c>
      <c r="N18" s="865">
        <v>98</v>
      </c>
      <c r="O18" s="865">
        <v>98</v>
      </c>
      <c r="P18" s="865">
        <v>0</v>
      </c>
      <c r="Q18" s="865">
        <v>0</v>
      </c>
      <c r="R18" s="865">
        <v>0</v>
      </c>
      <c r="S18" s="865">
        <v>3</v>
      </c>
    </row>
    <row r="19" spans="2:19" x14ac:dyDescent="0.25">
      <c r="B19" s="238">
        <v>9257028</v>
      </c>
      <c r="C19" s="238" t="s">
        <v>215</v>
      </c>
      <c r="D19" s="18">
        <f>VLOOKUP('2122 OLEA Placements'!B19,'2223 Funding Detail'!$A$4:$Y$20,23,FALSE)</f>
        <v>0</v>
      </c>
      <c r="E19" s="8">
        <f>S26</f>
        <v>10</v>
      </c>
      <c r="F19" s="18">
        <f t="shared" si="0"/>
        <v>0</v>
      </c>
    </row>
    <row r="20" spans="2:19" ht="14.5" x14ac:dyDescent="0.35">
      <c r="B20" s="238">
        <v>9257021</v>
      </c>
      <c r="C20" s="238" t="s">
        <v>216</v>
      </c>
      <c r="D20" s="18">
        <f>VLOOKUP('2122 OLEA Placements'!B20,'2223 Funding Detail'!$A$4:$Y$20,23,FALSE)</f>
        <v>0</v>
      </c>
      <c r="E20" s="8">
        <f>S23</f>
        <v>5</v>
      </c>
      <c r="F20" s="18">
        <f t="shared" si="0"/>
        <v>0</v>
      </c>
      <c r="H20" s="2" t="s">
        <v>1659</v>
      </c>
      <c r="I20" s="2" t="s">
        <v>1650</v>
      </c>
      <c r="J20" s="2">
        <v>232</v>
      </c>
      <c r="K20" s="2">
        <v>226</v>
      </c>
      <c r="L20" s="864" t="s">
        <v>1650</v>
      </c>
      <c r="N20" s="2">
        <v>226</v>
      </c>
      <c r="O20" s="865">
        <v>223</v>
      </c>
      <c r="P20" s="865">
        <v>3</v>
      </c>
      <c r="Q20" s="865">
        <v>0</v>
      </c>
      <c r="R20" s="865">
        <v>0</v>
      </c>
      <c r="S20" s="865">
        <v>0</v>
      </c>
    </row>
    <row r="21" spans="2:19" x14ac:dyDescent="0.25">
      <c r="B21" s="238">
        <v>9257015</v>
      </c>
      <c r="C21" s="238" t="s">
        <v>217</v>
      </c>
      <c r="D21" s="18">
        <f>VLOOKUP('2122 OLEA Placements'!B21,'2223 Funding Detail'!$A$4:$Y$20,23,FALSE)</f>
        <v>0</v>
      </c>
      <c r="E21" s="8">
        <f>S20</f>
        <v>0</v>
      </c>
      <c r="F21" s="18">
        <f t="shared" si="0"/>
        <v>0</v>
      </c>
      <c r="H21" s="2" t="s">
        <v>1660</v>
      </c>
      <c r="I21" s="2" t="s">
        <v>1650</v>
      </c>
      <c r="J21" s="2">
        <v>157</v>
      </c>
      <c r="K21" s="2">
        <v>164</v>
      </c>
      <c r="L21" s="864" t="s">
        <v>1650</v>
      </c>
      <c r="N21" s="2">
        <v>164</v>
      </c>
      <c r="O21" s="2">
        <v>105</v>
      </c>
      <c r="P21" s="2">
        <v>59</v>
      </c>
      <c r="Q21" s="2">
        <v>0</v>
      </c>
      <c r="R21" s="2">
        <v>0</v>
      </c>
      <c r="S21" s="2">
        <v>3</v>
      </c>
    </row>
    <row r="22" spans="2:19" x14ac:dyDescent="0.25">
      <c r="B22" s="238">
        <v>9257016</v>
      </c>
      <c r="C22" s="238" t="s">
        <v>219</v>
      </c>
      <c r="D22" s="18">
        <f>VLOOKUP('2122 OLEA Placements'!B22,'2223 Funding Detail'!$A$4:$Y$20,23,FALSE)</f>
        <v>0</v>
      </c>
      <c r="E22" s="8">
        <f>S21</f>
        <v>3</v>
      </c>
      <c r="F22" s="18">
        <f t="shared" si="0"/>
        <v>0</v>
      </c>
    </row>
    <row r="23" spans="2:19" x14ac:dyDescent="0.25">
      <c r="H23" s="2" t="s">
        <v>1661</v>
      </c>
      <c r="I23" s="2" t="s">
        <v>1650</v>
      </c>
      <c r="J23" s="2">
        <v>166</v>
      </c>
      <c r="K23" s="2">
        <v>169</v>
      </c>
      <c r="L23" s="864" t="s">
        <v>1650</v>
      </c>
      <c r="N23" s="2">
        <v>169</v>
      </c>
      <c r="O23" s="2">
        <v>169</v>
      </c>
      <c r="P23" s="2">
        <v>0</v>
      </c>
      <c r="Q23" s="2">
        <v>0</v>
      </c>
      <c r="R23" s="2">
        <v>0</v>
      </c>
      <c r="S23" s="2">
        <v>5</v>
      </c>
    </row>
    <row r="24" spans="2:19" ht="13" x14ac:dyDescent="0.3">
      <c r="E24" s="5">
        <f>SUM(E5:E23)</f>
        <v>92</v>
      </c>
      <c r="F24" s="785" t="e">
        <f>SUM(F5:F23)</f>
        <v>#N/A</v>
      </c>
      <c r="H24" s="2" t="s">
        <v>1662</v>
      </c>
      <c r="I24" s="2" t="s">
        <v>1650</v>
      </c>
      <c r="J24" s="2">
        <v>76</v>
      </c>
      <c r="K24" s="2">
        <v>78</v>
      </c>
      <c r="L24" s="864" t="s">
        <v>1650</v>
      </c>
      <c r="N24" s="2">
        <v>78</v>
      </c>
      <c r="O24" s="2">
        <v>54</v>
      </c>
      <c r="P24" s="2">
        <v>24</v>
      </c>
      <c r="Q24" s="2">
        <v>0</v>
      </c>
      <c r="R24" s="2">
        <v>0</v>
      </c>
      <c r="S24" s="2">
        <v>1</v>
      </c>
    </row>
    <row r="26" spans="2:19" ht="14.5" x14ac:dyDescent="0.35">
      <c r="H26" s="2" t="s">
        <v>1663</v>
      </c>
      <c r="I26" s="2" t="s">
        <v>1650</v>
      </c>
      <c r="J26" s="2">
        <v>99</v>
      </c>
      <c r="K26" s="2">
        <v>111</v>
      </c>
      <c r="L26" s="864" t="s">
        <v>1651</v>
      </c>
      <c r="N26" s="865">
        <v>122</v>
      </c>
      <c r="O26" s="866">
        <v>106</v>
      </c>
      <c r="P26" s="866">
        <v>5</v>
      </c>
      <c r="Q26" s="866">
        <v>11</v>
      </c>
      <c r="R26" s="866">
        <v>0</v>
      </c>
      <c r="S26" s="2">
        <v>10</v>
      </c>
    </row>
    <row r="28" spans="2:19" x14ac:dyDescent="0.25">
      <c r="H28" s="2" t="s">
        <v>1664</v>
      </c>
      <c r="I28" s="2" t="s">
        <v>1650</v>
      </c>
      <c r="J28" s="2">
        <v>70</v>
      </c>
      <c r="K28" s="2">
        <v>78</v>
      </c>
      <c r="L28" s="864" t="s">
        <v>1650</v>
      </c>
      <c r="N28" s="2">
        <v>78</v>
      </c>
      <c r="O28" s="2">
        <v>70</v>
      </c>
      <c r="P28" s="2">
        <v>0</v>
      </c>
      <c r="Q28" s="2">
        <v>8</v>
      </c>
      <c r="R28" s="2">
        <v>0</v>
      </c>
      <c r="S28" s="2">
        <v>1</v>
      </c>
    </row>
    <row r="30" spans="2:19" x14ac:dyDescent="0.25">
      <c r="H30" s="2" t="s">
        <v>1665</v>
      </c>
      <c r="I30" s="2" t="s">
        <v>1650</v>
      </c>
      <c r="J30" s="2">
        <v>84</v>
      </c>
      <c r="K30" s="2">
        <v>84</v>
      </c>
      <c r="L30" s="864" t="s">
        <v>1650</v>
      </c>
      <c r="N30" s="2">
        <v>84</v>
      </c>
      <c r="O30" s="2">
        <v>71</v>
      </c>
      <c r="P30" s="2">
        <v>13</v>
      </c>
      <c r="Q30" s="2">
        <v>0</v>
      </c>
      <c r="R30" s="2">
        <v>0</v>
      </c>
      <c r="S30" s="2">
        <v>1</v>
      </c>
    </row>
    <row r="32" spans="2:19" ht="14.5" x14ac:dyDescent="0.35">
      <c r="H32" s="2" t="s">
        <v>1666</v>
      </c>
      <c r="I32" s="2" t="s">
        <v>1650</v>
      </c>
      <c r="J32" s="2">
        <v>150</v>
      </c>
      <c r="K32" s="2">
        <v>151</v>
      </c>
      <c r="L32" s="864" t="s">
        <v>1650</v>
      </c>
      <c r="N32" s="2">
        <v>151</v>
      </c>
      <c r="O32" s="865">
        <v>151</v>
      </c>
      <c r="P32" s="865">
        <v>0</v>
      </c>
      <c r="Q32" s="865">
        <v>0</v>
      </c>
      <c r="R32" s="865">
        <v>0</v>
      </c>
      <c r="S32" s="865">
        <v>10</v>
      </c>
    </row>
    <row r="34" spans="2:19" ht="14.5" x14ac:dyDescent="0.35">
      <c r="H34" s="2" t="s">
        <v>1667</v>
      </c>
      <c r="I34" s="2" t="s">
        <v>1650</v>
      </c>
      <c r="J34" s="2">
        <v>79</v>
      </c>
      <c r="K34" s="2">
        <v>85</v>
      </c>
      <c r="L34" s="864" t="s">
        <v>1650</v>
      </c>
      <c r="N34" s="2">
        <v>86</v>
      </c>
      <c r="O34" s="865">
        <v>58</v>
      </c>
      <c r="P34" s="865">
        <v>28</v>
      </c>
      <c r="Q34" s="865">
        <v>0</v>
      </c>
      <c r="R34" s="865">
        <v>0</v>
      </c>
      <c r="S34" s="865">
        <v>6</v>
      </c>
    </row>
    <row r="36" spans="2:19" ht="13" x14ac:dyDescent="0.3">
      <c r="B36" s="454" t="s">
        <v>1668</v>
      </c>
    </row>
    <row r="38" spans="2:19" ht="26" x14ac:dyDescent="0.35">
      <c r="B38" s="1275" t="s">
        <v>182</v>
      </c>
      <c r="C38" s="1276" t="s">
        <v>183</v>
      </c>
      <c r="D38" s="8" t="s">
        <v>1640</v>
      </c>
      <c r="E38" s="239" t="s">
        <v>1641</v>
      </c>
      <c r="F38" s="239" t="s">
        <v>919</v>
      </c>
      <c r="H38" s="863" t="s">
        <v>183</v>
      </c>
      <c r="I38" s="863" t="s">
        <v>1642</v>
      </c>
      <c r="J38" s="863" t="s">
        <v>1669</v>
      </c>
      <c r="K38" s="863" t="s">
        <v>1644</v>
      </c>
      <c r="L38" s="863" t="s">
        <v>1645</v>
      </c>
      <c r="M38" s="863"/>
      <c r="N38" s="863" t="s">
        <v>1646</v>
      </c>
      <c r="O38" s="863" t="s">
        <v>284</v>
      </c>
      <c r="P38" s="863" t="s">
        <v>1647</v>
      </c>
      <c r="Q38" s="863" t="s">
        <v>1648</v>
      </c>
    </row>
    <row r="39" spans="2:19" x14ac:dyDescent="0.25">
      <c r="B39" s="238">
        <v>9257010</v>
      </c>
      <c r="C39" s="238" t="s">
        <v>205</v>
      </c>
      <c r="D39" s="18">
        <f>VLOOKUP('2122 OLEA Placements'!B39,'2021 Funding Detail'!$A$4:$AM$23,39,FALSE)</f>
        <v>9839.6371720922343</v>
      </c>
      <c r="E39" s="8">
        <f>SUM(Q40)</f>
        <v>1</v>
      </c>
      <c r="F39" s="18">
        <f>D39*E39</f>
        <v>9839.6371720922343</v>
      </c>
    </row>
    <row r="40" spans="2:19" x14ac:dyDescent="0.25">
      <c r="B40" s="238">
        <v>9257005</v>
      </c>
      <c r="C40" s="238" t="s">
        <v>208</v>
      </c>
      <c r="D40" s="18">
        <f>VLOOKUP('2122 OLEA Placements'!B40,'2021 Funding Detail'!$A$4:$AM$23,39,FALSE)</f>
        <v>7300.5271428979677</v>
      </c>
      <c r="E40" s="8">
        <f>SUM(Q68)</f>
        <v>3</v>
      </c>
      <c r="F40" s="18">
        <f t="shared" ref="F40:F56" si="1">D40*E40</f>
        <v>21901.581428693902</v>
      </c>
      <c r="H40" s="2" t="s">
        <v>1649</v>
      </c>
      <c r="I40" s="2" t="s">
        <v>1650</v>
      </c>
      <c r="J40" s="2">
        <v>60</v>
      </c>
      <c r="K40" s="2">
        <v>63</v>
      </c>
      <c r="L40" s="864" t="s">
        <v>1650</v>
      </c>
      <c r="N40" s="2" t="s">
        <v>1650</v>
      </c>
      <c r="O40" s="2">
        <v>58</v>
      </c>
      <c r="P40" s="2">
        <v>7</v>
      </c>
      <c r="Q40" s="2">
        <v>1</v>
      </c>
    </row>
    <row r="41" spans="2:19" x14ac:dyDescent="0.25">
      <c r="B41" s="238">
        <v>9257025</v>
      </c>
      <c r="C41" s="238" t="s">
        <v>209</v>
      </c>
      <c r="D41" s="18">
        <f>VLOOKUP('2122 OLEA Placements'!B41,'2021 Funding Detail'!$A$4:$AM$23,39,FALSE)</f>
        <v>7146.4384184653854</v>
      </c>
      <c r="E41" s="8">
        <f>SUM(Q58)</f>
        <v>2</v>
      </c>
      <c r="F41" s="18">
        <f t="shared" si="1"/>
        <v>14292.876836930771</v>
      </c>
      <c r="H41" s="2" t="s">
        <v>1652</v>
      </c>
      <c r="I41" s="2" t="s">
        <v>1650</v>
      </c>
      <c r="J41" s="2">
        <v>59</v>
      </c>
      <c r="K41" s="2">
        <v>58</v>
      </c>
      <c r="L41" s="864" t="s">
        <v>1650</v>
      </c>
      <c r="N41" s="2" t="s">
        <v>1650</v>
      </c>
      <c r="O41" s="2">
        <v>50</v>
      </c>
      <c r="P41" s="2">
        <v>8</v>
      </c>
      <c r="Q41" s="2">
        <v>5</v>
      </c>
    </row>
    <row r="42" spans="2:19" x14ac:dyDescent="0.25">
      <c r="B42" s="238">
        <v>9257011</v>
      </c>
      <c r="C42" s="238" t="s">
        <v>210</v>
      </c>
      <c r="D42" s="18">
        <f>VLOOKUP('2122 OLEA Placements'!B42,'2021 Funding Detail'!$A$4:$AM$23,39,FALSE)</f>
        <v>10054.023578662325</v>
      </c>
      <c r="E42" s="8">
        <f>SUM(Q41)</f>
        <v>5</v>
      </c>
      <c r="F42" s="18">
        <f t="shared" si="1"/>
        <v>50270.117893311624</v>
      </c>
      <c r="H42" s="2" t="s">
        <v>1653</v>
      </c>
      <c r="I42" s="2" t="s">
        <v>1650</v>
      </c>
      <c r="J42" s="2">
        <v>135</v>
      </c>
      <c r="K42" s="2">
        <v>136</v>
      </c>
      <c r="L42" s="864" t="s">
        <v>1650</v>
      </c>
      <c r="N42" s="2" t="s">
        <v>1650</v>
      </c>
      <c r="O42" s="2">
        <v>136</v>
      </c>
      <c r="P42" s="2">
        <v>0</v>
      </c>
      <c r="Q42" s="2">
        <v>7</v>
      </c>
    </row>
    <row r="43" spans="2:19" x14ac:dyDescent="0.25">
      <c r="B43" s="238">
        <v>9257024</v>
      </c>
      <c r="C43" s="238" t="s">
        <v>211</v>
      </c>
      <c r="D43" s="18">
        <f>VLOOKUP('2122 OLEA Placements'!B43,'2021 Funding Detail'!$A$4:$AM$23,39,FALSE)</f>
        <v>6773.3204960825342</v>
      </c>
      <c r="E43" s="8">
        <f>SUM(Q64)</f>
        <v>1</v>
      </c>
      <c r="F43" s="18">
        <f t="shared" si="1"/>
        <v>6773.3204960825342</v>
      </c>
    </row>
    <row r="44" spans="2:19" x14ac:dyDescent="0.25">
      <c r="B44" s="238">
        <v>9257031</v>
      </c>
      <c r="C44" s="238" t="s">
        <v>257</v>
      </c>
      <c r="D44" s="18">
        <f>VLOOKUP('2122 OLEA Placements'!B44,'2021 Funding Detail'!$A$4:$AM$23,39,FALSE)</f>
        <v>9799.6149176941908</v>
      </c>
      <c r="E44" s="8">
        <f>SUM(Q46)</f>
        <v>11</v>
      </c>
      <c r="F44" s="18">
        <f t="shared" si="1"/>
        <v>107795.76409463611</v>
      </c>
      <c r="H44" s="2" t="s">
        <v>1654</v>
      </c>
      <c r="I44" s="2" t="s">
        <v>1650</v>
      </c>
      <c r="J44" s="2">
        <v>74</v>
      </c>
      <c r="K44" s="2">
        <v>75</v>
      </c>
      <c r="L44" s="864" t="s">
        <v>1650</v>
      </c>
      <c r="N44" s="2" t="s">
        <v>1650</v>
      </c>
      <c r="O44" s="2">
        <v>75</v>
      </c>
      <c r="P44" s="2">
        <v>0</v>
      </c>
      <c r="Q44" s="2">
        <v>0</v>
      </c>
    </row>
    <row r="45" spans="2:19" x14ac:dyDescent="0.25">
      <c r="B45" s="238">
        <v>9257033</v>
      </c>
      <c r="C45" s="238" t="s">
        <v>220</v>
      </c>
      <c r="D45" s="18">
        <f>VLOOKUP('2122 OLEA Placements'!B45,'2021 Funding Detail'!$A$4:$AM$23,39,FALSE)</f>
        <v>4253.3236567546883</v>
      </c>
      <c r="E45" s="8">
        <f>SUM(Q52)</f>
        <v>4</v>
      </c>
      <c r="F45" s="18">
        <f t="shared" si="1"/>
        <v>17013.294627018753</v>
      </c>
    </row>
    <row r="46" spans="2:19" x14ac:dyDescent="0.25">
      <c r="B46" s="238">
        <v>9257008</v>
      </c>
      <c r="C46" s="238" t="s">
        <v>212</v>
      </c>
      <c r="D46" s="18">
        <f>VLOOKUP('2122 OLEA Placements'!B46,'2021 Funding Detail'!$A$4:$AM$23,39,FALSE)</f>
        <v>4285.652531992856</v>
      </c>
      <c r="E46" s="8">
        <f>SUM(Q49)</f>
        <v>1</v>
      </c>
      <c r="F46" s="18">
        <f t="shared" si="1"/>
        <v>4285.652531992856</v>
      </c>
      <c r="H46" s="2" t="s">
        <v>481</v>
      </c>
      <c r="I46" s="2" t="s">
        <v>1650</v>
      </c>
      <c r="J46" s="2">
        <v>75</v>
      </c>
      <c r="K46" s="2">
        <v>80</v>
      </c>
      <c r="L46" s="864" t="s">
        <v>1650</v>
      </c>
      <c r="N46" s="2" t="s">
        <v>1650</v>
      </c>
      <c r="O46" s="2">
        <v>80</v>
      </c>
      <c r="P46" s="2">
        <v>0</v>
      </c>
      <c r="Q46" s="2">
        <v>11</v>
      </c>
    </row>
    <row r="47" spans="2:19" x14ac:dyDescent="0.25">
      <c r="B47" s="238">
        <v>9257034</v>
      </c>
      <c r="C47" s="238" t="s">
        <v>221</v>
      </c>
      <c r="D47" s="18">
        <f>VLOOKUP('2122 OLEA Placements'!B47,'2021 Funding Detail'!$A$4:$AM$23,39,FALSE)</f>
        <v>3274.7050695245503</v>
      </c>
      <c r="E47" s="8">
        <f>SUM(Q51)</f>
        <v>19</v>
      </c>
      <c r="F47" s="18">
        <f t="shared" si="1"/>
        <v>62219.396320966458</v>
      </c>
      <c r="H47" s="2" t="s">
        <v>1655</v>
      </c>
      <c r="I47" s="19" t="s">
        <v>1650</v>
      </c>
      <c r="J47" s="2">
        <v>71</v>
      </c>
      <c r="K47" s="2">
        <v>82</v>
      </c>
      <c r="L47" s="864" t="s">
        <v>1650</v>
      </c>
      <c r="N47" s="2" t="s">
        <v>1650</v>
      </c>
      <c r="O47" s="2">
        <v>82</v>
      </c>
      <c r="P47" s="2">
        <v>0</v>
      </c>
      <c r="Q47" s="2">
        <v>2</v>
      </c>
    </row>
    <row r="48" spans="2:19" x14ac:dyDescent="0.25">
      <c r="B48" s="238">
        <v>9257002</v>
      </c>
      <c r="C48" s="238" t="s">
        <v>213</v>
      </c>
      <c r="D48" s="18">
        <f>VLOOKUP('2122 OLEA Placements'!B48,'2021 Funding Detail'!$A$4:$AM$23,39,FALSE)</f>
        <v>2299.1356929266763</v>
      </c>
      <c r="E48" s="8">
        <f>SUM(Q66)</f>
        <v>8</v>
      </c>
      <c r="F48" s="18">
        <f t="shared" si="1"/>
        <v>18393.08554341341</v>
      </c>
    </row>
    <row r="49" spans="2:17" x14ac:dyDescent="0.25">
      <c r="B49" s="238">
        <v>9257009</v>
      </c>
      <c r="C49" s="238" t="s">
        <v>214</v>
      </c>
      <c r="D49" s="18">
        <f>VLOOKUP('2122 OLEA Placements'!B49,'2021 Funding Detail'!$A$4:$AM$23,39,FALSE)</f>
        <v>2863.5973694864751</v>
      </c>
      <c r="E49" s="8">
        <f>SUM(Q42)</f>
        <v>7</v>
      </c>
      <c r="F49" s="18">
        <f t="shared" si="1"/>
        <v>20045.181586405328</v>
      </c>
      <c r="H49" s="2" t="s">
        <v>1656</v>
      </c>
      <c r="I49" s="2" t="s">
        <v>1650</v>
      </c>
      <c r="J49" s="2">
        <v>95</v>
      </c>
      <c r="K49" s="2">
        <v>98</v>
      </c>
      <c r="L49" s="864" t="s">
        <v>1650</v>
      </c>
      <c r="N49" s="2" t="s">
        <v>1650</v>
      </c>
      <c r="O49" s="2">
        <v>98</v>
      </c>
      <c r="P49" s="2">
        <v>0</v>
      </c>
      <c r="Q49" s="2">
        <v>1</v>
      </c>
    </row>
    <row r="50" spans="2:17" x14ac:dyDescent="0.25">
      <c r="B50" s="238">
        <v>9257029</v>
      </c>
      <c r="C50" s="238" t="s">
        <v>890</v>
      </c>
      <c r="D50" s="18">
        <f>VLOOKUP('2122 OLEA Placements'!B50,'2021 Funding Detail'!$A$4:$AM$23,39,FALSE)</f>
        <v>10230.822596136366</v>
      </c>
      <c r="E50" s="8">
        <f>SUM(Q62)</f>
        <v>1</v>
      </c>
      <c r="F50" s="18">
        <f t="shared" si="1"/>
        <v>10230.822596136366</v>
      </c>
    </row>
    <row r="51" spans="2:17" ht="14.5" x14ac:dyDescent="0.35">
      <c r="B51" s="238">
        <v>9257032</v>
      </c>
      <c r="C51" s="238" t="s">
        <v>1043</v>
      </c>
      <c r="D51" s="18">
        <f>VLOOKUP('2122 OLEA Placements'!B51,'2021 Funding Detail'!$A$4:$AM$23,39,FALSE)</f>
        <v>9977.4015018729951</v>
      </c>
      <c r="E51" s="8">
        <f>SUM(Q47)</f>
        <v>2</v>
      </c>
      <c r="F51" s="18">
        <f t="shared" si="1"/>
        <v>19954.80300374599</v>
      </c>
      <c r="H51" s="2" t="s">
        <v>1657</v>
      </c>
      <c r="I51" s="2" t="s">
        <v>1650</v>
      </c>
      <c r="J51" s="865">
        <v>120</v>
      </c>
      <c r="K51" s="2">
        <v>128</v>
      </c>
      <c r="L51" s="864" t="s">
        <v>1650</v>
      </c>
      <c r="N51" s="865" t="s">
        <v>1650</v>
      </c>
      <c r="O51" s="865">
        <v>94</v>
      </c>
      <c r="P51" s="865">
        <v>34</v>
      </c>
      <c r="Q51" s="865">
        <v>19</v>
      </c>
    </row>
    <row r="52" spans="2:17" ht="14.5" x14ac:dyDescent="0.35">
      <c r="B52" s="238">
        <v>9257030</v>
      </c>
      <c r="C52" s="238" t="s">
        <v>1046</v>
      </c>
      <c r="D52" s="18">
        <f>VLOOKUP('2122 OLEA Placements'!B52,'2021 Funding Detail'!$A$4:$AM$23,39,FALSE)</f>
        <v>10200.333319071113</v>
      </c>
      <c r="E52" s="8">
        <f>SUM(Q44)</f>
        <v>0</v>
      </c>
      <c r="F52" s="18">
        <f t="shared" si="1"/>
        <v>0</v>
      </c>
      <c r="H52" s="2" t="s">
        <v>1658</v>
      </c>
      <c r="I52" s="2" t="s">
        <v>1650</v>
      </c>
      <c r="J52" s="865">
        <v>91</v>
      </c>
      <c r="K52" s="2">
        <v>99</v>
      </c>
      <c r="L52" s="864" t="s">
        <v>1650</v>
      </c>
      <c r="N52" s="865" t="s">
        <v>1650</v>
      </c>
      <c r="O52" s="865">
        <v>99</v>
      </c>
      <c r="P52" s="865">
        <v>0</v>
      </c>
      <c r="Q52" s="865">
        <v>4</v>
      </c>
    </row>
    <row r="53" spans="2:17" x14ac:dyDescent="0.25">
      <c r="B53" s="238">
        <v>9257028</v>
      </c>
      <c r="C53" s="238" t="s">
        <v>215</v>
      </c>
      <c r="D53" s="18">
        <f>VLOOKUP('2122 OLEA Placements'!B53,'2021 Funding Detail'!$A$4:$AM$23,39,FALSE)</f>
        <v>7306.1928336548772</v>
      </c>
      <c r="E53" s="8">
        <f>SUM(Q60)</f>
        <v>4</v>
      </c>
      <c r="F53" s="18">
        <f t="shared" si="1"/>
        <v>29224.771334619509</v>
      </c>
    </row>
    <row r="54" spans="2:17" ht="14.5" x14ac:dyDescent="0.35">
      <c r="B54" s="238">
        <v>9257021</v>
      </c>
      <c r="C54" s="238" t="s">
        <v>216</v>
      </c>
      <c r="D54" s="18">
        <f>VLOOKUP('2122 OLEA Placements'!B54,'2021 Funding Detail'!$A$4:$AM$23,39,FALSE)</f>
        <v>2838.0376910277873</v>
      </c>
      <c r="E54" s="8">
        <f>SUM(Q57)</f>
        <v>3</v>
      </c>
      <c r="F54" s="18">
        <f t="shared" si="1"/>
        <v>8514.1130730833611</v>
      </c>
      <c r="H54" s="2" t="s">
        <v>1659</v>
      </c>
      <c r="I54" s="2" t="s">
        <v>1650</v>
      </c>
      <c r="J54" s="2">
        <v>237</v>
      </c>
      <c r="K54" s="2">
        <v>232</v>
      </c>
      <c r="L54" s="864" t="s">
        <v>1650</v>
      </c>
      <c r="N54" s="2" t="s">
        <v>1650</v>
      </c>
      <c r="O54" s="865">
        <v>224</v>
      </c>
      <c r="P54" s="865">
        <v>8</v>
      </c>
      <c r="Q54" s="865">
        <v>0</v>
      </c>
    </row>
    <row r="55" spans="2:17" x14ac:dyDescent="0.25">
      <c r="B55" s="238">
        <v>9257015</v>
      </c>
      <c r="C55" s="238" t="s">
        <v>217</v>
      </c>
      <c r="D55" s="18">
        <f>VLOOKUP('2122 OLEA Placements'!B55,'2021 Funding Detail'!$A$4:$AM$23,39,FALSE)</f>
        <v>1373.032808425301</v>
      </c>
      <c r="E55" s="8">
        <f>SUM(Q54)</f>
        <v>0</v>
      </c>
      <c r="F55" s="18">
        <f t="shared" si="1"/>
        <v>0</v>
      </c>
      <c r="H55" s="2" t="s">
        <v>1660</v>
      </c>
      <c r="I55" s="2" t="s">
        <v>1650</v>
      </c>
      <c r="J55" s="2">
        <v>137</v>
      </c>
      <c r="K55" s="2">
        <v>158</v>
      </c>
      <c r="L55" s="864" t="s">
        <v>1650</v>
      </c>
      <c r="N55" s="2" t="s">
        <v>1650</v>
      </c>
      <c r="O55" s="2">
        <v>110</v>
      </c>
      <c r="P55" s="2">
        <v>47</v>
      </c>
      <c r="Q55" s="2">
        <v>5</v>
      </c>
    </row>
    <row r="56" spans="2:17" x14ac:dyDescent="0.25">
      <c r="B56" s="238">
        <v>9257016</v>
      </c>
      <c r="C56" s="238" t="s">
        <v>219</v>
      </c>
      <c r="D56" s="18">
        <f>VLOOKUP('2122 OLEA Placements'!B56,'2021 Funding Detail'!$A$4:$AM$23,39,FALSE)</f>
        <v>7223.4951554640675</v>
      </c>
      <c r="E56" s="8">
        <f>SUM(Q55)</f>
        <v>5</v>
      </c>
      <c r="F56" s="18">
        <f t="shared" si="1"/>
        <v>36117.475777320338</v>
      </c>
    </row>
    <row r="57" spans="2:17" x14ac:dyDescent="0.25">
      <c r="H57" s="2" t="s">
        <v>1661</v>
      </c>
      <c r="I57" s="2" t="s">
        <v>1650</v>
      </c>
      <c r="J57" s="2">
        <v>162</v>
      </c>
      <c r="K57" s="2">
        <v>166</v>
      </c>
      <c r="L57" s="864" t="s">
        <v>1650</v>
      </c>
      <c r="N57" s="2" t="s">
        <v>1650</v>
      </c>
      <c r="O57" s="2">
        <v>166</v>
      </c>
      <c r="P57" s="2">
        <v>0</v>
      </c>
      <c r="Q57" s="2">
        <v>3</v>
      </c>
    </row>
    <row r="58" spans="2:17" ht="13" x14ac:dyDescent="0.3">
      <c r="E58" s="454">
        <f>SUM(E39:E57)</f>
        <v>77</v>
      </c>
      <c r="F58" s="785">
        <f>SUM(F39:F57)</f>
        <v>436871.89431644947</v>
      </c>
      <c r="H58" s="2" t="s">
        <v>1662</v>
      </c>
      <c r="I58" s="2" t="s">
        <v>1650</v>
      </c>
      <c r="J58" s="2">
        <v>74</v>
      </c>
      <c r="K58" s="2">
        <v>75</v>
      </c>
      <c r="L58" s="864" t="s">
        <v>1650</v>
      </c>
      <c r="N58" s="2" t="s">
        <v>1650</v>
      </c>
      <c r="O58" s="2">
        <v>56</v>
      </c>
      <c r="P58" s="2">
        <v>20</v>
      </c>
      <c r="Q58" s="2">
        <v>2</v>
      </c>
    </row>
    <row r="60" spans="2:17" ht="14.5" x14ac:dyDescent="0.35">
      <c r="H60" s="2" t="s">
        <v>1663</v>
      </c>
      <c r="I60" s="2" t="s">
        <v>1650</v>
      </c>
      <c r="J60" s="865">
        <v>86</v>
      </c>
      <c r="K60" s="2">
        <v>100</v>
      </c>
      <c r="L60" s="864" t="s">
        <v>1650</v>
      </c>
      <c r="N60" s="865" t="s">
        <v>1650</v>
      </c>
      <c r="O60" s="866">
        <v>91</v>
      </c>
      <c r="P60" s="866">
        <v>8</v>
      </c>
      <c r="Q60" s="2">
        <v>4</v>
      </c>
    </row>
    <row r="62" spans="2:17" x14ac:dyDescent="0.25">
      <c r="H62" s="2" t="s">
        <v>1664</v>
      </c>
      <c r="I62" s="2" t="s">
        <v>1650</v>
      </c>
      <c r="J62" s="2">
        <v>68</v>
      </c>
      <c r="K62" s="2">
        <v>70</v>
      </c>
      <c r="L62" s="864" t="s">
        <v>1650</v>
      </c>
      <c r="N62" s="2" t="s">
        <v>1650</v>
      </c>
      <c r="O62" s="2">
        <v>70</v>
      </c>
      <c r="P62" s="2">
        <v>0</v>
      </c>
      <c r="Q62" s="2">
        <v>1</v>
      </c>
    </row>
    <row r="64" spans="2:17" x14ac:dyDescent="0.25">
      <c r="H64" s="2" t="s">
        <v>1665</v>
      </c>
      <c r="I64" s="2" t="s">
        <v>1650</v>
      </c>
      <c r="J64" s="2">
        <v>82</v>
      </c>
      <c r="K64" s="2">
        <v>84</v>
      </c>
      <c r="L64" s="864" t="s">
        <v>1650</v>
      </c>
      <c r="N64" s="2" t="s">
        <v>1650</v>
      </c>
      <c r="O64" s="2">
        <v>70</v>
      </c>
      <c r="P64" s="2">
        <v>14</v>
      </c>
      <c r="Q64" s="2">
        <v>1</v>
      </c>
    </row>
    <row r="66" spans="8:17" ht="14.5" x14ac:dyDescent="0.35">
      <c r="H66" s="2" t="s">
        <v>1666</v>
      </c>
      <c r="I66" s="2" t="s">
        <v>1650</v>
      </c>
      <c r="J66" s="2">
        <v>145</v>
      </c>
      <c r="K66" s="2">
        <v>150</v>
      </c>
      <c r="L66" s="864" t="s">
        <v>1650</v>
      </c>
      <c r="N66" s="2" t="s">
        <v>1650</v>
      </c>
      <c r="O66" s="865">
        <v>150</v>
      </c>
      <c r="P66" s="865">
        <v>0</v>
      </c>
      <c r="Q66" s="865">
        <v>8</v>
      </c>
    </row>
    <row r="68" spans="8:17" ht="14.5" x14ac:dyDescent="0.35">
      <c r="H68" s="2" t="s">
        <v>1667</v>
      </c>
      <c r="I68" s="2" t="s">
        <v>1650</v>
      </c>
      <c r="J68" s="2">
        <v>75</v>
      </c>
      <c r="K68" s="2">
        <v>78</v>
      </c>
      <c r="L68" s="864" t="s">
        <v>1650</v>
      </c>
      <c r="N68" s="2" t="s">
        <v>1650</v>
      </c>
      <c r="O68" s="865">
        <v>53</v>
      </c>
      <c r="P68" s="865">
        <v>26</v>
      </c>
      <c r="Q68" s="865">
        <v>3</v>
      </c>
    </row>
  </sheetData>
  <pageMargins left="0.7" right="0.7" top="0.75" bottom="0.75" header="0.3" footer="0.3"/>
  <pageSetup orientation="portrait" horizontalDpi="90" verticalDpi="9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61CD5-0798-4D65-B58A-A91A1C9623AC}">
  <sheetPr>
    <tabColor rgb="FFFFFF00"/>
  </sheetPr>
  <dimension ref="B2:Y75"/>
  <sheetViews>
    <sheetView topLeftCell="A20" workbookViewId="0">
      <selection activeCell="F24" sqref="F24"/>
    </sheetView>
  </sheetViews>
  <sheetFormatPr defaultRowHeight="12.5" x14ac:dyDescent="0.25"/>
  <cols>
    <col min="5" max="5" width="11.7265625" customWidth="1"/>
    <col min="21" max="21" width="8.7265625" style="2"/>
    <col min="24" max="24" width="10.54296875" bestFit="1" customWidth="1"/>
    <col min="25" max="25" width="8.7265625" style="2"/>
  </cols>
  <sheetData>
    <row r="2" spans="2:25" ht="13" x14ac:dyDescent="0.3">
      <c r="B2" s="458" t="s">
        <v>1670</v>
      </c>
      <c r="C2" s="316"/>
      <c r="D2" s="316"/>
      <c r="E2" s="316"/>
      <c r="F2" s="316"/>
      <c r="G2" s="316"/>
      <c r="H2" s="316"/>
      <c r="I2" s="316"/>
      <c r="J2" s="316"/>
      <c r="K2" s="316"/>
      <c r="L2" s="316"/>
      <c r="M2" s="316"/>
      <c r="N2" s="316"/>
      <c r="O2" s="316"/>
      <c r="P2" s="316"/>
      <c r="Q2" s="316"/>
      <c r="R2" s="316"/>
      <c r="S2" s="316"/>
    </row>
    <row r="3" spans="2:25" x14ac:dyDescent="0.25">
      <c r="B3" s="316"/>
      <c r="C3" s="316"/>
      <c r="D3" s="316"/>
      <c r="E3" s="316"/>
      <c r="F3" s="316"/>
      <c r="G3" s="316"/>
      <c r="H3" s="316"/>
      <c r="I3" s="316"/>
      <c r="J3" s="316"/>
      <c r="K3" s="316"/>
      <c r="L3" s="316"/>
      <c r="M3" s="316"/>
      <c r="N3" s="316"/>
      <c r="O3" s="316"/>
      <c r="P3" s="316"/>
      <c r="Q3" s="316"/>
      <c r="R3" s="316"/>
      <c r="S3" s="316"/>
      <c r="X3" s="316" t="s">
        <v>975</v>
      </c>
    </row>
    <row r="4" spans="2:25" ht="37.5" x14ac:dyDescent="0.25">
      <c r="B4" s="316"/>
      <c r="C4" s="358" t="s">
        <v>183</v>
      </c>
      <c r="D4" s="358" t="s">
        <v>184</v>
      </c>
      <c r="E4" s="359" t="s">
        <v>792</v>
      </c>
      <c r="F4" s="360" t="s">
        <v>735</v>
      </c>
      <c r="G4" s="361" t="s">
        <v>901</v>
      </c>
      <c r="H4" s="360" t="s">
        <v>736</v>
      </c>
      <c r="I4" s="361" t="s">
        <v>920</v>
      </c>
      <c r="J4" s="360" t="s">
        <v>737</v>
      </c>
      <c r="K4" s="361" t="s">
        <v>921</v>
      </c>
      <c r="L4" s="360" t="s">
        <v>738</v>
      </c>
      <c r="M4" s="361" t="s">
        <v>922</v>
      </c>
      <c r="N4" s="362" t="s">
        <v>739</v>
      </c>
      <c r="O4" s="363" t="s">
        <v>923</v>
      </c>
      <c r="P4" s="360" t="s">
        <v>741</v>
      </c>
      <c r="Q4" s="361" t="s">
        <v>924</v>
      </c>
      <c r="R4" s="362" t="s">
        <v>743</v>
      </c>
      <c r="S4" s="363" t="s">
        <v>925</v>
      </c>
      <c r="X4" s="822" t="s">
        <v>1638</v>
      </c>
      <c r="Y4" s="316" t="s">
        <v>3</v>
      </c>
    </row>
    <row r="5" spans="2:25" ht="20.5" x14ac:dyDescent="0.25">
      <c r="B5" s="238">
        <v>9257010</v>
      </c>
      <c r="C5" s="455" t="s">
        <v>1164</v>
      </c>
      <c r="D5" s="365">
        <v>4</v>
      </c>
      <c r="E5" s="1104">
        <v>126</v>
      </c>
      <c r="F5" s="367">
        <v>14</v>
      </c>
      <c r="G5" s="368">
        <f>F5/E5</f>
        <v>0.1111111111111111</v>
      </c>
      <c r="H5" s="369">
        <v>61</v>
      </c>
      <c r="I5" s="368">
        <f>H5/E5</f>
        <v>0.48412698412698413</v>
      </c>
      <c r="J5" s="369">
        <v>8</v>
      </c>
      <c r="K5" s="368">
        <f>J5/E5</f>
        <v>6.3492063492063489E-2</v>
      </c>
      <c r="L5" s="369">
        <v>13</v>
      </c>
      <c r="M5" s="368">
        <f>L5/E5</f>
        <v>0.10317460317460317</v>
      </c>
      <c r="N5" s="370">
        <v>8</v>
      </c>
      <c r="O5" s="371">
        <f>N5/E5</f>
        <v>6.3492063492063489E-2</v>
      </c>
      <c r="P5" s="369">
        <v>10</v>
      </c>
      <c r="Q5" s="368">
        <f>P5/E5</f>
        <v>7.9365079365079361E-2</v>
      </c>
      <c r="R5" s="370">
        <v>12</v>
      </c>
      <c r="S5" s="371">
        <f>R5/E5</f>
        <v>9.5238095238095233E-2</v>
      </c>
      <c r="U5" s="1290">
        <f t="shared" ref="U5:U21" si="0">G5+I5+K5+M5+O5+Q5+S5</f>
        <v>0.99999999999999989</v>
      </c>
      <c r="X5" s="460">
        <f>VLOOKUP(B5,'2324 Funding Detail'!$A$4:$M$20,13,(FALSE))</f>
        <v>139.33333333333334</v>
      </c>
      <c r="Y5" s="460">
        <f>X5-E5</f>
        <v>13.333333333333343</v>
      </c>
    </row>
    <row r="6" spans="2:25" ht="20.5" x14ac:dyDescent="0.25">
      <c r="B6" s="238">
        <v>9257005</v>
      </c>
      <c r="C6" s="455" t="s">
        <v>208</v>
      </c>
      <c r="D6" s="365" t="s">
        <v>1178</v>
      </c>
      <c r="E6" s="1104">
        <v>71</v>
      </c>
      <c r="F6" s="367">
        <v>6</v>
      </c>
      <c r="G6" s="368">
        <f>F6/E6</f>
        <v>8.4507042253521125E-2</v>
      </c>
      <c r="H6" s="369">
        <v>29</v>
      </c>
      <c r="I6" s="368">
        <f>H6/E6</f>
        <v>0.40845070422535212</v>
      </c>
      <c r="J6" s="369">
        <v>6</v>
      </c>
      <c r="K6" s="368">
        <f>J6/E6</f>
        <v>8.4507042253521125E-2</v>
      </c>
      <c r="L6" s="369">
        <v>7</v>
      </c>
      <c r="M6" s="368">
        <f>L6/E6</f>
        <v>9.8591549295774641E-2</v>
      </c>
      <c r="N6" s="370">
        <v>8</v>
      </c>
      <c r="O6" s="371">
        <f>N6/E6</f>
        <v>0.11267605633802817</v>
      </c>
      <c r="P6" s="369">
        <v>11</v>
      </c>
      <c r="Q6" s="368">
        <f>P6/E6</f>
        <v>0.15492957746478872</v>
      </c>
      <c r="R6" s="370">
        <v>4</v>
      </c>
      <c r="S6" s="371">
        <f>R6/E6</f>
        <v>5.6338028169014086E-2</v>
      </c>
      <c r="U6" s="1290">
        <f t="shared" si="0"/>
        <v>1</v>
      </c>
      <c r="X6" s="460">
        <f>VLOOKUP(B6,'2324 Funding Detail'!$A$4:$M$20,13,(FALSE))</f>
        <v>79.75</v>
      </c>
      <c r="Y6" s="460">
        <f t="shared" ref="Y6:Y21" si="1">X6-E6</f>
        <v>8.75</v>
      </c>
    </row>
    <row r="7" spans="2:25" ht="20.5" x14ac:dyDescent="0.25">
      <c r="B7" s="238">
        <v>9257025</v>
      </c>
      <c r="C7" s="455" t="s">
        <v>209</v>
      </c>
      <c r="D7" s="365">
        <v>4</v>
      </c>
      <c r="E7" s="1104">
        <v>90</v>
      </c>
      <c r="F7" s="367">
        <v>12</v>
      </c>
      <c r="G7" s="368">
        <f>F7/E7</f>
        <v>0.13333333333333333</v>
      </c>
      <c r="H7" s="369">
        <v>48</v>
      </c>
      <c r="I7" s="368">
        <f>H7/E7</f>
        <v>0.53333333333333333</v>
      </c>
      <c r="J7" s="369">
        <v>4</v>
      </c>
      <c r="K7" s="368">
        <f>J7/E7</f>
        <v>4.4444444444444446E-2</v>
      </c>
      <c r="L7" s="369">
        <v>10</v>
      </c>
      <c r="M7" s="368">
        <f>L7/E7</f>
        <v>0.1111111111111111</v>
      </c>
      <c r="N7" s="370">
        <v>1</v>
      </c>
      <c r="O7" s="371">
        <f>N7/E7</f>
        <v>1.1111111111111112E-2</v>
      </c>
      <c r="P7" s="369">
        <v>11</v>
      </c>
      <c r="Q7" s="368">
        <f>P7/E7</f>
        <v>0.12222222222222222</v>
      </c>
      <c r="R7" s="370">
        <v>4</v>
      </c>
      <c r="S7" s="371">
        <f>R7/E7</f>
        <v>4.4444444444444446E-2</v>
      </c>
      <c r="U7" s="1290">
        <f t="shared" si="0"/>
        <v>0.99999999999999989</v>
      </c>
      <c r="X7" s="460">
        <f>VLOOKUP(B7,'2324 Funding Detail'!$A$4:$M$20,13,(FALSE))</f>
        <v>96</v>
      </c>
      <c r="Y7" s="460">
        <f t="shared" si="1"/>
        <v>6</v>
      </c>
    </row>
    <row r="8" spans="2:25" ht="20.5" x14ac:dyDescent="0.25">
      <c r="B8" s="238">
        <v>9257024</v>
      </c>
      <c r="C8" s="455" t="s">
        <v>211</v>
      </c>
      <c r="D8" s="365">
        <v>4</v>
      </c>
      <c r="E8" s="1104">
        <v>85</v>
      </c>
      <c r="F8" s="369">
        <v>7</v>
      </c>
      <c r="G8" s="368">
        <f>F8/E8</f>
        <v>8.2352941176470587E-2</v>
      </c>
      <c r="H8" s="369">
        <v>46</v>
      </c>
      <c r="I8" s="368">
        <f>H8/E8</f>
        <v>0.54117647058823526</v>
      </c>
      <c r="J8" s="369">
        <v>1</v>
      </c>
      <c r="K8" s="368">
        <f>J8/E8</f>
        <v>1.1764705882352941E-2</v>
      </c>
      <c r="L8" s="369">
        <v>15</v>
      </c>
      <c r="M8" s="368">
        <f>L8/E8</f>
        <v>0.17647058823529413</v>
      </c>
      <c r="N8" s="370">
        <v>6</v>
      </c>
      <c r="O8" s="371">
        <f>N8/E8</f>
        <v>7.0588235294117646E-2</v>
      </c>
      <c r="P8" s="369">
        <v>4</v>
      </c>
      <c r="Q8" s="368">
        <f>P8/E8</f>
        <v>4.7058823529411764E-2</v>
      </c>
      <c r="R8" s="370">
        <v>6</v>
      </c>
      <c r="S8" s="371">
        <f>R8/E8</f>
        <v>7.0588235294117646E-2</v>
      </c>
      <c r="U8" s="1290">
        <f t="shared" si="0"/>
        <v>1</v>
      </c>
      <c r="X8" s="460">
        <f>VLOOKUP(B8,'2324 Funding Detail'!$A$4:$M$20,13,(FALSE))</f>
        <v>92.916666666666671</v>
      </c>
      <c r="Y8" s="460">
        <f t="shared" si="1"/>
        <v>7.9166666666666714</v>
      </c>
    </row>
    <row r="9" spans="2:25" ht="20.5" x14ac:dyDescent="0.25">
      <c r="B9" s="238">
        <v>9257031</v>
      </c>
      <c r="C9" s="455" t="s">
        <v>257</v>
      </c>
      <c r="D9" s="365" t="s">
        <v>1179</v>
      </c>
      <c r="E9" s="1104">
        <f>F9+H9+J9+L9+N9+P9+R9</f>
        <v>0</v>
      </c>
      <c r="F9" s="369">
        <v>0</v>
      </c>
      <c r="G9" s="368">
        <v>0</v>
      </c>
      <c r="H9" s="369">
        <v>0</v>
      </c>
      <c r="I9" s="368">
        <v>0</v>
      </c>
      <c r="J9" s="369">
        <v>0</v>
      </c>
      <c r="K9" s="368">
        <v>1</v>
      </c>
      <c r="L9" s="369">
        <v>0</v>
      </c>
      <c r="M9" s="368">
        <v>0</v>
      </c>
      <c r="N9" s="370">
        <v>0</v>
      </c>
      <c r="O9" s="371">
        <v>0</v>
      </c>
      <c r="P9" s="369">
        <v>0</v>
      </c>
      <c r="Q9" s="368">
        <v>0</v>
      </c>
      <c r="R9" s="370">
        <v>0</v>
      </c>
      <c r="S9" s="371">
        <v>0</v>
      </c>
      <c r="U9" s="1290">
        <f t="shared" si="0"/>
        <v>1</v>
      </c>
      <c r="X9" s="1289">
        <f>VLOOKUP(B9,'2324 Funding Detail'!$A$4:$M$20,13,(FALSE))</f>
        <v>80.583333333333343</v>
      </c>
      <c r="Y9" s="1289">
        <f>X9-E9</f>
        <v>80.583333333333343</v>
      </c>
    </row>
    <row r="10" spans="2:25" ht="30.5" x14ac:dyDescent="0.25">
      <c r="B10" s="238">
        <v>9257033</v>
      </c>
      <c r="C10" s="455" t="s">
        <v>220</v>
      </c>
      <c r="D10" s="365" t="s">
        <v>1178</v>
      </c>
      <c r="E10" s="1104">
        <v>111</v>
      </c>
      <c r="F10" s="369">
        <v>15</v>
      </c>
      <c r="G10" s="368">
        <f>F10/E10</f>
        <v>0.13513513513513514</v>
      </c>
      <c r="H10" s="369">
        <v>75</v>
      </c>
      <c r="I10" s="368">
        <f>H10/E10</f>
        <v>0.67567567567567566</v>
      </c>
      <c r="J10" s="369">
        <v>1</v>
      </c>
      <c r="K10" s="368">
        <f>J10/E10</f>
        <v>9.0090090090090089E-3</v>
      </c>
      <c r="L10" s="369">
        <v>10</v>
      </c>
      <c r="M10" s="368">
        <f>L10/E10</f>
        <v>9.0090090090090086E-2</v>
      </c>
      <c r="N10" s="370">
        <v>5</v>
      </c>
      <c r="O10" s="371">
        <f>N10/E10</f>
        <v>4.5045045045045043E-2</v>
      </c>
      <c r="P10" s="369">
        <v>3</v>
      </c>
      <c r="Q10" s="368">
        <f>P10/E10</f>
        <v>2.7027027027027029E-2</v>
      </c>
      <c r="R10" s="370">
        <v>2</v>
      </c>
      <c r="S10" s="371">
        <f>R10/E10</f>
        <v>1.8018018018018018E-2</v>
      </c>
      <c r="U10" s="1290">
        <f t="shared" si="0"/>
        <v>1</v>
      </c>
      <c r="X10" s="460">
        <f>VLOOKUP(B10,'2324 Funding Detail'!$A$4:$M$20,13,(FALSE))</f>
        <v>113.75000000000001</v>
      </c>
      <c r="Y10" s="460">
        <f t="shared" si="1"/>
        <v>2.7500000000000142</v>
      </c>
    </row>
    <row r="11" spans="2:25" ht="20.5" x14ac:dyDescent="0.25">
      <c r="B11" s="238">
        <v>9257008</v>
      </c>
      <c r="C11" s="455" t="s">
        <v>212</v>
      </c>
      <c r="D11" s="365">
        <v>4</v>
      </c>
      <c r="E11" s="1104">
        <v>101</v>
      </c>
      <c r="F11" s="369">
        <v>16</v>
      </c>
      <c r="G11" s="368">
        <f>F11/E11</f>
        <v>0.15841584158415842</v>
      </c>
      <c r="H11" s="369">
        <v>63</v>
      </c>
      <c r="I11" s="368">
        <f>H11/E11</f>
        <v>0.62376237623762376</v>
      </c>
      <c r="J11" s="369">
        <v>5</v>
      </c>
      <c r="K11" s="368">
        <f>J11/E11</f>
        <v>4.9504950495049507E-2</v>
      </c>
      <c r="L11" s="369">
        <v>11</v>
      </c>
      <c r="M11" s="368">
        <f>L11/E11</f>
        <v>0.10891089108910891</v>
      </c>
      <c r="N11" s="373">
        <v>0</v>
      </c>
      <c r="O11" s="371">
        <f>N11/E11</f>
        <v>0</v>
      </c>
      <c r="P11" s="369">
        <v>6</v>
      </c>
      <c r="Q11" s="368">
        <f>P11/E11</f>
        <v>5.9405940594059403E-2</v>
      </c>
      <c r="R11" s="373">
        <v>0</v>
      </c>
      <c r="S11" s="371">
        <f>R11/E11</f>
        <v>0</v>
      </c>
      <c r="U11" s="1290">
        <f t="shared" si="0"/>
        <v>1</v>
      </c>
      <c r="X11" s="460">
        <f>VLOOKUP(B11,'2324 Funding Detail'!$A$4:$M$20,13,(FALSE))</f>
        <v>101</v>
      </c>
      <c r="Y11" s="460">
        <f t="shared" si="1"/>
        <v>0</v>
      </c>
    </row>
    <row r="12" spans="2:25" ht="20.5" x14ac:dyDescent="0.25">
      <c r="B12" s="238">
        <v>9257034</v>
      </c>
      <c r="C12" s="455" t="s">
        <v>221</v>
      </c>
      <c r="D12" s="365" t="s">
        <v>1178</v>
      </c>
      <c r="E12" s="1104">
        <v>117</v>
      </c>
      <c r="F12" s="369">
        <v>50</v>
      </c>
      <c r="G12" s="368">
        <f>F12/E12</f>
        <v>0.42735042735042733</v>
      </c>
      <c r="H12" s="369">
        <v>41</v>
      </c>
      <c r="I12" s="368">
        <f>H12/E12</f>
        <v>0.3504273504273504</v>
      </c>
      <c r="J12" s="369">
        <v>11</v>
      </c>
      <c r="K12" s="368">
        <f>J12/E12</f>
        <v>9.4017094017094016E-2</v>
      </c>
      <c r="L12" s="369">
        <v>6</v>
      </c>
      <c r="M12" s="368">
        <f>L12/E12</f>
        <v>5.128205128205128E-2</v>
      </c>
      <c r="N12" s="370">
        <v>3</v>
      </c>
      <c r="O12" s="371">
        <f>N12/E12</f>
        <v>2.564102564102564E-2</v>
      </c>
      <c r="P12" s="369">
        <v>5</v>
      </c>
      <c r="Q12" s="368">
        <f>P12/E12</f>
        <v>4.2735042735042736E-2</v>
      </c>
      <c r="R12" s="370">
        <v>1</v>
      </c>
      <c r="S12" s="371">
        <f>R12/E12</f>
        <v>8.5470085470085479E-3</v>
      </c>
      <c r="U12" s="1290">
        <f t="shared" si="0"/>
        <v>0.99999999999999989</v>
      </c>
      <c r="X12" s="460">
        <f>VLOOKUP(B12,'2324 Funding Detail'!$A$4:$M$20,13,(FALSE))</f>
        <v>128.33333333333334</v>
      </c>
      <c r="Y12" s="460">
        <f t="shared" si="1"/>
        <v>11.333333333333343</v>
      </c>
    </row>
    <row r="13" spans="2:25" ht="20.5" x14ac:dyDescent="0.25">
      <c r="B13" s="238">
        <v>9257002</v>
      </c>
      <c r="C13" s="455" t="s">
        <v>213</v>
      </c>
      <c r="D13" s="365">
        <v>4</v>
      </c>
      <c r="E13" s="1104">
        <v>164</v>
      </c>
      <c r="F13" s="369">
        <v>45</v>
      </c>
      <c r="G13" s="368">
        <f>F13/E13</f>
        <v>0.27439024390243905</v>
      </c>
      <c r="H13" s="369">
        <v>72</v>
      </c>
      <c r="I13" s="368">
        <f>H13/E13</f>
        <v>0.43902439024390244</v>
      </c>
      <c r="J13" s="369">
        <v>22</v>
      </c>
      <c r="K13" s="368">
        <f>J13/E13</f>
        <v>0.13414634146341464</v>
      </c>
      <c r="L13" s="369">
        <v>6</v>
      </c>
      <c r="M13" s="368">
        <f>L13/E13</f>
        <v>3.6585365853658534E-2</v>
      </c>
      <c r="N13" s="370">
        <v>4</v>
      </c>
      <c r="O13" s="371">
        <f>N13/E13</f>
        <v>2.4390243902439025E-2</v>
      </c>
      <c r="P13" s="369">
        <v>13</v>
      </c>
      <c r="Q13" s="368">
        <f>P13/E13</f>
        <v>7.926829268292683E-2</v>
      </c>
      <c r="R13" s="370">
        <v>2</v>
      </c>
      <c r="S13" s="371">
        <f>R13/E13</f>
        <v>1.2195121951219513E-2</v>
      </c>
      <c r="U13" s="1290">
        <f t="shared" si="0"/>
        <v>1</v>
      </c>
      <c r="X13" s="460">
        <f>VLOOKUP(B13,'2324 Funding Detail'!$A$4:$M$20,13,(FALSE))</f>
        <v>168.91666666666669</v>
      </c>
      <c r="Y13" s="460">
        <f t="shared" si="1"/>
        <v>4.9166666666666856</v>
      </c>
    </row>
    <row r="14" spans="2:25" ht="20.5" x14ac:dyDescent="0.25">
      <c r="B14" s="238">
        <v>9257009</v>
      </c>
      <c r="C14" s="455" t="s">
        <v>997</v>
      </c>
      <c r="D14" s="365">
        <v>4</v>
      </c>
      <c r="E14" s="1104">
        <v>197</v>
      </c>
      <c r="F14" s="369">
        <v>34</v>
      </c>
      <c r="G14" s="368">
        <f>F14/E14</f>
        <v>0.17258883248730963</v>
      </c>
      <c r="H14" s="369">
        <v>100</v>
      </c>
      <c r="I14" s="368">
        <f>H14/E14</f>
        <v>0.50761421319796951</v>
      </c>
      <c r="J14" s="369">
        <v>13</v>
      </c>
      <c r="K14" s="368">
        <f>J14/E14</f>
        <v>6.5989847715736044E-2</v>
      </c>
      <c r="L14" s="369">
        <v>16</v>
      </c>
      <c r="M14" s="368">
        <f>L14/E14</f>
        <v>8.1218274111675121E-2</v>
      </c>
      <c r="N14" s="370">
        <f>1+6</f>
        <v>7</v>
      </c>
      <c r="O14" s="371">
        <f>N14/E14</f>
        <v>3.553299492385787E-2</v>
      </c>
      <c r="P14" s="369">
        <v>17</v>
      </c>
      <c r="Q14" s="368">
        <f>P14/E14</f>
        <v>8.6294416243654817E-2</v>
      </c>
      <c r="R14" s="370">
        <v>10</v>
      </c>
      <c r="S14" s="371">
        <f>R14/E14</f>
        <v>5.0761421319796954E-2</v>
      </c>
      <c r="U14" s="1290">
        <f t="shared" si="0"/>
        <v>1</v>
      </c>
      <c r="X14" s="460">
        <f>VLOOKUP(B14,'2324 Funding Detail'!$A$4:$M$20,13,(FALSE))</f>
        <v>207.83333333333337</v>
      </c>
      <c r="Y14" s="460">
        <f t="shared" si="1"/>
        <v>10.833333333333371</v>
      </c>
    </row>
    <row r="15" spans="2:25" ht="20.5" x14ac:dyDescent="0.25">
      <c r="B15" s="238">
        <v>9257029</v>
      </c>
      <c r="C15" s="455" t="s">
        <v>890</v>
      </c>
      <c r="D15" s="365" t="s">
        <v>1179</v>
      </c>
      <c r="E15" s="1104">
        <f>F15+H15+J15+L15+N15+P15+R15</f>
        <v>0</v>
      </c>
      <c r="F15" s="369">
        <v>0</v>
      </c>
      <c r="G15" s="368">
        <v>0</v>
      </c>
      <c r="H15" s="369">
        <v>0</v>
      </c>
      <c r="I15" s="368">
        <v>0</v>
      </c>
      <c r="J15" s="369">
        <v>0</v>
      </c>
      <c r="K15" s="368">
        <v>1</v>
      </c>
      <c r="L15" s="369">
        <v>0</v>
      </c>
      <c r="M15" s="368">
        <v>0</v>
      </c>
      <c r="N15" s="370">
        <v>0</v>
      </c>
      <c r="O15" s="371">
        <v>0</v>
      </c>
      <c r="P15" s="369">
        <v>0</v>
      </c>
      <c r="Q15" s="368">
        <v>0</v>
      </c>
      <c r="R15" s="370">
        <v>0</v>
      </c>
      <c r="S15" s="371">
        <v>0</v>
      </c>
      <c r="U15" s="1290">
        <f t="shared" si="0"/>
        <v>1</v>
      </c>
      <c r="X15" s="1289">
        <f>VLOOKUP(B15,'2324 Funding Detail'!$A$4:$M$20,13,(FALSE))</f>
        <v>79</v>
      </c>
      <c r="Y15" s="1289">
        <f t="shared" si="1"/>
        <v>79</v>
      </c>
    </row>
    <row r="16" spans="2:25" ht="20.5" x14ac:dyDescent="0.25">
      <c r="B16" s="238">
        <v>9257032</v>
      </c>
      <c r="C16" s="455" t="s">
        <v>813</v>
      </c>
      <c r="D16" s="365" t="s">
        <v>1179</v>
      </c>
      <c r="E16" s="1104">
        <f>F16+H16+J16+L16+N16+P16+R16</f>
        <v>0</v>
      </c>
      <c r="F16" s="369">
        <v>0</v>
      </c>
      <c r="G16" s="368">
        <v>0</v>
      </c>
      <c r="H16" s="369">
        <v>0</v>
      </c>
      <c r="I16" s="368">
        <v>0</v>
      </c>
      <c r="J16" s="369">
        <v>0</v>
      </c>
      <c r="K16" s="368">
        <v>1</v>
      </c>
      <c r="L16" s="369">
        <v>0</v>
      </c>
      <c r="M16" s="368">
        <v>0</v>
      </c>
      <c r="N16" s="370">
        <v>0</v>
      </c>
      <c r="O16" s="371">
        <v>0</v>
      </c>
      <c r="P16" s="369">
        <v>0</v>
      </c>
      <c r="Q16" s="368">
        <v>0</v>
      </c>
      <c r="R16" s="370">
        <v>0</v>
      </c>
      <c r="S16" s="371">
        <v>0</v>
      </c>
      <c r="U16" s="1290">
        <f t="shared" si="0"/>
        <v>1</v>
      </c>
      <c r="X16" s="1289">
        <f>VLOOKUP(B16,'2324 Funding Detail'!$A$4:$M$20,13,(FALSE))</f>
        <v>110.41666666666669</v>
      </c>
      <c r="Y16" s="1289">
        <f t="shared" si="1"/>
        <v>110.41666666666669</v>
      </c>
    </row>
    <row r="17" spans="2:25" ht="20.5" x14ac:dyDescent="0.25">
      <c r="B17" s="238">
        <v>9257030</v>
      </c>
      <c r="C17" s="455" t="s">
        <v>815</v>
      </c>
      <c r="D17" s="365" t="s">
        <v>1179</v>
      </c>
      <c r="E17" s="1104">
        <f>F17+H17+J17+L17+N17+P17+R17</f>
        <v>0</v>
      </c>
      <c r="F17" s="367">
        <v>0</v>
      </c>
      <c r="G17" s="368">
        <v>0</v>
      </c>
      <c r="H17" s="369">
        <v>0</v>
      </c>
      <c r="I17" s="368">
        <v>0</v>
      </c>
      <c r="J17" s="369">
        <v>0</v>
      </c>
      <c r="K17" s="368">
        <v>1</v>
      </c>
      <c r="L17" s="369">
        <v>0</v>
      </c>
      <c r="M17" s="368">
        <v>0</v>
      </c>
      <c r="N17" s="370">
        <v>0</v>
      </c>
      <c r="O17" s="371">
        <v>0</v>
      </c>
      <c r="P17" s="369">
        <v>0</v>
      </c>
      <c r="Q17" s="368">
        <v>0</v>
      </c>
      <c r="R17" s="370">
        <v>0</v>
      </c>
      <c r="S17" s="371">
        <v>0</v>
      </c>
      <c r="U17" s="1290">
        <f t="shared" si="0"/>
        <v>1</v>
      </c>
      <c r="X17" s="1289">
        <f>VLOOKUP(B17,'2324 Funding Detail'!$A$4:$M$20,13,(FALSE))</f>
        <v>70</v>
      </c>
      <c r="Y17" s="1289">
        <f t="shared" si="1"/>
        <v>70</v>
      </c>
    </row>
    <row r="18" spans="2:25" ht="20.5" x14ac:dyDescent="0.25">
      <c r="B18" s="238">
        <v>9257028</v>
      </c>
      <c r="C18" s="455" t="s">
        <v>215</v>
      </c>
      <c r="D18" s="365">
        <v>4</v>
      </c>
      <c r="E18" s="1104">
        <v>122</v>
      </c>
      <c r="F18" s="369">
        <v>11</v>
      </c>
      <c r="G18" s="368">
        <f>F18/E18</f>
        <v>9.0163934426229511E-2</v>
      </c>
      <c r="H18" s="367">
        <v>56</v>
      </c>
      <c r="I18" s="368">
        <f>H18/E18</f>
        <v>0.45901639344262296</v>
      </c>
      <c r="J18" s="367">
        <v>8</v>
      </c>
      <c r="K18" s="368">
        <f>J18/E18</f>
        <v>6.5573770491803282E-2</v>
      </c>
      <c r="L18" s="367">
        <v>10</v>
      </c>
      <c r="M18" s="368">
        <f>L18/E18</f>
        <v>8.1967213114754092E-2</v>
      </c>
      <c r="N18" s="370">
        <v>11</v>
      </c>
      <c r="O18" s="371">
        <f>N18/E18</f>
        <v>9.0163934426229511E-2</v>
      </c>
      <c r="P18" s="367">
        <v>8</v>
      </c>
      <c r="Q18" s="368">
        <f>P18/E18</f>
        <v>6.5573770491803282E-2</v>
      </c>
      <c r="R18" s="370">
        <v>18</v>
      </c>
      <c r="S18" s="371">
        <f>R18/E18</f>
        <v>0.14754098360655737</v>
      </c>
      <c r="U18" s="1290">
        <f t="shared" si="0"/>
        <v>1</v>
      </c>
      <c r="X18" s="460">
        <f>VLOOKUP(B18,'2324 Funding Detail'!$A$4:$M$20,13,(FALSE))</f>
        <v>138.66666666666669</v>
      </c>
      <c r="Y18" s="460">
        <f t="shared" si="1"/>
        <v>16.666666666666686</v>
      </c>
    </row>
    <row r="19" spans="2:25" ht="30.5" x14ac:dyDescent="0.25">
      <c r="B19" s="238">
        <v>9257021</v>
      </c>
      <c r="C19" s="455" t="s">
        <v>216</v>
      </c>
      <c r="D19" s="365" t="s">
        <v>1180</v>
      </c>
      <c r="E19" s="1104">
        <v>170</v>
      </c>
      <c r="F19" s="369">
        <v>36</v>
      </c>
      <c r="G19" s="368">
        <f>F19/E19</f>
        <v>0.21176470588235294</v>
      </c>
      <c r="H19" s="369">
        <v>89</v>
      </c>
      <c r="I19" s="368">
        <f>H19/E19</f>
        <v>0.52352941176470591</v>
      </c>
      <c r="J19" s="369">
        <v>18</v>
      </c>
      <c r="K19" s="368">
        <f>J19/E19</f>
        <v>0.10588235294117647</v>
      </c>
      <c r="L19" s="369">
        <v>12</v>
      </c>
      <c r="M19" s="368">
        <f>L19/E19</f>
        <v>7.0588235294117646E-2</v>
      </c>
      <c r="N19" s="370">
        <v>5</v>
      </c>
      <c r="O19" s="371">
        <f>N19/E19</f>
        <v>2.9411764705882353E-2</v>
      </c>
      <c r="P19" s="369">
        <v>8</v>
      </c>
      <c r="Q19" s="368">
        <f>P19/E19</f>
        <v>4.7058823529411764E-2</v>
      </c>
      <c r="R19" s="370">
        <v>2</v>
      </c>
      <c r="S19" s="371">
        <f>R19/E19</f>
        <v>1.1764705882352941E-2</v>
      </c>
      <c r="U19" s="1290">
        <f t="shared" si="0"/>
        <v>1</v>
      </c>
      <c r="X19" s="460">
        <f>VLOOKUP(B19,'2324 Funding Detail'!$A$4:$M$20,13,(FALSE))</f>
        <v>178.58333333333334</v>
      </c>
      <c r="Y19" s="460">
        <f t="shared" si="1"/>
        <v>8.5833333333333428</v>
      </c>
    </row>
    <row r="20" spans="2:25" ht="30.5" x14ac:dyDescent="0.25">
      <c r="B20" s="238">
        <v>9257015</v>
      </c>
      <c r="C20" s="455" t="s">
        <v>217</v>
      </c>
      <c r="D20" s="365" t="s">
        <v>1181</v>
      </c>
      <c r="E20" s="1104">
        <v>226</v>
      </c>
      <c r="F20" s="369">
        <v>61</v>
      </c>
      <c r="G20" s="368">
        <f>F20/E20</f>
        <v>0.26991150442477874</v>
      </c>
      <c r="H20" s="369">
        <v>95</v>
      </c>
      <c r="I20" s="368">
        <f>H20/E20</f>
        <v>0.42035398230088494</v>
      </c>
      <c r="J20" s="369">
        <v>5</v>
      </c>
      <c r="K20" s="368">
        <f>J20/E20</f>
        <v>2.2123893805309734E-2</v>
      </c>
      <c r="L20" s="369">
        <v>20</v>
      </c>
      <c r="M20" s="368">
        <f>L20/E20</f>
        <v>8.8495575221238937E-2</v>
      </c>
      <c r="N20" s="370">
        <v>5</v>
      </c>
      <c r="O20" s="371">
        <f>N20/E20</f>
        <v>2.2123893805309734E-2</v>
      </c>
      <c r="P20" s="369">
        <v>36</v>
      </c>
      <c r="Q20" s="368">
        <f>P20/E20</f>
        <v>0.15929203539823009</v>
      </c>
      <c r="R20" s="370">
        <v>4</v>
      </c>
      <c r="S20" s="371">
        <f>R20/E20</f>
        <v>1.7699115044247787E-2</v>
      </c>
      <c r="U20" s="1290">
        <f t="shared" si="0"/>
        <v>1</v>
      </c>
      <c r="X20" s="460">
        <f>VLOOKUP(B20,'2324 Funding Detail'!$A$4:$M$20,13,(FALSE))</f>
        <v>234.33333333333337</v>
      </c>
      <c r="Y20" s="460">
        <f t="shared" si="1"/>
        <v>8.3333333333333712</v>
      </c>
    </row>
    <row r="21" spans="2:25" ht="20.5" x14ac:dyDescent="0.25">
      <c r="B21" s="238">
        <v>9257016</v>
      </c>
      <c r="C21" s="455" t="s">
        <v>219</v>
      </c>
      <c r="D21" s="365" t="s">
        <v>1181</v>
      </c>
      <c r="E21" s="1104">
        <v>160</v>
      </c>
      <c r="F21" s="369">
        <v>19</v>
      </c>
      <c r="G21" s="368">
        <f>F21/E21</f>
        <v>0.11874999999999999</v>
      </c>
      <c r="H21" s="369">
        <v>34</v>
      </c>
      <c r="I21" s="368">
        <f>H21/E21</f>
        <v>0.21249999999999999</v>
      </c>
      <c r="J21" s="369">
        <v>2</v>
      </c>
      <c r="K21" s="368">
        <f>J21/E21</f>
        <v>1.2500000000000001E-2</v>
      </c>
      <c r="L21" s="369">
        <v>39</v>
      </c>
      <c r="M21" s="368">
        <f>L21/E21</f>
        <v>0.24374999999999999</v>
      </c>
      <c r="N21" s="370">
        <v>29</v>
      </c>
      <c r="O21" s="371">
        <f>N21/E21</f>
        <v>0.18124999999999999</v>
      </c>
      <c r="P21" s="369">
        <v>3</v>
      </c>
      <c r="Q21" s="368">
        <f>P21/E21</f>
        <v>1.8749999999999999E-2</v>
      </c>
      <c r="R21" s="370">
        <v>34</v>
      </c>
      <c r="S21" s="371">
        <f>R21/E21</f>
        <v>0.21249999999999999</v>
      </c>
      <c r="U21" s="1290">
        <f t="shared" si="0"/>
        <v>1</v>
      </c>
      <c r="X21" s="460">
        <f>VLOOKUP(B21,'2324 Funding Detail'!$A$4:$M$20,13,(FALSE))</f>
        <v>165.16666666666669</v>
      </c>
      <c r="Y21" s="460">
        <f t="shared" si="1"/>
        <v>5.1666666666666856</v>
      </c>
    </row>
    <row r="22" spans="2:25" x14ac:dyDescent="0.25">
      <c r="X22" s="460"/>
      <c r="Y22" s="460"/>
    </row>
    <row r="23" spans="2:25" ht="13" x14ac:dyDescent="0.3">
      <c r="E23" s="1106">
        <f>SUM(E5:E21)</f>
        <v>1740</v>
      </c>
      <c r="F23" s="460">
        <f>SUM(F5:F22)</f>
        <v>326</v>
      </c>
      <c r="G23" s="1117">
        <f>SUM(G5:G21)</f>
        <v>2.2697750530672667</v>
      </c>
      <c r="H23" s="460">
        <f>SUM(H5:H22)</f>
        <v>809</v>
      </c>
      <c r="I23" s="1117">
        <f>SUM(I5:I21)</f>
        <v>6.1789912855646403</v>
      </c>
      <c r="J23" s="460">
        <f>SUM(J5:J22)</f>
        <v>104</v>
      </c>
      <c r="K23" s="1117">
        <f>SUM(K5:K21)</f>
        <v>4.7629555160109742</v>
      </c>
      <c r="L23" s="460">
        <f>SUM(L5:L22)</f>
        <v>175</v>
      </c>
      <c r="M23" s="1117">
        <f>SUM(M5:M21)</f>
        <v>1.3422355478734775</v>
      </c>
      <c r="N23" s="460">
        <f>SUM(N5:N22)</f>
        <v>92</v>
      </c>
      <c r="O23" s="1117">
        <f>SUM(O5:O21)</f>
        <v>0.71142636868510967</v>
      </c>
      <c r="P23" s="460">
        <f>SUM(P5:P22)</f>
        <v>135</v>
      </c>
      <c r="Q23" s="1117">
        <f>SUM(Q5:Q21)</f>
        <v>0.9889810512836581</v>
      </c>
      <c r="R23" s="460">
        <f>SUM(R5:R22)</f>
        <v>99</v>
      </c>
      <c r="S23" s="1117">
        <f>SUM(S5:S21)</f>
        <v>0.74563517751487252</v>
      </c>
    </row>
    <row r="24" spans="2:25" ht="13" x14ac:dyDescent="0.3">
      <c r="E24" s="1106">
        <f>SUM(F24,H24,J24,L24,N24,P24,R24)</f>
        <v>2080</v>
      </c>
      <c r="F24" s="460">
        <f>F23</f>
        <v>326</v>
      </c>
      <c r="G24" s="1117">
        <f>F24/E24</f>
        <v>0.15673076923076923</v>
      </c>
      <c r="H24" s="460">
        <f>H23</f>
        <v>809</v>
      </c>
      <c r="I24" s="1117">
        <f>H24/E24</f>
        <v>0.3889423076923077</v>
      </c>
      <c r="J24" s="460">
        <f>J23+X9+X15+X16+X17</f>
        <v>444.00000000000006</v>
      </c>
      <c r="K24" s="1117">
        <f>J24/E24</f>
        <v>0.21346153846153848</v>
      </c>
      <c r="L24" s="460">
        <f>L23</f>
        <v>175</v>
      </c>
      <c r="M24" s="1117">
        <f>L24/E24</f>
        <v>8.4134615384615391E-2</v>
      </c>
      <c r="N24" s="460">
        <f>N23</f>
        <v>92</v>
      </c>
      <c r="O24" s="1117">
        <f>N24/E24</f>
        <v>4.4230769230769233E-2</v>
      </c>
      <c r="P24" s="460">
        <f>P23</f>
        <v>135</v>
      </c>
      <c r="Q24" s="1117">
        <f>P24/E24</f>
        <v>6.4903846153846159E-2</v>
      </c>
      <c r="R24" s="460">
        <f>R23</f>
        <v>99</v>
      </c>
      <c r="S24" s="459">
        <f>R24/E24</f>
        <v>4.7596153846153844E-2</v>
      </c>
    </row>
    <row r="25" spans="2:25" ht="13" x14ac:dyDescent="0.3">
      <c r="B25" s="458"/>
      <c r="C25" s="316"/>
      <c r="D25" s="316"/>
      <c r="E25" s="316"/>
      <c r="F25" s="1120">
        <f>F24/$E$24</f>
        <v>0.15673076923076923</v>
      </c>
      <c r="G25" s="1120"/>
      <c r="H25" s="1120">
        <f>H24/$E$24</f>
        <v>0.3889423076923077</v>
      </c>
      <c r="I25" s="1120"/>
      <c r="J25" s="1120">
        <f>J24/$E$24</f>
        <v>0.21346153846153848</v>
      </c>
      <c r="K25" s="1120"/>
      <c r="L25" s="1120">
        <f>L24/$E$24</f>
        <v>8.4134615384615391E-2</v>
      </c>
      <c r="M25" s="1120"/>
      <c r="N25" s="1120">
        <f>N24/$E$24</f>
        <v>4.4230769230769233E-2</v>
      </c>
      <c r="O25" s="1120"/>
      <c r="P25" s="1120">
        <f>P24/$E$24</f>
        <v>6.4903846153846159E-2</v>
      </c>
      <c r="Q25" s="1120"/>
      <c r="R25" s="1120">
        <f>R24/$E$24</f>
        <v>4.7596153846153844E-2</v>
      </c>
      <c r="S25" s="316"/>
    </row>
    <row r="26" spans="2:25" x14ac:dyDescent="0.25">
      <c r="B26" s="316"/>
      <c r="C26" s="316"/>
      <c r="D26" s="316"/>
      <c r="E26" s="316" t="s">
        <v>3</v>
      </c>
      <c r="F26" s="374">
        <f>F25-F51</f>
        <v>-8.8800946948504877E-3</v>
      </c>
      <c r="G26" s="374"/>
      <c r="H26" s="374">
        <f>H25-H51</f>
        <v>2.539413493066206E-2</v>
      </c>
      <c r="I26" s="374"/>
      <c r="J26" s="374">
        <f>J25-J51</f>
        <v>-4.2860789221466911E-3</v>
      </c>
      <c r="K26" s="374"/>
      <c r="L26" s="374">
        <f>L25-L51</f>
        <v>-2.8981209126321961E-3</v>
      </c>
      <c r="M26" s="374"/>
      <c r="N26" s="374">
        <f>N25-N51</f>
        <v>-3.5129032522923029E-3</v>
      </c>
      <c r="O26" s="374"/>
      <c r="P26" s="374">
        <f>P25-P51</f>
        <v>-7.2089924924447074E-3</v>
      </c>
      <c r="Q26" s="374"/>
      <c r="R26" s="374">
        <f>R25-R51</f>
        <v>1.8418010498865364E-3</v>
      </c>
      <c r="S26" s="316"/>
    </row>
    <row r="28" spans="2:25" ht="13" x14ac:dyDescent="0.3">
      <c r="B28" s="458" t="s">
        <v>1637</v>
      </c>
      <c r="C28" s="316"/>
      <c r="D28" s="316"/>
      <c r="E28" s="316"/>
      <c r="F28" s="316"/>
      <c r="G28" s="316"/>
      <c r="H28" s="316"/>
      <c r="I28" s="316"/>
      <c r="J28" s="316"/>
      <c r="K28" s="316"/>
      <c r="L28" s="316"/>
      <c r="M28" s="316"/>
      <c r="N28" s="316"/>
      <c r="O28" s="316"/>
      <c r="P28" s="316"/>
      <c r="Q28" s="316"/>
      <c r="R28" s="316"/>
      <c r="S28" s="316"/>
    </row>
    <row r="29" spans="2:25" x14ac:dyDescent="0.25">
      <c r="B29" s="316"/>
      <c r="C29" s="316"/>
      <c r="D29" s="316"/>
      <c r="E29" s="316"/>
      <c r="F29" s="316"/>
      <c r="G29" s="316"/>
      <c r="H29" s="316"/>
      <c r="I29" s="316"/>
      <c r="J29" s="316"/>
      <c r="K29" s="316"/>
      <c r="L29" s="316"/>
      <c r="M29" s="316"/>
      <c r="N29" s="316"/>
      <c r="O29" s="316"/>
      <c r="P29" s="316"/>
      <c r="Q29" s="316"/>
      <c r="R29" s="316"/>
      <c r="S29" s="316"/>
      <c r="X29" s="316" t="s">
        <v>959</v>
      </c>
    </row>
    <row r="30" spans="2:25" ht="37.5" x14ac:dyDescent="0.25">
      <c r="B30" s="316"/>
      <c r="C30" s="358" t="s">
        <v>183</v>
      </c>
      <c r="D30" s="358" t="s">
        <v>184</v>
      </c>
      <c r="E30" s="359" t="s">
        <v>792</v>
      </c>
      <c r="F30" s="360" t="s">
        <v>735</v>
      </c>
      <c r="G30" s="361" t="s">
        <v>901</v>
      </c>
      <c r="H30" s="360" t="s">
        <v>736</v>
      </c>
      <c r="I30" s="361" t="s">
        <v>920</v>
      </c>
      <c r="J30" s="360" t="s">
        <v>737</v>
      </c>
      <c r="K30" s="361" t="s">
        <v>921</v>
      </c>
      <c r="L30" s="360" t="s">
        <v>738</v>
      </c>
      <c r="M30" s="361" t="s">
        <v>922</v>
      </c>
      <c r="N30" s="362" t="s">
        <v>739</v>
      </c>
      <c r="O30" s="363" t="s">
        <v>923</v>
      </c>
      <c r="P30" s="360" t="s">
        <v>741</v>
      </c>
      <c r="Q30" s="361" t="s">
        <v>924</v>
      </c>
      <c r="R30" s="362" t="s">
        <v>743</v>
      </c>
      <c r="S30" s="363" t="s">
        <v>925</v>
      </c>
      <c r="X30" s="822" t="s">
        <v>1638</v>
      </c>
      <c r="Y30" s="316" t="s">
        <v>3</v>
      </c>
    </row>
    <row r="31" spans="2:25" ht="20.5" x14ac:dyDescent="0.25">
      <c r="B31" s="238">
        <v>9257010</v>
      </c>
      <c r="C31" s="455" t="s">
        <v>1164</v>
      </c>
      <c r="D31" s="365">
        <v>4</v>
      </c>
      <c r="E31" s="1104">
        <v>98</v>
      </c>
      <c r="F31" s="367">
        <v>6</v>
      </c>
      <c r="G31" s="368">
        <f>F31/E31</f>
        <v>6.1224489795918366E-2</v>
      </c>
      <c r="H31" s="369">
        <v>42</v>
      </c>
      <c r="I31" s="368">
        <f>H31/E31</f>
        <v>0.42857142857142855</v>
      </c>
      <c r="J31" s="369">
        <v>7</v>
      </c>
      <c r="K31" s="368">
        <f>J31/E31</f>
        <v>7.1428571428571425E-2</v>
      </c>
      <c r="L31" s="369">
        <v>13</v>
      </c>
      <c r="M31" s="368">
        <f>L31/E31</f>
        <v>0.1326530612244898</v>
      </c>
      <c r="N31" s="370">
        <v>8</v>
      </c>
      <c r="O31" s="371">
        <f>N31/E31</f>
        <v>8.1632653061224483E-2</v>
      </c>
      <c r="P31" s="369">
        <v>11</v>
      </c>
      <c r="Q31" s="368">
        <f>P31/E31</f>
        <v>0.11224489795918367</v>
      </c>
      <c r="R31" s="370">
        <v>11</v>
      </c>
      <c r="S31" s="371">
        <f>R31/E31</f>
        <v>0.11224489795918367</v>
      </c>
      <c r="U31" s="1105">
        <f>G31+I31+K31+M31+O31+Q31+S31</f>
        <v>1</v>
      </c>
      <c r="X31" s="460">
        <f>VLOOKUP(B31,'2223 Funding Detail'!$A$4:$M$20,13,(FALSE))</f>
        <v>115.33333333333333</v>
      </c>
      <c r="Y31" s="460">
        <f>X31-E31</f>
        <v>17.333333333333329</v>
      </c>
    </row>
    <row r="32" spans="2:25" ht="20.5" x14ac:dyDescent="0.25">
      <c r="B32" s="238">
        <v>9257005</v>
      </c>
      <c r="C32" s="455" t="s">
        <v>208</v>
      </c>
      <c r="D32" s="365" t="s">
        <v>1178</v>
      </c>
      <c r="E32" s="1104">
        <v>86</v>
      </c>
      <c r="F32" s="367">
        <v>5</v>
      </c>
      <c r="G32" s="368">
        <f>F32/E32</f>
        <v>5.8139534883720929E-2</v>
      </c>
      <c r="H32" s="369">
        <v>33</v>
      </c>
      <c r="I32" s="368">
        <f>H32/E32</f>
        <v>0.38372093023255816</v>
      </c>
      <c r="J32" s="369">
        <v>8</v>
      </c>
      <c r="K32" s="368">
        <f>J32/E32</f>
        <v>9.3023255813953487E-2</v>
      </c>
      <c r="L32" s="369">
        <v>12</v>
      </c>
      <c r="M32" s="368">
        <f>L32/E32</f>
        <v>0.13953488372093023</v>
      </c>
      <c r="N32" s="370">
        <v>10</v>
      </c>
      <c r="O32" s="371">
        <f>N32/E32</f>
        <v>0.11627906976744186</v>
      </c>
      <c r="P32" s="369">
        <v>13</v>
      </c>
      <c r="Q32" s="368">
        <f>P32/E32</f>
        <v>0.15116279069767441</v>
      </c>
      <c r="R32" s="370">
        <v>5</v>
      </c>
      <c r="S32" s="371">
        <f>R32/E32</f>
        <v>5.8139534883720929E-2</v>
      </c>
      <c r="U32" s="1105">
        <f t="shared" ref="U32:U47" si="2">G32+I32+K32+M32+O32+Q32+S32</f>
        <v>1.0000000000000002</v>
      </c>
      <c r="X32" s="460">
        <f>VLOOKUP(B32,'2223 Funding Detail'!$A$4:$M$20,13,(FALSE))</f>
        <v>88.583333333333343</v>
      </c>
      <c r="Y32" s="460">
        <f t="shared" ref="Y32:Y47" si="3">X32-E32</f>
        <v>2.5833333333333428</v>
      </c>
    </row>
    <row r="33" spans="2:25" ht="20.5" x14ac:dyDescent="0.25">
      <c r="B33" s="238">
        <v>9257025</v>
      </c>
      <c r="C33" s="455" t="s">
        <v>209</v>
      </c>
      <c r="D33" s="365">
        <v>4</v>
      </c>
      <c r="E33" s="1104">
        <v>79</v>
      </c>
      <c r="F33" s="367">
        <v>11</v>
      </c>
      <c r="G33" s="368">
        <f>F33/E33</f>
        <v>0.13924050632911392</v>
      </c>
      <c r="H33" s="369">
        <v>37</v>
      </c>
      <c r="I33" s="368">
        <f>H33/E33</f>
        <v>0.46835443037974683</v>
      </c>
      <c r="J33" s="369">
        <v>3</v>
      </c>
      <c r="K33" s="368">
        <f>J33/E33</f>
        <v>3.7974683544303799E-2</v>
      </c>
      <c r="L33" s="369">
        <v>9</v>
      </c>
      <c r="M33" s="368">
        <f>L33/E33</f>
        <v>0.11392405063291139</v>
      </c>
      <c r="N33" s="370">
        <v>3</v>
      </c>
      <c r="O33" s="371">
        <f>N33/E33</f>
        <v>3.7974683544303799E-2</v>
      </c>
      <c r="P33" s="369">
        <v>12</v>
      </c>
      <c r="Q33" s="368">
        <f>P33/E33</f>
        <v>0.15189873417721519</v>
      </c>
      <c r="R33" s="370">
        <v>4</v>
      </c>
      <c r="S33" s="371">
        <f>R33/E33</f>
        <v>5.0632911392405063E-2</v>
      </c>
      <c r="U33" s="1105">
        <f t="shared" si="2"/>
        <v>1</v>
      </c>
      <c r="X33" s="460">
        <f>VLOOKUP(B33,'2223 Funding Detail'!$A$4:$M$20,13,(FALSE))</f>
        <v>84.416666666666671</v>
      </c>
      <c r="Y33" s="460">
        <f t="shared" si="3"/>
        <v>5.4166666666666714</v>
      </c>
    </row>
    <row r="34" spans="2:25" ht="20.5" x14ac:dyDescent="0.25">
      <c r="B34" s="238">
        <v>9257024</v>
      </c>
      <c r="C34" s="455" t="s">
        <v>211</v>
      </c>
      <c r="D34" s="365">
        <v>4</v>
      </c>
      <c r="E34" s="1104">
        <v>84</v>
      </c>
      <c r="F34" s="369">
        <v>6</v>
      </c>
      <c r="G34" s="368">
        <f>F34/E34</f>
        <v>7.1428571428571425E-2</v>
      </c>
      <c r="H34" s="369">
        <v>43</v>
      </c>
      <c r="I34" s="368">
        <f>H34/E34</f>
        <v>0.51190476190476186</v>
      </c>
      <c r="J34" s="369">
        <v>2</v>
      </c>
      <c r="K34" s="368">
        <f>J34/E34</f>
        <v>2.3809523809523808E-2</v>
      </c>
      <c r="L34" s="369">
        <v>15</v>
      </c>
      <c r="M34" s="368">
        <f>L34/E34</f>
        <v>0.17857142857142858</v>
      </c>
      <c r="N34" s="370">
        <v>7</v>
      </c>
      <c r="O34" s="371">
        <f>N34/E34</f>
        <v>8.3333333333333329E-2</v>
      </c>
      <c r="P34" s="369">
        <v>6</v>
      </c>
      <c r="Q34" s="368">
        <f>P34/E34</f>
        <v>7.1428571428571425E-2</v>
      </c>
      <c r="R34" s="370">
        <v>5</v>
      </c>
      <c r="S34" s="371">
        <f>R34/E34</f>
        <v>5.9523809523809521E-2</v>
      </c>
      <c r="U34" s="1105">
        <f t="shared" si="2"/>
        <v>1</v>
      </c>
      <c r="X34" s="460">
        <f>VLOOKUP(B34,'2223 Funding Detail'!$A$4:$M$20,13,(FALSE))</f>
        <v>86.333333333333343</v>
      </c>
      <c r="Y34" s="460">
        <f t="shared" si="3"/>
        <v>2.3333333333333428</v>
      </c>
    </row>
    <row r="35" spans="2:25" ht="20.5" x14ac:dyDescent="0.25">
      <c r="B35" s="238">
        <v>9257031</v>
      </c>
      <c r="C35" s="455" t="s">
        <v>257</v>
      </c>
      <c r="D35" s="365" t="s">
        <v>1179</v>
      </c>
      <c r="E35" s="1104">
        <f>F35+H35+J35+L35+N35+P35+R35</f>
        <v>0</v>
      </c>
      <c r="F35" s="369">
        <v>0</v>
      </c>
      <c r="G35" s="368">
        <v>0</v>
      </c>
      <c r="H35" s="369">
        <v>0</v>
      </c>
      <c r="I35" s="368">
        <v>0</v>
      </c>
      <c r="J35" s="369">
        <v>0</v>
      </c>
      <c r="K35" s="368">
        <v>1</v>
      </c>
      <c r="L35" s="369">
        <v>0</v>
      </c>
      <c r="M35" s="368">
        <v>0</v>
      </c>
      <c r="N35" s="370">
        <v>0</v>
      </c>
      <c r="O35" s="371">
        <v>0</v>
      </c>
      <c r="P35" s="369">
        <v>0</v>
      </c>
      <c r="Q35" s="368">
        <v>0</v>
      </c>
      <c r="R35" s="370">
        <v>0</v>
      </c>
      <c r="S35" s="371">
        <v>0</v>
      </c>
      <c r="U35" s="1105">
        <f t="shared" si="2"/>
        <v>1</v>
      </c>
      <c r="X35" s="460">
        <f>VLOOKUP(B35,'2223 Funding Detail'!$A$4:$M$20,13,(FALSE))</f>
        <v>80.416666666666671</v>
      </c>
      <c r="Y35" s="460">
        <f t="shared" si="3"/>
        <v>80.416666666666671</v>
      </c>
    </row>
    <row r="36" spans="2:25" ht="30.5" x14ac:dyDescent="0.25">
      <c r="B36" s="238">
        <v>9257033</v>
      </c>
      <c r="C36" s="455" t="s">
        <v>220</v>
      </c>
      <c r="D36" s="365" t="s">
        <v>1178</v>
      </c>
      <c r="E36" s="1104">
        <v>108</v>
      </c>
      <c r="F36" s="369">
        <v>15</v>
      </c>
      <c r="G36" s="368">
        <f>F36/E36</f>
        <v>0.1388888888888889</v>
      </c>
      <c r="H36" s="369">
        <v>68</v>
      </c>
      <c r="I36" s="368">
        <f>H36/E36</f>
        <v>0.62962962962962965</v>
      </c>
      <c r="J36" s="369">
        <v>5</v>
      </c>
      <c r="K36" s="368">
        <f>J36/E36</f>
        <v>4.6296296296296294E-2</v>
      </c>
      <c r="L36" s="369">
        <v>11</v>
      </c>
      <c r="M36" s="368">
        <f>L36/E36</f>
        <v>0.10185185185185185</v>
      </c>
      <c r="N36" s="370">
        <v>4</v>
      </c>
      <c r="O36" s="371">
        <f>N36/E36</f>
        <v>3.7037037037037035E-2</v>
      </c>
      <c r="P36" s="369">
        <v>4</v>
      </c>
      <c r="Q36" s="368">
        <f>P36/E36</f>
        <v>3.7037037037037035E-2</v>
      </c>
      <c r="R36" s="370">
        <v>1</v>
      </c>
      <c r="S36" s="371">
        <f>R36/E36</f>
        <v>9.2592592592592587E-3</v>
      </c>
      <c r="U36" s="1105">
        <f t="shared" si="2"/>
        <v>1</v>
      </c>
      <c r="X36" s="460">
        <f>VLOOKUP(B36,'2223 Funding Detail'!$A$4:$M$20,13,(FALSE))</f>
        <v>106.16666666666669</v>
      </c>
      <c r="Y36" s="460">
        <f t="shared" si="3"/>
        <v>-1.8333333333333144</v>
      </c>
    </row>
    <row r="37" spans="2:25" ht="20.5" x14ac:dyDescent="0.25">
      <c r="B37" s="238">
        <v>9257008</v>
      </c>
      <c r="C37" s="455" t="s">
        <v>212</v>
      </c>
      <c r="D37" s="365">
        <v>4</v>
      </c>
      <c r="E37" s="1104">
        <v>100</v>
      </c>
      <c r="F37" s="369">
        <v>11</v>
      </c>
      <c r="G37" s="368">
        <f>F37/E37</f>
        <v>0.11</v>
      </c>
      <c r="H37" s="369">
        <v>64</v>
      </c>
      <c r="I37" s="368">
        <f>H37/E37</f>
        <v>0.64</v>
      </c>
      <c r="J37" s="369">
        <v>7</v>
      </c>
      <c r="K37" s="368">
        <f>J37/E37</f>
        <v>7.0000000000000007E-2</v>
      </c>
      <c r="L37" s="369">
        <v>9</v>
      </c>
      <c r="M37" s="368">
        <f>L37/E37</f>
        <v>0.09</v>
      </c>
      <c r="N37" s="373">
        <v>0</v>
      </c>
      <c r="O37" s="371">
        <f>N37/E37</f>
        <v>0</v>
      </c>
      <c r="P37" s="369">
        <v>9</v>
      </c>
      <c r="Q37" s="368">
        <f>P37/E37</f>
        <v>0.09</v>
      </c>
      <c r="R37" s="373">
        <v>0</v>
      </c>
      <c r="S37" s="371">
        <f>R37/E37</f>
        <v>0</v>
      </c>
      <c r="U37" s="1105">
        <f t="shared" si="2"/>
        <v>1</v>
      </c>
      <c r="X37" s="460">
        <f>VLOOKUP(B37,'2223 Funding Detail'!$A$4:$M$20,13,(FALSE))</f>
        <v>100.16666666666667</v>
      </c>
      <c r="Y37" s="460">
        <f t="shared" si="3"/>
        <v>0.1666666666666714</v>
      </c>
    </row>
    <row r="38" spans="2:25" ht="20.5" x14ac:dyDescent="0.25">
      <c r="B38" s="238">
        <v>9257034</v>
      </c>
      <c r="C38" s="455" t="s">
        <v>221</v>
      </c>
      <c r="D38" s="365" t="s">
        <v>1178</v>
      </c>
      <c r="E38" s="1104">
        <v>108</v>
      </c>
      <c r="F38" s="369">
        <v>48</v>
      </c>
      <c r="G38" s="368">
        <f>F38/E38</f>
        <v>0.44444444444444442</v>
      </c>
      <c r="H38" s="369">
        <v>35</v>
      </c>
      <c r="I38" s="368">
        <f>H38/E38</f>
        <v>0.32407407407407407</v>
      </c>
      <c r="J38" s="369">
        <v>10</v>
      </c>
      <c r="K38" s="368">
        <f>J38/E38</f>
        <v>9.2592592592592587E-2</v>
      </c>
      <c r="L38" s="369">
        <v>5</v>
      </c>
      <c r="M38" s="368">
        <f>L38/E38</f>
        <v>4.6296296296296294E-2</v>
      </c>
      <c r="N38" s="370">
        <v>3</v>
      </c>
      <c r="O38" s="371">
        <f>N38/E38</f>
        <v>2.7777777777777776E-2</v>
      </c>
      <c r="P38" s="369">
        <v>6</v>
      </c>
      <c r="Q38" s="368">
        <f>P38/E38</f>
        <v>5.5555555555555552E-2</v>
      </c>
      <c r="R38" s="370">
        <v>1</v>
      </c>
      <c r="S38" s="371">
        <f>R38/E38</f>
        <v>9.2592592592592587E-3</v>
      </c>
      <c r="U38" s="1105">
        <f t="shared" si="2"/>
        <v>1</v>
      </c>
      <c r="X38" s="460">
        <f>VLOOKUP(B38,'2223 Funding Detail'!$A$4:$M$20,13,(FALSE))</f>
        <v>122.16666666666667</v>
      </c>
      <c r="Y38" s="460">
        <f t="shared" si="3"/>
        <v>14.166666666666671</v>
      </c>
    </row>
    <row r="39" spans="2:25" ht="20.5" x14ac:dyDescent="0.25">
      <c r="B39" s="238">
        <v>9257002</v>
      </c>
      <c r="C39" s="455" t="s">
        <v>213</v>
      </c>
      <c r="D39" s="365">
        <v>4</v>
      </c>
      <c r="E39" s="1104">
        <v>149</v>
      </c>
      <c r="F39" s="369">
        <v>50</v>
      </c>
      <c r="G39" s="368">
        <f>F39/E39</f>
        <v>0.33557046979865773</v>
      </c>
      <c r="H39" s="369">
        <v>58</v>
      </c>
      <c r="I39" s="368">
        <f>H39/E39</f>
        <v>0.38926174496644295</v>
      </c>
      <c r="J39" s="369">
        <v>20</v>
      </c>
      <c r="K39" s="368">
        <f>J39/E39</f>
        <v>0.13422818791946309</v>
      </c>
      <c r="L39" s="369">
        <v>5</v>
      </c>
      <c r="M39" s="368">
        <f>L39/E39</f>
        <v>3.3557046979865772E-2</v>
      </c>
      <c r="N39" s="370">
        <v>3</v>
      </c>
      <c r="O39" s="371">
        <f>N39/E39</f>
        <v>2.0134228187919462E-2</v>
      </c>
      <c r="P39" s="369">
        <v>11</v>
      </c>
      <c r="Q39" s="368">
        <f>P39/E39</f>
        <v>7.3825503355704702E-2</v>
      </c>
      <c r="R39" s="370">
        <v>2</v>
      </c>
      <c r="S39" s="371">
        <f>R39/E39</f>
        <v>1.3422818791946308E-2</v>
      </c>
      <c r="U39" s="1105">
        <f t="shared" si="2"/>
        <v>1</v>
      </c>
      <c r="X39" s="460">
        <f>VLOOKUP(B39,'2223 Funding Detail'!$A$4:$M$20,13,(FALSE))</f>
        <v>155.66666666666669</v>
      </c>
      <c r="Y39" s="460">
        <f t="shared" si="3"/>
        <v>6.6666666666666856</v>
      </c>
    </row>
    <row r="40" spans="2:25" ht="20.5" x14ac:dyDescent="0.25">
      <c r="B40" s="238">
        <v>9257009</v>
      </c>
      <c r="C40" s="455" t="s">
        <v>997</v>
      </c>
      <c r="D40" s="365">
        <v>4</v>
      </c>
      <c r="E40" s="1104">
        <f>128+58</f>
        <v>186</v>
      </c>
      <c r="F40" s="369">
        <f>27+4</f>
        <v>31</v>
      </c>
      <c r="G40" s="368">
        <f>F40/E40</f>
        <v>0.16666666666666666</v>
      </c>
      <c r="H40" s="369">
        <f>76+23</f>
        <v>99</v>
      </c>
      <c r="I40" s="368">
        <f>H40/E40</f>
        <v>0.532258064516129</v>
      </c>
      <c r="J40" s="369">
        <f>11+0</f>
        <v>11</v>
      </c>
      <c r="K40" s="368">
        <f>J40/E40</f>
        <v>5.9139784946236562E-2</v>
      </c>
      <c r="L40" s="369">
        <f>5+9</f>
        <v>14</v>
      </c>
      <c r="M40" s="368">
        <f>L40/E40</f>
        <v>7.5268817204301078E-2</v>
      </c>
      <c r="N40" s="370">
        <f>1+6</f>
        <v>7</v>
      </c>
      <c r="O40" s="371">
        <f>N40/E40</f>
        <v>3.7634408602150539E-2</v>
      </c>
      <c r="P40" s="369">
        <f>8+7</f>
        <v>15</v>
      </c>
      <c r="Q40" s="368">
        <f>P40/E40</f>
        <v>8.0645161290322578E-2</v>
      </c>
      <c r="R40" s="370">
        <f>0+9</f>
        <v>9</v>
      </c>
      <c r="S40" s="371">
        <f>R40/E40</f>
        <v>4.8387096774193547E-2</v>
      </c>
      <c r="U40" s="1105">
        <f t="shared" si="2"/>
        <v>1</v>
      </c>
      <c r="X40" s="460">
        <f>VLOOKUP(B40,'2223 Funding Detail'!$A$4:$M$20,13,(FALSE))</f>
        <v>198.91666666666669</v>
      </c>
      <c r="Y40" s="460">
        <f t="shared" si="3"/>
        <v>12.916666666666686</v>
      </c>
    </row>
    <row r="41" spans="2:25" ht="20.5" x14ac:dyDescent="0.25">
      <c r="B41" s="238">
        <v>9257029</v>
      </c>
      <c r="C41" s="455" t="s">
        <v>890</v>
      </c>
      <c r="D41" s="365" t="s">
        <v>1179</v>
      </c>
      <c r="E41" s="1104">
        <f>F41+H41+J41+L41+N41+P41+R41</f>
        <v>0</v>
      </c>
      <c r="F41" s="369">
        <v>0</v>
      </c>
      <c r="G41" s="368">
        <v>0</v>
      </c>
      <c r="H41" s="369">
        <v>0</v>
      </c>
      <c r="I41" s="368">
        <v>0</v>
      </c>
      <c r="J41" s="369">
        <v>0</v>
      </c>
      <c r="K41" s="368">
        <v>1</v>
      </c>
      <c r="L41" s="369">
        <v>0</v>
      </c>
      <c r="M41" s="368">
        <v>0</v>
      </c>
      <c r="N41" s="370">
        <v>0</v>
      </c>
      <c r="O41" s="371">
        <v>0</v>
      </c>
      <c r="P41" s="369">
        <v>0</v>
      </c>
      <c r="Q41" s="368">
        <v>0</v>
      </c>
      <c r="R41" s="370">
        <v>0</v>
      </c>
      <c r="S41" s="371">
        <v>0</v>
      </c>
      <c r="U41" s="1105">
        <f t="shared" si="2"/>
        <v>1</v>
      </c>
      <c r="X41" s="460">
        <f>VLOOKUP(B41,'2223 Funding Detail'!$A$4:$M$20,13,(FALSE))</f>
        <v>78.583333333333343</v>
      </c>
      <c r="Y41" s="460">
        <f t="shared" si="3"/>
        <v>78.583333333333343</v>
      </c>
    </row>
    <row r="42" spans="2:25" ht="20.5" x14ac:dyDescent="0.25">
      <c r="B42" s="238">
        <v>9257032</v>
      </c>
      <c r="C42" s="455" t="s">
        <v>813</v>
      </c>
      <c r="D42" s="365" t="s">
        <v>1179</v>
      </c>
      <c r="E42" s="1104">
        <f>F42+H42+J42+L42+N42+P42+R42</f>
        <v>0</v>
      </c>
      <c r="F42" s="369">
        <v>0</v>
      </c>
      <c r="G42" s="368">
        <v>0</v>
      </c>
      <c r="H42" s="369">
        <v>0</v>
      </c>
      <c r="I42" s="368">
        <v>0</v>
      </c>
      <c r="J42" s="369">
        <v>0</v>
      </c>
      <c r="K42" s="368">
        <v>1</v>
      </c>
      <c r="L42" s="369">
        <v>0</v>
      </c>
      <c r="M42" s="368">
        <v>0</v>
      </c>
      <c r="N42" s="370">
        <v>0</v>
      </c>
      <c r="O42" s="371">
        <v>0</v>
      </c>
      <c r="P42" s="369">
        <v>0</v>
      </c>
      <c r="Q42" s="368">
        <v>0</v>
      </c>
      <c r="R42" s="370">
        <v>0</v>
      </c>
      <c r="S42" s="371">
        <v>0</v>
      </c>
      <c r="U42" s="1105">
        <f t="shared" si="2"/>
        <v>1</v>
      </c>
      <c r="X42" s="460">
        <f>VLOOKUP(B42,'2223 Funding Detail'!$A$4:$M$20,13,(FALSE))</f>
        <v>104</v>
      </c>
      <c r="Y42" s="460">
        <f t="shared" si="3"/>
        <v>104</v>
      </c>
    </row>
    <row r="43" spans="2:25" ht="20.5" x14ac:dyDescent="0.25">
      <c r="B43" s="238">
        <v>9257030</v>
      </c>
      <c r="C43" s="455" t="s">
        <v>815</v>
      </c>
      <c r="D43" s="365" t="s">
        <v>1179</v>
      </c>
      <c r="E43" s="1104">
        <f>F43+H43+J43+L43+N43+P43+R43</f>
        <v>0</v>
      </c>
      <c r="F43" s="367">
        <v>0</v>
      </c>
      <c r="G43" s="368">
        <v>0</v>
      </c>
      <c r="H43" s="369">
        <v>0</v>
      </c>
      <c r="I43" s="368">
        <v>0</v>
      </c>
      <c r="J43" s="369">
        <v>0</v>
      </c>
      <c r="K43" s="368">
        <v>1</v>
      </c>
      <c r="L43" s="369">
        <v>0</v>
      </c>
      <c r="M43" s="368">
        <v>0</v>
      </c>
      <c r="N43" s="370">
        <v>0</v>
      </c>
      <c r="O43" s="371">
        <v>0</v>
      </c>
      <c r="P43" s="369">
        <v>0</v>
      </c>
      <c r="Q43" s="368">
        <v>0</v>
      </c>
      <c r="R43" s="370">
        <v>0</v>
      </c>
      <c r="S43" s="371">
        <v>0</v>
      </c>
      <c r="U43" s="1105">
        <f t="shared" si="2"/>
        <v>1</v>
      </c>
      <c r="X43" s="460">
        <f>VLOOKUP(B43,'2223 Funding Detail'!$A$4:$M$20,13,(FALSE))</f>
        <v>70.833333333333343</v>
      </c>
      <c r="Y43" s="460">
        <f t="shared" si="3"/>
        <v>70.833333333333343</v>
      </c>
    </row>
    <row r="44" spans="2:25" ht="20.5" x14ac:dyDescent="0.25">
      <c r="B44" s="238">
        <v>9257028</v>
      </c>
      <c r="C44" s="455" t="s">
        <v>215</v>
      </c>
      <c r="D44" s="365">
        <v>4</v>
      </c>
      <c r="E44" s="1104">
        <v>119</v>
      </c>
      <c r="F44" s="369">
        <v>11</v>
      </c>
      <c r="G44" s="368">
        <f>F44/E44</f>
        <v>9.2436974789915971E-2</v>
      </c>
      <c r="H44" s="367">
        <v>53</v>
      </c>
      <c r="I44" s="368">
        <f>H44/E44</f>
        <v>0.44537815126050423</v>
      </c>
      <c r="J44" s="367">
        <v>9</v>
      </c>
      <c r="K44" s="368">
        <f>J44/E44</f>
        <v>7.5630252100840331E-2</v>
      </c>
      <c r="L44" s="367">
        <v>11</v>
      </c>
      <c r="M44" s="368">
        <f>L44/E44</f>
        <v>9.2436974789915971E-2</v>
      </c>
      <c r="N44" s="370">
        <v>11</v>
      </c>
      <c r="O44" s="371">
        <f>N44/E44</f>
        <v>9.2436974789915971E-2</v>
      </c>
      <c r="P44" s="367">
        <v>9</v>
      </c>
      <c r="Q44" s="368">
        <f>P44/E44</f>
        <v>7.5630252100840331E-2</v>
      </c>
      <c r="R44" s="370">
        <v>15</v>
      </c>
      <c r="S44" s="371">
        <f>R44/E44</f>
        <v>0.12605042016806722</v>
      </c>
      <c r="U44" s="1105">
        <f t="shared" si="2"/>
        <v>1</v>
      </c>
      <c r="X44" s="460">
        <f>VLOOKUP(B44,'2223 Funding Detail'!$A$4:$M$20,13,(FALSE))</f>
        <v>129.91666666666669</v>
      </c>
      <c r="Y44" s="460">
        <f t="shared" si="3"/>
        <v>10.916666666666686</v>
      </c>
    </row>
    <row r="45" spans="2:25" ht="30.5" x14ac:dyDescent="0.25">
      <c r="B45" s="238">
        <v>9257021</v>
      </c>
      <c r="C45" s="455" t="s">
        <v>216</v>
      </c>
      <c r="D45" s="365" t="s">
        <v>1180</v>
      </c>
      <c r="E45" s="1104">
        <v>171</v>
      </c>
      <c r="F45" s="369">
        <v>43</v>
      </c>
      <c r="G45" s="368">
        <f>F45/E45</f>
        <v>0.25146198830409355</v>
      </c>
      <c r="H45" s="369">
        <v>81</v>
      </c>
      <c r="I45" s="368">
        <f>H45/E45</f>
        <v>0.47368421052631576</v>
      </c>
      <c r="J45" s="369">
        <v>16</v>
      </c>
      <c r="K45" s="368">
        <f>J45/E45</f>
        <v>9.3567251461988299E-2</v>
      </c>
      <c r="L45" s="369">
        <v>13</v>
      </c>
      <c r="M45" s="368">
        <f>L45/E45</f>
        <v>7.6023391812865493E-2</v>
      </c>
      <c r="N45" s="370">
        <v>6</v>
      </c>
      <c r="O45" s="371">
        <f>N45/E45</f>
        <v>3.5087719298245612E-2</v>
      </c>
      <c r="P45" s="369">
        <v>10</v>
      </c>
      <c r="Q45" s="368">
        <f>P45/E45</f>
        <v>5.8479532163742687E-2</v>
      </c>
      <c r="R45" s="370">
        <v>2</v>
      </c>
      <c r="S45" s="371">
        <f>R45/E45</f>
        <v>1.1695906432748537E-2</v>
      </c>
      <c r="U45" s="1105">
        <f t="shared" si="2"/>
        <v>0.99999999999999989</v>
      </c>
      <c r="X45" s="460">
        <f>VLOOKUP(B45,'2223 Funding Detail'!$A$4:$M$20,13,(FALSE))</f>
        <v>174.25</v>
      </c>
      <c r="Y45" s="460">
        <f t="shared" si="3"/>
        <v>3.25</v>
      </c>
    </row>
    <row r="46" spans="2:25" ht="30.5" x14ac:dyDescent="0.25">
      <c r="B46" s="238">
        <v>9257015</v>
      </c>
      <c r="C46" s="455" t="s">
        <v>217</v>
      </c>
      <c r="D46" s="365" t="s">
        <v>1181</v>
      </c>
      <c r="E46" s="1104">
        <v>225</v>
      </c>
      <c r="F46" s="369">
        <v>71</v>
      </c>
      <c r="G46" s="368">
        <f>F46/E46</f>
        <v>0.31555555555555553</v>
      </c>
      <c r="H46" s="369">
        <v>87</v>
      </c>
      <c r="I46" s="368">
        <f>H46/E46</f>
        <v>0.38666666666666666</v>
      </c>
      <c r="J46" s="369">
        <v>4</v>
      </c>
      <c r="K46" s="368">
        <f>J46/E46</f>
        <v>1.7777777777777778E-2</v>
      </c>
      <c r="L46" s="369">
        <v>21</v>
      </c>
      <c r="M46" s="368">
        <f>L46/E46</f>
        <v>9.3333333333333338E-2</v>
      </c>
      <c r="N46" s="370">
        <v>4</v>
      </c>
      <c r="O46" s="371">
        <f>N46/E46</f>
        <v>1.7777777777777778E-2</v>
      </c>
      <c r="P46" s="369">
        <v>36</v>
      </c>
      <c r="Q46" s="368">
        <f>P46/E46</f>
        <v>0.16</v>
      </c>
      <c r="R46" s="370">
        <v>2</v>
      </c>
      <c r="S46" s="371">
        <f>R46/E46</f>
        <v>8.8888888888888889E-3</v>
      </c>
      <c r="U46" s="1105">
        <f t="shared" si="2"/>
        <v>1</v>
      </c>
      <c r="X46" s="460">
        <f>VLOOKUP(B46,'2223 Funding Detail'!$A$4:$M$20,13,(FALSE))</f>
        <v>226.5</v>
      </c>
      <c r="Y46" s="460">
        <f t="shared" si="3"/>
        <v>1.5</v>
      </c>
    </row>
    <row r="47" spans="2:25" ht="20.5" x14ac:dyDescent="0.25">
      <c r="B47" s="238">
        <v>9257016</v>
      </c>
      <c r="C47" s="455" t="s">
        <v>219</v>
      </c>
      <c r="D47" s="365" t="s">
        <v>1181</v>
      </c>
      <c r="E47" s="1104">
        <v>163</v>
      </c>
      <c r="F47" s="369">
        <v>25</v>
      </c>
      <c r="G47" s="368">
        <f>F47/E47</f>
        <v>0.15337423312883436</v>
      </c>
      <c r="H47" s="369">
        <v>31</v>
      </c>
      <c r="I47" s="368">
        <f>H47/E47</f>
        <v>0.19018404907975461</v>
      </c>
      <c r="J47" s="369">
        <v>2</v>
      </c>
      <c r="K47" s="368">
        <f>J47/E47</f>
        <v>1.2269938650306749E-2</v>
      </c>
      <c r="L47" s="369">
        <v>37</v>
      </c>
      <c r="M47" s="368">
        <f>L47/E47</f>
        <v>0.22699386503067484</v>
      </c>
      <c r="N47" s="370">
        <v>30</v>
      </c>
      <c r="O47" s="371">
        <f>N47/E47</f>
        <v>0.18404907975460122</v>
      </c>
      <c r="P47" s="369">
        <v>3</v>
      </c>
      <c r="Q47" s="368">
        <f>P47/E47</f>
        <v>1.8404907975460124E-2</v>
      </c>
      <c r="R47" s="370">
        <v>35</v>
      </c>
      <c r="S47" s="371">
        <f>R47/E47</f>
        <v>0.21472392638036811</v>
      </c>
      <c r="U47" s="1105">
        <f t="shared" si="2"/>
        <v>1</v>
      </c>
      <c r="X47" s="460">
        <f>VLOOKUP(B47,'2223 Funding Detail'!$A$4:$M$20,13,(FALSE))</f>
        <v>164.75</v>
      </c>
      <c r="Y47" s="460">
        <f t="shared" si="3"/>
        <v>1.75</v>
      </c>
    </row>
    <row r="49" spans="2:19" ht="13" x14ac:dyDescent="0.3">
      <c r="E49" s="1106">
        <f>SUM(E31:E48)</f>
        <v>1676</v>
      </c>
      <c r="F49" s="460">
        <f>SUM(F31:F48)</f>
        <v>333</v>
      </c>
      <c r="G49" s="1117">
        <f>SUM(G31:G47)</f>
        <v>2.3384323240143821</v>
      </c>
      <c r="H49" s="460">
        <f>SUM(H31:H48)</f>
        <v>731</v>
      </c>
      <c r="I49" s="1117">
        <f>SUM(I31:I47)</f>
        <v>5.8036881418080135</v>
      </c>
      <c r="J49" s="460">
        <f>SUM(J31:J48)</f>
        <v>104</v>
      </c>
      <c r="K49" s="1117">
        <f>SUM(K31:K47)</f>
        <v>4.8277381163418545</v>
      </c>
      <c r="L49" s="460">
        <f>SUM(L31:L48)</f>
        <v>175</v>
      </c>
      <c r="M49" s="1117">
        <f>SUM(M31:M47)</f>
        <v>1.4004450014488645</v>
      </c>
      <c r="N49" s="460">
        <f>SUM(N31:N48)</f>
        <v>96</v>
      </c>
      <c r="O49" s="1117">
        <f>SUM(O31:O47)</f>
        <v>0.77115474293172892</v>
      </c>
      <c r="P49" s="460">
        <f>SUM(P31:P48)</f>
        <v>145</v>
      </c>
      <c r="Q49" s="1117">
        <f>SUM(Q31:Q47)</f>
        <v>1.1363129437413075</v>
      </c>
      <c r="R49" s="460">
        <f>SUM(R31:R48)</f>
        <v>92</v>
      </c>
    </row>
    <row r="50" spans="2:19" ht="13" x14ac:dyDescent="0.3">
      <c r="E50" s="1106">
        <f>SUM(F50:S50)</f>
        <v>2010.7376539594604</v>
      </c>
      <c r="F50" s="460">
        <f>F49</f>
        <v>333</v>
      </c>
      <c r="G50" s="1117">
        <f>G49/18</f>
        <v>0.1299129068896879</v>
      </c>
      <c r="H50" s="460">
        <f>H49</f>
        <v>731</v>
      </c>
      <c r="I50" s="1117">
        <f>I49/18</f>
        <v>0.32242711898933407</v>
      </c>
      <c r="J50" s="460">
        <f>J49+X35+X41+X42+X43</f>
        <v>437.83333333333337</v>
      </c>
      <c r="K50" s="1117">
        <f>K49/18</f>
        <v>0.26820767313010302</v>
      </c>
      <c r="L50" s="460">
        <f>L49</f>
        <v>175</v>
      </c>
      <c r="M50" s="1117">
        <f>M49/18</f>
        <v>7.780250008049247E-2</v>
      </c>
      <c r="N50" s="460">
        <f>N49</f>
        <v>96</v>
      </c>
      <c r="O50" s="1117">
        <f>O49/18</f>
        <v>4.2841930162873826E-2</v>
      </c>
      <c r="P50" s="460">
        <f>P49</f>
        <v>145</v>
      </c>
      <c r="Q50" s="1117">
        <f>Q49/18</f>
        <v>6.312849687451709E-2</v>
      </c>
      <c r="R50" s="460">
        <f>R49</f>
        <v>92</v>
      </c>
    </row>
    <row r="51" spans="2:19" x14ac:dyDescent="0.25">
      <c r="C51" s="316"/>
      <c r="D51" s="316"/>
      <c r="E51" s="316"/>
      <c r="F51" s="1120">
        <f>F50/$E$50</f>
        <v>0.16561086392561972</v>
      </c>
      <c r="G51" s="1120"/>
      <c r="H51" s="1120">
        <f>H50/$E$50</f>
        <v>0.36354817276164564</v>
      </c>
      <c r="I51" s="1120"/>
      <c r="J51" s="1120">
        <f>J50/$E$50</f>
        <v>0.21774761738368517</v>
      </c>
      <c r="K51" s="1120"/>
      <c r="L51" s="1120">
        <f>L50/$E$50</f>
        <v>8.7032736297247587E-2</v>
      </c>
      <c r="M51" s="1120"/>
      <c r="N51" s="1120">
        <f>N50/$E$50</f>
        <v>4.7743672483061536E-2</v>
      </c>
      <c r="O51" s="1120"/>
      <c r="P51" s="1120">
        <f>P50/$E$50</f>
        <v>7.2112838646290867E-2</v>
      </c>
      <c r="Q51" s="1120"/>
      <c r="R51" s="1120">
        <f>R50/$E$50</f>
        <v>4.5754352796267307E-2</v>
      </c>
      <c r="S51" s="316"/>
    </row>
    <row r="52" spans="2:19" x14ac:dyDescent="0.25">
      <c r="B52" s="316"/>
      <c r="C52" s="316"/>
      <c r="D52" s="316"/>
      <c r="E52" s="316" t="s">
        <v>3</v>
      </c>
      <c r="F52" s="374">
        <f>F51-F54</f>
        <v>0.16561086392561972</v>
      </c>
      <c r="G52" s="374"/>
      <c r="H52" s="374">
        <f>H51-H54</f>
        <v>0.36354817276164564</v>
      </c>
      <c r="I52" s="374"/>
      <c r="J52" s="374">
        <f>J51-J54</f>
        <v>0.21774761738368517</v>
      </c>
      <c r="K52" s="374"/>
      <c r="L52" s="374">
        <f>L51-L54</f>
        <v>8.7032736297247587E-2</v>
      </c>
      <c r="M52" s="374"/>
      <c r="N52" s="374">
        <f>N51-N54</f>
        <v>4.7743672483061536E-2</v>
      </c>
      <c r="O52" s="374"/>
      <c r="P52" s="374">
        <f>P51-P54</f>
        <v>7.2112838646290867E-2</v>
      </c>
      <c r="Q52" s="374"/>
      <c r="R52" s="374">
        <f>R51-R54</f>
        <v>4.5754352796267307E-2</v>
      </c>
      <c r="S52" s="316"/>
    </row>
    <row r="53" spans="2:19" x14ac:dyDescent="0.25">
      <c r="B53" s="316"/>
      <c r="C53" s="316"/>
      <c r="D53" s="316"/>
      <c r="E53" s="316"/>
      <c r="F53" s="374"/>
      <c r="G53" s="374"/>
      <c r="H53" s="374"/>
      <c r="I53" s="374"/>
      <c r="J53" s="374"/>
      <c r="K53" s="374"/>
      <c r="L53" s="374"/>
      <c r="M53" s="374"/>
      <c r="N53" s="374"/>
      <c r="O53" s="374"/>
      <c r="P53" s="374"/>
      <c r="Q53" s="374"/>
      <c r="R53" s="374"/>
      <c r="S53" s="316"/>
    </row>
    <row r="54" spans="2:19" ht="13" x14ac:dyDescent="0.3">
      <c r="B54" s="458" t="s">
        <v>1639</v>
      </c>
      <c r="C54" s="316"/>
      <c r="D54" s="316"/>
      <c r="E54" s="316"/>
      <c r="F54" s="1117"/>
      <c r="G54" s="1117"/>
      <c r="H54" s="1117"/>
      <c r="I54" s="1117"/>
      <c r="J54" s="1117"/>
      <c r="K54" s="1117"/>
      <c r="L54" s="1117"/>
      <c r="M54" s="1117"/>
      <c r="N54" s="1117"/>
      <c r="O54" s="1117"/>
      <c r="P54" s="1117"/>
      <c r="Q54" s="1117"/>
      <c r="R54" s="1117"/>
      <c r="S54" s="316"/>
    </row>
    <row r="55" spans="2:19" x14ac:dyDescent="0.25">
      <c r="B55" s="316"/>
      <c r="C55" s="316"/>
      <c r="D55" s="316"/>
      <c r="E55" s="316"/>
      <c r="F55" s="1274"/>
      <c r="G55" s="316"/>
      <c r="H55" s="1274"/>
      <c r="I55" s="316"/>
      <c r="J55" s="1274"/>
      <c r="K55" s="316"/>
      <c r="L55" s="316"/>
      <c r="M55" s="316"/>
      <c r="N55" s="316"/>
      <c r="O55" s="316"/>
      <c r="P55" s="316"/>
      <c r="Q55" s="316"/>
      <c r="R55" s="316"/>
      <c r="S55" s="316"/>
    </row>
    <row r="56" spans="2:19" ht="21" x14ac:dyDescent="0.25">
      <c r="B56" s="316"/>
      <c r="C56" s="357" t="s">
        <v>183</v>
      </c>
      <c r="D56" s="358" t="s">
        <v>184</v>
      </c>
      <c r="E56" s="359" t="s">
        <v>792</v>
      </c>
      <c r="F56" s="360" t="s">
        <v>735</v>
      </c>
      <c r="G56" s="361" t="s">
        <v>901</v>
      </c>
      <c r="H56" s="360" t="s">
        <v>736</v>
      </c>
      <c r="I56" s="361" t="s">
        <v>920</v>
      </c>
      <c r="J56" s="360" t="s">
        <v>737</v>
      </c>
      <c r="K56" s="361" t="s">
        <v>921</v>
      </c>
      <c r="L56" s="360" t="s">
        <v>738</v>
      </c>
      <c r="M56" s="361" t="s">
        <v>922</v>
      </c>
      <c r="N56" s="362" t="s">
        <v>739</v>
      </c>
      <c r="O56" s="363" t="s">
        <v>923</v>
      </c>
      <c r="P56" s="360" t="s">
        <v>741</v>
      </c>
      <c r="Q56" s="361" t="s">
        <v>924</v>
      </c>
      <c r="R56" s="362" t="s">
        <v>743</v>
      </c>
      <c r="S56" s="363" t="s">
        <v>925</v>
      </c>
    </row>
    <row r="57" spans="2:19" ht="20.5" x14ac:dyDescent="0.25">
      <c r="B57" s="316"/>
      <c r="C57" s="455" t="s">
        <v>1164</v>
      </c>
      <c r="D57" s="365">
        <v>3</v>
      </c>
      <c r="E57" s="366">
        <f t="shared" ref="E57:S57" si="4">E5-E31</f>
        <v>28</v>
      </c>
      <c r="F57" s="385">
        <f t="shared" si="4"/>
        <v>8</v>
      </c>
      <c r="G57" s="384">
        <f t="shared" si="4"/>
        <v>4.9886621315192739E-2</v>
      </c>
      <c r="H57" s="385">
        <f t="shared" si="4"/>
        <v>19</v>
      </c>
      <c r="I57" s="384">
        <f t="shared" si="4"/>
        <v>5.555555555555558E-2</v>
      </c>
      <c r="J57" s="385">
        <f t="shared" si="4"/>
        <v>1</v>
      </c>
      <c r="K57" s="384">
        <f t="shared" si="4"/>
        <v>-7.9365079365079361E-3</v>
      </c>
      <c r="L57" s="385">
        <f t="shared" si="4"/>
        <v>0</v>
      </c>
      <c r="M57" s="384">
        <f t="shared" si="4"/>
        <v>-2.9478458049886636E-2</v>
      </c>
      <c r="N57" s="385">
        <f t="shared" si="4"/>
        <v>0</v>
      </c>
      <c r="O57" s="384">
        <f t="shared" si="4"/>
        <v>-1.8140589569160995E-2</v>
      </c>
      <c r="P57" s="385">
        <f t="shared" si="4"/>
        <v>-1</v>
      </c>
      <c r="Q57" s="384">
        <f t="shared" si="4"/>
        <v>-3.2879818594104313E-2</v>
      </c>
      <c r="R57" s="385">
        <f t="shared" si="4"/>
        <v>1</v>
      </c>
      <c r="S57" s="384">
        <f t="shared" si="4"/>
        <v>-1.700680272108844E-2</v>
      </c>
    </row>
    <row r="58" spans="2:19" ht="20.5" x14ac:dyDescent="0.25">
      <c r="B58" s="316"/>
      <c r="C58" s="364" t="s">
        <v>208</v>
      </c>
      <c r="D58" s="365">
        <v>3</v>
      </c>
      <c r="E58" s="366">
        <f t="shared" ref="E58:G73" si="5">E6-E32</f>
        <v>-15</v>
      </c>
      <c r="F58" s="385">
        <f t="shared" si="5"/>
        <v>1</v>
      </c>
      <c r="G58" s="384">
        <f t="shared" si="5"/>
        <v>2.6367507369800196E-2</v>
      </c>
      <c r="H58" s="385">
        <f t="shared" ref="H58:I73" si="6">H6-H32</f>
        <v>-4</v>
      </c>
      <c r="I58" s="384">
        <f t="shared" si="6"/>
        <v>2.4729773992793969E-2</v>
      </c>
      <c r="J58" s="385">
        <f t="shared" ref="J58:K73" si="7">J6-J32</f>
        <v>-2</v>
      </c>
      <c r="K58" s="384">
        <f t="shared" si="7"/>
        <v>-8.5162135604323619E-3</v>
      </c>
      <c r="L58" s="385">
        <f t="shared" ref="L58:M73" si="8">L6-L32</f>
        <v>-5</v>
      </c>
      <c r="M58" s="384">
        <f t="shared" si="8"/>
        <v>-4.0943334425155589E-2</v>
      </c>
      <c r="N58" s="385">
        <f t="shared" ref="N58:O73" si="9">N6-N32</f>
        <v>-2</v>
      </c>
      <c r="O58" s="384">
        <f t="shared" si="9"/>
        <v>-3.6030134294136873E-3</v>
      </c>
      <c r="P58" s="385">
        <f t="shared" ref="P58:Q73" si="10">P6-P32</f>
        <v>-2</v>
      </c>
      <c r="Q58" s="384">
        <f t="shared" si="10"/>
        <v>3.7667867671143107E-3</v>
      </c>
      <c r="R58" s="385">
        <f t="shared" ref="R58:S73" si="11">R6-R32</f>
        <v>-1</v>
      </c>
      <c r="S58" s="384">
        <f t="shared" si="11"/>
        <v>-1.8015067147068436E-3</v>
      </c>
    </row>
    <row r="59" spans="2:19" ht="20.5" x14ac:dyDescent="0.25">
      <c r="B59" s="316"/>
      <c r="C59" s="364" t="s">
        <v>209</v>
      </c>
      <c r="D59" s="365">
        <v>3</v>
      </c>
      <c r="E59" s="366">
        <f t="shared" si="5"/>
        <v>11</v>
      </c>
      <c r="F59" s="385">
        <f t="shared" si="5"/>
        <v>1</v>
      </c>
      <c r="G59" s="384">
        <f t="shared" si="5"/>
        <v>-5.9071729957805852E-3</v>
      </c>
      <c r="H59" s="385">
        <f t="shared" si="6"/>
        <v>11</v>
      </c>
      <c r="I59" s="384">
        <f t="shared" si="6"/>
        <v>6.4978902953586493E-2</v>
      </c>
      <c r="J59" s="385">
        <f t="shared" si="7"/>
        <v>1</v>
      </c>
      <c r="K59" s="384">
        <f t="shared" si="7"/>
        <v>6.4697609001406475E-3</v>
      </c>
      <c r="L59" s="385">
        <f t="shared" si="8"/>
        <v>1</v>
      </c>
      <c r="M59" s="384">
        <f t="shared" si="8"/>
        <v>-2.8129395218002839E-3</v>
      </c>
      <c r="N59" s="385">
        <f t="shared" si="9"/>
        <v>-2</v>
      </c>
      <c r="O59" s="384">
        <f t="shared" si="9"/>
        <v>-2.6863572433192685E-2</v>
      </c>
      <c r="P59" s="385">
        <f t="shared" si="10"/>
        <v>-1</v>
      </c>
      <c r="Q59" s="384">
        <f t="shared" si="10"/>
        <v>-2.9676511954992976E-2</v>
      </c>
      <c r="R59" s="385">
        <f t="shared" si="11"/>
        <v>0</v>
      </c>
      <c r="S59" s="384">
        <f t="shared" si="11"/>
        <v>-6.1884669479606164E-3</v>
      </c>
    </row>
    <row r="60" spans="2:19" ht="20.5" x14ac:dyDescent="0.25">
      <c r="B60" s="316"/>
      <c r="C60" s="364" t="s">
        <v>211</v>
      </c>
      <c r="D60" s="365">
        <v>3</v>
      </c>
      <c r="E60" s="366">
        <f t="shared" si="5"/>
        <v>1</v>
      </c>
      <c r="F60" s="385">
        <f t="shared" si="5"/>
        <v>1</v>
      </c>
      <c r="G60" s="384">
        <f t="shared" si="5"/>
        <v>1.0924369747899162E-2</v>
      </c>
      <c r="H60" s="385">
        <f t="shared" si="6"/>
        <v>3</v>
      </c>
      <c r="I60" s="384">
        <f t="shared" si="6"/>
        <v>2.9271708683473396E-2</v>
      </c>
      <c r="J60" s="385">
        <f t="shared" si="7"/>
        <v>-1</v>
      </c>
      <c r="K60" s="384">
        <f t="shared" si="7"/>
        <v>-1.2044817927170867E-2</v>
      </c>
      <c r="L60" s="385">
        <f t="shared" si="8"/>
        <v>0</v>
      </c>
      <c r="M60" s="384">
        <f t="shared" si="8"/>
        <v>-2.1008403361344463E-3</v>
      </c>
      <c r="N60" s="385">
        <f t="shared" si="9"/>
        <v>-1</v>
      </c>
      <c r="O60" s="384">
        <f t="shared" si="9"/>
        <v>-1.2745098039215683E-2</v>
      </c>
      <c r="P60" s="385">
        <f t="shared" si="10"/>
        <v>-2</v>
      </c>
      <c r="Q60" s="384">
        <f t="shared" si="10"/>
        <v>-2.4369747899159661E-2</v>
      </c>
      <c r="R60" s="385">
        <f t="shared" si="11"/>
        <v>1</v>
      </c>
      <c r="S60" s="384">
        <f t="shared" si="11"/>
        <v>1.1064425770308126E-2</v>
      </c>
    </row>
    <row r="61" spans="2:19" ht="20.5" x14ac:dyDescent="0.25">
      <c r="B61" s="316"/>
      <c r="C61" s="364" t="s">
        <v>257</v>
      </c>
      <c r="D61" s="365">
        <v>3</v>
      </c>
      <c r="E61" s="366">
        <f t="shared" si="5"/>
        <v>0</v>
      </c>
      <c r="F61" s="385">
        <f t="shared" si="5"/>
        <v>0</v>
      </c>
      <c r="G61" s="384">
        <f t="shared" si="5"/>
        <v>0</v>
      </c>
      <c r="H61" s="385">
        <f t="shared" si="6"/>
        <v>0</v>
      </c>
      <c r="I61" s="384">
        <f t="shared" si="6"/>
        <v>0</v>
      </c>
      <c r="J61" s="385">
        <f t="shared" si="7"/>
        <v>0</v>
      </c>
      <c r="K61" s="384">
        <f t="shared" si="7"/>
        <v>0</v>
      </c>
      <c r="L61" s="385">
        <f t="shared" si="8"/>
        <v>0</v>
      </c>
      <c r="M61" s="384">
        <f t="shared" si="8"/>
        <v>0</v>
      </c>
      <c r="N61" s="385">
        <f t="shared" si="9"/>
        <v>0</v>
      </c>
      <c r="O61" s="384">
        <f t="shared" si="9"/>
        <v>0</v>
      </c>
      <c r="P61" s="385">
        <f t="shared" si="10"/>
        <v>0</v>
      </c>
      <c r="Q61" s="384">
        <f t="shared" si="10"/>
        <v>0</v>
      </c>
      <c r="R61" s="385">
        <f t="shared" si="11"/>
        <v>0</v>
      </c>
      <c r="S61" s="384">
        <f t="shared" si="11"/>
        <v>0</v>
      </c>
    </row>
    <row r="62" spans="2:19" ht="30.5" x14ac:dyDescent="0.25">
      <c r="B62" s="316"/>
      <c r="C62" s="364" t="s">
        <v>220</v>
      </c>
      <c r="D62" s="365">
        <v>3</v>
      </c>
      <c r="E62" s="366">
        <f t="shared" si="5"/>
        <v>3</v>
      </c>
      <c r="F62" s="385">
        <f t="shared" si="5"/>
        <v>0</v>
      </c>
      <c r="G62" s="384">
        <f t="shared" si="5"/>
        <v>-3.7537537537537524E-3</v>
      </c>
      <c r="H62" s="385">
        <f t="shared" si="6"/>
        <v>7</v>
      </c>
      <c r="I62" s="384">
        <f t="shared" si="6"/>
        <v>4.6046046046046007E-2</v>
      </c>
      <c r="J62" s="385">
        <f t="shared" si="7"/>
        <v>-4</v>
      </c>
      <c r="K62" s="384">
        <f t="shared" si="7"/>
        <v>-3.7287287287287287E-2</v>
      </c>
      <c r="L62" s="385">
        <f t="shared" si="8"/>
        <v>-1</v>
      </c>
      <c r="M62" s="384">
        <f t="shared" si="8"/>
        <v>-1.176176176176176E-2</v>
      </c>
      <c r="N62" s="385">
        <f t="shared" si="9"/>
        <v>1</v>
      </c>
      <c r="O62" s="384">
        <f t="shared" si="9"/>
        <v>8.0080080080080079E-3</v>
      </c>
      <c r="P62" s="385">
        <f t="shared" si="10"/>
        <v>-1</v>
      </c>
      <c r="Q62" s="384">
        <f t="shared" si="10"/>
        <v>-1.0010010010010006E-2</v>
      </c>
      <c r="R62" s="385">
        <f t="shared" si="11"/>
        <v>1</v>
      </c>
      <c r="S62" s="384">
        <f t="shared" si="11"/>
        <v>8.7587587587587591E-3</v>
      </c>
    </row>
    <row r="63" spans="2:19" ht="20.5" x14ac:dyDescent="0.25">
      <c r="B63" s="316"/>
      <c r="C63" s="364" t="s">
        <v>212</v>
      </c>
      <c r="D63" s="365">
        <v>3</v>
      </c>
      <c r="E63" s="366">
        <f t="shared" si="5"/>
        <v>1</v>
      </c>
      <c r="F63" s="385">
        <f t="shared" si="5"/>
        <v>5</v>
      </c>
      <c r="G63" s="384">
        <f t="shared" si="5"/>
        <v>4.8415841584158417E-2</v>
      </c>
      <c r="H63" s="385">
        <f t="shared" si="6"/>
        <v>-1</v>
      </c>
      <c r="I63" s="384">
        <f t="shared" si="6"/>
        <v>-1.6237623762376252E-2</v>
      </c>
      <c r="J63" s="385">
        <f t="shared" si="7"/>
        <v>-2</v>
      </c>
      <c r="K63" s="384">
        <f t="shared" si="7"/>
        <v>-2.0495049504950499E-2</v>
      </c>
      <c r="L63" s="385">
        <f t="shared" si="8"/>
        <v>2</v>
      </c>
      <c r="M63" s="384">
        <f t="shared" si="8"/>
        <v>1.8910891089108914E-2</v>
      </c>
      <c r="N63" s="385">
        <f t="shared" si="9"/>
        <v>0</v>
      </c>
      <c r="O63" s="384">
        <f t="shared" si="9"/>
        <v>0</v>
      </c>
      <c r="P63" s="385">
        <f t="shared" si="10"/>
        <v>-3</v>
      </c>
      <c r="Q63" s="384">
        <f t="shared" si="10"/>
        <v>-3.0594059405940593E-2</v>
      </c>
      <c r="R63" s="385">
        <f t="shared" si="11"/>
        <v>0</v>
      </c>
      <c r="S63" s="384">
        <f t="shared" si="11"/>
        <v>0</v>
      </c>
    </row>
    <row r="64" spans="2:19" ht="20.5" x14ac:dyDescent="0.25">
      <c r="B64" s="316"/>
      <c r="C64" s="364" t="s">
        <v>221</v>
      </c>
      <c r="D64" s="365">
        <v>4</v>
      </c>
      <c r="E64" s="366">
        <f t="shared" si="5"/>
        <v>9</v>
      </c>
      <c r="F64" s="385">
        <f t="shared" si="5"/>
        <v>2</v>
      </c>
      <c r="G64" s="384">
        <f t="shared" si="5"/>
        <v>-1.7094017094017089E-2</v>
      </c>
      <c r="H64" s="385">
        <f t="shared" si="6"/>
        <v>6</v>
      </c>
      <c r="I64" s="384">
        <f t="shared" si="6"/>
        <v>2.6353276353276334E-2</v>
      </c>
      <c r="J64" s="385">
        <f t="shared" si="7"/>
        <v>1</v>
      </c>
      <c r="K64" s="384">
        <f t="shared" si="7"/>
        <v>1.4245014245014287E-3</v>
      </c>
      <c r="L64" s="385">
        <f t="shared" si="8"/>
        <v>1</v>
      </c>
      <c r="M64" s="384">
        <f t="shared" si="8"/>
        <v>4.9857549857549865E-3</v>
      </c>
      <c r="N64" s="385">
        <f t="shared" si="9"/>
        <v>0</v>
      </c>
      <c r="O64" s="384">
        <f t="shared" si="9"/>
        <v>-2.1367521367521361E-3</v>
      </c>
      <c r="P64" s="385">
        <f t="shared" si="10"/>
        <v>-1</v>
      </c>
      <c r="Q64" s="384">
        <f t="shared" si="10"/>
        <v>-1.2820512820512817E-2</v>
      </c>
      <c r="R64" s="385">
        <f t="shared" si="11"/>
        <v>0</v>
      </c>
      <c r="S64" s="384">
        <f t="shared" si="11"/>
        <v>-7.1225071225071088E-4</v>
      </c>
    </row>
    <row r="65" spans="2:19" ht="20.5" x14ac:dyDescent="0.25">
      <c r="B65" s="316"/>
      <c r="C65" s="364" t="s">
        <v>213</v>
      </c>
      <c r="D65" s="365">
        <v>4</v>
      </c>
      <c r="E65" s="366">
        <f t="shared" si="5"/>
        <v>15</v>
      </c>
      <c r="F65" s="385">
        <f t="shared" si="5"/>
        <v>-5</v>
      </c>
      <c r="G65" s="384">
        <f t="shared" si="5"/>
        <v>-6.1180225896218687E-2</v>
      </c>
      <c r="H65" s="385">
        <f t="shared" si="6"/>
        <v>14</v>
      </c>
      <c r="I65" s="384">
        <f t="shared" si="6"/>
        <v>4.9762645277459494E-2</v>
      </c>
      <c r="J65" s="385">
        <f t="shared" si="7"/>
        <v>2</v>
      </c>
      <c r="K65" s="384">
        <f t="shared" si="7"/>
        <v>-8.1846456048445537E-5</v>
      </c>
      <c r="L65" s="385">
        <f t="shared" si="8"/>
        <v>1</v>
      </c>
      <c r="M65" s="384">
        <f t="shared" si="8"/>
        <v>3.0283188737927624E-3</v>
      </c>
      <c r="N65" s="385">
        <f t="shared" si="9"/>
        <v>1</v>
      </c>
      <c r="O65" s="384">
        <f t="shared" si="9"/>
        <v>4.2560157145195635E-3</v>
      </c>
      <c r="P65" s="385">
        <f t="shared" si="10"/>
        <v>2</v>
      </c>
      <c r="Q65" s="384">
        <f t="shared" si="10"/>
        <v>5.4427893272221278E-3</v>
      </c>
      <c r="R65" s="385">
        <f t="shared" si="11"/>
        <v>0</v>
      </c>
      <c r="S65" s="384">
        <f t="shared" si="11"/>
        <v>-1.2276968407267958E-3</v>
      </c>
    </row>
    <row r="66" spans="2:19" ht="20.5" x14ac:dyDescent="0.25">
      <c r="B66" s="316"/>
      <c r="C66" s="364" t="s">
        <v>214</v>
      </c>
      <c r="D66" s="365">
        <v>4</v>
      </c>
      <c r="E66" s="366">
        <f t="shared" si="5"/>
        <v>11</v>
      </c>
      <c r="F66" s="385">
        <f t="shared" si="5"/>
        <v>3</v>
      </c>
      <c r="G66" s="384">
        <f t="shared" si="5"/>
        <v>5.9221658206429773E-3</v>
      </c>
      <c r="H66" s="385">
        <f t="shared" si="6"/>
        <v>1</v>
      </c>
      <c r="I66" s="384">
        <f t="shared" si="6"/>
        <v>-2.4643851318159493E-2</v>
      </c>
      <c r="J66" s="385">
        <f t="shared" si="7"/>
        <v>2</v>
      </c>
      <c r="K66" s="384">
        <f t="shared" si="7"/>
        <v>6.850062769499482E-3</v>
      </c>
      <c r="L66" s="385">
        <f t="shared" si="8"/>
        <v>2</v>
      </c>
      <c r="M66" s="384">
        <f t="shared" si="8"/>
        <v>5.9494569073740428E-3</v>
      </c>
      <c r="N66" s="385">
        <f t="shared" si="9"/>
        <v>0</v>
      </c>
      <c r="O66" s="384">
        <f t="shared" si="9"/>
        <v>-2.1014136782926685E-3</v>
      </c>
      <c r="P66" s="385">
        <f t="shared" si="10"/>
        <v>2</v>
      </c>
      <c r="Q66" s="384">
        <f t="shared" si="10"/>
        <v>5.6492549533322389E-3</v>
      </c>
      <c r="R66" s="385">
        <f t="shared" si="11"/>
        <v>1</v>
      </c>
      <c r="S66" s="384">
        <f t="shared" si="11"/>
        <v>2.3743245456034068E-3</v>
      </c>
    </row>
    <row r="67" spans="2:19" ht="20.5" x14ac:dyDescent="0.25">
      <c r="B67" s="316"/>
      <c r="C67" s="364" t="s">
        <v>259</v>
      </c>
      <c r="D67" s="365">
        <v>4</v>
      </c>
      <c r="E67" s="366">
        <f t="shared" si="5"/>
        <v>0</v>
      </c>
      <c r="F67" s="385">
        <f t="shared" si="5"/>
        <v>0</v>
      </c>
      <c r="G67" s="384">
        <f t="shared" si="5"/>
        <v>0</v>
      </c>
      <c r="H67" s="385">
        <f t="shared" si="6"/>
        <v>0</v>
      </c>
      <c r="I67" s="384">
        <f t="shared" si="6"/>
        <v>0</v>
      </c>
      <c r="J67" s="385">
        <f t="shared" si="7"/>
        <v>0</v>
      </c>
      <c r="K67" s="384">
        <f t="shared" si="7"/>
        <v>0</v>
      </c>
      <c r="L67" s="385">
        <f t="shared" si="8"/>
        <v>0</v>
      </c>
      <c r="M67" s="384">
        <f t="shared" si="8"/>
        <v>0</v>
      </c>
      <c r="N67" s="385">
        <f t="shared" si="9"/>
        <v>0</v>
      </c>
      <c r="O67" s="384">
        <f t="shared" si="9"/>
        <v>0</v>
      </c>
      <c r="P67" s="385">
        <f t="shared" si="10"/>
        <v>0</v>
      </c>
      <c r="Q67" s="384">
        <f t="shared" si="10"/>
        <v>0</v>
      </c>
      <c r="R67" s="385">
        <f t="shared" si="11"/>
        <v>0</v>
      </c>
      <c r="S67" s="384">
        <f t="shared" si="11"/>
        <v>0</v>
      </c>
    </row>
    <row r="68" spans="2:19" ht="40.5" x14ac:dyDescent="0.25">
      <c r="B68" s="316"/>
      <c r="C68" s="364" t="s">
        <v>261</v>
      </c>
      <c r="D68" s="365">
        <v>4</v>
      </c>
      <c r="E68" s="366">
        <f t="shared" si="5"/>
        <v>0</v>
      </c>
      <c r="F68" s="385">
        <f t="shared" si="5"/>
        <v>0</v>
      </c>
      <c r="G68" s="384">
        <f t="shared" si="5"/>
        <v>0</v>
      </c>
      <c r="H68" s="385">
        <f t="shared" si="6"/>
        <v>0</v>
      </c>
      <c r="I68" s="384">
        <f t="shared" si="6"/>
        <v>0</v>
      </c>
      <c r="J68" s="385">
        <f t="shared" si="7"/>
        <v>0</v>
      </c>
      <c r="K68" s="384">
        <f t="shared" si="7"/>
        <v>0</v>
      </c>
      <c r="L68" s="385">
        <f t="shared" si="8"/>
        <v>0</v>
      </c>
      <c r="M68" s="384">
        <f t="shared" si="8"/>
        <v>0</v>
      </c>
      <c r="N68" s="385">
        <f t="shared" si="9"/>
        <v>0</v>
      </c>
      <c r="O68" s="384">
        <f t="shared" si="9"/>
        <v>0</v>
      </c>
      <c r="P68" s="385">
        <f t="shared" si="10"/>
        <v>0</v>
      </c>
      <c r="Q68" s="384">
        <f t="shared" si="10"/>
        <v>0</v>
      </c>
      <c r="R68" s="385">
        <f t="shared" si="11"/>
        <v>0</v>
      </c>
      <c r="S68" s="384">
        <f t="shared" si="11"/>
        <v>0</v>
      </c>
    </row>
    <row r="69" spans="2:19" ht="30.5" x14ac:dyDescent="0.25">
      <c r="B69" s="316"/>
      <c r="C69" s="364" t="s">
        <v>262</v>
      </c>
      <c r="D69" s="365">
        <v>4</v>
      </c>
      <c r="E69" s="366">
        <f t="shared" si="5"/>
        <v>0</v>
      </c>
      <c r="F69" s="385">
        <f t="shared" si="5"/>
        <v>0</v>
      </c>
      <c r="G69" s="384">
        <f t="shared" si="5"/>
        <v>0</v>
      </c>
      <c r="H69" s="385">
        <f t="shared" si="6"/>
        <v>0</v>
      </c>
      <c r="I69" s="384">
        <f t="shared" si="6"/>
        <v>0</v>
      </c>
      <c r="J69" s="385">
        <f t="shared" si="7"/>
        <v>0</v>
      </c>
      <c r="K69" s="384">
        <f t="shared" si="7"/>
        <v>0</v>
      </c>
      <c r="L69" s="385">
        <f t="shared" si="8"/>
        <v>0</v>
      </c>
      <c r="M69" s="384">
        <f t="shared" si="8"/>
        <v>0</v>
      </c>
      <c r="N69" s="385">
        <f t="shared" si="9"/>
        <v>0</v>
      </c>
      <c r="O69" s="384">
        <f t="shared" si="9"/>
        <v>0</v>
      </c>
      <c r="P69" s="385">
        <f t="shared" si="10"/>
        <v>0</v>
      </c>
      <c r="Q69" s="384">
        <f t="shared" si="10"/>
        <v>0</v>
      </c>
      <c r="R69" s="385">
        <f t="shared" si="11"/>
        <v>0</v>
      </c>
      <c r="S69" s="384">
        <f t="shared" si="11"/>
        <v>0</v>
      </c>
    </row>
    <row r="70" spans="2:19" ht="20.5" x14ac:dyDescent="0.25">
      <c r="B70" s="316"/>
      <c r="C70" s="364" t="s">
        <v>215</v>
      </c>
      <c r="D70" s="365">
        <v>4</v>
      </c>
      <c r="E70" s="366">
        <f t="shared" si="5"/>
        <v>3</v>
      </c>
      <c r="F70" s="385">
        <f t="shared" si="5"/>
        <v>0</v>
      </c>
      <c r="G70" s="384">
        <f t="shared" si="5"/>
        <v>-2.2730403636864599E-3</v>
      </c>
      <c r="H70" s="385">
        <f t="shared" si="6"/>
        <v>3</v>
      </c>
      <c r="I70" s="384">
        <f t="shared" si="6"/>
        <v>1.3638242182118732E-2</v>
      </c>
      <c r="J70" s="385">
        <f t="shared" si="7"/>
        <v>-1</v>
      </c>
      <c r="K70" s="384">
        <f t="shared" si="7"/>
        <v>-1.0056481609037049E-2</v>
      </c>
      <c r="L70" s="385">
        <f t="shared" si="8"/>
        <v>-1</v>
      </c>
      <c r="M70" s="384">
        <f t="shared" si="8"/>
        <v>-1.0469761675161879E-2</v>
      </c>
      <c r="N70" s="385">
        <f t="shared" si="9"/>
        <v>0</v>
      </c>
      <c r="O70" s="384">
        <f t="shared" si="9"/>
        <v>-2.2730403636864599E-3</v>
      </c>
      <c r="P70" s="385">
        <f t="shared" si="10"/>
        <v>-1</v>
      </c>
      <c r="Q70" s="384">
        <f t="shared" si="10"/>
        <v>-1.0056481609037049E-2</v>
      </c>
      <c r="R70" s="385">
        <f t="shared" si="11"/>
        <v>3</v>
      </c>
      <c r="S70" s="384">
        <f t="shared" si="11"/>
        <v>2.1490563438490151E-2</v>
      </c>
    </row>
    <row r="71" spans="2:19" ht="20.5" x14ac:dyDescent="0.25">
      <c r="B71" s="316"/>
      <c r="C71" s="364" t="s">
        <v>216</v>
      </c>
      <c r="D71" s="365">
        <v>5</v>
      </c>
      <c r="E71" s="366">
        <f t="shared" si="5"/>
        <v>-1</v>
      </c>
      <c r="F71" s="385">
        <f t="shared" si="5"/>
        <v>-7</v>
      </c>
      <c r="G71" s="384">
        <f t="shared" si="5"/>
        <v>-3.9697282421740615E-2</v>
      </c>
      <c r="H71" s="385">
        <f t="shared" si="6"/>
        <v>8</v>
      </c>
      <c r="I71" s="384">
        <f t="shared" si="6"/>
        <v>4.9845201238390147E-2</v>
      </c>
      <c r="J71" s="385">
        <f t="shared" si="7"/>
        <v>2</v>
      </c>
      <c r="K71" s="384">
        <f t="shared" si="7"/>
        <v>1.231510147918817E-2</v>
      </c>
      <c r="L71" s="385">
        <f t="shared" si="8"/>
        <v>-1</v>
      </c>
      <c r="M71" s="384">
        <f t="shared" si="8"/>
        <v>-5.4351565187478468E-3</v>
      </c>
      <c r="N71" s="385">
        <f t="shared" si="9"/>
        <v>-1</v>
      </c>
      <c r="O71" s="384">
        <f t="shared" si="9"/>
        <v>-5.6759545923632596E-3</v>
      </c>
      <c r="P71" s="385">
        <f t="shared" si="10"/>
        <v>-2</v>
      </c>
      <c r="Q71" s="384">
        <f t="shared" si="10"/>
        <v>-1.1420708634330923E-2</v>
      </c>
      <c r="R71" s="385">
        <f t="shared" si="11"/>
        <v>0</v>
      </c>
      <c r="S71" s="384">
        <f t="shared" si="11"/>
        <v>6.8799449604403651E-5</v>
      </c>
    </row>
    <row r="72" spans="2:19" ht="30.5" x14ac:dyDescent="0.25">
      <c r="B72" s="316"/>
      <c r="C72" s="364" t="s">
        <v>217</v>
      </c>
      <c r="D72" s="365">
        <v>5</v>
      </c>
      <c r="E72" s="366">
        <f t="shared" si="5"/>
        <v>1</v>
      </c>
      <c r="F72" s="385">
        <f t="shared" si="5"/>
        <v>-10</v>
      </c>
      <c r="G72" s="384">
        <f t="shared" si="5"/>
        <v>-4.5644051130776797E-2</v>
      </c>
      <c r="H72" s="385">
        <f t="shared" si="6"/>
        <v>8</v>
      </c>
      <c r="I72" s="384">
        <f t="shared" si="6"/>
        <v>3.3687315634218284E-2</v>
      </c>
      <c r="J72" s="385">
        <f t="shared" si="7"/>
        <v>1</v>
      </c>
      <c r="K72" s="384">
        <f t="shared" si="7"/>
        <v>4.3461160275319564E-3</v>
      </c>
      <c r="L72" s="385">
        <f t="shared" si="8"/>
        <v>-1</v>
      </c>
      <c r="M72" s="384">
        <f t="shared" si="8"/>
        <v>-4.8377581120944008E-3</v>
      </c>
      <c r="N72" s="385">
        <f t="shared" si="9"/>
        <v>1</v>
      </c>
      <c r="O72" s="384">
        <f t="shared" si="9"/>
        <v>4.3461160275319564E-3</v>
      </c>
      <c r="P72" s="385">
        <f t="shared" si="10"/>
        <v>0</v>
      </c>
      <c r="Q72" s="384">
        <f t="shared" si="10"/>
        <v>-7.0796460176991705E-4</v>
      </c>
      <c r="R72" s="385">
        <f t="shared" si="11"/>
        <v>2</v>
      </c>
      <c r="S72" s="384">
        <f t="shared" si="11"/>
        <v>8.8102261553588985E-3</v>
      </c>
    </row>
    <row r="73" spans="2:19" ht="20.5" x14ac:dyDescent="0.25">
      <c r="B73" s="316"/>
      <c r="C73" s="364" t="s">
        <v>219</v>
      </c>
      <c r="D73" s="365">
        <v>6</v>
      </c>
      <c r="E73" s="366">
        <f t="shared" si="5"/>
        <v>-3</v>
      </c>
      <c r="F73" s="385">
        <f t="shared" si="5"/>
        <v>-6</v>
      </c>
      <c r="G73" s="384">
        <f t="shared" si="5"/>
        <v>-3.4624233128834364E-2</v>
      </c>
      <c r="H73" s="385">
        <f t="shared" si="6"/>
        <v>3</v>
      </c>
      <c r="I73" s="384">
        <f t="shared" si="6"/>
        <v>2.2315950920245381E-2</v>
      </c>
      <c r="J73" s="385">
        <f t="shared" si="7"/>
        <v>0</v>
      </c>
      <c r="K73" s="384">
        <f t="shared" si="7"/>
        <v>2.3006134969325194E-4</v>
      </c>
      <c r="L73" s="385">
        <f t="shared" si="8"/>
        <v>2</v>
      </c>
      <c r="M73" s="384">
        <f t="shared" si="8"/>
        <v>1.6756134969325154E-2</v>
      </c>
      <c r="N73" s="385">
        <f t="shared" si="9"/>
        <v>-1</v>
      </c>
      <c r="O73" s="384">
        <f t="shared" si="9"/>
        <v>-2.7990797546012247E-3</v>
      </c>
      <c r="P73" s="385">
        <f t="shared" si="10"/>
        <v>0</v>
      </c>
      <c r="Q73" s="384">
        <f t="shared" si="10"/>
        <v>3.4509202453987531E-4</v>
      </c>
      <c r="R73" s="385">
        <f t="shared" si="11"/>
        <v>-1</v>
      </c>
      <c r="S73" s="384">
        <f t="shared" si="11"/>
        <v>-2.2239263803681131E-3</v>
      </c>
    </row>
    <row r="75" spans="2:19" ht="13" x14ac:dyDescent="0.3">
      <c r="E75" s="1106">
        <f>SUM(E57:E74)</f>
        <v>64</v>
      </c>
      <c r="F75" s="376">
        <f>SUM(F57:F74)</f>
        <v>-7</v>
      </c>
      <c r="G75" s="289"/>
      <c r="H75" s="376">
        <f>SUM(H57:H74)</f>
        <v>78</v>
      </c>
      <c r="I75" s="289"/>
      <c r="J75" s="376">
        <f>SUM(J57:J74)</f>
        <v>0</v>
      </c>
      <c r="K75" s="289"/>
      <c r="L75" s="376">
        <f>SUM(L57:L74)</f>
        <v>0</v>
      </c>
      <c r="M75" s="289"/>
      <c r="N75" s="376">
        <f>SUM(N57:N74)</f>
        <v>-4</v>
      </c>
      <c r="O75" s="289"/>
      <c r="P75" s="376">
        <f>SUM(P57:P74)</f>
        <v>-10</v>
      </c>
      <c r="Q75" s="289"/>
      <c r="R75" s="376">
        <f>SUM(R57:R74)</f>
        <v>7</v>
      </c>
    </row>
  </sheetData>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FFCEF-FB99-4BD8-99AC-00D535E2B822}">
  <sheetPr>
    <tabColor rgb="FFFFFF00"/>
  </sheetPr>
  <dimension ref="B2:S112"/>
  <sheetViews>
    <sheetView workbookViewId="0">
      <selection activeCell="B3" sqref="B3"/>
    </sheetView>
  </sheetViews>
  <sheetFormatPr defaultColWidth="8.7265625" defaultRowHeight="12.5" x14ac:dyDescent="0.25"/>
  <cols>
    <col min="1" max="1" width="8.7265625" style="2"/>
    <col min="2" max="2" width="7.81640625" style="2" bestFit="1" customWidth="1"/>
    <col min="3" max="3" width="24.453125" style="2" bestFit="1" customWidth="1"/>
    <col min="4" max="4" width="10.81640625" style="2" bestFit="1" customWidth="1"/>
    <col min="5" max="5" width="15.54296875" style="2" bestFit="1" customWidth="1"/>
    <col min="6" max="6" width="10.81640625" style="2" bestFit="1" customWidth="1"/>
    <col min="7" max="7" width="8.7265625" style="2"/>
    <col min="8" max="8" width="13.54296875" style="2" bestFit="1" customWidth="1"/>
    <col min="9" max="9" width="16.1796875" style="2" bestFit="1" customWidth="1"/>
    <col min="10" max="10" width="12.453125" style="2" bestFit="1" customWidth="1"/>
    <col min="11" max="11" width="8.7265625" style="2"/>
    <col min="12" max="12" width="18.26953125" style="2" bestFit="1" customWidth="1"/>
    <col min="13" max="16384" width="8.7265625" style="2"/>
  </cols>
  <sheetData>
    <row r="2" spans="2:19" ht="13" x14ac:dyDescent="0.3">
      <c r="B2" s="454" t="s">
        <v>1671</v>
      </c>
    </row>
    <row r="4" spans="2:19" ht="26" x14ac:dyDescent="0.35">
      <c r="B4" s="1275" t="s">
        <v>182</v>
      </c>
      <c r="C4" s="1276" t="s">
        <v>183</v>
      </c>
      <c r="D4" s="8" t="s">
        <v>1640</v>
      </c>
      <c r="E4" s="239" t="s">
        <v>1641</v>
      </c>
      <c r="F4" s="239" t="s">
        <v>919</v>
      </c>
      <c r="H4" s="772" t="s">
        <v>183</v>
      </c>
      <c r="I4" s="772" t="s">
        <v>1642</v>
      </c>
      <c r="J4" s="772" t="s">
        <v>1672</v>
      </c>
      <c r="K4" s="772" t="s">
        <v>1644</v>
      </c>
      <c r="L4" s="772" t="s">
        <v>1645</v>
      </c>
      <c r="M4" s="772"/>
      <c r="N4" s="772" t="s">
        <v>1646</v>
      </c>
      <c r="O4" s="772" t="s">
        <v>284</v>
      </c>
      <c r="P4" s="772" t="s">
        <v>1647</v>
      </c>
      <c r="Q4" s="778" t="s">
        <v>284</v>
      </c>
      <c r="R4" s="778" t="s">
        <v>264</v>
      </c>
      <c r="S4" s="772" t="s">
        <v>1648</v>
      </c>
    </row>
    <row r="5" spans="2:19" x14ac:dyDescent="0.25">
      <c r="B5" s="238">
        <v>9257010</v>
      </c>
      <c r="C5" s="238" t="s">
        <v>205</v>
      </c>
      <c r="D5" s="18">
        <f>VLOOKUP('OLEA Placements'!B5,'2324 Funding Detail'!$A$4:$Y$20,25,FALSE)</f>
        <v>6793.2838934203573</v>
      </c>
      <c r="E5" s="8">
        <f>S5</f>
        <v>3</v>
      </c>
      <c r="F5" s="18">
        <f>D5*E5</f>
        <v>20379.851680261072</v>
      </c>
      <c r="H5" s="8" t="s">
        <v>1673</v>
      </c>
      <c r="I5" s="8" t="s">
        <v>1650</v>
      </c>
      <c r="J5" s="8">
        <f>'[26]2223'!N2</f>
        <v>0</v>
      </c>
      <c r="K5" s="8">
        <v>140</v>
      </c>
      <c r="L5" s="1110">
        <v>44852</v>
      </c>
      <c r="M5" s="8"/>
      <c r="N5" s="8">
        <f>SUM(O5:R5)</f>
        <v>147</v>
      </c>
      <c r="O5" s="8">
        <v>104</v>
      </c>
      <c r="P5" s="8">
        <v>25</v>
      </c>
      <c r="Q5" s="8">
        <v>18</v>
      </c>
      <c r="R5" s="8">
        <v>0</v>
      </c>
      <c r="S5" s="8">
        <v>3</v>
      </c>
    </row>
    <row r="6" spans="2:19" x14ac:dyDescent="0.25">
      <c r="B6" s="238">
        <v>9257005</v>
      </c>
      <c r="C6" s="238" t="s">
        <v>208</v>
      </c>
      <c r="D6" s="18">
        <f>VLOOKUP('OLEA Placements'!B6,'2324 Funding Detail'!$A$4:$Y$20,25,FALSE)</f>
        <v>9073.9072806746408</v>
      </c>
      <c r="E6" s="8">
        <f>S35</f>
        <v>3</v>
      </c>
      <c r="F6" s="18">
        <f t="shared" ref="F6:F21" si="0">D6*E6</f>
        <v>27221.721842023922</v>
      </c>
      <c r="H6" s="8"/>
      <c r="I6" s="8"/>
      <c r="J6" s="8"/>
      <c r="K6" s="8"/>
      <c r="L6" s="1110"/>
      <c r="M6" s="8"/>
      <c r="N6" s="8"/>
      <c r="O6" s="8"/>
      <c r="P6" s="8"/>
      <c r="Q6" s="8"/>
      <c r="R6" s="8"/>
      <c r="S6" s="8"/>
    </row>
    <row r="7" spans="2:19" x14ac:dyDescent="0.25">
      <c r="B7" s="238">
        <v>9257025</v>
      </c>
      <c r="C7" s="238" t="s">
        <v>209</v>
      </c>
      <c r="D7" s="18">
        <f>VLOOKUP('OLEA Placements'!B7,'2324 Funding Detail'!$A$4:$Y$20,25,FALSE)</f>
        <v>6564.330898592405</v>
      </c>
      <c r="E7" s="8">
        <f>S25</f>
        <v>5</v>
      </c>
      <c r="F7" s="18">
        <f t="shared" si="0"/>
        <v>32821.654492962029</v>
      </c>
      <c r="H7" s="8" t="s">
        <v>1674</v>
      </c>
      <c r="I7" s="8" t="s">
        <v>1650</v>
      </c>
      <c r="J7" s="8">
        <f>'[26]2223'!N4+'[26]2223'!N5</f>
        <v>0</v>
      </c>
      <c r="K7" s="8">
        <v>211</v>
      </c>
      <c r="L7" s="1110">
        <v>44852</v>
      </c>
      <c r="M7" s="8"/>
      <c r="N7" s="8">
        <f>SUM(O7:R7)</f>
        <v>212</v>
      </c>
      <c r="O7" s="8">
        <v>201</v>
      </c>
      <c r="P7" s="8">
        <v>11</v>
      </c>
      <c r="Q7" s="8">
        <v>0</v>
      </c>
      <c r="R7" s="8">
        <v>0</v>
      </c>
      <c r="S7" s="8">
        <v>15</v>
      </c>
    </row>
    <row r="8" spans="2:19" x14ac:dyDescent="0.25">
      <c r="B8" s="238">
        <v>9257024</v>
      </c>
      <c r="C8" s="238" t="s">
        <v>211</v>
      </c>
      <c r="D8" s="18">
        <f>VLOOKUP('OLEA Placements'!B8,'2324 Funding Detail'!$A$4:$Y$20,25,FALSE)</f>
        <v>7256.4794364899062</v>
      </c>
      <c r="E8" s="8">
        <f>S31</f>
        <v>1</v>
      </c>
      <c r="F8" s="18">
        <f t="shared" si="0"/>
        <v>7256.4794364899062</v>
      </c>
      <c r="H8" s="8"/>
      <c r="I8" s="8"/>
      <c r="J8" s="8"/>
      <c r="K8" s="8"/>
      <c r="L8" s="8"/>
      <c r="M8" s="8"/>
      <c r="N8" s="8"/>
      <c r="O8" s="8"/>
      <c r="P8" s="8"/>
      <c r="Q8" s="8"/>
      <c r="R8" s="8"/>
      <c r="S8" s="8"/>
    </row>
    <row r="9" spans="2:19" x14ac:dyDescent="0.25">
      <c r="B9" s="238">
        <v>9257031</v>
      </c>
      <c r="C9" s="238" t="s">
        <v>257</v>
      </c>
      <c r="D9" s="18">
        <f>VLOOKUP('OLEA Placements'!B9,'2324 Funding Detail'!$A$4:$Y$20,25,FALSE)</f>
        <v>12093.8310237849</v>
      </c>
      <c r="E9" s="8">
        <f>S11</f>
        <v>6</v>
      </c>
      <c r="F9" s="18">
        <f t="shared" si="0"/>
        <v>72562.9861427094</v>
      </c>
      <c r="H9" s="8" t="s">
        <v>1654</v>
      </c>
      <c r="I9" s="8" t="s">
        <v>1650</v>
      </c>
      <c r="J9" s="8">
        <f>'[26]2223'!N7</f>
        <v>0</v>
      </c>
      <c r="K9" s="8">
        <v>65</v>
      </c>
      <c r="L9" s="1110">
        <v>44852</v>
      </c>
      <c r="M9" s="8"/>
      <c r="N9" s="8">
        <f>SUM(O9:R9)</f>
        <v>70</v>
      </c>
      <c r="O9" s="8">
        <v>65</v>
      </c>
      <c r="P9" s="8">
        <v>0</v>
      </c>
      <c r="Q9" s="8">
        <v>5</v>
      </c>
      <c r="R9" s="8">
        <v>0</v>
      </c>
      <c r="S9" s="8">
        <v>4</v>
      </c>
    </row>
    <row r="10" spans="2:19" x14ac:dyDescent="0.25">
      <c r="B10" s="238">
        <v>9257033</v>
      </c>
      <c r="C10" s="238" t="s">
        <v>220</v>
      </c>
      <c r="D10" s="18">
        <f>VLOOKUP('OLEA Placements'!B10,'2324 Funding Detail'!$A$4:$Y$20,25,FALSE)</f>
        <v>4225.3080803880785</v>
      </c>
      <c r="E10" s="8">
        <f>S18</f>
        <v>4</v>
      </c>
      <c r="F10" s="18">
        <f t="shared" si="0"/>
        <v>16901.232321552314</v>
      </c>
      <c r="H10" s="8"/>
      <c r="I10" s="8"/>
      <c r="J10" s="8"/>
      <c r="K10" s="8"/>
      <c r="L10" s="8"/>
      <c r="M10" s="8"/>
      <c r="N10" s="8"/>
      <c r="O10" s="8"/>
      <c r="P10" s="8"/>
      <c r="Q10" s="8"/>
      <c r="R10" s="8"/>
      <c r="S10" s="8"/>
    </row>
    <row r="11" spans="2:19" x14ac:dyDescent="0.25">
      <c r="B11" s="238">
        <v>9257008</v>
      </c>
      <c r="C11" s="238" t="s">
        <v>212</v>
      </c>
      <c r="D11" s="18">
        <f>VLOOKUP('OLEA Placements'!B11,'2324 Funding Detail'!$A$4:$Y$20,25,FALSE)</f>
        <v>4763.7138613861389</v>
      </c>
      <c r="E11" s="8">
        <f>S14</f>
        <v>0</v>
      </c>
      <c r="F11" s="18">
        <f t="shared" si="0"/>
        <v>0</v>
      </c>
      <c r="H11" s="8" t="s">
        <v>481</v>
      </c>
      <c r="I11" s="8" t="s">
        <v>1650</v>
      </c>
      <c r="J11" s="8">
        <f>'[26]2223'!N9</f>
        <v>0</v>
      </c>
      <c r="K11" s="8">
        <v>80</v>
      </c>
      <c r="L11" s="1110">
        <v>44853</v>
      </c>
      <c r="M11" s="8"/>
      <c r="N11" s="8">
        <f t="shared" ref="N11:N14" si="1">SUM(O11:R11)</f>
        <v>80</v>
      </c>
      <c r="O11" s="8">
        <v>80</v>
      </c>
      <c r="P11" s="8">
        <v>0</v>
      </c>
      <c r="Q11" s="8">
        <v>0</v>
      </c>
      <c r="R11" s="8">
        <v>0</v>
      </c>
      <c r="S11" s="8">
        <v>6</v>
      </c>
    </row>
    <row r="12" spans="2:19" x14ac:dyDescent="0.25">
      <c r="B12" s="238">
        <v>9257034</v>
      </c>
      <c r="C12" s="238" t="s">
        <v>221</v>
      </c>
      <c r="D12" s="18">
        <f>VLOOKUP('OLEA Placements'!B12,'2324 Funding Detail'!$A$4:$Y$20,25,FALSE)</f>
        <v>4069.2863844834901</v>
      </c>
      <c r="E12" s="8">
        <f>S16</f>
        <v>15</v>
      </c>
      <c r="F12" s="18">
        <f t="shared" si="0"/>
        <v>61039.295767252348</v>
      </c>
      <c r="H12" s="8" t="s">
        <v>1655</v>
      </c>
      <c r="I12" s="1111" t="s">
        <v>1650</v>
      </c>
      <c r="J12" s="8">
        <f>'[26]2223'!N10</f>
        <v>0</v>
      </c>
      <c r="K12" s="8">
        <v>110</v>
      </c>
      <c r="L12" s="1110">
        <v>44853</v>
      </c>
      <c r="M12" s="8"/>
      <c r="N12" s="8">
        <f t="shared" si="1"/>
        <v>115</v>
      </c>
      <c r="O12" s="8">
        <v>110</v>
      </c>
      <c r="P12" s="8">
        <v>0</v>
      </c>
      <c r="Q12" s="8">
        <v>5</v>
      </c>
      <c r="R12" s="8">
        <v>0</v>
      </c>
      <c r="S12" s="8">
        <v>8</v>
      </c>
    </row>
    <row r="13" spans="2:19" x14ac:dyDescent="0.25">
      <c r="B13" s="238">
        <v>9257002</v>
      </c>
      <c r="C13" s="238" t="s">
        <v>213</v>
      </c>
      <c r="D13" s="18">
        <f>VLOOKUP('OLEA Placements'!B13,'2324 Funding Detail'!$A$4:$Y$20,25,FALSE)</f>
        <v>4047.070019372617</v>
      </c>
      <c r="E13" s="8">
        <f>S33</f>
        <v>12</v>
      </c>
      <c r="F13" s="18">
        <f t="shared" si="0"/>
        <v>48564.840232471404</v>
      </c>
      <c r="H13" s="8"/>
      <c r="I13" s="8"/>
      <c r="J13" s="8"/>
      <c r="K13" s="8"/>
      <c r="L13" s="8"/>
      <c r="M13" s="8"/>
      <c r="N13" s="8"/>
      <c r="O13" s="8"/>
      <c r="P13" s="8"/>
      <c r="Q13" s="8"/>
      <c r="R13" s="8"/>
      <c r="S13" s="8"/>
    </row>
    <row r="14" spans="2:19" x14ac:dyDescent="0.25">
      <c r="B14" s="238">
        <v>9257009</v>
      </c>
      <c r="C14" s="238" t="s">
        <v>997</v>
      </c>
      <c r="D14" s="18">
        <f>VLOOKUP('OLEA Placements'!B14,'2324 Funding Detail'!$A$4:$Y$20,25,FALSE)</f>
        <v>4721.9836548224721</v>
      </c>
      <c r="E14" s="8">
        <f>S7</f>
        <v>15</v>
      </c>
      <c r="F14" s="18">
        <f t="shared" si="0"/>
        <v>70829.754822337083</v>
      </c>
      <c r="H14" s="8" t="s">
        <v>1656</v>
      </c>
      <c r="I14" s="8" t="s">
        <v>1650</v>
      </c>
      <c r="J14" s="8">
        <f>'[26]2223'!N12</f>
        <v>0</v>
      </c>
      <c r="K14" s="8">
        <v>103</v>
      </c>
      <c r="L14" s="1110">
        <v>44853</v>
      </c>
      <c r="M14" s="8"/>
      <c r="N14" s="8">
        <f t="shared" si="1"/>
        <v>101</v>
      </c>
      <c r="O14" s="8">
        <v>101</v>
      </c>
      <c r="P14" s="8">
        <v>0</v>
      </c>
      <c r="Q14" s="8">
        <v>0</v>
      </c>
      <c r="R14" s="8">
        <v>0</v>
      </c>
      <c r="S14" s="8">
        <v>0</v>
      </c>
    </row>
    <row r="15" spans="2:19" x14ac:dyDescent="0.25">
      <c r="B15" s="238">
        <v>9257029</v>
      </c>
      <c r="C15" s="238" t="s">
        <v>890</v>
      </c>
      <c r="D15" s="18">
        <f>VLOOKUP('OLEA Placements'!B15,'2324 Funding Detail'!$A$4:$Y$20,25,FALSE)</f>
        <v>11864.677848101266</v>
      </c>
      <c r="E15" s="8">
        <f>S29</f>
        <v>5</v>
      </c>
      <c r="F15" s="18">
        <f t="shared" si="0"/>
        <v>59323.389240506331</v>
      </c>
      <c r="H15" s="8"/>
      <c r="I15" s="8"/>
      <c r="J15" s="8"/>
      <c r="K15" s="8"/>
      <c r="L15" s="8"/>
      <c r="M15" s="8"/>
      <c r="N15" s="8"/>
      <c r="O15" s="8"/>
      <c r="P15" s="8"/>
      <c r="Q15" s="8"/>
      <c r="R15" s="8"/>
      <c r="S15" s="8"/>
    </row>
    <row r="16" spans="2:19" ht="14.5" x14ac:dyDescent="0.35">
      <c r="B16" s="238">
        <v>9257032</v>
      </c>
      <c r="C16" s="238" t="s">
        <v>1043</v>
      </c>
      <c r="D16" s="18">
        <f>VLOOKUP('OLEA Placements'!B16,'2324 Funding Detail'!$A$4:$Y$20,25,FALSE)</f>
        <v>10164.233962264148</v>
      </c>
      <c r="E16" s="8">
        <f>S12</f>
        <v>8</v>
      </c>
      <c r="F16" s="18">
        <f t="shared" si="0"/>
        <v>81313.871698113187</v>
      </c>
      <c r="H16" s="8" t="s">
        <v>1657</v>
      </c>
      <c r="I16" s="8" t="s">
        <v>1650</v>
      </c>
      <c r="J16" s="1112">
        <f>'[26]2223'!N14</f>
        <v>0</v>
      </c>
      <c r="K16" s="8">
        <v>132</v>
      </c>
      <c r="L16" s="1110">
        <v>44853</v>
      </c>
      <c r="M16" s="8"/>
      <c r="N16" s="8">
        <f>SUM(O16:R16)</f>
        <v>132</v>
      </c>
      <c r="O16" s="1112">
        <v>106</v>
      </c>
      <c r="P16" s="1112">
        <v>26</v>
      </c>
      <c r="Q16" s="1112">
        <v>0</v>
      </c>
      <c r="R16" s="1112">
        <v>0</v>
      </c>
      <c r="S16" s="1112">
        <v>15</v>
      </c>
    </row>
    <row r="17" spans="2:19" ht="14.5" x14ac:dyDescent="0.35">
      <c r="B17" s="238">
        <v>9257030</v>
      </c>
      <c r="C17" s="238" t="s">
        <v>1046</v>
      </c>
      <c r="D17" s="18">
        <f>VLOOKUP('OLEA Placements'!B17,'2324 Funding Detail'!$A$4:$Y$20,25,FALSE)</f>
        <v>12756.602891938059</v>
      </c>
      <c r="E17" s="8">
        <f>S9</f>
        <v>4</v>
      </c>
      <c r="F17" s="18">
        <f t="shared" si="0"/>
        <v>51026.411567752235</v>
      </c>
      <c r="H17" s="8"/>
      <c r="I17" s="8"/>
      <c r="J17" s="1112"/>
      <c r="K17" s="8"/>
      <c r="L17" s="1110"/>
      <c r="M17" s="8"/>
      <c r="N17" s="1112"/>
      <c r="O17" s="1112"/>
      <c r="P17" s="1112"/>
      <c r="Q17" s="1112"/>
      <c r="R17" s="1112"/>
      <c r="S17" s="1112"/>
    </row>
    <row r="18" spans="2:19" ht="14.5" x14ac:dyDescent="0.35">
      <c r="B18" s="238">
        <v>9257028</v>
      </c>
      <c r="C18" s="238" t="s">
        <v>215</v>
      </c>
      <c r="D18" s="18">
        <f>VLOOKUP('OLEA Placements'!B18,'2324 Funding Detail'!$A$4:$Y$20,25,FALSE)</f>
        <v>7544.3955587957134</v>
      </c>
      <c r="E18" s="8">
        <f>S27</f>
        <v>11</v>
      </c>
      <c r="F18" s="18">
        <f t="shared" si="0"/>
        <v>82988.351146752844</v>
      </c>
      <c r="H18" s="8" t="s">
        <v>1658</v>
      </c>
      <c r="I18" s="8" t="s">
        <v>1650</v>
      </c>
      <c r="J18" s="1112">
        <f>'[26]2223'!N16</f>
        <v>0</v>
      </c>
      <c r="K18" s="8">
        <v>115</v>
      </c>
      <c r="L18" s="1110">
        <v>44853</v>
      </c>
      <c r="M18" s="8"/>
      <c r="N18" s="8">
        <f>SUM(O18:R18)</f>
        <v>115</v>
      </c>
      <c r="O18" s="1112">
        <v>115</v>
      </c>
      <c r="P18" s="1112">
        <v>0</v>
      </c>
      <c r="Q18" s="1112">
        <v>0</v>
      </c>
      <c r="R18" s="1112">
        <v>0</v>
      </c>
      <c r="S18" s="1112">
        <v>4</v>
      </c>
    </row>
    <row r="19" spans="2:19" x14ac:dyDescent="0.25">
      <c r="B19" s="238">
        <v>9257021</v>
      </c>
      <c r="C19" s="238" t="s">
        <v>216</v>
      </c>
      <c r="D19" s="18">
        <f>VLOOKUP('OLEA Placements'!B19,'2324 Funding Detail'!$A$4:$Y$20,25,FALSE)</f>
        <v>3735.8078339875374</v>
      </c>
      <c r="E19" s="8">
        <f>S24</f>
        <v>9</v>
      </c>
      <c r="F19" s="18">
        <f t="shared" si="0"/>
        <v>33622.270505887835</v>
      </c>
      <c r="H19" s="8"/>
      <c r="I19" s="8"/>
      <c r="J19" s="8"/>
      <c r="K19" s="8"/>
      <c r="L19" s="8"/>
      <c r="M19" s="8"/>
      <c r="N19" s="8"/>
      <c r="O19" s="8"/>
      <c r="P19" s="8"/>
      <c r="Q19" s="8"/>
      <c r="R19" s="8"/>
      <c r="S19" s="8"/>
    </row>
    <row r="20" spans="2:19" ht="14.5" x14ac:dyDescent="0.35">
      <c r="B20" s="238">
        <v>9257015</v>
      </c>
      <c r="C20" s="238" t="s">
        <v>217</v>
      </c>
      <c r="D20" s="18">
        <f>VLOOKUP('OLEA Placements'!B20,'2324 Funding Detail'!$A$4:$Y$20,25,FALSE)</f>
        <v>3889.1362491974942</v>
      </c>
      <c r="E20" s="8">
        <f>S20</f>
        <v>1</v>
      </c>
      <c r="F20" s="18">
        <f t="shared" si="0"/>
        <v>3889.1362491974942</v>
      </c>
      <c r="H20" s="8" t="s">
        <v>1659</v>
      </c>
      <c r="I20" s="8" t="s">
        <v>1650</v>
      </c>
      <c r="J20" s="8">
        <f>'[26]2223'!N18</f>
        <v>0</v>
      </c>
      <c r="K20" s="8">
        <v>227</v>
      </c>
      <c r="L20" s="1110">
        <v>44853</v>
      </c>
      <c r="M20" s="8"/>
      <c r="N20" s="8">
        <f>SUM(O20:R20)</f>
        <v>240</v>
      </c>
      <c r="O20" s="1112">
        <v>204</v>
      </c>
      <c r="P20" s="1112">
        <v>23</v>
      </c>
      <c r="Q20" s="1112">
        <v>13</v>
      </c>
      <c r="R20" s="1112">
        <v>0</v>
      </c>
      <c r="S20" s="1112">
        <v>1</v>
      </c>
    </row>
    <row r="21" spans="2:19" ht="14.5" x14ac:dyDescent="0.35">
      <c r="B21" s="238">
        <v>9257016</v>
      </c>
      <c r="C21" s="238" t="s">
        <v>219</v>
      </c>
      <c r="D21" s="18">
        <f>VLOOKUP('OLEA Placements'!B21,'2324 Funding Detail'!$A$4:$Y$20,25,FALSE)</f>
        <v>9700.1248864783083</v>
      </c>
      <c r="E21" s="8">
        <f>S22</f>
        <v>5</v>
      </c>
      <c r="F21" s="18">
        <f t="shared" si="0"/>
        <v>48500.624432391545</v>
      </c>
      <c r="H21" s="8"/>
      <c r="I21" s="8"/>
      <c r="J21" s="8"/>
      <c r="K21" s="8"/>
      <c r="L21" s="1110"/>
      <c r="M21" s="8"/>
      <c r="N21" s="8"/>
      <c r="O21" s="1112"/>
      <c r="P21" s="1112"/>
      <c r="Q21" s="1112"/>
      <c r="R21" s="1112"/>
      <c r="S21" s="1112"/>
    </row>
    <row r="22" spans="2:19" x14ac:dyDescent="0.25">
      <c r="H22" s="8" t="s">
        <v>1660</v>
      </c>
      <c r="I22" s="8" t="s">
        <v>1650</v>
      </c>
      <c r="J22" s="8">
        <f>'[26]2223'!N20</f>
        <v>0</v>
      </c>
      <c r="K22" s="8">
        <v>165</v>
      </c>
      <c r="L22" s="1110">
        <v>44853</v>
      </c>
      <c r="M22" s="8"/>
      <c r="N22" s="8">
        <f>SUM(O22:R22)</f>
        <v>165</v>
      </c>
      <c r="O22" s="8">
        <v>114</v>
      </c>
      <c r="P22" s="8">
        <v>51</v>
      </c>
      <c r="Q22" s="8">
        <v>0</v>
      </c>
      <c r="R22" s="8">
        <v>0</v>
      </c>
      <c r="S22" s="8">
        <v>5</v>
      </c>
    </row>
    <row r="23" spans="2:19" ht="13" x14ac:dyDescent="0.3">
      <c r="E23" s="5">
        <f>SUM(E5:E22)</f>
        <v>107</v>
      </c>
      <c r="F23" s="72">
        <f>SUM(F5:F22)</f>
        <v>718241.87157866103</v>
      </c>
      <c r="H23" s="8"/>
      <c r="I23" s="8"/>
      <c r="J23" s="8"/>
      <c r="K23" s="8"/>
      <c r="L23" s="8"/>
      <c r="M23" s="8"/>
      <c r="N23" s="8"/>
      <c r="O23" s="8"/>
      <c r="P23" s="8"/>
      <c r="Q23" s="8"/>
      <c r="R23" s="8"/>
      <c r="S23" s="8"/>
    </row>
    <row r="24" spans="2:19" x14ac:dyDescent="0.25">
      <c r="H24" s="8" t="s">
        <v>1661</v>
      </c>
      <c r="I24" s="8" t="s">
        <v>1650</v>
      </c>
      <c r="J24" s="8">
        <f>'[26]2223'!N22</f>
        <v>0</v>
      </c>
      <c r="K24" s="8">
        <v>178</v>
      </c>
      <c r="L24" s="1110">
        <v>44853</v>
      </c>
      <c r="M24" s="8"/>
      <c r="N24" s="8">
        <f t="shared" ref="N24:N25" si="2">SUM(O24:R24)</f>
        <v>179</v>
      </c>
      <c r="O24" s="8">
        <v>179</v>
      </c>
      <c r="P24" s="8">
        <v>0</v>
      </c>
      <c r="Q24" s="8">
        <v>0</v>
      </c>
      <c r="R24" s="8">
        <v>0</v>
      </c>
      <c r="S24" s="8">
        <v>9</v>
      </c>
    </row>
    <row r="25" spans="2:19" x14ac:dyDescent="0.25">
      <c r="H25" s="8" t="s">
        <v>1662</v>
      </c>
      <c r="I25" s="8" t="s">
        <v>1650</v>
      </c>
      <c r="J25" s="8">
        <f>'[26]2223'!N23</f>
        <v>0</v>
      </c>
      <c r="K25" s="8">
        <v>101</v>
      </c>
      <c r="L25" s="1110">
        <v>44853</v>
      </c>
      <c r="M25" s="8"/>
      <c r="N25" s="8">
        <f t="shared" si="2"/>
        <v>101</v>
      </c>
      <c r="O25" s="8">
        <v>71</v>
      </c>
      <c r="P25" s="8">
        <v>24</v>
      </c>
      <c r="Q25" s="8">
        <v>6</v>
      </c>
      <c r="R25" s="8">
        <v>0</v>
      </c>
      <c r="S25" s="8">
        <v>5</v>
      </c>
    </row>
    <row r="26" spans="2:19" x14ac:dyDescent="0.25">
      <c r="H26" s="8"/>
      <c r="I26" s="8"/>
      <c r="J26" s="8"/>
      <c r="K26" s="8"/>
      <c r="L26" s="8"/>
      <c r="M26" s="8"/>
      <c r="N26" s="8"/>
      <c r="O26" s="8"/>
      <c r="P26" s="8"/>
      <c r="Q26" s="8"/>
      <c r="R26" s="8"/>
      <c r="S26" s="8"/>
    </row>
    <row r="27" spans="2:19" ht="14.5" x14ac:dyDescent="0.35">
      <c r="H27" s="8" t="s">
        <v>1663</v>
      </c>
      <c r="I27" s="8" t="s">
        <v>1650</v>
      </c>
      <c r="J27" s="1112">
        <f>'[26]2223'!N25</f>
        <v>0</v>
      </c>
      <c r="K27" s="8">
        <v>148</v>
      </c>
      <c r="L27" s="1110">
        <v>44853</v>
      </c>
      <c r="M27" s="8"/>
      <c r="N27" s="8">
        <f>SUM(O27:R27)</f>
        <v>141</v>
      </c>
      <c r="O27" s="1113">
        <v>123</v>
      </c>
      <c r="P27" s="1113">
        <v>11</v>
      </c>
      <c r="Q27" s="1113">
        <v>7</v>
      </c>
      <c r="R27" s="1113">
        <v>0</v>
      </c>
      <c r="S27" s="8">
        <v>11</v>
      </c>
    </row>
    <row r="28" spans="2:19" x14ac:dyDescent="0.25">
      <c r="H28" s="8"/>
      <c r="I28" s="8"/>
      <c r="J28" s="8"/>
      <c r="K28" s="8"/>
      <c r="L28" s="8"/>
      <c r="M28" s="8"/>
      <c r="N28" s="8"/>
      <c r="O28" s="8"/>
      <c r="P28" s="8"/>
      <c r="Q28" s="8"/>
      <c r="R28" s="8"/>
      <c r="S28" s="8"/>
    </row>
    <row r="29" spans="2:19" x14ac:dyDescent="0.25">
      <c r="H29" s="8" t="s">
        <v>1664</v>
      </c>
      <c r="I29" s="8" t="s">
        <v>1650</v>
      </c>
      <c r="J29" s="8">
        <f>'[26]2223'!N27</f>
        <v>0</v>
      </c>
      <c r="K29" s="8">
        <v>74</v>
      </c>
      <c r="L29" s="1110">
        <v>44852</v>
      </c>
      <c r="M29" s="8"/>
      <c r="N29" s="8">
        <f>SUM(O29:R29)</f>
        <v>79</v>
      </c>
      <c r="O29" s="8">
        <v>79</v>
      </c>
      <c r="P29" s="8">
        <v>0</v>
      </c>
      <c r="Q29" s="8">
        <v>0</v>
      </c>
      <c r="R29" s="8">
        <v>0</v>
      </c>
      <c r="S29" s="8">
        <v>5</v>
      </c>
    </row>
    <row r="30" spans="2:19" x14ac:dyDescent="0.25">
      <c r="H30" s="8"/>
      <c r="I30" s="8"/>
      <c r="J30" s="8"/>
      <c r="K30" s="8"/>
      <c r="L30" s="8"/>
      <c r="M30" s="8"/>
      <c r="N30" s="8"/>
      <c r="O30" s="8"/>
      <c r="P30" s="8"/>
      <c r="Q30" s="8"/>
      <c r="R30" s="8"/>
      <c r="S30" s="8"/>
    </row>
    <row r="31" spans="2:19" x14ac:dyDescent="0.25">
      <c r="H31" s="8" t="s">
        <v>1665</v>
      </c>
      <c r="I31" s="8" t="s">
        <v>1650</v>
      </c>
      <c r="J31" s="8">
        <f>'[26]2223'!N29</f>
        <v>0</v>
      </c>
      <c r="K31" s="8">
        <v>104</v>
      </c>
      <c r="L31" s="1110">
        <v>44853</v>
      </c>
      <c r="M31" s="8"/>
      <c r="N31" s="8">
        <f>SUM(O31:R31)</f>
        <v>96</v>
      </c>
      <c r="O31" s="8">
        <v>70</v>
      </c>
      <c r="P31" s="8">
        <v>16</v>
      </c>
      <c r="Q31" s="8">
        <v>10</v>
      </c>
      <c r="R31" s="8">
        <v>0</v>
      </c>
      <c r="S31" s="8">
        <v>1</v>
      </c>
    </row>
    <row r="32" spans="2:19" x14ac:dyDescent="0.25">
      <c r="H32" s="8"/>
      <c r="I32" s="8"/>
      <c r="J32" s="8"/>
      <c r="K32" s="8"/>
      <c r="L32" s="8"/>
      <c r="M32" s="8"/>
      <c r="N32" s="8"/>
      <c r="O32" s="8"/>
      <c r="P32" s="8"/>
      <c r="Q32" s="8"/>
      <c r="R32" s="8"/>
      <c r="S32" s="8"/>
    </row>
    <row r="33" spans="2:19" ht="14.5" x14ac:dyDescent="0.35">
      <c r="H33" s="8" t="s">
        <v>1666</v>
      </c>
      <c r="I33" s="8" t="s">
        <v>1650</v>
      </c>
      <c r="J33" s="8">
        <f>'[26]2223'!N31</f>
        <v>0</v>
      </c>
      <c r="K33" s="8">
        <v>175</v>
      </c>
      <c r="L33" s="1110">
        <v>44852</v>
      </c>
      <c r="M33" s="8"/>
      <c r="N33" s="8">
        <f t="shared" ref="N33:N35" si="3">SUM(O33:R33)</f>
        <v>176</v>
      </c>
      <c r="O33" s="1112">
        <v>176</v>
      </c>
      <c r="P33" s="1112">
        <v>0</v>
      </c>
      <c r="Q33" s="1112">
        <v>0</v>
      </c>
      <c r="R33" s="1112">
        <v>0</v>
      </c>
      <c r="S33" s="1112">
        <v>12</v>
      </c>
    </row>
    <row r="34" spans="2:19" ht="14.5" x14ac:dyDescent="0.35">
      <c r="H34" s="8"/>
      <c r="I34" s="8"/>
      <c r="J34" s="8"/>
      <c r="K34" s="8"/>
      <c r="L34" s="1110"/>
      <c r="M34" s="8"/>
      <c r="N34" s="8"/>
      <c r="O34" s="1112"/>
      <c r="P34" s="1112"/>
      <c r="Q34" s="1112"/>
      <c r="R34" s="1112"/>
      <c r="S34" s="1112"/>
    </row>
    <row r="35" spans="2:19" x14ac:dyDescent="0.25">
      <c r="H35" s="8" t="s">
        <v>1667</v>
      </c>
      <c r="I35" s="8" t="s">
        <v>1650</v>
      </c>
      <c r="J35" s="8">
        <f>'[26]2223'!N32</f>
        <v>0</v>
      </c>
      <c r="K35" s="8">
        <v>74</v>
      </c>
      <c r="L35" s="1110">
        <v>44852</v>
      </c>
      <c r="M35" s="8"/>
      <c r="N35" s="8">
        <f t="shared" si="3"/>
        <v>74</v>
      </c>
      <c r="O35" s="8">
        <v>54</v>
      </c>
      <c r="P35" s="8">
        <v>20</v>
      </c>
      <c r="Q35" s="8">
        <v>0</v>
      </c>
      <c r="R35" s="8">
        <v>0</v>
      </c>
      <c r="S35" s="8">
        <v>3</v>
      </c>
    </row>
    <row r="36" spans="2:19" x14ac:dyDescent="0.25">
      <c r="H36" s="8"/>
      <c r="I36" s="8"/>
      <c r="J36" s="8"/>
      <c r="K36" s="8"/>
      <c r="L36" s="8"/>
      <c r="M36" s="8"/>
      <c r="N36" s="8"/>
      <c r="O36" s="8"/>
      <c r="P36" s="8"/>
      <c r="Q36" s="8"/>
      <c r="R36" s="8"/>
      <c r="S36" s="8"/>
    </row>
    <row r="37" spans="2:19" ht="14.5" x14ac:dyDescent="0.35">
      <c r="H37" s="8"/>
      <c r="I37" s="8"/>
      <c r="J37" s="772">
        <f>SUM(J5:J35)</f>
        <v>0</v>
      </c>
      <c r="K37" s="772">
        <f>SUM(K5:K35)</f>
        <v>2202</v>
      </c>
      <c r="L37" s="772"/>
      <c r="M37" s="772"/>
      <c r="N37" s="772">
        <f t="shared" ref="N37:S37" si="4">SUM(N5:N35)</f>
        <v>2223</v>
      </c>
      <c r="O37" s="772">
        <f t="shared" si="4"/>
        <v>1952</v>
      </c>
      <c r="P37" s="772">
        <f t="shared" si="4"/>
        <v>207</v>
      </c>
      <c r="Q37" s="772">
        <f t="shared" si="4"/>
        <v>64</v>
      </c>
      <c r="R37" s="772">
        <f t="shared" si="4"/>
        <v>0</v>
      </c>
      <c r="S37" s="772">
        <f t="shared" si="4"/>
        <v>107</v>
      </c>
    </row>
    <row r="39" spans="2:19" ht="13" x14ac:dyDescent="0.3">
      <c r="B39" s="454" t="s">
        <v>1675</v>
      </c>
    </row>
    <row r="41" spans="2:19" ht="25" x14ac:dyDescent="0.25">
      <c r="B41" s="1275" t="s">
        <v>182</v>
      </c>
      <c r="C41" s="1276" t="s">
        <v>183</v>
      </c>
      <c r="D41" s="8" t="s">
        <v>1640</v>
      </c>
      <c r="E41" s="239" t="s">
        <v>1641</v>
      </c>
      <c r="F41" s="239" t="s">
        <v>919</v>
      </c>
    </row>
    <row r="42" spans="2:19" ht="14.5" x14ac:dyDescent="0.35">
      <c r="B42" s="238">
        <v>9257010</v>
      </c>
      <c r="C42" s="238" t="s">
        <v>205</v>
      </c>
      <c r="D42" s="18">
        <f>VLOOKUP('OLEA Placements'!B42,'2223 Funding Detail'!$A$4:$Y$20,25,FALSE)</f>
        <v>7856.5962174152955</v>
      </c>
      <c r="E42" s="8">
        <f>S44</f>
        <v>3</v>
      </c>
      <c r="F42" s="18">
        <f>D42*E42</f>
        <v>23569.788652245887</v>
      </c>
      <c r="H42" s="772" t="s">
        <v>183</v>
      </c>
      <c r="I42" s="772" t="s">
        <v>1642</v>
      </c>
      <c r="J42" s="772" t="s">
        <v>1672</v>
      </c>
      <c r="K42" s="772" t="s">
        <v>1644</v>
      </c>
      <c r="L42" s="772" t="s">
        <v>1645</v>
      </c>
      <c r="M42" s="772"/>
      <c r="N42" s="772" t="s">
        <v>1646</v>
      </c>
      <c r="O42" s="772" t="s">
        <v>284</v>
      </c>
      <c r="P42" s="772" t="s">
        <v>1647</v>
      </c>
      <c r="Q42" s="778" t="s">
        <v>284</v>
      </c>
      <c r="R42" s="778" t="s">
        <v>264</v>
      </c>
      <c r="S42" s="772" t="s">
        <v>1648</v>
      </c>
    </row>
    <row r="43" spans="2:19" x14ac:dyDescent="0.25">
      <c r="B43" s="238">
        <v>9257005</v>
      </c>
      <c r="C43" s="238" t="s">
        <v>208</v>
      </c>
      <c r="D43" s="18">
        <f>VLOOKUP('OLEA Placements'!B43,'2223 Funding Detail'!$A$4:$Y$20,25,FALSE)</f>
        <v>8836.7020194005017</v>
      </c>
      <c r="E43" s="8">
        <f>S74</f>
        <v>4</v>
      </c>
      <c r="F43" s="18">
        <f t="shared" ref="F43:F57" si="5">D43*E43</f>
        <v>35346.808077602007</v>
      </c>
      <c r="H43" s="8"/>
      <c r="I43" s="8"/>
      <c r="J43" s="8"/>
      <c r="K43" s="8"/>
      <c r="L43" s="8"/>
      <c r="M43" s="8"/>
      <c r="N43" s="8"/>
      <c r="O43" s="8"/>
      <c r="P43" s="8"/>
      <c r="Q43" s="8"/>
      <c r="R43" s="8"/>
      <c r="S43" s="8"/>
    </row>
    <row r="44" spans="2:19" x14ac:dyDescent="0.25">
      <c r="B44" s="238">
        <v>9257025</v>
      </c>
      <c r="C44" s="238" t="s">
        <v>209</v>
      </c>
      <c r="D44" s="18">
        <f>VLOOKUP('OLEA Placements'!B44,'2223 Funding Detail'!$A$4:$Y$20,25,FALSE)</f>
        <v>7300.6122189089074</v>
      </c>
      <c r="E44" s="8">
        <f>S65</f>
        <v>3</v>
      </c>
      <c r="F44" s="18">
        <f t="shared" si="5"/>
        <v>21901.836656726722</v>
      </c>
      <c r="H44" s="8" t="s">
        <v>1673</v>
      </c>
      <c r="I44" s="8" t="s">
        <v>1650</v>
      </c>
      <c r="J44" s="8">
        <v>100</v>
      </c>
      <c r="K44" s="8">
        <v>126</v>
      </c>
      <c r="L44" s="1110">
        <v>44489</v>
      </c>
      <c r="M44" s="8"/>
      <c r="N44" s="8">
        <v>126</v>
      </c>
      <c r="O44" s="8">
        <v>89</v>
      </c>
      <c r="P44" s="8">
        <v>12</v>
      </c>
      <c r="Q44" s="8">
        <v>25</v>
      </c>
      <c r="R44" s="8">
        <v>0</v>
      </c>
      <c r="S44" s="8">
        <v>3</v>
      </c>
    </row>
    <row r="45" spans="2:19" x14ac:dyDescent="0.25">
      <c r="B45" s="238">
        <v>9257024</v>
      </c>
      <c r="C45" s="238" t="s">
        <v>211</v>
      </c>
      <c r="D45" s="18">
        <f>VLOOKUP('OLEA Placements'!B45,'2223 Funding Detail'!$A$4:$Y$20,25,FALSE)</f>
        <v>7471.3301229040881</v>
      </c>
      <c r="E45" s="8">
        <f>S71</f>
        <v>1</v>
      </c>
      <c r="F45" s="18">
        <f t="shared" si="5"/>
        <v>7471.3301229040881</v>
      </c>
      <c r="H45" s="8"/>
      <c r="I45" s="8"/>
      <c r="J45" s="8"/>
      <c r="K45" s="8"/>
      <c r="L45" s="1110"/>
      <c r="M45" s="8"/>
      <c r="N45" s="8"/>
      <c r="O45" s="8"/>
      <c r="P45" s="8"/>
      <c r="Q45" s="8"/>
      <c r="R45" s="8"/>
      <c r="S45" s="8"/>
    </row>
    <row r="46" spans="2:19" x14ac:dyDescent="0.25">
      <c r="B46" s="238">
        <v>9257031</v>
      </c>
      <c r="C46" s="238" t="s">
        <v>257</v>
      </c>
      <c r="D46" s="18">
        <f>VLOOKUP('OLEA Placements'!B46,'2223 Funding Detail'!$A$4:$Y$20,25,FALSE)</f>
        <v>11452.469991107198</v>
      </c>
      <c r="E46" s="8">
        <f>S51</f>
        <v>8</v>
      </c>
      <c r="F46" s="18">
        <f t="shared" si="5"/>
        <v>91619.759928857588</v>
      </c>
      <c r="H46" s="8" t="s">
        <v>1652</v>
      </c>
      <c r="I46" s="8" t="s">
        <v>1650</v>
      </c>
      <c r="J46" s="8">
        <v>58</v>
      </c>
      <c r="K46" s="8">
        <v>62</v>
      </c>
      <c r="L46" s="1110">
        <v>44489</v>
      </c>
      <c r="M46" s="8"/>
      <c r="N46" s="8">
        <v>63</v>
      </c>
      <c r="O46" s="8">
        <v>52</v>
      </c>
      <c r="P46" s="8">
        <v>11</v>
      </c>
      <c r="Q46" s="8">
        <v>0</v>
      </c>
      <c r="R46" s="8">
        <v>0</v>
      </c>
      <c r="S46" s="8">
        <v>5</v>
      </c>
    </row>
    <row r="47" spans="2:19" x14ac:dyDescent="0.25">
      <c r="B47" s="238">
        <v>9257033</v>
      </c>
      <c r="C47" s="238" t="s">
        <v>220</v>
      </c>
      <c r="D47" s="18">
        <f>VLOOKUP('OLEA Placements'!B47,'2223 Funding Detail'!$A$4:$Y$20,25,FALSE)</f>
        <v>4343.2578948714054</v>
      </c>
      <c r="E47" s="8">
        <f>S58</f>
        <v>4</v>
      </c>
      <c r="F47" s="18">
        <f t="shared" si="5"/>
        <v>17373.031579485621</v>
      </c>
      <c r="H47" s="8" t="s">
        <v>1653</v>
      </c>
      <c r="I47" s="8" t="s">
        <v>1650</v>
      </c>
      <c r="J47" s="8">
        <v>136</v>
      </c>
      <c r="K47" s="8">
        <v>139</v>
      </c>
      <c r="L47" s="1110">
        <v>44489</v>
      </c>
      <c r="M47" s="8"/>
      <c r="N47" s="8">
        <v>139</v>
      </c>
      <c r="O47" s="8">
        <v>139</v>
      </c>
      <c r="P47" s="8">
        <v>0</v>
      </c>
      <c r="Q47" s="8">
        <v>0</v>
      </c>
      <c r="R47" s="8">
        <v>0</v>
      </c>
      <c r="S47" s="8">
        <v>11</v>
      </c>
    </row>
    <row r="48" spans="2:19" x14ac:dyDescent="0.25">
      <c r="B48" s="238">
        <v>9257008</v>
      </c>
      <c r="C48" s="238" t="s">
        <v>212</v>
      </c>
      <c r="D48" s="18">
        <f>VLOOKUP('OLEA Placements'!B48,'2223 Funding Detail'!$A$4:$Y$20,25,FALSE)</f>
        <v>4671.0995924797789</v>
      </c>
      <c r="E48" s="8">
        <f>S54</f>
        <v>1</v>
      </c>
      <c r="F48" s="18">
        <f t="shared" si="5"/>
        <v>4671.0995924797789</v>
      </c>
      <c r="H48" s="8"/>
      <c r="I48" s="8"/>
      <c r="J48" s="8"/>
      <c r="K48" s="8"/>
      <c r="L48" s="8"/>
      <c r="M48" s="8"/>
      <c r="N48" s="8"/>
      <c r="O48" s="8"/>
      <c r="P48" s="8"/>
      <c r="Q48" s="8"/>
      <c r="R48" s="8"/>
      <c r="S48" s="8"/>
    </row>
    <row r="49" spans="2:19" x14ac:dyDescent="0.25">
      <c r="B49" s="238">
        <v>9257034</v>
      </c>
      <c r="C49" s="238" t="s">
        <v>221</v>
      </c>
      <c r="D49" s="18">
        <f>VLOOKUP('OLEA Placements'!B49,'2223 Funding Detail'!$A$4:$Y$20,25,FALSE)</f>
        <v>3965.8693358669389</v>
      </c>
      <c r="E49" s="8">
        <f>S56</f>
        <v>16</v>
      </c>
      <c r="F49" s="18">
        <f t="shared" si="5"/>
        <v>63453.909373871022</v>
      </c>
      <c r="H49" s="8" t="s">
        <v>1654</v>
      </c>
      <c r="I49" s="8" t="s">
        <v>1650</v>
      </c>
      <c r="J49" s="8">
        <v>72</v>
      </c>
      <c r="K49" s="8">
        <v>70</v>
      </c>
      <c r="L49" s="1110">
        <v>44489</v>
      </c>
      <c r="M49" s="8"/>
      <c r="N49" s="8">
        <v>70</v>
      </c>
      <c r="O49" s="8">
        <v>70</v>
      </c>
      <c r="P49" s="8">
        <v>0</v>
      </c>
      <c r="Q49" s="8">
        <v>0</v>
      </c>
      <c r="R49" s="8">
        <v>0</v>
      </c>
      <c r="S49" s="8">
        <v>5</v>
      </c>
    </row>
    <row r="50" spans="2:19" x14ac:dyDescent="0.25">
      <c r="B50" s="238">
        <v>9257002</v>
      </c>
      <c r="C50" s="238" t="s">
        <v>213</v>
      </c>
      <c r="D50" s="18">
        <f>VLOOKUP('OLEA Placements'!B50,'2223 Funding Detail'!$A$4:$Y$20,25,FALSE)</f>
        <v>3436.7073869880551</v>
      </c>
      <c r="E50" s="8">
        <f>S73</f>
        <v>10</v>
      </c>
      <c r="F50" s="18">
        <f t="shared" si="5"/>
        <v>34367.073869880551</v>
      </c>
      <c r="H50" s="8"/>
      <c r="I50" s="8"/>
      <c r="J50" s="8"/>
      <c r="K50" s="8"/>
      <c r="L50" s="8"/>
      <c r="M50" s="8"/>
      <c r="N50" s="8"/>
      <c r="O50" s="8"/>
      <c r="P50" s="8"/>
      <c r="Q50" s="8"/>
      <c r="R50" s="8"/>
      <c r="S50" s="8"/>
    </row>
    <row r="51" spans="2:19" x14ac:dyDescent="0.25">
      <c r="B51" s="238">
        <v>9257009</v>
      </c>
      <c r="C51" s="238" t="s">
        <v>997</v>
      </c>
      <c r="D51" s="18">
        <f>VLOOKUP('OLEA Placements'!B51,'2223 Funding Detail'!$A$4:$Y$20,25,FALSE)</f>
        <v>4079.1041058558312</v>
      </c>
      <c r="E51" s="8">
        <f>S47+5</f>
        <v>16</v>
      </c>
      <c r="F51" s="18">
        <f>D51*E51</f>
        <v>65265.6656936933</v>
      </c>
      <c r="H51" s="8" t="s">
        <v>481</v>
      </c>
      <c r="I51" s="8" t="s">
        <v>1650</v>
      </c>
      <c r="J51" s="8">
        <v>81</v>
      </c>
      <c r="K51" s="8">
        <v>81</v>
      </c>
      <c r="L51" s="1110">
        <v>44489</v>
      </c>
      <c r="M51" s="8"/>
      <c r="N51" s="8">
        <v>80</v>
      </c>
      <c r="O51" s="8">
        <v>80</v>
      </c>
      <c r="P51" s="8">
        <v>0</v>
      </c>
      <c r="Q51" s="8">
        <v>0</v>
      </c>
      <c r="R51" s="8">
        <v>0</v>
      </c>
      <c r="S51" s="8">
        <v>8</v>
      </c>
    </row>
    <row r="52" spans="2:19" x14ac:dyDescent="0.25">
      <c r="B52" s="238">
        <v>9257029</v>
      </c>
      <c r="C52" s="238" t="s">
        <v>890</v>
      </c>
      <c r="D52" s="18">
        <f>VLOOKUP('OLEA Placements'!B52,'2223 Funding Detail'!$A$4:$Y$20,25,FALSE)</f>
        <v>11308.096185097274</v>
      </c>
      <c r="E52" s="8">
        <f>S69</f>
        <v>2</v>
      </c>
      <c r="F52" s="18">
        <f t="shared" si="5"/>
        <v>22616.192370194549</v>
      </c>
      <c r="H52" s="8" t="s">
        <v>1655</v>
      </c>
      <c r="I52" s="1111" t="s">
        <v>1650</v>
      </c>
      <c r="J52" s="8">
        <v>104</v>
      </c>
      <c r="K52" s="8">
        <v>104</v>
      </c>
      <c r="L52" s="1110">
        <v>44489</v>
      </c>
      <c r="M52" s="8"/>
      <c r="N52" s="8">
        <v>104</v>
      </c>
      <c r="O52" s="8">
        <v>104</v>
      </c>
      <c r="P52" s="8">
        <v>0</v>
      </c>
      <c r="Q52" s="8">
        <v>0</v>
      </c>
      <c r="R52" s="8">
        <v>0</v>
      </c>
      <c r="S52" s="8">
        <v>7</v>
      </c>
    </row>
    <row r="53" spans="2:19" x14ac:dyDescent="0.25">
      <c r="B53" s="238">
        <v>9257032</v>
      </c>
      <c r="C53" s="238" t="s">
        <v>1043</v>
      </c>
      <c r="D53" s="18">
        <f>VLOOKUP('OLEA Placements'!B53,'2223 Funding Detail'!$A$4:$Y$20,25,FALSE)</f>
        <v>9861.7226585045719</v>
      </c>
      <c r="E53" s="8">
        <f>S52</f>
        <v>7</v>
      </c>
      <c r="F53" s="18">
        <f t="shared" si="5"/>
        <v>69032.058609532003</v>
      </c>
      <c r="H53" s="8"/>
      <c r="I53" s="8"/>
      <c r="J53" s="8"/>
      <c r="K53" s="8"/>
      <c r="L53" s="8"/>
      <c r="M53" s="8"/>
      <c r="N53" s="8"/>
      <c r="O53" s="8"/>
      <c r="P53" s="8"/>
      <c r="Q53" s="8"/>
      <c r="R53" s="8"/>
      <c r="S53" s="8"/>
    </row>
    <row r="54" spans="2:19" x14ac:dyDescent="0.25">
      <c r="B54" s="238">
        <v>9257030</v>
      </c>
      <c r="C54" s="238" t="s">
        <v>1046</v>
      </c>
      <c r="D54" s="18">
        <f>VLOOKUP('OLEA Placements'!B54,'2223 Funding Detail'!$A$4:$Y$20,25,FALSE)</f>
        <v>12046.825296725754</v>
      </c>
      <c r="E54" s="8">
        <f>S49</f>
        <v>5</v>
      </c>
      <c r="F54" s="18">
        <f t="shared" si="5"/>
        <v>60234.126483628774</v>
      </c>
      <c r="H54" s="8" t="s">
        <v>1656</v>
      </c>
      <c r="I54" s="8" t="s">
        <v>1650</v>
      </c>
      <c r="J54" s="8">
        <v>99</v>
      </c>
      <c r="K54" s="8">
        <v>101</v>
      </c>
      <c r="L54" s="1110">
        <v>44489</v>
      </c>
      <c r="M54" s="8"/>
      <c r="N54" s="8">
        <v>101</v>
      </c>
      <c r="O54" s="8">
        <v>101</v>
      </c>
      <c r="P54" s="8">
        <v>0</v>
      </c>
      <c r="Q54" s="8">
        <v>0</v>
      </c>
      <c r="R54" s="8">
        <v>0</v>
      </c>
      <c r="S54" s="8">
        <v>1</v>
      </c>
    </row>
    <row r="55" spans="2:19" x14ac:dyDescent="0.25">
      <c r="B55" s="238">
        <v>9257028</v>
      </c>
      <c r="C55" s="238" t="s">
        <v>215</v>
      </c>
      <c r="D55" s="18">
        <f>VLOOKUP('OLEA Placements'!B55,'2223 Funding Detail'!$A$4:$Y$20,25,FALSE)</f>
        <v>7269.9438049059827</v>
      </c>
      <c r="E55" s="8">
        <f>S67</f>
        <v>10</v>
      </c>
      <c r="F55" s="18">
        <f t="shared" si="5"/>
        <v>72699.438049059827</v>
      </c>
      <c r="H55" s="8"/>
      <c r="I55" s="8"/>
      <c r="J55" s="8"/>
      <c r="K55" s="8"/>
      <c r="L55" s="8"/>
      <c r="M55" s="8"/>
      <c r="N55" s="8"/>
      <c r="O55" s="8"/>
      <c r="P55" s="8"/>
      <c r="Q55" s="8"/>
      <c r="R55" s="8"/>
      <c r="S55" s="8"/>
    </row>
    <row r="56" spans="2:19" ht="14.5" x14ac:dyDescent="0.35">
      <c r="B56" s="238">
        <v>9257021</v>
      </c>
      <c r="C56" s="238" t="s">
        <v>216</v>
      </c>
      <c r="D56" s="18">
        <f>VLOOKUP('OLEA Placements'!B56,'2223 Funding Detail'!$A$4:$Y$20,25,FALSE)</f>
        <v>3446.214336037443</v>
      </c>
      <c r="E56" s="8">
        <f>S64</f>
        <v>7</v>
      </c>
      <c r="F56" s="18">
        <f t="shared" si="5"/>
        <v>24123.500352262101</v>
      </c>
      <c r="H56" s="8" t="s">
        <v>1657</v>
      </c>
      <c r="I56" s="8" t="s">
        <v>1650</v>
      </c>
      <c r="J56" s="1112">
        <v>120</v>
      </c>
      <c r="K56" s="8">
        <v>124</v>
      </c>
      <c r="L56" s="1110">
        <v>44489</v>
      </c>
      <c r="M56" s="8"/>
      <c r="N56" s="1112">
        <v>124</v>
      </c>
      <c r="O56" s="1112">
        <v>94</v>
      </c>
      <c r="P56" s="1112">
        <v>30</v>
      </c>
      <c r="Q56" s="1112">
        <v>0</v>
      </c>
      <c r="R56" s="1112">
        <v>0</v>
      </c>
      <c r="S56" s="1112">
        <v>16</v>
      </c>
    </row>
    <row r="57" spans="2:19" ht="14.5" x14ac:dyDescent="0.35">
      <c r="B57" s="238">
        <v>9257015</v>
      </c>
      <c r="C57" s="238" t="s">
        <v>217</v>
      </c>
      <c r="D57" s="18">
        <f>VLOOKUP('OLEA Placements'!B57,'2223 Funding Detail'!$A$4:$Y$20,25,FALSE)</f>
        <v>3279.3151120902494</v>
      </c>
      <c r="E57" s="8">
        <f>S60</f>
        <v>0</v>
      </c>
      <c r="F57" s="18">
        <f t="shared" si="5"/>
        <v>0</v>
      </c>
      <c r="H57" s="8"/>
      <c r="I57" s="8"/>
      <c r="J57" s="1112"/>
      <c r="K57" s="8"/>
      <c r="L57" s="1110"/>
      <c r="M57" s="8"/>
      <c r="N57" s="1112"/>
      <c r="O57" s="1112"/>
      <c r="P57" s="1112"/>
      <c r="Q57" s="1112"/>
      <c r="R57" s="1112"/>
      <c r="S57" s="1112"/>
    </row>
    <row r="58" spans="2:19" ht="14.5" x14ac:dyDescent="0.35">
      <c r="B58" s="238">
        <v>9257016</v>
      </c>
      <c r="C58" s="238" t="s">
        <v>219</v>
      </c>
      <c r="D58" s="18">
        <f>VLOOKUP('OLEA Placements'!B58,'2223 Funding Detail'!$A$4:$Y$20,25,FALSE)</f>
        <v>9029.6922855703269</v>
      </c>
      <c r="E58" s="8">
        <f>S62</f>
        <v>3</v>
      </c>
      <c r="F58" s="18">
        <f>D58*E58</f>
        <v>27089.076856710981</v>
      </c>
      <c r="H58" s="8" t="s">
        <v>1658</v>
      </c>
      <c r="I58" s="8" t="s">
        <v>1650</v>
      </c>
      <c r="J58" s="1112">
        <v>98</v>
      </c>
      <c r="K58" s="8">
        <v>112</v>
      </c>
      <c r="L58" s="1110">
        <v>44489</v>
      </c>
      <c r="M58" s="8"/>
      <c r="N58" s="1112">
        <v>112</v>
      </c>
      <c r="O58" s="1112">
        <v>112</v>
      </c>
      <c r="P58" s="1112">
        <v>0</v>
      </c>
      <c r="Q58" s="1112">
        <v>0</v>
      </c>
      <c r="R58" s="1112">
        <v>0</v>
      </c>
      <c r="S58" s="1112">
        <v>4</v>
      </c>
    </row>
    <row r="59" spans="2:19" x14ac:dyDescent="0.25">
      <c r="H59" s="8"/>
      <c r="I59" s="8"/>
      <c r="J59" s="8"/>
      <c r="K59" s="8"/>
      <c r="L59" s="8"/>
      <c r="M59" s="8"/>
      <c r="N59" s="8"/>
      <c r="O59" s="8"/>
      <c r="P59" s="8"/>
      <c r="Q59" s="8"/>
      <c r="R59" s="8"/>
      <c r="S59" s="8"/>
    </row>
    <row r="60" spans="2:19" ht="14.5" x14ac:dyDescent="0.35">
      <c r="E60" s="5">
        <f>SUM(E42:E59)</f>
        <v>100</v>
      </c>
      <c r="F60" s="785">
        <f>SUM(F42:F59)</f>
        <v>640834.69626913476</v>
      </c>
      <c r="H60" s="8" t="s">
        <v>1659</v>
      </c>
      <c r="I60" s="8" t="s">
        <v>1650</v>
      </c>
      <c r="J60" s="8">
        <v>226</v>
      </c>
      <c r="K60" s="8">
        <v>225</v>
      </c>
      <c r="L60" s="1110">
        <v>44489</v>
      </c>
      <c r="M60" s="8"/>
      <c r="N60" s="8">
        <v>225</v>
      </c>
      <c r="O60" s="1112">
        <v>209</v>
      </c>
      <c r="P60" s="1112">
        <v>16</v>
      </c>
      <c r="Q60" s="1112">
        <v>0</v>
      </c>
      <c r="R60" s="1112">
        <v>0</v>
      </c>
      <c r="S60" s="1112">
        <v>0</v>
      </c>
    </row>
    <row r="61" spans="2:19" ht="14.5" x14ac:dyDescent="0.35">
      <c r="H61" s="8"/>
      <c r="I61" s="8"/>
      <c r="J61" s="8"/>
      <c r="K61" s="8"/>
      <c r="L61" s="1110"/>
      <c r="M61" s="8"/>
      <c r="N61" s="8"/>
      <c r="O61" s="1112"/>
      <c r="P61" s="1112"/>
      <c r="Q61" s="1112"/>
      <c r="R61" s="1112"/>
      <c r="S61" s="1112"/>
    </row>
    <row r="62" spans="2:19" x14ac:dyDescent="0.25">
      <c r="H62" s="8" t="s">
        <v>1660</v>
      </c>
      <c r="I62" s="8" t="s">
        <v>1650</v>
      </c>
      <c r="J62" s="8">
        <v>164</v>
      </c>
      <c r="K62" s="8">
        <v>166</v>
      </c>
      <c r="L62" s="1110">
        <v>44489</v>
      </c>
      <c r="M62" s="8"/>
      <c r="N62" s="8">
        <v>166</v>
      </c>
      <c r="O62" s="8">
        <v>112</v>
      </c>
      <c r="P62" s="8">
        <v>54</v>
      </c>
      <c r="Q62" s="8">
        <v>0</v>
      </c>
      <c r="R62" s="8">
        <v>0</v>
      </c>
      <c r="S62" s="8">
        <v>3</v>
      </c>
    </row>
    <row r="63" spans="2:19" x14ac:dyDescent="0.25">
      <c r="H63" s="8"/>
      <c r="I63" s="8"/>
      <c r="J63" s="8"/>
      <c r="K63" s="8"/>
      <c r="L63" s="8"/>
      <c r="M63" s="8"/>
      <c r="N63" s="8"/>
      <c r="O63" s="8"/>
      <c r="P63" s="8"/>
      <c r="Q63" s="8"/>
      <c r="R63" s="8"/>
      <c r="S63" s="8"/>
    </row>
    <row r="64" spans="2:19" x14ac:dyDescent="0.25">
      <c r="H64" s="8" t="s">
        <v>1661</v>
      </c>
      <c r="I64" s="8" t="s">
        <v>1650</v>
      </c>
      <c r="J64" s="8">
        <v>169</v>
      </c>
      <c r="K64" s="8">
        <v>178</v>
      </c>
      <c r="L64" s="1110">
        <v>44489</v>
      </c>
      <c r="M64" s="8"/>
      <c r="N64" s="8">
        <v>178</v>
      </c>
      <c r="O64" s="8">
        <v>178</v>
      </c>
      <c r="P64" s="8">
        <v>0</v>
      </c>
      <c r="Q64" s="8">
        <v>0</v>
      </c>
      <c r="R64" s="8">
        <v>0</v>
      </c>
      <c r="S64" s="8">
        <v>7</v>
      </c>
    </row>
    <row r="65" spans="2:19" x14ac:dyDescent="0.25">
      <c r="H65" s="8" t="s">
        <v>1662</v>
      </c>
      <c r="I65" s="8" t="s">
        <v>1650</v>
      </c>
      <c r="J65" s="8">
        <v>78</v>
      </c>
      <c r="K65" s="8">
        <v>89</v>
      </c>
      <c r="L65" s="1110">
        <v>44489</v>
      </c>
      <c r="M65" s="8"/>
      <c r="N65" s="8">
        <v>89</v>
      </c>
      <c r="O65" s="8">
        <v>58</v>
      </c>
      <c r="P65" s="8">
        <v>24</v>
      </c>
      <c r="Q65" s="8">
        <v>7</v>
      </c>
      <c r="R65" s="8">
        <v>0</v>
      </c>
      <c r="S65" s="8">
        <v>3</v>
      </c>
    </row>
    <row r="66" spans="2:19" x14ac:dyDescent="0.25">
      <c r="H66" s="8"/>
      <c r="I66" s="8"/>
      <c r="J66" s="8"/>
      <c r="K66" s="8"/>
      <c r="L66" s="8"/>
      <c r="M66" s="8"/>
      <c r="N66" s="8"/>
      <c r="O66" s="8"/>
      <c r="P66" s="8"/>
      <c r="Q66" s="8"/>
      <c r="R66" s="8"/>
      <c r="S66" s="8"/>
    </row>
    <row r="67" spans="2:19" ht="14.5" x14ac:dyDescent="0.35">
      <c r="H67" s="8" t="s">
        <v>1663</v>
      </c>
      <c r="I67" s="8" t="s">
        <v>1650</v>
      </c>
      <c r="J67" s="1112">
        <v>122</v>
      </c>
      <c r="K67" s="8">
        <v>148</v>
      </c>
      <c r="L67" s="1110">
        <v>44489</v>
      </c>
      <c r="M67" s="8"/>
      <c r="N67" s="1112">
        <v>135</v>
      </c>
      <c r="O67" s="1113">
        <v>120</v>
      </c>
      <c r="P67" s="1113">
        <v>9</v>
      </c>
      <c r="Q67" s="1113">
        <v>6</v>
      </c>
      <c r="R67" s="1113">
        <v>0</v>
      </c>
      <c r="S67" s="8">
        <v>10</v>
      </c>
    </row>
    <row r="68" spans="2:19" x14ac:dyDescent="0.25">
      <c r="H68" s="8"/>
      <c r="I68" s="8"/>
      <c r="J68" s="8"/>
      <c r="K68" s="8"/>
      <c r="L68" s="8"/>
      <c r="M68" s="8"/>
      <c r="N68" s="8"/>
      <c r="O68" s="8"/>
      <c r="P68" s="8"/>
      <c r="Q68" s="8"/>
      <c r="R68" s="8"/>
      <c r="S68" s="8"/>
    </row>
    <row r="69" spans="2:19" x14ac:dyDescent="0.25">
      <c r="H69" s="8" t="s">
        <v>1664</v>
      </c>
      <c r="I69" s="8" t="s">
        <v>1650</v>
      </c>
      <c r="J69" s="8">
        <v>78</v>
      </c>
      <c r="K69" s="8">
        <v>79</v>
      </c>
      <c r="L69" s="1110">
        <v>44489</v>
      </c>
      <c r="M69" s="8"/>
      <c r="N69" s="8">
        <v>79</v>
      </c>
      <c r="O69" s="8">
        <v>79</v>
      </c>
      <c r="P69" s="8">
        <v>0</v>
      </c>
      <c r="Q69" s="8">
        <v>0</v>
      </c>
      <c r="R69" s="8">
        <v>0</v>
      </c>
      <c r="S69" s="8">
        <v>2</v>
      </c>
    </row>
    <row r="70" spans="2:19" x14ac:dyDescent="0.25">
      <c r="H70" s="8"/>
      <c r="I70" s="8"/>
      <c r="J70" s="8"/>
      <c r="K70" s="8"/>
      <c r="L70" s="8"/>
      <c r="M70" s="8"/>
      <c r="N70" s="8"/>
      <c r="O70" s="8"/>
      <c r="P70" s="8"/>
      <c r="Q70" s="8"/>
      <c r="R70" s="8"/>
      <c r="S70" s="8"/>
    </row>
    <row r="71" spans="2:19" x14ac:dyDescent="0.25">
      <c r="H71" s="8" t="s">
        <v>1665</v>
      </c>
      <c r="I71" s="8" t="s">
        <v>1650</v>
      </c>
      <c r="J71" s="8">
        <v>84</v>
      </c>
      <c r="K71" s="8">
        <v>88</v>
      </c>
      <c r="L71" s="1110">
        <v>44489</v>
      </c>
      <c r="M71" s="8"/>
      <c r="N71" s="8">
        <v>88</v>
      </c>
      <c r="O71" s="8">
        <v>72</v>
      </c>
      <c r="P71" s="8">
        <v>13</v>
      </c>
      <c r="Q71" s="8">
        <v>3</v>
      </c>
      <c r="R71" s="8">
        <v>0</v>
      </c>
      <c r="S71" s="8">
        <v>1</v>
      </c>
    </row>
    <row r="72" spans="2:19" x14ac:dyDescent="0.25">
      <c r="H72" s="8"/>
      <c r="I72" s="8"/>
      <c r="J72" s="8"/>
      <c r="K72" s="8"/>
      <c r="L72" s="8"/>
      <c r="M72" s="8"/>
      <c r="N72" s="8"/>
      <c r="O72" s="8"/>
      <c r="P72" s="8"/>
      <c r="Q72" s="8"/>
      <c r="R72" s="8"/>
      <c r="S72" s="8"/>
    </row>
    <row r="73" spans="2:19" ht="14.5" x14ac:dyDescent="0.35">
      <c r="H73" s="8" t="s">
        <v>1666</v>
      </c>
      <c r="I73" s="8" t="s">
        <v>1650</v>
      </c>
      <c r="J73" s="8">
        <v>151</v>
      </c>
      <c r="K73" s="8">
        <v>159</v>
      </c>
      <c r="L73" s="1110">
        <v>44489</v>
      </c>
      <c r="M73" s="8"/>
      <c r="N73" s="8">
        <v>159</v>
      </c>
      <c r="O73" s="1112">
        <v>159</v>
      </c>
      <c r="P73" s="1112">
        <v>0</v>
      </c>
      <c r="Q73" s="1112">
        <v>0</v>
      </c>
      <c r="R73" s="1112">
        <v>0</v>
      </c>
      <c r="S73" s="1112">
        <v>10</v>
      </c>
    </row>
    <row r="74" spans="2:19" x14ac:dyDescent="0.25">
      <c r="H74" s="8" t="s">
        <v>1667</v>
      </c>
      <c r="I74" s="8" t="s">
        <v>1650</v>
      </c>
      <c r="J74" s="8">
        <v>86</v>
      </c>
      <c r="K74" s="8">
        <v>90</v>
      </c>
      <c r="L74" s="1110">
        <v>44489</v>
      </c>
      <c r="M74" s="8"/>
      <c r="N74" s="8">
        <v>90</v>
      </c>
      <c r="O74" s="8">
        <v>59</v>
      </c>
      <c r="P74" s="8">
        <v>31</v>
      </c>
      <c r="Q74" s="8">
        <v>0</v>
      </c>
      <c r="R74" s="8">
        <v>0</v>
      </c>
      <c r="S74" s="8">
        <v>4</v>
      </c>
    </row>
    <row r="75" spans="2:19" x14ac:dyDescent="0.25">
      <c r="H75" s="8"/>
      <c r="I75" s="8"/>
      <c r="J75" s="8"/>
      <c r="K75" s="8"/>
      <c r="L75" s="8"/>
      <c r="M75" s="8"/>
      <c r="N75" s="8"/>
      <c r="O75" s="8"/>
      <c r="P75" s="8"/>
      <c r="Q75" s="8"/>
      <c r="R75" s="8"/>
      <c r="S75" s="8"/>
    </row>
    <row r="76" spans="2:19" ht="14.5" x14ac:dyDescent="0.35">
      <c r="B76" s="454" t="s">
        <v>1069</v>
      </c>
      <c r="H76" s="8"/>
      <c r="I76" s="8"/>
      <c r="J76" s="772">
        <f>SUM(J44:J74)</f>
        <v>2026</v>
      </c>
      <c r="K76" s="772">
        <f>SUM(K44:K74)</f>
        <v>2141</v>
      </c>
      <c r="L76" s="772"/>
      <c r="M76" s="772"/>
      <c r="N76" s="772">
        <f t="shared" ref="N76:S76" si="6">SUM(N44:N74)</f>
        <v>2128</v>
      </c>
      <c r="O76" s="772">
        <f t="shared" si="6"/>
        <v>1887</v>
      </c>
      <c r="P76" s="772">
        <f t="shared" si="6"/>
        <v>200</v>
      </c>
      <c r="Q76" s="772">
        <f t="shared" si="6"/>
        <v>41</v>
      </c>
      <c r="R76" s="772">
        <f t="shared" si="6"/>
        <v>0</v>
      </c>
      <c r="S76" s="772">
        <f t="shared" si="6"/>
        <v>100</v>
      </c>
    </row>
    <row r="78" spans="2:19" ht="25" x14ac:dyDescent="0.25">
      <c r="B78" s="1275" t="s">
        <v>182</v>
      </c>
      <c r="C78" s="1276" t="s">
        <v>183</v>
      </c>
      <c r="D78" s="8" t="s">
        <v>1640</v>
      </c>
      <c r="E78" s="239" t="s">
        <v>1641</v>
      </c>
      <c r="F78" s="239" t="s">
        <v>919</v>
      </c>
    </row>
    <row r="79" spans="2:19" x14ac:dyDescent="0.25">
      <c r="B79" s="238">
        <v>9257010</v>
      </c>
      <c r="C79" s="238" t="s">
        <v>205</v>
      </c>
      <c r="D79" s="18">
        <f>VLOOKUP('2122 OLEA Placements'!B39,'2122 Funding Detail'!$A$4:$AM$23,23,FALSE)</f>
        <v>10277.502720148499</v>
      </c>
      <c r="E79" s="8">
        <f>S82</f>
        <v>1</v>
      </c>
      <c r="F79" s="18">
        <f>D79*E79</f>
        <v>10277.502720148499</v>
      </c>
    </row>
    <row r="80" spans="2:19" ht="14.5" x14ac:dyDescent="0.35">
      <c r="B80" s="238">
        <v>9257005</v>
      </c>
      <c r="C80" s="238" t="s">
        <v>208</v>
      </c>
      <c r="D80" s="18">
        <f>VLOOKUP('2122 OLEA Placements'!B40,'2122 Funding Detail'!$A$4:$AM$23,23,FALSE)</f>
        <v>7976.5657912524439</v>
      </c>
      <c r="E80" s="8">
        <f>S110</f>
        <v>6</v>
      </c>
      <c r="F80" s="18">
        <f t="shared" ref="F80:F96" si="7">D80*E80</f>
        <v>47859.394747514663</v>
      </c>
      <c r="H80" s="772" t="s">
        <v>183</v>
      </c>
      <c r="I80" s="772" t="s">
        <v>1642</v>
      </c>
      <c r="J80" s="772" t="s">
        <v>1643</v>
      </c>
      <c r="K80" s="772" t="s">
        <v>1644</v>
      </c>
      <c r="L80" s="772" t="s">
        <v>1645</v>
      </c>
      <c r="M80" s="772"/>
      <c r="N80" s="772" t="s">
        <v>1646</v>
      </c>
      <c r="O80" s="772" t="s">
        <v>284</v>
      </c>
      <c r="P80" s="772" t="s">
        <v>1647</v>
      </c>
      <c r="Q80" s="778" t="s">
        <v>284</v>
      </c>
      <c r="R80" s="778" t="s">
        <v>264</v>
      </c>
      <c r="S80" s="772" t="s">
        <v>1648</v>
      </c>
    </row>
    <row r="81" spans="2:19" x14ac:dyDescent="0.25">
      <c r="B81" s="238">
        <v>9257025</v>
      </c>
      <c r="C81" s="238" t="s">
        <v>209</v>
      </c>
      <c r="D81" s="18">
        <f>VLOOKUP('2122 OLEA Placements'!B41,'2122 Funding Detail'!$A$4:$AM$23,23,FALSE)</f>
        <v>7614.060049404743</v>
      </c>
      <c r="E81" s="8">
        <f>S100</f>
        <v>1</v>
      </c>
      <c r="F81" s="18">
        <f t="shared" si="7"/>
        <v>7614.060049404743</v>
      </c>
      <c r="H81" s="8"/>
      <c r="I81" s="8"/>
      <c r="J81" s="8"/>
      <c r="K81" s="8"/>
      <c r="L81" s="8"/>
      <c r="M81" s="8"/>
      <c r="N81" s="8"/>
      <c r="O81" s="8"/>
      <c r="P81" s="8"/>
      <c r="Q81" s="8"/>
      <c r="R81" s="8"/>
      <c r="S81" s="8"/>
    </row>
    <row r="82" spans="2:19" x14ac:dyDescent="0.25">
      <c r="B82" s="238">
        <v>9257011</v>
      </c>
      <c r="C82" s="238" t="s">
        <v>210</v>
      </c>
      <c r="D82" s="18">
        <f>VLOOKUP('2122 OLEA Placements'!B42,'2122 Funding Detail'!$A$4:$AM$23,23,FALSE)</f>
        <v>10590.628482858792</v>
      </c>
      <c r="E82" s="8">
        <f>S83</f>
        <v>5</v>
      </c>
      <c r="F82" s="18">
        <f t="shared" si="7"/>
        <v>52953.142414293965</v>
      </c>
      <c r="H82" s="8" t="s">
        <v>1649</v>
      </c>
      <c r="I82" s="8" t="s">
        <v>1650</v>
      </c>
      <c r="J82" s="8">
        <f>'[27]2021'!O43+'[27]2021'!P43</f>
        <v>0</v>
      </c>
      <c r="K82" s="8">
        <v>65</v>
      </c>
      <c r="L82" s="1110" t="s">
        <v>1651</v>
      </c>
      <c r="M82" s="8"/>
      <c r="N82" s="8">
        <v>100</v>
      </c>
      <c r="O82" s="8">
        <v>54</v>
      </c>
      <c r="P82" s="8">
        <v>10</v>
      </c>
      <c r="Q82" s="8">
        <v>36</v>
      </c>
      <c r="R82" s="8">
        <v>0</v>
      </c>
      <c r="S82" s="8">
        <v>1</v>
      </c>
    </row>
    <row r="83" spans="2:19" x14ac:dyDescent="0.25">
      <c r="B83" s="238">
        <v>9257024</v>
      </c>
      <c r="C83" s="238" t="s">
        <v>211</v>
      </c>
      <c r="D83" s="18">
        <f>VLOOKUP('2122 OLEA Placements'!B43,'2122 Funding Detail'!$A$4:$AM$23,23,FALSE)</f>
        <v>7726.7205403799271</v>
      </c>
      <c r="E83" s="8">
        <f>S106</f>
        <v>1</v>
      </c>
      <c r="F83" s="18">
        <f t="shared" si="7"/>
        <v>7726.7205403799271</v>
      </c>
      <c r="H83" s="8" t="s">
        <v>1652</v>
      </c>
      <c r="I83" s="8" t="s">
        <v>1650</v>
      </c>
      <c r="J83" s="8">
        <f>'[27]2021'!O44+'[27]2021'!P44</f>
        <v>0</v>
      </c>
      <c r="K83" s="8">
        <v>58</v>
      </c>
      <c r="L83" s="1110" t="s">
        <v>1650</v>
      </c>
      <c r="M83" s="8"/>
      <c r="N83" s="8">
        <v>58</v>
      </c>
      <c r="O83" s="8">
        <v>50</v>
      </c>
      <c r="P83" s="8">
        <v>8</v>
      </c>
      <c r="Q83" s="8">
        <v>0</v>
      </c>
      <c r="R83" s="8">
        <v>0</v>
      </c>
      <c r="S83" s="8">
        <v>5</v>
      </c>
    </row>
    <row r="84" spans="2:19" x14ac:dyDescent="0.25">
      <c r="B84" s="238">
        <v>9257031</v>
      </c>
      <c r="C84" s="238" t="s">
        <v>257</v>
      </c>
      <c r="D84" s="18">
        <f>VLOOKUP('2122 OLEA Placements'!B44,'2122 Funding Detail'!$A$4:$AM$23,23,FALSE)</f>
        <v>10699.071833774375</v>
      </c>
      <c r="E84" s="8">
        <f>S88</f>
        <v>6</v>
      </c>
      <c r="F84" s="18">
        <f t="shared" si="7"/>
        <v>64194.431002646248</v>
      </c>
      <c r="H84" s="8" t="s">
        <v>1653</v>
      </c>
      <c r="I84" s="8" t="s">
        <v>1650</v>
      </c>
      <c r="J84" s="8">
        <f>'[27]2021'!O45+'[27]2021'!P45</f>
        <v>0</v>
      </c>
      <c r="K84" s="8">
        <v>135</v>
      </c>
      <c r="L84" s="1110" t="s">
        <v>1650</v>
      </c>
      <c r="M84" s="8"/>
      <c r="N84" s="8">
        <v>136</v>
      </c>
      <c r="O84" s="8">
        <v>136</v>
      </c>
      <c r="P84" s="8">
        <v>0</v>
      </c>
      <c r="Q84" s="8">
        <v>0</v>
      </c>
      <c r="R84" s="8">
        <v>0</v>
      </c>
      <c r="S84" s="8">
        <v>11</v>
      </c>
    </row>
    <row r="85" spans="2:19" x14ac:dyDescent="0.25">
      <c r="B85" s="238">
        <v>9257033</v>
      </c>
      <c r="C85" s="238" t="s">
        <v>220</v>
      </c>
      <c r="D85" s="18">
        <f>VLOOKUP('2122 OLEA Placements'!B45,'2122 Funding Detail'!$A$4:$AM$23,23,FALSE)</f>
        <v>4522.8251530805373</v>
      </c>
      <c r="E85" s="8">
        <f>S94</f>
        <v>3</v>
      </c>
      <c r="F85" s="18">
        <f t="shared" si="7"/>
        <v>13568.475459241612</v>
      </c>
      <c r="H85" s="8"/>
      <c r="I85" s="8"/>
      <c r="J85" s="8"/>
      <c r="K85" s="8"/>
      <c r="L85" s="8"/>
      <c r="M85" s="8"/>
      <c r="N85" s="8"/>
      <c r="O85" s="8"/>
      <c r="P85" s="8"/>
      <c r="Q85" s="8"/>
      <c r="R85" s="8"/>
      <c r="S85" s="8"/>
    </row>
    <row r="86" spans="2:19" x14ac:dyDescent="0.25">
      <c r="B86" s="238">
        <v>9257008</v>
      </c>
      <c r="C86" s="238" t="s">
        <v>212</v>
      </c>
      <c r="D86" s="18">
        <f>VLOOKUP('2122 OLEA Placements'!B46,'2122 Funding Detail'!$A$4:$AM$23,23,FALSE)</f>
        <v>4816.0889954940758</v>
      </c>
      <c r="E86" s="8">
        <f>S91</f>
        <v>0</v>
      </c>
      <c r="F86" s="18">
        <f t="shared" si="7"/>
        <v>0</v>
      </c>
      <c r="H86" s="8" t="s">
        <v>1654</v>
      </c>
      <c r="I86" s="8" t="s">
        <v>1650</v>
      </c>
      <c r="J86" s="8">
        <f>'[27]2021'!O47+'[27]2021'!P47</f>
        <v>0</v>
      </c>
      <c r="K86" s="8">
        <v>72</v>
      </c>
      <c r="L86" s="1110" t="s">
        <v>1650</v>
      </c>
      <c r="M86" s="8"/>
      <c r="N86" s="8">
        <v>72</v>
      </c>
      <c r="O86" s="8">
        <v>72</v>
      </c>
      <c r="P86" s="8">
        <v>0</v>
      </c>
      <c r="Q86" s="8">
        <v>0</v>
      </c>
      <c r="R86" s="8">
        <v>0</v>
      </c>
      <c r="S86" s="8">
        <v>4</v>
      </c>
    </row>
    <row r="87" spans="2:19" x14ac:dyDescent="0.25">
      <c r="B87" s="238">
        <v>9257034</v>
      </c>
      <c r="C87" s="238" t="s">
        <v>221</v>
      </c>
      <c r="D87" s="18">
        <f>VLOOKUP('2122 OLEA Placements'!B47,'2122 Funding Detail'!$A$4:$AM$23,23,FALSE)</f>
        <v>3958.562646780696</v>
      </c>
      <c r="E87" s="8">
        <f>S93</f>
        <v>21</v>
      </c>
      <c r="F87" s="18">
        <f t="shared" si="7"/>
        <v>83129.815582394614</v>
      </c>
      <c r="H87" s="8"/>
      <c r="I87" s="8"/>
      <c r="J87" s="8"/>
      <c r="K87" s="8"/>
      <c r="L87" s="8"/>
      <c r="M87" s="8"/>
      <c r="N87" s="8"/>
      <c r="O87" s="8"/>
      <c r="P87" s="8"/>
      <c r="Q87" s="8"/>
      <c r="R87" s="8"/>
      <c r="S87" s="8"/>
    </row>
    <row r="88" spans="2:19" x14ac:dyDescent="0.25">
      <c r="B88" s="238">
        <v>9257002</v>
      </c>
      <c r="C88" s="238" t="s">
        <v>213</v>
      </c>
      <c r="D88" s="18">
        <f>VLOOKUP('2122 OLEA Placements'!B48,'2122 Funding Detail'!$A$4:$AM$23,23,FALSE)</f>
        <v>2844.3706893894851</v>
      </c>
      <c r="E88" s="8">
        <f>S108</f>
        <v>10</v>
      </c>
      <c r="F88" s="18">
        <f t="shared" si="7"/>
        <v>28443.706893894851</v>
      </c>
      <c r="H88" s="8" t="s">
        <v>481</v>
      </c>
      <c r="I88" s="8" t="s">
        <v>1650</v>
      </c>
      <c r="J88" s="8">
        <f>'[27]2021'!O49+'[27]2021'!P49</f>
        <v>0</v>
      </c>
      <c r="K88" s="8">
        <v>81</v>
      </c>
      <c r="L88" s="1110" t="s">
        <v>1650</v>
      </c>
      <c r="M88" s="8"/>
      <c r="N88" s="8">
        <v>81</v>
      </c>
      <c r="O88" s="8">
        <v>81</v>
      </c>
      <c r="P88" s="8">
        <v>0</v>
      </c>
      <c r="Q88" s="8">
        <v>0</v>
      </c>
      <c r="R88" s="8">
        <v>0</v>
      </c>
      <c r="S88" s="8">
        <v>6</v>
      </c>
    </row>
    <row r="89" spans="2:19" x14ac:dyDescent="0.25">
      <c r="B89" s="238">
        <v>9257009</v>
      </c>
      <c r="C89" s="238" t="s">
        <v>214</v>
      </c>
      <c r="D89" s="18">
        <f>VLOOKUP('2122 OLEA Placements'!B49,'2122 Funding Detail'!$A$4:$AM$23,23,FALSE)</f>
        <v>3032.1529509791199</v>
      </c>
      <c r="E89" s="8">
        <f>S84</f>
        <v>11</v>
      </c>
      <c r="F89" s="18">
        <f t="shared" si="7"/>
        <v>33353.682460770317</v>
      </c>
      <c r="H89" s="8" t="s">
        <v>1655</v>
      </c>
      <c r="I89" s="1111" t="s">
        <v>1650</v>
      </c>
      <c r="J89" s="8">
        <f>'[27]2021'!O50+'[27]2021'!P50</f>
        <v>0</v>
      </c>
      <c r="K89" s="8">
        <v>104</v>
      </c>
      <c r="L89" s="1110" t="s">
        <v>1650</v>
      </c>
      <c r="M89" s="8"/>
      <c r="N89" s="8">
        <v>104</v>
      </c>
      <c r="O89" s="8">
        <v>97</v>
      </c>
      <c r="P89" s="8">
        <v>0</v>
      </c>
      <c r="Q89" s="8">
        <v>7</v>
      </c>
      <c r="R89" s="8">
        <v>0</v>
      </c>
      <c r="S89" s="8">
        <v>4</v>
      </c>
    </row>
    <row r="90" spans="2:19" x14ac:dyDescent="0.25">
      <c r="B90" s="238">
        <v>9257029</v>
      </c>
      <c r="C90" s="238" t="s">
        <v>890</v>
      </c>
      <c r="D90" s="18">
        <f>VLOOKUP('2122 OLEA Placements'!B50,'2122 Funding Detail'!$A$4:$AM$23,23,FALSE)</f>
        <v>10724.862215678859</v>
      </c>
      <c r="E90" s="8">
        <f>S104</f>
        <v>1</v>
      </c>
      <c r="F90" s="18">
        <f t="shared" si="7"/>
        <v>10724.862215678859</v>
      </c>
      <c r="H90" s="8"/>
      <c r="I90" s="8"/>
      <c r="J90" s="8"/>
      <c r="K90" s="8"/>
      <c r="L90" s="8"/>
      <c r="M90" s="8"/>
      <c r="N90" s="8"/>
      <c r="O90" s="8"/>
      <c r="P90" s="8"/>
      <c r="Q90" s="8"/>
      <c r="R90" s="8"/>
      <c r="S90" s="8"/>
    </row>
    <row r="91" spans="2:19" x14ac:dyDescent="0.25">
      <c r="B91" s="238">
        <v>9257032</v>
      </c>
      <c r="C91" s="238" t="s">
        <v>1043</v>
      </c>
      <c r="D91" s="18">
        <f>VLOOKUP('2122 OLEA Placements'!B51,'2122 Funding Detail'!$A$4:$AM$23,23,FALSE)</f>
        <v>9767.9287750583535</v>
      </c>
      <c r="E91" s="8">
        <f>S89</f>
        <v>4</v>
      </c>
      <c r="F91" s="18">
        <f t="shared" si="7"/>
        <v>39071.715100233414</v>
      </c>
      <c r="H91" s="8" t="s">
        <v>1656</v>
      </c>
      <c r="I91" s="8" t="s">
        <v>1650</v>
      </c>
      <c r="J91" s="8">
        <f>'[27]2021'!O52+'[27]2021'!P52</f>
        <v>0</v>
      </c>
      <c r="K91" s="8">
        <v>99</v>
      </c>
      <c r="L91" s="1110" t="s">
        <v>1650</v>
      </c>
      <c r="M91" s="8"/>
      <c r="N91" s="8">
        <v>99</v>
      </c>
      <c r="O91" s="8">
        <v>99</v>
      </c>
      <c r="P91" s="8">
        <v>0</v>
      </c>
      <c r="Q91" s="8">
        <v>0</v>
      </c>
      <c r="R91" s="8">
        <v>0</v>
      </c>
      <c r="S91" s="8">
        <v>0</v>
      </c>
    </row>
    <row r="92" spans="2:19" x14ac:dyDescent="0.25">
      <c r="B92" s="238">
        <v>9257030</v>
      </c>
      <c r="C92" s="238" t="s">
        <v>1046</v>
      </c>
      <c r="D92" s="18">
        <f>VLOOKUP('2122 OLEA Placements'!B52,'2122 Funding Detail'!$A$4:$AM$23,23,FALSE)</f>
        <v>11209.243533989025</v>
      </c>
      <c r="E92" s="8">
        <f>S86</f>
        <v>4</v>
      </c>
      <c r="F92" s="18">
        <f t="shared" si="7"/>
        <v>44836.974135956101</v>
      </c>
      <c r="H92" s="8"/>
      <c r="I92" s="8"/>
      <c r="J92" s="8"/>
      <c r="K92" s="8"/>
      <c r="L92" s="8"/>
      <c r="M92" s="8"/>
      <c r="N92" s="8"/>
      <c r="O92" s="8"/>
      <c r="P92" s="8"/>
      <c r="Q92" s="8"/>
      <c r="R92" s="8"/>
      <c r="S92" s="8"/>
    </row>
    <row r="93" spans="2:19" ht="14.5" x14ac:dyDescent="0.35">
      <c r="B93" s="238">
        <v>9257028</v>
      </c>
      <c r="C93" s="238" t="s">
        <v>215</v>
      </c>
      <c r="D93" s="18">
        <f>VLOOKUP('2122 OLEA Placements'!B53,'2122 Funding Detail'!$A$4:$AM$23,23,FALSE)</f>
        <v>7055.6475231240038</v>
      </c>
      <c r="E93" s="8">
        <f>S102</f>
        <v>10</v>
      </c>
      <c r="F93" s="18">
        <f t="shared" si="7"/>
        <v>70556.475231240038</v>
      </c>
      <c r="H93" s="8" t="s">
        <v>1657</v>
      </c>
      <c r="I93" s="8" t="s">
        <v>1650</v>
      </c>
      <c r="J93" s="8">
        <f>'[27]2021'!O54+'[27]2021'!P54</f>
        <v>0</v>
      </c>
      <c r="K93" s="8">
        <v>120</v>
      </c>
      <c r="L93" s="1110" t="s">
        <v>1650</v>
      </c>
      <c r="M93" s="8"/>
      <c r="N93" s="1112">
        <v>120</v>
      </c>
      <c r="O93" s="1112">
        <v>88</v>
      </c>
      <c r="P93" s="1112">
        <v>32</v>
      </c>
      <c r="Q93" s="1112">
        <v>0</v>
      </c>
      <c r="R93" s="1112">
        <v>0</v>
      </c>
      <c r="S93" s="1112">
        <v>21</v>
      </c>
    </row>
    <row r="94" spans="2:19" ht="14.5" x14ac:dyDescent="0.35">
      <c r="B94" s="238">
        <v>9257021</v>
      </c>
      <c r="C94" s="238" t="s">
        <v>216</v>
      </c>
      <c r="D94" s="18">
        <f>VLOOKUP('2122 OLEA Placements'!B54,'2122 Funding Detail'!$A$4:$AM$23,23,FALSE)</f>
        <v>3342.1446351352861</v>
      </c>
      <c r="E94" s="8">
        <f>S99</f>
        <v>5</v>
      </c>
      <c r="F94" s="18">
        <f t="shared" si="7"/>
        <v>16710.72317567643</v>
      </c>
      <c r="H94" s="8" t="s">
        <v>1658</v>
      </c>
      <c r="I94" s="8" t="s">
        <v>1650</v>
      </c>
      <c r="J94" s="8">
        <f>'[27]2021'!O55+'[27]2021'!P55</f>
        <v>0</v>
      </c>
      <c r="K94" s="8">
        <v>97</v>
      </c>
      <c r="L94" s="1110" t="s">
        <v>1650</v>
      </c>
      <c r="M94" s="8"/>
      <c r="N94" s="1112">
        <v>98</v>
      </c>
      <c r="O94" s="1112">
        <v>98</v>
      </c>
      <c r="P94" s="1112">
        <v>0</v>
      </c>
      <c r="Q94" s="1112">
        <v>0</v>
      </c>
      <c r="R94" s="1112">
        <v>0</v>
      </c>
      <c r="S94" s="1112">
        <v>3</v>
      </c>
    </row>
    <row r="95" spans="2:19" x14ac:dyDescent="0.25">
      <c r="B95" s="238">
        <v>9257015</v>
      </c>
      <c r="C95" s="238" t="s">
        <v>217</v>
      </c>
      <c r="D95" s="18">
        <f>VLOOKUP('2122 OLEA Placements'!B55,'2122 Funding Detail'!$A$4:$AM$23,23,FALSE)</f>
        <v>2499.7830123784788</v>
      </c>
      <c r="E95" s="8">
        <f>S96</f>
        <v>0</v>
      </c>
      <c r="F95" s="18">
        <f t="shared" si="7"/>
        <v>0</v>
      </c>
      <c r="H95" s="8"/>
      <c r="I95" s="8"/>
      <c r="J95" s="8"/>
      <c r="K95" s="8"/>
      <c r="L95" s="8"/>
      <c r="M95" s="8"/>
      <c r="N95" s="8"/>
      <c r="O95" s="8"/>
      <c r="P95" s="8"/>
      <c r="Q95" s="8"/>
      <c r="R95" s="8"/>
      <c r="S95" s="8"/>
    </row>
    <row r="96" spans="2:19" ht="14.5" x14ac:dyDescent="0.35">
      <c r="B96" s="238">
        <v>9257016</v>
      </c>
      <c r="C96" s="238" t="s">
        <v>219</v>
      </c>
      <c r="D96" s="18">
        <f>VLOOKUP('2122 OLEA Placements'!B56,'2122 Funding Detail'!$A$4:$AM$23,23,FALSE)</f>
        <v>8204.4323366744247</v>
      </c>
      <c r="E96" s="8">
        <f>S97</f>
        <v>3</v>
      </c>
      <c r="F96" s="18">
        <f t="shared" si="7"/>
        <v>24613.297010023274</v>
      </c>
      <c r="H96" s="8" t="s">
        <v>1659</v>
      </c>
      <c r="I96" s="8" t="s">
        <v>1650</v>
      </c>
      <c r="J96" s="8">
        <f>'[27]2021'!O57+'[27]2021'!P57</f>
        <v>0</v>
      </c>
      <c r="K96" s="8">
        <v>226</v>
      </c>
      <c r="L96" s="1110" t="s">
        <v>1650</v>
      </c>
      <c r="M96" s="8"/>
      <c r="N96" s="8">
        <v>226</v>
      </c>
      <c r="O96" s="1112">
        <v>223</v>
      </c>
      <c r="P96" s="1112">
        <v>3</v>
      </c>
      <c r="Q96" s="1112">
        <v>0</v>
      </c>
      <c r="R96" s="1112">
        <v>0</v>
      </c>
      <c r="S96" s="1112">
        <v>0</v>
      </c>
    </row>
    <row r="97" spans="5:19" x14ac:dyDescent="0.25">
      <c r="H97" s="8" t="s">
        <v>1660</v>
      </c>
      <c r="I97" s="8" t="s">
        <v>1650</v>
      </c>
      <c r="J97" s="8">
        <f>'[27]2021'!O58+'[27]2021'!P58</f>
        <v>0</v>
      </c>
      <c r="K97" s="8">
        <v>164</v>
      </c>
      <c r="L97" s="1110" t="s">
        <v>1650</v>
      </c>
      <c r="M97" s="8"/>
      <c r="N97" s="8">
        <v>164</v>
      </c>
      <c r="O97" s="8">
        <v>105</v>
      </c>
      <c r="P97" s="8">
        <v>59</v>
      </c>
      <c r="Q97" s="8">
        <v>0</v>
      </c>
      <c r="R97" s="8">
        <v>0</v>
      </c>
      <c r="S97" s="8">
        <v>3</v>
      </c>
    </row>
    <row r="98" spans="5:19" ht="13" x14ac:dyDescent="0.3">
      <c r="E98" s="454">
        <f>SUM(E79:E97)</f>
        <v>92</v>
      </c>
      <c r="F98" s="785">
        <f>SUM(F79:F97)</f>
        <v>555634.9787394976</v>
      </c>
      <c r="H98" s="8"/>
      <c r="I98" s="8"/>
      <c r="J98" s="8"/>
      <c r="K98" s="8"/>
      <c r="L98" s="8"/>
      <c r="M98" s="8"/>
      <c r="N98" s="8"/>
      <c r="O98" s="8"/>
      <c r="P98" s="8"/>
      <c r="Q98" s="8"/>
      <c r="R98" s="8"/>
      <c r="S98" s="8"/>
    </row>
    <row r="99" spans="5:19" x14ac:dyDescent="0.25">
      <c r="H99" s="8" t="s">
        <v>1661</v>
      </c>
      <c r="I99" s="8" t="s">
        <v>1650</v>
      </c>
      <c r="J99" s="8">
        <f>'[27]2021'!O60+'[27]2021'!P60</f>
        <v>0</v>
      </c>
      <c r="K99" s="8">
        <v>169</v>
      </c>
      <c r="L99" s="1110" t="s">
        <v>1650</v>
      </c>
      <c r="M99" s="8"/>
      <c r="N99" s="8">
        <v>169</v>
      </c>
      <c r="O99" s="8">
        <v>169</v>
      </c>
      <c r="P99" s="8">
        <v>0</v>
      </c>
      <c r="Q99" s="8">
        <v>0</v>
      </c>
      <c r="R99" s="8">
        <v>0</v>
      </c>
      <c r="S99" s="8">
        <v>5</v>
      </c>
    </row>
    <row r="100" spans="5:19" x14ac:dyDescent="0.25">
      <c r="H100" s="8" t="s">
        <v>1662</v>
      </c>
      <c r="I100" s="8" t="s">
        <v>1650</v>
      </c>
      <c r="J100" s="8">
        <f>'[27]2021'!O61+'[27]2021'!P61</f>
        <v>0</v>
      </c>
      <c r="K100" s="8">
        <v>78</v>
      </c>
      <c r="L100" s="1110" t="s">
        <v>1650</v>
      </c>
      <c r="M100" s="8"/>
      <c r="N100" s="8">
        <v>78</v>
      </c>
      <c r="O100" s="8">
        <v>54</v>
      </c>
      <c r="P100" s="8">
        <v>24</v>
      </c>
      <c r="Q100" s="8">
        <v>0</v>
      </c>
      <c r="R100" s="8">
        <v>0</v>
      </c>
      <c r="S100" s="8">
        <v>1</v>
      </c>
    </row>
    <row r="101" spans="5:19" x14ac:dyDescent="0.25">
      <c r="H101" s="8"/>
      <c r="I101" s="8"/>
      <c r="J101" s="8"/>
      <c r="K101" s="8"/>
      <c r="L101" s="8"/>
      <c r="M101" s="8"/>
      <c r="N101" s="8"/>
      <c r="O101" s="8"/>
      <c r="P101" s="8"/>
      <c r="Q101" s="8"/>
      <c r="R101" s="8"/>
      <c r="S101" s="8"/>
    </row>
    <row r="102" spans="5:19" ht="14.5" x14ac:dyDescent="0.35">
      <c r="H102" s="8" t="s">
        <v>1663</v>
      </c>
      <c r="I102" s="8" t="s">
        <v>1650</v>
      </c>
      <c r="J102" s="8">
        <f>'[27]2021'!O63+'[27]2021'!P63</f>
        <v>0</v>
      </c>
      <c r="K102" s="8">
        <v>111</v>
      </c>
      <c r="L102" s="1110" t="s">
        <v>1651</v>
      </c>
      <c r="M102" s="8"/>
      <c r="N102" s="1112">
        <v>122</v>
      </c>
      <c r="O102" s="1113">
        <v>106</v>
      </c>
      <c r="P102" s="1113">
        <v>5</v>
      </c>
      <c r="Q102" s="1113">
        <v>11</v>
      </c>
      <c r="R102" s="1113">
        <v>0</v>
      </c>
      <c r="S102" s="8">
        <v>10</v>
      </c>
    </row>
    <row r="103" spans="5:19" x14ac:dyDescent="0.25">
      <c r="H103" s="8"/>
      <c r="I103" s="8"/>
      <c r="J103" s="8"/>
      <c r="K103" s="8"/>
      <c r="L103" s="8"/>
      <c r="M103" s="8"/>
      <c r="N103" s="8"/>
      <c r="O103" s="8"/>
      <c r="P103" s="8"/>
      <c r="Q103" s="8"/>
      <c r="R103" s="8"/>
      <c r="S103" s="8"/>
    </row>
    <row r="104" spans="5:19" x14ac:dyDescent="0.25">
      <c r="H104" s="8" t="s">
        <v>1664</v>
      </c>
      <c r="I104" s="8" t="s">
        <v>1650</v>
      </c>
      <c r="J104" s="8">
        <f>'[27]2021'!O65+'[27]2021'!P65</f>
        <v>0</v>
      </c>
      <c r="K104" s="8">
        <v>78</v>
      </c>
      <c r="L104" s="1110" t="s">
        <v>1650</v>
      </c>
      <c r="M104" s="8"/>
      <c r="N104" s="8">
        <v>78</v>
      </c>
      <c r="O104" s="8">
        <v>70</v>
      </c>
      <c r="P104" s="8">
        <v>0</v>
      </c>
      <c r="Q104" s="8">
        <v>8</v>
      </c>
      <c r="R104" s="8">
        <v>0</v>
      </c>
      <c r="S104" s="8">
        <v>1</v>
      </c>
    </row>
    <row r="105" spans="5:19" x14ac:dyDescent="0.25">
      <c r="H105" s="8"/>
      <c r="I105" s="8"/>
      <c r="J105" s="8"/>
      <c r="K105" s="8"/>
      <c r="L105" s="8"/>
      <c r="M105" s="8"/>
      <c r="N105" s="8"/>
      <c r="O105" s="8"/>
      <c r="P105" s="8"/>
      <c r="Q105" s="8"/>
      <c r="R105" s="8"/>
      <c r="S105" s="8"/>
    </row>
    <row r="106" spans="5:19" x14ac:dyDescent="0.25">
      <c r="H106" s="8" t="s">
        <v>1665</v>
      </c>
      <c r="I106" s="8" t="s">
        <v>1650</v>
      </c>
      <c r="J106" s="8">
        <f>'[27]2021'!O67+'[27]2021'!P67</f>
        <v>0</v>
      </c>
      <c r="K106" s="8">
        <v>84</v>
      </c>
      <c r="L106" s="1110" t="s">
        <v>1650</v>
      </c>
      <c r="M106" s="8"/>
      <c r="N106" s="8">
        <v>84</v>
      </c>
      <c r="O106" s="8">
        <v>71</v>
      </c>
      <c r="P106" s="8">
        <v>13</v>
      </c>
      <c r="Q106" s="8">
        <v>0</v>
      </c>
      <c r="R106" s="8">
        <v>0</v>
      </c>
      <c r="S106" s="8">
        <v>1</v>
      </c>
    </row>
    <row r="107" spans="5:19" x14ac:dyDescent="0.25">
      <c r="H107" s="8"/>
      <c r="I107" s="8"/>
      <c r="J107" s="8"/>
      <c r="K107" s="8"/>
      <c r="L107" s="8"/>
      <c r="M107" s="8"/>
      <c r="N107" s="8"/>
      <c r="O107" s="8"/>
      <c r="P107" s="8"/>
      <c r="Q107" s="8"/>
      <c r="R107" s="8"/>
      <c r="S107" s="8"/>
    </row>
    <row r="108" spans="5:19" ht="14.5" x14ac:dyDescent="0.35">
      <c r="H108" s="8" t="s">
        <v>1666</v>
      </c>
      <c r="I108" s="8" t="s">
        <v>1650</v>
      </c>
      <c r="J108" s="8">
        <f>'[27]2021'!O69+'[27]2021'!P69</f>
        <v>0</v>
      </c>
      <c r="K108" s="8">
        <v>151</v>
      </c>
      <c r="L108" s="1110" t="s">
        <v>1650</v>
      </c>
      <c r="M108" s="8"/>
      <c r="N108" s="8">
        <v>151</v>
      </c>
      <c r="O108" s="1112">
        <v>151</v>
      </c>
      <c r="P108" s="1112">
        <v>0</v>
      </c>
      <c r="Q108" s="1112">
        <v>0</v>
      </c>
      <c r="R108" s="1112">
        <v>0</v>
      </c>
      <c r="S108" s="1112">
        <v>10</v>
      </c>
    </row>
    <row r="109" spans="5:19" x14ac:dyDescent="0.25">
      <c r="H109" s="8"/>
      <c r="I109" s="8"/>
      <c r="J109" s="8"/>
      <c r="K109" s="8"/>
      <c r="L109" s="8"/>
      <c r="M109" s="8"/>
      <c r="N109" s="8"/>
      <c r="O109" s="8"/>
      <c r="P109" s="8"/>
      <c r="Q109" s="8"/>
      <c r="R109" s="8"/>
      <c r="S109" s="8"/>
    </row>
    <row r="110" spans="5:19" ht="14.5" x14ac:dyDescent="0.35">
      <c r="H110" s="8" t="s">
        <v>1667</v>
      </c>
      <c r="I110" s="8" t="s">
        <v>1650</v>
      </c>
      <c r="J110" s="8">
        <f>'[27]2021'!O71+'[27]2021'!P71</f>
        <v>0</v>
      </c>
      <c r="K110" s="8">
        <v>85</v>
      </c>
      <c r="L110" s="1110" t="s">
        <v>1650</v>
      </c>
      <c r="M110" s="8"/>
      <c r="N110" s="8">
        <v>86</v>
      </c>
      <c r="O110" s="1112">
        <v>58</v>
      </c>
      <c r="P110" s="1112">
        <v>28</v>
      </c>
      <c r="Q110" s="1112">
        <v>0</v>
      </c>
      <c r="R110" s="1112">
        <v>0</v>
      </c>
      <c r="S110" s="1112">
        <v>6</v>
      </c>
    </row>
    <row r="111" spans="5:19" x14ac:dyDescent="0.25">
      <c r="H111" s="8"/>
      <c r="I111" s="8"/>
      <c r="J111" s="8"/>
      <c r="K111" s="8"/>
      <c r="L111" s="8"/>
      <c r="M111" s="8"/>
      <c r="N111" s="8"/>
      <c r="O111" s="8"/>
      <c r="P111" s="8"/>
      <c r="Q111" s="8"/>
      <c r="R111" s="8"/>
      <c r="S111" s="8"/>
    </row>
    <row r="112" spans="5:19" ht="13" x14ac:dyDescent="0.3">
      <c r="H112" s="8"/>
      <c r="I112" s="8"/>
      <c r="J112" s="13">
        <f>SUM(J82:J110)</f>
        <v>0</v>
      </c>
      <c r="K112" s="13">
        <f>SUM(K82:K110)</f>
        <v>1977</v>
      </c>
      <c r="L112" s="13"/>
      <c r="M112" s="13"/>
      <c r="N112" s="13">
        <f>SUM(N82:N110)</f>
        <v>2026</v>
      </c>
      <c r="O112" s="13">
        <f>SUM(O82:O110)</f>
        <v>1782</v>
      </c>
      <c r="P112" s="13">
        <f>SUM(P82:P110)</f>
        <v>182</v>
      </c>
      <c r="Q112" s="13">
        <f>SUM(Q82:Q110)</f>
        <v>62</v>
      </c>
      <c r="R112" s="13">
        <v>0</v>
      </c>
      <c r="S112" s="13">
        <f>SUM(S82:S110)</f>
        <v>92</v>
      </c>
    </row>
  </sheetData>
  <pageMargins left="0.7" right="0.7" top="0.75" bottom="0.75" header="0.3" footer="0.3"/>
  <pageSetup orientation="portrait" horizontalDpi="90" verticalDpi="90" r:id="rId1"/>
  <ignoredErrors>
    <ignoredError sqref="N5:N35"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A39362BF6053446B9BDD52D50F95214" ma:contentTypeVersion="6" ma:contentTypeDescription="Create a new document." ma:contentTypeScope="" ma:versionID="8ddc70a9d24e16cfc1cc8c00d6807109">
  <xsd:schema xmlns:xsd="http://www.w3.org/2001/XMLSchema" xmlns:xs="http://www.w3.org/2001/XMLSchema" xmlns:p="http://schemas.microsoft.com/office/2006/metadata/properties" xmlns:ns2="47ecd482-cba3-4a15-8a36-0d066dd3291d" xmlns:ns3="8dc9effd-76e4-4e94-b9b6-2836c4bb60de" targetNamespace="http://schemas.microsoft.com/office/2006/metadata/properties" ma:root="true" ma:fieldsID="c85dff6cfe7dea139d80d0d574247389" ns2:_="" ns3:_="">
    <xsd:import namespace="47ecd482-cba3-4a15-8a36-0d066dd3291d"/>
    <xsd:import namespace="8dc9effd-76e4-4e94-b9b6-2836c4bb60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7ecd482-cba3-4a15-8a36-0d066dd3291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c9effd-76e4-4e94-b9b6-2836c4bb60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475710F-19BD-4CB5-89B9-4E3D9ACFB13C}">
  <ds:schemaRefs>
    <ds:schemaRef ds:uri="http://schemas.microsoft.com/sharepoint/v3/contenttype/forms"/>
  </ds:schemaRefs>
</ds:datastoreItem>
</file>

<file path=customXml/itemProps2.xml><?xml version="1.0" encoding="utf-8"?>
<ds:datastoreItem xmlns:ds="http://schemas.openxmlformats.org/officeDocument/2006/customXml" ds:itemID="{2C96245A-999E-4ED9-B23A-316E757E5424}">
  <ds:schemaRefs>
    <ds:schemaRef ds:uri="http://www.w3.org/XML/1998/namespace"/>
    <ds:schemaRef ds:uri="http://purl.org/dc/elements/1.1/"/>
    <ds:schemaRef ds:uri="47ecd482-cba3-4a15-8a36-0d066dd3291d"/>
    <ds:schemaRef ds:uri="http://purl.org/dc/terms/"/>
    <ds:schemaRef ds:uri="http://schemas.microsoft.com/office/2006/documentManagement/types"/>
    <ds:schemaRef ds:uri="http://schemas.openxmlformats.org/package/2006/metadata/core-properties"/>
    <ds:schemaRef ds:uri="8dc9effd-76e4-4e94-b9b6-2836c4bb60de"/>
    <ds:schemaRef ds:uri="http://purl.org/dc/dcmitype/"/>
    <ds:schemaRef ds:uri="http://schemas.microsoft.com/office/infopath/2007/PartnerControls"/>
    <ds:schemaRef ds:uri="http://schemas.microsoft.com/office/2006/metadata/properties"/>
  </ds:schemaRefs>
</ds:datastoreItem>
</file>

<file path=customXml/itemProps3.xml><?xml version="1.0" encoding="utf-8"?>
<ds:datastoreItem xmlns:ds="http://schemas.openxmlformats.org/officeDocument/2006/customXml" ds:itemID="{387E4473-DEE0-471D-B972-27B0D2F2446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7ecd482-cba3-4a15-8a36-0d066dd3291d"/>
    <ds:schemaRef ds:uri="8dc9effd-76e4-4e94-b9b6-2836c4bb60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98</vt:i4>
      </vt:variant>
      <vt:variant>
        <vt:lpstr>Named Ranges</vt:lpstr>
      </vt:variant>
      <vt:variant>
        <vt:i4>15</vt:i4>
      </vt:variant>
    </vt:vector>
  </HeadingPairs>
  <TitlesOfParts>
    <vt:vector size="113" baseType="lpstr">
      <vt:lpstr>Budget Req 1516</vt:lpstr>
      <vt:lpstr>Budget Req 1617</vt:lpstr>
      <vt:lpstr>Funding Model</vt:lpstr>
      <vt:lpstr>2016-17 Funding Summary</vt:lpstr>
      <vt:lpstr>2016-17 Funding Detail</vt:lpstr>
      <vt:lpstr>Band Calculations 1617</vt:lpstr>
      <vt:lpstr>2016-17 Other Funding</vt:lpstr>
      <vt:lpstr>2015-16 Funding Summary</vt:lpstr>
      <vt:lpstr>2015-16 Funding Detail</vt:lpstr>
      <vt:lpstr>Band Calculations 1516</vt:lpstr>
      <vt:lpstr>2014-15 Funding Detail</vt:lpstr>
      <vt:lpstr>2013-14 Funding (4)</vt:lpstr>
      <vt:lpstr>2012-13 Top-ups</vt:lpstr>
      <vt:lpstr>Band Calculations 1415</vt:lpstr>
      <vt:lpstr>Band Calculations</vt:lpstr>
      <vt:lpstr>2015-16 Other Funding</vt:lpstr>
      <vt:lpstr>Revised Band Returns</vt:lpstr>
      <vt:lpstr>FSM Calculation 1516</vt:lpstr>
      <vt:lpstr>DSG US 1415</vt:lpstr>
      <vt:lpstr>DSG US 1516</vt:lpstr>
      <vt:lpstr>Front Sheet - Please Read First</vt:lpstr>
      <vt:lpstr>ISB Weightings</vt:lpstr>
      <vt:lpstr>Budget Shares</vt:lpstr>
      <vt:lpstr>2017-18 Funding Summary</vt:lpstr>
      <vt:lpstr>2017-18 Funding Detail</vt:lpstr>
      <vt:lpstr>Band Calculations 1718</vt:lpstr>
      <vt:lpstr>2017-18 Other Funding</vt:lpstr>
      <vt:lpstr>FSM Calculation 1718</vt:lpstr>
      <vt:lpstr>Budget Requirement 1718</vt:lpstr>
      <vt:lpstr>Funding Summary</vt:lpstr>
      <vt:lpstr>Funding Detail - Rebase</vt:lpstr>
      <vt:lpstr>Band Calculations - Rebase</vt:lpstr>
      <vt:lpstr>Revised Bands - Rebase</vt:lpstr>
      <vt:lpstr>1819 Funding Detail</vt:lpstr>
      <vt:lpstr>1819 Band Calculations</vt:lpstr>
      <vt:lpstr>1819 Revised Bands</vt:lpstr>
      <vt:lpstr>FSM Calculation 1819</vt:lpstr>
      <vt:lpstr>2018-19 Other Funding</vt:lpstr>
      <vt:lpstr>1819 DSG 1718 Underspend</vt:lpstr>
      <vt:lpstr>1819 Budget Requirement</vt:lpstr>
      <vt:lpstr>1920 Budget Requirement</vt:lpstr>
      <vt:lpstr>1920 Funding Detail</vt:lpstr>
      <vt:lpstr>1920 Band Calculations</vt:lpstr>
      <vt:lpstr>1920 Band Moderations</vt:lpstr>
      <vt:lpstr>1920 Other Funding</vt:lpstr>
      <vt:lpstr>1920 FSM Calculation</vt:lpstr>
      <vt:lpstr>Band Values</vt:lpstr>
      <vt:lpstr>2021 Budget Requirement</vt:lpstr>
      <vt:lpstr>2223 Budget Requirement</vt:lpstr>
      <vt:lpstr>2324 Budget Requirement</vt:lpstr>
      <vt:lpstr>2223 Funding Detail</vt:lpstr>
      <vt:lpstr>2324 Funding Detail</vt:lpstr>
      <vt:lpstr>2324 MFG Protection</vt:lpstr>
      <vt:lpstr>2223 MFG Protection</vt:lpstr>
      <vt:lpstr>2122 MFG Protection</vt:lpstr>
      <vt:lpstr>Local Protection</vt:lpstr>
      <vt:lpstr>MFG DfE Protection</vt:lpstr>
      <vt:lpstr>2122 3% MFG Calculation</vt:lpstr>
      <vt:lpstr>3.4% Allocations</vt:lpstr>
      <vt:lpstr>2021 Band Calculations</vt:lpstr>
      <vt:lpstr>2021 FSM Calculation</vt:lpstr>
      <vt:lpstr>2021 Other Funding</vt:lpstr>
      <vt:lpstr>2021 Band Moderations</vt:lpstr>
      <vt:lpstr>MFG Tab</vt:lpstr>
      <vt:lpstr>2122 Budget Requirement</vt:lpstr>
      <vt:lpstr>2122 Funding Detail</vt:lpstr>
      <vt:lpstr>School Size Ranges (2223)</vt:lpstr>
      <vt:lpstr>School Size Ranges (2324)</vt:lpstr>
      <vt:lpstr>2122 Band Calculations</vt:lpstr>
      <vt:lpstr>2021 Funding Detail</vt:lpstr>
      <vt:lpstr>202021 MFG Protection</vt:lpstr>
      <vt:lpstr>2122 Group Sizes</vt:lpstr>
      <vt:lpstr>2223 Group Sizes</vt:lpstr>
      <vt:lpstr>2122 FSM Calculation</vt:lpstr>
      <vt:lpstr>2324 FSM Calculation</vt:lpstr>
      <vt:lpstr>2223 FSM Calculation</vt:lpstr>
      <vt:lpstr>2122 Other Funding</vt:lpstr>
      <vt:lpstr>Other Funding</vt:lpstr>
      <vt:lpstr>2122 Band Values</vt:lpstr>
      <vt:lpstr>2223 Band Values</vt:lpstr>
      <vt:lpstr>2324 Band Values</vt:lpstr>
      <vt:lpstr>2122 Teachers Pay Scales</vt:lpstr>
      <vt:lpstr>2223 Teachers Pay Scales</vt:lpstr>
      <vt:lpstr>2324 Teacher's Pay Scales</vt:lpstr>
      <vt:lpstr>2122 TA Pay Scales</vt:lpstr>
      <vt:lpstr>2223 TA Pay Scales</vt:lpstr>
      <vt:lpstr>2324 TA Pay Scales</vt:lpstr>
      <vt:lpstr>2122 GLEA Pay Scales</vt:lpstr>
      <vt:lpstr>2122 Pay &amp; Pension Allocations</vt:lpstr>
      <vt:lpstr>Pay &amp; Pension Workings</vt:lpstr>
      <vt:lpstr>TA Workings</vt:lpstr>
      <vt:lpstr>2122 Band Moderations</vt:lpstr>
      <vt:lpstr>2223 Band Calculations</vt:lpstr>
      <vt:lpstr>2324 Band Calculations</vt:lpstr>
      <vt:lpstr>2223 Band Moderations</vt:lpstr>
      <vt:lpstr>2122 OLEA Placements</vt:lpstr>
      <vt:lpstr>2324 Band Moderations</vt:lpstr>
      <vt:lpstr>OLEA Placements</vt:lpstr>
      <vt:lpstr>'2012-13 Top-ups'!Print_Area</vt:lpstr>
      <vt:lpstr>'2013-14 Funding (4)'!Print_Area</vt:lpstr>
      <vt:lpstr>'2014-15 Funding Detail'!Print_Area</vt:lpstr>
      <vt:lpstr>'2015-16 Other Funding'!Print_Area</vt:lpstr>
      <vt:lpstr>'2016-17 Funding Detail'!Print_Area</vt:lpstr>
      <vt:lpstr>'2016-17 Funding Summary'!Print_Area</vt:lpstr>
      <vt:lpstr>'Band Calculations 1415'!Print_Area</vt:lpstr>
      <vt:lpstr>'Band Calculations 1516'!Print_Area</vt:lpstr>
      <vt:lpstr>'Budget Shares'!Print_Area</vt:lpstr>
      <vt:lpstr>'Front Sheet - Please Read First'!Print_Area</vt:lpstr>
      <vt:lpstr>'Funding Model'!Print_Area</vt:lpstr>
      <vt:lpstr>'Funding Summary'!Print_Area</vt:lpstr>
      <vt:lpstr>'ISB Weightings'!Print_Area</vt:lpstr>
      <vt:lpstr>'Local Protection'!Print_Area</vt:lpstr>
      <vt:lpstr>'Revised Band Returns'!Print_Area</vt:lpstr>
    </vt:vector>
  </TitlesOfParts>
  <Manager/>
  <Company>Lincolnshire County Council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mark.popplewell</dc:creator>
  <cp:keywords/>
  <dc:description/>
  <cp:lastModifiedBy>David Leonard</cp:lastModifiedBy>
  <cp:revision/>
  <cp:lastPrinted>2023-03-01T09:51:34Z</cp:lastPrinted>
  <dcterms:created xsi:type="dcterms:W3CDTF">2010-09-24T14:45:42Z</dcterms:created>
  <dcterms:modified xsi:type="dcterms:W3CDTF">2023-03-01T09:54:37Z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0x0101006A39362BF6053446B9BDD52D50F95214</vt:lpwstr>
  </property>
</Properties>
</file>